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RAP\vnso-RAP-marketStats-materials\"/>
    </mc:Choice>
  </mc:AlternateContent>
  <xr:revisionPtr revIDLastSave="0" documentId="13_ncr:1_{894732E6-8C3D-4020-BAFD-EF27A95B7A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Volume Data Entry" sheetId="4" r:id="rId1"/>
    <sheet name="Price Data Entry" sheetId="1" r:id="rId2"/>
    <sheet name="Weekly Analysis" sheetId="5" r:id="rId3"/>
    <sheet name="Monthly Analysis" sheetId="6" state="hidden" r:id="rId4"/>
    <sheet name="Quarterly Analysis" sheetId="36" r:id="rId5"/>
    <sheet name="Fig 2 - Fiji Taro" sheetId="11" state="hidden" r:id="rId6"/>
    <sheet name="Fig 3 - Island Taro" sheetId="12" state="hidden" r:id="rId7"/>
    <sheet name="Fig 4 - Manioc" sheetId="13" state="hidden" r:id="rId8"/>
    <sheet name="Fig 5 - Kumala" sheetId="14" state="hidden" r:id="rId9"/>
    <sheet name="Fig 6 - Yam" sheetId="15" state="hidden" r:id="rId10"/>
    <sheet name="Fig 7 - Green Banana" sheetId="16" state="hidden" r:id="rId11"/>
    <sheet name="Fig 8 - Dried Coconut" sheetId="23" state="hidden" r:id="rId12"/>
    <sheet name="Fig 9 - Water Melon" sheetId="21" state="hidden" r:id="rId13"/>
    <sheet name="Fig 10 - Pawpaw" sheetId="22" state="hidden" r:id="rId14"/>
    <sheet name="Fig 11 - Ripe Banana" sheetId="20" state="hidden" r:id="rId15"/>
    <sheet name="Fig 12 - Green Coconut" sheetId="24" state="hidden" r:id="rId16"/>
    <sheet name="Fig 13 - Bowl Cabbage (Purple)" sheetId="26" state="hidden" r:id="rId17"/>
    <sheet name="Fig 14 - Chinese Cabbage" sheetId="32" state="hidden" r:id="rId18"/>
    <sheet name="Fig 15 - Pumpkin" sheetId="30" state="hidden" r:id="rId19"/>
    <sheet name="Fig 16 - Lettuce" sheetId="29" state="hidden" r:id="rId20"/>
    <sheet name="Fig 17 - Cucumbers" sheetId="33" state="hidden" r:id="rId21"/>
    <sheet name="Fig 18 - Bowl Cabbage (White)" sheetId="27" state="hidden" r:id="rId22"/>
    <sheet name="Fig 19 - Carrots" sheetId="28" state="hidden" r:id="rId23"/>
    <sheet name="Fig 20 - Island Cabbage" sheetId="34" state="hidden" r:id="rId24"/>
    <sheet name="Fig 21 - Tomatoes" sheetId="31" state="hidden" r:id="rId25"/>
    <sheet name="Fig 1 - Vol &amp; Pri" sheetId="10" r:id="rId26"/>
    <sheet name="Fig 2 - Staple Produces" sheetId="39" r:id="rId27"/>
    <sheet name="Fig 3 - Fruit Produces" sheetId="41" r:id="rId28"/>
    <sheet name="Fig 4 - Vegetable Produces" sheetId="40" r:id="rId29"/>
    <sheet name="Fig 5-7 Sellers by Commodity" sheetId="9" r:id="rId30"/>
    <sheet name="Fig 25 - Value of Supplies" sheetId="7" r:id="rId31"/>
  </sheets>
  <externalReferences>
    <externalReference r:id="rId32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7" l="1"/>
  <c r="B4" i="7"/>
  <c r="C19" i="9"/>
  <c r="B19" i="9"/>
  <c r="C13" i="9"/>
  <c r="B13" i="9"/>
  <c r="C4" i="9"/>
  <c r="B4" i="9"/>
  <c r="AL11" i="36" l="1"/>
  <c r="Y171" i="36" l="1"/>
  <c r="Y161" i="36"/>
  <c r="EC170" i="5"/>
  <c r="EC169" i="5"/>
  <c r="EC168" i="5"/>
  <c r="EC167" i="5"/>
  <c r="EC166" i="5"/>
  <c r="EC161" i="5" s="1"/>
  <c r="EC165" i="5"/>
  <c r="EC164" i="5"/>
  <c r="EC163" i="5"/>
  <c r="EC162" i="5"/>
  <c r="EC160" i="5"/>
  <c r="EC159" i="5"/>
  <c r="EC158" i="5"/>
  <c r="EC157" i="5"/>
  <c r="EC155" i="5"/>
  <c r="EC154" i="5"/>
  <c r="EC153" i="5"/>
  <c r="EC152" i="5"/>
  <c r="EC151" i="5"/>
  <c r="EC150" i="5"/>
  <c r="EC149" i="5"/>
  <c r="EB170" i="5"/>
  <c r="EB169" i="5"/>
  <c r="EB168" i="5"/>
  <c r="EB167" i="5"/>
  <c r="EB166" i="5"/>
  <c r="EB165" i="5"/>
  <c r="EB164" i="5"/>
  <c r="EB163" i="5"/>
  <c r="EB162" i="5"/>
  <c r="EB160" i="5"/>
  <c r="EB159" i="5"/>
  <c r="EB158" i="5"/>
  <c r="EB157" i="5"/>
  <c r="EB155" i="5"/>
  <c r="EB154" i="5"/>
  <c r="EB153" i="5"/>
  <c r="EB152" i="5"/>
  <c r="EB151" i="5"/>
  <c r="EB150" i="5"/>
  <c r="EB149" i="5"/>
  <c r="EA170" i="5"/>
  <c r="EA169" i="5"/>
  <c r="EA168" i="5"/>
  <c r="EA167" i="5"/>
  <c r="EA166" i="5"/>
  <c r="EA165" i="5"/>
  <c r="EA164" i="5"/>
  <c r="EA163" i="5"/>
  <c r="EA162" i="5"/>
  <c r="EA160" i="5"/>
  <c r="EA159" i="5"/>
  <c r="EA158" i="5"/>
  <c r="EA157" i="5"/>
  <c r="EA156" i="5" s="1"/>
  <c r="EA155" i="5"/>
  <c r="EA154" i="5"/>
  <c r="EA153" i="5"/>
  <c r="EA152" i="5"/>
  <c r="EA151" i="5"/>
  <c r="EA150" i="5"/>
  <c r="EA149" i="5"/>
  <c r="DZ170" i="5"/>
  <c r="DZ169" i="5"/>
  <c r="DZ168" i="5"/>
  <c r="DZ167" i="5"/>
  <c r="DZ166" i="5"/>
  <c r="DZ165" i="5"/>
  <c r="DZ164" i="5"/>
  <c r="DZ163" i="5"/>
  <c r="DZ162" i="5"/>
  <c r="DZ161" i="5" s="1"/>
  <c r="DZ160" i="5"/>
  <c r="DZ159" i="5"/>
  <c r="DZ158" i="5"/>
  <c r="DZ157" i="5"/>
  <c r="DZ155" i="5"/>
  <c r="DZ154" i="5"/>
  <c r="DZ153" i="5"/>
  <c r="DZ152" i="5"/>
  <c r="DZ151" i="5"/>
  <c r="DZ150" i="5"/>
  <c r="DZ149" i="5"/>
  <c r="DY170" i="5"/>
  <c r="DY169" i="5"/>
  <c r="DY168" i="5"/>
  <c r="DY167" i="5"/>
  <c r="DY166" i="5"/>
  <c r="DY165" i="5"/>
  <c r="DY164" i="5"/>
  <c r="DY163" i="5"/>
  <c r="DY162" i="5"/>
  <c r="DY160" i="5"/>
  <c r="DY159" i="5"/>
  <c r="DY158" i="5"/>
  <c r="DY157" i="5"/>
  <c r="DY156" i="5" s="1"/>
  <c r="DY155" i="5"/>
  <c r="DY154" i="5"/>
  <c r="DY153" i="5"/>
  <c r="DY152" i="5"/>
  <c r="DY151" i="5"/>
  <c r="DY150" i="5"/>
  <c r="DY149" i="5"/>
  <c r="DX170" i="5"/>
  <c r="Y176" i="36" s="1"/>
  <c r="DX169" i="5"/>
  <c r="Y175" i="36" s="1"/>
  <c r="DX168" i="5"/>
  <c r="Y174" i="36" s="1"/>
  <c r="DX167" i="5"/>
  <c r="Y173" i="36" s="1"/>
  <c r="DX166" i="5"/>
  <c r="DX165" i="5"/>
  <c r="DX164" i="5"/>
  <c r="Y170" i="36" s="1"/>
  <c r="DX163" i="5"/>
  <c r="Y169" i="36" s="1"/>
  <c r="DX162" i="5"/>
  <c r="Y168" i="36" s="1"/>
  <c r="DX160" i="5"/>
  <c r="Y166" i="36" s="1"/>
  <c r="DX159" i="5"/>
  <c r="Y165" i="36" s="1"/>
  <c r="DX158" i="5"/>
  <c r="Y164" i="36" s="1"/>
  <c r="DX157" i="5"/>
  <c r="DX155" i="5"/>
  <c r="DX154" i="5"/>
  <c r="Y160" i="36" s="1"/>
  <c r="DX153" i="5"/>
  <c r="Y159" i="36" s="1"/>
  <c r="DX152" i="5"/>
  <c r="Y158" i="36" s="1"/>
  <c r="DX151" i="5"/>
  <c r="Y157" i="36" s="1"/>
  <c r="DX150" i="5"/>
  <c r="Y156" i="36" s="1"/>
  <c r="DX149" i="5"/>
  <c r="Y155" i="36" s="1"/>
  <c r="DX156" i="5"/>
  <c r="DX133" i="5"/>
  <c r="EC22" i="5"/>
  <c r="DZ27" i="5"/>
  <c r="OF138" i="1"/>
  <c r="OE138" i="1"/>
  <c r="OF137" i="1"/>
  <c r="OE137" i="1"/>
  <c r="OF135" i="1"/>
  <c r="OE135" i="1"/>
  <c r="OF133" i="1"/>
  <c r="OI133" i="1" s="1"/>
  <c r="OE133" i="1"/>
  <c r="OE168" i="1" s="1"/>
  <c r="OF132" i="1"/>
  <c r="OE132" i="1"/>
  <c r="OF129" i="1"/>
  <c r="OE129" i="1"/>
  <c r="OF126" i="1"/>
  <c r="OE126" i="1"/>
  <c r="OF125" i="1"/>
  <c r="OI125" i="1" s="1"/>
  <c r="OE125" i="1"/>
  <c r="OH125" i="1" s="1"/>
  <c r="OF124" i="1"/>
  <c r="OE124" i="1"/>
  <c r="OF122" i="1"/>
  <c r="OE122" i="1"/>
  <c r="OF121" i="1"/>
  <c r="OF118" i="1"/>
  <c r="OE121" i="1"/>
  <c r="OE159" i="1" s="1"/>
  <c r="OE118" i="1"/>
  <c r="OE156" i="1" s="1"/>
  <c r="OF115" i="1"/>
  <c r="OE115" i="1"/>
  <c r="OF114" i="1"/>
  <c r="OE114" i="1"/>
  <c r="OF112" i="1"/>
  <c r="OE112" i="1"/>
  <c r="OF111" i="1"/>
  <c r="OF149" i="1" s="1"/>
  <c r="OE111" i="1"/>
  <c r="OE149" i="1" s="1"/>
  <c r="OF105" i="1"/>
  <c r="OE105" i="1"/>
  <c r="OH105" i="1" s="1"/>
  <c r="OF104" i="1"/>
  <c r="OE104" i="1"/>
  <c r="OF103" i="1"/>
  <c r="OE103" i="1"/>
  <c r="OF100" i="1"/>
  <c r="OF146" i="1" s="1"/>
  <c r="OE100" i="1"/>
  <c r="OE146" i="1" s="1"/>
  <c r="OF97" i="1"/>
  <c r="OE97" i="1"/>
  <c r="OF95" i="1"/>
  <c r="OE95" i="1"/>
  <c r="OF93" i="1"/>
  <c r="OE93" i="1"/>
  <c r="OE51" i="1"/>
  <c r="OE86" i="1" s="1"/>
  <c r="OF51" i="1"/>
  <c r="OI51" i="1" s="1"/>
  <c r="OF50" i="1"/>
  <c r="OE50" i="1"/>
  <c r="OF48" i="1"/>
  <c r="OE48" i="1"/>
  <c r="OF47" i="1"/>
  <c r="OE47" i="1"/>
  <c r="OF46" i="1"/>
  <c r="OI46" i="1" s="1"/>
  <c r="OE46" i="1"/>
  <c r="OH46" i="1" s="1"/>
  <c r="OF45" i="1"/>
  <c r="OE45" i="1"/>
  <c r="OE42" i="1"/>
  <c r="OF42" i="1"/>
  <c r="OF39" i="1"/>
  <c r="OE39" i="1"/>
  <c r="OF37" i="1"/>
  <c r="OF75" i="1" s="1"/>
  <c r="OE37" i="1"/>
  <c r="OH37" i="1" s="1"/>
  <c r="OF36" i="1"/>
  <c r="OE36" i="1"/>
  <c r="OF35" i="1"/>
  <c r="OE35" i="1"/>
  <c r="OF34" i="1"/>
  <c r="OE34" i="1"/>
  <c r="OF27" i="1"/>
  <c r="OI27" i="1" s="1"/>
  <c r="OE27" i="1"/>
  <c r="OH27" i="1" s="1"/>
  <c r="OF25" i="1"/>
  <c r="OE25" i="1"/>
  <c r="OF22" i="1"/>
  <c r="OE22" i="1"/>
  <c r="OF20" i="1"/>
  <c r="OE20" i="1"/>
  <c r="OF18" i="1"/>
  <c r="OF61" i="1" s="1"/>
  <c r="OE18" i="1"/>
  <c r="OE61" i="1" s="1"/>
  <c r="OF17" i="1"/>
  <c r="OE17" i="1"/>
  <c r="OF15" i="1"/>
  <c r="OE15" i="1"/>
  <c r="OF13" i="1"/>
  <c r="OE13" i="1"/>
  <c r="OF10" i="1"/>
  <c r="OF58" i="1" s="1"/>
  <c r="OE10" i="1"/>
  <c r="OH10" i="1" s="1"/>
  <c r="OF8" i="1"/>
  <c r="OE8" i="1"/>
  <c r="OF6" i="1"/>
  <c r="OE6" i="1"/>
  <c r="NZ138" i="1"/>
  <c r="NY138" i="1"/>
  <c r="NZ137" i="1"/>
  <c r="NZ172" i="1" s="1"/>
  <c r="NY137" i="1"/>
  <c r="NY172" i="1" s="1"/>
  <c r="NZ136" i="1"/>
  <c r="NY136" i="1"/>
  <c r="NZ134" i="1"/>
  <c r="NY134" i="1"/>
  <c r="NZ133" i="1"/>
  <c r="NY133" i="1"/>
  <c r="NZ132" i="1"/>
  <c r="NZ167" i="1" s="1"/>
  <c r="NY132" i="1"/>
  <c r="OB132" i="1" s="1"/>
  <c r="NZ129" i="1"/>
  <c r="NY129" i="1"/>
  <c r="NZ126" i="1"/>
  <c r="NY126" i="1"/>
  <c r="NZ124" i="1"/>
  <c r="NY124" i="1"/>
  <c r="NY162" i="1" s="1"/>
  <c r="NZ122" i="1"/>
  <c r="OC122" i="1" s="1"/>
  <c r="NY122" i="1"/>
  <c r="OB122" i="1" s="1"/>
  <c r="NZ121" i="1"/>
  <c r="NY121" i="1"/>
  <c r="NZ118" i="1"/>
  <c r="NY118" i="1"/>
  <c r="NY156" i="1" s="1"/>
  <c r="NZ116" i="1"/>
  <c r="NY116" i="1"/>
  <c r="NZ115" i="1"/>
  <c r="NZ153" i="1" s="1"/>
  <c r="NY115" i="1"/>
  <c r="NY153" i="1" s="1"/>
  <c r="NZ114" i="1"/>
  <c r="NY114" i="1"/>
  <c r="OB114" i="1" s="1"/>
  <c r="NZ112" i="1"/>
  <c r="NY112" i="1"/>
  <c r="NZ110" i="1"/>
  <c r="NY110" i="1"/>
  <c r="NZ109" i="1"/>
  <c r="OC109" i="1" s="1"/>
  <c r="NY109" i="1"/>
  <c r="OB109" i="1" s="1"/>
  <c r="NZ104" i="1"/>
  <c r="NY104" i="1"/>
  <c r="NZ102" i="1"/>
  <c r="NY102" i="1"/>
  <c r="NZ97" i="1"/>
  <c r="NY97" i="1"/>
  <c r="NZ95" i="1"/>
  <c r="NZ144" i="1" s="1"/>
  <c r="NY95" i="1"/>
  <c r="OB95" i="1" s="1"/>
  <c r="NZ93" i="1"/>
  <c r="NY93" i="1"/>
  <c r="NZ51" i="1"/>
  <c r="NZ50" i="1"/>
  <c r="NZ48" i="1"/>
  <c r="NZ47" i="1"/>
  <c r="NZ46" i="1"/>
  <c r="NZ81" i="1" s="1"/>
  <c r="NZ45" i="1"/>
  <c r="OC45" i="1" s="1"/>
  <c r="NZ40" i="1"/>
  <c r="NZ38" i="1"/>
  <c r="NZ37" i="1"/>
  <c r="NZ36" i="1"/>
  <c r="NZ35" i="1"/>
  <c r="NZ34" i="1"/>
  <c r="OC34" i="1" s="1"/>
  <c r="NZ30" i="1"/>
  <c r="OA68" i="1" s="1"/>
  <c r="NZ29" i="1"/>
  <c r="OC29" i="1" s="1"/>
  <c r="NZ28" i="1"/>
  <c r="NZ27" i="1"/>
  <c r="NZ25" i="1"/>
  <c r="NZ24" i="1"/>
  <c r="OC24" i="1" s="1"/>
  <c r="NZ23" i="1"/>
  <c r="NZ22" i="1"/>
  <c r="NZ21" i="1"/>
  <c r="OC21" i="1" s="1"/>
  <c r="NZ20" i="1"/>
  <c r="OC20" i="1" s="1"/>
  <c r="NZ19" i="1"/>
  <c r="NZ17" i="1"/>
  <c r="NZ16" i="1"/>
  <c r="NZ15" i="1"/>
  <c r="NZ13" i="1"/>
  <c r="NZ10" i="1"/>
  <c r="NZ9" i="1"/>
  <c r="NZ8" i="1"/>
  <c r="OC8" i="1" s="1"/>
  <c r="NZ6" i="1"/>
  <c r="NY51" i="1"/>
  <c r="NY50" i="1"/>
  <c r="NY48" i="1"/>
  <c r="NY47" i="1"/>
  <c r="NY46" i="1"/>
  <c r="NY45" i="1"/>
  <c r="NY40" i="1"/>
  <c r="NY77" i="1" s="1"/>
  <c r="NY38" i="1"/>
  <c r="NY37" i="1"/>
  <c r="NY36" i="1"/>
  <c r="NY35" i="1"/>
  <c r="NY34" i="1"/>
  <c r="NY72" i="1" s="1"/>
  <c r="NY30" i="1"/>
  <c r="NY29" i="1"/>
  <c r="OB29" i="1" s="1"/>
  <c r="NY28" i="1"/>
  <c r="NY66" i="1" s="1"/>
  <c r="NY27" i="1"/>
  <c r="NY25" i="1"/>
  <c r="NY24" i="1"/>
  <c r="NY23" i="1"/>
  <c r="NY22" i="1"/>
  <c r="NY21" i="1"/>
  <c r="NY20" i="1"/>
  <c r="OB20" i="1" s="1"/>
  <c r="NY19" i="1"/>
  <c r="OB19" i="1" s="1"/>
  <c r="NY17" i="1"/>
  <c r="NY16" i="1"/>
  <c r="NY15" i="1"/>
  <c r="NY13" i="1"/>
  <c r="NY10" i="1"/>
  <c r="NY9" i="1"/>
  <c r="NY8" i="1"/>
  <c r="NY57" i="1" s="1"/>
  <c r="NY6" i="1"/>
  <c r="NY56" i="1" s="1"/>
  <c r="NT138" i="1"/>
  <c r="NT137" i="1"/>
  <c r="NS138" i="1"/>
  <c r="NS137" i="1"/>
  <c r="NT135" i="1"/>
  <c r="NT134" i="1"/>
  <c r="NT133" i="1"/>
  <c r="NT132" i="1"/>
  <c r="NV132" i="1" s="1"/>
  <c r="NS135" i="1"/>
  <c r="NS134" i="1"/>
  <c r="NS133" i="1"/>
  <c r="NS132" i="1"/>
  <c r="NT126" i="1"/>
  <c r="NS126" i="1"/>
  <c r="NT124" i="1"/>
  <c r="NT123" i="1"/>
  <c r="NT122" i="1"/>
  <c r="NT121" i="1"/>
  <c r="NS124" i="1"/>
  <c r="NS123" i="1"/>
  <c r="NS122" i="1"/>
  <c r="NS121" i="1"/>
  <c r="NS159" i="1" s="1"/>
  <c r="NT116" i="1"/>
  <c r="NW116" i="1" s="1"/>
  <c r="NT115" i="1"/>
  <c r="NT114" i="1"/>
  <c r="NS116" i="1"/>
  <c r="NS115" i="1"/>
  <c r="NS114" i="1"/>
  <c r="NT112" i="1"/>
  <c r="NT111" i="1"/>
  <c r="NW111" i="1" s="1"/>
  <c r="NS112" i="1"/>
  <c r="NS150" i="1" s="1"/>
  <c r="NS111" i="1"/>
  <c r="NT109" i="1"/>
  <c r="NS109" i="1"/>
  <c r="NT108" i="1"/>
  <c r="NS108" i="1"/>
  <c r="NT107" i="1"/>
  <c r="NS107" i="1"/>
  <c r="NS148" i="1" s="1"/>
  <c r="NT106" i="1"/>
  <c r="NV106" i="1" s="1"/>
  <c r="NS106" i="1"/>
  <c r="NT104" i="1"/>
  <c r="NS104" i="1"/>
  <c r="NT102" i="1"/>
  <c r="NS102" i="1"/>
  <c r="NT101" i="1"/>
  <c r="NS101" i="1"/>
  <c r="NV101" i="1" s="1"/>
  <c r="NT100" i="1"/>
  <c r="NT146" i="1" s="1"/>
  <c r="NS100" i="1"/>
  <c r="NT97" i="1"/>
  <c r="NS97" i="1"/>
  <c r="NT95" i="1"/>
  <c r="NS95" i="1"/>
  <c r="NT94" i="1"/>
  <c r="NS94" i="1"/>
  <c r="NV94" i="1" s="1"/>
  <c r="NT93" i="1"/>
  <c r="NS93" i="1"/>
  <c r="NT51" i="1"/>
  <c r="NS51" i="1"/>
  <c r="NT50" i="1"/>
  <c r="NS50" i="1"/>
  <c r="NT47" i="1"/>
  <c r="NS47" i="1"/>
  <c r="NS82" i="1" s="1"/>
  <c r="NT46" i="1"/>
  <c r="NW46" i="1" s="1"/>
  <c r="NS46" i="1"/>
  <c r="NT45" i="1"/>
  <c r="NS45" i="1"/>
  <c r="NT41" i="1"/>
  <c r="NS41" i="1"/>
  <c r="NT39" i="1"/>
  <c r="NS39" i="1"/>
  <c r="NS76" i="1" s="1"/>
  <c r="NT37" i="1"/>
  <c r="NW37" i="1" s="1"/>
  <c r="NS37" i="1"/>
  <c r="NT36" i="1"/>
  <c r="NS36" i="1"/>
  <c r="NT35" i="1"/>
  <c r="NS35" i="1"/>
  <c r="NT34" i="1"/>
  <c r="NS34" i="1"/>
  <c r="NV34" i="1" s="1"/>
  <c r="NT29" i="1"/>
  <c r="NT67" i="1" s="1"/>
  <c r="NS29" i="1"/>
  <c r="NT28" i="1"/>
  <c r="NS28" i="1"/>
  <c r="NT25" i="1"/>
  <c r="NS25" i="1"/>
  <c r="NT24" i="1"/>
  <c r="NS24" i="1"/>
  <c r="NT22" i="1"/>
  <c r="NW22" i="1" s="1"/>
  <c r="NS22" i="1"/>
  <c r="NT21" i="1"/>
  <c r="NS21" i="1"/>
  <c r="NS20" i="1"/>
  <c r="NT20" i="1"/>
  <c r="NT19" i="1"/>
  <c r="NS19" i="1"/>
  <c r="NV19" i="1" s="1"/>
  <c r="NT18" i="1"/>
  <c r="NS18" i="1"/>
  <c r="NT17" i="1"/>
  <c r="NS17" i="1"/>
  <c r="NT16" i="1"/>
  <c r="NS16" i="1"/>
  <c r="NT15" i="1"/>
  <c r="NS15" i="1"/>
  <c r="NT13" i="1"/>
  <c r="NT59" i="1" s="1"/>
  <c r="NS13" i="1"/>
  <c r="NT10" i="1"/>
  <c r="NS10" i="1"/>
  <c r="NT8" i="1"/>
  <c r="NS8" i="1"/>
  <c r="NT7" i="1"/>
  <c r="NS7" i="1"/>
  <c r="NV7" i="1" s="1"/>
  <c r="NT6" i="1"/>
  <c r="NT56" i="1" s="1"/>
  <c r="NS6" i="1"/>
  <c r="TH141" i="4"/>
  <c r="EC18" i="5" s="1"/>
  <c r="TG141" i="4"/>
  <c r="TG140" i="4"/>
  <c r="TG139" i="4"/>
  <c r="TG138" i="4"/>
  <c r="TG137" i="4"/>
  <c r="TG136" i="4"/>
  <c r="TH138" i="4" s="1"/>
  <c r="EC28" i="5" s="1"/>
  <c r="TG135" i="4"/>
  <c r="TG134" i="4"/>
  <c r="TG133" i="4"/>
  <c r="TG132" i="4"/>
  <c r="TG131" i="4"/>
  <c r="TG130" i="4"/>
  <c r="TH133" i="4" s="1"/>
  <c r="EC26" i="5" s="1"/>
  <c r="TH129" i="4"/>
  <c r="EC25" i="5" s="1"/>
  <c r="TG129" i="4"/>
  <c r="TG128" i="4"/>
  <c r="TG127" i="4"/>
  <c r="TG126" i="4"/>
  <c r="TG125" i="4"/>
  <c r="TG124" i="4"/>
  <c r="TH128" i="4" s="1"/>
  <c r="EC24" i="5" s="1"/>
  <c r="TG123" i="4"/>
  <c r="TH123" i="4" s="1"/>
  <c r="TG122" i="4"/>
  <c r="TH122" i="4" s="1"/>
  <c r="TG121" i="4"/>
  <c r="TH121" i="4" s="1"/>
  <c r="TG120" i="4"/>
  <c r="TH120" i="4" s="1"/>
  <c r="TH119" i="4"/>
  <c r="TG119" i="4"/>
  <c r="TG118" i="4"/>
  <c r="TH118" i="4" s="1"/>
  <c r="TG117" i="4"/>
  <c r="TH117" i="4" s="1"/>
  <c r="TG116" i="4"/>
  <c r="TG115" i="4"/>
  <c r="TG114" i="4"/>
  <c r="TG113" i="4"/>
  <c r="TH112" i="4"/>
  <c r="TG112" i="4"/>
  <c r="TG111" i="4"/>
  <c r="TG110" i="4"/>
  <c r="TG109" i="4"/>
  <c r="TG108" i="4"/>
  <c r="TH111" i="4" s="1"/>
  <c r="EC21" i="5" s="1"/>
  <c r="TG107" i="4"/>
  <c r="TG106" i="4"/>
  <c r="TG105" i="4"/>
  <c r="TG104" i="4"/>
  <c r="TH107" i="4" s="1"/>
  <c r="EC20" i="5" s="1"/>
  <c r="TG103" i="4"/>
  <c r="TH103" i="4" s="1"/>
  <c r="TG102" i="4"/>
  <c r="TH102" i="4" s="1"/>
  <c r="TG101" i="4"/>
  <c r="TH101" i="4" s="1"/>
  <c r="TG100" i="4"/>
  <c r="TH100" i="4" s="1"/>
  <c r="TH99" i="4"/>
  <c r="EC17" i="5" s="1"/>
  <c r="TG99" i="4"/>
  <c r="TH98" i="4"/>
  <c r="EC16" i="5" s="1"/>
  <c r="TG98" i="4"/>
  <c r="TG97" i="4"/>
  <c r="TG96" i="4"/>
  <c r="TG95" i="4"/>
  <c r="TG94" i="4"/>
  <c r="TG93" i="4"/>
  <c r="TG92" i="4"/>
  <c r="TG91" i="4"/>
  <c r="TG90" i="4"/>
  <c r="TG89" i="4"/>
  <c r="TG88" i="4"/>
  <c r="TG87" i="4"/>
  <c r="TG86" i="4"/>
  <c r="TG85" i="4"/>
  <c r="TG84" i="4"/>
  <c r="TG83" i="4"/>
  <c r="TH85" i="4" s="1"/>
  <c r="EC9" i="5" s="1"/>
  <c r="TG82" i="4"/>
  <c r="TG81" i="4"/>
  <c r="TG80" i="4"/>
  <c r="TG79" i="4"/>
  <c r="TH80" i="4" s="1"/>
  <c r="EC7" i="5" s="1"/>
  <c r="TH69" i="4"/>
  <c r="EB18" i="5" s="1"/>
  <c r="TG69" i="4"/>
  <c r="TG68" i="4"/>
  <c r="TG67" i="4"/>
  <c r="TG66" i="4"/>
  <c r="TG65" i="4"/>
  <c r="TG64" i="4"/>
  <c r="TH66" i="4" s="1"/>
  <c r="EB28" i="5" s="1"/>
  <c r="TG63" i="4"/>
  <c r="TG62" i="4"/>
  <c r="TG61" i="4"/>
  <c r="TG60" i="4"/>
  <c r="TG59" i="4"/>
  <c r="TG58" i="4"/>
  <c r="TH61" i="4" s="1"/>
  <c r="EB26" i="5" s="1"/>
  <c r="TH57" i="4"/>
  <c r="EB25" i="5" s="1"/>
  <c r="TG57" i="4"/>
  <c r="TG56" i="4"/>
  <c r="TG55" i="4"/>
  <c r="TG54" i="4"/>
  <c r="TG53" i="4"/>
  <c r="TG52" i="4"/>
  <c r="TG51" i="4"/>
  <c r="TH51" i="4" s="1"/>
  <c r="TG50" i="4"/>
  <c r="TH50" i="4" s="1"/>
  <c r="TG49" i="4"/>
  <c r="TH49" i="4" s="1"/>
  <c r="TG48" i="4"/>
  <c r="TH48" i="4" s="1"/>
  <c r="TG47" i="4"/>
  <c r="TH47" i="4" s="1"/>
  <c r="TG46" i="4"/>
  <c r="TH46" i="4" s="1"/>
  <c r="TG45" i="4"/>
  <c r="TH45" i="4" s="1"/>
  <c r="TG44" i="4"/>
  <c r="TG43" i="4"/>
  <c r="TG42" i="4"/>
  <c r="TG41" i="4"/>
  <c r="TH40" i="4"/>
  <c r="EB22" i="5" s="1"/>
  <c r="TG40" i="4"/>
  <c r="TG39" i="4"/>
  <c r="TG38" i="4"/>
  <c r="TG37" i="4"/>
  <c r="TG36" i="4"/>
  <c r="TH39" i="4" s="1"/>
  <c r="EB21" i="5" s="1"/>
  <c r="TG35" i="4"/>
  <c r="TG34" i="4"/>
  <c r="TG33" i="4"/>
  <c r="TG32" i="4"/>
  <c r="TH35" i="4" s="1"/>
  <c r="EB20" i="5" s="1"/>
  <c r="TG31" i="4"/>
  <c r="TH31" i="4" s="1"/>
  <c r="TG30" i="4"/>
  <c r="TH30" i="4" s="1"/>
  <c r="TG29" i="4"/>
  <c r="TH29" i="4" s="1"/>
  <c r="TG28" i="4"/>
  <c r="TH28" i="4" s="1"/>
  <c r="TH27" i="4"/>
  <c r="EB17" i="5" s="1"/>
  <c r="TG27" i="4"/>
  <c r="TH26" i="4"/>
  <c r="EB16" i="5" s="1"/>
  <c r="TG26" i="4"/>
  <c r="TG25" i="4"/>
  <c r="TG24" i="4"/>
  <c r="TG23" i="4"/>
  <c r="TG22" i="4"/>
  <c r="TG21" i="4"/>
  <c r="TG20" i="4"/>
  <c r="TG19" i="4"/>
  <c r="TG18" i="4"/>
  <c r="TG17" i="4"/>
  <c r="TG16" i="4"/>
  <c r="TH17" i="4" s="1"/>
  <c r="EB11" i="5" s="1"/>
  <c r="TG15" i="4"/>
  <c r="TG14" i="4"/>
  <c r="TG13" i="4"/>
  <c r="TG12" i="4"/>
  <c r="TG11" i="4"/>
  <c r="TG10" i="4"/>
  <c r="TG9" i="4"/>
  <c r="TG8" i="4"/>
  <c r="TG7" i="4"/>
  <c r="TH8" i="4" s="1"/>
  <c r="EB7" i="5" s="1"/>
  <c r="SZ141" i="4"/>
  <c r="EA18" i="5" s="1"/>
  <c r="SY141" i="4"/>
  <c r="SY140" i="4"/>
  <c r="SY139" i="4"/>
  <c r="SY138" i="4"/>
  <c r="SY137" i="4"/>
  <c r="SY136" i="4"/>
  <c r="SY135" i="4"/>
  <c r="SY134" i="4"/>
  <c r="SY133" i="4"/>
  <c r="SY132" i="4"/>
  <c r="SY131" i="4"/>
  <c r="SY130" i="4"/>
  <c r="SZ129" i="4"/>
  <c r="EA25" i="5" s="1"/>
  <c r="SY129" i="4"/>
  <c r="SY128" i="4"/>
  <c r="SY127" i="4"/>
  <c r="SY126" i="4"/>
  <c r="SY125" i="4"/>
  <c r="SY124" i="4"/>
  <c r="SY123" i="4"/>
  <c r="SZ123" i="4" s="1"/>
  <c r="SY122" i="4"/>
  <c r="SZ122" i="4" s="1"/>
  <c r="SY121" i="4"/>
  <c r="SZ121" i="4" s="1"/>
  <c r="SZ120" i="4"/>
  <c r="SY120" i="4"/>
  <c r="SY119" i="4"/>
  <c r="SZ119" i="4" s="1"/>
  <c r="SY118" i="4"/>
  <c r="SZ118" i="4" s="1"/>
  <c r="SY117" i="4"/>
  <c r="SZ117" i="4" s="1"/>
  <c r="SY116" i="4"/>
  <c r="SY115" i="4"/>
  <c r="SY114" i="4"/>
  <c r="SY113" i="4"/>
  <c r="SZ112" i="4"/>
  <c r="EA22" i="5" s="1"/>
  <c r="SY112" i="4"/>
  <c r="SY111" i="4"/>
  <c r="SY110" i="4"/>
  <c r="SY109" i="4"/>
  <c r="SY108" i="4"/>
  <c r="SY107" i="4"/>
  <c r="SY106" i="4"/>
  <c r="SY105" i="4"/>
  <c r="SY104" i="4"/>
  <c r="SZ107" i="4" s="1"/>
  <c r="EA20" i="5" s="1"/>
  <c r="SY103" i="4"/>
  <c r="SZ103" i="4" s="1"/>
  <c r="SY102" i="4"/>
  <c r="SZ102" i="4" s="1"/>
  <c r="SY101" i="4"/>
  <c r="SZ101" i="4" s="1"/>
  <c r="SY100" i="4"/>
  <c r="SZ100" i="4" s="1"/>
  <c r="SZ99" i="4"/>
  <c r="EA17" i="5" s="1"/>
  <c r="SY99" i="4"/>
  <c r="SZ98" i="4"/>
  <c r="EA16" i="5" s="1"/>
  <c r="SY98" i="4"/>
  <c r="SY97" i="4"/>
  <c r="SY96" i="4"/>
  <c r="SY95" i="4"/>
  <c r="SY94" i="4"/>
  <c r="SY93" i="4"/>
  <c r="SY92" i="4"/>
  <c r="SY91" i="4"/>
  <c r="SY90" i="4"/>
  <c r="SY89" i="4"/>
  <c r="SY88" i="4"/>
  <c r="SY87" i="4"/>
  <c r="SY86" i="4"/>
  <c r="SZ87" i="4" s="1"/>
  <c r="EA10" i="5" s="1"/>
  <c r="EA65" i="5" s="1"/>
  <c r="SY85" i="4"/>
  <c r="SY84" i="4"/>
  <c r="SY83" i="4"/>
  <c r="SY82" i="4"/>
  <c r="SY81" i="4"/>
  <c r="SY80" i="4"/>
  <c r="SY79" i="4"/>
  <c r="SZ69" i="4"/>
  <c r="DZ18" i="5" s="1"/>
  <c r="SY69" i="4"/>
  <c r="SY68" i="4"/>
  <c r="SY67" i="4"/>
  <c r="SY66" i="4"/>
  <c r="SY65" i="4"/>
  <c r="SY64" i="4"/>
  <c r="SY63" i="4"/>
  <c r="SY62" i="4"/>
  <c r="SZ63" i="4" s="1"/>
  <c r="SY61" i="4"/>
  <c r="SY60" i="4"/>
  <c r="SY59" i="4"/>
  <c r="SY58" i="4"/>
  <c r="SZ57" i="4"/>
  <c r="DZ25" i="5" s="1"/>
  <c r="SY57" i="4"/>
  <c r="SY56" i="4"/>
  <c r="SY55" i="4"/>
  <c r="SY54" i="4"/>
  <c r="SY53" i="4"/>
  <c r="SY52" i="4"/>
  <c r="SY51" i="4"/>
  <c r="SZ51" i="4" s="1"/>
  <c r="SZ50" i="4"/>
  <c r="SY50" i="4"/>
  <c r="SY49" i="4"/>
  <c r="SZ49" i="4" s="1"/>
  <c r="SY48" i="4"/>
  <c r="SZ48" i="4" s="1"/>
  <c r="SZ47" i="4"/>
  <c r="SY47" i="4"/>
  <c r="SY46" i="4"/>
  <c r="SZ46" i="4" s="1"/>
  <c r="SZ45" i="4"/>
  <c r="SY45" i="4"/>
  <c r="SY44" i="4"/>
  <c r="SY43" i="4"/>
  <c r="SZ44" i="4" s="1"/>
  <c r="DZ23" i="5" s="1"/>
  <c r="SY42" i="4"/>
  <c r="SY41" i="4"/>
  <c r="SZ40" i="4"/>
  <c r="DZ22" i="5" s="1"/>
  <c r="SY40" i="4"/>
  <c r="SY39" i="4"/>
  <c r="SZ39" i="4" s="1"/>
  <c r="DZ21" i="5" s="1"/>
  <c r="SY38" i="4"/>
  <c r="SY37" i="4"/>
  <c r="SY36" i="4"/>
  <c r="SY35" i="4"/>
  <c r="SY34" i="4"/>
  <c r="SY33" i="4"/>
  <c r="SY32" i="4"/>
  <c r="SZ35" i="4" s="1"/>
  <c r="DZ20" i="5" s="1"/>
  <c r="SY31" i="4"/>
  <c r="SZ31" i="4" s="1"/>
  <c r="SY30" i="4"/>
  <c r="SZ30" i="4" s="1"/>
  <c r="SY29" i="4"/>
  <c r="SZ29" i="4" s="1"/>
  <c r="SY28" i="4"/>
  <c r="SZ28" i="4" s="1"/>
  <c r="SZ27" i="4"/>
  <c r="DZ17" i="5" s="1"/>
  <c r="SY27" i="4"/>
  <c r="SZ26" i="4"/>
  <c r="DZ16" i="5" s="1"/>
  <c r="SY26" i="4"/>
  <c r="SY25" i="4"/>
  <c r="SY24" i="4"/>
  <c r="SY23" i="4"/>
  <c r="SY22" i="4"/>
  <c r="SY21" i="4"/>
  <c r="SY20" i="4"/>
  <c r="SY19" i="4"/>
  <c r="SY18" i="4"/>
  <c r="SY17" i="4"/>
  <c r="SY16" i="4"/>
  <c r="SY15" i="4"/>
  <c r="SY14" i="4"/>
  <c r="SY13" i="4"/>
  <c r="SY12" i="4"/>
  <c r="SY11" i="4"/>
  <c r="SY10" i="4"/>
  <c r="SY9" i="4"/>
  <c r="SY8" i="4"/>
  <c r="SY7" i="4"/>
  <c r="SR141" i="4"/>
  <c r="DY18" i="5" s="1"/>
  <c r="SQ141" i="4"/>
  <c r="SQ140" i="4"/>
  <c r="SQ139" i="4"/>
  <c r="SQ138" i="4"/>
  <c r="SQ137" i="4"/>
  <c r="SQ136" i="4"/>
  <c r="SQ135" i="4"/>
  <c r="SQ134" i="4"/>
  <c r="SQ133" i="4"/>
  <c r="SQ132" i="4"/>
  <c r="SQ131" i="4"/>
  <c r="SQ130" i="4"/>
  <c r="SR129" i="4"/>
  <c r="DY25" i="5" s="1"/>
  <c r="SQ129" i="4"/>
  <c r="SQ128" i="4"/>
  <c r="SQ127" i="4"/>
  <c r="SQ126" i="4"/>
  <c r="SQ125" i="4"/>
  <c r="SQ124" i="4"/>
  <c r="SR123" i="4"/>
  <c r="SQ123" i="4"/>
  <c r="SQ122" i="4"/>
  <c r="SR122" i="4" s="1"/>
  <c r="SQ121" i="4"/>
  <c r="SR121" i="4" s="1"/>
  <c r="SQ120" i="4"/>
  <c r="SR120" i="4" s="1"/>
  <c r="SR119" i="4"/>
  <c r="SQ119" i="4"/>
  <c r="SQ118" i="4"/>
  <c r="SR118" i="4" s="1"/>
  <c r="SR117" i="4"/>
  <c r="SQ117" i="4"/>
  <c r="SQ116" i="4"/>
  <c r="SQ115" i="4"/>
  <c r="SQ114" i="4"/>
  <c r="SQ113" i="4"/>
  <c r="SR112" i="4"/>
  <c r="DY22" i="5" s="1"/>
  <c r="SQ112" i="4"/>
  <c r="SQ111" i="4"/>
  <c r="SQ110" i="4"/>
  <c r="SQ109" i="4"/>
  <c r="SQ108" i="4"/>
  <c r="SQ107" i="4"/>
  <c r="SQ106" i="4"/>
  <c r="SQ105" i="4"/>
  <c r="SQ104" i="4"/>
  <c r="SQ103" i="4"/>
  <c r="SR103" i="4" s="1"/>
  <c r="SQ102" i="4"/>
  <c r="SR102" i="4" s="1"/>
  <c r="SQ101" i="4"/>
  <c r="SR101" i="4" s="1"/>
  <c r="SQ100" i="4"/>
  <c r="SR100" i="4" s="1"/>
  <c r="SR99" i="4"/>
  <c r="DY17" i="5" s="1"/>
  <c r="DY72" i="5" s="1"/>
  <c r="SQ99" i="4"/>
  <c r="SR98" i="4"/>
  <c r="DY16" i="5" s="1"/>
  <c r="SQ98" i="4"/>
  <c r="SQ97" i="4"/>
  <c r="SQ96" i="4"/>
  <c r="SQ95" i="4"/>
  <c r="SQ94" i="4"/>
  <c r="SQ93" i="4"/>
  <c r="SQ92" i="4"/>
  <c r="SQ91" i="4"/>
  <c r="SQ90" i="4"/>
  <c r="SQ89" i="4"/>
  <c r="SQ88" i="4"/>
  <c r="SQ87" i="4"/>
  <c r="SQ86" i="4"/>
  <c r="SQ85" i="4"/>
  <c r="SQ84" i="4"/>
  <c r="SQ83" i="4"/>
  <c r="SQ82" i="4"/>
  <c r="SQ81" i="4"/>
  <c r="SQ80" i="4"/>
  <c r="SQ79" i="4"/>
  <c r="SR69" i="4"/>
  <c r="DX18" i="5" s="1"/>
  <c r="SQ69" i="4"/>
  <c r="SQ68" i="4"/>
  <c r="SQ67" i="4"/>
  <c r="SR68" i="4" s="1"/>
  <c r="DX13" i="5" s="1"/>
  <c r="SQ66" i="4"/>
  <c r="SQ65" i="4"/>
  <c r="SQ64" i="4"/>
  <c r="SQ63" i="4"/>
  <c r="SQ62" i="4"/>
  <c r="SR63" i="4" s="1"/>
  <c r="DX27" i="5" s="1"/>
  <c r="SQ61" i="4"/>
  <c r="SQ60" i="4"/>
  <c r="SQ59" i="4"/>
  <c r="SQ58" i="4"/>
  <c r="SR57" i="4"/>
  <c r="DX25" i="5" s="1"/>
  <c r="SQ57" i="4"/>
  <c r="SQ56" i="4"/>
  <c r="SQ55" i="4"/>
  <c r="SQ54" i="4"/>
  <c r="SQ53" i="4"/>
  <c r="SQ52" i="4"/>
  <c r="SQ51" i="4"/>
  <c r="SR51" i="4" s="1"/>
  <c r="SQ50" i="4"/>
  <c r="SR50" i="4" s="1"/>
  <c r="SQ49" i="4"/>
  <c r="SR49" i="4" s="1"/>
  <c r="SQ48" i="4"/>
  <c r="SR48" i="4" s="1"/>
  <c r="SQ47" i="4"/>
  <c r="SR47" i="4" s="1"/>
  <c r="SQ46" i="4"/>
  <c r="SR46" i="4" s="1"/>
  <c r="SQ45" i="4"/>
  <c r="SR45" i="4" s="1"/>
  <c r="SQ44" i="4"/>
  <c r="SQ43" i="4"/>
  <c r="SQ42" i="4"/>
  <c r="SQ41" i="4"/>
  <c r="SR40" i="4"/>
  <c r="DX22" i="5" s="1"/>
  <c r="SQ40" i="4"/>
  <c r="SQ39" i="4"/>
  <c r="SQ38" i="4"/>
  <c r="SQ37" i="4"/>
  <c r="SQ36" i="4"/>
  <c r="SR39" i="4" s="1"/>
  <c r="SQ35" i="4"/>
  <c r="SQ34" i="4"/>
  <c r="SQ33" i="4"/>
  <c r="SQ32" i="4"/>
  <c r="SQ31" i="4"/>
  <c r="SR31" i="4" s="1"/>
  <c r="SQ30" i="4"/>
  <c r="SR30" i="4" s="1"/>
  <c r="SQ29" i="4"/>
  <c r="SR29" i="4" s="1"/>
  <c r="SQ28" i="4"/>
  <c r="SR28" i="4" s="1"/>
  <c r="SR27" i="4"/>
  <c r="DX17" i="5" s="1"/>
  <c r="SQ27" i="4"/>
  <c r="SR26" i="4"/>
  <c r="DX16" i="5" s="1"/>
  <c r="SQ26" i="4"/>
  <c r="SQ25" i="4"/>
  <c r="SQ24" i="4"/>
  <c r="SQ23" i="4"/>
  <c r="SQ22" i="4"/>
  <c r="SQ21" i="4"/>
  <c r="SQ20" i="4"/>
  <c r="SQ19" i="4"/>
  <c r="SQ18" i="4"/>
  <c r="SQ17" i="4"/>
  <c r="SQ16" i="4"/>
  <c r="SQ15" i="4"/>
  <c r="SQ14" i="4"/>
  <c r="SQ13" i="4"/>
  <c r="SQ12" i="4"/>
  <c r="SQ11" i="4"/>
  <c r="SQ10" i="4"/>
  <c r="SQ9" i="4"/>
  <c r="SQ8" i="4"/>
  <c r="SQ7" i="4"/>
  <c r="SR8" i="4" s="1"/>
  <c r="DX7" i="5" s="1"/>
  <c r="OG173" i="1"/>
  <c r="OF173" i="1"/>
  <c r="OE173" i="1"/>
  <c r="OG172" i="1"/>
  <c r="OF172" i="1"/>
  <c r="OE172" i="1"/>
  <c r="OG171" i="1"/>
  <c r="OF171" i="1"/>
  <c r="OE171" i="1"/>
  <c r="OG170" i="1"/>
  <c r="OF170" i="1"/>
  <c r="OE170" i="1"/>
  <c r="OG169" i="1"/>
  <c r="OF169" i="1"/>
  <c r="OE169" i="1"/>
  <c r="OG168" i="1"/>
  <c r="OF168" i="1"/>
  <c r="OG167" i="1"/>
  <c r="OF167" i="1"/>
  <c r="OE167" i="1"/>
  <c r="OG166" i="1"/>
  <c r="OF166" i="1"/>
  <c r="OE166" i="1"/>
  <c r="OG165" i="1"/>
  <c r="OF165" i="1"/>
  <c r="OE165" i="1"/>
  <c r="OG164" i="1"/>
  <c r="OF164" i="1"/>
  <c r="OE164" i="1"/>
  <c r="OG163" i="1"/>
  <c r="OF163" i="1"/>
  <c r="OE163" i="1"/>
  <c r="OG162" i="1"/>
  <c r="OF162" i="1"/>
  <c r="OE162" i="1"/>
  <c r="OH162" i="1" s="1"/>
  <c r="EC53" i="5" s="1"/>
  <c r="OG161" i="1"/>
  <c r="OF161" i="1"/>
  <c r="OE161" i="1"/>
  <c r="OH161" i="1" s="1"/>
  <c r="OG160" i="1"/>
  <c r="OF160" i="1"/>
  <c r="OE160" i="1"/>
  <c r="OG159" i="1"/>
  <c r="OF159" i="1"/>
  <c r="OG158" i="1"/>
  <c r="OF158" i="1"/>
  <c r="OE158" i="1"/>
  <c r="OG157" i="1"/>
  <c r="OF157" i="1"/>
  <c r="OE157" i="1"/>
  <c r="OG156" i="1"/>
  <c r="OF156" i="1"/>
  <c r="OG155" i="1"/>
  <c r="OF155" i="1"/>
  <c r="OI155" i="1" s="1"/>
  <c r="OE155" i="1"/>
  <c r="OG154" i="1"/>
  <c r="OF154" i="1"/>
  <c r="OE154" i="1"/>
  <c r="OG153" i="1"/>
  <c r="OF153" i="1"/>
  <c r="OE153" i="1"/>
  <c r="OG152" i="1"/>
  <c r="OF152" i="1"/>
  <c r="OE152" i="1"/>
  <c r="OG151" i="1"/>
  <c r="OF151" i="1"/>
  <c r="OE151" i="1"/>
  <c r="OG150" i="1"/>
  <c r="OF150" i="1"/>
  <c r="OE150" i="1"/>
  <c r="OG149" i="1"/>
  <c r="OG148" i="1"/>
  <c r="OF148" i="1"/>
  <c r="OG147" i="1"/>
  <c r="OF147" i="1"/>
  <c r="OE147" i="1"/>
  <c r="OG146" i="1"/>
  <c r="OG145" i="1"/>
  <c r="OF145" i="1"/>
  <c r="OE145" i="1"/>
  <c r="OG144" i="1"/>
  <c r="OF144" i="1"/>
  <c r="OE144" i="1"/>
  <c r="OG143" i="1"/>
  <c r="OF143" i="1"/>
  <c r="OE143" i="1"/>
  <c r="OI138" i="1"/>
  <c r="OH138" i="1"/>
  <c r="OI137" i="1"/>
  <c r="OH137" i="1"/>
  <c r="OI136" i="1"/>
  <c r="OH136" i="1"/>
  <c r="OI135" i="1"/>
  <c r="OH135" i="1"/>
  <c r="OI134" i="1"/>
  <c r="OH134" i="1"/>
  <c r="OI132" i="1"/>
  <c r="OH132" i="1"/>
  <c r="OI131" i="1"/>
  <c r="OH131" i="1"/>
  <c r="OI130" i="1"/>
  <c r="OH130" i="1"/>
  <c r="OI129" i="1"/>
  <c r="OH129" i="1"/>
  <c r="OI128" i="1"/>
  <c r="OH128" i="1"/>
  <c r="OI127" i="1"/>
  <c r="OH127" i="1"/>
  <c r="OI126" i="1"/>
  <c r="OH126" i="1"/>
  <c r="OI124" i="1"/>
  <c r="OH124" i="1"/>
  <c r="OI123" i="1"/>
  <c r="OH123" i="1"/>
  <c r="OI122" i="1"/>
  <c r="OH122" i="1"/>
  <c r="OI121" i="1"/>
  <c r="OH121" i="1"/>
  <c r="OI120" i="1"/>
  <c r="OH120" i="1"/>
  <c r="OI119" i="1"/>
  <c r="OH119" i="1"/>
  <c r="OI118" i="1"/>
  <c r="OI117" i="1"/>
  <c r="OH117" i="1"/>
  <c r="OI116" i="1"/>
  <c r="OH116" i="1"/>
  <c r="OI115" i="1"/>
  <c r="OH115" i="1"/>
  <c r="OI114" i="1"/>
  <c r="OH114" i="1"/>
  <c r="OI113" i="1"/>
  <c r="OH113" i="1"/>
  <c r="OI112" i="1"/>
  <c r="OH112" i="1"/>
  <c r="OI110" i="1"/>
  <c r="OH110" i="1"/>
  <c r="OI109" i="1"/>
  <c r="OH109" i="1"/>
  <c r="OI108" i="1"/>
  <c r="OH108" i="1"/>
  <c r="OI107" i="1"/>
  <c r="OH107" i="1"/>
  <c r="OI106" i="1"/>
  <c r="OH106" i="1"/>
  <c r="OI105" i="1"/>
  <c r="OI104" i="1"/>
  <c r="OH104" i="1"/>
  <c r="OI103" i="1"/>
  <c r="OH103" i="1"/>
  <c r="OI102" i="1"/>
  <c r="OH102" i="1"/>
  <c r="OI101" i="1"/>
  <c r="OH101" i="1"/>
  <c r="OI100" i="1"/>
  <c r="OH100" i="1"/>
  <c r="OI99" i="1"/>
  <c r="OH99" i="1"/>
  <c r="OI98" i="1"/>
  <c r="OH98" i="1"/>
  <c r="OI97" i="1"/>
  <c r="OH97" i="1"/>
  <c r="OI96" i="1"/>
  <c r="OH96" i="1"/>
  <c r="OI95" i="1"/>
  <c r="OH95" i="1"/>
  <c r="OI94" i="1"/>
  <c r="OH94" i="1"/>
  <c r="OI93" i="1"/>
  <c r="OH93" i="1"/>
  <c r="OG86" i="1"/>
  <c r="OF86" i="1"/>
  <c r="OG85" i="1"/>
  <c r="OF85" i="1"/>
  <c r="OE85" i="1"/>
  <c r="OG84" i="1"/>
  <c r="OF84" i="1"/>
  <c r="OE84" i="1"/>
  <c r="OH84" i="1" s="1"/>
  <c r="OG83" i="1"/>
  <c r="OF83" i="1"/>
  <c r="OE83" i="1"/>
  <c r="OG82" i="1"/>
  <c r="OF82" i="1"/>
  <c r="OE82" i="1"/>
  <c r="OG81" i="1"/>
  <c r="OF81" i="1"/>
  <c r="OE81" i="1"/>
  <c r="OG80" i="1"/>
  <c r="OF80" i="1"/>
  <c r="OE80" i="1"/>
  <c r="OG79" i="1"/>
  <c r="OF79" i="1"/>
  <c r="OE79" i="1"/>
  <c r="OH79" i="1" s="1"/>
  <c r="OG78" i="1"/>
  <c r="OF78" i="1"/>
  <c r="OI78" i="1" s="1"/>
  <c r="OE78" i="1"/>
  <c r="OG77" i="1"/>
  <c r="OF77" i="1"/>
  <c r="OE77" i="1"/>
  <c r="OG76" i="1"/>
  <c r="OF76" i="1"/>
  <c r="OE76" i="1"/>
  <c r="OG75" i="1"/>
  <c r="OG74" i="1"/>
  <c r="OF74" i="1"/>
  <c r="OE74" i="1"/>
  <c r="OG73" i="1"/>
  <c r="OF73" i="1"/>
  <c r="OE73" i="1"/>
  <c r="OG72" i="1"/>
  <c r="OF72" i="1"/>
  <c r="OE72" i="1"/>
  <c r="OG71" i="1"/>
  <c r="OF71" i="1"/>
  <c r="OE71" i="1"/>
  <c r="OG70" i="1"/>
  <c r="OF70" i="1"/>
  <c r="OH70" i="1" s="1"/>
  <c r="OE70" i="1"/>
  <c r="OG69" i="1"/>
  <c r="OF69" i="1"/>
  <c r="OE69" i="1"/>
  <c r="OG68" i="1"/>
  <c r="OF68" i="1"/>
  <c r="OE68" i="1"/>
  <c r="OG67" i="1"/>
  <c r="OF67" i="1"/>
  <c r="OE67" i="1"/>
  <c r="OG66" i="1"/>
  <c r="OI66" i="1" s="1"/>
  <c r="OF66" i="1"/>
  <c r="OE66" i="1"/>
  <c r="OG65" i="1"/>
  <c r="OF65" i="1"/>
  <c r="OE65" i="1"/>
  <c r="OG64" i="1"/>
  <c r="OF64" i="1"/>
  <c r="OE64" i="1"/>
  <c r="OH64" i="1" s="1"/>
  <c r="OG63" i="1"/>
  <c r="OF63" i="1"/>
  <c r="OE63" i="1"/>
  <c r="OG62" i="1"/>
  <c r="OF62" i="1"/>
  <c r="OE62" i="1"/>
  <c r="OG61" i="1"/>
  <c r="OG60" i="1"/>
  <c r="OF60" i="1"/>
  <c r="OE60" i="1"/>
  <c r="OG59" i="1"/>
  <c r="OF59" i="1"/>
  <c r="OE59" i="1"/>
  <c r="OG58" i="1"/>
  <c r="OG57" i="1"/>
  <c r="OF57" i="1"/>
  <c r="OE57" i="1"/>
  <c r="OG56" i="1"/>
  <c r="OF56" i="1"/>
  <c r="OE56" i="1"/>
  <c r="OI50" i="1"/>
  <c r="OH50" i="1"/>
  <c r="OI49" i="1"/>
  <c r="OH49" i="1"/>
  <c r="OI48" i="1"/>
  <c r="OH48" i="1"/>
  <c r="OI47" i="1"/>
  <c r="OH47" i="1"/>
  <c r="OI45" i="1"/>
  <c r="OH45" i="1"/>
  <c r="OI44" i="1"/>
  <c r="OH44" i="1"/>
  <c r="OI43" i="1"/>
  <c r="OH43" i="1"/>
  <c r="OI42" i="1"/>
  <c r="OH42" i="1"/>
  <c r="OI41" i="1"/>
  <c r="OH41" i="1"/>
  <c r="OI40" i="1"/>
  <c r="OH40" i="1"/>
  <c r="OI39" i="1"/>
  <c r="OH39" i="1"/>
  <c r="OI38" i="1"/>
  <c r="OH38" i="1"/>
  <c r="OI37" i="1"/>
  <c r="OI36" i="1"/>
  <c r="OH36" i="1"/>
  <c r="OI35" i="1"/>
  <c r="OH35" i="1"/>
  <c r="OI34" i="1"/>
  <c r="OH34" i="1"/>
  <c r="OI33" i="1"/>
  <c r="OH33" i="1"/>
  <c r="OI32" i="1"/>
  <c r="OH32" i="1"/>
  <c r="OI31" i="1"/>
  <c r="OH31" i="1"/>
  <c r="OI30" i="1"/>
  <c r="OH30" i="1"/>
  <c r="OI29" i="1"/>
  <c r="OH29" i="1"/>
  <c r="OI28" i="1"/>
  <c r="OH28" i="1"/>
  <c r="OI26" i="1"/>
  <c r="OH26" i="1"/>
  <c r="OI25" i="1"/>
  <c r="OH25" i="1"/>
  <c r="OI24" i="1"/>
  <c r="OH24" i="1"/>
  <c r="OI23" i="1"/>
  <c r="OH23" i="1"/>
  <c r="OI22" i="1"/>
  <c r="OH22" i="1"/>
  <c r="OI21" i="1"/>
  <c r="OH21" i="1"/>
  <c r="OI20" i="1"/>
  <c r="OH20" i="1"/>
  <c r="OI19" i="1"/>
  <c r="OH19" i="1"/>
  <c r="OI17" i="1"/>
  <c r="OH17" i="1"/>
  <c r="OI16" i="1"/>
  <c r="OH16" i="1"/>
  <c r="OI15" i="1"/>
  <c r="OH15" i="1"/>
  <c r="OI14" i="1"/>
  <c r="OH14" i="1"/>
  <c r="OI13" i="1"/>
  <c r="OH13" i="1"/>
  <c r="OI12" i="1"/>
  <c r="OH12" i="1"/>
  <c r="OI11" i="1"/>
  <c r="OH11" i="1"/>
  <c r="OI9" i="1"/>
  <c r="OH9" i="1"/>
  <c r="OI8" i="1"/>
  <c r="OH8" i="1"/>
  <c r="OI7" i="1"/>
  <c r="OH7" i="1"/>
  <c r="OI6" i="1"/>
  <c r="OH6" i="1"/>
  <c r="OA173" i="1"/>
  <c r="NZ173" i="1"/>
  <c r="NY173" i="1"/>
  <c r="OA172" i="1"/>
  <c r="OA171" i="1"/>
  <c r="NZ171" i="1"/>
  <c r="NY171" i="1"/>
  <c r="OB171" i="1" s="1"/>
  <c r="OA170" i="1"/>
  <c r="NZ170" i="1"/>
  <c r="NY170" i="1"/>
  <c r="OA169" i="1"/>
  <c r="NZ169" i="1"/>
  <c r="NY169" i="1"/>
  <c r="OA168" i="1"/>
  <c r="NZ168" i="1"/>
  <c r="NY168" i="1"/>
  <c r="OA167" i="1"/>
  <c r="OA166" i="1"/>
  <c r="NZ166" i="1"/>
  <c r="NY166" i="1"/>
  <c r="OA165" i="1"/>
  <c r="NZ165" i="1"/>
  <c r="NY165" i="1"/>
  <c r="OB165" i="1" s="1"/>
  <c r="OA164" i="1"/>
  <c r="NZ164" i="1"/>
  <c r="NY164" i="1"/>
  <c r="OA163" i="1"/>
  <c r="NZ163" i="1"/>
  <c r="NY163" i="1"/>
  <c r="OA162" i="1"/>
  <c r="NZ162" i="1"/>
  <c r="OA161" i="1"/>
  <c r="NZ161" i="1"/>
  <c r="NY161" i="1"/>
  <c r="OA160" i="1"/>
  <c r="NZ160" i="1"/>
  <c r="NY160" i="1"/>
  <c r="OA159" i="1"/>
  <c r="NZ159" i="1"/>
  <c r="OC159" i="1" s="1"/>
  <c r="NY159" i="1"/>
  <c r="OB159" i="1" s="1"/>
  <c r="EA50" i="5" s="1"/>
  <c r="OA158" i="1"/>
  <c r="NZ158" i="1"/>
  <c r="NY158" i="1"/>
  <c r="OA157" i="1"/>
  <c r="NZ157" i="1"/>
  <c r="OC157" i="1" s="1"/>
  <c r="NY157" i="1"/>
  <c r="OA156" i="1"/>
  <c r="NZ156" i="1"/>
  <c r="OA155" i="1"/>
  <c r="NZ155" i="1"/>
  <c r="NY155" i="1"/>
  <c r="OB155" i="1" s="1"/>
  <c r="OA154" i="1"/>
  <c r="NZ154" i="1"/>
  <c r="NY154" i="1"/>
  <c r="OA153" i="1"/>
  <c r="OA152" i="1"/>
  <c r="NZ152" i="1"/>
  <c r="OA151" i="1"/>
  <c r="NZ151" i="1"/>
  <c r="NY151" i="1"/>
  <c r="OA150" i="1"/>
  <c r="NZ150" i="1"/>
  <c r="NY150" i="1"/>
  <c r="OA149" i="1"/>
  <c r="OA148" i="1"/>
  <c r="NZ148" i="1"/>
  <c r="NY148" i="1"/>
  <c r="OA147" i="1"/>
  <c r="NZ147" i="1"/>
  <c r="NY147" i="1"/>
  <c r="OA146" i="1"/>
  <c r="NZ146" i="1"/>
  <c r="NY146" i="1"/>
  <c r="OA145" i="1"/>
  <c r="NZ145" i="1"/>
  <c r="NY145" i="1"/>
  <c r="OA144" i="1"/>
  <c r="OA143" i="1"/>
  <c r="NZ143" i="1"/>
  <c r="NY143" i="1"/>
  <c r="OC138" i="1"/>
  <c r="OB138" i="1"/>
  <c r="OC136" i="1"/>
  <c r="OB136" i="1"/>
  <c r="OC135" i="1"/>
  <c r="OB135" i="1"/>
  <c r="OC134" i="1"/>
  <c r="OB134" i="1"/>
  <c r="OC133" i="1"/>
  <c r="OB133" i="1"/>
  <c r="OC131" i="1"/>
  <c r="OB131" i="1"/>
  <c r="OC130" i="1"/>
  <c r="OB130" i="1"/>
  <c r="OC129" i="1"/>
  <c r="OB129" i="1"/>
  <c r="OC128" i="1"/>
  <c r="OB128" i="1"/>
  <c r="OC127" i="1"/>
  <c r="OB127" i="1"/>
  <c r="OC126" i="1"/>
  <c r="OB126" i="1"/>
  <c r="OC125" i="1"/>
  <c r="OB125" i="1"/>
  <c r="OC124" i="1"/>
  <c r="OB124" i="1"/>
  <c r="OC123" i="1"/>
  <c r="OB123" i="1"/>
  <c r="OC121" i="1"/>
  <c r="OB121" i="1"/>
  <c r="OC120" i="1"/>
  <c r="OB120" i="1"/>
  <c r="OC119" i="1"/>
  <c r="OB119" i="1"/>
  <c r="OC118" i="1"/>
  <c r="OB118" i="1"/>
  <c r="OC117" i="1"/>
  <c r="OB117" i="1"/>
  <c r="OC116" i="1"/>
  <c r="OB116" i="1"/>
  <c r="OC115" i="1"/>
  <c r="OB115" i="1"/>
  <c r="OC114" i="1"/>
  <c r="OC113" i="1"/>
  <c r="OB113" i="1"/>
  <c r="OC112" i="1"/>
  <c r="OB112" i="1"/>
  <c r="OC111" i="1"/>
  <c r="OB111" i="1"/>
  <c r="OC110" i="1"/>
  <c r="OB110" i="1"/>
  <c r="OC108" i="1"/>
  <c r="OB108" i="1"/>
  <c r="OC107" i="1"/>
  <c r="OB107" i="1"/>
  <c r="OC106" i="1"/>
  <c r="OB106" i="1"/>
  <c r="OC105" i="1"/>
  <c r="OB105" i="1"/>
  <c r="OC104" i="1"/>
  <c r="OB104" i="1"/>
  <c r="OC103" i="1"/>
  <c r="OB103" i="1"/>
  <c r="OC102" i="1"/>
  <c r="OB102" i="1"/>
  <c r="OC101" i="1"/>
  <c r="OB101" i="1"/>
  <c r="OC100" i="1"/>
  <c r="OB100" i="1"/>
  <c r="OC99" i="1"/>
  <c r="OB99" i="1"/>
  <c r="OC98" i="1"/>
  <c r="OB98" i="1"/>
  <c r="OC97" i="1"/>
  <c r="OB97" i="1"/>
  <c r="OC96" i="1"/>
  <c r="OB96" i="1"/>
  <c r="OC94" i="1"/>
  <c r="OB94" i="1"/>
  <c r="OC93" i="1"/>
  <c r="OB93" i="1"/>
  <c r="OA86" i="1"/>
  <c r="NZ86" i="1"/>
  <c r="NY86" i="1"/>
  <c r="OA85" i="1"/>
  <c r="NZ85" i="1"/>
  <c r="NY85" i="1"/>
  <c r="OA84" i="1"/>
  <c r="NZ84" i="1"/>
  <c r="NY84" i="1"/>
  <c r="OA83" i="1"/>
  <c r="NZ83" i="1"/>
  <c r="NY83" i="1"/>
  <c r="OA82" i="1"/>
  <c r="NZ82" i="1"/>
  <c r="NY82" i="1"/>
  <c r="OA81" i="1"/>
  <c r="NY81" i="1"/>
  <c r="OA80" i="1"/>
  <c r="NY80" i="1"/>
  <c r="OA79" i="1"/>
  <c r="NZ79" i="1"/>
  <c r="NY79" i="1"/>
  <c r="OA78" i="1"/>
  <c r="NZ78" i="1"/>
  <c r="NY78" i="1"/>
  <c r="OA77" i="1"/>
  <c r="NZ77" i="1"/>
  <c r="OA76" i="1"/>
  <c r="NZ76" i="1"/>
  <c r="OC76" i="1" s="1"/>
  <c r="NY76" i="1"/>
  <c r="OA75" i="1"/>
  <c r="NZ75" i="1"/>
  <c r="NY75" i="1"/>
  <c r="OA74" i="1"/>
  <c r="NZ74" i="1"/>
  <c r="NY74" i="1"/>
  <c r="OA73" i="1"/>
  <c r="NZ73" i="1"/>
  <c r="NY73" i="1"/>
  <c r="OA72" i="1"/>
  <c r="NZ72" i="1"/>
  <c r="OA71" i="1"/>
  <c r="NZ71" i="1"/>
  <c r="NY71" i="1"/>
  <c r="OA70" i="1"/>
  <c r="NZ70" i="1"/>
  <c r="NY70" i="1"/>
  <c r="OA69" i="1"/>
  <c r="NZ69" i="1"/>
  <c r="OC69" i="1" s="1"/>
  <c r="NY69" i="1"/>
  <c r="NY68" i="1"/>
  <c r="OA66" i="1"/>
  <c r="NZ66" i="1"/>
  <c r="OA65" i="1"/>
  <c r="NZ65" i="1"/>
  <c r="NY65" i="1"/>
  <c r="OA64" i="1"/>
  <c r="NZ64" i="1"/>
  <c r="OC64" i="1" s="1"/>
  <c r="NY64" i="1"/>
  <c r="OA63" i="1"/>
  <c r="NZ63" i="1"/>
  <c r="NY63" i="1"/>
  <c r="OB63" i="1" s="1"/>
  <c r="DZ43" i="5" s="1"/>
  <c r="DZ71" i="5" s="1"/>
  <c r="OA62" i="1"/>
  <c r="OA61" i="1"/>
  <c r="OA60" i="1"/>
  <c r="NZ60" i="1"/>
  <c r="NY60" i="1"/>
  <c r="OA59" i="1"/>
  <c r="NZ59" i="1"/>
  <c r="NY59" i="1"/>
  <c r="OA58" i="1"/>
  <c r="NZ58" i="1"/>
  <c r="NY58" i="1"/>
  <c r="OA57" i="1"/>
  <c r="OA56" i="1"/>
  <c r="NZ56" i="1"/>
  <c r="OC51" i="1"/>
  <c r="OB51" i="1"/>
  <c r="OC50" i="1"/>
  <c r="OB50" i="1"/>
  <c r="OC49" i="1"/>
  <c r="OB49" i="1"/>
  <c r="OC48" i="1"/>
  <c r="OB48" i="1"/>
  <c r="OC47" i="1"/>
  <c r="OB47" i="1"/>
  <c r="OC44" i="1"/>
  <c r="OB44" i="1"/>
  <c r="OC43" i="1"/>
  <c r="OB43" i="1"/>
  <c r="OC42" i="1"/>
  <c r="OB42" i="1"/>
  <c r="OC41" i="1"/>
  <c r="OB41" i="1"/>
  <c r="OC40" i="1"/>
  <c r="OB40" i="1"/>
  <c r="OC39" i="1"/>
  <c r="OB39" i="1"/>
  <c r="OC38" i="1"/>
  <c r="OB38" i="1"/>
  <c r="OC37" i="1"/>
  <c r="OB37" i="1"/>
  <c r="OC36" i="1"/>
  <c r="OB36" i="1"/>
  <c r="OC35" i="1"/>
  <c r="OB35" i="1"/>
  <c r="OC33" i="1"/>
  <c r="OB33" i="1"/>
  <c r="OC32" i="1"/>
  <c r="OB32" i="1"/>
  <c r="OC31" i="1"/>
  <c r="OB31" i="1"/>
  <c r="OC28" i="1"/>
  <c r="OC27" i="1"/>
  <c r="OB27" i="1"/>
  <c r="OC26" i="1"/>
  <c r="OB26" i="1"/>
  <c r="OC25" i="1"/>
  <c r="OB25" i="1"/>
  <c r="OC23" i="1"/>
  <c r="OB23" i="1"/>
  <c r="OC22" i="1"/>
  <c r="OB22" i="1"/>
  <c r="OC19" i="1"/>
  <c r="OC18" i="1"/>
  <c r="OB18" i="1"/>
  <c r="OC16" i="1"/>
  <c r="OB16" i="1"/>
  <c r="OC15" i="1"/>
  <c r="OB15" i="1"/>
  <c r="OC14" i="1"/>
  <c r="OB14" i="1"/>
  <c r="OC13" i="1"/>
  <c r="OB13" i="1"/>
  <c r="OC12" i="1"/>
  <c r="OB12" i="1"/>
  <c r="OC11" i="1"/>
  <c r="OB11" i="1"/>
  <c r="OC10" i="1"/>
  <c r="OB10" i="1"/>
  <c r="OC9" i="1"/>
  <c r="OB9" i="1"/>
  <c r="OC7" i="1"/>
  <c r="OB7" i="1"/>
  <c r="OC6" i="1"/>
  <c r="NU173" i="1"/>
  <c r="NT173" i="1"/>
  <c r="NS173" i="1"/>
  <c r="NU172" i="1"/>
  <c r="NS172" i="1"/>
  <c r="NU171" i="1"/>
  <c r="NT171" i="1"/>
  <c r="NS171" i="1"/>
  <c r="NU170" i="1"/>
  <c r="NT170" i="1"/>
  <c r="NS170" i="1"/>
  <c r="NU169" i="1"/>
  <c r="NT169" i="1"/>
  <c r="NU168" i="1"/>
  <c r="NS168" i="1"/>
  <c r="NU167" i="1"/>
  <c r="NU166" i="1"/>
  <c r="NT166" i="1"/>
  <c r="NS166" i="1"/>
  <c r="NU165" i="1"/>
  <c r="NT165" i="1"/>
  <c r="NS165" i="1"/>
  <c r="NU164" i="1"/>
  <c r="NS164" i="1"/>
  <c r="NU163" i="1"/>
  <c r="NT163" i="1"/>
  <c r="NS163" i="1"/>
  <c r="NU162" i="1"/>
  <c r="NS162" i="1"/>
  <c r="NU161" i="1"/>
  <c r="NT161" i="1"/>
  <c r="NS161" i="1"/>
  <c r="NU160" i="1"/>
  <c r="NS160" i="1"/>
  <c r="NU159" i="1"/>
  <c r="NU158" i="1"/>
  <c r="NT158" i="1"/>
  <c r="NS158" i="1"/>
  <c r="NV158" i="1" s="1"/>
  <c r="NU157" i="1"/>
  <c r="NT157" i="1"/>
  <c r="NS157" i="1"/>
  <c r="NU156" i="1"/>
  <c r="NT156" i="1"/>
  <c r="NS156" i="1"/>
  <c r="NV156" i="1" s="1"/>
  <c r="NU155" i="1"/>
  <c r="NT155" i="1"/>
  <c r="NS155" i="1"/>
  <c r="NV155" i="1" s="1"/>
  <c r="NU154" i="1"/>
  <c r="NU153" i="1"/>
  <c r="NU152" i="1"/>
  <c r="NS152" i="1"/>
  <c r="NU151" i="1"/>
  <c r="NT151" i="1"/>
  <c r="NS151" i="1"/>
  <c r="NU150" i="1"/>
  <c r="NU149" i="1"/>
  <c r="NU148" i="1"/>
  <c r="NU147" i="1"/>
  <c r="NU146" i="1"/>
  <c r="NU145" i="1"/>
  <c r="NU144" i="1"/>
  <c r="NS144" i="1"/>
  <c r="NU143" i="1"/>
  <c r="NW138" i="1"/>
  <c r="NV138" i="1"/>
  <c r="NW136" i="1"/>
  <c r="NV136" i="1"/>
  <c r="NW135" i="1"/>
  <c r="NV135" i="1"/>
  <c r="NW134" i="1"/>
  <c r="NS169" i="1"/>
  <c r="NV169" i="1" s="1"/>
  <c r="NS167" i="1"/>
  <c r="NW131" i="1"/>
  <c r="NV131" i="1"/>
  <c r="NW130" i="1"/>
  <c r="NV130" i="1"/>
  <c r="NW128" i="1"/>
  <c r="NV128" i="1"/>
  <c r="NW127" i="1"/>
  <c r="NV127" i="1"/>
  <c r="NW126" i="1"/>
  <c r="NV126" i="1"/>
  <c r="NW125" i="1"/>
  <c r="NV125" i="1"/>
  <c r="NW123" i="1"/>
  <c r="NV123" i="1"/>
  <c r="NT159" i="1"/>
  <c r="NW120" i="1"/>
  <c r="NV120" i="1"/>
  <c r="NW119" i="1"/>
  <c r="NV119" i="1"/>
  <c r="NW118" i="1"/>
  <c r="NV118" i="1"/>
  <c r="NW117" i="1"/>
  <c r="NV117" i="1"/>
  <c r="NV116" i="1"/>
  <c r="NW115" i="1"/>
  <c r="NT153" i="1"/>
  <c r="NW153" i="1" s="1"/>
  <c r="NV115" i="1"/>
  <c r="NW113" i="1"/>
  <c r="NV113" i="1"/>
  <c r="NV111" i="1"/>
  <c r="NW110" i="1"/>
  <c r="NV110" i="1"/>
  <c r="NW109" i="1"/>
  <c r="NS149" i="1"/>
  <c r="NW108" i="1"/>
  <c r="NV108" i="1"/>
  <c r="NW107" i="1"/>
  <c r="NV107" i="1"/>
  <c r="NW106" i="1"/>
  <c r="NW104" i="1"/>
  <c r="NW103" i="1"/>
  <c r="NV103" i="1"/>
  <c r="NT147" i="1"/>
  <c r="NS147" i="1"/>
  <c r="NW101" i="1"/>
  <c r="NW99" i="1"/>
  <c r="NV99" i="1"/>
  <c r="NW98" i="1"/>
  <c r="NV98" i="1"/>
  <c r="NS145" i="1"/>
  <c r="NW96" i="1"/>
  <c r="NV96" i="1"/>
  <c r="NW94" i="1"/>
  <c r="NU86" i="1"/>
  <c r="NT86" i="1"/>
  <c r="NS86" i="1"/>
  <c r="NU85" i="1"/>
  <c r="NT85" i="1"/>
  <c r="NS85" i="1"/>
  <c r="NU84" i="1"/>
  <c r="NT84" i="1"/>
  <c r="NS84" i="1"/>
  <c r="NU83" i="1"/>
  <c r="NT83" i="1"/>
  <c r="NS83" i="1"/>
  <c r="NU82" i="1"/>
  <c r="NU81" i="1"/>
  <c r="NU80" i="1"/>
  <c r="NU79" i="1"/>
  <c r="NT79" i="1"/>
  <c r="NS79" i="1"/>
  <c r="NU78" i="1"/>
  <c r="NT78" i="1"/>
  <c r="NS78" i="1"/>
  <c r="NU77" i="1"/>
  <c r="NU76" i="1"/>
  <c r="NT76" i="1"/>
  <c r="NU75" i="1"/>
  <c r="NT75" i="1"/>
  <c r="NU74" i="1"/>
  <c r="NU73" i="1"/>
  <c r="NT73" i="1"/>
  <c r="NS73" i="1"/>
  <c r="NU72" i="1"/>
  <c r="NU71" i="1"/>
  <c r="NT71" i="1"/>
  <c r="NS71" i="1"/>
  <c r="NU70" i="1"/>
  <c r="NT70" i="1"/>
  <c r="NS70" i="1"/>
  <c r="NU69" i="1"/>
  <c r="NT69" i="1"/>
  <c r="NS69" i="1"/>
  <c r="NU68" i="1"/>
  <c r="NT68" i="1"/>
  <c r="NS68" i="1"/>
  <c r="NV68" i="1" s="1"/>
  <c r="NS67" i="1"/>
  <c r="NU66" i="1"/>
  <c r="NU65" i="1"/>
  <c r="NU64" i="1"/>
  <c r="NT64" i="1"/>
  <c r="NS64" i="1"/>
  <c r="NU63" i="1"/>
  <c r="NT63" i="1"/>
  <c r="NU62" i="1"/>
  <c r="NU61" i="1"/>
  <c r="NU60" i="1"/>
  <c r="NU59" i="1"/>
  <c r="NU58" i="1"/>
  <c r="NU57" i="1"/>
  <c r="NT57" i="1"/>
  <c r="NU56" i="1"/>
  <c r="NW51" i="1"/>
  <c r="NV51" i="1"/>
  <c r="NW50" i="1"/>
  <c r="NV50" i="1"/>
  <c r="NW49" i="1"/>
  <c r="NV49" i="1"/>
  <c r="NW48" i="1"/>
  <c r="NV48" i="1"/>
  <c r="NT82" i="1"/>
  <c r="NV46" i="1"/>
  <c r="NS81" i="1"/>
  <c r="NW45" i="1"/>
  <c r="NV45" i="1"/>
  <c r="NW44" i="1"/>
  <c r="NV44" i="1"/>
  <c r="NW43" i="1"/>
  <c r="NV43" i="1"/>
  <c r="NW42" i="1"/>
  <c r="NV42" i="1"/>
  <c r="NW41" i="1"/>
  <c r="NV41" i="1"/>
  <c r="NT77" i="1"/>
  <c r="NW39" i="1"/>
  <c r="NW38" i="1"/>
  <c r="NV38" i="1"/>
  <c r="NS75" i="1"/>
  <c r="NT74" i="1"/>
  <c r="NV36" i="1"/>
  <c r="NW35" i="1"/>
  <c r="NV35" i="1"/>
  <c r="NW34" i="1"/>
  <c r="NT72" i="1"/>
  <c r="NW33" i="1"/>
  <c r="NV33" i="1"/>
  <c r="NW32" i="1"/>
  <c r="NV32" i="1"/>
  <c r="NW31" i="1"/>
  <c r="NV31" i="1"/>
  <c r="NW30" i="1"/>
  <c r="NV30" i="1"/>
  <c r="NT66" i="1"/>
  <c r="NW27" i="1"/>
  <c r="NT65" i="1"/>
  <c r="NV27" i="1"/>
  <c r="NW26" i="1"/>
  <c r="NV26" i="1"/>
  <c r="NW25" i="1"/>
  <c r="NS63" i="1"/>
  <c r="NW24" i="1"/>
  <c r="NV24" i="1"/>
  <c r="NT62" i="1"/>
  <c r="NV23" i="1"/>
  <c r="NW21" i="1"/>
  <c r="NV21" i="1"/>
  <c r="NW20" i="1"/>
  <c r="NV20" i="1"/>
  <c r="NW19" i="1"/>
  <c r="NW18" i="1"/>
  <c r="NW17" i="1"/>
  <c r="NV17" i="1"/>
  <c r="NW16" i="1"/>
  <c r="NW15" i="1"/>
  <c r="NT60" i="1"/>
  <c r="NW14" i="1"/>
  <c r="NV14" i="1"/>
  <c r="NW13" i="1"/>
  <c r="NW12" i="1"/>
  <c r="NV12" i="1"/>
  <c r="NW11" i="1"/>
  <c r="NV11" i="1"/>
  <c r="NT58" i="1"/>
  <c r="NW9" i="1"/>
  <c r="NV9" i="1"/>
  <c r="NW8" i="1"/>
  <c r="NW7" i="1"/>
  <c r="Y20" i="36" l="1"/>
  <c r="OC168" i="1"/>
  <c r="SZ66" i="4"/>
  <c r="DZ28" i="5" s="1"/>
  <c r="NZ80" i="1"/>
  <c r="NV39" i="1"/>
  <c r="NS72" i="1"/>
  <c r="NV72" i="1" s="1"/>
  <c r="DX50" i="5" s="1"/>
  <c r="OB28" i="1"/>
  <c r="OB46" i="1"/>
  <c r="NY67" i="1"/>
  <c r="OC95" i="1"/>
  <c r="OC132" i="1"/>
  <c r="NY144" i="1"/>
  <c r="NZ149" i="1"/>
  <c r="OC160" i="1"/>
  <c r="OI10" i="1"/>
  <c r="OI18" i="1"/>
  <c r="OI84" i="1"/>
  <c r="TH15" i="4"/>
  <c r="EB10" i="5" s="1"/>
  <c r="DX21" i="5"/>
  <c r="DX20" i="5"/>
  <c r="NZ57" i="1"/>
  <c r="NW6" i="1"/>
  <c r="NV63" i="1"/>
  <c r="DX43" i="5" s="1"/>
  <c r="NU67" i="1"/>
  <c r="NS143" i="1"/>
  <c r="OC46" i="1"/>
  <c r="NZ67" i="1"/>
  <c r="OB137" i="1"/>
  <c r="OH51" i="1"/>
  <c r="OE58" i="1"/>
  <c r="OH58" i="1" s="1"/>
  <c r="EB36" i="5" s="1"/>
  <c r="OH118" i="1"/>
  <c r="DZ72" i="5"/>
  <c r="SZ128" i="4"/>
  <c r="EA24" i="5" s="1"/>
  <c r="OI146" i="1"/>
  <c r="EC171" i="5"/>
  <c r="EC156" i="5"/>
  <c r="OH18" i="1"/>
  <c r="NV29" i="1"/>
  <c r="NV70" i="1"/>
  <c r="OB6" i="1"/>
  <c r="OA67" i="1"/>
  <c r="OC137" i="1"/>
  <c r="OC144" i="1"/>
  <c r="NY167" i="1"/>
  <c r="SZ15" i="4"/>
  <c r="DZ10" i="5" s="1"/>
  <c r="EA72" i="5"/>
  <c r="TH68" i="4"/>
  <c r="EB13" i="5" s="1"/>
  <c r="Y163" i="36"/>
  <c r="Y172" i="36"/>
  <c r="Y167" i="36" s="1"/>
  <c r="NY149" i="1"/>
  <c r="OH111" i="1"/>
  <c r="EC81" i="5"/>
  <c r="Y18" i="36"/>
  <c r="Y51" i="36"/>
  <c r="DX77" i="5"/>
  <c r="SZ116" i="4"/>
  <c r="EA23" i="5" s="1"/>
  <c r="NY62" i="1"/>
  <c r="Y154" i="36"/>
  <c r="NT81" i="1"/>
  <c r="NW81" i="1" s="1"/>
  <c r="NS146" i="1"/>
  <c r="NV146" i="1" s="1"/>
  <c r="DY37" i="5" s="1"/>
  <c r="NV13" i="1"/>
  <c r="NV37" i="1"/>
  <c r="OB21" i="1"/>
  <c r="OB30" i="1"/>
  <c r="NZ68" i="1"/>
  <c r="OE75" i="1"/>
  <c r="OI111" i="1"/>
  <c r="TH10" i="4"/>
  <c r="EB8" i="5" s="1"/>
  <c r="TH116" i="4"/>
  <c r="EC23" i="5" s="1"/>
  <c r="EC19" i="5" s="1"/>
  <c r="NZ61" i="1"/>
  <c r="OC61" i="1" s="1"/>
  <c r="OH133" i="1"/>
  <c r="NW29" i="1"/>
  <c r="OC30" i="1"/>
  <c r="OC71" i="1"/>
  <c r="OC82" i="1"/>
  <c r="OB143" i="1"/>
  <c r="EA34" i="5" s="1"/>
  <c r="OI157" i="1"/>
  <c r="Y19" i="36"/>
  <c r="Y75" i="36" s="1"/>
  <c r="DX72" i="5"/>
  <c r="SR89" i="4"/>
  <c r="DY11" i="5" s="1"/>
  <c r="SZ111" i="4"/>
  <c r="EA21" i="5" s="1"/>
  <c r="TH63" i="4"/>
  <c r="EB27" i="5" s="1"/>
  <c r="TH87" i="4"/>
  <c r="EC10" i="5" s="1"/>
  <c r="TH135" i="4"/>
  <c r="EC27" i="5" s="1"/>
  <c r="NV22" i="1"/>
  <c r="NW132" i="1"/>
  <c r="NY61" i="1"/>
  <c r="EC148" i="5"/>
  <c r="EB161" i="5"/>
  <c r="EB156" i="5"/>
  <c r="EB171" i="5"/>
  <c r="EB148" i="5"/>
  <c r="EA161" i="5"/>
  <c r="EA148" i="5"/>
  <c r="EA171" i="5"/>
  <c r="DZ156" i="5"/>
  <c r="DZ171" i="5"/>
  <c r="DZ148" i="5"/>
  <c r="DY161" i="5"/>
  <c r="DY171" i="5"/>
  <c r="DY148" i="5"/>
  <c r="DX161" i="5"/>
  <c r="DX148" i="5"/>
  <c r="DX171" i="5"/>
  <c r="Y177" i="36" s="1"/>
  <c r="C16" i="9" s="1"/>
  <c r="DZ19" i="5"/>
  <c r="OI173" i="1"/>
  <c r="OH172" i="1"/>
  <c r="EC40" i="5" s="1"/>
  <c r="OH164" i="1"/>
  <c r="EC55" i="5" s="1"/>
  <c r="OI159" i="1"/>
  <c r="OH159" i="1"/>
  <c r="EC50" i="5" s="1"/>
  <c r="OI153" i="1"/>
  <c r="OH152" i="1"/>
  <c r="OE148" i="1"/>
  <c r="OI147" i="1"/>
  <c r="OH146" i="1"/>
  <c r="EC37" i="5" s="1"/>
  <c r="OH144" i="1"/>
  <c r="EC35" i="5" s="1"/>
  <c r="OH143" i="1"/>
  <c r="EC34" i="5" s="1"/>
  <c r="OH82" i="1"/>
  <c r="OI80" i="1"/>
  <c r="OH77" i="1"/>
  <c r="EB55" i="5" s="1"/>
  <c r="OH76" i="1"/>
  <c r="EB54" i="5" s="1"/>
  <c r="OI72" i="1"/>
  <c r="OH65" i="1"/>
  <c r="OI62" i="1"/>
  <c r="OI60" i="1"/>
  <c r="OH59" i="1"/>
  <c r="EB37" i="5" s="1"/>
  <c r="TH140" i="4"/>
  <c r="EC13" i="5" s="1"/>
  <c r="TH97" i="4"/>
  <c r="EC15" i="5" s="1"/>
  <c r="TH93" i="4"/>
  <c r="EC12" i="5" s="1"/>
  <c r="TH89" i="4"/>
  <c r="EC11" i="5" s="1"/>
  <c r="TH82" i="4"/>
  <c r="EC8" i="5" s="1"/>
  <c r="TH56" i="4"/>
  <c r="EB24" i="5" s="1"/>
  <c r="TH44" i="4"/>
  <c r="EB23" i="5" s="1"/>
  <c r="TH25" i="4"/>
  <c r="EB15" i="5" s="1"/>
  <c r="TH21" i="4"/>
  <c r="EB12" i="5" s="1"/>
  <c r="TH13" i="4"/>
  <c r="EB9" i="5" s="1"/>
  <c r="OC152" i="1"/>
  <c r="OC154" i="1"/>
  <c r="NY152" i="1"/>
  <c r="OB65" i="1"/>
  <c r="OC57" i="1"/>
  <c r="OC59" i="1"/>
  <c r="OC73" i="1"/>
  <c r="OC75" i="1"/>
  <c r="OC81" i="1"/>
  <c r="NZ62" i="1"/>
  <c r="OC62" i="1" s="1"/>
  <c r="OB75" i="1"/>
  <c r="DZ53" i="5" s="1"/>
  <c r="OC17" i="1"/>
  <c r="OB74" i="1"/>
  <c r="DZ52" i="5" s="1"/>
  <c r="OB78" i="1"/>
  <c r="OB80" i="1"/>
  <c r="OB84" i="1"/>
  <c r="OB86" i="1"/>
  <c r="DZ45" i="5" s="1"/>
  <c r="OB45" i="1"/>
  <c r="OB8" i="1"/>
  <c r="OB17" i="1"/>
  <c r="OB24" i="1"/>
  <c r="OB34" i="1"/>
  <c r="SZ140" i="4"/>
  <c r="EA13" i="5" s="1"/>
  <c r="SZ138" i="4"/>
  <c r="EA28" i="5" s="1"/>
  <c r="SZ135" i="4"/>
  <c r="EA27" i="5" s="1"/>
  <c r="SZ133" i="4"/>
  <c r="EA26" i="5" s="1"/>
  <c r="SZ97" i="4"/>
  <c r="EA15" i="5" s="1"/>
  <c r="SZ93" i="4"/>
  <c r="EA12" i="5" s="1"/>
  <c r="SZ89" i="4"/>
  <c r="EA11" i="5" s="1"/>
  <c r="SZ85" i="4"/>
  <c r="EA9" i="5" s="1"/>
  <c r="SZ82" i="4"/>
  <c r="EA8" i="5" s="1"/>
  <c r="SZ80" i="4"/>
  <c r="EA7" i="5" s="1"/>
  <c r="SZ68" i="4"/>
  <c r="DZ13" i="5" s="1"/>
  <c r="SZ61" i="4"/>
  <c r="DZ26" i="5" s="1"/>
  <c r="SZ56" i="4"/>
  <c r="DZ24" i="5" s="1"/>
  <c r="SZ25" i="4"/>
  <c r="DZ15" i="5" s="1"/>
  <c r="SZ21" i="4"/>
  <c r="DZ12" i="5" s="1"/>
  <c r="SZ17" i="4"/>
  <c r="DZ11" i="5" s="1"/>
  <c r="SZ13" i="4"/>
  <c r="DZ9" i="5" s="1"/>
  <c r="SZ10" i="4"/>
  <c r="DZ8" i="5" s="1"/>
  <c r="SZ8" i="4"/>
  <c r="DZ7" i="5" s="1"/>
  <c r="NW171" i="1"/>
  <c r="NV170" i="1"/>
  <c r="NW159" i="1"/>
  <c r="NV86" i="1"/>
  <c r="DX45" i="5" s="1"/>
  <c r="NV85" i="1"/>
  <c r="DX40" i="5" s="1"/>
  <c r="NW77" i="1"/>
  <c r="NV76" i="1"/>
  <c r="DX54" i="5" s="1"/>
  <c r="Y56" i="36" s="1"/>
  <c r="NW74" i="1"/>
  <c r="NW72" i="1"/>
  <c r="NV161" i="1"/>
  <c r="DY52" i="5" s="1"/>
  <c r="NW173" i="1"/>
  <c r="OC70" i="1"/>
  <c r="OH66" i="1"/>
  <c r="OB69" i="1"/>
  <c r="OI70" i="1"/>
  <c r="NW79" i="1"/>
  <c r="NW166" i="1"/>
  <c r="OH166" i="1"/>
  <c r="NV75" i="1"/>
  <c r="DX53" i="5" s="1"/>
  <c r="NV64" i="1"/>
  <c r="NW83" i="1"/>
  <c r="NW85" i="1"/>
  <c r="NV147" i="1"/>
  <c r="DY38" i="5" s="1"/>
  <c r="NW155" i="1"/>
  <c r="OB56" i="1"/>
  <c r="DZ34" i="5" s="1"/>
  <c r="OB60" i="1"/>
  <c r="DZ38" i="5" s="1"/>
  <c r="OC172" i="1"/>
  <c r="OI65" i="1"/>
  <c r="OI71" i="1"/>
  <c r="OI73" i="1"/>
  <c r="OI75" i="1"/>
  <c r="OI77" i="1"/>
  <c r="OI150" i="1"/>
  <c r="OI154" i="1"/>
  <c r="OI156" i="1"/>
  <c r="OI160" i="1"/>
  <c r="OI168" i="1"/>
  <c r="OI172" i="1"/>
  <c r="NW84" i="1"/>
  <c r="NW156" i="1"/>
  <c r="NW161" i="1"/>
  <c r="OC58" i="1"/>
  <c r="OB66" i="1"/>
  <c r="OB68" i="1"/>
  <c r="OB70" i="1"/>
  <c r="OC86" i="1"/>
  <c r="OB144" i="1"/>
  <c r="EA35" i="5" s="1"/>
  <c r="EA33" i="5" s="1"/>
  <c r="OB150" i="1"/>
  <c r="EA43" i="5" s="1"/>
  <c r="OB152" i="1"/>
  <c r="OB154" i="1"/>
  <c r="OB160" i="1"/>
  <c r="EA51" i="5" s="1"/>
  <c r="OB166" i="1"/>
  <c r="OB168" i="1"/>
  <c r="OB172" i="1"/>
  <c r="EA40" i="5" s="1"/>
  <c r="OI57" i="1"/>
  <c r="OI59" i="1"/>
  <c r="OH61" i="1"/>
  <c r="EB39" i="5" s="1"/>
  <c r="OH72" i="1"/>
  <c r="EB50" i="5" s="1"/>
  <c r="OI83" i="1"/>
  <c r="OH85" i="1"/>
  <c r="EB40" i="5" s="1"/>
  <c r="OH148" i="1"/>
  <c r="EC39" i="5" s="1"/>
  <c r="OH158" i="1"/>
  <c r="NV6" i="1"/>
  <c r="NS60" i="1"/>
  <c r="OC77" i="1"/>
  <c r="OC79" i="1"/>
  <c r="OB81" i="1"/>
  <c r="OC150" i="1"/>
  <c r="OC156" i="1"/>
  <c r="OC166" i="1"/>
  <c r="OI74" i="1"/>
  <c r="OH80" i="1"/>
  <c r="OH160" i="1"/>
  <c r="EC51" i="5" s="1"/>
  <c r="OI165" i="1"/>
  <c r="OI171" i="1"/>
  <c r="OC68" i="1"/>
  <c r="OI148" i="1"/>
  <c r="OB57" i="1"/>
  <c r="DZ35" i="5" s="1"/>
  <c r="OC74" i="1"/>
  <c r="OI56" i="1"/>
  <c r="OH62" i="1"/>
  <c r="EB42" i="5" s="1"/>
  <c r="OH67" i="1"/>
  <c r="OH155" i="1"/>
  <c r="NW147" i="1"/>
  <c r="OI164" i="1"/>
  <c r="OH170" i="1"/>
  <c r="OC56" i="1"/>
  <c r="OC63" i="1"/>
  <c r="OC80" i="1"/>
  <c r="OI166" i="1"/>
  <c r="NV73" i="1"/>
  <c r="DX51" i="5" s="1"/>
  <c r="NV159" i="1"/>
  <c r="DY50" i="5" s="1"/>
  <c r="NW169" i="1"/>
  <c r="OB58" i="1"/>
  <c r="DZ36" i="5" s="1"/>
  <c r="OC66" i="1"/>
  <c r="OB71" i="1"/>
  <c r="OB76" i="1"/>
  <c r="DZ54" i="5" s="1"/>
  <c r="OC84" i="1"/>
  <c r="OC143" i="1"/>
  <c r="OC146" i="1"/>
  <c r="OC148" i="1"/>
  <c r="OC162" i="1"/>
  <c r="OC164" i="1"/>
  <c r="OB170" i="1"/>
  <c r="OC173" i="1"/>
  <c r="OI58" i="1"/>
  <c r="OI61" i="1"/>
  <c r="OI63" i="1"/>
  <c r="OH68" i="1"/>
  <c r="OI76" i="1"/>
  <c r="OI79" i="1"/>
  <c r="OI81" i="1"/>
  <c r="OH86" i="1"/>
  <c r="EB45" i="5" s="1"/>
  <c r="OI143" i="1"/>
  <c r="OI145" i="1"/>
  <c r="OH150" i="1"/>
  <c r="EC43" i="5" s="1"/>
  <c r="OI158" i="1"/>
  <c r="OI161" i="1"/>
  <c r="OI163" i="1"/>
  <c r="OH168" i="1"/>
  <c r="NV16" i="1"/>
  <c r="NV67" i="1"/>
  <c r="NW71" i="1"/>
  <c r="NW73" i="1"/>
  <c r="OB156" i="1"/>
  <c r="EA47" i="5" s="1"/>
  <c r="EA46" i="5" s="1"/>
  <c r="OH60" i="1"/>
  <c r="EB38" i="5" s="1"/>
  <c r="EB124" i="5" s="1"/>
  <c r="OI68" i="1"/>
  <c r="OH71" i="1"/>
  <c r="OH73" i="1"/>
  <c r="EB51" i="5" s="1"/>
  <c r="OH78" i="1"/>
  <c r="OI86" i="1"/>
  <c r="OH153" i="1"/>
  <c r="OH171" i="1"/>
  <c r="NS56" i="1"/>
  <c r="NV56" i="1" s="1"/>
  <c r="DX34" i="5" s="1"/>
  <c r="OC60" i="1"/>
  <c r="OC78" i="1"/>
  <c r="OB83" i="1"/>
  <c r="OC145" i="1"/>
  <c r="OC147" i="1"/>
  <c r="OC149" i="1"/>
  <c r="OB158" i="1"/>
  <c r="OC161" i="1"/>
  <c r="OC163" i="1"/>
  <c r="OC165" i="1"/>
  <c r="OC170" i="1"/>
  <c r="OI152" i="1"/>
  <c r="OI170" i="1"/>
  <c r="OC65" i="1"/>
  <c r="OC67" i="1"/>
  <c r="OB72" i="1"/>
  <c r="DZ50" i="5" s="1"/>
  <c r="OC83" i="1"/>
  <c r="OC85" i="1"/>
  <c r="OH83" i="1"/>
  <c r="OI144" i="1"/>
  <c r="OH147" i="1"/>
  <c r="EC38" i="5" s="1"/>
  <c r="OH149" i="1"/>
  <c r="EC42" i="5" s="1"/>
  <c r="OH154" i="1"/>
  <c r="OI162" i="1"/>
  <c r="OH165" i="1"/>
  <c r="OH167" i="1"/>
  <c r="NW65" i="1"/>
  <c r="NV82" i="1"/>
  <c r="NW68" i="1"/>
  <c r="NV78" i="1"/>
  <c r="OB59" i="1"/>
  <c r="DZ37" i="5" s="1"/>
  <c r="OB64" i="1"/>
  <c r="OC72" i="1"/>
  <c r="OB77" i="1"/>
  <c r="DZ55" i="5" s="1"/>
  <c r="OB82" i="1"/>
  <c r="OB146" i="1"/>
  <c r="OB148" i="1"/>
  <c r="EA39" i="5" s="1"/>
  <c r="OB149" i="1"/>
  <c r="EA42" i="5" s="1"/>
  <c r="OC151" i="1"/>
  <c r="OC153" i="1"/>
  <c r="OC155" i="1"/>
  <c r="OC158" i="1"/>
  <c r="OB162" i="1"/>
  <c r="EA53" i="5" s="1"/>
  <c r="OB164" i="1"/>
  <c r="EA55" i="5" s="1"/>
  <c r="OC167" i="1"/>
  <c r="OC169" i="1"/>
  <c r="OC171" i="1"/>
  <c r="OH56" i="1"/>
  <c r="EB34" i="5" s="1"/>
  <c r="OI64" i="1"/>
  <c r="OI67" i="1"/>
  <c r="OI69" i="1"/>
  <c r="OH74" i="1"/>
  <c r="EB52" i="5" s="1"/>
  <c r="OI82" i="1"/>
  <c r="OI85" i="1"/>
  <c r="OI149" i="1"/>
  <c r="OI151" i="1"/>
  <c r="OH156" i="1"/>
  <c r="EC47" i="5" s="1"/>
  <c r="OI167" i="1"/>
  <c r="OI169" i="1"/>
  <c r="NW66" i="1"/>
  <c r="NW63" i="1"/>
  <c r="NW62" i="1"/>
  <c r="NV60" i="1"/>
  <c r="DX38" i="5" s="1"/>
  <c r="NW56" i="1"/>
  <c r="SR140" i="4"/>
  <c r="DY13" i="5" s="1"/>
  <c r="Y15" i="36" s="1"/>
  <c r="SR138" i="4"/>
  <c r="DY28" i="5" s="1"/>
  <c r="SR135" i="4"/>
  <c r="DY27" i="5" s="1"/>
  <c r="SR133" i="4"/>
  <c r="DY26" i="5" s="1"/>
  <c r="SR97" i="4"/>
  <c r="DY15" i="5" s="1"/>
  <c r="SR87" i="4"/>
  <c r="DY10" i="5" s="1"/>
  <c r="SR82" i="4"/>
  <c r="DY8" i="5" s="1"/>
  <c r="SR66" i="4"/>
  <c r="DX28" i="5" s="1"/>
  <c r="SR17" i="4"/>
  <c r="DX11" i="5" s="1"/>
  <c r="SR13" i="4"/>
  <c r="DX9" i="5" s="1"/>
  <c r="SR10" i="4"/>
  <c r="DX8" i="5" s="1"/>
  <c r="SR93" i="4"/>
  <c r="DY12" i="5" s="1"/>
  <c r="SR111" i="4"/>
  <c r="DY21" i="5" s="1"/>
  <c r="SR116" i="4"/>
  <c r="DY23" i="5" s="1"/>
  <c r="SR128" i="4"/>
  <c r="DY24" i="5" s="1"/>
  <c r="DY19" i="5" s="1"/>
  <c r="SR85" i="4"/>
  <c r="DY9" i="5" s="1"/>
  <c r="SR107" i="4"/>
  <c r="DY20" i="5" s="1"/>
  <c r="SR80" i="4"/>
  <c r="DY7" i="5" s="1"/>
  <c r="SR25" i="4"/>
  <c r="DX15" i="5" s="1"/>
  <c r="SR44" i="4"/>
  <c r="DX23" i="5" s="1"/>
  <c r="SR56" i="4"/>
  <c r="DX24" i="5" s="1"/>
  <c r="SR61" i="4"/>
  <c r="DX26" i="5" s="1"/>
  <c r="SR21" i="4"/>
  <c r="DX12" i="5" s="1"/>
  <c r="SR35" i="4"/>
  <c r="SR15" i="4"/>
  <c r="DX10" i="5" s="1"/>
  <c r="OH57" i="1"/>
  <c r="EB35" i="5" s="1"/>
  <c r="OH63" i="1"/>
  <c r="EB43" i="5" s="1"/>
  <c r="OH69" i="1"/>
  <c r="OH75" i="1"/>
  <c r="EB53" i="5" s="1"/>
  <c r="OH81" i="1"/>
  <c r="OH145" i="1"/>
  <c r="EC36" i="5" s="1"/>
  <c r="OH151" i="1"/>
  <c r="OH157" i="1"/>
  <c r="OH163" i="1"/>
  <c r="EC54" i="5" s="1"/>
  <c r="OH169" i="1"/>
  <c r="OH173" i="1"/>
  <c r="OB147" i="1"/>
  <c r="EA38" i="5" s="1"/>
  <c r="OB153" i="1"/>
  <c r="OB145" i="1"/>
  <c r="EA36" i="5" s="1"/>
  <c r="OB151" i="1"/>
  <c r="OB157" i="1"/>
  <c r="OB163" i="1"/>
  <c r="EA54" i="5" s="1"/>
  <c r="OB169" i="1"/>
  <c r="OB61" i="1"/>
  <c r="DZ39" i="5" s="1"/>
  <c r="OB73" i="1"/>
  <c r="DZ51" i="5" s="1"/>
  <c r="OB79" i="1"/>
  <c r="OB85" i="1"/>
  <c r="DZ40" i="5" s="1"/>
  <c r="OB161" i="1"/>
  <c r="OB167" i="1"/>
  <c r="OB173" i="1"/>
  <c r="OB67" i="1"/>
  <c r="NW165" i="1"/>
  <c r="NW170" i="1"/>
  <c r="NW158" i="1"/>
  <c r="NV166" i="1"/>
  <c r="NV171" i="1"/>
  <c r="NV173" i="1"/>
  <c r="DY45" i="5" s="1"/>
  <c r="NV165" i="1"/>
  <c r="NW60" i="1"/>
  <c r="NW58" i="1"/>
  <c r="NW59" i="1"/>
  <c r="NW82" i="1"/>
  <c r="NW57" i="1"/>
  <c r="NW75" i="1"/>
  <c r="NW78" i="1"/>
  <c r="NW86" i="1"/>
  <c r="NW67" i="1"/>
  <c r="NW64" i="1"/>
  <c r="NV71" i="1"/>
  <c r="NV83" i="1"/>
  <c r="NW76" i="1"/>
  <c r="NW70" i="1"/>
  <c r="NV79" i="1"/>
  <c r="NV84" i="1"/>
  <c r="NV93" i="1"/>
  <c r="NW93" i="1"/>
  <c r="NT143" i="1"/>
  <c r="NW143" i="1" s="1"/>
  <c r="NW105" i="1"/>
  <c r="NV105" i="1"/>
  <c r="NV122" i="1"/>
  <c r="NT160" i="1"/>
  <c r="NW160" i="1" s="1"/>
  <c r="NW122" i="1"/>
  <c r="NT152" i="1"/>
  <c r="NW114" i="1"/>
  <c r="NV114" i="1"/>
  <c r="NW137" i="1"/>
  <c r="NT172" i="1"/>
  <c r="NW172" i="1" s="1"/>
  <c r="NV137" i="1"/>
  <c r="NV28" i="1"/>
  <c r="NS66" i="1"/>
  <c r="NV66" i="1" s="1"/>
  <c r="NV40" i="1"/>
  <c r="NS77" i="1"/>
  <c r="NV77" i="1" s="1"/>
  <c r="DX55" i="5" s="1"/>
  <c r="NV81" i="1"/>
  <c r="NV97" i="1"/>
  <c r="NW97" i="1"/>
  <c r="NW146" i="1"/>
  <c r="NT164" i="1"/>
  <c r="NW129" i="1"/>
  <c r="NV129" i="1"/>
  <c r="NW151" i="1"/>
  <c r="NV151" i="1"/>
  <c r="NV10" i="1"/>
  <c r="NS58" i="1"/>
  <c r="NV58" i="1" s="1"/>
  <c r="DX36" i="5" s="1"/>
  <c r="NS80" i="1"/>
  <c r="NT150" i="1"/>
  <c r="NW150" i="1" s="1"/>
  <c r="NV112" i="1"/>
  <c r="NW112" i="1"/>
  <c r="NT145" i="1"/>
  <c r="NW145" i="1" s="1"/>
  <c r="NS61" i="1"/>
  <c r="NV18" i="1"/>
  <c r="NS74" i="1"/>
  <c r="NV74" i="1" s="1"/>
  <c r="DX52" i="5" s="1"/>
  <c r="Y54" i="36" s="1"/>
  <c r="NT144" i="1"/>
  <c r="NW144" i="1" s="1"/>
  <c r="NV95" i="1"/>
  <c r="NW95" i="1"/>
  <c r="NW124" i="1"/>
  <c r="NT162" i="1"/>
  <c r="NW162" i="1" s="1"/>
  <c r="NV124" i="1"/>
  <c r="NT168" i="1"/>
  <c r="NW168" i="1" s="1"/>
  <c r="NW133" i="1"/>
  <c r="NV133" i="1"/>
  <c r="NW163" i="1"/>
  <c r="NV163" i="1"/>
  <c r="DY54" i="5" s="1"/>
  <c r="NS57" i="1"/>
  <c r="NV57" i="1" s="1"/>
  <c r="DX35" i="5" s="1"/>
  <c r="NV8" i="1"/>
  <c r="NS62" i="1"/>
  <c r="NV62" i="1" s="1"/>
  <c r="DX42" i="5" s="1"/>
  <c r="DX41" i="5" s="1"/>
  <c r="NV69" i="1"/>
  <c r="NW69" i="1"/>
  <c r="NW157" i="1"/>
  <c r="NV157" i="1"/>
  <c r="NT80" i="1"/>
  <c r="NW80" i="1" s="1"/>
  <c r="NT61" i="1"/>
  <c r="NW61" i="1" s="1"/>
  <c r="NT149" i="1"/>
  <c r="NW149" i="1" s="1"/>
  <c r="NS154" i="1"/>
  <c r="NW10" i="1"/>
  <c r="NW23" i="1"/>
  <c r="NW28" i="1"/>
  <c r="NW36" i="1"/>
  <c r="NW40" i="1"/>
  <c r="NS59" i="1"/>
  <c r="NV59" i="1" s="1"/>
  <c r="DX37" i="5" s="1"/>
  <c r="NS65" i="1"/>
  <c r="NV65" i="1" s="1"/>
  <c r="NV100" i="1"/>
  <c r="NV102" i="1"/>
  <c r="NV104" i="1"/>
  <c r="NV109" i="1"/>
  <c r="NV121" i="1"/>
  <c r="NT148" i="1"/>
  <c r="NW148" i="1" s="1"/>
  <c r="NS153" i="1"/>
  <c r="NV153" i="1" s="1"/>
  <c r="NT154" i="1"/>
  <c r="NW154" i="1" s="1"/>
  <c r="NT167" i="1"/>
  <c r="NW167" i="1" s="1"/>
  <c r="NV15" i="1"/>
  <c r="NV25" i="1"/>
  <c r="NV47" i="1"/>
  <c r="NW100" i="1"/>
  <c r="NW102" i="1"/>
  <c r="NW121" i="1"/>
  <c r="NW47" i="1"/>
  <c r="NV134" i="1"/>
  <c r="NH121" i="1"/>
  <c r="NH51" i="1"/>
  <c r="NG51" i="1"/>
  <c r="NH50" i="1"/>
  <c r="NG50" i="1"/>
  <c r="NH48" i="1"/>
  <c r="NG48" i="1"/>
  <c r="NH28" i="1"/>
  <c r="NG28" i="1"/>
  <c r="NH26" i="1"/>
  <c r="NG26" i="1"/>
  <c r="NH25" i="1"/>
  <c r="NG25" i="1"/>
  <c r="NH24" i="1"/>
  <c r="NG24" i="1"/>
  <c r="NH22" i="1"/>
  <c r="NG22" i="1"/>
  <c r="NH18" i="1"/>
  <c r="NG18" i="1"/>
  <c r="NH17" i="1"/>
  <c r="NG17" i="1"/>
  <c r="NH16" i="1"/>
  <c r="NG16" i="1"/>
  <c r="NH13" i="1"/>
  <c r="NG13" i="1"/>
  <c r="NA125" i="1"/>
  <c r="EB64" i="5" l="1"/>
  <c r="DX46" i="5"/>
  <c r="DX78" i="5"/>
  <c r="DY65" i="5"/>
  <c r="Y14" i="36"/>
  <c r="DZ63" i="5"/>
  <c r="EA6" i="5"/>
  <c r="EC70" i="5"/>
  <c r="C6" i="9"/>
  <c r="DX63" i="5"/>
  <c r="EA67" i="5"/>
  <c r="EB65" i="5"/>
  <c r="EB66" i="5"/>
  <c r="C23" i="9"/>
  <c r="DZ67" i="5"/>
  <c r="EC45" i="5"/>
  <c r="EC41" i="5" s="1"/>
  <c r="EA45" i="5"/>
  <c r="Y52" i="36"/>
  <c r="EB80" i="5"/>
  <c r="EB138" i="5"/>
  <c r="EA79" i="5"/>
  <c r="DX81" i="5"/>
  <c r="DZ138" i="5"/>
  <c r="DZ80" i="5"/>
  <c r="EC62" i="5"/>
  <c r="EC33" i="5"/>
  <c r="EB19" i="5"/>
  <c r="EA62" i="5"/>
  <c r="C11" i="9"/>
  <c r="EA64" i="5"/>
  <c r="DX124" i="5"/>
  <c r="DX66" i="5"/>
  <c r="EA68" i="5"/>
  <c r="EA41" i="5"/>
  <c r="EA70" i="5"/>
  <c r="DX83" i="5"/>
  <c r="DX79" i="5"/>
  <c r="DX74" i="5" s="1"/>
  <c r="EB14" i="5"/>
  <c r="C5" i="9"/>
  <c r="DY82" i="5"/>
  <c r="EB41" i="5"/>
  <c r="Y17" i="36"/>
  <c r="Y16" i="36" s="1"/>
  <c r="DX14" i="5"/>
  <c r="Y10" i="36"/>
  <c r="EA81" i="5"/>
  <c r="EB70" i="5"/>
  <c r="EB71" i="5"/>
  <c r="EB78" i="5"/>
  <c r="EB79" i="5"/>
  <c r="EB46" i="5"/>
  <c r="DZ124" i="5"/>
  <c r="DZ66" i="5"/>
  <c r="DY138" i="5"/>
  <c r="DY80" i="5"/>
  <c r="EC63" i="5"/>
  <c r="EC83" i="5"/>
  <c r="EC14" i="5"/>
  <c r="C7" i="9"/>
  <c r="C22" i="9"/>
  <c r="DZ65" i="5"/>
  <c r="EB83" i="5"/>
  <c r="EC67" i="5"/>
  <c r="DX68" i="5"/>
  <c r="DZ33" i="5"/>
  <c r="C15" i="9"/>
  <c r="DX65" i="5"/>
  <c r="Y53" i="36"/>
  <c r="EB73" i="5"/>
  <c r="EB68" i="5"/>
  <c r="DX73" i="5"/>
  <c r="EC78" i="5"/>
  <c r="DY6" i="5"/>
  <c r="Y38" i="36"/>
  <c r="Y11" i="36"/>
  <c r="DY83" i="5"/>
  <c r="EC79" i="5"/>
  <c r="EB67" i="5"/>
  <c r="DZ62" i="5"/>
  <c r="DZ81" i="5"/>
  <c r="EC65" i="5"/>
  <c r="EC68" i="5"/>
  <c r="C26" i="9"/>
  <c r="EA19" i="5"/>
  <c r="Y49" i="36"/>
  <c r="DX19" i="5"/>
  <c r="DX75" i="5"/>
  <c r="C28" i="9"/>
  <c r="EC71" i="5"/>
  <c r="DZ79" i="5"/>
  <c r="EB81" i="5"/>
  <c r="EB82" i="5"/>
  <c r="EC66" i="5"/>
  <c r="EC124" i="5"/>
  <c r="C17" i="9"/>
  <c r="Y162" i="36"/>
  <c r="DX138" i="5"/>
  <c r="DX80" i="5"/>
  <c r="DY73" i="5"/>
  <c r="DX6" i="5"/>
  <c r="Y39" i="36"/>
  <c r="Y12" i="36"/>
  <c r="Y40" i="36"/>
  <c r="Y13" i="36"/>
  <c r="EC46" i="5"/>
  <c r="EA71" i="5"/>
  <c r="C24" i="9"/>
  <c r="C20" i="9"/>
  <c r="EC6" i="5"/>
  <c r="DZ14" i="5"/>
  <c r="DX70" i="5"/>
  <c r="DZ68" i="5"/>
  <c r="EC64" i="5"/>
  <c r="EA66" i="5"/>
  <c r="EA124" i="5"/>
  <c r="EB6" i="5"/>
  <c r="DX64" i="5"/>
  <c r="Y57" i="36"/>
  <c r="EB62" i="5"/>
  <c r="EB63" i="5"/>
  <c r="EB33" i="5"/>
  <c r="DZ46" i="5"/>
  <c r="DX62" i="5"/>
  <c r="DZ64" i="5"/>
  <c r="EA63" i="5"/>
  <c r="DY66" i="5"/>
  <c r="DY124" i="5"/>
  <c r="DX82" i="5"/>
  <c r="DZ6" i="5"/>
  <c r="DZ73" i="5"/>
  <c r="DY14" i="5"/>
  <c r="C10" i="9"/>
  <c r="Y9" i="36"/>
  <c r="C9" i="9"/>
  <c r="Y47" i="36"/>
  <c r="Y76" i="36" s="1"/>
  <c r="C14" i="9"/>
  <c r="C27" i="9"/>
  <c r="C21" i="9"/>
  <c r="EA14" i="5"/>
  <c r="EA78" i="5"/>
  <c r="EA74" i="5" s="1"/>
  <c r="C25" i="9"/>
  <c r="C8" i="9"/>
  <c r="DX71" i="5"/>
  <c r="OB62" i="1"/>
  <c r="DZ42" i="5" s="1"/>
  <c r="Y44" i="36" s="1"/>
  <c r="NV143" i="1"/>
  <c r="DY34" i="5" s="1"/>
  <c r="NV160" i="1"/>
  <c r="DY51" i="5" s="1"/>
  <c r="NV145" i="1"/>
  <c r="DY36" i="5" s="1"/>
  <c r="NV149" i="1"/>
  <c r="DY42" i="5" s="1"/>
  <c r="NV162" i="1"/>
  <c r="DY53" i="5" s="1"/>
  <c r="Y55" i="36" s="1"/>
  <c r="NV154" i="1"/>
  <c r="NV150" i="1"/>
  <c r="DY43" i="5" s="1"/>
  <c r="NV61" i="1"/>
  <c r="DX39" i="5" s="1"/>
  <c r="NV144" i="1"/>
  <c r="DY35" i="5" s="1"/>
  <c r="NW152" i="1"/>
  <c r="NV152" i="1"/>
  <c r="NV148" i="1"/>
  <c r="DY39" i="5" s="1"/>
  <c r="NV172" i="1"/>
  <c r="DY40" i="5" s="1"/>
  <c r="Y42" i="36" s="1"/>
  <c r="NV168" i="1"/>
  <c r="NV80" i="1"/>
  <c r="NV167" i="1"/>
  <c r="NV164" i="1"/>
  <c r="NW164" i="1"/>
  <c r="C125" i="36"/>
  <c r="Y73" i="36" l="1"/>
  <c r="Y71" i="36"/>
  <c r="DX67" i="5"/>
  <c r="EC74" i="5"/>
  <c r="DY71" i="5"/>
  <c r="Y45" i="36"/>
  <c r="Y74" i="36" s="1"/>
  <c r="DX61" i="5"/>
  <c r="EA61" i="5"/>
  <c r="EB74" i="5"/>
  <c r="Y69" i="36"/>
  <c r="DX33" i="5"/>
  <c r="Y8" i="36"/>
  <c r="DZ61" i="5"/>
  <c r="DZ84" i="5"/>
  <c r="Y41" i="36"/>
  <c r="Y67" i="36"/>
  <c r="DZ74" i="5"/>
  <c r="Y48" i="36"/>
  <c r="DY81" i="5"/>
  <c r="DY46" i="5"/>
  <c r="DY67" i="5"/>
  <c r="Y68" i="36"/>
  <c r="DY64" i="5"/>
  <c r="DX69" i="5"/>
  <c r="EB69" i="5"/>
  <c r="EA69" i="5"/>
  <c r="DY63" i="5"/>
  <c r="DY68" i="5"/>
  <c r="DY70" i="5"/>
  <c r="DY41" i="5"/>
  <c r="DY79" i="5"/>
  <c r="EB61" i="5"/>
  <c r="EB84" i="5"/>
  <c r="EC84" i="5"/>
  <c r="EC61" i="5"/>
  <c r="EA73" i="5"/>
  <c r="EA84" i="5" s="1"/>
  <c r="DY62" i="5"/>
  <c r="DY33" i="5"/>
  <c r="Y37" i="36"/>
  <c r="EC73" i="5"/>
  <c r="EC69" i="5" s="1"/>
  <c r="Y36" i="36"/>
  <c r="DZ70" i="5"/>
  <c r="DZ69" i="5" s="1"/>
  <c r="DZ41" i="5"/>
  <c r="DX84" i="5"/>
  <c r="K48" i="36"/>
  <c r="K43" i="36"/>
  <c r="K35" i="36"/>
  <c r="DF69" i="5"/>
  <c r="L46" i="5"/>
  <c r="O46" i="5"/>
  <c r="T46" i="5"/>
  <c r="U46" i="5"/>
  <c r="V46" i="5"/>
  <c r="W46" i="5"/>
  <c r="Y46" i="5"/>
  <c r="AC46" i="5"/>
  <c r="AF46" i="5"/>
  <c r="AP46" i="5"/>
  <c r="AQ46" i="5"/>
  <c r="AR46" i="5"/>
  <c r="AS46" i="5"/>
  <c r="AT46" i="5"/>
  <c r="AU46" i="5"/>
  <c r="AV46" i="5"/>
  <c r="AW46" i="5"/>
  <c r="CZ46" i="5"/>
  <c r="DA46" i="5"/>
  <c r="DB46" i="5"/>
  <c r="L41" i="5"/>
  <c r="O41" i="5"/>
  <c r="T41" i="5"/>
  <c r="U41" i="5"/>
  <c r="V41" i="5"/>
  <c r="W41" i="5"/>
  <c r="Y41" i="5"/>
  <c r="AC41" i="5"/>
  <c r="AF41" i="5"/>
  <c r="AM41" i="5"/>
  <c r="AP41" i="5"/>
  <c r="AQ41" i="5"/>
  <c r="AR41" i="5"/>
  <c r="AS41" i="5"/>
  <c r="AT41" i="5"/>
  <c r="AU41" i="5"/>
  <c r="AV41" i="5"/>
  <c r="AW41" i="5"/>
  <c r="CZ41" i="5"/>
  <c r="DA41" i="5"/>
  <c r="DB41" i="5"/>
  <c r="DE41" i="5"/>
  <c r="DF41" i="5"/>
  <c r="L33" i="5"/>
  <c r="O33" i="5"/>
  <c r="T33" i="5"/>
  <c r="U33" i="5"/>
  <c r="V33" i="5"/>
  <c r="W33" i="5"/>
  <c r="Y33" i="5"/>
  <c r="AC33" i="5"/>
  <c r="AF33" i="5"/>
  <c r="AP33" i="5"/>
  <c r="AQ33" i="5"/>
  <c r="AR33" i="5"/>
  <c r="AS33" i="5"/>
  <c r="AT33" i="5"/>
  <c r="AU33" i="5"/>
  <c r="AV33" i="5"/>
  <c r="AW33" i="5"/>
  <c r="CZ33" i="5"/>
  <c r="DA33" i="5"/>
  <c r="DB33" i="5"/>
  <c r="C138" i="36"/>
  <c r="C133" i="36"/>
  <c r="DW160" i="5"/>
  <c r="DW155" i="5"/>
  <c r="DW170" i="5"/>
  <c r="DW169" i="5"/>
  <c r="DW168" i="5"/>
  <c r="DW167" i="5"/>
  <c r="DW166" i="5"/>
  <c r="DW165" i="5"/>
  <c r="DW164" i="5"/>
  <c r="DW163" i="5"/>
  <c r="DW162" i="5"/>
  <c r="DW159" i="5"/>
  <c r="DW158" i="5"/>
  <c r="DW157" i="5"/>
  <c r="DW154" i="5"/>
  <c r="DW153" i="5"/>
  <c r="DW152" i="5"/>
  <c r="DW151" i="5"/>
  <c r="DW150" i="5"/>
  <c r="DW149" i="5"/>
  <c r="DV160" i="5"/>
  <c r="DV155" i="5"/>
  <c r="DV170" i="5"/>
  <c r="DV169" i="5"/>
  <c r="DV168" i="5"/>
  <c r="DV167" i="5"/>
  <c r="DV166" i="5"/>
  <c r="DV165" i="5"/>
  <c r="DV164" i="5"/>
  <c r="DV163" i="5"/>
  <c r="DV162" i="5"/>
  <c r="DV159" i="5"/>
  <c r="DV158" i="5"/>
  <c r="DV157" i="5"/>
  <c r="DV154" i="5"/>
  <c r="DV153" i="5"/>
  <c r="DV152" i="5"/>
  <c r="DV151" i="5"/>
  <c r="DV150" i="5"/>
  <c r="DV149" i="5"/>
  <c r="DU160" i="5"/>
  <c r="DU155" i="5"/>
  <c r="DU170" i="5"/>
  <c r="DU169" i="5"/>
  <c r="DU168" i="5"/>
  <c r="DU167" i="5"/>
  <c r="DU166" i="5"/>
  <c r="DU165" i="5"/>
  <c r="DU164" i="5"/>
  <c r="DU163" i="5"/>
  <c r="DU162" i="5"/>
  <c r="DU159" i="5"/>
  <c r="DU158" i="5"/>
  <c r="DU157" i="5"/>
  <c r="DU154" i="5"/>
  <c r="DU153" i="5"/>
  <c r="DU152" i="5"/>
  <c r="DU151" i="5"/>
  <c r="DU150" i="5"/>
  <c r="DU149" i="5"/>
  <c r="DT160" i="5"/>
  <c r="DT155" i="5"/>
  <c r="DT170" i="5"/>
  <c r="DT169" i="5"/>
  <c r="DT168" i="5"/>
  <c r="DT167" i="5"/>
  <c r="DT166" i="5"/>
  <c r="DT165" i="5"/>
  <c r="DT164" i="5"/>
  <c r="DT163" i="5"/>
  <c r="DT162" i="5"/>
  <c r="DT159" i="5"/>
  <c r="DT158" i="5"/>
  <c r="DT157" i="5"/>
  <c r="DT154" i="5"/>
  <c r="DT153" i="5"/>
  <c r="DT152" i="5"/>
  <c r="DT151" i="5"/>
  <c r="DT150" i="5"/>
  <c r="DT149" i="5"/>
  <c r="DS160" i="5"/>
  <c r="DS155" i="5"/>
  <c r="DS170" i="5"/>
  <c r="DS169" i="5"/>
  <c r="DS168" i="5"/>
  <c r="DS167" i="5"/>
  <c r="DS166" i="5"/>
  <c r="DS165" i="5"/>
  <c r="DS164" i="5"/>
  <c r="DS163" i="5"/>
  <c r="DS162" i="5"/>
  <c r="DS159" i="5"/>
  <c r="DS158" i="5"/>
  <c r="DS157" i="5"/>
  <c r="DS154" i="5"/>
  <c r="DS153" i="5"/>
  <c r="DS152" i="5"/>
  <c r="DS151" i="5"/>
  <c r="DS150" i="5"/>
  <c r="DS149" i="5"/>
  <c r="DR160" i="5"/>
  <c r="DR155" i="5"/>
  <c r="DR170" i="5"/>
  <c r="DR169" i="5"/>
  <c r="DR168" i="5"/>
  <c r="DR167" i="5"/>
  <c r="DR166" i="5"/>
  <c r="DR165" i="5"/>
  <c r="DR164" i="5"/>
  <c r="DR163" i="5"/>
  <c r="DR162" i="5"/>
  <c r="DR159" i="5"/>
  <c r="DR158" i="5"/>
  <c r="DR157" i="5"/>
  <c r="DR154" i="5"/>
  <c r="DR153" i="5"/>
  <c r="DR152" i="5"/>
  <c r="DR151" i="5"/>
  <c r="DR150" i="5"/>
  <c r="DR149" i="5"/>
  <c r="Y35" i="36" l="1"/>
  <c r="Y65" i="36"/>
  <c r="DU156" i="5"/>
  <c r="DW156" i="5"/>
  <c r="Y70" i="36"/>
  <c r="Y66" i="36"/>
  <c r="DY74" i="5"/>
  <c r="DR156" i="5"/>
  <c r="DT156" i="5"/>
  <c r="DY84" i="5"/>
  <c r="DY61" i="5"/>
  <c r="DY69" i="5"/>
  <c r="Y43" i="36"/>
  <c r="Y72" i="36"/>
  <c r="DU171" i="5"/>
  <c r="DU148" i="5"/>
  <c r="DW171" i="5"/>
  <c r="DW148" i="5"/>
  <c r="DR171" i="5"/>
  <c r="DR148" i="5"/>
  <c r="DW161" i="5"/>
  <c r="DT148" i="5"/>
  <c r="DT171" i="5"/>
  <c r="DS161" i="5"/>
  <c r="DV161" i="5"/>
  <c r="DT161" i="5"/>
  <c r="DS148" i="5"/>
  <c r="DS171" i="5"/>
  <c r="DS156" i="5"/>
  <c r="DV148" i="5"/>
  <c r="DV171" i="5"/>
  <c r="DV156" i="5"/>
  <c r="DR161" i="5"/>
  <c r="DU161" i="5"/>
  <c r="X163" i="36"/>
  <c r="Z163" i="36" s="1"/>
  <c r="X171" i="36"/>
  <c r="Z171" i="36" s="1"/>
  <c r="X161" i="36"/>
  <c r="Z161" i="36" s="1"/>
  <c r="X155" i="36"/>
  <c r="Z155" i="36" s="1"/>
  <c r="X164" i="36"/>
  <c r="Z164" i="36" s="1"/>
  <c r="X166" i="36"/>
  <c r="Z166" i="36" s="1"/>
  <c r="X159" i="36"/>
  <c r="Z159" i="36" s="1"/>
  <c r="X169" i="36"/>
  <c r="Z169" i="36" s="1"/>
  <c r="X175" i="36"/>
  <c r="Z175" i="36" s="1"/>
  <c r="X156" i="36"/>
  <c r="Z156" i="36" s="1"/>
  <c r="X172" i="36"/>
  <c r="Z172" i="36" s="1"/>
  <c r="X173" i="36"/>
  <c r="Z173" i="36" s="1"/>
  <c r="X158" i="36"/>
  <c r="Z158" i="36" s="1"/>
  <c r="X165" i="36"/>
  <c r="Z165" i="36" s="1"/>
  <c r="X174" i="36"/>
  <c r="Z174" i="36" s="1"/>
  <c r="X157" i="36"/>
  <c r="Z157" i="36" s="1"/>
  <c r="X168" i="36"/>
  <c r="Z168" i="36" s="1"/>
  <c r="X160" i="36"/>
  <c r="Z160" i="36" s="1"/>
  <c r="X170" i="36"/>
  <c r="Z170" i="36" s="1"/>
  <c r="X176" i="36"/>
  <c r="Z176" i="36" s="1"/>
  <c r="NM93" i="1"/>
  <c r="NN93" i="1"/>
  <c r="NM95" i="1"/>
  <c r="NN95" i="1"/>
  <c r="NM97" i="1"/>
  <c r="NN97" i="1"/>
  <c r="NM100" i="1"/>
  <c r="NN100" i="1"/>
  <c r="NM102" i="1"/>
  <c r="NN102" i="1"/>
  <c r="NM104" i="1"/>
  <c r="NN104" i="1"/>
  <c r="NM105" i="1"/>
  <c r="NN105" i="1"/>
  <c r="NM106" i="1"/>
  <c r="NN106" i="1"/>
  <c r="NM107" i="1"/>
  <c r="NN107" i="1"/>
  <c r="NM109" i="1"/>
  <c r="NN109" i="1"/>
  <c r="NM111" i="1"/>
  <c r="NN111" i="1"/>
  <c r="NM112" i="1"/>
  <c r="NN112" i="1"/>
  <c r="NM114" i="1"/>
  <c r="NN114" i="1"/>
  <c r="NM115" i="1"/>
  <c r="NN115" i="1"/>
  <c r="NM116" i="1"/>
  <c r="NN116" i="1"/>
  <c r="NM121" i="1"/>
  <c r="NN121" i="1"/>
  <c r="NM122" i="1"/>
  <c r="NN122" i="1"/>
  <c r="NM124" i="1"/>
  <c r="NN124" i="1"/>
  <c r="NM129" i="1"/>
  <c r="NN129" i="1"/>
  <c r="NM132" i="1"/>
  <c r="NN132" i="1"/>
  <c r="NM133" i="1"/>
  <c r="NN133" i="1"/>
  <c r="NM134" i="1"/>
  <c r="NN134" i="1"/>
  <c r="NM137" i="1"/>
  <c r="NN137" i="1"/>
  <c r="NM138" i="1"/>
  <c r="NN138" i="1"/>
  <c r="NM6" i="1"/>
  <c r="NN6" i="1"/>
  <c r="NM7" i="1"/>
  <c r="NN7" i="1"/>
  <c r="NM8" i="1"/>
  <c r="NN8" i="1"/>
  <c r="NM10" i="1"/>
  <c r="NN10" i="1"/>
  <c r="NM13" i="1"/>
  <c r="NN13" i="1"/>
  <c r="NM15" i="1"/>
  <c r="NN15" i="1"/>
  <c r="NM17" i="1"/>
  <c r="NN17" i="1"/>
  <c r="NM18" i="1"/>
  <c r="NN18" i="1"/>
  <c r="NM19" i="1"/>
  <c r="NN19" i="1"/>
  <c r="NM20" i="1"/>
  <c r="NN20" i="1"/>
  <c r="NM22" i="1"/>
  <c r="NN22" i="1"/>
  <c r="NM23" i="1"/>
  <c r="NN23" i="1"/>
  <c r="NM24" i="1"/>
  <c r="NN24" i="1"/>
  <c r="NM25" i="1"/>
  <c r="NN25" i="1"/>
  <c r="NM27" i="1"/>
  <c r="NN27" i="1"/>
  <c r="NM28" i="1"/>
  <c r="NN28" i="1"/>
  <c r="NM29" i="1"/>
  <c r="NN29" i="1"/>
  <c r="NM34" i="1"/>
  <c r="NN34" i="1"/>
  <c r="NM35" i="1"/>
  <c r="NN35" i="1"/>
  <c r="NM36" i="1"/>
  <c r="NN36" i="1"/>
  <c r="NM37" i="1"/>
  <c r="NN37" i="1"/>
  <c r="NM40" i="1"/>
  <c r="NN40" i="1"/>
  <c r="NM45" i="1"/>
  <c r="NN45" i="1"/>
  <c r="NM46" i="1"/>
  <c r="NN46" i="1"/>
  <c r="NM47" i="1"/>
  <c r="NN47" i="1"/>
  <c r="NM50" i="1"/>
  <c r="NN50" i="1"/>
  <c r="NM51" i="1"/>
  <c r="NN51" i="1"/>
  <c r="NG93" i="1"/>
  <c r="NH93" i="1"/>
  <c r="NG95" i="1"/>
  <c r="NH95" i="1"/>
  <c r="NG96" i="1"/>
  <c r="NH96" i="1"/>
  <c r="NG97" i="1"/>
  <c r="NH97" i="1"/>
  <c r="NG99" i="1"/>
  <c r="NH99" i="1"/>
  <c r="NG100" i="1"/>
  <c r="NH100" i="1"/>
  <c r="NG102" i="1"/>
  <c r="NH102" i="1"/>
  <c r="NG103" i="1"/>
  <c r="NH103" i="1"/>
  <c r="NG104" i="1"/>
  <c r="NH104" i="1"/>
  <c r="NG105" i="1"/>
  <c r="NH105" i="1"/>
  <c r="NG109" i="1"/>
  <c r="NH109" i="1"/>
  <c r="NG111" i="1"/>
  <c r="NH111" i="1"/>
  <c r="NG112" i="1"/>
  <c r="NH112" i="1"/>
  <c r="NG113" i="1"/>
  <c r="NH113" i="1"/>
  <c r="NG114" i="1"/>
  <c r="NH114" i="1"/>
  <c r="NG115" i="1"/>
  <c r="NH115" i="1"/>
  <c r="NG121" i="1"/>
  <c r="NG122" i="1"/>
  <c r="NH122" i="1"/>
  <c r="NG124" i="1"/>
  <c r="NH124" i="1"/>
  <c r="NG132" i="1"/>
  <c r="NH132" i="1"/>
  <c r="NG133" i="1"/>
  <c r="NH133" i="1"/>
  <c r="NG135" i="1"/>
  <c r="NH135" i="1"/>
  <c r="NG137" i="1"/>
  <c r="NH137" i="1"/>
  <c r="NG138" i="1"/>
  <c r="NH138" i="1"/>
  <c r="NG6" i="1"/>
  <c r="NH6" i="1"/>
  <c r="NG7" i="1"/>
  <c r="NH7" i="1"/>
  <c r="NG8" i="1"/>
  <c r="NH8" i="1"/>
  <c r="NG9" i="1"/>
  <c r="NH9" i="1"/>
  <c r="NG10" i="1"/>
  <c r="NH10" i="1"/>
  <c r="NG14" i="1"/>
  <c r="NH14" i="1"/>
  <c r="NG15" i="1"/>
  <c r="NH15" i="1"/>
  <c r="NG27" i="1"/>
  <c r="NH27" i="1"/>
  <c r="NG30" i="1"/>
  <c r="NH30" i="1"/>
  <c r="NG35" i="1"/>
  <c r="NH35" i="1"/>
  <c r="NG36" i="1"/>
  <c r="NH36" i="1"/>
  <c r="NG37" i="1"/>
  <c r="NH37" i="1"/>
  <c r="NA93" i="1"/>
  <c r="NB93" i="1"/>
  <c r="NA95" i="1"/>
  <c r="NB95" i="1"/>
  <c r="NA96" i="1"/>
  <c r="NB96" i="1"/>
  <c r="NA97" i="1"/>
  <c r="NB97" i="1"/>
  <c r="NA98" i="1"/>
  <c r="NB98" i="1"/>
  <c r="NA100" i="1"/>
  <c r="NB100" i="1"/>
  <c r="NA101" i="1"/>
  <c r="NB101" i="1"/>
  <c r="NA102" i="1"/>
  <c r="NB102" i="1"/>
  <c r="NA104" i="1"/>
  <c r="NB104" i="1"/>
  <c r="NA105" i="1"/>
  <c r="NB105" i="1"/>
  <c r="NA106" i="1"/>
  <c r="NB106" i="1"/>
  <c r="NA107" i="1"/>
  <c r="NB107" i="1"/>
  <c r="NA108" i="1"/>
  <c r="NB108" i="1"/>
  <c r="NA109" i="1"/>
  <c r="NB109" i="1"/>
  <c r="NA110" i="1"/>
  <c r="NB110" i="1"/>
  <c r="NA111" i="1"/>
  <c r="NB111" i="1"/>
  <c r="NA112" i="1"/>
  <c r="NB112" i="1"/>
  <c r="NA113" i="1"/>
  <c r="NB113" i="1"/>
  <c r="NA114" i="1"/>
  <c r="NB114" i="1"/>
  <c r="NA122" i="1"/>
  <c r="NB122" i="1"/>
  <c r="NA123" i="1"/>
  <c r="NB123" i="1"/>
  <c r="NA124" i="1"/>
  <c r="NB124" i="1"/>
  <c r="NB125" i="1"/>
  <c r="NA129" i="1"/>
  <c r="NB129" i="1"/>
  <c r="NA132" i="1"/>
  <c r="NB132" i="1"/>
  <c r="NA133" i="1"/>
  <c r="NB133" i="1"/>
  <c r="NA134" i="1"/>
  <c r="NB134" i="1"/>
  <c r="NA135" i="1"/>
  <c r="NB135" i="1"/>
  <c r="NA137" i="1"/>
  <c r="NB137" i="1"/>
  <c r="NA138" i="1"/>
  <c r="NB138" i="1"/>
  <c r="NA10" i="1"/>
  <c r="NB10" i="1"/>
  <c r="NA12" i="1"/>
  <c r="NB12" i="1"/>
  <c r="NA13" i="1"/>
  <c r="NB13" i="1"/>
  <c r="NA15" i="1"/>
  <c r="NB15" i="1"/>
  <c r="NA16" i="1"/>
  <c r="NB16" i="1"/>
  <c r="NA17" i="1"/>
  <c r="NB17" i="1"/>
  <c r="NA18" i="1"/>
  <c r="NB18" i="1"/>
  <c r="NA19" i="1"/>
  <c r="NB19" i="1"/>
  <c r="NA20" i="1"/>
  <c r="NB20" i="1"/>
  <c r="NA21" i="1"/>
  <c r="NB21" i="1"/>
  <c r="NA22" i="1"/>
  <c r="NB22" i="1"/>
  <c r="NA24" i="1"/>
  <c r="NB24" i="1"/>
  <c r="NA25" i="1"/>
  <c r="NB25" i="1"/>
  <c r="NA26" i="1"/>
  <c r="NB26" i="1"/>
  <c r="NA28" i="1"/>
  <c r="NB28" i="1"/>
  <c r="NA31" i="1"/>
  <c r="NB31" i="1"/>
  <c r="NA33" i="1"/>
  <c r="NB33" i="1"/>
  <c r="NA34" i="1"/>
  <c r="NB34" i="1"/>
  <c r="NA35" i="1"/>
  <c r="NB35" i="1"/>
  <c r="NA36" i="1"/>
  <c r="NB36" i="1"/>
  <c r="NA37" i="1"/>
  <c r="NB37" i="1"/>
  <c r="NA39" i="1"/>
  <c r="NB39" i="1"/>
  <c r="NA41" i="1"/>
  <c r="NB41" i="1"/>
  <c r="NA45" i="1"/>
  <c r="NB45" i="1"/>
  <c r="NA46" i="1"/>
  <c r="NB46" i="1"/>
  <c r="NA47" i="1"/>
  <c r="NB47" i="1"/>
  <c r="NA48" i="1"/>
  <c r="NB48" i="1"/>
  <c r="NA50" i="1"/>
  <c r="NB50" i="1"/>
  <c r="NA51" i="1"/>
  <c r="NB51" i="1"/>
  <c r="NA9" i="1"/>
  <c r="NB9" i="1"/>
  <c r="NA8" i="1"/>
  <c r="NB8" i="1"/>
  <c r="NB6" i="1"/>
  <c r="NA6" i="1"/>
  <c r="Y64" i="36" l="1"/>
  <c r="X167" i="36"/>
  <c r="Z167" i="36" s="1"/>
  <c r="X154" i="36"/>
  <c r="Z154" i="36" s="1"/>
  <c r="X162" i="36"/>
  <c r="Z162" i="36" s="1"/>
  <c r="ND6" i="1"/>
  <c r="NO173" i="1"/>
  <c r="NN173" i="1"/>
  <c r="NM173" i="1"/>
  <c r="NO172" i="1"/>
  <c r="NN172" i="1"/>
  <c r="NM172" i="1"/>
  <c r="NO171" i="1"/>
  <c r="NN171" i="1"/>
  <c r="NM171" i="1"/>
  <c r="NO170" i="1"/>
  <c r="NN170" i="1"/>
  <c r="NM170" i="1"/>
  <c r="NO169" i="1"/>
  <c r="NN169" i="1"/>
  <c r="NM169" i="1"/>
  <c r="NO168" i="1"/>
  <c r="NN168" i="1"/>
  <c r="NM168" i="1"/>
  <c r="NO167" i="1"/>
  <c r="NN167" i="1"/>
  <c r="NM167" i="1"/>
  <c r="NO166" i="1"/>
  <c r="NN166" i="1"/>
  <c r="NM166" i="1"/>
  <c r="NO165" i="1"/>
  <c r="NN165" i="1"/>
  <c r="NM165" i="1"/>
  <c r="NO164" i="1"/>
  <c r="NN164" i="1"/>
  <c r="NM164" i="1"/>
  <c r="NO163" i="1"/>
  <c r="NN163" i="1"/>
  <c r="NM163" i="1"/>
  <c r="NO162" i="1"/>
  <c r="NN162" i="1"/>
  <c r="NM162" i="1"/>
  <c r="NO161" i="1"/>
  <c r="NN161" i="1"/>
  <c r="NM161" i="1"/>
  <c r="NO160" i="1"/>
  <c r="NN160" i="1"/>
  <c r="NM160" i="1"/>
  <c r="NO159" i="1"/>
  <c r="NN159" i="1"/>
  <c r="NM159" i="1"/>
  <c r="NO158" i="1"/>
  <c r="NN158" i="1"/>
  <c r="NM158" i="1"/>
  <c r="NO157" i="1"/>
  <c r="NN157" i="1"/>
  <c r="NM157" i="1"/>
  <c r="NO156" i="1"/>
  <c r="NN156" i="1"/>
  <c r="NM156" i="1"/>
  <c r="NO155" i="1"/>
  <c r="NN155" i="1"/>
  <c r="NM155" i="1"/>
  <c r="NO154" i="1"/>
  <c r="NN154" i="1"/>
  <c r="NM154" i="1"/>
  <c r="NO153" i="1"/>
  <c r="NN153" i="1"/>
  <c r="NM153" i="1"/>
  <c r="NO152" i="1"/>
  <c r="NN152" i="1"/>
  <c r="NM152" i="1"/>
  <c r="NO151" i="1"/>
  <c r="NN151" i="1"/>
  <c r="NM151" i="1"/>
  <c r="NO150" i="1"/>
  <c r="NN150" i="1"/>
  <c r="NM150" i="1"/>
  <c r="NO149" i="1"/>
  <c r="NN149" i="1"/>
  <c r="NM149" i="1"/>
  <c r="NO148" i="1"/>
  <c r="NN148" i="1"/>
  <c r="NM148" i="1"/>
  <c r="NO147" i="1"/>
  <c r="NN147" i="1"/>
  <c r="NM147" i="1"/>
  <c r="NO146" i="1"/>
  <c r="NN146" i="1"/>
  <c r="NM146" i="1"/>
  <c r="NO145" i="1"/>
  <c r="NN145" i="1"/>
  <c r="NM145" i="1"/>
  <c r="NO144" i="1"/>
  <c r="NN144" i="1"/>
  <c r="NM144" i="1"/>
  <c r="NO143" i="1"/>
  <c r="NN143" i="1"/>
  <c r="NM143" i="1"/>
  <c r="NQ138" i="1"/>
  <c r="NP138" i="1"/>
  <c r="NQ137" i="1"/>
  <c r="NP137" i="1"/>
  <c r="NQ136" i="1"/>
  <c r="NP136" i="1"/>
  <c r="NQ135" i="1"/>
  <c r="NP135" i="1"/>
  <c r="NQ134" i="1"/>
  <c r="NP134" i="1"/>
  <c r="NQ133" i="1"/>
  <c r="NP133" i="1"/>
  <c r="NQ132" i="1"/>
  <c r="NP132" i="1"/>
  <c r="NQ131" i="1"/>
  <c r="NP131" i="1"/>
  <c r="NQ130" i="1"/>
  <c r="NP130" i="1"/>
  <c r="NQ129" i="1"/>
  <c r="NP129" i="1"/>
  <c r="NQ128" i="1"/>
  <c r="NP128" i="1"/>
  <c r="NQ127" i="1"/>
  <c r="NP127" i="1"/>
  <c r="NQ126" i="1"/>
  <c r="NP126" i="1"/>
  <c r="NQ125" i="1"/>
  <c r="NP125" i="1"/>
  <c r="NQ124" i="1"/>
  <c r="NP124" i="1"/>
  <c r="NQ123" i="1"/>
  <c r="NP123" i="1"/>
  <c r="NQ122" i="1"/>
  <c r="NP122" i="1"/>
  <c r="NQ121" i="1"/>
  <c r="NP121" i="1"/>
  <c r="NQ120" i="1"/>
  <c r="NP120" i="1"/>
  <c r="NQ119" i="1"/>
  <c r="NP119" i="1"/>
  <c r="NQ118" i="1"/>
  <c r="NP118" i="1"/>
  <c r="NQ117" i="1"/>
  <c r="NP117" i="1"/>
  <c r="NQ116" i="1"/>
  <c r="NP116" i="1"/>
  <c r="NQ115" i="1"/>
  <c r="NP115" i="1"/>
  <c r="NQ114" i="1"/>
  <c r="NP114" i="1"/>
  <c r="NQ113" i="1"/>
  <c r="NP113" i="1"/>
  <c r="NQ112" i="1"/>
  <c r="NP112" i="1"/>
  <c r="NQ111" i="1"/>
  <c r="NP111" i="1"/>
  <c r="NQ110" i="1"/>
  <c r="NP110" i="1"/>
  <c r="NQ109" i="1"/>
  <c r="NP109" i="1"/>
  <c r="NQ108" i="1"/>
  <c r="NP108" i="1"/>
  <c r="NQ107" i="1"/>
  <c r="NP107" i="1"/>
  <c r="NQ106" i="1"/>
  <c r="NP106" i="1"/>
  <c r="NQ105" i="1"/>
  <c r="NP105" i="1"/>
  <c r="NQ104" i="1"/>
  <c r="NP104" i="1"/>
  <c r="NQ103" i="1"/>
  <c r="NP103" i="1"/>
  <c r="NQ102" i="1"/>
  <c r="NP102" i="1"/>
  <c r="NQ101" i="1"/>
  <c r="NP101" i="1"/>
  <c r="NQ100" i="1"/>
  <c r="NP100" i="1"/>
  <c r="NQ99" i="1"/>
  <c r="NP99" i="1"/>
  <c r="NQ98" i="1"/>
  <c r="NP98" i="1"/>
  <c r="NQ97" i="1"/>
  <c r="NP97" i="1"/>
  <c r="NQ96" i="1"/>
  <c r="NP96" i="1"/>
  <c r="NQ95" i="1"/>
  <c r="NP95" i="1"/>
  <c r="NQ94" i="1"/>
  <c r="NP94" i="1"/>
  <c r="NQ93" i="1"/>
  <c r="NP93" i="1"/>
  <c r="NO86" i="1"/>
  <c r="NN86" i="1"/>
  <c r="NM86" i="1"/>
  <c r="NO85" i="1"/>
  <c r="NN85" i="1"/>
  <c r="NM85" i="1"/>
  <c r="NO84" i="1"/>
  <c r="NN84" i="1"/>
  <c r="NM84" i="1"/>
  <c r="NO83" i="1"/>
  <c r="NN83" i="1"/>
  <c r="NM83" i="1"/>
  <c r="NO82" i="1"/>
  <c r="NN82" i="1"/>
  <c r="NM82" i="1"/>
  <c r="NO81" i="1"/>
  <c r="NN81" i="1"/>
  <c r="NM81" i="1"/>
  <c r="NO80" i="1"/>
  <c r="NN80" i="1"/>
  <c r="NM80" i="1"/>
  <c r="NO79" i="1"/>
  <c r="NN79" i="1"/>
  <c r="NM79" i="1"/>
  <c r="NO78" i="1"/>
  <c r="NN78" i="1"/>
  <c r="NM78" i="1"/>
  <c r="NO77" i="1"/>
  <c r="NN77" i="1"/>
  <c r="NM77" i="1"/>
  <c r="NO76" i="1"/>
  <c r="NN76" i="1"/>
  <c r="NM76" i="1"/>
  <c r="NO75" i="1"/>
  <c r="NN75" i="1"/>
  <c r="NM75" i="1"/>
  <c r="NO74" i="1"/>
  <c r="NN74" i="1"/>
  <c r="NM74" i="1"/>
  <c r="NO73" i="1"/>
  <c r="NN73" i="1"/>
  <c r="NM73" i="1"/>
  <c r="NO72" i="1"/>
  <c r="NN72" i="1"/>
  <c r="NM72" i="1"/>
  <c r="NO71" i="1"/>
  <c r="NN71" i="1"/>
  <c r="NM71" i="1"/>
  <c r="NO70" i="1"/>
  <c r="NN70" i="1"/>
  <c r="NM70" i="1"/>
  <c r="NO69" i="1"/>
  <c r="NN69" i="1"/>
  <c r="NM69" i="1"/>
  <c r="NO68" i="1"/>
  <c r="NN68" i="1"/>
  <c r="NM68" i="1"/>
  <c r="NO67" i="1"/>
  <c r="NN67" i="1"/>
  <c r="NM67" i="1"/>
  <c r="NO66" i="1"/>
  <c r="NN66" i="1"/>
  <c r="NM66" i="1"/>
  <c r="NO65" i="1"/>
  <c r="NN65" i="1"/>
  <c r="NM65" i="1"/>
  <c r="NO64" i="1"/>
  <c r="NN64" i="1"/>
  <c r="NM64" i="1"/>
  <c r="NO63" i="1"/>
  <c r="NN63" i="1"/>
  <c r="NM63" i="1"/>
  <c r="NO62" i="1"/>
  <c r="NN62" i="1"/>
  <c r="NM62" i="1"/>
  <c r="NO61" i="1"/>
  <c r="NN61" i="1"/>
  <c r="NM61" i="1"/>
  <c r="NO60" i="1"/>
  <c r="NN60" i="1"/>
  <c r="NM60" i="1"/>
  <c r="NO59" i="1"/>
  <c r="NN59" i="1"/>
  <c r="NM59" i="1"/>
  <c r="NO58" i="1"/>
  <c r="NN58" i="1"/>
  <c r="NM58" i="1"/>
  <c r="NO57" i="1"/>
  <c r="NN57" i="1"/>
  <c r="NM57" i="1"/>
  <c r="NO56" i="1"/>
  <c r="NN56" i="1"/>
  <c r="NM56" i="1"/>
  <c r="NQ51" i="1"/>
  <c r="NP51" i="1"/>
  <c r="NQ50" i="1"/>
  <c r="NP50" i="1"/>
  <c r="NQ49" i="1"/>
  <c r="NP49" i="1"/>
  <c r="NQ48" i="1"/>
  <c r="NP48" i="1"/>
  <c r="NQ47" i="1"/>
  <c r="NP47" i="1"/>
  <c r="NQ46" i="1"/>
  <c r="NP46" i="1"/>
  <c r="NQ45" i="1"/>
  <c r="NP45" i="1"/>
  <c r="NQ44" i="1"/>
  <c r="NP44" i="1"/>
  <c r="NQ43" i="1"/>
  <c r="NP43" i="1"/>
  <c r="NQ42" i="1"/>
  <c r="NP42" i="1"/>
  <c r="NQ41" i="1"/>
  <c r="NP41" i="1"/>
  <c r="NQ40" i="1"/>
  <c r="NP40" i="1"/>
  <c r="NQ39" i="1"/>
  <c r="NP39" i="1"/>
  <c r="NQ38" i="1"/>
  <c r="NP38" i="1"/>
  <c r="NQ37" i="1"/>
  <c r="NP37" i="1"/>
  <c r="NQ36" i="1"/>
  <c r="NP36" i="1"/>
  <c r="NQ35" i="1"/>
  <c r="NP35" i="1"/>
  <c r="NQ34" i="1"/>
  <c r="NP34" i="1"/>
  <c r="NQ33" i="1"/>
  <c r="NP33" i="1"/>
  <c r="NQ32" i="1"/>
  <c r="NP32" i="1"/>
  <c r="NQ31" i="1"/>
  <c r="NP31" i="1"/>
  <c r="NQ30" i="1"/>
  <c r="NP30" i="1"/>
  <c r="NQ29" i="1"/>
  <c r="NP29" i="1"/>
  <c r="NQ28" i="1"/>
  <c r="NP28" i="1"/>
  <c r="NQ27" i="1"/>
  <c r="NP27" i="1"/>
  <c r="NQ26" i="1"/>
  <c r="NP26" i="1"/>
  <c r="NQ25" i="1"/>
  <c r="NP25" i="1"/>
  <c r="NQ24" i="1"/>
  <c r="NP24" i="1"/>
  <c r="NQ23" i="1"/>
  <c r="NP23" i="1"/>
  <c r="NQ22" i="1"/>
  <c r="NP22" i="1"/>
  <c r="NQ21" i="1"/>
  <c r="NP21" i="1"/>
  <c r="NQ20" i="1"/>
  <c r="NP20" i="1"/>
  <c r="NQ19" i="1"/>
  <c r="NP19" i="1"/>
  <c r="NQ18" i="1"/>
  <c r="NP18" i="1"/>
  <c r="NQ17" i="1"/>
  <c r="NP17" i="1"/>
  <c r="NQ16" i="1"/>
  <c r="NP16" i="1"/>
  <c r="NQ15" i="1"/>
  <c r="NP15" i="1"/>
  <c r="NQ14" i="1"/>
  <c r="NP14" i="1"/>
  <c r="NQ13" i="1"/>
  <c r="NP13" i="1"/>
  <c r="NQ12" i="1"/>
  <c r="NP12" i="1"/>
  <c r="NQ11" i="1"/>
  <c r="NP11" i="1"/>
  <c r="NQ10" i="1"/>
  <c r="NP10" i="1"/>
  <c r="NQ9" i="1"/>
  <c r="NP9" i="1"/>
  <c r="NQ8" i="1"/>
  <c r="NP8" i="1"/>
  <c r="NQ7" i="1"/>
  <c r="NP7" i="1"/>
  <c r="NQ6" i="1"/>
  <c r="NP6" i="1"/>
  <c r="NI173" i="1"/>
  <c r="NH173" i="1"/>
  <c r="NG173" i="1"/>
  <c r="NI172" i="1"/>
  <c r="NH172" i="1"/>
  <c r="NG172" i="1"/>
  <c r="NI171" i="1"/>
  <c r="NH171" i="1"/>
  <c r="NG171" i="1"/>
  <c r="NI170" i="1"/>
  <c r="NH170" i="1"/>
  <c r="NG170" i="1"/>
  <c r="NI169" i="1"/>
  <c r="NH169" i="1"/>
  <c r="NG169" i="1"/>
  <c r="NI168" i="1"/>
  <c r="NH168" i="1"/>
  <c r="NG168" i="1"/>
  <c r="NI167" i="1"/>
  <c r="NH167" i="1"/>
  <c r="NG167" i="1"/>
  <c r="NI166" i="1"/>
  <c r="NH166" i="1"/>
  <c r="NG166" i="1"/>
  <c r="NI165" i="1"/>
  <c r="NH165" i="1"/>
  <c r="NG165" i="1"/>
  <c r="NI164" i="1"/>
  <c r="NH164" i="1"/>
  <c r="NG164" i="1"/>
  <c r="NI163" i="1"/>
  <c r="NH163" i="1"/>
  <c r="NG163" i="1"/>
  <c r="NI162" i="1"/>
  <c r="NH162" i="1"/>
  <c r="NG162" i="1"/>
  <c r="NI161" i="1"/>
  <c r="NH161" i="1"/>
  <c r="NG161" i="1"/>
  <c r="NI160" i="1"/>
  <c r="NH160" i="1"/>
  <c r="NG160" i="1"/>
  <c r="NI159" i="1"/>
  <c r="NH159" i="1"/>
  <c r="NG159" i="1"/>
  <c r="NI158" i="1"/>
  <c r="NH158" i="1"/>
  <c r="NG158" i="1"/>
  <c r="NI157" i="1"/>
  <c r="NH157" i="1"/>
  <c r="NG157" i="1"/>
  <c r="NI156" i="1"/>
  <c r="NH156" i="1"/>
  <c r="NG156" i="1"/>
  <c r="NI155" i="1"/>
  <c r="NH155" i="1"/>
  <c r="NG155" i="1"/>
  <c r="NI154" i="1"/>
  <c r="NH154" i="1"/>
  <c r="NG154" i="1"/>
  <c r="NI153" i="1"/>
  <c r="NH153" i="1"/>
  <c r="NG153" i="1"/>
  <c r="NI152" i="1"/>
  <c r="NH152" i="1"/>
  <c r="NG152" i="1"/>
  <c r="NI151" i="1"/>
  <c r="NH151" i="1"/>
  <c r="NG151" i="1"/>
  <c r="NI150" i="1"/>
  <c r="NH150" i="1"/>
  <c r="NG150" i="1"/>
  <c r="NI149" i="1"/>
  <c r="NH149" i="1"/>
  <c r="NG149" i="1"/>
  <c r="NI148" i="1"/>
  <c r="NH148" i="1"/>
  <c r="NG148" i="1"/>
  <c r="NI147" i="1"/>
  <c r="NH147" i="1"/>
  <c r="NG147" i="1"/>
  <c r="NI146" i="1"/>
  <c r="NH146" i="1"/>
  <c r="NG146" i="1"/>
  <c r="NI145" i="1"/>
  <c r="NH145" i="1"/>
  <c r="NG145" i="1"/>
  <c r="NI144" i="1"/>
  <c r="NH144" i="1"/>
  <c r="NG144" i="1"/>
  <c r="NI143" i="1"/>
  <c r="NH143" i="1"/>
  <c r="NG143" i="1"/>
  <c r="NK138" i="1"/>
  <c r="NJ138" i="1"/>
  <c r="NK137" i="1"/>
  <c r="NJ137" i="1"/>
  <c r="NK136" i="1"/>
  <c r="NJ136" i="1"/>
  <c r="NK135" i="1"/>
  <c r="NJ135" i="1"/>
  <c r="NK134" i="1"/>
  <c r="NJ134" i="1"/>
  <c r="NK133" i="1"/>
  <c r="NJ133" i="1"/>
  <c r="NK132" i="1"/>
  <c r="NJ132" i="1"/>
  <c r="NK131" i="1"/>
  <c r="NJ131" i="1"/>
  <c r="NK130" i="1"/>
  <c r="NJ130" i="1"/>
  <c r="NK129" i="1"/>
  <c r="NJ129" i="1"/>
  <c r="NK128" i="1"/>
  <c r="NJ128" i="1"/>
  <c r="NK127" i="1"/>
  <c r="NJ127" i="1"/>
  <c r="NK126" i="1"/>
  <c r="NJ126" i="1"/>
  <c r="NK125" i="1"/>
  <c r="NJ125" i="1"/>
  <c r="NK124" i="1"/>
  <c r="NJ124" i="1"/>
  <c r="NK123" i="1"/>
  <c r="NJ123" i="1"/>
  <c r="NK122" i="1"/>
  <c r="NJ122" i="1"/>
  <c r="NK121" i="1"/>
  <c r="NJ121" i="1"/>
  <c r="NK120" i="1"/>
  <c r="NJ120" i="1"/>
  <c r="NK119" i="1"/>
  <c r="NJ119" i="1"/>
  <c r="NK118" i="1"/>
  <c r="NJ118" i="1"/>
  <c r="NK117" i="1"/>
  <c r="NJ117" i="1"/>
  <c r="NK116" i="1"/>
  <c r="NJ116" i="1"/>
  <c r="NK115" i="1"/>
  <c r="NJ115" i="1"/>
  <c r="NK114" i="1"/>
  <c r="NJ114" i="1"/>
  <c r="NK113" i="1"/>
  <c r="NJ113" i="1"/>
  <c r="NK112" i="1"/>
  <c r="NJ112" i="1"/>
  <c r="NK111" i="1"/>
  <c r="NJ111" i="1"/>
  <c r="NK110" i="1"/>
  <c r="NJ110" i="1"/>
  <c r="NK109" i="1"/>
  <c r="NJ109" i="1"/>
  <c r="NK108" i="1"/>
  <c r="NJ108" i="1"/>
  <c r="NK107" i="1"/>
  <c r="NJ107" i="1"/>
  <c r="NK106" i="1"/>
  <c r="NJ106" i="1"/>
  <c r="NK105" i="1"/>
  <c r="NJ105" i="1"/>
  <c r="NK104" i="1"/>
  <c r="NJ104" i="1"/>
  <c r="NK103" i="1"/>
  <c r="NJ103" i="1"/>
  <c r="NK102" i="1"/>
  <c r="NJ102" i="1"/>
  <c r="NK101" i="1"/>
  <c r="NJ101" i="1"/>
  <c r="NK100" i="1"/>
  <c r="NJ100" i="1"/>
  <c r="NK99" i="1"/>
  <c r="NJ99" i="1"/>
  <c r="NK98" i="1"/>
  <c r="NJ98" i="1"/>
  <c r="NK97" i="1"/>
  <c r="NJ97" i="1"/>
  <c r="NK96" i="1"/>
  <c r="NJ96" i="1"/>
  <c r="NK95" i="1"/>
  <c r="NJ95" i="1"/>
  <c r="NK94" i="1"/>
  <c r="NJ94" i="1"/>
  <c r="NK93" i="1"/>
  <c r="NJ93" i="1"/>
  <c r="NI86" i="1"/>
  <c r="NH86" i="1"/>
  <c r="NG86" i="1"/>
  <c r="NI85" i="1"/>
  <c r="NH85" i="1"/>
  <c r="NG85" i="1"/>
  <c r="NI84" i="1"/>
  <c r="NH84" i="1"/>
  <c r="NG84" i="1"/>
  <c r="NI83" i="1"/>
  <c r="NH83" i="1"/>
  <c r="NG83" i="1"/>
  <c r="NI82" i="1"/>
  <c r="NH82" i="1"/>
  <c r="NG82" i="1"/>
  <c r="NI81" i="1"/>
  <c r="NH81" i="1"/>
  <c r="NG81" i="1"/>
  <c r="NI80" i="1"/>
  <c r="NH80" i="1"/>
  <c r="NG80" i="1"/>
  <c r="NI79" i="1"/>
  <c r="NH79" i="1"/>
  <c r="NG79" i="1"/>
  <c r="NI78" i="1"/>
  <c r="NH78" i="1"/>
  <c r="NG78" i="1"/>
  <c r="NI77" i="1"/>
  <c r="NH77" i="1"/>
  <c r="NG77" i="1"/>
  <c r="NI76" i="1"/>
  <c r="NH76" i="1"/>
  <c r="NG76" i="1"/>
  <c r="NI75" i="1"/>
  <c r="NH75" i="1"/>
  <c r="NG75" i="1"/>
  <c r="NI74" i="1"/>
  <c r="NH74" i="1"/>
  <c r="NG74" i="1"/>
  <c r="NI73" i="1"/>
  <c r="NH73" i="1"/>
  <c r="NG73" i="1"/>
  <c r="NI72" i="1"/>
  <c r="NH72" i="1"/>
  <c r="NG72" i="1"/>
  <c r="NI71" i="1"/>
  <c r="NH71" i="1"/>
  <c r="NG71" i="1"/>
  <c r="NI70" i="1"/>
  <c r="NH70" i="1"/>
  <c r="NG70" i="1"/>
  <c r="NI69" i="1"/>
  <c r="NH69" i="1"/>
  <c r="NG69" i="1"/>
  <c r="NI68" i="1"/>
  <c r="NH68" i="1"/>
  <c r="NG68" i="1"/>
  <c r="NI67" i="1"/>
  <c r="NH67" i="1"/>
  <c r="NG67" i="1"/>
  <c r="NI66" i="1"/>
  <c r="NH66" i="1"/>
  <c r="NG66" i="1"/>
  <c r="NI65" i="1"/>
  <c r="NH65" i="1"/>
  <c r="NG65" i="1"/>
  <c r="NI64" i="1"/>
  <c r="NH64" i="1"/>
  <c r="NG64" i="1"/>
  <c r="NI63" i="1"/>
  <c r="NH63" i="1"/>
  <c r="NG63" i="1"/>
  <c r="NI62" i="1"/>
  <c r="NH62" i="1"/>
  <c r="NG62" i="1"/>
  <c r="NI61" i="1"/>
  <c r="NH61" i="1"/>
  <c r="NG61" i="1"/>
  <c r="NI60" i="1"/>
  <c r="NH60" i="1"/>
  <c r="NG60" i="1"/>
  <c r="NI59" i="1"/>
  <c r="NH59" i="1"/>
  <c r="NG59" i="1"/>
  <c r="NI58" i="1"/>
  <c r="NH58" i="1"/>
  <c r="NG58" i="1"/>
  <c r="NI57" i="1"/>
  <c r="NH57" i="1"/>
  <c r="NG57" i="1"/>
  <c r="NI56" i="1"/>
  <c r="NH56" i="1"/>
  <c r="NK56" i="1" s="1"/>
  <c r="NG56" i="1"/>
  <c r="NK51" i="1"/>
  <c r="NJ51" i="1"/>
  <c r="NK50" i="1"/>
  <c r="NJ50" i="1"/>
  <c r="NK49" i="1"/>
  <c r="NJ49" i="1"/>
  <c r="NK48" i="1"/>
  <c r="NJ48" i="1"/>
  <c r="NK47" i="1"/>
  <c r="NJ47" i="1"/>
  <c r="NK46" i="1"/>
  <c r="NJ46" i="1"/>
  <c r="NK45" i="1"/>
  <c r="NJ45" i="1"/>
  <c r="NK44" i="1"/>
  <c r="NJ44" i="1"/>
  <c r="NK43" i="1"/>
  <c r="NJ43" i="1"/>
  <c r="NK42" i="1"/>
  <c r="NJ42" i="1"/>
  <c r="NK41" i="1"/>
  <c r="NJ41" i="1"/>
  <c r="NK40" i="1"/>
  <c r="NJ40" i="1"/>
  <c r="NK39" i="1"/>
  <c r="NJ39" i="1"/>
  <c r="NK38" i="1"/>
  <c r="NJ38" i="1"/>
  <c r="NK37" i="1"/>
  <c r="NJ37" i="1"/>
  <c r="NK36" i="1"/>
  <c r="NJ36" i="1"/>
  <c r="NK35" i="1"/>
  <c r="NJ35" i="1"/>
  <c r="NK34" i="1"/>
  <c r="NJ34" i="1"/>
  <c r="NK33" i="1"/>
  <c r="NJ33" i="1"/>
  <c r="NK32" i="1"/>
  <c r="NJ32" i="1"/>
  <c r="NK31" i="1"/>
  <c r="NJ31" i="1"/>
  <c r="NK30" i="1"/>
  <c r="NJ30" i="1"/>
  <c r="NK29" i="1"/>
  <c r="NJ29" i="1"/>
  <c r="NK28" i="1"/>
  <c r="NJ28" i="1"/>
  <c r="NK27" i="1"/>
  <c r="NJ27" i="1"/>
  <c r="NK26" i="1"/>
  <c r="NJ26" i="1"/>
  <c r="NK25" i="1"/>
  <c r="NJ25" i="1"/>
  <c r="NK24" i="1"/>
  <c r="NJ24" i="1"/>
  <c r="NK23" i="1"/>
  <c r="NJ23" i="1"/>
  <c r="NK22" i="1"/>
  <c r="NJ22" i="1"/>
  <c r="NK21" i="1"/>
  <c r="NJ21" i="1"/>
  <c r="NK20" i="1"/>
  <c r="NJ20" i="1"/>
  <c r="NK19" i="1"/>
  <c r="NJ19" i="1"/>
  <c r="NK18" i="1"/>
  <c r="NJ18" i="1"/>
  <c r="NK17" i="1"/>
  <c r="NJ17" i="1"/>
  <c r="NK16" i="1"/>
  <c r="NJ16" i="1"/>
  <c r="NK15" i="1"/>
  <c r="NJ15" i="1"/>
  <c r="NK14" i="1"/>
  <c r="NJ14" i="1"/>
  <c r="NK13" i="1"/>
  <c r="NJ13" i="1"/>
  <c r="NK12" i="1"/>
  <c r="NJ12" i="1"/>
  <c r="NK11" i="1"/>
  <c r="NJ11" i="1"/>
  <c r="NK10" i="1"/>
  <c r="NJ10" i="1"/>
  <c r="NK9" i="1"/>
  <c r="NJ9" i="1"/>
  <c r="NK8" i="1"/>
  <c r="NJ8" i="1"/>
  <c r="NK7" i="1"/>
  <c r="NJ7" i="1"/>
  <c r="NK6" i="1"/>
  <c r="NJ6" i="1"/>
  <c r="NC173" i="1"/>
  <c r="NB173" i="1"/>
  <c r="NA173" i="1"/>
  <c r="ND173" i="1" s="1"/>
  <c r="DS45" i="5" s="1"/>
  <c r="NC172" i="1"/>
  <c r="NB172" i="1"/>
  <c r="NA172" i="1"/>
  <c r="NC171" i="1"/>
  <c r="NB171" i="1"/>
  <c r="NA171" i="1"/>
  <c r="ND171" i="1" s="1"/>
  <c r="NC170" i="1"/>
  <c r="NB170" i="1"/>
  <c r="NA170" i="1"/>
  <c r="NC169" i="1"/>
  <c r="NB169" i="1"/>
  <c r="NA169" i="1"/>
  <c r="NC168" i="1"/>
  <c r="NB168" i="1"/>
  <c r="NA168" i="1"/>
  <c r="NC167" i="1"/>
  <c r="NB167" i="1"/>
  <c r="NA167" i="1"/>
  <c r="NC166" i="1"/>
  <c r="NB166" i="1"/>
  <c r="NA166" i="1"/>
  <c r="NC165" i="1"/>
  <c r="NB165" i="1"/>
  <c r="NA165" i="1"/>
  <c r="NC164" i="1"/>
  <c r="NB164" i="1"/>
  <c r="NA164" i="1"/>
  <c r="NC163" i="1"/>
  <c r="NB163" i="1"/>
  <c r="NA163" i="1"/>
  <c r="NC162" i="1"/>
  <c r="NB162" i="1"/>
  <c r="NA162" i="1"/>
  <c r="NC161" i="1"/>
  <c r="NB161" i="1"/>
  <c r="NA161" i="1"/>
  <c r="NC160" i="1"/>
  <c r="NB160" i="1"/>
  <c r="NA160" i="1"/>
  <c r="NC159" i="1"/>
  <c r="NB159" i="1"/>
  <c r="NA159" i="1"/>
  <c r="NC158" i="1"/>
  <c r="NB158" i="1"/>
  <c r="NA158" i="1"/>
  <c r="NC157" i="1"/>
  <c r="NB157" i="1"/>
  <c r="NA157" i="1"/>
  <c r="NC156" i="1"/>
  <c r="NB156" i="1"/>
  <c r="NA156" i="1"/>
  <c r="NC155" i="1"/>
  <c r="NB155" i="1"/>
  <c r="NA155" i="1"/>
  <c r="NC154" i="1"/>
  <c r="NB154" i="1"/>
  <c r="NA154" i="1"/>
  <c r="NC153" i="1"/>
  <c r="NB153" i="1"/>
  <c r="NA153" i="1"/>
  <c r="NC152" i="1"/>
  <c r="NB152" i="1"/>
  <c r="NA152" i="1"/>
  <c r="NC151" i="1"/>
  <c r="NB151" i="1"/>
  <c r="NA151" i="1"/>
  <c r="NC150" i="1"/>
  <c r="NB150" i="1"/>
  <c r="NA150" i="1"/>
  <c r="NC149" i="1"/>
  <c r="NB149" i="1"/>
  <c r="NA149" i="1"/>
  <c r="NC148" i="1"/>
  <c r="NB148" i="1"/>
  <c r="NA148" i="1"/>
  <c r="NC147" i="1"/>
  <c r="NB147" i="1"/>
  <c r="NA147" i="1"/>
  <c r="NC146" i="1"/>
  <c r="NB146" i="1"/>
  <c r="NA146" i="1"/>
  <c r="NC145" i="1"/>
  <c r="NB145" i="1"/>
  <c r="NA145" i="1"/>
  <c r="NC144" i="1"/>
  <c r="NB144" i="1"/>
  <c r="NA144" i="1"/>
  <c r="NC143" i="1"/>
  <c r="NB143" i="1"/>
  <c r="NA143" i="1"/>
  <c r="NE138" i="1"/>
  <c r="ND138" i="1"/>
  <c r="NE137" i="1"/>
  <c r="ND137" i="1"/>
  <c r="NE136" i="1"/>
  <c r="ND136" i="1"/>
  <c r="NE135" i="1"/>
  <c r="ND135" i="1"/>
  <c r="NE134" i="1"/>
  <c r="ND134" i="1"/>
  <c r="NE133" i="1"/>
  <c r="ND133" i="1"/>
  <c r="NE132" i="1"/>
  <c r="ND132" i="1"/>
  <c r="NE131" i="1"/>
  <c r="ND131" i="1"/>
  <c r="NE130" i="1"/>
  <c r="ND130" i="1"/>
  <c r="NE129" i="1"/>
  <c r="ND129" i="1"/>
  <c r="NE128" i="1"/>
  <c r="ND128" i="1"/>
  <c r="NE127" i="1"/>
  <c r="ND127" i="1"/>
  <c r="NE126" i="1"/>
  <c r="ND126" i="1"/>
  <c r="NE125" i="1"/>
  <c r="ND125" i="1"/>
  <c r="NE124" i="1"/>
  <c r="ND124" i="1"/>
  <c r="NE123" i="1"/>
  <c r="ND123" i="1"/>
  <c r="NE122" i="1"/>
  <c r="ND122" i="1"/>
  <c r="NE121" i="1"/>
  <c r="ND121" i="1"/>
  <c r="NE120" i="1"/>
  <c r="ND120" i="1"/>
  <c r="NE119" i="1"/>
  <c r="ND119" i="1"/>
  <c r="NE118" i="1"/>
  <c r="ND118" i="1"/>
  <c r="NE117" i="1"/>
  <c r="ND117" i="1"/>
  <c r="NE116" i="1"/>
  <c r="ND116" i="1"/>
  <c r="NE115" i="1"/>
  <c r="ND115" i="1"/>
  <c r="NE114" i="1"/>
  <c r="ND114" i="1"/>
  <c r="NE113" i="1"/>
  <c r="ND113" i="1"/>
  <c r="NE112" i="1"/>
  <c r="ND112" i="1"/>
  <c r="NE111" i="1"/>
  <c r="ND111" i="1"/>
  <c r="NE110" i="1"/>
  <c r="ND110" i="1"/>
  <c r="NE109" i="1"/>
  <c r="ND109" i="1"/>
  <c r="NE108" i="1"/>
  <c r="ND108" i="1"/>
  <c r="NE107" i="1"/>
  <c r="ND107" i="1"/>
  <c r="NE106" i="1"/>
  <c r="ND106" i="1"/>
  <c r="NE105" i="1"/>
  <c r="ND105" i="1"/>
  <c r="NE104" i="1"/>
  <c r="ND104" i="1"/>
  <c r="NE103" i="1"/>
  <c r="ND103" i="1"/>
  <c r="NE102" i="1"/>
  <c r="ND102" i="1"/>
  <c r="NE101" i="1"/>
  <c r="ND101" i="1"/>
  <c r="NE100" i="1"/>
  <c r="ND100" i="1"/>
  <c r="NE99" i="1"/>
  <c r="ND99" i="1"/>
  <c r="NE98" i="1"/>
  <c r="ND98" i="1"/>
  <c r="NE97" i="1"/>
  <c r="ND97" i="1"/>
  <c r="NE96" i="1"/>
  <c r="ND96" i="1"/>
  <c r="NE95" i="1"/>
  <c r="ND95" i="1"/>
  <c r="NE94" i="1"/>
  <c r="ND94" i="1"/>
  <c r="NE93" i="1"/>
  <c r="ND93" i="1"/>
  <c r="NC86" i="1"/>
  <c r="NB86" i="1"/>
  <c r="NA86" i="1"/>
  <c r="NC85" i="1"/>
  <c r="NB85" i="1"/>
  <c r="NA85" i="1"/>
  <c r="NC84" i="1"/>
  <c r="NB84" i="1"/>
  <c r="NA84" i="1"/>
  <c r="NC83" i="1"/>
  <c r="NB83" i="1"/>
  <c r="NA83" i="1"/>
  <c r="NC82" i="1"/>
  <c r="NB82" i="1"/>
  <c r="NA82" i="1"/>
  <c r="NC81" i="1"/>
  <c r="NB81" i="1"/>
  <c r="NA81" i="1"/>
  <c r="NC80" i="1"/>
  <c r="NB80" i="1"/>
  <c r="NA80" i="1"/>
  <c r="NC79" i="1"/>
  <c r="NB79" i="1"/>
  <c r="NA79" i="1"/>
  <c r="NC78" i="1"/>
  <c r="NB78" i="1"/>
  <c r="NA78" i="1"/>
  <c r="NC77" i="1"/>
  <c r="NB77" i="1"/>
  <c r="NA77" i="1"/>
  <c r="NC76" i="1"/>
  <c r="NB76" i="1"/>
  <c r="NA76" i="1"/>
  <c r="NC75" i="1"/>
  <c r="NB75" i="1"/>
  <c r="NA75" i="1"/>
  <c r="NC74" i="1"/>
  <c r="NB74" i="1"/>
  <c r="NA74" i="1"/>
  <c r="NC73" i="1"/>
  <c r="NB73" i="1"/>
  <c r="NA73" i="1"/>
  <c r="NC72" i="1"/>
  <c r="NB72" i="1"/>
  <c r="NA72" i="1"/>
  <c r="NC71" i="1"/>
  <c r="NB71" i="1"/>
  <c r="NA71" i="1"/>
  <c r="NC70" i="1"/>
  <c r="NB70" i="1"/>
  <c r="NA70" i="1"/>
  <c r="NC69" i="1"/>
  <c r="NB69" i="1"/>
  <c r="NA69" i="1"/>
  <c r="NC68" i="1"/>
  <c r="NB68" i="1"/>
  <c r="NA68" i="1"/>
  <c r="NC67" i="1"/>
  <c r="NB67" i="1"/>
  <c r="NA67" i="1"/>
  <c r="NC66" i="1"/>
  <c r="NB66" i="1"/>
  <c r="NA66" i="1"/>
  <c r="NC65" i="1"/>
  <c r="NB65" i="1"/>
  <c r="NA65" i="1"/>
  <c r="NC64" i="1"/>
  <c r="NB64" i="1"/>
  <c r="NA64" i="1"/>
  <c r="NC63" i="1"/>
  <c r="NB63" i="1"/>
  <c r="NA63" i="1"/>
  <c r="NC62" i="1"/>
  <c r="NB62" i="1"/>
  <c r="NA62" i="1"/>
  <c r="NC61" i="1"/>
  <c r="NB61" i="1"/>
  <c r="NA61" i="1"/>
  <c r="NC60" i="1"/>
  <c r="NB60" i="1"/>
  <c r="NA60" i="1"/>
  <c r="NC59" i="1"/>
  <c r="NB59" i="1"/>
  <c r="NA59" i="1"/>
  <c r="NC58" i="1"/>
  <c r="NB58" i="1"/>
  <c r="NA58" i="1"/>
  <c r="NC57" i="1"/>
  <c r="NB57" i="1"/>
  <c r="NA57" i="1"/>
  <c r="NC56" i="1"/>
  <c r="NB56" i="1"/>
  <c r="NA56" i="1"/>
  <c r="NE51" i="1"/>
  <c r="ND51" i="1"/>
  <c r="NE50" i="1"/>
  <c r="ND50" i="1"/>
  <c r="NE49" i="1"/>
  <c r="ND49" i="1"/>
  <c r="NE48" i="1"/>
  <c r="ND48" i="1"/>
  <c r="NE47" i="1"/>
  <c r="ND47" i="1"/>
  <c r="NE46" i="1"/>
  <c r="ND46" i="1"/>
  <c r="NE45" i="1"/>
  <c r="ND45" i="1"/>
  <c r="NE44" i="1"/>
  <c r="ND44" i="1"/>
  <c r="NE43" i="1"/>
  <c r="ND43" i="1"/>
  <c r="NE42" i="1"/>
  <c r="ND42" i="1"/>
  <c r="NE41" i="1"/>
  <c r="ND41" i="1"/>
  <c r="NE40" i="1"/>
  <c r="ND40" i="1"/>
  <c r="NE39" i="1"/>
  <c r="ND39" i="1"/>
  <c r="NE38" i="1"/>
  <c r="ND38" i="1"/>
  <c r="NE37" i="1"/>
  <c r="ND37" i="1"/>
  <c r="NE36" i="1"/>
  <c r="ND36" i="1"/>
  <c r="NE35" i="1"/>
  <c r="ND35" i="1"/>
  <c r="NE34" i="1"/>
  <c r="ND34" i="1"/>
  <c r="NE33" i="1"/>
  <c r="ND33" i="1"/>
  <c r="NE32" i="1"/>
  <c r="ND32" i="1"/>
  <c r="NE31" i="1"/>
  <c r="ND31" i="1"/>
  <c r="NE30" i="1"/>
  <c r="ND30" i="1"/>
  <c r="NE29" i="1"/>
  <c r="ND29" i="1"/>
  <c r="NE28" i="1"/>
  <c r="ND28" i="1"/>
  <c r="NE27" i="1"/>
  <c r="ND27" i="1"/>
  <c r="NE26" i="1"/>
  <c r="ND26" i="1"/>
  <c r="NE25" i="1"/>
  <c r="ND25" i="1"/>
  <c r="NE24" i="1"/>
  <c r="ND24" i="1"/>
  <c r="NE23" i="1"/>
  <c r="ND23" i="1"/>
  <c r="NE22" i="1"/>
  <c r="ND22" i="1"/>
  <c r="NE21" i="1"/>
  <c r="ND21" i="1"/>
  <c r="NE20" i="1"/>
  <c r="ND20" i="1"/>
  <c r="NE19" i="1"/>
  <c r="ND19" i="1"/>
  <c r="NE18" i="1"/>
  <c r="ND18" i="1"/>
  <c r="NE17" i="1"/>
  <c r="ND17" i="1"/>
  <c r="NE16" i="1"/>
  <c r="ND16" i="1"/>
  <c r="NE15" i="1"/>
  <c r="ND15" i="1"/>
  <c r="NE14" i="1"/>
  <c r="ND14" i="1"/>
  <c r="NE13" i="1"/>
  <c r="ND13" i="1"/>
  <c r="NE12" i="1"/>
  <c r="ND12" i="1"/>
  <c r="NE11" i="1"/>
  <c r="ND11" i="1"/>
  <c r="NE10" i="1"/>
  <c r="ND10" i="1"/>
  <c r="NE9" i="1"/>
  <c r="ND9" i="1"/>
  <c r="NE8" i="1"/>
  <c r="ND8" i="1"/>
  <c r="NE7" i="1"/>
  <c r="ND7" i="1"/>
  <c r="NE6" i="1"/>
  <c r="NJ64" i="1" l="1"/>
  <c r="DT44" i="5" s="1"/>
  <c r="NJ68" i="1"/>
  <c r="NJ72" i="1"/>
  <c r="NJ76" i="1"/>
  <c r="NJ80" i="1"/>
  <c r="NK143" i="1"/>
  <c r="NK147" i="1"/>
  <c r="NK151" i="1"/>
  <c r="NK159" i="1"/>
  <c r="NP144" i="1"/>
  <c r="DW35" i="5" s="1"/>
  <c r="NP146" i="1"/>
  <c r="DW37" i="5" s="1"/>
  <c r="NP148" i="1"/>
  <c r="DW39" i="5" s="1"/>
  <c r="NP150" i="1"/>
  <c r="DW43" i="5" s="1"/>
  <c r="NP152" i="1"/>
  <c r="NP154" i="1"/>
  <c r="NP156" i="1"/>
  <c r="NP158" i="1"/>
  <c r="NP160" i="1"/>
  <c r="DW51" i="5" s="1"/>
  <c r="NP162" i="1"/>
  <c r="DW53" i="5" s="1"/>
  <c r="NP164" i="1"/>
  <c r="DW55" i="5" s="1"/>
  <c r="NP166" i="1"/>
  <c r="ND62" i="1"/>
  <c r="DR42" i="5" s="1"/>
  <c r="ND64" i="1"/>
  <c r="DR44" i="5" s="1"/>
  <c r="ND66" i="1"/>
  <c r="ND68" i="1"/>
  <c r="ND70" i="1"/>
  <c r="ND72" i="1"/>
  <c r="DR50" i="5" s="1"/>
  <c r="ND74" i="1"/>
  <c r="DR52" i="5" s="1"/>
  <c r="ND76" i="1"/>
  <c r="DR54" i="5" s="1"/>
  <c r="ND78" i="1"/>
  <c r="ND80" i="1"/>
  <c r="ND82" i="1"/>
  <c r="ND84" i="1"/>
  <c r="ND86" i="1"/>
  <c r="DR45" i="5" s="1"/>
  <c r="NE143" i="1"/>
  <c r="NE145" i="1"/>
  <c r="NE147" i="1"/>
  <c r="NE149" i="1"/>
  <c r="NE153" i="1"/>
  <c r="NE155" i="1"/>
  <c r="NE159" i="1"/>
  <c r="NE161" i="1"/>
  <c r="NE163" i="1"/>
  <c r="NE167" i="1"/>
  <c r="NJ144" i="1"/>
  <c r="DU35" i="5" s="1"/>
  <c r="NJ148" i="1"/>
  <c r="DU39" i="5" s="1"/>
  <c r="NJ152" i="1"/>
  <c r="NJ156" i="1"/>
  <c r="NJ160" i="1"/>
  <c r="DU51" i="5" s="1"/>
  <c r="NJ164" i="1"/>
  <c r="NJ168" i="1"/>
  <c r="NQ57" i="1"/>
  <c r="NQ59" i="1"/>
  <c r="NQ61" i="1"/>
  <c r="NQ169" i="1"/>
  <c r="NE170" i="1"/>
  <c r="NJ57" i="1"/>
  <c r="DT35" i="5" s="1"/>
  <c r="ND143" i="1"/>
  <c r="DS34" i="5" s="1"/>
  <c r="ND145" i="1"/>
  <c r="DS36" i="5" s="1"/>
  <c r="ND147" i="1"/>
  <c r="DS38" i="5" s="1"/>
  <c r="DS124" i="5" s="1"/>
  <c r="ND149" i="1"/>
  <c r="DS42" i="5" s="1"/>
  <c r="ND151" i="1"/>
  <c r="DS44" i="5" s="1"/>
  <c r="ND153" i="1"/>
  <c r="ND155" i="1"/>
  <c r="ND157" i="1"/>
  <c r="ND159" i="1"/>
  <c r="ND161" i="1"/>
  <c r="DS52" i="5" s="1"/>
  <c r="DS138" i="5" s="1"/>
  <c r="ND163" i="1"/>
  <c r="DS54" i="5" s="1"/>
  <c r="ND165" i="1"/>
  <c r="ND167" i="1"/>
  <c r="ND169" i="1"/>
  <c r="NJ56" i="1"/>
  <c r="DT34" i="5" s="1"/>
  <c r="NK65" i="1"/>
  <c r="NK69" i="1"/>
  <c r="NK73" i="1"/>
  <c r="NK77" i="1"/>
  <c r="NJ143" i="1"/>
  <c r="DU34" i="5" s="1"/>
  <c r="NJ145" i="1"/>
  <c r="DU36" i="5" s="1"/>
  <c r="NJ147" i="1"/>
  <c r="DU38" i="5" s="1"/>
  <c r="DU124" i="5" s="1"/>
  <c r="NJ149" i="1"/>
  <c r="DU42" i="5" s="1"/>
  <c r="NJ151" i="1"/>
  <c r="DU44" i="5" s="1"/>
  <c r="NJ153" i="1"/>
  <c r="NJ155" i="1"/>
  <c r="NJ157" i="1"/>
  <c r="NJ161" i="1"/>
  <c r="NJ163" i="1"/>
  <c r="NJ165" i="1"/>
  <c r="NJ167" i="1"/>
  <c r="NJ169" i="1"/>
  <c r="NJ171" i="1"/>
  <c r="NJ173" i="1"/>
  <c r="DU45" i="5" s="1"/>
  <c r="NQ56" i="1"/>
  <c r="NQ58" i="1"/>
  <c r="NQ60" i="1"/>
  <c r="NQ62" i="1"/>
  <c r="NQ64" i="1"/>
  <c r="NQ68" i="1"/>
  <c r="NQ70" i="1"/>
  <c r="NQ72" i="1"/>
  <c r="NQ63" i="1"/>
  <c r="NQ65" i="1"/>
  <c r="NQ69" i="1"/>
  <c r="ND57" i="1"/>
  <c r="DR35" i="5" s="1"/>
  <c r="ND59" i="1"/>
  <c r="DR37" i="5" s="1"/>
  <c r="ND61" i="1"/>
  <c r="DR39" i="5" s="1"/>
  <c r="ND63" i="1"/>
  <c r="DR43" i="5" s="1"/>
  <c r="DR41" i="5" s="1"/>
  <c r="ND65" i="1"/>
  <c r="ND83" i="1"/>
  <c r="ND85" i="1"/>
  <c r="DR40" i="5" s="1"/>
  <c r="NE144" i="1"/>
  <c r="NE146" i="1"/>
  <c r="NE150" i="1"/>
  <c r="NE154" i="1"/>
  <c r="NE158" i="1"/>
  <c r="NE160" i="1"/>
  <c r="NE162" i="1"/>
  <c r="NE164" i="1"/>
  <c r="NE166" i="1"/>
  <c r="NE168" i="1"/>
  <c r="ND172" i="1"/>
  <c r="DS40" i="5" s="1"/>
  <c r="NJ65" i="1"/>
  <c r="NJ67" i="1"/>
  <c r="NJ69" i="1"/>
  <c r="NJ71" i="1"/>
  <c r="NJ73" i="1"/>
  <c r="DT51" i="5" s="1"/>
  <c r="NJ75" i="1"/>
  <c r="DT53" i="5" s="1"/>
  <c r="NJ77" i="1"/>
  <c r="NJ79" i="1"/>
  <c r="NJ81" i="1"/>
  <c r="NP143" i="1"/>
  <c r="DW34" i="5" s="1"/>
  <c r="NP145" i="1"/>
  <c r="DW36" i="5" s="1"/>
  <c r="NP147" i="1"/>
  <c r="DW38" i="5" s="1"/>
  <c r="DW124" i="5" s="1"/>
  <c r="NP149" i="1"/>
  <c r="DW42" i="5" s="1"/>
  <c r="NP151" i="1"/>
  <c r="NP153" i="1"/>
  <c r="NP155" i="1"/>
  <c r="NP159" i="1"/>
  <c r="DW50" i="5" s="1"/>
  <c r="NP161" i="1"/>
  <c r="NP163" i="1"/>
  <c r="DR138" i="5"/>
  <c r="NJ159" i="1"/>
  <c r="DU50" i="5" s="1"/>
  <c r="NK85" i="1"/>
  <c r="NJ85" i="1"/>
  <c r="DT40" i="5" s="1"/>
  <c r="NJ83" i="1"/>
  <c r="NJ63" i="1"/>
  <c r="DT43" i="5" s="1"/>
  <c r="NJ61" i="1"/>
  <c r="DT39" i="5" s="1"/>
  <c r="NE58" i="1"/>
  <c r="NE62" i="1"/>
  <c r="NE66" i="1"/>
  <c r="NE70" i="1"/>
  <c r="NE74" i="1"/>
  <c r="NE78" i="1"/>
  <c r="NE82" i="1"/>
  <c r="NK58" i="1"/>
  <c r="NK60" i="1"/>
  <c r="NJ86" i="1"/>
  <c r="DT45" i="5" s="1"/>
  <c r="NK149" i="1"/>
  <c r="NK153" i="1"/>
  <c r="NK157" i="1"/>
  <c r="NK161" i="1"/>
  <c r="NK165" i="1"/>
  <c r="NK169" i="1"/>
  <c r="NK173" i="1"/>
  <c r="ND144" i="1"/>
  <c r="DS35" i="5" s="1"/>
  <c r="ND146" i="1"/>
  <c r="DS37" i="5" s="1"/>
  <c r="ND148" i="1"/>
  <c r="DS39" i="5" s="1"/>
  <c r="ND150" i="1"/>
  <c r="DS43" i="5" s="1"/>
  <c r="ND152" i="1"/>
  <c r="ND154" i="1"/>
  <c r="NJ172" i="1"/>
  <c r="DU40" i="5" s="1"/>
  <c r="NQ73" i="1"/>
  <c r="NQ77" i="1"/>
  <c r="NQ79" i="1"/>
  <c r="NQ85" i="1"/>
  <c r="NQ168" i="1"/>
  <c r="NQ170" i="1"/>
  <c r="NQ172" i="1"/>
  <c r="NE57" i="1"/>
  <c r="NE59" i="1"/>
  <c r="NE61" i="1"/>
  <c r="NE63" i="1"/>
  <c r="NE65" i="1"/>
  <c r="NE69" i="1"/>
  <c r="NE71" i="1"/>
  <c r="NE73" i="1"/>
  <c r="NE77" i="1"/>
  <c r="NK59" i="1"/>
  <c r="NP58" i="1"/>
  <c r="DV36" i="5" s="1"/>
  <c r="NP62" i="1"/>
  <c r="DV42" i="5" s="1"/>
  <c r="NP64" i="1"/>
  <c r="NP66" i="1"/>
  <c r="NP68" i="1"/>
  <c r="NP70" i="1"/>
  <c r="NP74" i="1"/>
  <c r="DV52" i="5" s="1"/>
  <c r="DV138" i="5" s="1"/>
  <c r="NP76" i="1"/>
  <c r="NP78" i="1"/>
  <c r="NP82" i="1"/>
  <c r="NP84" i="1"/>
  <c r="NP86" i="1"/>
  <c r="DV45" i="5" s="1"/>
  <c r="NQ145" i="1"/>
  <c r="NQ149" i="1"/>
  <c r="NQ151" i="1"/>
  <c r="NQ153" i="1"/>
  <c r="NQ155" i="1"/>
  <c r="NQ81" i="1"/>
  <c r="NE86" i="1"/>
  <c r="NE171" i="1"/>
  <c r="NE173" i="1"/>
  <c r="NJ60" i="1"/>
  <c r="DT38" i="5" s="1"/>
  <c r="DT124" i="5" s="1"/>
  <c r="NK63" i="1"/>
  <c r="NK67" i="1"/>
  <c r="NK71" i="1"/>
  <c r="NK75" i="1"/>
  <c r="NK79" i="1"/>
  <c r="NK83" i="1"/>
  <c r="NP60" i="1"/>
  <c r="DV38" i="5" s="1"/>
  <c r="DV124" i="5" s="1"/>
  <c r="NQ157" i="1"/>
  <c r="NQ159" i="1"/>
  <c r="NQ161" i="1"/>
  <c r="NQ165" i="1"/>
  <c r="NP167" i="1"/>
  <c r="NP169" i="1"/>
  <c r="NP171" i="1"/>
  <c r="NP173" i="1"/>
  <c r="DW45" i="5" s="1"/>
  <c r="DW41" i="5" s="1"/>
  <c r="NJ154" i="1"/>
  <c r="ND67" i="1"/>
  <c r="ND69" i="1"/>
  <c r="DR47" i="5" s="1"/>
  <c r="ND71" i="1"/>
  <c r="DR49" i="5" s="1"/>
  <c r="ND75" i="1"/>
  <c r="DR53" i="5" s="1"/>
  <c r="ND79" i="1"/>
  <c r="ND156" i="1"/>
  <c r="ND158" i="1"/>
  <c r="ND160" i="1"/>
  <c r="DS51" i="5" s="1"/>
  <c r="NQ76" i="1"/>
  <c r="NQ78" i="1"/>
  <c r="NQ80" i="1"/>
  <c r="NQ86" i="1"/>
  <c r="NJ146" i="1"/>
  <c r="DU37" i="5" s="1"/>
  <c r="NJ162" i="1"/>
  <c r="DU53" i="5" s="1"/>
  <c r="NJ170" i="1"/>
  <c r="NJ84" i="1"/>
  <c r="NK155" i="1"/>
  <c r="NK163" i="1"/>
  <c r="NK167" i="1"/>
  <c r="NK171" i="1"/>
  <c r="NQ173" i="1"/>
  <c r="NJ150" i="1"/>
  <c r="DU43" i="5" s="1"/>
  <c r="NJ158" i="1"/>
  <c r="NJ166" i="1"/>
  <c r="NE85" i="1"/>
  <c r="NE172" i="1"/>
  <c r="NJ59" i="1"/>
  <c r="DT37" i="5" s="1"/>
  <c r="NK62" i="1"/>
  <c r="NJ66" i="1"/>
  <c r="NJ70" i="1"/>
  <c r="NJ74" i="1"/>
  <c r="DT52" i="5" s="1"/>
  <c r="DT138" i="5" s="1"/>
  <c r="NJ78" i="1"/>
  <c r="NK145" i="1"/>
  <c r="NP57" i="1"/>
  <c r="DV35" i="5" s="1"/>
  <c r="NP61" i="1"/>
  <c r="DV39" i="5" s="1"/>
  <c r="NP65" i="1"/>
  <c r="NP67" i="1"/>
  <c r="NP69" i="1"/>
  <c r="NP71" i="1"/>
  <c r="NP73" i="1"/>
  <c r="DV51" i="5" s="1"/>
  <c r="NP75" i="1"/>
  <c r="DV53" i="5" s="1"/>
  <c r="NP77" i="1"/>
  <c r="DV55" i="5" s="1"/>
  <c r="NP79" i="1"/>
  <c r="NP81" i="1"/>
  <c r="NP83" i="1"/>
  <c r="NP85" i="1"/>
  <c r="DV40" i="5" s="1"/>
  <c r="NQ144" i="1"/>
  <c r="NQ146" i="1"/>
  <c r="NQ148" i="1"/>
  <c r="NQ150" i="1"/>
  <c r="NQ152" i="1"/>
  <c r="NQ154" i="1"/>
  <c r="NQ158" i="1"/>
  <c r="NQ160" i="1"/>
  <c r="NQ162" i="1"/>
  <c r="NQ164" i="1"/>
  <c r="NQ166" i="1"/>
  <c r="NP168" i="1"/>
  <c r="NP170" i="1"/>
  <c r="NP157" i="1"/>
  <c r="NP165" i="1"/>
  <c r="NQ143" i="1"/>
  <c r="NQ167" i="1"/>
  <c r="NP172" i="1"/>
  <c r="DW40" i="5" s="1"/>
  <c r="NQ156" i="1"/>
  <c r="NQ147" i="1"/>
  <c r="NQ163" i="1"/>
  <c r="NQ171" i="1"/>
  <c r="NQ71" i="1"/>
  <c r="NP56" i="1"/>
  <c r="DV34" i="5" s="1"/>
  <c r="NQ84" i="1"/>
  <c r="NP59" i="1"/>
  <c r="DV37" i="5" s="1"/>
  <c r="NP63" i="1"/>
  <c r="DV43" i="5" s="1"/>
  <c r="NQ66" i="1"/>
  <c r="NQ67" i="1"/>
  <c r="NP72" i="1"/>
  <c r="DV50" i="5" s="1"/>
  <c r="NQ74" i="1"/>
  <c r="NQ75" i="1"/>
  <c r="NP80" i="1"/>
  <c r="NQ82" i="1"/>
  <c r="NQ83" i="1"/>
  <c r="NK148" i="1"/>
  <c r="NK156" i="1"/>
  <c r="NK164" i="1"/>
  <c r="NK172" i="1"/>
  <c r="NK144" i="1"/>
  <c r="NK152" i="1"/>
  <c r="NK160" i="1"/>
  <c r="NK168" i="1"/>
  <c r="NK57" i="1"/>
  <c r="NK61" i="1"/>
  <c r="NK68" i="1"/>
  <c r="NK76" i="1"/>
  <c r="NK84" i="1"/>
  <c r="NJ82" i="1"/>
  <c r="NK64" i="1"/>
  <c r="NK72" i="1"/>
  <c r="NK80" i="1"/>
  <c r="NK81" i="1"/>
  <c r="NE148" i="1"/>
  <c r="NE156" i="1"/>
  <c r="ND166" i="1"/>
  <c r="ND168" i="1"/>
  <c r="NE169" i="1"/>
  <c r="NE151" i="1"/>
  <c r="NE152" i="1"/>
  <c r="NE157" i="1"/>
  <c r="ND162" i="1"/>
  <c r="DS53" i="5" s="1"/>
  <c r="ND164" i="1"/>
  <c r="DS55" i="5" s="1"/>
  <c r="NE165" i="1"/>
  <c r="ND170" i="1"/>
  <c r="NE60" i="1"/>
  <c r="NE67" i="1"/>
  <c r="NE68" i="1"/>
  <c r="ND73" i="1"/>
  <c r="DR51" i="5" s="1"/>
  <c r="NE75" i="1"/>
  <c r="NE76" i="1"/>
  <c r="ND81" i="1"/>
  <c r="NE83" i="1"/>
  <c r="NE84" i="1"/>
  <c r="NE81" i="1"/>
  <c r="NE64" i="1"/>
  <c r="NE72" i="1"/>
  <c r="ND77" i="1"/>
  <c r="DR55" i="5" s="1"/>
  <c r="NE79" i="1"/>
  <c r="NE80" i="1"/>
  <c r="ND58" i="1"/>
  <c r="DR36" i="5" s="1"/>
  <c r="ND60" i="1"/>
  <c r="DR38" i="5" s="1"/>
  <c r="DR124" i="5" s="1"/>
  <c r="NE56" i="1"/>
  <c r="ND56" i="1"/>
  <c r="DR34" i="5" s="1"/>
  <c r="NJ58" i="1"/>
  <c r="DT36" i="5" s="1"/>
  <c r="NJ62" i="1"/>
  <c r="DT42" i="5" s="1"/>
  <c r="NK66" i="1"/>
  <c r="NK70" i="1"/>
  <c r="NK74" i="1"/>
  <c r="NK78" i="1"/>
  <c r="NK82" i="1"/>
  <c r="NK86" i="1"/>
  <c r="NK146" i="1"/>
  <c r="NK150" i="1"/>
  <c r="NK154" i="1"/>
  <c r="NK158" i="1"/>
  <c r="NK162" i="1"/>
  <c r="NK166" i="1"/>
  <c r="NK170" i="1"/>
  <c r="SJ141" i="4"/>
  <c r="DW18" i="5" s="1"/>
  <c r="SI141" i="4"/>
  <c r="SI140" i="4"/>
  <c r="SI139" i="4"/>
  <c r="SI138" i="4"/>
  <c r="SI137" i="4"/>
  <c r="SI136" i="4"/>
  <c r="SI135" i="4"/>
  <c r="SI134" i="4"/>
  <c r="SI133" i="4"/>
  <c r="SI132" i="4"/>
  <c r="SI131" i="4"/>
  <c r="SI130" i="4"/>
  <c r="SJ129" i="4"/>
  <c r="DW25" i="5" s="1"/>
  <c r="Y27" i="36" s="1"/>
  <c r="SI129" i="4"/>
  <c r="SI128" i="4"/>
  <c r="SI127" i="4"/>
  <c r="SI126" i="4"/>
  <c r="SI125" i="4"/>
  <c r="SI124" i="4"/>
  <c r="SI123" i="4"/>
  <c r="SJ123" i="4" s="1"/>
  <c r="SI122" i="4"/>
  <c r="SJ122" i="4" s="1"/>
  <c r="SI121" i="4"/>
  <c r="SJ121" i="4" s="1"/>
  <c r="SI120" i="4"/>
  <c r="SJ120" i="4" s="1"/>
  <c r="SI119" i="4"/>
  <c r="SJ119" i="4" s="1"/>
  <c r="SI118" i="4"/>
  <c r="SJ118" i="4" s="1"/>
  <c r="SI117" i="4"/>
  <c r="SJ117" i="4" s="1"/>
  <c r="SI116" i="4"/>
  <c r="SI115" i="4"/>
  <c r="SI114" i="4"/>
  <c r="SI113" i="4"/>
  <c r="SJ112" i="4"/>
  <c r="DW22" i="5" s="1"/>
  <c r="Y24" i="36" s="1"/>
  <c r="SI112" i="4"/>
  <c r="SI111" i="4"/>
  <c r="SI110" i="4"/>
  <c r="SI109" i="4"/>
  <c r="SI108" i="4"/>
  <c r="SI107" i="4"/>
  <c r="SI106" i="4"/>
  <c r="SI105" i="4"/>
  <c r="SI104" i="4"/>
  <c r="SI103" i="4"/>
  <c r="SJ103" i="4" s="1"/>
  <c r="SI102" i="4"/>
  <c r="SJ102" i="4" s="1"/>
  <c r="SI101" i="4"/>
  <c r="SJ101" i="4" s="1"/>
  <c r="SI100" i="4"/>
  <c r="SJ100" i="4" s="1"/>
  <c r="SJ99" i="4"/>
  <c r="DW17" i="5" s="1"/>
  <c r="SI99" i="4"/>
  <c r="SJ98" i="4"/>
  <c r="DW16" i="5" s="1"/>
  <c r="SI98" i="4"/>
  <c r="SI97" i="4"/>
  <c r="SI96" i="4"/>
  <c r="SI95" i="4"/>
  <c r="SI94" i="4"/>
  <c r="SI93" i="4"/>
  <c r="SI92" i="4"/>
  <c r="SI91" i="4"/>
  <c r="SI90" i="4"/>
  <c r="SI89" i="4"/>
  <c r="SI88" i="4"/>
  <c r="SI87" i="4"/>
  <c r="SI86" i="4"/>
  <c r="SI85" i="4"/>
  <c r="SI84" i="4"/>
  <c r="SI83" i="4"/>
  <c r="SI82" i="4"/>
  <c r="SI81" i="4"/>
  <c r="SJ82" i="4" s="1"/>
  <c r="DW8" i="5" s="1"/>
  <c r="SI80" i="4"/>
  <c r="SI79" i="4"/>
  <c r="SJ69" i="4"/>
  <c r="DV18" i="5" s="1"/>
  <c r="SI69" i="4"/>
  <c r="SI68" i="4"/>
  <c r="SI67" i="4"/>
  <c r="SJ68" i="4" s="1"/>
  <c r="DV13" i="5" s="1"/>
  <c r="SI66" i="4"/>
  <c r="SI65" i="4"/>
  <c r="SI64" i="4"/>
  <c r="SI63" i="4"/>
  <c r="SI62" i="4"/>
  <c r="SI61" i="4"/>
  <c r="SI60" i="4"/>
  <c r="SI59" i="4"/>
  <c r="SI58" i="4"/>
  <c r="SJ57" i="4"/>
  <c r="DV25" i="5" s="1"/>
  <c r="SI57" i="4"/>
  <c r="SI56" i="4"/>
  <c r="SI55" i="4"/>
  <c r="SI54" i="4"/>
  <c r="SI53" i="4"/>
  <c r="SI52" i="4"/>
  <c r="SI51" i="4"/>
  <c r="SJ51" i="4" s="1"/>
  <c r="SI50" i="4"/>
  <c r="SJ50" i="4" s="1"/>
  <c r="SI49" i="4"/>
  <c r="SJ49" i="4" s="1"/>
  <c r="SI48" i="4"/>
  <c r="SJ48" i="4" s="1"/>
  <c r="SI47" i="4"/>
  <c r="SJ47" i="4" s="1"/>
  <c r="SI46" i="4"/>
  <c r="SJ46" i="4" s="1"/>
  <c r="SI45" i="4"/>
  <c r="SJ45" i="4" s="1"/>
  <c r="SI44" i="4"/>
  <c r="SI43" i="4"/>
  <c r="SI42" i="4"/>
  <c r="SI41" i="4"/>
  <c r="SJ40" i="4"/>
  <c r="DV22" i="5" s="1"/>
  <c r="SI40" i="4"/>
  <c r="SI39" i="4"/>
  <c r="SI38" i="4"/>
  <c r="SI37" i="4"/>
  <c r="SI36" i="4"/>
  <c r="SI35" i="4"/>
  <c r="SI34" i="4"/>
  <c r="SI33" i="4"/>
  <c r="SI32" i="4"/>
  <c r="SJ31" i="4"/>
  <c r="SI31" i="4"/>
  <c r="SI30" i="4"/>
  <c r="SJ30" i="4" s="1"/>
  <c r="SI29" i="4"/>
  <c r="SJ29" i="4" s="1"/>
  <c r="SI28" i="4"/>
  <c r="SJ28" i="4" s="1"/>
  <c r="SJ27" i="4"/>
  <c r="DV17" i="5" s="1"/>
  <c r="SI27" i="4"/>
  <c r="SJ26" i="4"/>
  <c r="DV16" i="5" s="1"/>
  <c r="SI26" i="4"/>
  <c r="SI25" i="4"/>
  <c r="SI24" i="4"/>
  <c r="SI23" i="4"/>
  <c r="SI22" i="4"/>
  <c r="SI21" i="4"/>
  <c r="SI20" i="4"/>
  <c r="SI19" i="4"/>
  <c r="SI18" i="4"/>
  <c r="SI17" i="4"/>
  <c r="SI16" i="4"/>
  <c r="SJ17" i="4" s="1"/>
  <c r="DV11" i="5" s="1"/>
  <c r="SI15" i="4"/>
  <c r="SI14" i="4"/>
  <c r="SJ15" i="4" s="1"/>
  <c r="DV10" i="5" s="1"/>
  <c r="SI13" i="4"/>
  <c r="SI12" i="4"/>
  <c r="SI11" i="4"/>
  <c r="SI10" i="4"/>
  <c r="SI9" i="4"/>
  <c r="SI8" i="4"/>
  <c r="SI7" i="4"/>
  <c r="SB141" i="4"/>
  <c r="DU18" i="5" s="1"/>
  <c r="SA141" i="4"/>
  <c r="SA140" i="4"/>
  <c r="SA139" i="4"/>
  <c r="SA138" i="4"/>
  <c r="SA137" i="4"/>
  <c r="SA136" i="4"/>
  <c r="SA135" i="4"/>
  <c r="SA134" i="4"/>
  <c r="SB135" i="4" s="1"/>
  <c r="DU27" i="5" s="1"/>
  <c r="SA133" i="4"/>
  <c r="SA132" i="4"/>
  <c r="SA131" i="4"/>
  <c r="SA130" i="4"/>
  <c r="SB129" i="4"/>
  <c r="DU25" i="5" s="1"/>
  <c r="SA129" i="4"/>
  <c r="SA128" i="4"/>
  <c r="SA127" i="4"/>
  <c r="SA126" i="4"/>
  <c r="SA125" i="4"/>
  <c r="SA124" i="4"/>
  <c r="SA123" i="4"/>
  <c r="SB123" i="4" s="1"/>
  <c r="SA122" i="4"/>
  <c r="SB122" i="4" s="1"/>
  <c r="SA121" i="4"/>
  <c r="SB121" i="4" s="1"/>
  <c r="SA120" i="4"/>
  <c r="SB120" i="4" s="1"/>
  <c r="SA119" i="4"/>
  <c r="SB119" i="4" s="1"/>
  <c r="SA118" i="4"/>
  <c r="SB118" i="4" s="1"/>
  <c r="SA117" i="4"/>
  <c r="SB117" i="4" s="1"/>
  <c r="SA116" i="4"/>
  <c r="SA115" i="4"/>
  <c r="SA114" i="4"/>
  <c r="SA113" i="4"/>
  <c r="SB112" i="4"/>
  <c r="DU22" i="5" s="1"/>
  <c r="SA112" i="4"/>
  <c r="SA111" i="4"/>
  <c r="SA110" i="4"/>
  <c r="SA109" i="4"/>
  <c r="SA108" i="4"/>
  <c r="SA107" i="4"/>
  <c r="SA106" i="4"/>
  <c r="SA105" i="4"/>
  <c r="SA104" i="4"/>
  <c r="SA103" i="4"/>
  <c r="SB103" i="4" s="1"/>
  <c r="SA102" i="4"/>
  <c r="SB102" i="4" s="1"/>
  <c r="SA101" i="4"/>
  <c r="SB101" i="4" s="1"/>
  <c r="SA100" i="4"/>
  <c r="SB100" i="4" s="1"/>
  <c r="SB99" i="4"/>
  <c r="DU17" i="5" s="1"/>
  <c r="SA99" i="4"/>
  <c r="SB98" i="4"/>
  <c r="DU16" i="5" s="1"/>
  <c r="SA98" i="4"/>
  <c r="SA97" i="4"/>
  <c r="SA96" i="4"/>
  <c r="SA95" i="4"/>
  <c r="SA94" i="4"/>
  <c r="SA93" i="4"/>
  <c r="SA92" i="4"/>
  <c r="SA91" i="4"/>
  <c r="SA90" i="4"/>
  <c r="SA89" i="4"/>
  <c r="SA88" i="4"/>
  <c r="SA87" i="4"/>
  <c r="SA86" i="4"/>
  <c r="SA85" i="4"/>
  <c r="SA84" i="4"/>
  <c r="SA83" i="4"/>
  <c r="SA82" i="4"/>
  <c r="SA81" i="4"/>
  <c r="SA80" i="4"/>
  <c r="SA79" i="4"/>
  <c r="SB69" i="4"/>
  <c r="DT18" i="5" s="1"/>
  <c r="SA69" i="4"/>
  <c r="SA68" i="4"/>
  <c r="SA67" i="4"/>
  <c r="SB68" i="4" s="1"/>
  <c r="DT13" i="5" s="1"/>
  <c r="SA66" i="4"/>
  <c r="SA65" i="4"/>
  <c r="SA64" i="4"/>
  <c r="SA63" i="4"/>
  <c r="SA62" i="4"/>
  <c r="SA61" i="4"/>
  <c r="SA60" i="4"/>
  <c r="SA59" i="4"/>
  <c r="SA58" i="4"/>
  <c r="SB57" i="4"/>
  <c r="DT25" i="5" s="1"/>
  <c r="SA57" i="4"/>
  <c r="SA56" i="4"/>
  <c r="SA55" i="4"/>
  <c r="SA54" i="4"/>
  <c r="SA53" i="4"/>
  <c r="SA52" i="4"/>
  <c r="SA51" i="4"/>
  <c r="SB51" i="4" s="1"/>
  <c r="SA50" i="4"/>
  <c r="SB50" i="4" s="1"/>
  <c r="SA49" i="4"/>
  <c r="SB49" i="4" s="1"/>
  <c r="SA48" i="4"/>
  <c r="SB48" i="4" s="1"/>
  <c r="SA47" i="4"/>
  <c r="SB47" i="4" s="1"/>
  <c r="SA46" i="4"/>
  <c r="SB46" i="4" s="1"/>
  <c r="SA45" i="4"/>
  <c r="SB45" i="4" s="1"/>
  <c r="SA44" i="4"/>
  <c r="SA43" i="4"/>
  <c r="SA42" i="4"/>
  <c r="SA41" i="4"/>
  <c r="SB40" i="4"/>
  <c r="DT22" i="5" s="1"/>
  <c r="SA40" i="4"/>
  <c r="SA39" i="4"/>
  <c r="SA38" i="4"/>
  <c r="SA37" i="4"/>
  <c r="SA36" i="4"/>
  <c r="SA35" i="4"/>
  <c r="SA34" i="4"/>
  <c r="SA33" i="4"/>
  <c r="SA32" i="4"/>
  <c r="SA31" i="4"/>
  <c r="SB31" i="4" s="1"/>
  <c r="SA30" i="4"/>
  <c r="SB30" i="4" s="1"/>
  <c r="SA29" i="4"/>
  <c r="SB29" i="4" s="1"/>
  <c r="SA28" i="4"/>
  <c r="SB28" i="4" s="1"/>
  <c r="SB27" i="4"/>
  <c r="DT17" i="5" s="1"/>
  <c r="SA27" i="4"/>
  <c r="SB26" i="4"/>
  <c r="DT16" i="5" s="1"/>
  <c r="SA26" i="4"/>
  <c r="SA25" i="4"/>
  <c r="SA24" i="4"/>
  <c r="SA23" i="4"/>
  <c r="SA22" i="4"/>
  <c r="SA21" i="4"/>
  <c r="SA20" i="4"/>
  <c r="SA19" i="4"/>
  <c r="SA18" i="4"/>
  <c r="SA17" i="4"/>
  <c r="SA16" i="4"/>
  <c r="SA15" i="4"/>
  <c r="SA14" i="4"/>
  <c r="SA13" i="4"/>
  <c r="SA12" i="4"/>
  <c r="SA11" i="4"/>
  <c r="SA10" i="4"/>
  <c r="SA9" i="4"/>
  <c r="SA8" i="4"/>
  <c r="SA7" i="4"/>
  <c r="SB8" i="4" s="1"/>
  <c r="DT7" i="5" s="1"/>
  <c r="RT141" i="4"/>
  <c r="DS18" i="5" s="1"/>
  <c r="RS141" i="4"/>
  <c r="RS140" i="4"/>
  <c r="RS139" i="4"/>
  <c r="RT140" i="4" s="1"/>
  <c r="DS13" i="5" s="1"/>
  <c r="RS138" i="4"/>
  <c r="RS137" i="4"/>
  <c r="RS136" i="4"/>
  <c r="RS135" i="4"/>
  <c r="RS134" i="4"/>
  <c r="RS133" i="4"/>
  <c r="RS132" i="4"/>
  <c r="RS131" i="4"/>
  <c r="RS130" i="4"/>
  <c r="RT129" i="4"/>
  <c r="DS25" i="5" s="1"/>
  <c r="RS129" i="4"/>
  <c r="RS128" i="4"/>
  <c r="RS127" i="4"/>
  <c r="RS126" i="4"/>
  <c r="RS125" i="4"/>
  <c r="RS124" i="4"/>
  <c r="RS123" i="4"/>
  <c r="RT123" i="4" s="1"/>
  <c r="RS122" i="4"/>
  <c r="RT122" i="4" s="1"/>
  <c r="RS121" i="4"/>
  <c r="RT121" i="4" s="1"/>
  <c r="RS120" i="4"/>
  <c r="RT120" i="4" s="1"/>
  <c r="RS119" i="4"/>
  <c r="RT119" i="4" s="1"/>
  <c r="RS118" i="4"/>
  <c r="RT118" i="4" s="1"/>
  <c r="RS117" i="4"/>
  <c r="RT117" i="4" s="1"/>
  <c r="RS116" i="4"/>
  <c r="RS115" i="4"/>
  <c r="RS114" i="4"/>
  <c r="RS113" i="4"/>
  <c r="RT112" i="4"/>
  <c r="DS22" i="5" s="1"/>
  <c r="RS112" i="4"/>
  <c r="RS111" i="4"/>
  <c r="RS110" i="4"/>
  <c r="RS109" i="4"/>
  <c r="RS108" i="4"/>
  <c r="RS107" i="4"/>
  <c r="RS106" i="4"/>
  <c r="RS105" i="4"/>
  <c r="RS104" i="4"/>
  <c r="RS103" i="4"/>
  <c r="RT103" i="4" s="1"/>
  <c r="RS102" i="4"/>
  <c r="RT102" i="4" s="1"/>
  <c r="RS101" i="4"/>
  <c r="RT101" i="4" s="1"/>
  <c r="RS100" i="4"/>
  <c r="RT100" i="4" s="1"/>
  <c r="RT99" i="4"/>
  <c r="DS17" i="5" s="1"/>
  <c r="RS99" i="4"/>
  <c r="RT98" i="4"/>
  <c r="DS16" i="5" s="1"/>
  <c r="RS98" i="4"/>
  <c r="RS97" i="4"/>
  <c r="RS96" i="4"/>
  <c r="RS95" i="4"/>
  <c r="RS94" i="4"/>
  <c r="RS93" i="4"/>
  <c r="RS92" i="4"/>
  <c r="RS91" i="4"/>
  <c r="RS90" i="4"/>
  <c r="RS89" i="4"/>
  <c r="RS88" i="4"/>
  <c r="RS87" i="4"/>
  <c r="RS86" i="4"/>
  <c r="RS85" i="4"/>
  <c r="RS84" i="4"/>
  <c r="RT85" i="4" s="1"/>
  <c r="DS9" i="5" s="1"/>
  <c r="RS83" i="4"/>
  <c r="RS82" i="4"/>
  <c r="RS81" i="4"/>
  <c r="RS80" i="4"/>
  <c r="RS79" i="4"/>
  <c r="RT69" i="4"/>
  <c r="DR18" i="5" s="1"/>
  <c r="RS69" i="4"/>
  <c r="RS68" i="4"/>
  <c r="RS67" i="4"/>
  <c r="RS66" i="4"/>
  <c r="RS65" i="4"/>
  <c r="RS64" i="4"/>
  <c r="RS63" i="4"/>
  <c r="RS62" i="4"/>
  <c r="RS61" i="4"/>
  <c r="RS60" i="4"/>
  <c r="RS59" i="4"/>
  <c r="RS58" i="4"/>
  <c r="RT57" i="4"/>
  <c r="DR25" i="5" s="1"/>
  <c r="RS57" i="4"/>
  <c r="RS56" i="4"/>
  <c r="RS55" i="4"/>
  <c r="RS54" i="4"/>
  <c r="RS53" i="4"/>
  <c r="RS52" i="4"/>
  <c r="RS51" i="4"/>
  <c r="RT51" i="4" s="1"/>
  <c r="RS50" i="4"/>
  <c r="RT50" i="4" s="1"/>
  <c r="RS49" i="4"/>
  <c r="RT49" i="4" s="1"/>
  <c r="RS48" i="4"/>
  <c r="RT48" i="4" s="1"/>
  <c r="RS47" i="4"/>
  <c r="RT47" i="4" s="1"/>
  <c r="RS46" i="4"/>
  <c r="RT46" i="4" s="1"/>
  <c r="RS45" i="4"/>
  <c r="RT45" i="4" s="1"/>
  <c r="RS44" i="4"/>
  <c r="RS43" i="4"/>
  <c r="RS42" i="4"/>
  <c r="RS41" i="4"/>
  <c r="RT40" i="4"/>
  <c r="DR22" i="5" s="1"/>
  <c r="RS40" i="4"/>
  <c r="RS39" i="4"/>
  <c r="RS38" i="4"/>
  <c r="RS37" i="4"/>
  <c r="RS36" i="4"/>
  <c r="RS35" i="4"/>
  <c r="RS34" i="4"/>
  <c r="RS33" i="4"/>
  <c r="RS32" i="4"/>
  <c r="RS31" i="4"/>
  <c r="RT31" i="4" s="1"/>
  <c r="RS30" i="4"/>
  <c r="RT30" i="4" s="1"/>
  <c r="RS29" i="4"/>
  <c r="RT29" i="4" s="1"/>
  <c r="RS28" i="4"/>
  <c r="RT28" i="4" s="1"/>
  <c r="RT27" i="4"/>
  <c r="DR17" i="5" s="1"/>
  <c r="X46" i="36" s="1"/>
  <c r="Z46" i="36" s="1"/>
  <c r="RS27" i="4"/>
  <c r="RT26" i="4"/>
  <c r="DR16" i="5" s="1"/>
  <c r="RS26" i="4"/>
  <c r="RS25" i="4"/>
  <c r="RS24" i="4"/>
  <c r="RS23" i="4"/>
  <c r="RS22" i="4"/>
  <c r="RS21" i="4"/>
  <c r="RS20" i="4"/>
  <c r="RS19" i="4"/>
  <c r="RS18" i="4"/>
  <c r="RS17" i="4"/>
  <c r="RS16" i="4"/>
  <c r="RS15" i="4"/>
  <c r="RS14" i="4"/>
  <c r="RS13" i="4"/>
  <c r="RS12" i="4"/>
  <c r="RS11" i="4"/>
  <c r="RS10" i="4"/>
  <c r="RS9" i="4"/>
  <c r="RS8" i="4"/>
  <c r="RS7" i="4"/>
  <c r="Y83" i="36" l="1"/>
  <c r="X51" i="36"/>
  <c r="Z51" i="36" s="1"/>
  <c r="Y80" i="36"/>
  <c r="SJ135" i="4"/>
  <c r="DW27" i="5" s="1"/>
  <c r="Y29" i="36" s="1"/>
  <c r="DW46" i="5"/>
  <c r="DS41" i="5"/>
  <c r="DU46" i="5"/>
  <c r="DW33" i="5"/>
  <c r="DU41" i="5"/>
  <c r="DU33" i="5"/>
  <c r="DS33" i="5"/>
  <c r="DV46" i="5"/>
  <c r="DV41" i="5"/>
  <c r="X54" i="36"/>
  <c r="Z54" i="36" s="1"/>
  <c r="DS46" i="5"/>
  <c r="DT46" i="5"/>
  <c r="DT41" i="5"/>
  <c r="RT63" i="4"/>
  <c r="DR27" i="5" s="1"/>
  <c r="X56" i="36" s="1"/>
  <c r="Z56" i="36" s="1"/>
  <c r="RT89" i="4"/>
  <c r="DS11" i="5" s="1"/>
  <c r="DS66" i="5" s="1"/>
  <c r="SJ87" i="4"/>
  <c r="DW10" i="5" s="1"/>
  <c r="SJ140" i="4"/>
  <c r="DW13" i="5" s="1"/>
  <c r="SB39" i="4"/>
  <c r="DT21" i="5" s="1"/>
  <c r="SB44" i="4"/>
  <c r="DT23" i="5" s="1"/>
  <c r="DR33" i="5"/>
  <c r="DV33" i="5"/>
  <c r="RT10" i="4"/>
  <c r="DR8" i="5" s="1"/>
  <c r="RT135" i="4"/>
  <c r="DS27" i="5" s="1"/>
  <c r="SJ63" i="4"/>
  <c r="DV27" i="5" s="1"/>
  <c r="SJ133" i="4"/>
  <c r="DW26" i="5" s="1"/>
  <c r="Y28" i="36" s="1"/>
  <c r="SB107" i="4"/>
  <c r="DU20" i="5" s="1"/>
  <c r="SJ138" i="4"/>
  <c r="DW28" i="5" s="1"/>
  <c r="DR46" i="5"/>
  <c r="DR133" i="5"/>
  <c r="DT33" i="5"/>
  <c r="RT35" i="4"/>
  <c r="DR20" i="5" s="1"/>
  <c r="X49" i="36" s="1"/>
  <c r="Z49" i="36" s="1"/>
  <c r="RT17" i="4"/>
  <c r="DR11" i="5" s="1"/>
  <c r="RT68" i="4"/>
  <c r="DR13" i="5" s="1"/>
  <c r="X42" i="36" s="1"/>
  <c r="Z42" i="36" s="1"/>
  <c r="RT138" i="4"/>
  <c r="DS28" i="5" s="1"/>
  <c r="SB61" i="4"/>
  <c r="DT26" i="5" s="1"/>
  <c r="DT81" i="5" s="1"/>
  <c r="SB66" i="4"/>
  <c r="DT28" i="5" s="1"/>
  <c r="SB140" i="4"/>
  <c r="DU13" i="5" s="1"/>
  <c r="DR82" i="5"/>
  <c r="X47" i="36"/>
  <c r="Z47" i="36" s="1"/>
  <c r="X20" i="36"/>
  <c r="Z20" i="36" s="1"/>
  <c r="DR73" i="5"/>
  <c r="DS72" i="5"/>
  <c r="DS68" i="5"/>
  <c r="DT62" i="5"/>
  <c r="DT68" i="5"/>
  <c r="DU71" i="5"/>
  <c r="DU73" i="5"/>
  <c r="DV68" i="5"/>
  <c r="DV73" i="5"/>
  <c r="DW63" i="5"/>
  <c r="DW71" i="5"/>
  <c r="X24" i="36"/>
  <c r="Z24" i="36" s="1"/>
  <c r="DR77" i="5"/>
  <c r="DW65" i="5"/>
  <c r="DR63" i="5"/>
  <c r="X18" i="36"/>
  <c r="Z18" i="36" s="1"/>
  <c r="X45" i="36"/>
  <c r="Z45" i="36" s="1"/>
  <c r="DR71" i="5"/>
  <c r="DS82" i="5"/>
  <c r="DT71" i="5"/>
  <c r="DW81" i="5"/>
  <c r="DR75" i="5"/>
  <c r="DS64" i="5"/>
  <c r="DS80" i="5"/>
  <c r="DT80" i="5"/>
  <c r="DU72" i="5"/>
  <c r="DV65" i="5"/>
  <c r="DV66" i="5"/>
  <c r="DV67" i="5"/>
  <c r="DW73" i="5"/>
  <c r="X27" i="36"/>
  <c r="Z27" i="36" s="1"/>
  <c r="DR80" i="5"/>
  <c r="X19" i="36"/>
  <c r="Z19" i="36" s="1"/>
  <c r="DR72" i="5"/>
  <c r="X15" i="36"/>
  <c r="Z15" i="36" s="1"/>
  <c r="DR68" i="5"/>
  <c r="DS83" i="5"/>
  <c r="DS73" i="5"/>
  <c r="DT72" i="5"/>
  <c r="DT73" i="5"/>
  <c r="DU68" i="5"/>
  <c r="DW68" i="5"/>
  <c r="DS71" i="5"/>
  <c r="RT8" i="4"/>
  <c r="DR7" i="5" s="1"/>
  <c r="RT128" i="4"/>
  <c r="DS24" i="5" s="1"/>
  <c r="SB80" i="4"/>
  <c r="DU7" i="5" s="1"/>
  <c r="SB128" i="4"/>
  <c r="DU24" i="5" s="1"/>
  <c r="SJ39" i="4"/>
  <c r="DV21" i="5" s="1"/>
  <c r="SJ44" i="4"/>
  <c r="DV23" i="5" s="1"/>
  <c r="SJ111" i="4"/>
  <c r="DW21" i="5" s="1"/>
  <c r="Y23" i="36" s="1"/>
  <c r="SB56" i="4"/>
  <c r="DT24" i="5" s="1"/>
  <c r="RT56" i="4"/>
  <c r="DR24" i="5" s="1"/>
  <c r="RT111" i="4"/>
  <c r="DS21" i="5" s="1"/>
  <c r="RT116" i="4"/>
  <c r="DS23" i="5" s="1"/>
  <c r="RT133" i="4"/>
  <c r="DS26" i="5" s="1"/>
  <c r="SB35" i="4"/>
  <c r="DT20" i="5" s="1"/>
  <c r="SB133" i="4"/>
  <c r="DU26" i="5" s="1"/>
  <c r="SJ56" i="4"/>
  <c r="DV24" i="5" s="1"/>
  <c r="RT39" i="4"/>
  <c r="DR21" i="5" s="1"/>
  <c r="RT44" i="4"/>
  <c r="DR23" i="5" s="1"/>
  <c r="X52" i="36" s="1"/>
  <c r="Z52" i="36" s="1"/>
  <c r="RT61" i="4"/>
  <c r="DR26" i="5" s="1"/>
  <c r="SJ35" i="4"/>
  <c r="DV20" i="5" s="1"/>
  <c r="SJ61" i="4"/>
  <c r="DV26" i="5" s="1"/>
  <c r="SJ107" i="4"/>
  <c r="DW20" i="5" s="1"/>
  <c r="Y22" i="36" s="1"/>
  <c r="RT107" i="4"/>
  <c r="DS20" i="5" s="1"/>
  <c r="SB63" i="4"/>
  <c r="DT27" i="5" s="1"/>
  <c r="SB89" i="4"/>
  <c r="DU11" i="5" s="1"/>
  <c r="SB111" i="4"/>
  <c r="DU21" i="5" s="1"/>
  <c r="SB116" i="4"/>
  <c r="DU23" i="5" s="1"/>
  <c r="SB138" i="4"/>
  <c r="DU28" i="5" s="1"/>
  <c r="SJ21" i="4"/>
  <c r="DV12" i="5" s="1"/>
  <c r="SJ80" i="4"/>
  <c r="DW7" i="5" s="1"/>
  <c r="SJ128" i="4"/>
  <c r="DW24" i="5" s="1"/>
  <c r="Y26" i="36" s="1"/>
  <c r="SJ116" i="4"/>
  <c r="DW23" i="5" s="1"/>
  <c r="Y25" i="36" s="1"/>
  <c r="SJ97" i="4"/>
  <c r="DW15" i="5" s="1"/>
  <c r="DW14" i="5" s="1"/>
  <c r="SJ93" i="4"/>
  <c r="DW12" i="5" s="1"/>
  <c r="SJ89" i="4"/>
  <c r="DW11" i="5" s="1"/>
  <c r="SJ85" i="4"/>
  <c r="DW9" i="5" s="1"/>
  <c r="SJ66" i="4"/>
  <c r="DV28" i="5" s="1"/>
  <c r="SJ25" i="4"/>
  <c r="DV15" i="5" s="1"/>
  <c r="DV14" i="5" s="1"/>
  <c r="SJ13" i="4"/>
  <c r="DV9" i="5" s="1"/>
  <c r="SJ10" i="4"/>
  <c r="DV8" i="5" s="1"/>
  <c r="SJ8" i="4"/>
  <c r="DV7" i="5" s="1"/>
  <c r="SB97" i="4"/>
  <c r="DU15" i="5" s="1"/>
  <c r="DU14" i="5" s="1"/>
  <c r="SB93" i="4"/>
  <c r="DU12" i="5" s="1"/>
  <c r="SB87" i="4"/>
  <c r="DU10" i="5" s="1"/>
  <c r="SB85" i="4"/>
  <c r="DU9" i="5" s="1"/>
  <c r="SB82" i="4"/>
  <c r="DU8" i="5" s="1"/>
  <c r="SB25" i="4"/>
  <c r="DT15" i="5" s="1"/>
  <c r="DT14" i="5" s="1"/>
  <c r="SB21" i="4"/>
  <c r="DT12" i="5" s="1"/>
  <c r="SB17" i="4"/>
  <c r="DT11" i="5" s="1"/>
  <c r="SB15" i="4"/>
  <c r="DT10" i="5" s="1"/>
  <c r="SB13" i="4"/>
  <c r="DT9" i="5" s="1"/>
  <c r="SB10" i="4"/>
  <c r="DT8" i="5" s="1"/>
  <c r="RT97" i="4"/>
  <c r="DS15" i="5" s="1"/>
  <c r="DS14" i="5" s="1"/>
  <c r="RT93" i="4"/>
  <c r="DS12" i="5" s="1"/>
  <c r="RT87" i="4"/>
  <c r="DS10" i="5" s="1"/>
  <c r="RT82" i="4"/>
  <c r="DS8" i="5" s="1"/>
  <c r="RT80" i="4"/>
  <c r="DS7" i="5" s="1"/>
  <c r="RT66" i="4"/>
  <c r="DR28" i="5" s="1"/>
  <c r="X57" i="36" s="1"/>
  <c r="Z57" i="36" s="1"/>
  <c r="RT25" i="4"/>
  <c r="DR15" i="5" s="1"/>
  <c r="DR14" i="5" s="1"/>
  <c r="RT21" i="4"/>
  <c r="DR12" i="5" s="1"/>
  <c r="RT15" i="4"/>
  <c r="DR10" i="5" s="1"/>
  <c r="X39" i="36" s="1"/>
  <c r="Z39" i="36" s="1"/>
  <c r="RT13" i="4"/>
  <c r="DR9" i="5" s="1"/>
  <c r="X38" i="36" s="1"/>
  <c r="Z38" i="36" s="1"/>
  <c r="Y79" i="36" l="1"/>
  <c r="DW83" i="5"/>
  <c r="Y30" i="36"/>
  <c r="Y21" i="36"/>
  <c r="Y78" i="36"/>
  <c r="DR6" i="5"/>
  <c r="X36" i="36"/>
  <c r="Z36" i="36" s="1"/>
  <c r="X9" i="36"/>
  <c r="Z9" i="36" s="1"/>
  <c r="DT6" i="5"/>
  <c r="Y85" i="36"/>
  <c r="Y81" i="36"/>
  <c r="Y82" i="36"/>
  <c r="DS19" i="5"/>
  <c r="Y84" i="36"/>
  <c r="AB24" i="36"/>
  <c r="DR66" i="5"/>
  <c r="X40" i="36"/>
  <c r="Z40" i="36" s="1"/>
  <c r="X41" i="36"/>
  <c r="Z41" i="36" s="1"/>
  <c r="X37" i="36"/>
  <c r="Z37" i="36" s="1"/>
  <c r="AB27" i="36"/>
  <c r="DW19" i="5"/>
  <c r="DU6" i="5"/>
  <c r="DR19" i="5"/>
  <c r="DU19" i="5"/>
  <c r="DS6" i="5"/>
  <c r="DV6" i="5"/>
  <c r="DV19" i="5"/>
  <c r="DT19" i="5"/>
  <c r="DW6" i="5"/>
  <c r="X10" i="36"/>
  <c r="Z10" i="36" s="1"/>
  <c r="DS62" i="5"/>
  <c r="DW70" i="5"/>
  <c r="DW69" i="5" s="1"/>
  <c r="DS79" i="5"/>
  <c r="DV71" i="5"/>
  <c r="DV70" i="5"/>
  <c r="DR62" i="5"/>
  <c r="X71" i="36"/>
  <c r="Z71" i="36" s="1"/>
  <c r="X13" i="36"/>
  <c r="Z13" i="36" s="1"/>
  <c r="X11" i="36"/>
  <c r="Z11" i="36" s="1"/>
  <c r="DR64" i="5"/>
  <c r="DU67" i="5"/>
  <c r="X76" i="36"/>
  <c r="Z76" i="36" s="1"/>
  <c r="DU81" i="5"/>
  <c r="X80" i="36"/>
  <c r="Z80" i="36" s="1"/>
  <c r="DU65" i="5"/>
  <c r="DW78" i="5"/>
  <c r="X55" i="36"/>
  <c r="X28" i="36"/>
  <c r="Z28" i="36" s="1"/>
  <c r="DR81" i="5"/>
  <c r="X74" i="36"/>
  <c r="Z74" i="36" s="1"/>
  <c r="X14" i="36"/>
  <c r="Z14" i="36" s="1"/>
  <c r="DR67" i="5"/>
  <c r="DS67" i="5"/>
  <c r="DT67" i="5"/>
  <c r="DU70" i="5"/>
  <c r="DU69" i="5" s="1"/>
  <c r="DW64" i="5"/>
  <c r="DW62" i="5"/>
  <c r="X25" i="36"/>
  <c r="Z25" i="36" s="1"/>
  <c r="DR78" i="5"/>
  <c r="X177" i="36"/>
  <c r="DU64" i="5"/>
  <c r="DV82" i="5"/>
  <c r="DV83" i="5"/>
  <c r="DV81" i="5"/>
  <c r="X83" i="36"/>
  <c r="Z83" i="36" s="1"/>
  <c r="DT65" i="5"/>
  <c r="DS65" i="5"/>
  <c r="DW79" i="5"/>
  <c r="DS70" i="5"/>
  <c r="DS69" i="5" s="1"/>
  <c r="DV63" i="5"/>
  <c r="DV64" i="5"/>
  <c r="DV62" i="5"/>
  <c r="X23" i="36"/>
  <c r="Z23" i="36" s="1"/>
  <c r="DU79" i="5"/>
  <c r="X75" i="36"/>
  <c r="Z75" i="36" s="1"/>
  <c r="DT64" i="5"/>
  <c r="DU78" i="5"/>
  <c r="DT79" i="5"/>
  <c r="DT74" i="5" s="1"/>
  <c r="DS63" i="5"/>
  <c r="X12" i="36"/>
  <c r="Z12" i="36" s="1"/>
  <c r="DR65" i="5"/>
  <c r="DT66" i="5"/>
  <c r="DU66" i="5"/>
  <c r="DS81" i="5"/>
  <c r="DV79" i="5"/>
  <c r="DV80" i="5"/>
  <c r="DV78" i="5"/>
  <c r="X44" i="36"/>
  <c r="X17" i="36"/>
  <c r="Z17" i="36" s="1"/>
  <c r="DR70" i="5"/>
  <c r="DR69" i="5" s="1"/>
  <c r="DT70" i="5"/>
  <c r="DT69" i="5" s="1"/>
  <c r="DW66" i="5"/>
  <c r="X30" i="36"/>
  <c r="Z30" i="36" s="1"/>
  <c r="DR83" i="5"/>
  <c r="DT63" i="5"/>
  <c r="DU63" i="5"/>
  <c r="DW67" i="5"/>
  <c r="X26" i="36"/>
  <c r="Z26" i="36" s="1"/>
  <c r="X53" i="36"/>
  <c r="DR79" i="5"/>
  <c r="DU62" i="5"/>
  <c r="X22" i="36"/>
  <c r="Z22" i="36" s="1"/>
  <c r="X29" i="36"/>
  <c r="Z29" i="36" s="1"/>
  <c r="AB26" i="36" l="1"/>
  <c r="AB55" i="36"/>
  <c r="Z55" i="36"/>
  <c r="AB25" i="36"/>
  <c r="AB22" i="36"/>
  <c r="AB29" i="36"/>
  <c r="AB30" i="36"/>
  <c r="Y86" i="36"/>
  <c r="AB177" i="36"/>
  <c r="Z177" i="36"/>
  <c r="AB28" i="36"/>
  <c r="AB23" i="36"/>
  <c r="X48" i="36"/>
  <c r="Z48" i="36" s="1"/>
  <c r="Z53" i="36"/>
  <c r="X43" i="36"/>
  <c r="Z43" i="36" s="1"/>
  <c r="Z44" i="36"/>
  <c r="X16" i="36"/>
  <c r="X8" i="36"/>
  <c r="DT84" i="5"/>
  <c r="DT61" i="5"/>
  <c r="DR74" i="5"/>
  <c r="DW74" i="5"/>
  <c r="DV69" i="5"/>
  <c r="DW84" i="5"/>
  <c r="DW61" i="5"/>
  <c r="DU84" i="5"/>
  <c r="DU61" i="5"/>
  <c r="DV61" i="5"/>
  <c r="DV84" i="5"/>
  <c r="DS74" i="5"/>
  <c r="X21" i="36"/>
  <c r="Z21" i="36" s="1"/>
  <c r="DU74" i="5"/>
  <c r="DV74" i="5"/>
  <c r="DR84" i="5"/>
  <c r="DR61" i="5"/>
  <c r="DS84" i="5"/>
  <c r="DS61" i="5"/>
  <c r="X35" i="36"/>
  <c r="Z35" i="36" s="1"/>
  <c r="X69" i="36"/>
  <c r="Z69" i="36" s="1"/>
  <c r="X66" i="36"/>
  <c r="Z66" i="36" s="1"/>
  <c r="X68" i="36"/>
  <c r="Z68" i="36" s="1"/>
  <c r="X78" i="36"/>
  <c r="Z78" i="36" s="1"/>
  <c r="X79" i="36"/>
  <c r="X82" i="36"/>
  <c r="Z82" i="36" s="1"/>
  <c r="X86" i="36"/>
  <c r="Z86" i="36" s="1"/>
  <c r="X81" i="36"/>
  <c r="Z81" i="36" s="1"/>
  <c r="X65" i="36"/>
  <c r="Z65" i="36" s="1"/>
  <c r="X73" i="36"/>
  <c r="Z73" i="36" s="1"/>
  <c r="X67" i="36"/>
  <c r="Z67" i="36" s="1"/>
  <c r="X85" i="36"/>
  <c r="Z85" i="36" s="1"/>
  <c r="X70" i="36"/>
  <c r="Z70" i="36" s="1"/>
  <c r="X84" i="36"/>
  <c r="Z84" i="36" s="1"/>
  <c r="DM160" i="5"/>
  <c r="DM155" i="5"/>
  <c r="DM170" i="5"/>
  <c r="DM169" i="5"/>
  <c r="DM168" i="5"/>
  <c r="DM167" i="5"/>
  <c r="DM166" i="5"/>
  <c r="DM165" i="5"/>
  <c r="DM164" i="5"/>
  <c r="DM163" i="5"/>
  <c r="DM162" i="5"/>
  <c r="DM159" i="5"/>
  <c r="DM158" i="5"/>
  <c r="DM157" i="5"/>
  <c r="DM156" i="5" s="1"/>
  <c r="DM154" i="5"/>
  <c r="DM153" i="5"/>
  <c r="DM152" i="5"/>
  <c r="DM151" i="5"/>
  <c r="DM150" i="5"/>
  <c r="DM149" i="5"/>
  <c r="DL160" i="5"/>
  <c r="DL155" i="5"/>
  <c r="DL170" i="5"/>
  <c r="DL169" i="5"/>
  <c r="DL168" i="5"/>
  <c r="DL167" i="5"/>
  <c r="DL166" i="5"/>
  <c r="DL165" i="5"/>
  <c r="DL164" i="5"/>
  <c r="DL163" i="5"/>
  <c r="DL162" i="5"/>
  <c r="DL159" i="5"/>
  <c r="DL158" i="5"/>
  <c r="DL157" i="5"/>
  <c r="DL154" i="5"/>
  <c r="DL153" i="5"/>
  <c r="DL152" i="5"/>
  <c r="DL151" i="5"/>
  <c r="DL150" i="5"/>
  <c r="DL149" i="5"/>
  <c r="DG134" i="5"/>
  <c r="DG124" i="5"/>
  <c r="DF134" i="5"/>
  <c r="DK160" i="5"/>
  <c r="DK155" i="5"/>
  <c r="DK170" i="5"/>
  <c r="DK169" i="5"/>
  <c r="DK168" i="5"/>
  <c r="DK167" i="5"/>
  <c r="DK165" i="5"/>
  <c r="DK166" i="5"/>
  <c r="DK164" i="5"/>
  <c r="DK163" i="5"/>
  <c r="DK162" i="5"/>
  <c r="DK159" i="5"/>
  <c r="DK158" i="5"/>
  <c r="DK157" i="5"/>
  <c r="DK154" i="5"/>
  <c r="DK153" i="5"/>
  <c r="DK152" i="5"/>
  <c r="DK151" i="5"/>
  <c r="DK150" i="5"/>
  <c r="DK149" i="5"/>
  <c r="DJ160" i="5"/>
  <c r="DJ155" i="5"/>
  <c r="DJ170" i="5"/>
  <c r="DJ169" i="5"/>
  <c r="DJ168" i="5"/>
  <c r="DJ167" i="5"/>
  <c r="DJ166" i="5"/>
  <c r="DJ165" i="5"/>
  <c r="DJ164" i="5"/>
  <c r="DJ163" i="5"/>
  <c r="DJ162" i="5"/>
  <c r="DJ159" i="5"/>
  <c r="DJ158" i="5"/>
  <c r="DJ157" i="5"/>
  <c r="DJ154" i="5"/>
  <c r="DJ153" i="5"/>
  <c r="DJ152" i="5"/>
  <c r="DJ151" i="5"/>
  <c r="DJ150" i="5"/>
  <c r="DJ149" i="5"/>
  <c r="DI160" i="5"/>
  <c r="DI155" i="5"/>
  <c r="DI170" i="5"/>
  <c r="DI169" i="5"/>
  <c r="DI168" i="5"/>
  <c r="DI167" i="5"/>
  <c r="DI166" i="5"/>
  <c r="DI165" i="5"/>
  <c r="DI164" i="5"/>
  <c r="DI163" i="5"/>
  <c r="DI162" i="5"/>
  <c r="DI159" i="5"/>
  <c r="DI158" i="5"/>
  <c r="DI157" i="5"/>
  <c r="DI154" i="5"/>
  <c r="DI153" i="5"/>
  <c r="DI152" i="5"/>
  <c r="DI151" i="5"/>
  <c r="DI150" i="5"/>
  <c r="DI149" i="5"/>
  <c r="DH160" i="5"/>
  <c r="DH155" i="5"/>
  <c r="DH170" i="5"/>
  <c r="DH169" i="5"/>
  <c r="DH168" i="5"/>
  <c r="DH167" i="5"/>
  <c r="DH166" i="5"/>
  <c r="DH165" i="5"/>
  <c r="DH164" i="5"/>
  <c r="DH163" i="5"/>
  <c r="DH162" i="5"/>
  <c r="DH159" i="5"/>
  <c r="DH158" i="5"/>
  <c r="DH157" i="5"/>
  <c r="DH154" i="5"/>
  <c r="DH153" i="5"/>
  <c r="DH152" i="5"/>
  <c r="DH151" i="5"/>
  <c r="DH150" i="5"/>
  <c r="DH149" i="5"/>
  <c r="DG160" i="5"/>
  <c r="DG155" i="5"/>
  <c r="DG170" i="5"/>
  <c r="DG169" i="5"/>
  <c r="DG168" i="5"/>
  <c r="DG167" i="5"/>
  <c r="DG166" i="5"/>
  <c r="DG165" i="5"/>
  <c r="DG164" i="5"/>
  <c r="DG163" i="5"/>
  <c r="DG162" i="5"/>
  <c r="DG154" i="5"/>
  <c r="DG157" i="5"/>
  <c r="DG158" i="5"/>
  <c r="DG159" i="5"/>
  <c r="DG153" i="5"/>
  <c r="DG152" i="5"/>
  <c r="DG151" i="5"/>
  <c r="DG150" i="5"/>
  <c r="DG149" i="5"/>
  <c r="DF160" i="5"/>
  <c r="DF155" i="5"/>
  <c r="DF170" i="5"/>
  <c r="DF169" i="5"/>
  <c r="DF168" i="5"/>
  <c r="DF167" i="5"/>
  <c r="DF166" i="5"/>
  <c r="DF165" i="5"/>
  <c r="DF164" i="5"/>
  <c r="DF163" i="5"/>
  <c r="DF162" i="5"/>
  <c r="DF159" i="5"/>
  <c r="DF158" i="5"/>
  <c r="DF157" i="5"/>
  <c r="DF154" i="5"/>
  <c r="DF153" i="5"/>
  <c r="DF152" i="5"/>
  <c r="DF151" i="5"/>
  <c r="DF150" i="5"/>
  <c r="DF149" i="5"/>
  <c r="MJ138" i="1"/>
  <c r="MM138" i="1" s="1"/>
  <c r="MI138" i="1"/>
  <c r="ML138" i="1" s="1"/>
  <c r="MJ137" i="1"/>
  <c r="MI137" i="1"/>
  <c r="ML137" i="1" s="1"/>
  <c r="MJ136" i="1"/>
  <c r="MM136" i="1" s="1"/>
  <c r="MI136" i="1"/>
  <c r="MJ135" i="1"/>
  <c r="MM135" i="1" s="1"/>
  <c r="MI135" i="1"/>
  <c r="MJ134" i="1"/>
  <c r="MJ169" i="1" s="1"/>
  <c r="MI134" i="1"/>
  <c r="MJ133" i="1"/>
  <c r="MJ168" i="1" s="1"/>
  <c r="MI133" i="1"/>
  <c r="ML133" i="1" s="1"/>
  <c r="MI132" i="1"/>
  <c r="MJ132" i="1"/>
  <c r="MJ167" i="1" s="1"/>
  <c r="MJ131" i="1"/>
  <c r="MI131" i="1"/>
  <c r="MJ130" i="1"/>
  <c r="MM130" i="1" s="1"/>
  <c r="MI130" i="1"/>
  <c r="MJ129" i="1"/>
  <c r="MJ164" i="1" s="1"/>
  <c r="MI129" i="1"/>
  <c r="ML129" i="1" s="1"/>
  <c r="MJ126" i="1"/>
  <c r="MM126" i="1" s="1"/>
  <c r="MI126" i="1"/>
  <c r="MJ124" i="1"/>
  <c r="MJ162" i="1" s="1"/>
  <c r="MI124" i="1"/>
  <c r="MJ123" i="1"/>
  <c r="MJ161" i="1" s="1"/>
  <c r="MI123" i="1"/>
  <c r="MJ122" i="1"/>
  <c r="MI122" i="1"/>
  <c r="ML122" i="1" s="1"/>
  <c r="MJ121" i="1"/>
  <c r="MJ159" i="1" s="1"/>
  <c r="MI121" i="1"/>
  <c r="MJ120" i="1"/>
  <c r="MJ158" i="1" s="1"/>
  <c r="MI120" i="1"/>
  <c r="MJ119" i="1"/>
  <c r="MI119" i="1"/>
  <c r="MJ118" i="1"/>
  <c r="MM118" i="1" s="1"/>
  <c r="MI118" i="1"/>
  <c r="MI156" i="1" s="1"/>
  <c r="MJ117" i="1"/>
  <c r="MJ155" i="1" s="1"/>
  <c r="MI117" i="1"/>
  <c r="MJ115" i="1"/>
  <c r="MI115" i="1"/>
  <c r="MJ114" i="1"/>
  <c r="MJ152" i="1" s="1"/>
  <c r="MI114" i="1"/>
  <c r="MJ113" i="1"/>
  <c r="MM113" i="1" s="1"/>
  <c r="MI113" i="1"/>
  <c r="MJ112" i="1"/>
  <c r="MJ150" i="1" s="1"/>
  <c r="MI112" i="1"/>
  <c r="MJ111" i="1"/>
  <c r="ML111" i="1" s="1"/>
  <c r="MI111" i="1"/>
  <c r="MJ109" i="1"/>
  <c r="MI109" i="1"/>
  <c r="MI149" i="1" s="1"/>
  <c r="MJ107" i="1"/>
  <c r="MI107" i="1"/>
  <c r="MI148" i="1" s="1"/>
  <c r="MJ106" i="1"/>
  <c r="ML106" i="1" s="1"/>
  <c r="MI106" i="1"/>
  <c r="MJ104" i="1"/>
  <c r="MM104" i="1" s="1"/>
  <c r="MI104" i="1"/>
  <c r="MJ103" i="1"/>
  <c r="MI103" i="1"/>
  <c r="MJ102" i="1"/>
  <c r="MM102" i="1" s="1"/>
  <c r="MI102" i="1"/>
  <c r="MI147" i="1" s="1"/>
  <c r="MJ100" i="1"/>
  <c r="MJ146" i="1" s="1"/>
  <c r="MI100" i="1"/>
  <c r="MI146" i="1" s="1"/>
  <c r="MJ99" i="1"/>
  <c r="MI99" i="1"/>
  <c r="MJ97" i="1"/>
  <c r="MM97" i="1" s="1"/>
  <c r="MI97" i="1"/>
  <c r="MJ95" i="1"/>
  <c r="MM95" i="1" s="1"/>
  <c r="MI95" i="1"/>
  <c r="MJ94" i="1"/>
  <c r="MI94" i="1"/>
  <c r="MJ93" i="1"/>
  <c r="ML93" i="1" s="1"/>
  <c r="MI93" i="1"/>
  <c r="MJ51" i="1"/>
  <c r="MJ86" i="1" s="1"/>
  <c r="MI51" i="1"/>
  <c r="MI86" i="1" s="1"/>
  <c r="MJ50" i="1"/>
  <c r="MI50" i="1"/>
  <c r="MI85" i="1" s="1"/>
  <c r="MJ49" i="1"/>
  <c r="MJ84" i="1" s="1"/>
  <c r="MI49" i="1"/>
  <c r="MJ47" i="1"/>
  <c r="MJ82" i="1" s="1"/>
  <c r="MI47" i="1"/>
  <c r="MI82" i="1" s="1"/>
  <c r="MJ46" i="1"/>
  <c r="MI46" i="1"/>
  <c r="MJ45" i="1"/>
  <c r="MM45" i="1" s="1"/>
  <c r="MI45" i="1"/>
  <c r="ML45" i="1" s="1"/>
  <c r="MJ42" i="1"/>
  <c r="MJ77" i="1" s="1"/>
  <c r="MI42" i="1"/>
  <c r="MI77" i="1" s="1"/>
  <c r="MJ39" i="1"/>
  <c r="MI39" i="1"/>
  <c r="MJ38" i="1"/>
  <c r="MM38" i="1" s="1"/>
  <c r="MI38" i="1"/>
  <c r="MJ37" i="1"/>
  <c r="MM37" i="1" s="1"/>
  <c r="MI37" i="1"/>
  <c r="MJ36" i="1"/>
  <c r="MI36" i="1"/>
  <c r="MJ35" i="1"/>
  <c r="ML35" i="1" s="1"/>
  <c r="MI35" i="1"/>
  <c r="MJ34" i="1"/>
  <c r="MI34" i="1"/>
  <c r="MJ33" i="1"/>
  <c r="MI33" i="1"/>
  <c r="MI71" i="1" s="1"/>
  <c r="MJ32" i="1"/>
  <c r="MM32" i="1" s="1"/>
  <c r="MI32" i="1"/>
  <c r="MJ31" i="1"/>
  <c r="MJ69" i="1" s="1"/>
  <c r="MI31" i="1"/>
  <c r="MI69" i="1" s="1"/>
  <c r="MJ30" i="1"/>
  <c r="MI30" i="1"/>
  <c r="MJ28" i="1"/>
  <c r="MJ66" i="1" s="1"/>
  <c r="MI28" i="1"/>
  <c r="MI66" i="1" s="1"/>
  <c r="MJ27" i="1"/>
  <c r="MJ65" i="1" s="1"/>
  <c r="MI27" i="1"/>
  <c r="MI65" i="1" s="1"/>
  <c r="MJ26" i="1"/>
  <c r="MI26" i="1"/>
  <c r="MJ25" i="1"/>
  <c r="MJ63" i="1" s="1"/>
  <c r="MI25" i="1"/>
  <c r="MJ24" i="1"/>
  <c r="MM24" i="1" s="1"/>
  <c r="MI24" i="1"/>
  <c r="MJ23" i="1"/>
  <c r="MM23" i="1" s="1"/>
  <c r="MI23" i="1"/>
  <c r="MJ19" i="1"/>
  <c r="MJ61" i="1" s="1"/>
  <c r="MI19" i="1"/>
  <c r="MJ17" i="1"/>
  <c r="MM17" i="1" s="1"/>
  <c r="MI17" i="1"/>
  <c r="MJ15" i="1"/>
  <c r="MI15" i="1"/>
  <c r="MJ13" i="1"/>
  <c r="MJ59" i="1" s="1"/>
  <c r="MI13" i="1"/>
  <c r="MJ10" i="1"/>
  <c r="MJ58" i="1" s="1"/>
  <c r="MI10" i="1"/>
  <c r="MI58" i="1" s="1"/>
  <c r="MJ9" i="1"/>
  <c r="MI9" i="1"/>
  <c r="MJ8" i="1"/>
  <c r="MM8" i="1" s="1"/>
  <c r="MI8" i="1"/>
  <c r="MI57" i="1" s="1"/>
  <c r="MJ6" i="1"/>
  <c r="MM6" i="1" s="1"/>
  <c r="MI6" i="1"/>
  <c r="MI56" i="1" s="1"/>
  <c r="MD138" i="1"/>
  <c r="MC138" i="1"/>
  <c r="MD137" i="1"/>
  <c r="MF137" i="1" s="1"/>
  <c r="MC137" i="1"/>
  <c r="MD129" i="1"/>
  <c r="MG129" i="1" s="1"/>
  <c r="MC129" i="1"/>
  <c r="MD128" i="1"/>
  <c r="MG128" i="1" s="1"/>
  <c r="MC128" i="1"/>
  <c r="MD127" i="1"/>
  <c r="MC127" i="1"/>
  <c r="MD126" i="1"/>
  <c r="MG126" i="1" s="1"/>
  <c r="MC126" i="1"/>
  <c r="MD125" i="1"/>
  <c r="MG125" i="1" s="1"/>
  <c r="MC125" i="1"/>
  <c r="MF125" i="1" s="1"/>
  <c r="MD124" i="1"/>
  <c r="MC124" i="1"/>
  <c r="MD123" i="1"/>
  <c r="MC123" i="1"/>
  <c r="MC161" i="1" s="1"/>
  <c r="MD122" i="1"/>
  <c r="MG122" i="1" s="1"/>
  <c r="MC122" i="1"/>
  <c r="MD121" i="1"/>
  <c r="MD159" i="1" s="1"/>
  <c r="MC121" i="1"/>
  <c r="MC159" i="1" s="1"/>
  <c r="MD120" i="1"/>
  <c r="MD158" i="1" s="1"/>
  <c r="MC120" i="1"/>
  <c r="MC158" i="1" s="1"/>
  <c r="MD119" i="1"/>
  <c r="MG119" i="1" s="1"/>
  <c r="MC119" i="1"/>
  <c r="MD118" i="1"/>
  <c r="MC118" i="1"/>
  <c r="MD112" i="1"/>
  <c r="MG112" i="1" s="1"/>
  <c r="MC112" i="1"/>
  <c r="MF112" i="1" s="1"/>
  <c r="MD111" i="1"/>
  <c r="MG111" i="1" s="1"/>
  <c r="MC111" i="1"/>
  <c r="MD110" i="1"/>
  <c r="MF110" i="1" s="1"/>
  <c r="MC110" i="1"/>
  <c r="MD109" i="1"/>
  <c r="MG109" i="1" s="1"/>
  <c r="MC109" i="1"/>
  <c r="MD108" i="1"/>
  <c r="MC108" i="1"/>
  <c r="MC149" i="1" s="1"/>
  <c r="MD107" i="1"/>
  <c r="MF107" i="1" s="1"/>
  <c r="MC107" i="1"/>
  <c r="MD106" i="1"/>
  <c r="MC106" i="1"/>
  <c r="MD105" i="1"/>
  <c r="MC105" i="1"/>
  <c r="MD104" i="1"/>
  <c r="MG104" i="1" s="1"/>
  <c r="MC104" i="1"/>
  <c r="MF104" i="1" s="1"/>
  <c r="MD103" i="1"/>
  <c r="MG103" i="1" s="1"/>
  <c r="MC103" i="1"/>
  <c r="MD102" i="1"/>
  <c r="MC102" i="1"/>
  <c r="MD101" i="1"/>
  <c r="MC101" i="1"/>
  <c r="MD100" i="1"/>
  <c r="MG100" i="1" s="1"/>
  <c r="MC100" i="1"/>
  <c r="MC146" i="1" s="1"/>
  <c r="MD97" i="1"/>
  <c r="MC97" i="1"/>
  <c r="MD96" i="1"/>
  <c r="MF96" i="1" s="1"/>
  <c r="MC96" i="1"/>
  <c r="MD94" i="1"/>
  <c r="MG94" i="1" s="1"/>
  <c r="MC94" i="1"/>
  <c r="MD93" i="1"/>
  <c r="MC93" i="1"/>
  <c r="MD51" i="1"/>
  <c r="MG51" i="1" s="1"/>
  <c r="MC51" i="1"/>
  <c r="MD50" i="1"/>
  <c r="MD85" i="1" s="1"/>
  <c r="MC50" i="1"/>
  <c r="MF50" i="1" s="1"/>
  <c r="MD49" i="1"/>
  <c r="MC49" i="1"/>
  <c r="MD46" i="1"/>
  <c r="MD81" i="1" s="1"/>
  <c r="MC46" i="1"/>
  <c r="MF46" i="1" s="1"/>
  <c r="MD42" i="1"/>
  <c r="MG42" i="1" s="1"/>
  <c r="MC42" i="1"/>
  <c r="MD41" i="1"/>
  <c r="MC41" i="1"/>
  <c r="MD40" i="1"/>
  <c r="MF40" i="1" s="1"/>
  <c r="MC40" i="1"/>
  <c r="MD39" i="1"/>
  <c r="MG39" i="1" s="1"/>
  <c r="MC39" i="1"/>
  <c r="MF39" i="1" s="1"/>
  <c r="MD37" i="1"/>
  <c r="MD75" i="1" s="1"/>
  <c r="MC37" i="1"/>
  <c r="MD36" i="1"/>
  <c r="MD74" i="1" s="1"/>
  <c r="MC36" i="1"/>
  <c r="MD35" i="1"/>
  <c r="MD73" i="1" s="1"/>
  <c r="MC35" i="1"/>
  <c r="MC73" i="1" s="1"/>
  <c r="MD34" i="1"/>
  <c r="MD72" i="1" s="1"/>
  <c r="MC34" i="1"/>
  <c r="MC72" i="1" s="1"/>
  <c r="MF72" i="1" s="1"/>
  <c r="DJ50" i="5" s="1"/>
  <c r="MD33" i="1"/>
  <c r="MD71" i="1" s="1"/>
  <c r="MC33" i="1"/>
  <c r="MD32" i="1"/>
  <c r="MD70" i="1" s="1"/>
  <c r="MC32" i="1"/>
  <c r="MF32" i="1" s="1"/>
  <c r="MD31" i="1"/>
  <c r="MD69" i="1" s="1"/>
  <c r="MC31" i="1"/>
  <c r="MD30" i="1"/>
  <c r="MD68" i="1" s="1"/>
  <c r="MC30" i="1"/>
  <c r="MD28" i="1"/>
  <c r="MD66" i="1" s="1"/>
  <c r="MC28" i="1"/>
  <c r="MD25" i="1"/>
  <c r="MC25" i="1"/>
  <c r="MD23" i="1"/>
  <c r="MC23" i="1"/>
  <c r="MD20" i="1"/>
  <c r="MG20" i="1" s="1"/>
  <c r="MC20" i="1"/>
  <c r="MF20" i="1" s="1"/>
  <c r="MD19" i="1"/>
  <c r="MF19" i="1" s="1"/>
  <c r="MC19" i="1"/>
  <c r="MD18" i="1"/>
  <c r="MC18" i="1"/>
  <c r="MD17" i="1"/>
  <c r="MG17" i="1" s="1"/>
  <c r="MC17" i="1"/>
  <c r="MD16" i="1"/>
  <c r="MC16" i="1"/>
  <c r="MC60" i="1" s="1"/>
  <c r="MD15" i="1"/>
  <c r="MD60" i="1" s="1"/>
  <c r="MC15" i="1"/>
  <c r="MD13" i="1"/>
  <c r="MC13" i="1"/>
  <c r="MF13" i="1" s="1"/>
  <c r="MD12" i="1"/>
  <c r="MG12" i="1" s="1"/>
  <c r="MC12" i="1"/>
  <c r="MD10" i="1"/>
  <c r="MC10" i="1"/>
  <c r="MC58" i="1" s="1"/>
  <c r="MD9" i="1"/>
  <c r="MG9" i="1" s="1"/>
  <c r="MC9" i="1"/>
  <c r="MD7" i="1"/>
  <c r="MC7" i="1"/>
  <c r="MD6" i="1"/>
  <c r="MC6" i="1"/>
  <c r="LX138" i="1"/>
  <c r="LX173" i="1" s="1"/>
  <c r="LW138" i="1"/>
  <c r="LZ138" i="1" s="1"/>
  <c r="LX137" i="1"/>
  <c r="MA137" i="1" s="1"/>
  <c r="LW137" i="1"/>
  <c r="LX136" i="1"/>
  <c r="LW136" i="1"/>
  <c r="LX134" i="1"/>
  <c r="LX169" i="1" s="1"/>
  <c r="LW134" i="1"/>
  <c r="LW169" i="1" s="1"/>
  <c r="LX133" i="1"/>
  <c r="LW133" i="1"/>
  <c r="LZ133" i="1" s="1"/>
  <c r="LX132" i="1"/>
  <c r="LZ132" i="1" s="1"/>
  <c r="LW132" i="1"/>
  <c r="LX129" i="1"/>
  <c r="LW129" i="1"/>
  <c r="LX128" i="1"/>
  <c r="LW128" i="1"/>
  <c r="LX127" i="1"/>
  <c r="LW127" i="1"/>
  <c r="LZ127" i="1" s="1"/>
  <c r="LX126" i="1"/>
  <c r="MA126" i="1" s="1"/>
  <c r="LW126" i="1"/>
  <c r="LX125" i="1"/>
  <c r="LW125" i="1"/>
  <c r="LX124" i="1"/>
  <c r="LW124" i="1"/>
  <c r="LX123" i="1"/>
  <c r="MA123" i="1" s="1"/>
  <c r="LW123" i="1"/>
  <c r="LX122" i="1"/>
  <c r="MA122" i="1" s="1"/>
  <c r="LW122" i="1"/>
  <c r="LX121" i="1"/>
  <c r="MA121" i="1" s="1"/>
  <c r="LW121" i="1"/>
  <c r="LX120" i="1"/>
  <c r="LW120" i="1"/>
  <c r="LX119" i="1"/>
  <c r="LW119" i="1"/>
  <c r="LX118" i="1"/>
  <c r="LX156" i="1" s="1"/>
  <c r="LW118" i="1"/>
  <c r="LX114" i="1"/>
  <c r="LX152" i="1" s="1"/>
  <c r="LW114" i="1"/>
  <c r="LX112" i="1"/>
  <c r="LW112" i="1"/>
  <c r="LX111" i="1"/>
  <c r="MA111" i="1" s="1"/>
  <c r="LW111" i="1"/>
  <c r="LW149" i="1" s="1"/>
  <c r="LX106" i="1"/>
  <c r="MA106" i="1" s="1"/>
  <c r="LW106" i="1"/>
  <c r="LX104" i="1"/>
  <c r="LW104" i="1"/>
  <c r="LX103" i="1"/>
  <c r="LW103" i="1"/>
  <c r="LX102" i="1"/>
  <c r="MA102" i="1" s="1"/>
  <c r="LW102" i="1"/>
  <c r="LX100" i="1"/>
  <c r="MA100" i="1" s="1"/>
  <c r="LW100" i="1"/>
  <c r="LX97" i="1"/>
  <c r="MA97" i="1" s="1"/>
  <c r="LW97" i="1"/>
  <c r="LX94" i="1"/>
  <c r="LW94" i="1"/>
  <c r="LX93" i="1"/>
  <c r="LW93" i="1"/>
  <c r="LZ93" i="1" s="1"/>
  <c r="LX51" i="1"/>
  <c r="LW51" i="1"/>
  <c r="LX50" i="1"/>
  <c r="LX85" i="1" s="1"/>
  <c r="LW50" i="1"/>
  <c r="LX49" i="1"/>
  <c r="LW49" i="1"/>
  <c r="LX44" i="1"/>
  <c r="LW44" i="1"/>
  <c r="LZ44" i="1" s="1"/>
  <c r="LX42" i="1"/>
  <c r="LW42" i="1"/>
  <c r="LX41" i="1"/>
  <c r="LW41" i="1"/>
  <c r="LX39" i="1"/>
  <c r="LX76" i="1" s="1"/>
  <c r="LW39" i="1"/>
  <c r="LX37" i="1"/>
  <c r="MA37" i="1" s="1"/>
  <c r="LW37" i="1"/>
  <c r="LW75" i="1" s="1"/>
  <c r="LX36" i="1"/>
  <c r="LX74" i="1" s="1"/>
  <c r="LW36" i="1"/>
  <c r="LX35" i="1"/>
  <c r="LW35" i="1"/>
  <c r="LX34" i="1"/>
  <c r="LX72" i="1" s="1"/>
  <c r="LW34" i="1"/>
  <c r="LW72" i="1" s="1"/>
  <c r="LX33" i="1"/>
  <c r="LW33" i="1"/>
  <c r="LW71" i="1" s="1"/>
  <c r="LX32" i="1"/>
  <c r="MA32" i="1" s="1"/>
  <c r="LW32" i="1"/>
  <c r="LX31" i="1"/>
  <c r="LX69" i="1" s="1"/>
  <c r="LW31" i="1"/>
  <c r="LW69" i="1" s="1"/>
  <c r="LX26" i="1"/>
  <c r="LW26" i="1"/>
  <c r="LX25" i="1"/>
  <c r="LW25" i="1"/>
  <c r="LZ25" i="1" s="1"/>
  <c r="LX24" i="1"/>
  <c r="LX62" i="1" s="1"/>
  <c r="LW24" i="1"/>
  <c r="LX20" i="1"/>
  <c r="LW20" i="1"/>
  <c r="LX19" i="1"/>
  <c r="LW19" i="1"/>
  <c r="LX17" i="1"/>
  <c r="MA17" i="1" s="1"/>
  <c r="LW17" i="1"/>
  <c r="LX15" i="1"/>
  <c r="LZ15" i="1" s="1"/>
  <c r="LW15" i="1"/>
  <c r="LX13" i="1"/>
  <c r="LW13" i="1"/>
  <c r="LX10" i="1"/>
  <c r="MA10" i="1" s="1"/>
  <c r="LW10" i="1"/>
  <c r="LW58" i="1" s="1"/>
  <c r="LX9" i="1"/>
  <c r="LW9" i="1"/>
  <c r="LW57" i="1" s="1"/>
  <c r="LX8" i="1"/>
  <c r="LZ8" i="1" s="1"/>
  <c r="LW8" i="1"/>
  <c r="LX6" i="1"/>
  <c r="MA6" i="1" s="1"/>
  <c r="LW6" i="1"/>
  <c r="LR138" i="1"/>
  <c r="LQ138" i="1"/>
  <c r="LR137" i="1"/>
  <c r="LQ137" i="1"/>
  <c r="LQ172" i="1" s="1"/>
  <c r="LR136" i="1"/>
  <c r="LR171" i="1" s="1"/>
  <c r="LQ136" i="1"/>
  <c r="LQ171" i="1" s="1"/>
  <c r="LR135" i="1"/>
  <c r="LR170" i="1" s="1"/>
  <c r="LQ135" i="1"/>
  <c r="LQ170" i="1" s="1"/>
  <c r="LR134" i="1"/>
  <c r="LQ134" i="1"/>
  <c r="LR133" i="1"/>
  <c r="LU133" i="1" s="1"/>
  <c r="LQ133" i="1"/>
  <c r="LQ168" i="1" s="1"/>
  <c r="LR131" i="1"/>
  <c r="LR166" i="1" s="1"/>
  <c r="LQ131" i="1"/>
  <c r="LR129" i="1"/>
  <c r="LQ129" i="1"/>
  <c r="LR126" i="1"/>
  <c r="LU126" i="1" s="1"/>
  <c r="LQ126" i="1"/>
  <c r="LR125" i="1"/>
  <c r="LQ125" i="1"/>
  <c r="LT125" i="1" s="1"/>
  <c r="LR124" i="1"/>
  <c r="LQ124" i="1"/>
  <c r="LR123" i="1"/>
  <c r="LU123" i="1" s="1"/>
  <c r="LQ123" i="1"/>
  <c r="LR122" i="1"/>
  <c r="LR160" i="1" s="1"/>
  <c r="LQ122" i="1"/>
  <c r="LR121" i="1"/>
  <c r="LQ121" i="1"/>
  <c r="LQ159" i="1" s="1"/>
  <c r="LR118" i="1"/>
  <c r="LU118" i="1" s="1"/>
  <c r="LQ118" i="1"/>
  <c r="LQ156" i="1" s="1"/>
  <c r="LR115" i="1"/>
  <c r="LQ115" i="1"/>
  <c r="LR114" i="1"/>
  <c r="LQ114" i="1"/>
  <c r="LR112" i="1"/>
  <c r="LQ112" i="1"/>
  <c r="LQ150" i="1" s="1"/>
  <c r="LR104" i="1"/>
  <c r="LU104" i="1" s="1"/>
  <c r="LQ104" i="1"/>
  <c r="LR99" i="1"/>
  <c r="LU99" i="1" s="1"/>
  <c r="LQ99" i="1"/>
  <c r="LR97" i="1"/>
  <c r="LQ97" i="1"/>
  <c r="LR93" i="1"/>
  <c r="LQ93" i="1"/>
  <c r="LR49" i="1"/>
  <c r="LQ49" i="1"/>
  <c r="LR48" i="1"/>
  <c r="LR83" i="1" s="1"/>
  <c r="LQ48" i="1"/>
  <c r="LQ83" i="1" s="1"/>
  <c r="LR46" i="1"/>
  <c r="LU46" i="1" s="1"/>
  <c r="LQ46" i="1"/>
  <c r="LR40" i="1"/>
  <c r="LQ40" i="1"/>
  <c r="LQ77" i="1" s="1"/>
  <c r="LR39" i="1"/>
  <c r="LR76" i="1" s="1"/>
  <c r="LQ39" i="1"/>
  <c r="LQ76" i="1" s="1"/>
  <c r="LR37" i="1"/>
  <c r="LR75" i="1" s="1"/>
  <c r="LQ37" i="1"/>
  <c r="LQ75" i="1" s="1"/>
  <c r="LR36" i="1"/>
  <c r="LQ36" i="1"/>
  <c r="LR35" i="1"/>
  <c r="LR73" i="1" s="1"/>
  <c r="LQ35" i="1"/>
  <c r="LQ73" i="1" s="1"/>
  <c r="LR34" i="1"/>
  <c r="LR72" i="1" s="1"/>
  <c r="LQ34" i="1"/>
  <c r="LR31" i="1"/>
  <c r="LR69" i="1" s="1"/>
  <c r="LQ31" i="1"/>
  <c r="LQ69" i="1" s="1"/>
  <c r="LR27" i="1"/>
  <c r="LU27" i="1" s="1"/>
  <c r="LQ27" i="1"/>
  <c r="LQ65" i="1" s="1"/>
  <c r="LR20" i="1"/>
  <c r="LQ20" i="1"/>
  <c r="LQ61" i="1" s="1"/>
  <c r="LR16" i="1"/>
  <c r="LQ16" i="1"/>
  <c r="LQ60" i="1" s="1"/>
  <c r="LR10" i="1"/>
  <c r="LR58" i="1" s="1"/>
  <c r="LQ10" i="1"/>
  <c r="LQ58" i="1" s="1"/>
  <c r="LR9" i="1"/>
  <c r="LQ9" i="1"/>
  <c r="MW173" i="1"/>
  <c r="MV173" i="1"/>
  <c r="MU173" i="1"/>
  <c r="MW172" i="1"/>
  <c r="MV172" i="1"/>
  <c r="MU172" i="1"/>
  <c r="MW171" i="1"/>
  <c r="MV171" i="1"/>
  <c r="MU171" i="1"/>
  <c r="MW170" i="1"/>
  <c r="MV170" i="1"/>
  <c r="MU170" i="1"/>
  <c r="MW169" i="1"/>
  <c r="MV169" i="1"/>
  <c r="MU169" i="1"/>
  <c r="MW168" i="1"/>
  <c r="MV168" i="1"/>
  <c r="MU168" i="1"/>
  <c r="MW167" i="1"/>
  <c r="MV167" i="1"/>
  <c r="MU167" i="1"/>
  <c r="MW166" i="1"/>
  <c r="MV166" i="1"/>
  <c r="MU166" i="1"/>
  <c r="MW165" i="1"/>
  <c r="MV165" i="1"/>
  <c r="MU165" i="1"/>
  <c r="MW164" i="1"/>
  <c r="MV164" i="1"/>
  <c r="MU164" i="1"/>
  <c r="MW163" i="1"/>
  <c r="MV163" i="1"/>
  <c r="MU163" i="1"/>
  <c r="MW162" i="1"/>
  <c r="MV162" i="1"/>
  <c r="MU162" i="1"/>
  <c r="MW161" i="1"/>
  <c r="MV161" i="1"/>
  <c r="MU161" i="1"/>
  <c r="MW160" i="1"/>
  <c r="MV160" i="1"/>
  <c r="MU160" i="1"/>
  <c r="MW159" i="1"/>
  <c r="MV159" i="1"/>
  <c r="MU159" i="1"/>
  <c r="MW158" i="1"/>
  <c r="MV158" i="1"/>
  <c r="MU158" i="1"/>
  <c r="MW157" i="1"/>
  <c r="MV157" i="1"/>
  <c r="MU157" i="1"/>
  <c r="MW156" i="1"/>
  <c r="MV156" i="1"/>
  <c r="MU156" i="1"/>
  <c r="MW155" i="1"/>
  <c r="MV155" i="1"/>
  <c r="MU155" i="1"/>
  <c r="MW154" i="1"/>
  <c r="MV154" i="1"/>
  <c r="MU154" i="1"/>
  <c r="MW153" i="1"/>
  <c r="MV153" i="1"/>
  <c r="MU153" i="1"/>
  <c r="MW152" i="1"/>
  <c r="MV152" i="1"/>
  <c r="MU152" i="1"/>
  <c r="MW151" i="1"/>
  <c r="MV151" i="1"/>
  <c r="MU151" i="1"/>
  <c r="MW150" i="1"/>
  <c r="MV150" i="1"/>
  <c r="MU150" i="1"/>
  <c r="MW149" i="1"/>
  <c r="MV149" i="1"/>
  <c r="MU149" i="1"/>
  <c r="MW148" i="1"/>
  <c r="MV148" i="1"/>
  <c r="MU148" i="1"/>
  <c r="MW147" i="1"/>
  <c r="MV147" i="1"/>
  <c r="MU147" i="1"/>
  <c r="MW146" i="1"/>
  <c r="MV146" i="1"/>
  <c r="MU146" i="1"/>
  <c r="MW145" i="1"/>
  <c r="MV145" i="1"/>
  <c r="MU145" i="1"/>
  <c r="MW144" i="1"/>
  <c r="MV144" i="1"/>
  <c r="MU144" i="1"/>
  <c r="MW143" i="1"/>
  <c r="MV143" i="1"/>
  <c r="MU143" i="1"/>
  <c r="MY138" i="1"/>
  <c r="MX138" i="1"/>
  <c r="MY137" i="1"/>
  <c r="MX137" i="1"/>
  <c r="MY136" i="1"/>
  <c r="MX136" i="1"/>
  <c r="MY135" i="1"/>
  <c r="MX135" i="1"/>
  <c r="MY134" i="1"/>
  <c r="MX134" i="1"/>
  <c r="MY133" i="1"/>
  <c r="MX133" i="1"/>
  <c r="MY132" i="1"/>
  <c r="MX132" i="1"/>
  <c r="MY131" i="1"/>
  <c r="MX131" i="1"/>
  <c r="MY130" i="1"/>
  <c r="MX130" i="1"/>
  <c r="MY129" i="1"/>
  <c r="MX129" i="1"/>
  <c r="MY128" i="1"/>
  <c r="MX128" i="1"/>
  <c r="MY127" i="1"/>
  <c r="MX127" i="1"/>
  <c r="MY126" i="1"/>
  <c r="MX126" i="1"/>
  <c r="MY125" i="1"/>
  <c r="MX125" i="1"/>
  <c r="MY124" i="1"/>
  <c r="MX124" i="1"/>
  <c r="MY123" i="1"/>
  <c r="MX123" i="1"/>
  <c r="MY122" i="1"/>
  <c r="MX122" i="1"/>
  <c r="MY121" i="1"/>
  <c r="MX121" i="1"/>
  <c r="MY120" i="1"/>
  <c r="MX120" i="1"/>
  <c r="MY119" i="1"/>
  <c r="MX119" i="1"/>
  <c r="MY118" i="1"/>
  <c r="MX118" i="1"/>
  <c r="MY117" i="1"/>
  <c r="MX117" i="1"/>
  <c r="MY116" i="1"/>
  <c r="MX116" i="1"/>
  <c r="MY115" i="1"/>
  <c r="MX115" i="1"/>
  <c r="MY114" i="1"/>
  <c r="MX114" i="1"/>
  <c r="MY113" i="1"/>
  <c r="MX113" i="1"/>
  <c r="MY112" i="1"/>
  <c r="MX112" i="1"/>
  <c r="MY111" i="1"/>
  <c r="MX111" i="1"/>
  <c r="MY110" i="1"/>
  <c r="MX110" i="1"/>
  <c r="MY109" i="1"/>
  <c r="MX109" i="1"/>
  <c r="MY108" i="1"/>
  <c r="MX108" i="1"/>
  <c r="MY107" i="1"/>
  <c r="MX107" i="1"/>
  <c r="MY106" i="1"/>
  <c r="MX106" i="1"/>
  <c r="MY105" i="1"/>
  <c r="MX105" i="1"/>
  <c r="MY104" i="1"/>
  <c r="MX104" i="1"/>
  <c r="MY103" i="1"/>
  <c r="MX103" i="1"/>
  <c r="MY102" i="1"/>
  <c r="MX102" i="1"/>
  <c r="MY101" i="1"/>
  <c r="MX101" i="1"/>
  <c r="MY100" i="1"/>
  <c r="MX100" i="1"/>
  <c r="MY99" i="1"/>
  <c r="MX99" i="1"/>
  <c r="MY98" i="1"/>
  <c r="MX98" i="1"/>
  <c r="MY97" i="1"/>
  <c r="MX97" i="1"/>
  <c r="MY96" i="1"/>
  <c r="MX96" i="1"/>
  <c r="MY95" i="1"/>
  <c r="MX95" i="1"/>
  <c r="MY94" i="1"/>
  <c r="MX94" i="1"/>
  <c r="MY93" i="1"/>
  <c r="MX93" i="1"/>
  <c r="MW86" i="1"/>
  <c r="MV86" i="1"/>
  <c r="MU86" i="1"/>
  <c r="MW85" i="1"/>
  <c r="MV85" i="1"/>
  <c r="MU85" i="1"/>
  <c r="MW84" i="1"/>
  <c r="MV84" i="1"/>
  <c r="MU84" i="1"/>
  <c r="MW83" i="1"/>
  <c r="MV83" i="1"/>
  <c r="MU83" i="1"/>
  <c r="MX83" i="1" s="1"/>
  <c r="MW82" i="1"/>
  <c r="MV82" i="1"/>
  <c r="MU82" i="1"/>
  <c r="MW81" i="1"/>
  <c r="MV81" i="1"/>
  <c r="MU81" i="1"/>
  <c r="MW80" i="1"/>
  <c r="MV80" i="1"/>
  <c r="MU80" i="1"/>
  <c r="MW79" i="1"/>
  <c r="MV79" i="1"/>
  <c r="MU79" i="1"/>
  <c r="MW78" i="1"/>
  <c r="MV78" i="1"/>
  <c r="MU78" i="1"/>
  <c r="MW77" i="1"/>
  <c r="MV77" i="1"/>
  <c r="MU77" i="1"/>
  <c r="MW76" i="1"/>
  <c r="MV76" i="1"/>
  <c r="MU76" i="1"/>
  <c r="MW75" i="1"/>
  <c r="MV75" i="1"/>
  <c r="MU75" i="1"/>
  <c r="MW74" i="1"/>
  <c r="MV74" i="1"/>
  <c r="MU74" i="1"/>
  <c r="MW73" i="1"/>
  <c r="MV73" i="1"/>
  <c r="MX73" i="1" s="1"/>
  <c r="MU73" i="1"/>
  <c r="MW72" i="1"/>
  <c r="MV72" i="1"/>
  <c r="MU72" i="1"/>
  <c r="MW71" i="1"/>
  <c r="MV71" i="1"/>
  <c r="MU71" i="1"/>
  <c r="MW70" i="1"/>
  <c r="MV70" i="1"/>
  <c r="MU70" i="1"/>
  <c r="MW69" i="1"/>
  <c r="MV69" i="1"/>
  <c r="MU69" i="1"/>
  <c r="MW68" i="1"/>
  <c r="MV68" i="1"/>
  <c r="MU68" i="1"/>
  <c r="MW67" i="1"/>
  <c r="MV67" i="1"/>
  <c r="MU67" i="1"/>
  <c r="MW66" i="1"/>
  <c r="MV66" i="1"/>
  <c r="MU66" i="1"/>
  <c r="MW65" i="1"/>
  <c r="MV65" i="1"/>
  <c r="MU65" i="1"/>
  <c r="MW64" i="1"/>
  <c r="MY64" i="1" s="1"/>
  <c r="MV64" i="1"/>
  <c r="MU64" i="1"/>
  <c r="MX64" i="1" s="1"/>
  <c r="MW63" i="1"/>
  <c r="MV63" i="1"/>
  <c r="MU63" i="1"/>
  <c r="MW62" i="1"/>
  <c r="MV62" i="1"/>
  <c r="MU62" i="1"/>
  <c r="MW61" i="1"/>
  <c r="MV61" i="1"/>
  <c r="MU61" i="1"/>
  <c r="MW60" i="1"/>
  <c r="MV60" i="1"/>
  <c r="MU60" i="1"/>
  <c r="MW59" i="1"/>
  <c r="MV59" i="1"/>
  <c r="MU59" i="1"/>
  <c r="MW58" i="1"/>
  <c r="MV58" i="1"/>
  <c r="MU58" i="1"/>
  <c r="MW57" i="1"/>
  <c r="MV57" i="1"/>
  <c r="MU57" i="1"/>
  <c r="MW56" i="1"/>
  <c r="MV56" i="1"/>
  <c r="MU56" i="1"/>
  <c r="MY51" i="1"/>
  <c r="MX51" i="1"/>
  <c r="MY50" i="1"/>
  <c r="MX50" i="1"/>
  <c r="MY49" i="1"/>
  <c r="MX49" i="1"/>
  <c r="MY48" i="1"/>
  <c r="MX48" i="1"/>
  <c r="MY47" i="1"/>
  <c r="MX47" i="1"/>
  <c r="MY46" i="1"/>
  <c r="MX46" i="1"/>
  <c r="MY45" i="1"/>
  <c r="MX45" i="1"/>
  <c r="MY44" i="1"/>
  <c r="MX44" i="1"/>
  <c r="MY43" i="1"/>
  <c r="MX43" i="1"/>
  <c r="MY42" i="1"/>
  <c r="MX42" i="1"/>
  <c r="MY41" i="1"/>
  <c r="MX41" i="1"/>
  <c r="MY40" i="1"/>
  <c r="MX40" i="1"/>
  <c r="MY39" i="1"/>
  <c r="MX39" i="1"/>
  <c r="MY38" i="1"/>
  <c r="MX38" i="1"/>
  <c r="MY37" i="1"/>
  <c r="MX37" i="1"/>
  <c r="MY36" i="1"/>
  <c r="MX36" i="1"/>
  <c r="MY35" i="1"/>
  <c r="MX35" i="1"/>
  <c r="MY34" i="1"/>
  <c r="MX34" i="1"/>
  <c r="MY33" i="1"/>
  <c r="MX33" i="1"/>
  <c r="MY32" i="1"/>
  <c r="MX32" i="1"/>
  <c r="MY31" i="1"/>
  <c r="MX31" i="1"/>
  <c r="MY30" i="1"/>
  <c r="MX30" i="1"/>
  <c r="MY29" i="1"/>
  <c r="MX29" i="1"/>
  <c r="MY28" i="1"/>
  <c r="MX28" i="1"/>
  <c r="MY27" i="1"/>
  <c r="MX27" i="1"/>
  <c r="MY26" i="1"/>
  <c r="MX26" i="1"/>
  <c r="MY25" i="1"/>
  <c r="MX25" i="1"/>
  <c r="MY24" i="1"/>
  <c r="MX24" i="1"/>
  <c r="MY23" i="1"/>
  <c r="MX23" i="1"/>
  <c r="MY22" i="1"/>
  <c r="MX22" i="1"/>
  <c r="MY21" i="1"/>
  <c r="MX21" i="1"/>
  <c r="MY20" i="1"/>
  <c r="MX20" i="1"/>
  <c r="MY19" i="1"/>
  <c r="MX19" i="1"/>
  <c r="MY18" i="1"/>
  <c r="MX18" i="1"/>
  <c r="MY17" i="1"/>
  <c r="MX17" i="1"/>
  <c r="MY16" i="1"/>
  <c r="MX16" i="1"/>
  <c r="MY15" i="1"/>
  <c r="MX15" i="1"/>
  <c r="MY14" i="1"/>
  <c r="MX14" i="1"/>
  <c r="MY13" i="1"/>
  <c r="MX13" i="1"/>
  <c r="MY12" i="1"/>
  <c r="MX12" i="1"/>
  <c r="MY11" i="1"/>
  <c r="MX11" i="1"/>
  <c r="MY10" i="1"/>
  <c r="MX10" i="1"/>
  <c r="MY9" i="1"/>
  <c r="MX9" i="1"/>
  <c r="MY8" i="1"/>
  <c r="MX8" i="1"/>
  <c r="MY7" i="1"/>
  <c r="MX7" i="1"/>
  <c r="MY6" i="1"/>
  <c r="MX6" i="1"/>
  <c r="MQ173" i="1"/>
  <c r="MP173" i="1"/>
  <c r="MO173" i="1"/>
  <c r="MQ172" i="1"/>
  <c r="MP172" i="1"/>
  <c r="MO172" i="1"/>
  <c r="MQ171" i="1"/>
  <c r="MP171" i="1"/>
  <c r="MO171" i="1"/>
  <c r="MQ170" i="1"/>
  <c r="MP170" i="1"/>
  <c r="MO170" i="1"/>
  <c r="MQ169" i="1"/>
  <c r="MP169" i="1"/>
  <c r="MO169" i="1"/>
  <c r="MQ168" i="1"/>
  <c r="MP168" i="1"/>
  <c r="MO168" i="1"/>
  <c r="MQ167" i="1"/>
  <c r="MP167" i="1"/>
  <c r="MO167" i="1"/>
  <c r="MQ166" i="1"/>
  <c r="MP166" i="1"/>
  <c r="MO166" i="1"/>
  <c r="MQ165" i="1"/>
  <c r="MP165" i="1"/>
  <c r="MO165" i="1"/>
  <c r="MQ164" i="1"/>
  <c r="MP164" i="1"/>
  <c r="MO164" i="1"/>
  <c r="MQ163" i="1"/>
  <c r="MP163" i="1"/>
  <c r="MO163" i="1"/>
  <c r="MQ162" i="1"/>
  <c r="MP162" i="1"/>
  <c r="MO162" i="1"/>
  <c r="MQ161" i="1"/>
  <c r="MP161" i="1"/>
  <c r="MO161" i="1"/>
  <c r="MQ160" i="1"/>
  <c r="MP160" i="1"/>
  <c r="MO160" i="1"/>
  <c r="MQ159" i="1"/>
  <c r="MP159" i="1"/>
  <c r="MO159" i="1"/>
  <c r="MQ158" i="1"/>
  <c r="MP158" i="1"/>
  <c r="MO158" i="1"/>
  <c r="MQ157" i="1"/>
  <c r="MP157" i="1"/>
  <c r="MO157" i="1"/>
  <c r="MQ156" i="1"/>
  <c r="MP156" i="1"/>
  <c r="MO156" i="1"/>
  <c r="MQ155" i="1"/>
  <c r="MP155" i="1"/>
  <c r="MO155" i="1"/>
  <c r="MQ154" i="1"/>
  <c r="MP154" i="1"/>
  <c r="MO154" i="1"/>
  <c r="MQ153" i="1"/>
  <c r="MP153" i="1"/>
  <c r="MO153" i="1"/>
  <c r="MQ152" i="1"/>
  <c r="MP152" i="1"/>
  <c r="MO152" i="1"/>
  <c r="MQ151" i="1"/>
  <c r="MP151" i="1"/>
  <c r="MO151" i="1"/>
  <c r="MQ150" i="1"/>
  <c r="MP150" i="1"/>
  <c r="MO150" i="1"/>
  <c r="MQ149" i="1"/>
  <c r="MP149" i="1"/>
  <c r="MO149" i="1"/>
  <c r="MQ148" i="1"/>
  <c r="MP148" i="1"/>
  <c r="MO148" i="1"/>
  <c r="MQ147" i="1"/>
  <c r="MP147" i="1"/>
  <c r="MO147" i="1"/>
  <c r="MQ146" i="1"/>
  <c r="MP146" i="1"/>
  <c r="MO146" i="1"/>
  <c r="MQ145" i="1"/>
  <c r="MP145" i="1"/>
  <c r="MO145" i="1"/>
  <c r="MQ144" i="1"/>
  <c r="MP144" i="1"/>
  <c r="MO144" i="1"/>
  <c r="MQ143" i="1"/>
  <c r="MP143" i="1"/>
  <c r="MO143" i="1"/>
  <c r="MS138" i="1"/>
  <c r="MR138" i="1"/>
  <c r="MS137" i="1"/>
  <c r="MR137" i="1"/>
  <c r="MS136" i="1"/>
  <c r="MR136" i="1"/>
  <c r="MS135" i="1"/>
  <c r="MR135" i="1"/>
  <c r="MS134" i="1"/>
  <c r="MR134" i="1"/>
  <c r="MS133" i="1"/>
  <c r="MR133" i="1"/>
  <c r="MS132" i="1"/>
  <c r="MR132" i="1"/>
  <c r="MS131" i="1"/>
  <c r="MR131" i="1"/>
  <c r="MS130" i="1"/>
  <c r="MR130" i="1"/>
  <c r="MS129" i="1"/>
  <c r="MR129" i="1"/>
  <c r="MS128" i="1"/>
  <c r="MR128" i="1"/>
  <c r="MS127" i="1"/>
  <c r="MR127" i="1"/>
  <c r="MS126" i="1"/>
  <c r="MR126" i="1"/>
  <c r="MS125" i="1"/>
  <c r="MR125" i="1"/>
  <c r="MS124" i="1"/>
  <c r="MR124" i="1"/>
  <c r="MS123" i="1"/>
  <c r="MR123" i="1"/>
  <c r="MS122" i="1"/>
  <c r="MR122" i="1"/>
  <c r="MS121" i="1"/>
  <c r="MR121" i="1"/>
  <c r="MS120" i="1"/>
  <c r="MR120" i="1"/>
  <c r="MS119" i="1"/>
  <c r="MR119" i="1"/>
  <c r="MS118" i="1"/>
  <c r="MR118" i="1"/>
  <c r="MS117" i="1"/>
  <c r="MR117" i="1"/>
  <c r="MS116" i="1"/>
  <c r="MR116" i="1"/>
  <c r="MS115" i="1"/>
  <c r="MR115" i="1"/>
  <c r="MS114" i="1"/>
  <c r="MR114" i="1"/>
  <c r="MS113" i="1"/>
  <c r="MR113" i="1"/>
  <c r="MS112" i="1"/>
  <c r="MR112" i="1"/>
  <c r="MS111" i="1"/>
  <c r="MR111" i="1"/>
  <c r="MS110" i="1"/>
  <c r="MR110" i="1"/>
  <c r="MS109" i="1"/>
  <c r="MR109" i="1"/>
  <c r="MS108" i="1"/>
  <c r="MR108" i="1"/>
  <c r="MS107" i="1"/>
  <c r="MR107" i="1"/>
  <c r="MS106" i="1"/>
  <c r="MR106" i="1"/>
  <c r="MS105" i="1"/>
  <c r="MR105" i="1"/>
  <c r="MS104" i="1"/>
  <c r="MR104" i="1"/>
  <c r="MS103" i="1"/>
  <c r="MR103" i="1"/>
  <c r="MS102" i="1"/>
  <c r="MR102" i="1"/>
  <c r="MS101" i="1"/>
  <c r="MR101" i="1"/>
  <c r="MS100" i="1"/>
  <c r="MR100" i="1"/>
  <c r="MS99" i="1"/>
  <c r="MR99" i="1"/>
  <c r="MS98" i="1"/>
  <c r="MR98" i="1"/>
  <c r="MS97" i="1"/>
  <c r="MR97" i="1"/>
  <c r="MS96" i="1"/>
  <c r="MR96" i="1"/>
  <c r="MS95" i="1"/>
  <c r="MR95" i="1"/>
  <c r="MS94" i="1"/>
  <c r="MR94" i="1"/>
  <c r="MS93" i="1"/>
  <c r="MR93" i="1"/>
  <c r="MQ86" i="1"/>
  <c r="MP86" i="1"/>
  <c r="MO86" i="1"/>
  <c r="MQ85" i="1"/>
  <c r="MP85" i="1"/>
  <c r="MO85" i="1"/>
  <c r="MQ84" i="1"/>
  <c r="MP84" i="1"/>
  <c r="MO84" i="1"/>
  <c r="MQ83" i="1"/>
  <c r="MP83" i="1"/>
  <c r="MO83" i="1"/>
  <c r="MQ82" i="1"/>
  <c r="MP82" i="1"/>
  <c r="MO82" i="1"/>
  <c r="MQ81" i="1"/>
  <c r="MP81" i="1"/>
  <c r="MO81" i="1"/>
  <c r="MQ80" i="1"/>
  <c r="MP80" i="1"/>
  <c r="MO80" i="1"/>
  <c r="MQ79" i="1"/>
  <c r="MP79" i="1"/>
  <c r="MO79" i="1"/>
  <c r="MQ78" i="1"/>
  <c r="MP78" i="1"/>
  <c r="MO78" i="1"/>
  <c r="MQ77" i="1"/>
  <c r="MP77" i="1"/>
  <c r="MO77" i="1"/>
  <c r="MQ76" i="1"/>
  <c r="MP76" i="1"/>
  <c r="MO76" i="1"/>
  <c r="MQ75" i="1"/>
  <c r="MP75" i="1"/>
  <c r="MO75" i="1"/>
  <c r="MQ74" i="1"/>
  <c r="MP74" i="1"/>
  <c r="MO74" i="1"/>
  <c r="MQ73" i="1"/>
  <c r="MP73" i="1"/>
  <c r="MO73" i="1"/>
  <c r="MQ72" i="1"/>
  <c r="MP72" i="1"/>
  <c r="MO72" i="1"/>
  <c r="MQ71" i="1"/>
  <c r="MP71" i="1"/>
  <c r="MO71" i="1"/>
  <c r="MQ70" i="1"/>
  <c r="MP70" i="1"/>
  <c r="MO70" i="1"/>
  <c r="MQ69" i="1"/>
  <c r="MP69" i="1"/>
  <c r="MO69" i="1"/>
  <c r="MQ68" i="1"/>
  <c r="MP68" i="1"/>
  <c r="MO68" i="1"/>
  <c r="MQ67" i="1"/>
  <c r="MP67" i="1"/>
  <c r="MO67" i="1"/>
  <c r="MQ66" i="1"/>
  <c r="MP66" i="1"/>
  <c r="MO66" i="1"/>
  <c r="MQ65" i="1"/>
  <c r="MP65" i="1"/>
  <c r="MO65" i="1"/>
  <c r="MQ64" i="1"/>
  <c r="MP64" i="1"/>
  <c r="MO64" i="1"/>
  <c r="MQ63" i="1"/>
  <c r="MP63" i="1"/>
  <c r="MO63" i="1"/>
  <c r="MQ62" i="1"/>
  <c r="MP62" i="1"/>
  <c r="MO62" i="1"/>
  <c r="MQ61" i="1"/>
  <c r="MP61" i="1"/>
  <c r="MO61" i="1"/>
  <c r="MQ60" i="1"/>
  <c r="MP60" i="1"/>
  <c r="MO60" i="1"/>
  <c r="MQ59" i="1"/>
  <c r="MP59" i="1"/>
  <c r="MO59" i="1"/>
  <c r="MQ58" i="1"/>
  <c r="MP58" i="1"/>
  <c r="MO58" i="1"/>
  <c r="MQ57" i="1"/>
  <c r="MP57" i="1"/>
  <c r="MO57" i="1"/>
  <c r="MQ56" i="1"/>
  <c r="MP56" i="1"/>
  <c r="MO56" i="1"/>
  <c r="MS51" i="1"/>
  <c r="MR51" i="1"/>
  <c r="MS50" i="1"/>
  <c r="MR50" i="1"/>
  <c r="MS49" i="1"/>
  <c r="MR49" i="1"/>
  <c r="MS48" i="1"/>
  <c r="MR48" i="1"/>
  <c r="MS47" i="1"/>
  <c r="MR47" i="1"/>
  <c r="MS46" i="1"/>
  <c r="MR46" i="1"/>
  <c r="MS45" i="1"/>
  <c r="MR45" i="1"/>
  <c r="MS44" i="1"/>
  <c r="MR44" i="1"/>
  <c r="MS43" i="1"/>
  <c r="MR43" i="1"/>
  <c r="MS42" i="1"/>
  <c r="MR42" i="1"/>
  <c r="MS41" i="1"/>
  <c r="MR41" i="1"/>
  <c r="MS40" i="1"/>
  <c r="MR40" i="1"/>
  <c r="MS39" i="1"/>
  <c r="MR39" i="1"/>
  <c r="MS38" i="1"/>
  <c r="MR38" i="1"/>
  <c r="MS37" i="1"/>
  <c r="MR37" i="1"/>
  <c r="MS36" i="1"/>
  <c r="MR36" i="1"/>
  <c r="MS35" i="1"/>
  <c r="MR35" i="1"/>
  <c r="MS34" i="1"/>
  <c r="MR34" i="1"/>
  <c r="MS33" i="1"/>
  <c r="MR33" i="1"/>
  <c r="MS32" i="1"/>
  <c r="MR32" i="1"/>
  <c r="MS31" i="1"/>
  <c r="MR31" i="1"/>
  <c r="MS30" i="1"/>
  <c r="MR30" i="1"/>
  <c r="MS29" i="1"/>
  <c r="MR29" i="1"/>
  <c r="MS28" i="1"/>
  <c r="MR28" i="1"/>
  <c r="MS27" i="1"/>
  <c r="MR27" i="1"/>
  <c r="MS26" i="1"/>
  <c r="MR26" i="1"/>
  <c r="MS25" i="1"/>
  <c r="MR25" i="1"/>
  <c r="MS24" i="1"/>
  <c r="MR24" i="1"/>
  <c r="MS23" i="1"/>
  <c r="MR23" i="1"/>
  <c r="MS22" i="1"/>
  <c r="MR22" i="1"/>
  <c r="MS21" i="1"/>
  <c r="MR21" i="1"/>
  <c r="MS20" i="1"/>
  <c r="MR20" i="1"/>
  <c r="MS19" i="1"/>
  <c r="MR19" i="1"/>
  <c r="MS18" i="1"/>
  <c r="MR18" i="1"/>
  <c r="MS17" i="1"/>
  <c r="MR17" i="1"/>
  <c r="MS16" i="1"/>
  <c r="MR16" i="1"/>
  <c r="MS15" i="1"/>
  <c r="MR15" i="1"/>
  <c r="MS14" i="1"/>
  <c r="MR14" i="1"/>
  <c r="MS13" i="1"/>
  <c r="MR13" i="1"/>
  <c r="MS12" i="1"/>
  <c r="MR12" i="1"/>
  <c r="MS11" i="1"/>
  <c r="MR11" i="1"/>
  <c r="MS10" i="1"/>
  <c r="MR10" i="1"/>
  <c r="MS9" i="1"/>
  <c r="MR9" i="1"/>
  <c r="MS8" i="1"/>
  <c r="MR8" i="1"/>
  <c r="MS7" i="1"/>
  <c r="MR7" i="1"/>
  <c r="MS6" i="1"/>
  <c r="MR6" i="1"/>
  <c r="MK173" i="1"/>
  <c r="MJ173" i="1"/>
  <c r="MI173" i="1"/>
  <c r="MK172" i="1"/>
  <c r="MJ172" i="1"/>
  <c r="MI172" i="1"/>
  <c r="MK171" i="1"/>
  <c r="MI171" i="1"/>
  <c r="MK170" i="1"/>
  <c r="MK169" i="1"/>
  <c r="MI169" i="1"/>
  <c r="MK168" i="1"/>
  <c r="MK167" i="1"/>
  <c r="MI167" i="1"/>
  <c r="MK166" i="1"/>
  <c r="MJ166" i="1"/>
  <c r="MI166" i="1"/>
  <c r="MK165" i="1"/>
  <c r="MJ165" i="1"/>
  <c r="MI165" i="1"/>
  <c r="MK164" i="1"/>
  <c r="MK163" i="1"/>
  <c r="MI163" i="1"/>
  <c r="MK162" i="1"/>
  <c r="MI162" i="1"/>
  <c r="MK161" i="1"/>
  <c r="MK160" i="1"/>
  <c r="MJ160" i="1"/>
  <c r="MK159" i="1"/>
  <c r="MI159" i="1"/>
  <c r="MK158" i="1"/>
  <c r="MK157" i="1"/>
  <c r="MJ157" i="1"/>
  <c r="MI157" i="1"/>
  <c r="MK156" i="1"/>
  <c r="MK155" i="1"/>
  <c r="MK154" i="1"/>
  <c r="MJ154" i="1"/>
  <c r="MI154" i="1"/>
  <c r="MK153" i="1"/>
  <c r="MJ153" i="1"/>
  <c r="MI153" i="1"/>
  <c r="MK152" i="1"/>
  <c r="MI152" i="1"/>
  <c r="MK151" i="1"/>
  <c r="MK150" i="1"/>
  <c r="MI150" i="1"/>
  <c r="MK149" i="1"/>
  <c r="MK148" i="1"/>
  <c r="MK147" i="1"/>
  <c r="MK146" i="1"/>
  <c r="MK145" i="1"/>
  <c r="MI145" i="1"/>
  <c r="MK144" i="1"/>
  <c r="MK143" i="1"/>
  <c r="MI143" i="1"/>
  <c r="MM137" i="1"/>
  <c r="MM134" i="1"/>
  <c r="MM132" i="1"/>
  <c r="MM131" i="1"/>
  <c r="ML131" i="1"/>
  <c r="MM129" i="1"/>
  <c r="MM128" i="1"/>
  <c r="ML128" i="1"/>
  <c r="MM127" i="1"/>
  <c r="ML127" i="1"/>
  <c r="MM125" i="1"/>
  <c r="ML125" i="1"/>
  <c r="MM123" i="1"/>
  <c r="MM122" i="1"/>
  <c r="MM120" i="1"/>
  <c r="MM119" i="1"/>
  <c r="ML119" i="1"/>
  <c r="MM117" i="1"/>
  <c r="MM116" i="1"/>
  <c r="ML116" i="1"/>
  <c r="MM115" i="1"/>
  <c r="ML115" i="1"/>
  <c r="MM111" i="1"/>
  <c r="MM110" i="1"/>
  <c r="ML110" i="1"/>
  <c r="MM108" i="1"/>
  <c r="ML108" i="1"/>
  <c r="MM105" i="1"/>
  <c r="ML105" i="1"/>
  <c r="ML103" i="1"/>
  <c r="ML102" i="1"/>
  <c r="MM101" i="1"/>
  <c r="ML101" i="1"/>
  <c r="MM98" i="1"/>
  <c r="ML98" i="1"/>
  <c r="MM96" i="1"/>
  <c r="ML96" i="1"/>
  <c r="ML94" i="1"/>
  <c r="MM93" i="1"/>
  <c r="MK86" i="1"/>
  <c r="MK85" i="1"/>
  <c r="MK84" i="1"/>
  <c r="MI84" i="1"/>
  <c r="MK83" i="1"/>
  <c r="MJ83" i="1"/>
  <c r="MI83" i="1"/>
  <c r="MK82" i="1"/>
  <c r="MK81" i="1"/>
  <c r="MI81" i="1"/>
  <c r="MK80" i="1"/>
  <c r="MI80" i="1"/>
  <c r="MK79" i="1"/>
  <c r="MJ79" i="1"/>
  <c r="MI79" i="1"/>
  <c r="MK78" i="1"/>
  <c r="MJ78" i="1"/>
  <c r="MI78" i="1"/>
  <c r="MK77" i="1"/>
  <c r="MK76" i="1"/>
  <c r="MI76" i="1"/>
  <c r="MK75" i="1"/>
  <c r="MK74" i="1"/>
  <c r="MI74" i="1"/>
  <c r="MK73" i="1"/>
  <c r="MJ73" i="1"/>
  <c r="MI73" i="1"/>
  <c r="MK72" i="1"/>
  <c r="MJ72" i="1"/>
  <c r="MI72" i="1"/>
  <c r="MK71" i="1"/>
  <c r="MJ71" i="1"/>
  <c r="MK70" i="1"/>
  <c r="MI70" i="1"/>
  <c r="MK69" i="1"/>
  <c r="MI68" i="1"/>
  <c r="MK67" i="1"/>
  <c r="MJ67" i="1"/>
  <c r="MI67" i="1"/>
  <c r="ML67" i="1" s="1"/>
  <c r="MK66" i="1"/>
  <c r="MK65" i="1"/>
  <c r="MK64" i="1"/>
  <c r="MI64" i="1"/>
  <c r="MK63" i="1"/>
  <c r="MI63" i="1"/>
  <c r="MK62" i="1"/>
  <c r="MK61" i="1"/>
  <c r="MI61" i="1"/>
  <c r="MK60" i="1"/>
  <c r="MI60" i="1"/>
  <c r="MK59" i="1"/>
  <c r="MI59" i="1"/>
  <c r="MK58" i="1"/>
  <c r="MK57" i="1"/>
  <c r="MK56" i="1"/>
  <c r="MM49" i="1"/>
  <c r="ML49" i="1"/>
  <c r="MM48" i="1"/>
  <c r="ML48" i="1"/>
  <c r="ML46" i="1"/>
  <c r="MM44" i="1"/>
  <c r="ML44" i="1"/>
  <c r="MM43" i="1"/>
  <c r="ML43" i="1"/>
  <c r="MM41" i="1"/>
  <c r="ML41" i="1"/>
  <c r="MM40" i="1"/>
  <c r="ML40" i="1"/>
  <c r="ML38" i="1"/>
  <c r="MM35" i="1"/>
  <c r="MM34" i="1"/>
  <c r="ML34" i="1"/>
  <c r="MM29" i="1"/>
  <c r="ML29" i="1"/>
  <c r="MM28" i="1"/>
  <c r="ML28" i="1"/>
  <c r="MM26" i="1"/>
  <c r="MM25" i="1"/>
  <c r="ML25" i="1"/>
  <c r="MM22" i="1"/>
  <c r="ML22" i="1"/>
  <c r="MM21" i="1"/>
  <c r="ML21" i="1"/>
  <c r="MM20" i="1"/>
  <c r="ML20" i="1"/>
  <c r="MM19" i="1"/>
  <c r="ML19" i="1"/>
  <c r="MM18" i="1"/>
  <c r="ML18" i="1"/>
  <c r="MM16" i="1"/>
  <c r="ML16" i="1"/>
  <c r="MM14" i="1"/>
  <c r="ML14" i="1"/>
  <c r="MM12" i="1"/>
  <c r="ML12" i="1"/>
  <c r="MM11" i="1"/>
  <c r="ML11" i="1"/>
  <c r="ML8" i="1"/>
  <c r="MM7" i="1"/>
  <c r="ML7" i="1"/>
  <c r="ME173" i="1"/>
  <c r="MC173" i="1"/>
  <c r="ME172" i="1"/>
  <c r="MD172" i="1"/>
  <c r="MC172" i="1"/>
  <c r="ME171" i="1"/>
  <c r="MD171" i="1"/>
  <c r="MC171" i="1"/>
  <c r="ME170" i="1"/>
  <c r="MD170" i="1"/>
  <c r="MC170" i="1"/>
  <c r="ME169" i="1"/>
  <c r="MD169" i="1"/>
  <c r="MC169" i="1"/>
  <c r="ME168" i="1"/>
  <c r="MD168" i="1"/>
  <c r="MC168" i="1"/>
  <c r="ME167" i="1"/>
  <c r="MD167" i="1"/>
  <c r="MC167" i="1"/>
  <c r="ME166" i="1"/>
  <c r="MD166" i="1"/>
  <c r="MC166" i="1"/>
  <c r="ME165" i="1"/>
  <c r="MD165" i="1"/>
  <c r="MC165" i="1"/>
  <c r="ME164" i="1"/>
  <c r="ME163" i="1"/>
  <c r="MD163" i="1"/>
  <c r="ME162" i="1"/>
  <c r="MD162" i="1"/>
  <c r="MC162" i="1"/>
  <c r="ME161" i="1"/>
  <c r="MD161" i="1"/>
  <c r="ME160" i="1"/>
  <c r="MD160" i="1"/>
  <c r="MC160" i="1"/>
  <c r="ME159" i="1"/>
  <c r="ME158" i="1"/>
  <c r="ME157" i="1"/>
  <c r="MD157" i="1"/>
  <c r="MC157" i="1"/>
  <c r="ME156" i="1"/>
  <c r="MD156" i="1"/>
  <c r="MC156" i="1"/>
  <c r="ME155" i="1"/>
  <c r="MD155" i="1"/>
  <c r="MC155" i="1"/>
  <c r="ME154" i="1"/>
  <c r="MD154" i="1"/>
  <c r="MC154" i="1"/>
  <c r="ME153" i="1"/>
  <c r="MD153" i="1"/>
  <c r="MC153" i="1"/>
  <c r="ME152" i="1"/>
  <c r="MD152" i="1"/>
  <c r="MC152" i="1"/>
  <c r="ME151" i="1"/>
  <c r="MD151" i="1"/>
  <c r="MC151" i="1"/>
  <c r="ME150" i="1"/>
  <c r="ME149" i="1"/>
  <c r="ME148" i="1"/>
  <c r="ME147" i="1"/>
  <c r="ME146" i="1"/>
  <c r="ME145" i="1"/>
  <c r="MC145" i="1"/>
  <c r="ME144" i="1"/>
  <c r="MD144" i="1"/>
  <c r="MC144" i="1"/>
  <c r="ME143" i="1"/>
  <c r="MG138" i="1"/>
  <c r="MG137" i="1"/>
  <c r="MG136" i="1"/>
  <c r="MF136" i="1"/>
  <c r="MG135" i="1"/>
  <c r="MF135" i="1"/>
  <c r="MG134" i="1"/>
  <c r="MF134" i="1"/>
  <c r="MG133" i="1"/>
  <c r="MF133" i="1"/>
  <c r="MG132" i="1"/>
  <c r="MF132" i="1"/>
  <c r="MG131" i="1"/>
  <c r="MF131" i="1"/>
  <c r="MG130" i="1"/>
  <c r="MF130" i="1"/>
  <c r="MG127" i="1"/>
  <c r="MF127" i="1"/>
  <c r="MG124" i="1"/>
  <c r="MF124" i="1"/>
  <c r="MG123" i="1"/>
  <c r="MF122" i="1"/>
  <c r="MG121" i="1"/>
  <c r="MF119" i="1"/>
  <c r="MG118" i="1"/>
  <c r="MF118" i="1"/>
  <c r="MG117" i="1"/>
  <c r="MF117" i="1"/>
  <c r="MG116" i="1"/>
  <c r="MF116" i="1"/>
  <c r="MG115" i="1"/>
  <c r="MF115" i="1"/>
  <c r="MG114" i="1"/>
  <c r="MF114" i="1"/>
  <c r="MG113" i="1"/>
  <c r="MF113" i="1"/>
  <c r="MG110" i="1"/>
  <c r="MG108" i="1"/>
  <c r="MG106" i="1"/>
  <c r="MG105" i="1"/>
  <c r="MG102" i="1"/>
  <c r="MG101" i="1"/>
  <c r="MG99" i="1"/>
  <c r="MF99" i="1"/>
  <c r="MG98" i="1"/>
  <c r="MF98" i="1"/>
  <c r="MG96" i="1"/>
  <c r="MG95" i="1"/>
  <c r="MF95" i="1"/>
  <c r="MG93" i="1"/>
  <c r="ME86" i="1"/>
  <c r="MD86" i="1"/>
  <c r="MC86" i="1"/>
  <c r="ME85" i="1"/>
  <c r="ME84" i="1"/>
  <c r="MD84" i="1"/>
  <c r="MC84" i="1"/>
  <c r="ME83" i="1"/>
  <c r="MD83" i="1"/>
  <c r="MC83" i="1"/>
  <c r="ME82" i="1"/>
  <c r="MD82" i="1"/>
  <c r="MC82" i="1"/>
  <c r="ME81" i="1"/>
  <c r="ME80" i="1"/>
  <c r="MD80" i="1"/>
  <c r="MC80" i="1"/>
  <c r="ME79" i="1"/>
  <c r="MD79" i="1"/>
  <c r="MC79" i="1"/>
  <c r="ME78" i="1"/>
  <c r="MD78" i="1"/>
  <c r="MC78" i="1"/>
  <c r="ME77" i="1"/>
  <c r="ME76" i="1"/>
  <c r="MD76" i="1"/>
  <c r="ME75" i="1"/>
  <c r="MC75" i="1"/>
  <c r="ME74" i="1"/>
  <c r="MC74" i="1"/>
  <c r="ME73" i="1"/>
  <c r="ME72" i="1"/>
  <c r="ME71" i="1"/>
  <c r="MC71" i="1"/>
  <c r="ME70" i="1"/>
  <c r="ME69" i="1"/>
  <c r="MC69" i="1"/>
  <c r="ME68" i="1"/>
  <c r="MC68" i="1"/>
  <c r="ME67" i="1"/>
  <c r="MD67" i="1"/>
  <c r="MC67" i="1"/>
  <c r="ME66" i="1"/>
  <c r="ME65" i="1"/>
  <c r="MD65" i="1"/>
  <c r="MC65" i="1"/>
  <c r="ME64" i="1"/>
  <c r="MD64" i="1"/>
  <c r="MC64" i="1"/>
  <c r="ME63" i="1"/>
  <c r="MD63" i="1"/>
  <c r="MC63" i="1"/>
  <c r="ME62" i="1"/>
  <c r="MD62" i="1"/>
  <c r="MC62" i="1"/>
  <c r="ME61" i="1"/>
  <c r="ME60" i="1"/>
  <c r="ME59" i="1"/>
  <c r="MD59" i="1"/>
  <c r="MC59" i="1"/>
  <c r="ME58" i="1"/>
  <c r="MD58" i="1"/>
  <c r="ME57" i="1"/>
  <c r="MC57" i="1"/>
  <c r="ME56" i="1"/>
  <c r="MD56" i="1"/>
  <c r="MC56" i="1"/>
  <c r="MG50" i="1"/>
  <c r="MG49" i="1"/>
  <c r="MF49" i="1"/>
  <c r="MG48" i="1"/>
  <c r="MF48" i="1"/>
  <c r="MG47" i="1"/>
  <c r="MF47" i="1"/>
  <c r="MG46" i="1"/>
  <c r="MG45" i="1"/>
  <c r="MF45" i="1"/>
  <c r="MG44" i="1"/>
  <c r="MF44" i="1"/>
  <c r="MG43" i="1"/>
  <c r="MF43" i="1"/>
  <c r="MG40" i="1"/>
  <c r="MG38" i="1"/>
  <c r="MF38" i="1"/>
  <c r="MG36" i="1"/>
  <c r="MG34" i="1"/>
  <c r="MG31" i="1"/>
  <c r="MF31" i="1"/>
  <c r="MG30" i="1"/>
  <c r="MF30" i="1"/>
  <c r="MG29" i="1"/>
  <c r="MF29" i="1"/>
  <c r="MG27" i="1"/>
  <c r="MF27" i="1"/>
  <c r="MG26" i="1"/>
  <c r="MF26" i="1"/>
  <c r="MG25" i="1"/>
  <c r="MF25" i="1"/>
  <c r="MG24" i="1"/>
  <c r="MF24" i="1"/>
  <c r="MG23" i="1"/>
  <c r="MF23" i="1"/>
  <c r="MG22" i="1"/>
  <c r="MF22" i="1"/>
  <c r="MG21" i="1"/>
  <c r="MF21" i="1"/>
  <c r="MG18" i="1"/>
  <c r="MF18" i="1"/>
  <c r="MG16" i="1"/>
  <c r="MG15" i="1"/>
  <c r="MF15" i="1"/>
  <c r="MG14" i="1"/>
  <c r="MF14" i="1"/>
  <c r="MG13" i="1"/>
  <c r="MF12" i="1"/>
  <c r="MG11" i="1"/>
  <c r="MF11" i="1"/>
  <c r="MG10" i="1"/>
  <c r="MG8" i="1"/>
  <c r="MF8" i="1"/>
  <c r="MG7" i="1"/>
  <c r="MF7" i="1"/>
  <c r="MG6" i="1"/>
  <c r="MF6" i="1"/>
  <c r="LY173" i="1"/>
  <c r="LY172" i="1"/>
  <c r="LW172" i="1"/>
  <c r="LY171" i="1"/>
  <c r="LX171" i="1"/>
  <c r="LW171" i="1"/>
  <c r="LY170" i="1"/>
  <c r="LX170" i="1"/>
  <c r="LW170" i="1"/>
  <c r="LY169" i="1"/>
  <c r="LY168" i="1"/>
  <c r="LX168" i="1"/>
  <c r="LY167" i="1"/>
  <c r="LW167" i="1"/>
  <c r="LY166" i="1"/>
  <c r="LX166" i="1"/>
  <c r="LW166" i="1"/>
  <c r="LY165" i="1"/>
  <c r="LX165" i="1"/>
  <c r="LW165" i="1"/>
  <c r="LY164" i="1"/>
  <c r="LY163" i="1"/>
  <c r="LY162" i="1"/>
  <c r="LX162" i="1"/>
  <c r="LW162" i="1"/>
  <c r="LY161" i="1"/>
  <c r="LY160" i="1"/>
  <c r="LW160" i="1"/>
  <c r="MA159" i="1"/>
  <c r="LY159" i="1"/>
  <c r="LX159" i="1"/>
  <c r="LW159" i="1"/>
  <c r="LY158" i="1"/>
  <c r="LX158" i="1"/>
  <c r="LY157" i="1"/>
  <c r="LX157" i="1"/>
  <c r="LW157" i="1"/>
  <c r="LY156" i="1"/>
  <c r="LW156" i="1"/>
  <c r="LY155" i="1"/>
  <c r="LX155" i="1"/>
  <c r="LW155" i="1"/>
  <c r="LY154" i="1"/>
  <c r="LX154" i="1"/>
  <c r="LW154" i="1"/>
  <c r="LY153" i="1"/>
  <c r="LX153" i="1"/>
  <c r="LW153" i="1"/>
  <c r="LY152" i="1"/>
  <c r="LY151" i="1"/>
  <c r="LX151" i="1"/>
  <c r="LW151" i="1"/>
  <c r="LY150" i="1"/>
  <c r="LX150" i="1"/>
  <c r="LW150" i="1"/>
  <c r="LY149" i="1"/>
  <c r="LX149" i="1"/>
  <c r="LY148" i="1"/>
  <c r="LY147" i="1"/>
  <c r="LX147" i="1"/>
  <c r="LY146" i="1"/>
  <c r="LW146" i="1"/>
  <c r="LY145" i="1"/>
  <c r="LX145" i="1"/>
  <c r="LW145" i="1"/>
  <c r="LY144" i="1"/>
  <c r="LX144" i="1"/>
  <c r="LW144" i="1"/>
  <c r="LY143" i="1"/>
  <c r="MA138" i="1"/>
  <c r="LZ137" i="1"/>
  <c r="MA136" i="1"/>
  <c r="LZ136" i="1"/>
  <c r="MA135" i="1"/>
  <c r="LZ135" i="1"/>
  <c r="MA134" i="1"/>
  <c r="MA133" i="1"/>
  <c r="MA132" i="1"/>
  <c r="MA131" i="1"/>
  <c r="LZ131" i="1"/>
  <c r="MA130" i="1"/>
  <c r="LZ130" i="1"/>
  <c r="MA128" i="1"/>
  <c r="LZ128" i="1"/>
  <c r="MA127" i="1"/>
  <c r="MA125" i="1"/>
  <c r="LZ125" i="1"/>
  <c r="MA124" i="1"/>
  <c r="LZ124" i="1"/>
  <c r="LZ121" i="1"/>
  <c r="MA120" i="1"/>
  <c r="MA119" i="1"/>
  <c r="LZ119" i="1"/>
  <c r="MA118" i="1"/>
  <c r="MA117" i="1"/>
  <c r="LZ117" i="1"/>
  <c r="MA116" i="1"/>
  <c r="LZ116" i="1"/>
  <c r="MA115" i="1"/>
  <c r="LZ115" i="1"/>
  <c r="MA114" i="1"/>
  <c r="MA113" i="1"/>
  <c r="LZ113" i="1"/>
  <c r="MA112" i="1"/>
  <c r="LZ112" i="1"/>
  <c r="MA110" i="1"/>
  <c r="LZ110" i="1"/>
  <c r="MA109" i="1"/>
  <c r="LZ109" i="1"/>
  <c r="MA108" i="1"/>
  <c r="LZ108" i="1"/>
  <c r="MA107" i="1"/>
  <c r="LZ107" i="1"/>
  <c r="MA105" i="1"/>
  <c r="LZ105" i="1"/>
  <c r="MA104" i="1"/>
  <c r="LZ104" i="1"/>
  <c r="MA103" i="1"/>
  <c r="LZ103" i="1"/>
  <c r="MA101" i="1"/>
  <c r="LZ101" i="1"/>
  <c r="MA99" i="1"/>
  <c r="LZ99" i="1"/>
  <c r="MA98" i="1"/>
  <c r="LZ98" i="1"/>
  <c r="LZ97" i="1"/>
  <c r="MA96" i="1"/>
  <c r="LZ96" i="1"/>
  <c r="MA95" i="1"/>
  <c r="LZ95" i="1"/>
  <c r="MA94" i="1"/>
  <c r="MA93" i="1"/>
  <c r="LY86" i="1"/>
  <c r="LX86" i="1"/>
  <c r="LW86" i="1"/>
  <c r="LY85" i="1"/>
  <c r="LY84" i="1"/>
  <c r="LX84" i="1"/>
  <c r="LW84" i="1"/>
  <c r="LY83" i="1"/>
  <c r="LX83" i="1"/>
  <c r="LW83" i="1"/>
  <c r="LY82" i="1"/>
  <c r="LX82" i="1"/>
  <c r="LW82" i="1"/>
  <c r="LY81" i="1"/>
  <c r="LX81" i="1"/>
  <c r="LW81" i="1"/>
  <c r="LY80" i="1"/>
  <c r="LX80" i="1"/>
  <c r="LW80" i="1"/>
  <c r="LY79" i="1"/>
  <c r="LX79" i="1"/>
  <c r="LY78" i="1"/>
  <c r="LX78" i="1"/>
  <c r="LW78" i="1"/>
  <c r="LY77" i="1"/>
  <c r="LY76" i="1"/>
  <c r="LW76" i="1"/>
  <c r="LY75" i="1"/>
  <c r="LX75" i="1"/>
  <c r="LY74" i="1"/>
  <c r="LW74" i="1"/>
  <c r="LY73" i="1"/>
  <c r="LX73" i="1"/>
  <c r="LW73" i="1"/>
  <c r="LY72" i="1"/>
  <c r="LY71" i="1"/>
  <c r="LX71" i="1"/>
  <c r="LY70" i="1"/>
  <c r="LX70" i="1"/>
  <c r="LW70" i="1"/>
  <c r="LY69" i="1"/>
  <c r="LY68" i="1"/>
  <c r="LX68" i="1"/>
  <c r="LW68" i="1"/>
  <c r="LY67" i="1"/>
  <c r="LX67" i="1"/>
  <c r="LW67" i="1"/>
  <c r="LY66" i="1"/>
  <c r="LX66" i="1"/>
  <c r="LW66" i="1"/>
  <c r="LY65" i="1"/>
  <c r="LX65" i="1"/>
  <c r="LW65" i="1"/>
  <c r="LY64" i="1"/>
  <c r="LX64" i="1"/>
  <c r="LW64" i="1"/>
  <c r="LY63" i="1"/>
  <c r="LX63" i="1"/>
  <c r="LY62" i="1"/>
  <c r="LY61" i="1"/>
  <c r="LY60" i="1"/>
  <c r="LX60" i="1"/>
  <c r="LW60" i="1"/>
  <c r="LY59" i="1"/>
  <c r="LX59" i="1"/>
  <c r="LW59" i="1"/>
  <c r="LY58" i="1"/>
  <c r="LX58" i="1"/>
  <c r="LY57" i="1"/>
  <c r="LX57" i="1"/>
  <c r="LY56" i="1"/>
  <c r="MA51" i="1"/>
  <c r="LZ51" i="1"/>
  <c r="MA49" i="1"/>
  <c r="LZ49" i="1"/>
  <c r="MA48" i="1"/>
  <c r="LZ48" i="1"/>
  <c r="MA47" i="1"/>
  <c r="LZ47" i="1"/>
  <c r="MA46" i="1"/>
  <c r="LZ46" i="1"/>
  <c r="MA45" i="1"/>
  <c r="LZ45" i="1"/>
  <c r="MA44" i="1"/>
  <c r="MA43" i="1"/>
  <c r="LZ43" i="1"/>
  <c r="MA41" i="1"/>
  <c r="LZ41" i="1"/>
  <c r="MA40" i="1"/>
  <c r="LZ40" i="1"/>
  <c r="MA39" i="1"/>
  <c r="LZ39" i="1"/>
  <c r="MA38" i="1"/>
  <c r="LZ38" i="1"/>
  <c r="MA36" i="1"/>
  <c r="LZ36" i="1"/>
  <c r="MA35" i="1"/>
  <c r="LZ35" i="1"/>
  <c r="MA34" i="1"/>
  <c r="MA33" i="1"/>
  <c r="LZ32" i="1"/>
  <c r="MA31" i="1"/>
  <c r="MA30" i="1"/>
  <c r="LZ30" i="1"/>
  <c r="MA29" i="1"/>
  <c r="LZ29" i="1"/>
  <c r="MA28" i="1"/>
  <c r="LZ28" i="1"/>
  <c r="MA27" i="1"/>
  <c r="LZ27" i="1"/>
  <c r="MA26" i="1"/>
  <c r="LZ26" i="1"/>
  <c r="MA25" i="1"/>
  <c r="MA23" i="1"/>
  <c r="LZ23" i="1"/>
  <c r="MA22" i="1"/>
  <c r="LZ22" i="1"/>
  <c r="MA21" i="1"/>
  <c r="LZ21" i="1"/>
  <c r="MA20" i="1"/>
  <c r="LZ20" i="1"/>
  <c r="MA19" i="1"/>
  <c r="LZ19" i="1"/>
  <c r="MA18" i="1"/>
  <c r="LZ18" i="1"/>
  <c r="MA16" i="1"/>
  <c r="LZ16" i="1"/>
  <c r="MA15" i="1"/>
  <c r="MA14" i="1"/>
  <c r="LZ14" i="1"/>
  <c r="MA13" i="1"/>
  <c r="LZ13" i="1"/>
  <c r="MA12" i="1"/>
  <c r="LZ12" i="1"/>
  <c r="MA11" i="1"/>
  <c r="LZ11" i="1"/>
  <c r="MA9" i="1"/>
  <c r="LZ9" i="1"/>
  <c r="MA8" i="1"/>
  <c r="MA7" i="1"/>
  <c r="LZ7" i="1"/>
  <c r="LS173" i="1"/>
  <c r="LR173" i="1"/>
  <c r="LQ173" i="1"/>
  <c r="LS172" i="1"/>
  <c r="LR172" i="1"/>
  <c r="LS171" i="1"/>
  <c r="LS170" i="1"/>
  <c r="LS169" i="1"/>
  <c r="LR169" i="1"/>
  <c r="LQ169" i="1"/>
  <c r="LS168" i="1"/>
  <c r="LS167" i="1"/>
  <c r="LR167" i="1"/>
  <c r="LQ167" i="1"/>
  <c r="LS166" i="1"/>
  <c r="LQ166" i="1"/>
  <c r="LS165" i="1"/>
  <c r="LR165" i="1"/>
  <c r="LQ165" i="1"/>
  <c r="LS164" i="1"/>
  <c r="LR164" i="1"/>
  <c r="LQ164" i="1"/>
  <c r="LS163" i="1"/>
  <c r="LS162" i="1"/>
  <c r="LR162" i="1"/>
  <c r="LQ162" i="1"/>
  <c r="LS161" i="1"/>
  <c r="LS160" i="1"/>
  <c r="LQ160" i="1"/>
  <c r="LS159" i="1"/>
  <c r="LR159" i="1"/>
  <c r="LS158" i="1"/>
  <c r="LR158" i="1"/>
  <c r="LQ158" i="1"/>
  <c r="LS157" i="1"/>
  <c r="LR157" i="1"/>
  <c r="LQ157" i="1"/>
  <c r="LS156" i="1"/>
  <c r="LS155" i="1"/>
  <c r="LR155" i="1"/>
  <c r="LQ155" i="1"/>
  <c r="LS154" i="1"/>
  <c r="LR154" i="1"/>
  <c r="LQ154" i="1"/>
  <c r="LS153" i="1"/>
  <c r="LR153" i="1"/>
  <c r="LQ153" i="1"/>
  <c r="LS152" i="1"/>
  <c r="LR152" i="1"/>
  <c r="LQ152" i="1"/>
  <c r="LS151" i="1"/>
  <c r="LR151" i="1"/>
  <c r="LQ151" i="1"/>
  <c r="LS150" i="1"/>
  <c r="LR150" i="1"/>
  <c r="LS149" i="1"/>
  <c r="LR149" i="1"/>
  <c r="LQ149" i="1"/>
  <c r="LS148" i="1"/>
  <c r="LQ148" i="1"/>
  <c r="LS147" i="1"/>
  <c r="LR147" i="1"/>
  <c r="LQ147" i="1"/>
  <c r="LS146" i="1"/>
  <c r="LR146" i="1"/>
  <c r="LQ146" i="1"/>
  <c r="LS145" i="1"/>
  <c r="LS144" i="1"/>
  <c r="LR144" i="1"/>
  <c r="LQ144" i="1"/>
  <c r="LS143" i="1"/>
  <c r="LR143" i="1"/>
  <c r="LQ143" i="1"/>
  <c r="LU138" i="1"/>
  <c r="LU137" i="1"/>
  <c r="LT135" i="1"/>
  <c r="LU134" i="1"/>
  <c r="LT134" i="1"/>
  <c r="LU132" i="1"/>
  <c r="LT132" i="1"/>
  <c r="LU131" i="1"/>
  <c r="LU130" i="1"/>
  <c r="LT130" i="1"/>
  <c r="LU129" i="1"/>
  <c r="LT129" i="1"/>
  <c r="LU128" i="1"/>
  <c r="LT128" i="1"/>
  <c r="LU127" i="1"/>
  <c r="LT127" i="1"/>
  <c r="LU125" i="1"/>
  <c r="LU124" i="1"/>
  <c r="LT122" i="1"/>
  <c r="LU121" i="1"/>
  <c r="LU120" i="1"/>
  <c r="LT120" i="1"/>
  <c r="LU119" i="1"/>
  <c r="LT119" i="1"/>
  <c r="LU117" i="1"/>
  <c r="LT117" i="1"/>
  <c r="LU116" i="1"/>
  <c r="LT116" i="1"/>
  <c r="LU115" i="1"/>
  <c r="LU114" i="1"/>
  <c r="LU113" i="1"/>
  <c r="LT113" i="1"/>
  <c r="LU112" i="1"/>
  <c r="LU111" i="1"/>
  <c r="LT111" i="1"/>
  <c r="LU110" i="1"/>
  <c r="LT110" i="1"/>
  <c r="LU109" i="1"/>
  <c r="LT109" i="1"/>
  <c r="LU108" i="1"/>
  <c r="LT108" i="1"/>
  <c r="LU107" i="1"/>
  <c r="LT107" i="1"/>
  <c r="LU106" i="1"/>
  <c r="LT106" i="1"/>
  <c r="LU105" i="1"/>
  <c r="LT105" i="1"/>
  <c r="LU103" i="1"/>
  <c r="LT103" i="1"/>
  <c r="LU102" i="1"/>
  <c r="LT102" i="1"/>
  <c r="LU101" i="1"/>
  <c r="LT101" i="1"/>
  <c r="LU100" i="1"/>
  <c r="LT100" i="1"/>
  <c r="LT99" i="1"/>
  <c r="LU98" i="1"/>
  <c r="LT98" i="1"/>
  <c r="LU96" i="1"/>
  <c r="LT96" i="1"/>
  <c r="LU95" i="1"/>
  <c r="LT95" i="1"/>
  <c r="LU94" i="1"/>
  <c r="LT94" i="1"/>
  <c r="LU93" i="1"/>
  <c r="LS86" i="1"/>
  <c r="LR86" i="1"/>
  <c r="LQ86" i="1"/>
  <c r="LS85" i="1"/>
  <c r="LR85" i="1"/>
  <c r="LQ85" i="1"/>
  <c r="LS84" i="1"/>
  <c r="LR84" i="1"/>
  <c r="LQ84" i="1"/>
  <c r="LS83" i="1"/>
  <c r="LS82" i="1"/>
  <c r="LR82" i="1"/>
  <c r="LQ82" i="1"/>
  <c r="LS81" i="1"/>
  <c r="LR81" i="1"/>
  <c r="LQ81" i="1"/>
  <c r="LS80" i="1"/>
  <c r="LR80" i="1"/>
  <c r="LQ80" i="1"/>
  <c r="LS79" i="1"/>
  <c r="LR79" i="1"/>
  <c r="LQ79" i="1"/>
  <c r="LS78" i="1"/>
  <c r="LR78" i="1"/>
  <c r="LQ78" i="1"/>
  <c r="LS77" i="1"/>
  <c r="LR77" i="1"/>
  <c r="LS76" i="1"/>
  <c r="LS75" i="1"/>
  <c r="LS74" i="1"/>
  <c r="LR74" i="1"/>
  <c r="LQ74" i="1"/>
  <c r="LS73" i="1"/>
  <c r="LS72" i="1"/>
  <c r="LQ72" i="1"/>
  <c r="LS71" i="1"/>
  <c r="LR71" i="1"/>
  <c r="LQ71" i="1"/>
  <c r="LS70" i="1"/>
  <c r="LR70" i="1"/>
  <c r="LQ70" i="1"/>
  <c r="LS69" i="1"/>
  <c r="LS68" i="1"/>
  <c r="LR68" i="1"/>
  <c r="LQ68" i="1"/>
  <c r="LS67" i="1"/>
  <c r="LR67" i="1"/>
  <c r="LQ67" i="1"/>
  <c r="LS66" i="1"/>
  <c r="LR66" i="1"/>
  <c r="LQ66" i="1"/>
  <c r="LS65" i="1"/>
  <c r="LS64" i="1"/>
  <c r="LR64" i="1"/>
  <c r="LQ64" i="1"/>
  <c r="LS63" i="1"/>
  <c r="LR63" i="1"/>
  <c r="LQ63" i="1"/>
  <c r="LS62" i="1"/>
  <c r="LR62" i="1"/>
  <c r="LQ62" i="1"/>
  <c r="LS61" i="1"/>
  <c r="LR61" i="1"/>
  <c r="LS60" i="1"/>
  <c r="LR60" i="1"/>
  <c r="LS59" i="1"/>
  <c r="LR59" i="1"/>
  <c r="LQ59" i="1"/>
  <c r="LS58" i="1"/>
  <c r="LS57" i="1"/>
  <c r="LR57" i="1"/>
  <c r="LQ57" i="1"/>
  <c r="LS56" i="1"/>
  <c r="LR56" i="1"/>
  <c r="LQ56" i="1"/>
  <c r="LU51" i="1"/>
  <c r="LT51" i="1"/>
  <c r="LU50" i="1"/>
  <c r="LT50" i="1"/>
  <c r="LU49" i="1"/>
  <c r="LT49" i="1"/>
  <c r="LU47" i="1"/>
  <c r="LT47" i="1"/>
  <c r="LU45" i="1"/>
  <c r="LT45" i="1"/>
  <c r="LU44" i="1"/>
  <c r="LT44" i="1"/>
  <c r="LU43" i="1"/>
  <c r="LT43" i="1"/>
  <c r="LU42" i="1"/>
  <c r="LT42" i="1"/>
  <c r="LU41" i="1"/>
  <c r="LT41" i="1"/>
  <c r="LU40" i="1"/>
  <c r="LU38" i="1"/>
  <c r="LT38" i="1"/>
  <c r="LT37" i="1"/>
  <c r="LU36" i="1"/>
  <c r="LT36" i="1"/>
  <c r="LT34" i="1"/>
  <c r="LU33" i="1"/>
  <c r="LT33" i="1"/>
  <c r="LU32" i="1"/>
  <c r="LT32" i="1"/>
  <c r="LU31" i="1"/>
  <c r="LU30" i="1"/>
  <c r="LT30" i="1"/>
  <c r="LU29" i="1"/>
  <c r="LT29" i="1"/>
  <c r="LU28" i="1"/>
  <c r="LT28" i="1"/>
  <c r="LU26" i="1"/>
  <c r="LT26" i="1"/>
  <c r="LU25" i="1"/>
  <c r="LT25" i="1"/>
  <c r="LU24" i="1"/>
  <c r="LT24" i="1"/>
  <c r="LU23" i="1"/>
  <c r="LT23" i="1"/>
  <c r="LU22" i="1"/>
  <c r="LT22" i="1"/>
  <c r="LU21" i="1"/>
  <c r="LT21" i="1"/>
  <c r="LU20" i="1"/>
  <c r="LU19" i="1"/>
  <c r="LT19" i="1"/>
  <c r="LU18" i="1"/>
  <c r="LT18" i="1"/>
  <c r="LU17" i="1"/>
  <c r="LT17" i="1"/>
  <c r="LU16" i="1"/>
  <c r="LU15" i="1"/>
  <c r="LT15" i="1"/>
  <c r="LU14" i="1"/>
  <c r="LT14" i="1"/>
  <c r="LU13" i="1"/>
  <c r="LT13" i="1"/>
  <c r="LU12" i="1"/>
  <c r="LT12" i="1"/>
  <c r="LU11" i="1"/>
  <c r="LT11" i="1"/>
  <c r="LU10" i="1"/>
  <c r="LT10" i="1"/>
  <c r="LU9" i="1"/>
  <c r="LT9" i="1"/>
  <c r="LU8" i="1"/>
  <c r="LT8" i="1"/>
  <c r="LU7" i="1"/>
  <c r="LT7" i="1"/>
  <c r="LU6" i="1"/>
  <c r="LT6" i="1"/>
  <c r="RL141" i="4"/>
  <c r="RK141" i="4"/>
  <c r="RK140" i="4"/>
  <c r="RK139" i="4"/>
  <c r="RK138" i="4"/>
  <c r="RK137" i="4"/>
  <c r="RK136" i="4"/>
  <c r="RL138" i="4" s="1"/>
  <c r="RK135" i="4"/>
  <c r="RK134" i="4"/>
  <c r="RK133" i="4"/>
  <c r="RK132" i="4"/>
  <c r="RK131" i="4"/>
  <c r="RK130" i="4"/>
  <c r="RL129" i="4"/>
  <c r="RK129" i="4"/>
  <c r="RK128" i="4"/>
  <c r="RK127" i="4"/>
  <c r="RK126" i="4"/>
  <c r="RK125" i="4"/>
  <c r="RK124" i="4"/>
  <c r="RK123" i="4"/>
  <c r="RL123" i="4" s="1"/>
  <c r="RK122" i="4"/>
  <c r="RL122" i="4" s="1"/>
  <c r="RK121" i="4"/>
  <c r="RL121" i="4" s="1"/>
  <c r="RK120" i="4"/>
  <c r="RL120" i="4" s="1"/>
  <c r="RK119" i="4"/>
  <c r="RL119" i="4" s="1"/>
  <c r="RK118" i="4"/>
  <c r="RL118" i="4" s="1"/>
  <c r="RK117" i="4"/>
  <c r="RL117" i="4" s="1"/>
  <c r="RK116" i="4"/>
  <c r="RK115" i="4"/>
  <c r="RK114" i="4"/>
  <c r="RK113" i="4"/>
  <c r="RL112" i="4"/>
  <c r="RK112" i="4"/>
  <c r="RK111" i="4"/>
  <c r="RK110" i="4"/>
  <c r="RK109" i="4"/>
  <c r="RK108" i="4"/>
  <c r="RK107" i="4"/>
  <c r="RK106" i="4"/>
  <c r="RK105" i="4"/>
  <c r="RK104" i="4"/>
  <c r="RK103" i="4"/>
  <c r="RL103" i="4" s="1"/>
  <c r="RK102" i="4"/>
  <c r="RL102" i="4" s="1"/>
  <c r="RK101" i="4"/>
  <c r="RL101" i="4" s="1"/>
  <c r="RK100" i="4"/>
  <c r="RL100" i="4" s="1"/>
  <c r="RL99" i="4"/>
  <c r="RK99" i="4"/>
  <c r="RL98" i="4"/>
  <c r="RK98" i="4"/>
  <c r="RK97" i="4"/>
  <c r="RK96" i="4"/>
  <c r="RK95" i="4"/>
  <c r="RK94" i="4"/>
  <c r="RK93" i="4"/>
  <c r="RK92" i="4"/>
  <c r="RK91" i="4"/>
  <c r="RK90" i="4"/>
  <c r="RK89" i="4"/>
  <c r="RK88" i="4"/>
  <c r="RK87" i="4"/>
  <c r="RK86" i="4"/>
  <c r="RL87" i="4" s="1"/>
  <c r="RK85" i="4"/>
  <c r="RK84" i="4"/>
  <c r="RK83" i="4"/>
  <c r="RK82" i="4"/>
  <c r="RK81" i="4"/>
  <c r="RK80" i="4"/>
  <c r="RK79" i="4"/>
  <c r="RL69" i="4"/>
  <c r="RK69" i="4"/>
  <c r="RK68" i="4"/>
  <c r="RK67" i="4"/>
  <c r="RK66" i="4"/>
  <c r="RK65" i="4"/>
  <c r="RL66" i="4" s="1"/>
  <c r="RK64" i="4"/>
  <c r="RK63" i="4"/>
  <c r="RK62" i="4"/>
  <c r="RK61" i="4"/>
  <c r="RK60" i="4"/>
  <c r="RK59" i="4"/>
  <c r="RK58" i="4"/>
  <c r="RL57" i="4"/>
  <c r="RK57" i="4"/>
  <c r="RK56" i="4"/>
  <c r="RK55" i="4"/>
  <c r="RK54" i="4"/>
  <c r="RK53" i="4"/>
  <c r="RK52" i="4"/>
  <c r="RK51" i="4"/>
  <c r="RL51" i="4" s="1"/>
  <c r="RK50" i="4"/>
  <c r="RL50" i="4" s="1"/>
  <c r="RK49" i="4"/>
  <c r="RL49" i="4" s="1"/>
  <c r="RK48" i="4"/>
  <c r="RL48" i="4" s="1"/>
  <c r="RK47" i="4"/>
  <c r="RL47" i="4" s="1"/>
  <c r="RK46" i="4"/>
  <c r="RL46" i="4" s="1"/>
  <c r="RK45" i="4"/>
  <c r="RL45" i="4" s="1"/>
  <c r="RK44" i="4"/>
  <c r="RK43" i="4"/>
  <c r="RK42" i="4"/>
  <c r="RK41" i="4"/>
  <c r="RL40" i="4"/>
  <c r="RK40" i="4"/>
  <c r="RK39" i="4"/>
  <c r="RK38" i="4"/>
  <c r="RK37" i="4"/>
  <c r="RK36" i="4"/>
  <c r="RK35" i="4"/>
  <c r="RK34" i="4"/>
  <c r="RK33" i="4"/>
  <c r="RK32" i="4"/>
  <c r="RK31" i="4"/>
  <c r="RL31" i="4" s="1"/>
  <c r="RK30" i="4"/>
  <c r="RL30" i="4" s="1"/>
  <c r="RK29" i="4"/>
  <c r="RL29" i="4" s="1"/>
  <c r="RK28" i="4"/>
  <c r="RL28" i="4" s="1"/>
  <c r="RL27" i="4"/>
  <c r="RK27" i="4"/>
  <c r="RL26" i="4"/>
  <c r="RK26" i="4"/>
  <c r="RK25" i="4"/>
  <c r="RK24" i="4"/>
  <c r="RK23" i="4"/>
  <c r="RK22" i="4"/>
  <c r="RK21" i="4"/>
  <c r="RK20" i="4"/>
  <c r="RK19" i="4"/>
  <c r="RK18" i="4"/>
  <c r="RK17" i="4"/>
  <c r="RK16" i="4"/>
  <c r="RK15" i="4"/>
  <c r="RK14" i="4"/>
  <c r="RL15" i="4" s="1"/>
  <c r="RK13" i="4"/>
  <c r="RK12" i="4"/>
  <c r="RK11" i="4"/>
  <c r="RK10" i="4"/>
  <c r="RK9" i="4"/>
  <c r="RL10" i="4" s="1"/>
  <c r="RK8" i="4"/>
  <c r="RK7" i="4"/>
  <c r="RL8" i="4" s="1"/>
  <c r="RD141" i="4"/>
  <c r="RC141" i="4"/>
  <c r="RC140" i="4"/>
  <c r="RC139" i="4"/>
  <c r="RC138" i="4"/>
  <c r="RC137" i="4"/>
  <c r="RC136" i="4"/>
  <c r="RC135" i="4"/>
  <c r="RC134" i="4"/>
  <c r="RC133" i="4"/>
  <c r="RC132" i="4"/>
  <c r="RC131" i="4"/>
  <c r="RC130" i="4"/>
  <c r="RD129" i="4"/>
  <c r="RC129" i="4"/>
  <c r="RC128" i="4"/>
  <c r="RC127" i="4"/>
  <c r="RC126" i="4"/>
  <c r="RC125" i="4"/>
  <c r="RC124" i="4"/>
  <c r="RC123" i="4"/>
  <c r="RD123" i="4" s="1"/>
  <c r="RC122" i="4"/>
  <c r="RD122" i="4" s="1"/>
  <c r="RC121" i="4"/>
  <c r="RD121" i="4" s="1"/>
  <c r="RC120" i="4"/>
  <c r="RD120" i="4" s="1"/>
  <c r="RC119" i="4"/>
  <c r="RD119" i="4" s="1"/>
  <c r="RC118" i="4"/>
  <c r="RD118" i="4" s="1"/>
  <c r="RC117" i="4"/>
  <c r="RD117" i="4" s="1"/>
  <c r="RC116" i="4"/>
  <c r="RC115" i="4"/>
  <c r="RC114" i="4"/>
  <c r="RC113" i="4"/>
  <c r="RD112" i="4"/>
  <c r="RC112" i="4"/>
  <c r="RC111" i="4"/>
  <c r="RC110" i="4"/>
  <c r="RC109" i="4"/>
  <c r="RC108" i="4"/>
  <c r="RC107" i="4"/>
  <c r="RC106" i="4"/>
  <c r="RC105" i="4"/>
  <c r="RC104" i="4"/>
  <c r="RD103" i="4"/>
  <c r="RC103" i="4"/>
  <c r="RC102" i="4"/>
  <c r="RD102" i="4" s="1"/>
  <c r="RC101" i="4"/>
  <c r="RD101" i="4" s="1"/>
  <c r="RC100" i="4"/>
  <c r="RD100" i="4" s="1"/>
  <c r="RD99" i="4"/>
  <c r="RC99" i="4"/>
  <c r="RD98" i="4"/>
  <c r="RC98" i="4"/>
  <c r="RC97" i="4"/>
  <c r="RC96" i="4"/>
  <c r="RC95" i="4"/>
  <c r="RC94" i="4"/>
  <c r="RC93" i="4"/>
  <c r="RC92" i="4"/>
  <c r="RC91" i="4"/>
  <c r="RC90" i="4"/>
  <c r="RC89" i="4"/>
  <c r="RC88" i="4"/>
  <c r="RC87" i="4"/>
  <c r="RC86" i="4"/>
  <c r="RD87" i="4" s="1"/>
  <c r="RC85" i="4"/>
  <c r="RC84" i="4"/>
  <c r="RC83" i="4"/>
  <c r="RC82" i="4"/>
  <c r="RC81" i="4"/>
  <c r="RC80" i="4"/>
  <c r="RD80" i="4" s="1"/>
  <c r="RC79" i="4"/>
  <c r="RD69" i="4"/>
  <c r="RC69" i="4"/>
  <c r="RC68" i="4"/>
  <c r="RC67" i="4"/>
  <c r="RC66" i="4"/>
  <c r="RC65" i="4"/>
  <c r="RC64" i="4"/>
  <c r="RC63" i="4"/>
  <c r="RC62" i="4"/>
  <c r="RC61" i="4"/>
  <c r="RC60" i="4"/>
  <c r="RC59" i="4"/>
  <c r="RC58" i="4"/>
  <c r="RD57" i="4"/>
  <c r="RC57" i="4"/>
  <c r="RC56" i="4"/>
  <c r="RC55" i="4"/>
  <c r="RC54" i="4"/>
  <c r="RC53" i="4"/>
  <c r="RC52" i="4"/>
  <c r="RC51" i="4"/>
  <c r="RD51" i="4" s="1"/>
  <c r="RC50" i="4"/>
  <c r="RD50" i="4" s="1"/>
  <c r="RC49" i="4"/>
  <c r="RD49" i="4" s="1"/>
  <c r="RC48" i="4"/>
  <c r="RD48" i="4" s="1"/>
  <c r="RC47" i="4"/>
  <c r="RD47" i="4" s="1"/>
  <c r="RC46" i="4"/>
  <c r="RD46" i="4" s="1"/>
  <c r="RC45" i="4"/>
  <c r="RD45" i="4" s="1"/>
  <c r="RC44" i="4"/>
  <c r="RC43" i="4"/>
  <c r="RC42" i="4"/>
  <c r="RC41" i="4"/>
  <c r="RD40" i="4"/>
  <c r="RC40" i="4"/>
  <c r="RC39" i="4"/>
  <c r="RC38" i="4"/>
  <c r="RC37" i="4"/>
  <c r="RC36" i="4"/>
  <c r="RC35" i="4"/>
  <c r="RC34" i="4"/>
  <c r="RC33" i="4"/>
  <c r="RC32" i="4"/>
  <c r="RC31" i="4"/>
  <c r="RD31" i="4" s="1"/>
  <c r="RC30" i="4"/>
  <c r="RD30" i="4" s="1"/>
  <c r="RC29" i="4"/>
  <c r="RD29" i="4" s="1"/>
  <c r="RC28" i="4"/>
  <c r="RD28" i="4" s="1"/>
  <c r="RD27" i="4"/>
  <c r="RC27" i="4"/>
  <c r="RD26" i="4"/>
  <c r="RC26" i="4"/>
  <c r="RC25" i="4"/>
  <c r="RC24" i="4"/>
  <c r="RC23" i="4"/>
  <c r="RC22" i="4"/>
  <c r="RC21" i="4"/>
  <c r="RC20" i="4"/>
  <c r="RC19" i="4"/>
  <c r="RC18" i="4"/>
  <c r="RC17" i="4"/>
  <c r="RC16" i="4"/>
  <c r="RC15" i="4"/>
  <c r="RC14" i="4"/>
  <c r="RC13" i="4"/>
  <c r="RC12" i="4"/>
  <c r="RC11" i="4"/>
  <c r="RC10" i="4"/>
  <c r="RC9" i="4"/>
  <c r="RC8" i="4"/>
  <c r="RC7" i="4"/>
  <c r="RD8" i="4" s="1"/>
  <c r="QV141" i="4"/>
  <c r="DM18" i="5" s="1"/>
  <c r="QU141" i="4"/>
  <c r="QU140" i="4"/>
  <c r="QU139" i="4"/>
  <c r="QU138" i="4"/>
  <c r="QU137" i="4"/>
  <c r="QU136" i="4"/>
  <c r="QU135" i="4"/>
  <c r="QU134" i="4"/>
  <c r="QU133" i="4"/>
  <c r="QU132" i="4"/>
  <c r="QU131" i="4"/>
  <c r="QU130" i="4"/>
  <c r="QV129" i="4"/>
  <c r="DM25" i="5" s="1"/>
  <c r="QU129" i="4"/>
  <c r="QU128" i="4"/>
  <c r="QU127" i="4"/>
  <c r="QU126" i="4"/>
  <c r="QU125" i="4"/>
  <c r="QU124" i="4"/>
  <c r="QU123" i="4"/>
  <c r="QV123" i="4" s="1"/>
  <c r="QU122" i="4"/>
  <c r="QV122" i="4" s="1"/>
  <c r="QU121" i="4"/>
  <c r="QV121" i="4" s="1"/>
  <c r="QU120" i="4"/>
  <c r="QV120" i="4" s="1"/>
  <c r="QU119" i="4"/>
  <c r="QV119" i="4" s="1"/>
  <c r="QU118" i="4"/>
  <c r="QV118" i="4" s="1"/>
  <c r="QU117" i="4"/>
  <c r="QV117" i="4" s="1"/>
  <c r="QU116" i="4"/>
  <c r="QU115" i="4"/>
  <c r="QU114" i="4"/>
  <c r="QU113" i="4"/>
  <c r="QV112" i="4"/>
  <c r="DM22" i="5" s="1"/>
  <c r="QU112" i="4"/>
  <c r="QU111" i="4"/>
  <c r="QU110" i="4"/>
  <c r="QU109" i="4"/>
  <c r="QU108" i="4"/>
  <c r="QU107" i="4"/>
  <c r="QU106" i="4"/>
  <c r="QU105" i="4"/>
  <c r="QU104" i="4"/>
  <c r="QU103" i="4"/>
  <c r="QV103" i="4" s="1"/>
  <c r="QU102" i="4"/>
  <c r="QV102" i="4" s="1"/>
  <c r="QU101" i="4"/>
  <c r="QV101" i="4" s="1"/>
  <c r="QU100" i="4"/>
  <c r="QV100" i="4" s="1"/>
  <c r="QV99" i="4"/>
  <c r="DM17" i="5" s="1"/>
  <c r="QU99" i="4"/>
  <c r="QV98" i="4"/>
  <c r="DM16" i="5" s="1"/>
  <c r="QU98" i="4"/>
  <c r="QU97" i="4"/>
  <c r="QU96" i="4"/>
  <c r="QU95" i="4"/>
  <c r="QU94" i="4"/>
  <c r="QU93" i="4"/>
  <c r="QU92" i="4"/>
  <c r="QU91" i="4"/>
  <c r="QU90" i="4"/>
  <c r="QU89" i="4"/>
  <c r="QU88" i="4"/>
  <c r="QU87" i="4"/>
  <c r="QU86" i="4"/>
  <c r="QU85" i="4"/>
  <c r="QU84" i="4"/>
  <c r="QU83" i="4"/>
  <c r="QU82" i="4"/>
  <c r="QU81" i="4"/>
  <c r="QU80" i="4"/>
  <c r="QU79" i="4"/>
  <c r="QV69" i="4"/>
  <c r="DL18" i="5" s="1"/>
  <c r="QU69" i="4"/>
  <c r="QU68" i="4"/>
  <c r="QU67" i="4"/>
  <c r="QU66" i="4"/>
  <c r="QU65" i="4"/>
  <c r="QU64" i="4"/>
  <c r="QU63" i="4"/>
  <c r="QU62" i="4"/>
  <c r="QU61" i="4"/>
  <c r="QU60" i="4"/>
  <c r="QU59" i="4"/>
  <c r="QU58" i="4"/>
  <c r="QV57" i="4"/>
  <c r="DL25" i="5" s="1"/>
  <c r="QU57" i="4"/>
  <c r="QU56" i="4"/>
  <c r="QU55" i="4"/>
  <c r="QU54" i="4"/>
  <c r="QU53" i="4"/>
  <c r="QU52" i="4"/>
  <c r="QU51" i="4"/>
  <c r="QV51" i="4" s="1"/>
  <c r="QU50" i="4"/>
  <c r="QV50" i="4" s="1"/>
  <c r="QU49" i="4"/>
  <c r="QV49" i="4" s="1"/>
  <c r="QU48" i="4"/>
  <c r="QV48" i="4" s="1"/>
  <c r="QU47" i="4"/>
  <c r="QV47" i="4" s="1"/>
  <c r="QU46" i="4"/>
  <c r="QV46" i="4" s="1"/>
  <c r="QU45" i="4"/>
  <c r="QV45" i="4" s="1"/>
  <c r="QU44" i="4"/>
  <c r="QU43" i="4"/>
  <c r="QU42" i="4"/>
  <c r="QU41" i="4"/>
  <c r="QV40" i="4"/>
  <c r="DL22" i="5" s="1"/>
  <c r="QU40" i="4"/>
  <c r="QU39" i="4"/>
  <c r="QU38" i="4"/>
  <c r="QU37" i="4"/>
  <c r="QU36" i="4"/>
  <c r="QU35" i="4"/>
  <c r="QU34" i="4"/>
  <c r="QU33" i="4"/>
  <c r="QU32" i="4"/>
  <c r="QU31" i="4"/>
  <c r="QV31" i="4" s="1"/>
  <c r="QU30" i="4"/>
  <c r="QV30" i="4" s="1"/>
  <c r="QU29" i="4"/>
  <c r="QV29" i="4" s="1"/>
  <c r="QU28" i="4"/>
  <c r="QV28" i="4" s="1"/>
  <c r="QV27" i="4"/>
  <c r="DL17" i="5" s="1"/>
  <c r="QU27" i="4"/>
  <c r="QV26" i="4"/>
  <c r="DL16" i="5" s="1"/>
  <c r="QU26" i="4"/>
  <c r="QU25" i="4"/>
  <c r="QU24" i="4"/>
  <c r="QU23" i="4"/>
  <c r="QU22" i="4"/>
  <c r="QU21" i="4"/>
  <c r="QU20" i="4"/>
  <c r="QU19" i="4"/>
  <c r="QU18" i="4"/>
  <c r="QU17" i="4"/>
  <c r="QU16" i="4"/>
  <c r="QU15" i="4"/>
  <c r="QU14" i="4"/>
  <c r="QU13" i="4"/>
  <c r="QU12" i="4"/>
  <c r="QU11" i="4"/>
  <c r="QU10" i="4"/>
  <c r="QU9" i="4"/>
  <c r="QU8" i="4"/>
  <c r="QU7" i="4"/>
  <c r="QN141" i="4"/>
  <c r="DK18" i="5" s="1"/>
  <c r="QM141" i="4"/>
  <c r="QM140" i="4"/>
  <c r="QM139" i="4"/>
  <c r="QM138" i="4"/>
  <c r="QM137" i="4"/>
  <c r="QM136" i="4"/>
  <c r="QM135" i="4"/>
  <c r="QM134" i="4"/>
  <c r="QM133" i="4"/>
  <c r="QM132" i="4"/>
  <c r="QM131" i="4"/>
  <c r="QM130" i="4"/>
  <c r="QN129" i="4"/>
  <c r="DK25" i="5" s="1"/>
  <c r="QM129" i="4"/>
  <c r="QM128" i="4"/>
  <c r="QM127" i="4"/>
  <c r="QM126" i="4"/>
  <c r="QM125" i="4"/>
  <c r="QM124" i="4"/>
  <c r="QM123" i="4"/>
  <c r="QN123" i="4" s="1"/>
  <c r="QM122" i="4"/>
  <c r="QN122" i="4" s="1"/>
  <c r="QM121" i="4"/>
  <c r="QN121" i="4" s="1"/>
  <c r="QM120" i="4"/>
  <c r="QN120" i="4" s="1"/>
  <c r="QM119" i="4"/>
  <c r="QN119" i="4" s="1"/>
  <c r="QM118" i="4"/>
  <c r="QN118" i="4" s="1"/>
  <c r="QM117" i="4"/>
  <c r="QN117" i="4" s="1"/>
  <c r="QM116" i="4"/>
  <c r="QM115" i="4"/>
  <c r="QM114" i="4"/>
  <c r="QM113" i="4"/>
  <c r="QN112" i="4"/>
  <c r="DK22" i="5" s="1"/>
  <c r="QM112" i="4"/>
  <c r="QM111" i="4"/>
  <c r="QM110" i="4"/>
  <c r="QM109" i="4"/>
  <c r="QM108" i="4"/>
  <c r="QM107" i="4"/>
  <c r="QM106" i="4"/>
  <c r="QM105" i="4"/>
  <c r="QM104" i="4"/>
  <c r="QM103" i="4"/>
  <c r="QN103" i="4" s="1"/>
  <c r="QM102" i="4"/>
  <c r="QN102" i="4" s="1"/>
  <c r="QM101" i="4"/>
  <c r="QN101" i="4" s="1"/>
  <c r="QM100" i="4"/>
  <c r="QN100" i="4" s="1"/>
  <c r="QN99" i="4"/>
  <c r="DK17" i="5" s="1"/>
  <c r="QM99" i="4"/>
  <c r="QN98" i="4"/>
  <c r="DK16" i="5" s="1"/>
  <c r="QM98" i="4"/>
  <c r="QM97" i="4"/>
  <c r="QM96" i="4"/>
  <c r="QM95" i="4"/>
  <c r="QM94" i="4"/>
  <c r="QM93" i="4"/>
  <c r="QM92" i="4"/>
  <c r="QM91" i="4"/>
  <c r="QM90" i="4"/>
  <c r="QM89" i="4"/>
  <c r="QM88" i="4"/>
  <c r="QM87" i="4"/>
  <c r="QM86" i="4"/>
  <c r="QM85" i="4"/>
  <c r="QM84" i="4"/>
  <c r="QM83" i="4"/>
  <c r="QM82" i="4"/>
  <c r="QM81" i="4"/>
  <c r="QM80" i="4"/>
  <c r="QM79" i="4"/>
  <c r="QN69" i="4"/>
  <c r="DJ18" i="5" s="1"/>
  <c r="QM69" i="4"/>
  <c r="QM68" i="4"/>
  <c r="QM67" i="4"/>
  <c r="QN68" i="4" s="1"/>
  <c r="DJ13" i="5" s="1"/>
  <c r="QM66" i="4"/>
  <c r="QM65" i="4"/>
  <c r="QM64" i="4"/>
  <c r="QM63" i="4"/>
  <c r="QM62" i="4"/>
  <c r="QM61" i="4"/>
  <c r="QM60" i="4"/>
  <c r="QM59" i="4"/>
  <c r="QM58" i="4"/>
  <c r="QN57" i="4"/>
  <c r="DJ25" i="5" s="1"/>
  <c r="QM57" i="4"/>
  <c r="QM56" i="4"/>
  <c r="QM55" i="4"/>
  <c r="QM54" i="4"/>
  <c r="QM53" i="4"/>
  <c r="QM52" i="4"/>
  <c r="QM51" i="4"/>
  <c r="QN51" i="4" s="1"/>
  <c r="QM50" i="4"/>
  <c r="QN50" i="4" s="1"/>
  <c r="QM49" i="4"/>
  <c r="QN49" i="4" s="1"/>
  <c r="QM48" i="4"/>
  <c r="QN48" i="4" s="1"/>
  <c r="QM47" i="4"/>
  <c r="QN47" i="4" s="1"/>
  <c r="QM46" i="4"/>
  <c r="QN46" i="4" s="1"/>
  <c r="QM45" i="4"/>
  <c r="QN45" i="4" s="1"/>
  <c r="QM44" i="4"/>
  <c r="QM43" i="4"/>
  <c r="QM42" i="4"/>
  <c r="QM41" i="4"/>
  <c r="QN40" i="4"/>
  <c r="DJ22" i="5" s="1"/>
  <c r="QM40" i="4"/>
  <c r="QM39" i="4"/>
  <c r="QM38" i="4"/>
  <c r="QM37" i="4"/>
  <c r="QM36" i="4"/>
  <c r="QM35" i="4"/>
  <c r="QM34" i="4"/>
  <c r="QM33" i="4"/>
  <c r="QM32" i="4"/>
  <c r="QM31" i="4"/>
  <c r="QN31" i="4" s="1"/>
  <c r="QM30" i="4"/>
  <c r="QN30" i="4" s="1"/>
  <c r="QM29" i="4"/>
  <c r="QN29" i="4" s="1"/>
  <c r="QM28" i="4"/>
  <c r="QN28" i="4" s="1"/>
  <c r="QN27" i="4"/>
  <c r="DJ17" i="5" s="1"/>
  <c r="QM27" i="4"/>
  <c r="QN26" i="4"/>
  <c r="DJ16" i="5" s="1"/>
  <c r="QM26" i="4"/>
  <c r="QM25" i="4"/>
  <c r="QM24" i="4"/>
  <c r="QM23" i="4"/>
  <c r="QM22" i="4"/>
  <c r="QM21" i="4"/>
  <c r="QM20" i="4"/>
  <c r="QM19" i="4"/>
  <c r="QM18" i="4"/>
  <c r="QM17" i="4"/>
  <c r="QM16" i="4"/>
  <c r="QM15" i="4"/>
  <c r="QM14" i="4"/>
  <c r="QM13" i="4"/>
  <c r="QM12" i="4"/>
  <c r="QM11" i="4"/>
  <c r="QM10" i="4"/>
  <c r="QM9" i="4"/>
  <c r="QM8" i="4"/>
  <c r="QM7" i="4"/>
  <c r="QF141" i="4"/>
  <c r="DI18" i="5" s="1"/>
  <c r="QE141" i="4"/>
  <c r="QE140" i="4"/>
  <c r="QE139" i="4"/>
  <c r="QF140" i="4" s="1"/>
  <c r="DI13" i="5" s="1"/>
  <c r="QE138" i="4"/>
  <c r="QE137" i="4"/>
  <c r="QE136" i="4"/>
  <c r="QE135" i="4"/>
  <c r="QE134" i="4"/>
  <c r="QE133" i="4"/>
  <c r="QE132" i="4"/>
  <c r="QE131" i="4"/>
  <c r="QE130" i="4"/>
  <c r="QF129" i="4"/>
  <c r="DI25" i="5" s="1"/>
  <c r="QE129" i="4"/>
  <c r="QE128" i="4"/>
  <c r="QE127" i="4"/>
  <c r="QE126" i="4"/>
  <c r="QE125" i="4"/>
  <c r="QE124" i="4"/>
  <c r="QE123" i="4"/>
  <c r="QF123" i="4" s="1"/>
  <c r="QE122" i="4"/>
  <c r="QF122" i="4" s="1"/>
  <c r="QE121" i="4"/>
  <c r="QF121" i="4" s="1"/>
  <c r="QE120" i="4"/>
  <c r="QF120" i="4" s="1"/>
  <c r="QE119" i="4"/>
  <c r="QF119" i="4" s="1"/>
  <c r="QE118" i="4"/>
  <c r="QF118" i="4" s="1"/>
  <c r="QE117" i="4"/>
  <c r="QF117" i="4" s="1"/>
  <c r="QE116" i="4"/>
  <c r="QE115" i="4"/>
  <c r="QE114" i="4"/>
  <c r="QE113" i="4"/>
  <c r="QF112" i="4"/>
  <c r="DI22" i="5" s="1"/>
  <c r="QE112" i="4"/>
  <c r="QE111" i="4"/>
  <c r="QE110" i="4"/>
  <c r="QE109" i="4"/>
  <c r="QE108" i="4"/>
  <c r="QF111" i="4" s="1"/>
  <c r="DI21" i="5" s="1"/>
  <c r="QE107" i="4"/>
  <c r="QE106" i="4"/>
  <c r="QE105" i="4"/>
  <c r="QE104" i="4"/>
  <c r="QE103" i="4"/>
  <c r="QF103" i="4" s="1"/>
  <c r="QE102" i="4"/>
  <c r="QF102" i="4" s="1"/>
  <c r="QE101" i="4"/>
  <c r="QF101" i="4" s="1"/>
  <c r="QE100" i="4"/>
  <c r="QF100" i="4" s="1"/>
  <c r="QF99" i="4"/>
  <c r="DI17" i="5" s="1"/>
  <c r="QE99" i="4"/>
  <c r="QF98" i="4"/>
  <c r="DI16" i="5" s="1"/>
  <c r="QE98" i="4"/>
  <c r="QE97" i="4"/>
  <c r="QE96" i="4"/>
  <c r="QE95" i="4"/>
  <c r="QE94" i="4"/>
  <c r="QE93" i="4"/>
  <c r="QE92" i="4"/>
  <c r="QE91" i="4"/>
  <c r="QE90" i="4"/>
  <c r="QE89" i="4"/>
  <c r="QE88" i="4"/>
  <c r="QE87" i="4"/>
  <c r="QE86" i="4"/>
  <c r="QE85" i="4"/>
  <c r="QE84" i="4"/>
  <c r="QE83" i="4"/>
  <c r="QE82" i="4"/>
  <c r="QE81" i="4"/>
  <c r="QE80" i="4"/>
  <c r="QE79" i="4"/>
  <c r="QF69" i="4"/>
  <c r="DH18" i="5" s="1"/>
  <c r="QE69" i="4"/>
  <c r="QE68" i="4"/>
  <c r="QE67" i="4"/>
  <c r="QE66" i="4"/>
  <c r="QE65" i="4"/>
  <c r="QE64" i="4"/>
  <c r="QE63" i="4"/>
  <c r="QE62" i="4"/>
  <c r="QE61" i="4"/>
  <c r="QE60" i="4"/>
  <c r="QE59" i="4"/>
  <c r="QE58" i="4"/>
  <c r="QF57" i="4"/>
  <c r="DH25" i="5" s="1"/>
  <c r="QE57" i="4"/>
  <c r="QE56" i="4"/>
  <c r="QE55" i="4"/>
  <c r="QE54" i="4"/>
  <c r="QE53" i="4"/>
  <c r="QE52" i="4"/>
  <c r="QE51" i="4"/>
  <c r="QF51" i="4" s="1"/>
  <c r="QE50" i="4"/>
  <c r="QF50" i="4" s="1"/>
  <c r="QE49" i="4"/>
  <c r="QF49" i="4" s="1"/>
  <c r="QE48" i="4"/>
  <c r="QF48" i="4" s="1"/>
  <c r="QE47" i="4"/>
  <c r="QF47" i="4" s="1"/>
  <c r="QE46" i="4"/>
  <c r="QF46" i="4" s="1"/>
  <c r="QE45" i="4"/>
  <c r="QF45" i="4" s="1"/>
  <c r="QE44" i="4"/>
  <c r="QE43" i="4"/>
  <c r="QE42" i="4"/>
  <c r="QE41" i="4"/>
  <c r="QF40" i="4"/>
  <c r="DH22" i="5" s="1"/>
  <c r="QE40" i="4"/>
  <c r="QE39" i="4"/>
  <c r="QE38" i="4"/>
  <c r="QE37" i="4"/>
  <c r="QE36" i="4"/>
  <c r="QE35" i="4"/>
  <c r="QE34" i="4"/>
  <c r="QE33" i="4"/>
  <c r="QE32" i="4"/>
  <c r="QE31" i="4"/>
  <c r="QF31" i="4" s="1"/>
  <c r="QE30" i="4"/>
  <c r="QF30" i="4" s="1"/>
  <c r="QE29" i="4"/>
  <c r="QF29" i="4" s="1"/>
  <c r="QE28" i="4"/>
  <c r="QF28" i="4" s="1"/>
  <c r="QF27" i="4"/>
  <c r="DH17" i="5" s="1"/>
  <c r="QE27" i="4"/>
  <c r="QF26" i="4"/>
  <c r="DH16" i="5" s="1"/>
  <c r="QE26" i="4"/>
  <c r="QE25" i="4"/>
  <c r="QE24" i="4"/>
  <c r="QE23" i="4"/>
  <c r="QE22" i="4"/>
  <c r="QE21" i="4"/>
  <c r="QE20" i="4"/>
  <c r="QE19" i="4"/>
  <c r="QE18" i="4"/>
  <c r="QE17" i="4"/>
  <c r="QE16" i="4"/>
  <c r="QE15" i="4"/>
  <c r="QE14" i="4"/>
  <c r="QE13" i="4"/>
  <c r="QE12" i="4"/>
  <c r="QE11" i="4"/>
  <c r="QE10" i="4"/>
  <c r="QE9" i="4"/>
  <c r="QE8" i="4"/>
  <c r="QE7" i="4"/>
  <c r="PX141" i="4"/>
  <c r="DG18" i="5" s="1"/>
  <c r="PW141" i="4"/>
  <c r="PW140" i="4"/>
  <c r="PW139" i="4"/>
  <c r="PW138" i="4"/>
  <c r="PW137" i="4"/>
  <c r="PW136" i="4"/>
  <c r="PW135" i="4"/>
  <c r="PW134" i="4"/>
  <c r="PW133" i="4"/>
  <c r="PW132" i="4"/>
  <c r="PW131" i="4"/>
  <c r="PW130" i="4"/>
  <c r="PX129" i="4"/>
  <c r="DG25" i="5" s="1"/>
  <c r="PW129" i="4"/>
  <c r="PW128" i="4"/>
  <c r="PW127" i="4"/>
  <c r="PW126" i="4"/>
  <c r="PW125" i="4"/>
  <c r="PW124" i="4"/>
  <c r="PW123" i="4"/>
  <c r="PX123" i="4" s="1"/>
  <c r="PW122" i="4"/>
  <c r="PX122" i="4" s="1"/>
  <c r="PW121" i="4"/>
  <c r="PX121" i="4" s="1"/>
  <c r="PW120" i="4"/>
  <c r="PX120" i="4" s="1"/>
  <c r="PW119" i="4"/>
  <c r="PX119" i="4" s="1"/>
  <c r="PW118" i="4"/>
  <c r="PX118" i="4" s="1"/>
  <c r="PW117" i="4"/>
  <c r="PX117" i="4" s="1"/>
  <c r="PW116" i="4"/>
  <c r="PW115" i="4"/>
  <c r="PW114" i="4"/>
  <c r="PW113" i="4"/>
  <c r="PX112" i="4"/>
  <c r="DG22" i="5" s="1"/>
  <c r="PW112" i="4"/>
  <c r="PW111" i="4"/>
  <c r="PW110" i="4"/>
  <c r="PW109" i="4"/>
  <c r="PW108" i="4"/>
  <c r="PX111" i="4" s="1"/>
  <c r="DG21" i="5" s="1"/>
  <c r="PW107" i="4"/>
  <c r="PW106" i="4"/>
  <c r="PW105" i="4"/>
  <c r="PW104" i="4"/>
  <c r="PW103" i="4"/>
  <c r="PX103" i="4" s="1"/>
  <c r="PW102" i="4"/>
  <c r="PX102" i="4" s="1"/>
  <c r="PW101" i="4"/>
  <c r="PX101" i="4" s="1"/>
  <c r="PW100" i="4"/>
  <c r="PX100" i="4" s="1"/>
  <c r="PX99" i="4"/>
  <c r="DG17" i="5" s="1"/>
  <c r="PW99" i="4"/>
  <c r="PX98" i="4"/>
  <c r="DG16" i="5" s="1"/>
  <c r="PW98" i="4"/>
  <c r="PW97" i="4"/>
  <c r="PW96" i="4"/>
  <c r="PW95" i="4"/>
  <c r="PW94" i="4"/>
  <c r="PW93" i="4"/>
  <c r="PW92" i="4"/>
  <c r="PW91" i="4"/>
  <c r="PW90" i="4"/>
  <c r="PW89" i="4"/>
  <c r="PW88" i="4"/>
  <c r="PW87" i="4"/>
  <c r="PW86" i="4"/>
  <c r="PW85" i="4"/>
  <c r="PW84" i="4"/>
  <c r="PW83" i="4"/>
  <c r="PW82" i="4"/>
  <c r="PW81" i="4"/>
  <c r="PW80" i="4"/>
  <c r="PW79" i="4"/>
  <c r="PX69" i="4"/>
  <c r="DF18" i="5" s="1"/>
  <c r="PW69" i="4"/>
  <c r="PW68" i="4"/>
  <c r="PW67" i="4"/>
  <c r="PW66" i="4"/>
  <c r="PW65" i="4"/>
  <c r="PW64" i="4"/>
  <c r="PW63" i="4"/>
  <c r="PW62" i="4"/>
  <c r="PW61" i="4"/>
  <c r="PW60" i="4"/>
  <c r="PW59" i="4"/>
  <c r="PW58" i="4"/>
  <c r="PX57" i="4"/>
  <c r="DF25" i="5" s="1"/>
  <c r="PW57" i="4"/>
  <c r="PW56" i="4"/>
  <c r="PW55" i="4"/>
  <c r="PW54" i="4"/>
  <c r="PW53" i="4"/>
  <c r="PW52" i="4"/>
  <c r="PW51" i="4"/>
  <c r="PX51" i="4" s="1"/>
  <c r="PW50" i="4"/>
  <c r="PX50" i="4" s="1"/>
  <c r="PW49" i="4"/>
  <c r="PX49" i="4" s="1"/>
  <c r="PW48" i="4"/>
  <c r="PX48" i="4" s="1"/>
  <c r="PW47" i="4"/>
  <c r="PX47" i="4" s="1"/>
  <c r="PW46" i="4"/>
  <c r="PX46" i="4" s="1"/>
  <c r="PW45" i="4"/>
  <c r="PX45" i="4" s="1"/>
  <c r="PW44" i="4"/>
  <c r="PW43" i="4"/>
  <c r="PW42" i="4"/>
  <c r="PW41" i="4"/>
  <c r="PX40" i="4"/>
  <c r="DF22" i="5" s="1"/>
  <c r="PW40" i="4"/>
  <c r="PW39" i="4"/>
  <c r="PW38" i="4"/>
  <c r="PW37" i="4"/>
  <c r="PW36" i="4"/>
  <c r="PW35" i="4"/>
  <c r="PW34" i="4"/>
  <c r="PW33" i="4"/>
  <c r="PW32" i="4"/>
  <c r="PW31" i="4"/>
  <c r="PX31" i="4" s="1"/>
  <c r="PW30" i="4"/>
  <c r="PX30" i="4" s="1"/>
  <c r="PW29" i="4"/>
  <c r="PX29" i="4" s="1"/>
  <c r="PW28" i="4"/>
  <c r="PX28" i="4" s="1"/>
  <c r="PX27" i="4"/>
  <c r="DF17" i="5" s="1"/>
  <c r="PW27" i="4"/>
  <c r="PX26" i="4"/>
  <c r="DF16" i="5" s="1"/>
  <c r="PW26" i="4"/>
  <c r="PW25" i="4"/>
  <c r="PW24" i="4"/>
  <c r="PW23" i="4"/>
  <c r="PW22" i="4"/>
  <c r="PW21" i="4"/>
  <c r="PW20" i="4"/>
  <c r="PW19" i="4"/>
  <c r="PW18" i="4"/>
  <c r="PW17" i="4"/>
  <c r="PW16" i="4"/>
  <c r="PW15" i="4"/>
  <c r="PW14" i="4"/>
  <c r="PW13" i="4"/>
  <c r="PW12" i="4"/>
  <c r="PW11" i="4"/>
  <c r="PW10" i="4"/>
  <c r="PW9" i="4"/>
  <c r="PW8" i="4"/>
  <c r="PW7" i="4"/>
  <c r="DE160" i="5"/>
  <c r="DE155" i="5"/>
  <c r="DE170" i="5"/>
  <c r="DE169" i="5"/>
  <c r="DE168" i="5"/>
  <c r="DE167" i="5"/>
  <c r="DE166" i="5"/>
  <c r="DE165" i="5"/>
  <c r="DE164" i="5"/>
  <c r="DE163" i="5"/>
  <c r="DE162" i="5"/>
  <c r="DE159" i="5"/>
  <c r="DE158" i="5"/>
  <c r="DE157" i="5"/>
  <c r="DE154" i="5"/>
  <c r="DE153" i="5"/>
  <c r="DE152" i="5"/>
  <c r="DE151" i="5"/>
  <c r="DE150" i="5"/>
  <c r="DE149" i="5"/>
  <c r="DD160" i="5"/>
  <c r="DD155" i="5"/>
  <c r="DD170" i="5"/>
  <c r="DD169" i="5"/>
  <c r="DD168" i="5"/>
  <c r="DD167" i="5"/>
  <c r="DD166" i="5"/>
  <c r="DD165" i="5"/>
  <c r="DD164" i="5"/>
  <c r="DD163" i="5"/>
  <c r="DD162" i="5"/>
  <c r="DD159" i="5"/>
  <c r="DD158" i="5"/>
  <c r="DD157" i="5"/>
  <c r="DD154" i="5"/>
  <c r="DD153" i="5"/>
  <c r="DD152" i="5"/>
  <c r="DD151" i="5"/>
  <c r="DD150" i="5"/>
  <c r="DD149" i="5"/>
  <c r="DC160" i="5"/>
  <c r="DC155" i="5"/>
  <c r="DC170" i="5"/>
  <c r="DC169" i="5"/>
  <c r="DC168" i="5"/>
  <c r="DC167" i="5"/>
  <c r="DC166" i="5"/>
  <c r="DC165" i="5"/>
  <c r="DC164" i="5"/>
  <c r="DC163" i="5"/>
  <c r="DC162" i="5"/>
  <c r="DC159" i="5"/>
  <c r="DC158" i="5"/>
  <c r="DC157" i="5"/>
  <c r="DC154" i="5"/>
  <c r="DC153" i="5"/>
  <c r="DC152" i="5"/>
  <c r="DC151" i="5"/>
  <c r="DC150" i="5"/>
  <c r="DC149" i="5"/>
  <c r="DB160" i="5"/>
  <c r="DB155" i="5"/>
  <c r="DB170" i="5"/>
  <c r="DB169" i="5"/>
  <c r="DB168" i="5"/>
  <c r="DB167" i="5"/>
  <c r="DB166" i="5"/>
  <c r="DB165" i="5"/>
  <c r="DB164" i="5"/>
  <c r="DB163" i="5"/>
  <c r="DB162" i="5"/>
  <c r="DB159" i="5"/>
  <c r="DB158" i="5"/>
  <c r="DB157" i="5"/>
  <c r="DB154" i="5"/>
  <c r="DB153" i="5"/>
  <c r="DB152" i="5"/>
  <c r="DB151" i="5"/>
  <c r="DB150" i="5"/>
  <c r="DB149" i="5"/>
  <c r="DA160" i="5"/>
  <c r="DA155" i="5"/>
  <c r="DA170" i="5"/>
  <c r="DA169" i="5"/>
  <c r="DA168" i="5"/>
  <c r="DA167" i="5"/>
  <c r="DA166" i="5"/>
  <c r="DA165" i="5"/>
  <c r="DA164" i="5"/>
  <c r="DA163" i="5"/>
  <c r="DA162" i="5"/>
  <c r="DA159" i="5"/>
  <c r="DA158" i="5"/>
  <c r="DA157" i="5"/>
  <c r="DA154" i="5"/>
  <c r="DA153" i="5"/>
  <c r="DA152" i="5"/>
  <c r="DA151" i="5"/>
  <c r="DA150" i="5"/>
  <c r="DA149" i="5"/>
  <c r="CZ160" i="5"/>
  <c r="CZ155" i="5"/>
  <c r="CZ170" i="5"/>
  <c r="CZ169" i="5"/>
  <c r="CZ168" i="5"/>
  <c r="CZ167" i="5"/>
  <c r="CZ166" i="5"/>
  <c r="CZ165" i="5"/>
  <c r="CZ164" i="5"/>
  <c r="CZ163" i="5"/>
  <c r="CZ162" i="5"/>
  <c r="CZ159" i="5"/>
  <c r="CZ158" i="5"/>
  <c r="CZ157" i="5"/>
  <c r="CZ154" i="5"/>
  <c r="CZ153" i="5"/>
  <c r="CZ152" i="5"/>
  <c r="CZ151" i="5"/>
  <c r="CZ150" i="5"/>
  <c r="CZ149" i="5"/>
  <c r="DE138" i="5"/>
  <c r="DD138" i="5"/>
  <c r="DB138" i="5"/>
  <c r="DA138" i="5"/>
  <c r="CZ138" i="5"/>
  <c r="DE134" i="5"/>
  <c r="DD134" i="5"/>
  <c r="DC134" i="5"/>
  <c r="DB134" i="5"/>
  <c r="DA134" i="5"/>
  <c r="CZ134" i="5"/>
  <c r="DB133" i="5"/>
  <c r="DA133" i="5"/>
  <c r="CZ133" i="5"/>
  <c r="DE124" i="5"/>
  <c r="DD124" i="5"/>
  <c r="DB124" i="5"/>
  <c r="DA124" i="5"/>
  <c r="CZ124" i="5"/>
  <c r="QF17" i="4" l="1"/>
  <c r="DH11" i="5" s="1"/>
  <c r="QF116" i="4"/>
  <c r="DI23" i="5" s="1"/>
  <c r="RL80" i="4"/>
  <c r="LU79" i="1"/>
  <c r="LT131" i="1"/>
  <c r="LR148" i="1"/>
  <c r="LT154" i="1"/>
  <c r="LX146" i="1"/>
  <c r="MA146" i="1" s="1"/>
  <c r="LX172" i="1"/>
  <c r="MG19" i="1"/>
  <c r="MF34" i="1"/>
  <c r="MD61" i="1"/>
  <c r="MC76" i="1"/>
  <c r="MF76" i="1" s="1"/>
  <c r="DJ54" i="5" s="1"/>
  <c r="MM42" i="1"/>
  <c r="MJ163" i="1"/>
  <c r="MM163" i="1" s="1"/>
  <c r="MF9" i="1"/>
  <c r="MF28" i="1"/>
  <c r="MF42" i="1"/>
  <c r="DI156" i="5"/>
  <c r="DK156" i="5"/>
  <c r="DA156" i="5"/>
  <c r="DE156" i="5"/>
  <c r="RD93" i="4"/>
  <c r="LW63" i="1"/>
  <c r="LW79" i="1"/>
  <c r="MF10" i="1"/>
  <c r="MI160" i="1"/>
  <c r="MR71" i="1"/>
  <c r="MY86" i="1"/>
  <c r="MX173" i="1"/>
  <c r="QN13" i="4"/>
  <c r="DJ9" i="5" s="1"/>
  <c r="QN128" i="4"/>
  <c r="DK24" i="5" s="1"/>
  <c r="RL39" i="4"/>
  <c r="LZ100" i="1"/>
  <c r="LX167" i="1"/>
  <c r="MF16" i="1"/>
  <c r="MF37" i="1"/>
  <c r="MG107" i="1"/>
  <c r="MJ56" i="1"/>
  <c r="ML56" i="1" s="1"/>
  <c r="DL34" i="5" s="1"/>
  <c r="ML126" i="1"/>
  <c r="MI168" i="1"/>
  <c r="Z8" i="36"/>
  <c r="AB8" i="36"/>
  <c r="Y87" i="36"/>
  <c r="PX89" i="4"/>
  <c r="DG11" i="5" s="1"/>
  <c r="RD138" i="4"/>
  <c r="RL17" i="4"/>
  <c r="LT78" i="1"/>
  <c r="MA24" i="1"/>
  <c r="LZ33" i="1"/>
  <c r="LX160" i="1"/>
  <c r="MG37" i="1"/>
  <c r="MD57" i="1"/>
  <c r="MF120" i="1"/>
  <c r="ML112" i="1"/>
  <c r="MF17" i="1"/>
  <c r="MF109" i="1"/>
  <c r="DH156" i="5"/>
  <c r="Z16" i="36"/>
  <c r="AB16" i="36"/>
  <c r="DD156" i="5"/>
  <c r="LZ111" i="1"/>
  <c r="LW168" i="1"/>
  <c r="LZ168" i="1" s="1"/>
  <c r="MC81" i="1"/>
  <c r="MG120" i="1"/>
  <c r="MM112" i="1"/>
  <c r="MD146" i="1"/>
  <c r="AC21" i="36"/>
  <c r="Y77" i="36"/>
  <c r="LU78" i="1"/>
  <c r="LR156" i="1"/>
  <c r="LT156" i="1" s="1"/>
  <c r="DG47" i="5" s="1"/>
  <c r="LZ122" i="1"/>
  <c r="MF33" i="1"/>
  <c r="MF103" i="1"/>
  <c r="MF128" i="1"/>
  <c r="ML32" i="1"/>
  <c r="ML100" i="1"/>
  <c r="MM106" i="1"/>
  <c r="MF106" i="1"/>
  <c r="RD21" i="4"/>
  <c r="RD44" i="4"/>
  <c r="RD66" i="4"/>
  <c r="LT20" i="1"/>
  <c r="LU136" i="1"/>
  <c r="MG28" i="1"/>
  <c r="MG33" i="1"/>
  <c r="MF51" i="1"/>
  <c r="MC61" i="1"/>
  <c r="ML13" i="1"/>
  <c r="ML42" i="1"/>
  <c r="MM100" i="1"/>
  <c r="Z64" i="36"/>
  <c r="X72" i="36"/>
  <c r="Z72" i="36"/>
  <c r="Z77" i="36"/>
  <c r="LZ66" i="1"/>
  <c r="LZ118" i="1"/>
  <c r="MA166" i="1"/>
  <c r="LZ171" i="1"/>
  <c r="MF36" i="1"/>
  <c r="MF83" i="1"/>
  <c r="MF101" i="1"/>
  <c r="MF121" i="1"/>
  <c r="ML130" i="1"/>
  <c r="MM133" i="1"/>
  <c r="LZ63" i="1"/>
  <c r="DH43" i="5" s="1"/>
  <c r="LZ65" i="1"/>
  <c r="ML124" i="1"/>
  <c r="MJ171" i="1"/>
  <c r="MY148" i="1"/>
  <c r="MY150" i="1"/>
  <c r="MY154" i="1"/>
  <c r="MY160" i="1"/>
  <c r="MY162" i="1"/>
  <c r="MY172" i="1"/>
  <c r="MJ70" i="1"/>
  <c r="MJ80" i="1"/>
  <c r="ML114" i="1"/>
  <c r="ML121" i="1"/>
  <c r="MM124" i="1"/>
  <c r="ML136" i="1"/>
  <c r="MJ156" i="1"/>
  <c r="LT64" i="1"/>
  <c r="MM13" i="1"/>
  <c r="ML97" i="1"/>
  <c r="MM114" i="1"/>
  <c r="ML118" i="1"/>
  <c r="MM121" i="1"/>
  <c r="LX77" i="1"/>
  <c r="LX143" i="1"/>
  <c r="MX143" i="1"/>
  <c r="MY169" i="1"/>
  <c r="MY171" i="1"/>
  <c r="LT167" i="1"/>
  <c r="MG152" i="1"/>
  <c r="MG170" i="1"/>
  <c r="MM78" i="1"/>
  <c r="MS57" i="1"/>
  <c r="MS67" i="1"/>
  <c r="MS69" i="1"/>
  <c r="MS71" i="1"/>
  <c r="MS154" i="1"/>
  <c r="MS160" i="1"/>
  <c r="MS166" i="1"/>
  <c r="MX172" i="1"/>
  <c r="LT114" i="1"/>
  <c r="LT124" i="1"/>
  <c r="LT56" i="1"/>
  <c r="LT66" i="1"/>
  <c r="LT149" i="1"/>
  <c r="LU151" i="1"/>
  <c r="LU167" i="1"/>
  <c r="MM79" i="1"/>
  <c r="MR62" i="1"/>
  <c r="MR64" i="1"/>
  <c r="MR68" i="1"/>
  <c r="MR70" i="1"/>
  <c r="MR159" i="1"/>
  <c r="MR171" i="1"/>
  <c r="MY56" i="1"/>
  <c r="MY60" i="1"/>
  <c r="LT115" i="1"/>
  <c r="LT138" i="1"/>
  <c r="MF111" i="1"/>
  <c r="MC143" i="1"/>
  <c r="MC147" i="1"/>
  <c r="MF147" i="1" s="1"/>
  <c r="DK38" i="5" s="1"/>
  <c r="MC163" i="1"/>
  <c r="MF163" i="1" s="1"/>
  <c r="DK54" i="5" s="1"/>
  <c r="MI62" i="1"/>
  <c r="LU149" i="1"/>
  <c r="MX147" i="1"/>
  <c r="MX155" i="1"/>
  <c r="ML132" i="1"/>
  <c r="MA65" i="1"/>
  <c r="MA83" i="1"/>
  <c r="LT57" i="1"/>
  <c r="DF35" i="5" s="1"/>
  <c r="LU74" i="1"/>
  <c r="LU86" i="1"/>
  <c r="LT146" i="1"/>
  <c r="LZ67" i="1"/>
  <c r="MF170" i="1"/>
  <c r="MS60" i="1"/>
  <c r="MS66" i="1"/>
  <c r="MR78" i="1"/>
  <c r="MS143" i="1"/>
  <c r="MS145" i="1"/>
  <c r="MS155" i="1"/>
  <c r="MS161" i="1"/>
  <c r="MS163" i="1"/>
  <c r="MY66" i="1"/>
  <c r="MY68" i="1"/>
  <c r="MY72" i="1"/>
  <c r="MX78" i="1"/>
  <c r="MX86" i="1"/>
  <c r="MY144" i="1"/>
  <c r="MY158" i="1"/>
  <c r="MY166" i="1"/>
  <c r="LU67" i="1"/>
  <c r="LT70" i="1"/>
  <c r="LU146" i="1"/>
  <c r="MA67" i="1"/>
  <c r="LZ165" i="1"/>
  <c r="MG168" i="1"/>
  <c r="ML78" i="1"/>
  <c r="ML83" i="1"/>
  <c r="MM171" i="1"/>
  <c r="MS72" i="1"/>
  <c r="MS78" i="1"/>
  <c r="MS84" i="1"/>
  <c r="MY78" i="1"/>
  <c r="MY80" i="1"/>
  <c r="MX149" i="1"/>
  <c r="MX153" i="1"/>
  <c r="LU82" i="1"/>
  <c r="LT85" i="1"/>
  <c r="LT144" i="1"/>
  <c r="LZ80" i="1"/>
  <c r="LZ82" i="1"/>
  <c r="MA165" i="1"/>
  <c r="MA167" i="1"/>
  <c r="MG80" i="1"/>
  <c r="MM72" i="1"/>
  <c r="ML159" i="1"/>
  <c r="DM50" i="5" s="1"/>
  <c r="MR148" i="1"/>
  <c r="MR166" i="1"/>
  <c r="MY57" i="1"/>
  <c r="MX61" i="1"/>
  <c r="MX65" i="1"/>
  <c r="MX71" i="1"/>
  <c r="MY161" i="1"/>
  <c r="MX165" i="1"/>
  <c r="MX167" i="1"/>
  <c r="MX171" i="1"/>
  <c r="LT97" i="1"/>
  <c r="LT123" i="1"/>
  <c r="LT126" i="1"/>
  <c r="LZ6" i="1"/>
  <c r="LZ58" i="1"/>
  <c r="DH36" i="5" s="1"/>
  <c r="LZ17" i="1"/>
  <c r="LZ24" i="1"/>
  <c r="LZ94" i="1"/>
  <c r="LZ102" i="1"/>
  <c r="LZ106" i="1"/>
  <c r="LZ114" i="1"/>
  <c r="LZ120" i="1"/>
  <c r="MF129" i="1"/>
  <c r="ML17" i="1"/>
  <c r="ML37" i="1"/>
  <c r="ML95" i="1"/>
  <c r="ML104" i="1"/>
  <c r="ML113" i="1"/>
  <c r="ML117" i="1"/>
  <c r="ML120" i="1"/>
  <c r="ML123" i="1"/>
  <c r="ML135" i="1"/>
  <c r="LR145" i="1"/>
  <c r="LU145" i="1" s="1"/>
  <c r="LU171" i="1"/>
  <c r="MA77" i="1"/>
  <c r="MA152" i="1"/>
  <c r="LX164" i="1"/>
  <c r="MA169" i="1"/>
  <c r="MG85" i="1"/>
  <c r="MJ149" i="1"/>
  <c r="ML149" i="1" s="1"/>
  <c r="DM42" i="5" s="1"/>
  <c r="LU56" i="1"/>
  <c r="LU68" i="1"/>
  <c r="LT74" i="1"/>
  <c r="DF52" i="5" s="1"/>
  <c r="DF80" i="5" s="1"/>
  <c r="LU85" i="1"/>
  <c r="MA68" i="1"/>
  <c r="LZ154" i="1"/>
  <c r="MG63" i="1"/>
  <c r="MG65" i="1"/>
  <c r="MF165" i="1"/>
  <c r="MS85" i="1"/>
  <c r="MS148" i="1"/>
  <c r="MS168" i="1"/>
  <c r="MS170" i="1"/>
  <c r="MX60" i="1"/>
  <c r="MX154" i="1"/>
  <c r="MX158" i="1"/>
  <c r="DD148" i="5"/>
  <c r="DD171" i="5"/>
  <c r="CZ161" i="5"/>
  <c r="RD63" i="4"/>
  <c r="LU80" i="1"/>
  <c r="LQ161" i="1"/>
  <c r="MA149" i="1"/>
  <c r="MF35" i="1"/>
  <c r="MI151" i="1"/>
  <c r="ML151" i="1" s="1"/>
  <c r="DM44" i="5" s="1"/>
  <c r="MI155" i="1"/>
  <c r="ML155" i="1" s="1"/>
  <c r="MI161" i="1"/>
  <c r="MS150" i="1"/>
  <c r="MS158" i="1"/>
  <c r="DM148" i="5"/>
  <c r="DM171" i="5"/>
  <c r="DB148" i="5"/>
  <c r="DB171" i="5"/>
  <c r="DB156" i="5"/>
  <c r="DE148" i="5"/>
  <c r="DE171" i="5"/>
  <c r="RD85" i="4"/>
  <c r="RL21" i="4"/>
  <c r="LU48" i="1"/>
  <c r="LU62" i="1"/>
  <c r="LU64" i="1"/>
  <c r="LT79" i="1"/>
  <c r="LU154" i="1"/>
  <c r="LT157" i="1"/>
  <c r="LR161" i="1"/>
  <c r="LR168" i="1"/>
  <c r="LU168" i="1" s="1"/>
  <c r="LU173" i="1"/>
  <c r="MA42" i="1"/>
  <c r="LX56" i="1"/>
  <c r="MA56" i="1" s="1"/>
  <c r="MA78" i="1"/>
  <c r="MA147" i="1"/>
  <c r="MA154" i="1"/>
  <c r="MG32" i="1"/>
  <c r="MG35" i="1"/>
  <c r="MC70" i="1"/>
  <c r="MF70" i="1" s="1"/>
  <c r="DJ48" i="5" s="1"/>
  <c r="MF79" i="1"/>
  <c r="MC85" i="1"/>
  <c r="MF85" i="1" s="1"/>
  <c r="DJ40" i="5" s="1"/>
  <c r="MG144" i="1"/>
  <c r="MC150" i="1"/>
  <c r="MC164" i="1"/>
  <c r="MF168" i="1"/>
  <c r="ML6" i="1"/>
  <c r="ML10" i="1"/>
  <c r="ML27" i="1"/>
  <c r="ML31" i="1"/>
  <c r="MI75" i="1"/>
  <c r="MM83" i="1"/>
  <c r="MI144" i="1"/>
  <c r="MJ151" i="1"/>
  <c r="MS62" i="1"/>
  <c r="MS64" i="1"/>
  <c r="MS68" i="1"/>
  <c r="MS70" i="1"/>
  <c r="MR80" i="1"/>
  <c r="MR82" i="1"/>
  <c r="MR86" i="1"/>
  <c r="MS172" i="1"/>
  <c r="MY70" i="1"/>
  <c r="MY74" i="1"/>
  <c r="MX82" i="1"/>
  <c r="MX162" i="1"/>
  <c r="DF171" i="5"/>
  <c r="DF148" i="5"/>
  <c r="DF156" i="5"/>
  <c r="DI148" i="5"/>
  <c r="DI171" i="5"/>
  <c r="DL161" i="5"/>
  <c r="LW173" i="1"/>
  <c r="LZ173" i="1" s="1"/>
  <c r="DI45" i="5" s="1"/>
  <c r="DJ161" i="5"/>
  <c r="DA161" i="5"/>
  <c r="DD161" i="5"/>
  <c r="QN56" i="4"/>
  <c r="DJ24" i="5" s="1"/>
  <c r="QN85" i="4"/>
  <c r="DK9" i="5" s="1"/>
  <c r="RD56" i="4"/>
  <c r="LT27" i="1"/>
  <c r="LU97" i="1"/>
  <c r="LX61" i="1"/>
  <c r="MA61" i="1" s="1"/>
  <c r="MA129" i="1"/>
  <c r="LX148" i="1"/>
  <c r="LZ148" i="1" s="1"/>
  <c r="DI39" i="5" s="1"/>
  <c r="LX163" i="1"/>
  <c r="MC66" i="1"/>
  <c r="MC77" i="1"/>
  <c r="MF94" i="1"/>
  <c r="MD150" i="1"/>
  <c r="MD164" i="1"/>
  <c r="MF164" i="1" s="1"/>
  <c r="DK55" i="5" s="1"/>
  <c r="MM10" i="1"/>
  <c r="ML24" i="1"/>
  <c r="MM27" i="1"/>
  <c r="MM31" i="1"/>
  <c r="ML47" i="1"/>
  <c r="ML51" i="1"/>
  <c r="MJ75" i="1"/>
  <c r="MM75" i="1" s="1"/>
  <c r="MJ144" i="1"/>
  <c r="MM144" i="1" s="1"/>
  <c r="MI170" i="1"/>
  <c r="MY146" i="1"/>
  <c r="MY156" i="1"/>
  <c r="DH161" i="5"/>
  <c r="DK161" i="5"/>
  <c r="X77" i="36"/>
  <c r="DK171" i="5"/>
  <c r="DK148" i="5"/>
  <c r="DC161" i="5"/>
  <c r="RL140" i="4"/>
  <c r="MF100" i="1"/>
  <c r="MF171" i="1"/>
  <c r="MS156" i="1"/>
  <c r="DG161" i="5"/>
  <c r="CZ171" i="5"/>
  <c r="CZ148" i="5"/>
  <c r="CZ156" i="5"/>
  <c r="DC148" i="5"/>
  <c r="DC171" i="5"/>
  <c r="DC156" i="5"/>
  <c r="RL56" i="4"/>
  <c r="RL85" i="4"/>
  <c r="RL97" i="4"/>
  <c r="RL133" i="4"/>
  <c r="LT35" i="1"/>
  <c r="LT39" i="1"/>
  <c r="LR65" i="1"/>
  <c r="LU65" i="1" s="1"/>
  <c r="LQ145" i="1"/>
  <c r="LU155" i="1"/>
  <c r="LZ57" i="1"/>
  <c r="DH35" i="5" s="1"/>
  <c r="LZ83" i="1"/>
  <c r="LZ144" i="1"/>
  <c r="LX161" i="1"/>
  <c r="MA161" i="1" s="1"/>
  <c r="MG68" i="1"/>
  <c r="MF126" i="1"/>
  <c r="MC148" i="1"/>
  <c r="MG154" i="1"/>
  <c r="MM47" i="1"/>
  <c r="MM51" i="1"/>
  <c r="MI158" i="1"/>
  <c r="ML158" i="1" s="1"/>
  <c r="DM49" i="5" s="1"/>
  <c r="MI164" i="1"/>
  <c r="ML164" i="1" s="1"/>
  <c r="DM55" i="5" s="1"/>
  <c r="MJ170" i="1"/>
  <c r="MS80" i="1"/>
  <c r="MS82" i="1"/>
  <c r="MS86" i="1"/>
  <c r="MY82" i="1"/>
  <c r="MY84" i="1"/>
  <c r="LT46" i="1"/>
  <c r="DG148" i="5"/>
  <c r="DG171" i="5"/>
  <c r="DJ148" i="5"/>
  <c r="DJ171" i="5"/>
  <c r="DJ156" i="5"/>
  <c r="DM161" i="5"/>
  <c r="X87" i="36"/>
  <c r="X64" i="36"/>
  <c r="AB64" i="36" s="1"/>
  <c r="DA148" i="5"/>
  <c r="DA171" i="5"/>
  <c r="DH148" i="5"/>
  <c r="DH171" i="5"/>
  <c r="LT48" i="1"/>
  <c r="MS152" i="1"/>
  <c r="DB161" i="5"/>
  <c r="DE161" i="5"/>
  <c r="PX15" i="4"/>
  <c r="DF10" i="5" s="1"/>
  <c r="PX39" i="4"/>
  <c r="DF21" i="5" s="1"/>
  <c r="PX44" i="4"/>
  <c r="DF23" i="5" s="1"/>
  <c r="PX61" i="4"/>
  <c r="DF26" i="5" s="1"/>
  <c r="PX140" i="4"/>
  <c r="DG13" i="5" s="1"/>
  <c r="RD68" i="4"/>
  <c r="RD128" i="4"/>
  <c r="RL13" i="4"/>
  <c r="LU39" i="1"/>
  <c r="LU63" i="1"/>
  <c r="LT80" i="1"/>
  <c r="LT86" i="1"/>
  <c r="MA50" i="1"/>
  <c r="MA66" i="1"/>
  <c r="LZ68" i="1"/>
  <c r="MA144" i="1"/>
  <c r="LZ151" i="1"/>
  <c r="MA155" i="1"/>
  <c r="LZ166" i="1"/>
  <c r="MA170" i="1"/>
  <c r="MF78" i="1"/>
  <c r="MF80" i="1"/>
  <c r="MF123" i="1"/>
  <c r="MF155" i="1"/>
  <c r="MM67" i="1"/>
  <c r="MR60" i="1"/>
  <c r="MS73" i="1"/>
  <c r="MS75" i="1"/>
  <c r="MR150" i="1"/>
  <c r="MR152" i="1"/>
  <c r="MR156" i="1"/>
  <c r="MR158" i="1"/>
  <c r="MY62" i="1"/>
  <c r="MX68" i="1"/>
  <c r="MY75" i="1"/>
  <c r="MX79" i="1"/>
  <c r="MY151" i="1"/>
  <c r="MY153" i="1"/>
  <c r="MX159" i="1"/>
  <c r="MX161" i="1"/>
  <c r="MY164" i="1"/>
  <c r="LR163" i="1"/>
  <c r="DF161" i="5"/>
  <c r="DG156" i="5"/>
  <c r="DI161" i="5"/>
  <c r="DL171" i="5"/>
  <c r="DL148" i="5"/>
  <c r="DL156" i="5"/>
  <c r="U164" i="36"/>
  <c r="U172" i="36"/>
  <c r="U166" i="36"/>
  <c r="V157" i="36"/>
  <c r="V165" i="36"/>
  <c r="V173" i="36"/>
  <c r="DN153" i="5"/>
  <c r="DO153" i="5" s="1"/>
  <c r="DP153" i="5" s="1"/>
  <c r="DN163" i="5"/>
  <c r="DO163" i="5" s="1"/>
  <c r="DP163" i="5" s="1"/>
  <c r="DN169" i="5"/>
  <c r="DO169" i="5" s="1"/>
  <c r="DP169" i="5" s="1"/>
  <c r="U156" i="36"/>
  <c r="U158" i="36"/>
  <c r="U168" i="36"/>
  <c r="U174" i="36"/>
  <c r="V160" i="36"/>
  <c r="V170" i="36"/>
  <c r="V176" i="36"/>
  <c r="DN150" i="5"/>
  <c r="DO150" i="5" s="1"/>
  <c r="DP150" i="5" s="1"/>
  <c r="DQ150" i="5" s="1"/>
  <c r="W156" i="36" s="1"/>
  <c r="DN158" i="5"/>
  <c r="DO158" i="5" s="1"/>
  <c r="DP158" i="5" s="1"/>
  <c r="DN166" i="5"/>
  <c r="DO166" i="5" s="1"/>
  <c r="DP166" i="5" s="1"/>
  <c r="DN160" i="5"/>
  <c r="DO160" i="5" s="1"/>
  <c r="DP160" i="5" s="1"/>
  <c r="DN22" i="5"/>
  <c r="DO22" i="5" s="1"/>
  <c r="V24" i="36"/>
  <c r="MG167" i="1"/>
  <c r="MF167" i="1"/>
  <c r="LW77" i="1"/>
  <c r="LZ77" i="1" s="1"/>
  <c r="DH55" i="5" s="1"/>
  <c r="LZ42" i="1"/>
  <c r="LZ50" i="1"/>
  <c r="LW85" i="1"/>
  <c r="LZ85" i="1" s="1"/>
  <c r="DH40" i="5" s="1"/>
  <c r="LW161" i="1"/>
  <c r="LZ123" i="1"/>
  <c r="LW163" i="1"/>
  <c r="LZ163" i="1" s="1"/>
  <c r="DI54" i="5" s="1"/>
  <c r="LZ126" i="1"/>
  <c r="LZ129" i="1"/>
  <c r="LW164" i="1"/>
  <c r="LZ164" i="1" s="1"/>
  <c r="DI55" i="5" s="1"/>
  <c r="U157" i="36"/>
  <c r="U165" i="36"/>
  <c r="U173" i="36"/>
  <c r="V18" i="36"/>
  <c r="V27" i="36"/>
  <c r="QF68" i="4"/>
  <c r="DH13" i="5" s="1"/>
  <c r="QN10" i="4"/>
  <c r="DJ8" i="5" s="1"/>
  <c r="QN35" i="4"/>
  <c r="DJ20" i="5" s="1"/>
  <c r="QN61" i="4"/>
  <c r="DJ26" i="5" s="1"/>
  <c r="QV68" i="4"/>
  <c r="DL13" i="5" s="1"/>
  <c r="QV82" i="4"/>
  <c r="DM8" i="5" s="1"/>
  <c r="QV116" i="4"/>
  <c r="DM23" i="5" s="1"/>
  <c r="RD10" i="4"/>
  <c r="RD15" i="4"/>
  <c r="RD107" i="4"/>
  <c r="RD133" i="4"/>
  <c r="RL44" i="4"/>
  <c r="RL61" i="4"/>
  <c r="RL93" i="4"/>
  <c r="RL107" i="4"/>
  <c r="RL128" i="4"/>
  <c r="LU59" i="1"/>
  <c r="LU71" i="1"/>
  <c r="LT82" i="1"/>
  <c r="LU143" i="1"/>
  <c r="LT155" i="1"/>
  <c r="LZ31" i="1"/>
  <c r="LZ34" i="1"/>
  <c r="LZ37" i="1"/>
  <c r="LZ74" i="1"/>
  <c r="DH52" i="5" s="1"/>
  <c r="LZ134" i="1"/>
  <c r="LW148" i="1"/>
  <c r="LW152" i="1"/>
  <c r="LZ152" i="1" s="1"/>
  <c r="MY59" i="1"/>
  <c r="MX59" i="1"/>
  <c r="MY85" i="1"/>
  <c r="MX85" i="1"/>
  <c r="LU73" i="1"/>
  <c r="V20" i="36"/>
  <c r="QF128" i="4"/>
  <c r="DI24" i="5" s="1"/>
  <c r="DJ72" i="5"/>
  <c r="RD111" i="4"/>
  <c r="LT67" i="1"/>
  <c r="LT118" i="1"/>
  <c r="LT136" i="1"/>
  <c r="LW61" i="1"/>
  <c r="DH71" i="5"/>
  <c r="LW158" i="1"/>
  <c r="LZ158" i="1" s="1"/>
  <c r="DI49" i="5" s="1"/>
  <c r="MS147" i="1"/>
  <c r="MR147" i="1"/>
  <c r="DK72" i="5"/>
  <c r="DF138" i="5"/>
  <c r="U175" i="36"/>
  <c r="V19" i="36"/>
  <c r="DN16" i="5"/>
  <c r="DO16" i="5" s="1"/>
  <c r="DP16" i="5" s="1"/>
  <c r="QF39" i="4"/>
  <c r="DH21" i="5" s="1"/>
  <c r="QF44" i="4"/>
  <c r="DH23" i="5" s="1"/>
  <c r="QF56" i="4"/>
  <c r="DH24" i="5" s="1"/>
  <c r="DN25" i="5"/>
  <c r="DI72" i="5"/>
  <c r="QF133" i="4"/>
  <c r="DI26" i="5" s="1"/>
  <c r="QN111" i="4"/>
  <c r="DK21" i="5" s="1"/>
  <c r="QV39" i="4"/>
  <c r="DL21" i="5" s="1"/>
  <c r="QV44" i="4"/>
  <c r="DL23" i="5" s="1"/>
  <c r="RD17" i="4"/>
  <c r="RD25" i="4"/>
  <c r="RD39" i="4"/>
  <c r="RD61" i="4"/>
  <c r="RL35" i="4"/>
  <c r="RL111" i="4"/>
  <c r="LU66" i="1"/>
  <c r="LZ10" i="1"/>
  <c r="MS59" i="1"/>
  <c r="MR59" i="1"/>
  <c r="MY67" i="1"/>
  <c r="MX67" i="1"/>
  <c r="U169" i="36"/>
  <c r="U160" i="36"/>
  <c r="U170" i="36"/>
  <c r="U176" i="36"/>
  <c r="PX35" i="4"/>
  <c r="DF20" i="5" s="1"/>
  <c r="QF61" i="4"/>
  <c r="DH26" i="5" s="1"/>
  <c r="DN18" i="5"/>
  <c r="QF107" i="4"/>
  <c r="DI20" i="5" s="1"/>
  <c r="QV61" i="4"/>
  <c r="DL26" i="5" s="1"/>
  <c r="RD35" i="4"/>
  <c r="RD82" i="4"/>
  <c r="RD89" i="4"/>
  <c r="RL25" i="4"/>
  <c r="RL68" i="4"/>
  <c r="RL82" i="4"/>
  <c r="LT68" i="1"/>
  <c r="LU70" i="1"/>
  <c r="LU144" i="1"/>
  <c r="MA81" i="1"/>
  <c r="LW143" i="1"/>
  <c r="LZ143" i="1" s="1"/>
  <c r="DI34" i="5" s="1"/>
  <c r="LW147" i="1"/>
  <c r="LZ147" i="1" s="1"/>
  <c r="DI38" i="5" s="1"/>
  <c r="MS165" i="1"/>
  <c r="MR165" i="1"/>
  <c r="MY168" i="1"/>
  <c r="MG67" i="1"/>
  <c r="MF67" i="1"/>
  <c r="U159" i="36"/>
  <c r="U155" i="36"/>
  <c r="U163" i="36"/>
  <c r="U171" i="36"/>
  <c r="U161" i="36"/>
  <c r="PX8" i="4"/>
  <c r="DF7" i="5" s="1"/>
  <c r="PX68" i="4"/>
  <c r="DF13" i="5" s="1"/>
  <c r="QF13" i="4"/>
  <c r="DH9" i="5" s="1"/>
  <c r="DN17" i="5"/>
  <c r="QF35" i="4"/>
  <c r="DH20" i="5" s="1"/>
  <c r="QF138" i="4"/>
  <c r="DI28" i="5" s="1"/>
  <c r="QN39" i="4"/>
  <c r="DJ21" i="5" s="1"/>
  <c r="QN44" i="4"/>
  <c r="DJ23" i="5" s="1"/>
  <c r="DJ78" i="5" s="1"/>
  <c r="QV17" i="4"/>
  <c r="DL11" i="5" s="1"/>
  <c r="QV35" i="4"/>
  <c r="DL20" i="5" s="1"/>
  <c r="RD13" i="4"/>
  <c r="RD97" i="4"/>
  <c r="RD116" i="4"/>
  <c r="RD135" i="4"/>
  <c r="RD140" i="4"/>
  <c r="RL63" i="4"/>
  <c r="RL89" i="4"/>
  <c r="RL116" i="4"/>
  <c r="RL135" i="4"/>
  <c r="LU61" i="1"/>
  <c r="LT63" i="1"/>
  <c r="LU158" i="1"/>
  <c r="LU165" i="1"/>
  <c r="LW56" i="1"/>
  <c r="LW62" i="1"/>
  <c r="LZ62" i="1" s="1"/>
  <c r="DH42" i="5" s="1"/>
  <c r="LZ78" i="1"/>
  <c r="LZ155" i="1"/>
  <c r="LZ170" i="1"/>
  <c r="MM154" i="1"/>
  <c r="ML154" i="1"/>
  <c r="MS77" i="1"/>
  <c r="MR77" i="1"/>
  <c r="MY77" i="1"/>
  <c r="MX77" i="1"/>
  <c r="MG41" i="1"/>
  <c r="MF41" i="1"/>
  <c r="MD77" i="1"/>
  <c r="MD143" i="1"/>
  <c r="MF93" i="1"/>
  <c r="MD145" i="1"/>
  <c r="MG97" i="1"/>
  <c r="MF97" i="1"/>
  <c r="MD147" i="1"/>
  <c r="MG147" i="1" s="1"/>
  <c r="MF102" i="1"/>
  <c r="MD148" i="1"/>
  <c r="MF105" i="1"/>
  <c r="MD149" i="1"/>
  <c r="MF149" i="1" s="1"/>
  <c r="DK42" i="5" s="1"/>
  <c r="MF108" i="1"/>
  <c r="MD173" i="1"/>
  <c r="MF173" i="1" s="1"/>
  <c r="DK45" i="5" s="1"/>
  <c r="MF138" i="1"/>
  <c r="MM9" i="1"/>
  <c r="MJ57" i="1"/>
  <c r="ML57" i="1" s="1"/>
  <c r="DL35" i="5" s="1"/>
  <c r="ML9" i="1"/>
  <c r="MM15" i="1"/>
  <c r="ML15" i="1"/>
  <c r="MJ60" i="1"/>
  <c r="ML60" i="1" s="1"/>
  <c r="DL38" i="5" s="1"/>
  <c r="ML23" i="1"/>
  <c r="MJ62" i="1"/>
  <c r="ML62" i="1" s="1"/>
  <c r="DL42" i="5" s="1"/>
  <c r="ML26" i="1"/>
  <c r="MJ64" i="1"/>
  <c r="MM64" i="1" s="1"/>
  <c r="MM30" i="1"/>
  <c r="MK68" i="1"/>
  <c r="ML30" i="1"/>
  <c r="MJ68" i="1"/>
  <c r="MM33" i="1"/>
  <c r="ML33" i="1"/>
  <c r="MM36" i="1"/>
  <c r="ML36" i="1"/>
  <c r="MJ74" i="1"/>
  <c r="MM39" i="1"/>
  <c r="ML39" i="1"/>
  <c r="MJ76" i="1"/>
  <c r="ML76" i="1" s="1"/>
  <c r="DL54" i="5" s="1"/>
  <c r="MJ81" i="1"/>
  <c r="MM81" i="1" s="1"/>
  <c r="MM46" i="1"/>
  <c r="MJ85" i="1"/>
  <c r="MM50" i="1"/>
  <c r="ML50" i="1"/>
  <c r="MJ143" i="1"/>
  <c r="MM143" i="1" s="1"/>
  <c r="MM94" i="1"/>
  <c r="MM99" i="1"/>
  <c r="MJ145" i="1"/>
  <c r="MM145" i="1" s="1"/>
  <c r="ML99" i="1"/>
  <c r="MJ147" i="1"/>
  <c r="MM147" i="1" s="1"/>
  <c r="MM103" i="1"/>
  <c r="MM107" i="1"/>
  <c r="ML107" i="1"/>
  <c r="MJ148" i="1"/>
  <c r="MM148" i="1" s="1"/>
  <c r="LU147" i="1"/>
  <c r="LT151" i="1"/>
  <c r="LT158" i="1"/>
  <c r="LU162" i="1"/>
  <c r="MA71" i="1"/>
  <c r="LZ81" i="1"/>
  <c r="MA143" i="1"/>
  <c r="MA145" i="1"/>
  <c r="MA151" i="1"/>
  <c r="MA153" i="1"/>
  <c r="LZ162" i="1"/>
  <c r="DI53" i="5" s="1"/>
  <c r="MG79" i="1"/>
  <c r="MF144" i="1"/>
  <c r="DK35" i="5" s="1"/>
  <c r="MF152" i="1"/>
  <c r="MF154" i="1"/>
  <c r="MR72" i="1"/>
  <c r="MR160" i="1"/>
  <c r="MX66" i="1"/>
  <c r="MX74" i="1"/>
  <c r="MX84" i="1"/>
  <c r="MX144" i="1"/>
  <c r="MX146" i="1"/>
  <c r="MY149" i="1"/>
  <c r="MY152" i="1"/>
  <c r="MY157" i="1"/>
  <c r="MY159" i="1"/>
  <c r="MX164" i="1"/>
  <c r="MY167" i="1"/>
  <c r="MY170" i="1"/>
  <c r="LT40" i="1"/>
  <c r="MF64" i="1"/>
  <c r="MF166" i="1"/>
  <c r="MG169" i="1"/>
  <c r="ML70" i="1"/>
  <c r="DL48" i="5" s="1"/>
  <c r="ML153" i="1"/>
  <c r="MR56" i="1"/>
  <c r="MR58" i="1"/>
  <c r="MS61" i="1"/>
  <c r="MS63" i="1"/>
  <c r="MS65" i="1"/>
  <c r="MR74" i="1"/>
  <c r="MR76" i="1"/>
  <c r="MS79" i="1"/>
  <c r="MS81" i="1"/>
  <c r="MS83" i="1"/>
  <c r="MR144" i="1"/>
  <c r="MR146" i="1"/>
  <c r="MS149" i="1"/>
  <c r="MS151" i="1"/>
  <c r="MS153" i="1"/>
  <c r="MR162" i="1"/>
  <c r="MR164" i="1"/>
  <c r="MS167" i="1"/>
  <c r="MS169" i="1"/>
  <c r="MS171" i="1"/>
  <c r="MX56" i="1"/>
  <c r="MX58" i="1"/>
  <c r="MY61" i="1"/>
  <c r="MY69" i="1"/>
  <c r="MY71" i="1"/>
  <c r="MX76" i="1"/>
  <c r="MY79" i="1"/>
  <c r="MX148" i="1"/>
  <c r="MX156" i="1"/>
  <c r="MX166" i="1"/>
  <c r="LT121" i="1"/>
  <c r="LT72" i="1"/>
  <c r="DF50" i="5" s="1"/>
  <c r="MG64" i="1"/>
  <c r="MG166" i="1"/>
  <c r="ML79" i="1"/>
  <c r="MS56" i="1"/>
  <c r="MS58" i="1"/>
  <c r="MR65" i="1"/>
  <c r="MS74" i="1"/>
  <c r="MS76" i="1"/>
  <c r="MR83" i="1"/>
  <c r="MS144" i="1"/>
  <c r="MS146" i="1"/>
  <c r="MR153" i="1"/>
  <c r="MS157" i="1"/>
  <c r="MS159" i="1"/>
  <c r="MS162" i="1"/>
  <c r="MS164" i="1"/>
  <c r="MR168" i="1"/>
  <c r="MR170" i="1"/>
  <c r="MS173" i="1"/>
  <c r="MY58" i="1"/>
  <c r="MY63" i="1"/>
  <c r="MY65" i="1"/>
  <c r="MX70" i="1"/>
  <c r="MY73" i="1"/>
  <c r="MY76" i="1"/>
  <c r="MY81" i="1"/>
  <c r="MY83" i="1"/>
  <c r="MY143" i="1"/>
  <c r="MX150" i="1"/>
  <c r="MX160" i="1"/>
  <c r="MX168" i="1"/>
  <c r="LT93" i="1"/>
  <c r="LQ163" i="1"/>
  <c r="LU150" i="1"/>
  <c r="LU157" i="1"/>
  <c r="LZ71" i="1"/>
  <c r="DH49" i="5" s="1"/>
  <c r="MA80" i="1"/>
  <c r="MA82" i="1"/>
  <c r="MG78" i="1"/>
  <c r="MG151" i="1"/>
  <c r="MF153" i="1"/>
  <c r="MG155" i="1"/>
  <c r="ML69" i="1"/>
  <c r="DL47" i="5" s="1"/>
  <c r="ML77" i="1"/>
  <c r="DL55" i="5" s="1"/>
  <c r="MR66" i="1"/>
  <c r="MR84" i="1"/>
  <c r="MR154" i="1"/>
  <c r="MR172" i="1"/>
  <c r="MX62" i="1"/>
  <c r="MX72" i="1"/>
  <c r="MX80" i="1"/>
  <c r="MY145" i="1"/>
  <c r="MY147" i="1"/>
  <c r="MX152" i="1"/>
  <c r="MY155" i="1"/>
  <c r="MY163" i="1"/>
  <c r="MY165" i="1"/>
  <c r="MX170" i="1"/>
  <c r="MY173" i="1"/>
  <c r="LT160" i="1"/>
  <c r="DG51" i="5" s="1"/>
  <c r="LT166" i="1"/>
  <c r="V156" i="36"/>
  <c r="V164" i="36"/>
  <c r="V172" i="36"/>
  <c r="V166" i="36"/>
  <c r="DN152" i="5"/>
  <c r="DO152" i="5" s="1"/>
  <c r="DN162" i="5"/>
  <c r="DN168" i="5"/>
  <c r="DO168" i="5" s="1"/>
  <c r="LT137" i="1"/>
  <c r="V159" i="36"/>
  <c r="V169" i="36"/>
  <c r="V175" i="36"/>
  <c r="DN149" i="5"/>
  <c r="DN157" i="5"/>
  <c r="DN165" i="5"/>
  <c r="DO165" i="5" s="1"/>
  <c r="DP165" i="5" s="1"/>
  <c r="DN155" i="5"/>
  <c r="DO155" i="5" s="1"/>
  <c r="V155" i="36"/>
  <c r="V163" i="36"/>
  <c r="V171" i="36"/>
  <c r="V161" i="36"/>
  <c r="DN151" i="5"/>
  <c r="DO151" i="5" s="1"/>
  <c r="DN159" i="5"/>
  <c r="DO159" i="5" s="1"/>
  <c r="DN167" i="5"/>
  <c r="DO167" i="5" s="1"/>
  <c r="V158" i="36"/>
  <c r="V168" i="36"/>
  <c r="V174" i="36"/>
  <c r="DN154" i="5"/>
  <c r="DO154" i="5" s="1"/>
  <c r="DN164" i="5"/>
  <c r="DO164" i="5" s="1"/>
  <c r="DN170" i="5"/>
  <c r="DO170" i="5" s="1"/>
  <c r="MM173" i="1"/>
  <c r="ML173" i="1"/>
  <c r="DM45" i="5" s="1"/>
  <c r="MM172" i="1"/>
  <c r="ML172" i="1"/>
  <c r="DM40" i="5" s="1"/>
  <c r="ML171" i="1"/>
  <c r="MM170" i="1"/>
  <c r="MM169" i="1"/>
  <c r="ML169" i="1"/>
  <c r="ML134" i="1"/>
  <c r="MM168" i="1"/>
  <c r="ML168" i="1"/>
  <c r="MM167" i="1"/>
  <c r="ML167" i="1"/>
  <c r="MM166" i="1"/>
  <c r="ML166" i="1"/>
  <c r="MM165" i="1"/>
  <c r="ML165" i="1"/>
  <c r="MM164" i="1"/>
  <c r="MM162" i="1"/>
  <c r="ML162" i="1"/>
  <c r="DM53" i="5" s="1"/>
  <c r="MM161" i="1"/>
  <c r="ML161" i="1"/>
  <c r="DM52" i="5" s="1"/>
  <c r="MM160" i="1"/>
  <c r="ML160" i="1"/>
  <c r="DM51" i="5" s="1"/>
  <c r="MM159" i="1"/>
  <c r="MM158" i="1"/>
  <c r="MM157" i="1"/>
  <c r="ML157" i="1"/>
  <c r="DM48" i="5" s="1"/>
  <c r="MM156" i="1"/>
  <c r="ML156" i="1"/>
  <c r="DM47" i="5" s="1"/>
  <c r="MM155" i="1"/>
  <c r="MM153" i="1"/>
  <c r="MM152" i="1"/>
  <c r="ML152" i="1"/>
  <c r="MM151" i="1"/>
  <c r="MM150" i="1"/>
  <c r="ML150" i="1"/>
  <c r="DM43" i="5" s="1"/>
  <c r="MM149" i="1"/>
  <c r="ML109" i="1"/>
  <c r="MM109" i="1"/>
  <c r="ML148" i="1"/>
  <c r="DM39" i="5" s="1"/>
  <c r="MM146" i="1"/>
  <c r="ML146" i="1"/>
  <c r="DM37" i="5" s="1"/>
  <c r="MM86" i="1"/>
  <c r="ML86" i="1"/>
  <c r="DL45" i="5" s="1"/>
  <c r="MM85" i="1"/>
  <c r="ML85" i="1"/>
  <c r="DL40" i="5" s="1"/>
  <c r="MM84" i="1"/>
  <c r="ML84" i="1"/>
  <c r="MM82" i="1"/>
  <c r="ML82" i="1"/>
  <c r="MM80" i="1"/>
  <c r="ML80" i="1"/>
  <c r="MM77" i="1"/>
  <c r="ML75" i="1"/>
  <c r="DL53" i="5" s="1"/>
  <c r="MM74" i="1"/>
  <c r="ML74" i="1"/>
  <c r="DL52" i="5" s="1"/>
  <c r="MM73" i="1"/>
  <c r="ML73" i="1"/>
  <c r="DL51" i="5" s="1"/>
  <c r="ML72" i="1"/>
  <c r="DL50" i="5" s="1"/>
  <c r="MM71" i="1"/>
  <c r="ML71" i="1"/>
  <c r="DL49" i="5" s="1"/>
  <c r="MM70" i="1"/>
  <c r="MM69" i="1"/>
  <c r="MM66" i="1"/>
  <c r="ML66" i="1"/>
  <c r="MM65" i="1"/>
  <c r="ML65" i="1"/>
  <c r="MM63" i="1"/>
  <c r="ML63" i="1"/>
  <c r="DL43" i="5" s="1"/>
  <c r="MM61" i="1"/>
  <c r="ML61" i="1"/>
  <c r="DL39" i="5" s="1"/>
  <c r="MM60" i="1"/>
  <c r="MM59" i="1"/>
  <c r="ML59" i="1"/>
  <c r="DL37" i="5" s="1"/>
  <c r="MM58" i="1"/>
  <c r="ML58" i="1"/>
  <c r="DL36" i="5" s="1"/>
  <c r="MM57" i="1"/>
  <c r="MM56" i="1"/>
  <c r="QV140" i="4"/>
  <c r="DM13" i="5" s="1"/>
  <c r="QV138" i="4"/>
  <c r="DM28" i="5" s="1"/>
  <c r="QV135" i="4"/>
  <c r="DM27" i="5" s="1"/>
  <c r="QV133" i="4"/>
  <c r="DM26" i="5" s="1"/>
  <c r="QV128" i="4"/>
  <c r="DM24" i="5" s="1"/>
  <c r="QV111" i="4"/>
  <c r="DM21" i="5" s="1"/>
  <c r="QV107" i="4"/>
  <c r="DM20" i="5" s="1"/>
  <c r="QV97" i="4"/>
  <c r="DM15" i="5" s="1"/>
  <c r="DM14" i="5" s="1"/>
  <c r="QV93" i="4"/>
  <c r="DM12" i="5" s="1"/>
  <c r="QV89" i="4"/>
  <c r="DM11" i="5" s="1"/>
  <c r="QV87" i="4"/>
  <c r="DM10" i="5" s="1"/>
  <c r="QV85" i="4"/>
  <c r="DM9" i="5" s="1"/>
  <c r="QV80" i="4"/>
  <c r="DM7" i="5" s="1"/>
  <c r="QV66" i="4"/>
  <c r="DL28" i="5" s="1"/>
  <c r="QV63" i="4"/>
  <c r="DL27" i="5" s="1"/>
  <c r="QV56" i="4"/>
  <c r="DL24" i="5" s="1"/>
  <c r="QV25" i="4"/>
  <c r="DL15" i="5" s="1"/>
  <c r="DL14" i="5" s="1"/>
  <c r="QV21" i="4"/>
  <c r="DL12" i="5" s="1"/>
  <c r="QV15" i="4"/>
  <c r="DL10" i="5" s="1"/>
  <c r="QV13" i="4"/>
  <c r="DL9" i="5" s="1"/>
  <c r="QV10" i="4"/>
  <c r="DL8" i="5" s="1"/>
  <c r="QV8" i="4"/>
  <c r="DL7" i="5" s="1"/>
  <c r="MG173" i="1"/>
  <c r="MG172" i="1"/>
  <c r="MF172" i="1"/>
  <c r="DK40" i="5" s="1"/>
  <c r="MG163" i="1"/>
  <c r="MG162" i="1"/>
  <c r="MF162" i="1"/>
  <c r="DK53" i="5" s="1"/>
  <c r="MG161" i="1"/>
  <c r="MF161" i="1"/>
  <c r="DK52" i="5" s="1"/>
  <c r="MG160" i="1"/>
  <c r="MF160" i="1"/>
  <c r="DK51" i="5" s="1"/>
  <c r="MG159" i="1"/>
  <c r="MF158" i="1"/>
  <c r="DK49" i="5" s="1"/>
  <c r="MG158" i="1"/>
  <c r="MG157" i="1"/>
  <c r="MG156" i="1"/>
  <c r="MF156" i="1"/>
  <c r="DK47" i="5" s="1"/>
  <c r="MG150" i="1"/>
  <c r="MF148" i="1"/>
  <c r="DK39" i="5" s="1"/>
  <c r="MG148" i="1"/>
  <c r="MF146" i="1"/>
  <c r="DK37" i="5" s="1"/>
  <c r="MG146" i="1"/>
  <c r="MG145" i="1"/>
  <c r="MG143" i="1"/>
  <c r="MF143" i="1"/>
  <c r="DK34" i="5" s="1"/>
  <c r="MG86" i="1"/>
  <c r="MF86" i="1"/>
  <c r="DJ45" i="5" s="1"/>
  <c r="MF84" i="1"/>
  <c r="MG84" i="1"/>
  <c r="MG82" i="1"/>
  <c r="MF82" i="1"/>
  <c r="MG81" i="1"/>
  <c r="MG77" i="1"/>
  <c r="MG76" i="1"/>
  <c r="MG75" i="1"/>
  <c r="MG74" i="1"/>
  <c r="MF74" i="1"/>
  <c r="DJ52" i="5" s="1"/>
  <c r="MG73" i="1"/>
  <c r="MF73" i="1"/>
  <c r="DJ51" i="5" s="1"/>
  <c r="MG71" i="1"/>
  <c r="MG72" i="1"/>
  <c r="MG70" i="1"/>
  <c r="MG69" i="1"/>
  <c r="MF68" i="1"/>
  <c r="MF66" i="1"/>
  <c r="MG66" i="1"/>
  <c r="MG62" i="1"/>
  <c r="MF62" i="1"/>
  <c r="DJ42" i="5" s="1"/>
  <c r="MG61" i="1"/>
  <c r="MF61" i="1"/>
  <c r="DJ39" i="5" s="1"/>
  <c r="MF60" i="1"/>
  <c r="DJ38" i="5" s="1"/>
  <c r="MG60" i="1"/>
  <c r="MG59" i="1"/>
  <c r="MF58" i="1"/>
  <c r="DJ36" i="5" s="1"/>
  <c r="MG58" i="1"/>
  <c r="MG57" i="1"/>
  <c r="MG56" i="1"/>
  <c r="MF56" i="1"/>
  <c r="DJ34" i="5" s="1"/>
  <c r="QN140" i="4"/>
  <c r="DK13" i="5" s="1"/>
  <c r="QN138" i="4"/>
  <c r="DK28" i="5" s="1"/>
  <c r="QN135" i="4"/>
  <c r="DK27" i="5" s="1"/>
  <c r="QN133" i="4"/>
  <c r="DK26" i="5" s="1"/>
  <c r="QN116" i="4"/>
  <c r="DK23" i="5" s="1"/>
  <c r="QN107" i="4"/>
  <c r="DK20" i="5" s="1"/>
  <c r="QN97" i="4"/>
  <c r="DK15" i="5" s="1"/>
  <c r="DK14" i="5" s="1"/>
  <c r="QN93" i="4"/>
  <c r="DK12" i="5" s="1"/>
  <c r="QN89" i="4"/>
  <c r="DK11" i="5" s="1"/>
  <c r="QN87" i="4"/>
  <c r="DK10" i="5" s="1"/>
  <c r="QN80" i="4"/>
  <c r="DK7" i="5" s="1"/>
  <c r="QN82" i="4"/>
  <c r="DK8" i="5" s="1"/>
  <c r="QN66" i="4"/>
  <c r="DJ28" i="5" s="1"/>
  <c r="QN63" i="4"/>
  <c r="DJ27" i="5" s="1"/>
  <c r="QN25" i="4"/>
  <c r="DJ15" i="5" s="1"/>
  <c r="DJ14" i="5" s="1"/>
  <c r="QN21" i="4"/>
  <c r="DJ12" i="5" s="1"/>
  <c r="QN17" i="4"/>
  <c r="DJ11" i="5" s="1"/>
  <c r="QN15" i="4"/>
  <c r="DJ10" i="5" s="1"/>
  <c r="QN8" i="4"/>
  <c r="DJ7" i="5" s="1"/>
  <c r="MA173" i="1"/>
  <c r="MA172" i="1"/>
  <c r="LZ172" i="1"/>
  <c r="DI40" i="5" s="1"/>
  <c r="MA171" i="1"/>
  <c r="LZ169" i="1"/>
  <c r="MA168" i="1"/>
  <c r="LZ167" i="1"/>
  <c r="MA164" i="1"/>
  <c r="MA163" i="1"/>
  <c r="MA162" i="1"/>
  <c r="MA160" i="1"/>
  <c r="LZ160" i="1"/>
  <c r="DI51" i="5" s="1"/>
  <c r="LZ159" i="1"/>
  <c r="DI50" i="5" s="1"/>
  <c r="MA158" i="1"/>
  <c r="MA157" i="1"/>
  <c r="LZ157" i="1"/>
  <c r="DI48" i="5" s="1"/>
  <c r="MA156" i="1"/>
  <c r="LZ156" i="1"/>
  <c r="DI47" i="5" s="1"/>
  <c r="LZ153" i="1"/>
  <c r="MA150" i="1"/>
  <c r="LZ150" i="1"/>
  <c r="DI43" i="5" s="1"/>
  <c r="LZ149" i="1"/>
  <c r="DI42" i="5" s="1"/>
  <c r="MA148" i="1"/>
  <c r="LZ145" i="1"/>
  <c r="DI36" i="5" s="1"/>
  <c r="MA86" i="1"/>
  <c r="LZ86" i="1"/>
  <c r="DH45" i="5" s="1"/>
  <c r="MA85" i="1"/>
  <c r="MA84" i="1"/>
  <c r="LZ84" i="1"/>
  <c r="MA79" i="1"/>
  <c r="LZ79" i="1"/>
  <c r="MA76" i="1"/>
  <c r="LZ76" i="1"/>
  <c r="DH54" i="5" s="1"/>
  <c r="MA75" i="1"/>
  <c r="LZ75" i="1"/>
  <c r="DH53" i="5" s="1"/>
  <c r="MA74" i="1"/>
  <c r="MA73" i="1"/>
  <c r="LZ73" i="1"/>
  <c r="DH51" i="5" s="1"/>
  <c r="MA72" i="1"/>
  <c r="LZ72" i="1"/>
  <c r="DH50" i="5" s="1"/>
  <c r="MA70" i="1"/>
  <c r="LZ70" i="1"/>
  <c r="DH48" i="5" s="1"/>
  <c r="MA69" i="1"/>
  <c r="LZ69" i="1"/>
  <c r="DH47" i="5" s="1"/>
  <c r="MA64" i="1"/>
  <c r="LZ64" i="1"/>
  <c r="DH44" i="5" s="1"/>
  <c r="V46" i="36" s="1"/>
  <c r="MA63" i="1"/>
  <c r="MA62" i="1"/>
  <c r="MA60" i="1"/>
  <c r="LZ60" i="1"/>
  <c r="DH38" i="5" s="1"/>
  <c r="MA59" i="1"/>
  <c r="LZ59" i="1"/>
  <c r="DH37" i="5" s="1"/>
  <c r="MA58" i="1"/>
  <c r="MA57" i="1"/>
  <c r="QF135" i="4"/>
  <c r="DI27" i="5" s="1"/>
  <c r="QF97" i="4"/>
  <c r="DI15" i="5" s="1"/>
  <c r="DI14" i="5" s="1"/>
  <c r="QF93" i="4"/>
  <c r="DI12" i="5" s="1"/>
  <c r="QF89" i="4"/>
  <c r="DI11" i="5" s="1"/>
  <c r="QF87" i="4"/>
  <c r="DI10" i="5" s="1"/>
  <c r="QF85" i="4"/>
  <c r="DI9" i="5" s="1"/>
  <c r="QF82" i="4"/>
  <c r="DI8" i="5" s="1"/>
  <c r="QF80" i="4"/>
  <c r="DI7" i="5" s="1"/>
  <c r="QF66" i="4"/>
  <c r="DH28" i="5" s="1"/>
  <c r="QF63" i="4"/>
  <c r="DH27" i="5" s="1"/>
  <c r="QF25" i="4"/>
  <c r="DH15" i="5" s="1"/>
  <c r="DH14" i="5" s="1"/>
  <c r="QF21" i="4"/>
  <c r="DH12" i="5" s="1"/>
  <c r="QF15" i="4"/>
  <c r="DH10" i="5" s="1"/>
  <c r="QF10" i="4"/>
  <c r="DH8" i="5" s="1"/>
  <c r="QF8" i="4"/>
  <c r="DH7" i="5" s="1"/>
  <c r="LT173" i="1"/>
  <c r="DG45" i="5" s="1"/>
  <c r="LU172" i="1"/>
  <c r="LT172" i="1"/>
  <c r="DG40" i="5" s="1"/>
  <c r="LU170" i="1"/>
  <c r="LU135" i="1"/>
  <c r="LT170" i="1"/>
  <c r="LU169" i="1"/>
  <c r="LT169" i="1"/>
  <c r="LT168" i="1"/>
  <c r="LT133" i="1"/>
  <c r="LU166" i="1"/>
  <c r="LU164" i="1"/>
  <c r="LT164" i="1"/>
  <c r="DG55" i="5" s="1"/>
  <c r="LU163" i="1"/>
  <c r="LT163" i="1"/>
  <c r="DG54" i="5" s="1"/>
  <c r="LT162" i="1"/>
  <c r="DG53" i="5" s="1"/>
  <c r="LU161" i="1"/>
  <c r="LT161" i="1"/>
  <c r="DG52" i="5" s="1"/>
  <c r="LU122" i="1"/>
  <c r="LU160" i="1"/>
  <c r="LU159" i="1"/>
  <c r="LU153" i="1"/>
  <c r="LU152" i="1"/>
  <c r="LT152" i="1"/>
  <c r="LT150" i="1"/>
  <c r="DG43" i="5" s="1"/>
  <c r="LT112" i="1"/>
  <c r="LT148" i="1"/>
  <c r="DG39" i="5" s="1"/>
  <c r="LU148" i="1"/>
  <c r="LT104" i="1"/>
  <c r="LT143" i="1"/>
  <c r="DG34" i="5" s="1"/>
  <c r="LT84" i="1"/>
  <c r="LU84" i="1"/>
  <c r="LU83" i="1"/>
  <c r="LU81" i="1"/>
  <c r="LT81" i="1"/>
  <c r="LU77" i="1"/>
  <c r="LU76" i="1"/>
  <c r="LT76" i="1"/>
  <c r="DF54" i="5" s="1"/>
  <c r="LU75" i="1"/>
  <c r="LU37" i="1"/>
  <c r="LT75" i="1"/>
  <c r="DF53" i="5" s="1"/>
  <c r="LU35" i="1"/>
  <c r="LT73" i="1"/>
  <c r="DF51" i="5" s="1"/>
  <c r="LU34" i="1"/>
  <c r="LU72" i="1"/>
  <c r="LU69" i="1"/>
  <c r="LT31" i="1"/>
  <c r="LT69" i="1"/>
  <c r="DF47" i="5" s="1"/>
  <c r="LT61" i="1"/>
  <c r="DF39" i="5" s="1"/>
  <c r="LT62" i="1"/>
  <c r="LU60" i="1"/>
  <c r="LT60" i="1"/>
  <c r="DF38" i="5" s="1"/>
  <c r="LT16" i="1"/>
  <c r="LU58" i="1"/>
  <c r="LT58" i="1"/>
  <c r="DF36" i="5" s="1"/>
  <c r="LU57" i="1"/>
  <c r="MX57" i="1"/>
  <c r="MX63" i="1"/>
  <c r="MX69" i="1"/>
  <c r="MX75" i="1"/>
  <c r="MX81" i="1"/>
  <c r="MX145" i="1"/>
  <c r="MX151" i="1"/>
  <c r="MX157" i="1"/>
  <c r="MX163" i="1"/>
  <c r="MX169" i="1"/>
  <c r="MR57" i="1"/>
  <c r="MR63" i="1"/>
  <c r="MR69" i="1"/>
  <c r="MR75" i="1"/>
  <c r="MR81" i="1"/>
  <c r="MR145" i="1"/>
  <c r="MR151" i="1"/>
  <c r="MR157" i="1"/>
  <c r="MR163" i="1"/>
  <c r="MR169" i="1"/>
  <c r="MR61" i="1"/>
  <c r="MR67" i="1"/>
  <c r="MR73" i="1"/>
  <c r="MR79" i="1"/>
  <c r="MR85" i="1"/>
  <c r="MR143" i="1"/>
  <c r="MR149" i="1"/>
  <c r="MR155" i="1"/>
  <c r="MR161" i="1"/>
  <c r="MR167" i="1"/>
  <c r="MR173" i="1"/>
  <c r="MF59" i="1"/>
  <c r="DJ37" i="5" s="1"/>
  <c r="MF65" i="1"/>
  <c r="MF71" i="1"/>
  <c r="DJ49" i="5" s="1"/>
  <c r="MF159" i="1"/>
  <c r="DK50" i="5" s="1"/>
  <c r="MG83" i="1"/>
  <c r="MG153" i="1"/>
  <c r="MG165" i="1"/>
  <c r="MG171" i="1"/>
  <c r="MF57" i="1"/>
  <c r="DJ35" i="5" s="1"/>
  <c r="MF63" i="1"/>
  <c r="DJ43" i="5" s="1"/>
  <c r="MF69" i="1"/>
  <c r="DJ47" i="5" s="1"/>
  <c r="MF75" i="1"/>
  <c r="DJ53" i="5" s="1"/>
  <c r="MF81" i="1"/>
  <c r="MF145" i="1"/>
  <c r="DK36" i="5" s="1"/>
  <c r="MF151" i="1"/>
  <c r="MF157" i="1"/>
  <c r="DK48" i="5" s="1"/>
  <c r="MF169" i="1"/>
  <c r="LT59" i="1"/>
  <c r="LT65" i="1"/>
  <c r="LT71" i="1"/>
  <c r="LT77" i="1"/>
  <c r="DF55" i="5" s="1"/>
  <c r="LT83" i="1"/>
  <c r="LT147" i="1"/>
  <c r="LT153" i="1"/>
  <c r="LT159" i="1"/>
  <c r="DG50" i="5" s="1"/>
  <c r="LT165" i="1"/>
  <c r="LT171" i="1"/>
  <c r="PX133" i="4"/>
  <c r="DG26" i="5" s="1"/>
  <c r="PX128" i="4"/>
  <c r="DG24" i="5" s="1"/>
  <c r="PX97" i="4"/>
  <c r="DG15" i="5" s="1"/>
  <c r="DG14" i="5" s="1"/>
  <c r="PX87" i="4"/>
  <c r="DG10" i="5" s="1"/>
  <c r="PX66" i="4"/>
  <c r="DF28" i="5" s="1"/>
  <c r="PX56" i="4"/>
  <c r="DF24" i="5" s="1"/>
  <c r="PX25" i="4"/>
  <c r="DF15" i="5" s="1"/>
  <c r="DF14" i="5" s="1"/>
  <c r="PX21" i="4"/>
  <c r="DF12" i="5" s="1"/>
  <c r="PX17" i="4"/>
  <c r="DF11" i="5" s="1"/>
  <c r="PX10" i="4"/>
  <c r="DF8" i="5" s="1"/>
  <c r="PX138" i="4"/>
  <c r="DG28" i="5" s="1"/>
  <c r="PX135" i="4"/>
  <c r="DG27" i="5" s="1"/>
  <c r="PX116" i="4"/>
  <c r="DG23" i="5" s="1"/>
  <c r="PX107" i="4"/>
  <c r="DG20" i="5" s="1"/>
  <c r="PX93" i="4"/>
  <c r="DG12" i="5" s="1"/>
  <c r="PX85" i="4"/>
  <c r="DG9" i="5" s="1"/>
  <c r="PX82" i="4"/>
  <c r="DG8" i="5" s="1"/>
  <c r="PX80" i="4"/>
  <c r="DG7" i="5" s="1"/>
  <c r="PX63" i="4"/>
  <c r="DF27" i="5" s="1"/>
  <c r="PX13" i="4"/>
  <c r="DF9" i="5" s="1"/>
  <c r="LZ56" i="1" l="1"/>
  <c r="DH34" i="5" s="1"/>
  <c r="AA161" i="36"/>
  <c r="AA173" i="36"/>
  <c r="LZ161" i="1"/>
  <c r="DI52" i="5" s="1"/>
  <c r="DI46" i="5" s="1"/>
  <c r="B20" i="9"/>
  <c r="AA174" i="36"/>
  <c r="AE72" i="36"/>
  <c r="AB72" i="36"/>
  <c r="AE77" i="36"/>
  <c r="AC77" i="36"/>
  <c r="AB77" i="36"/>
  <c r="Y88" i="36"/>
  <c r="DJ6" i="5"/>
  <c r="DI6" i="5"/>
  <c r="ML163" i="1"/>
  <c r="DM54" i="5" s="1"/>
  <c r="AA171" i="36"/>
  <c r="B14" i="9"/>
  <c r="B26" i="9"/>
  <c r="AA168" i="36"/>
  <c r="C20" i="7"/>
  <c r="Z87" i="36"/>
  <c r="C17" i="7"/>
  <c r="C14" i="7"/>
  <c r="C9" i="7"/>
  <c r="C12" i="7"/>
  <c r="C24" i="7"/>
  <c r="C16" i="7"/>
  <c r="C19" i="7"/>
  <c r="C11" i="7"/>
  <c r="AC72" i="36"/>
  <c r="C18" i="7"/>
  <c r="C13" i="7"/>
  <c r="AC64" i="36"/>
  <c r="C5" i="7"/>
  <c r="C10" i="7"/>
  <c r="C8" i="7"/>
  <c r="C15" i="7"/>
  <c r="C22" i="7"/>
  <c r="C6" i="7"/>
  <c r="C7" i="7"/>
  <c r="C21" i="7"/>
  <c r="C23" i="7"/>
  <c r="AA175" i="36"/>
  <c r="MG164" i="1"/>
  <c r="ML81" i="1"/>
  <c r="AA163" i="36"/>
  <c r="B7" i="9"/>
  <c r="AA157" i="36"/>
  <c r="AA158" i="36"/>
  <c r="AA166" i="36"/>
  <c r="AA169" i="36"/>
  <c r="DF63" i="5"/>
  <c r="LT145" i="1"/>
  <c r="DG36" i="5" s="1"/>
  <c r="DG64" i="5" s="1"/>
  <c r="LZ146" i="1"/>
  <c r="DI37" i="5" s="1"/>
  <c r="AA155" i="36"/>
  <c r="AA176" i="36"/>
  <c r="B5" i="9"/>
  <c r="AA156" i="36"/>
  <c r="B25" i="9"/>
  <c r="AA172" i="36"/>
  <c r="LU156" i="1"/>
  <c r="ML144" i="1"/>
  <c r="DM35" i="5" s="1"/>
  <c r="DN156" i="5"/>
  <c r="DK19" i="5"/>
  <c r="B9" i="9"/>
  <c r="AA159" i="36"/>
  <c r="B21" i="9"/>
  <c r="AA164" i="36"/>
  <c r="ML145" i="1"/>
  <c r="DM36" i="5" s="1"/>
  <c r="AA160" i="36"/>
  <c r="U162" i="36"/>
  <c r="MM62" i="1"/>
  <c r="ML143" i="1"/>
  <c r="DM34" i="5" s="1"/>
  <c r="DM33" i="5" s="1"/>
  <c r="ML147" i="1"/>
  <c r="DM38" i="5" s="1"/>
  <c r="MG149" i="1"/>
  <c r="LZ61" i="1"/>
  <c r="DH39" i="5" s="1"/>
  <c r="DH33" i="5" s="1"/>
  <c r="MF77" i="1"/>
  <c r="DJ55" i="5" s="1"/>
  <c r="MF150" i="1"/>
  <c r="DK43" i="5" s="1"/>
  <c r="DN43" i="5" s="1"/>
  <c r="DO43" i="5" s="1"/>
  <c r="DH41" i="5"/>
  <c r="DG41" i="5"/>
  <c r="DF33" i="5"/>
  <c r="DI41" i="5"/>
  <c r="DK41" i="5"/>
  <c r="DG46" i="5"/>
  <c r="DJ33" i="5"/>
  <c r="DL6" i="5"/>
  <c r="DO149" i="5"/>
  <c r="DN148" i="5"/>
  <c r="DN171" i="5"/>
  <c r="DO162" i="5"/>
  <c r="DO161" i="5" s="1"/>
  <c r="DN161" i="5"/>
  <c r="DL46" i="5"/>
  <c r="DF46" i="5"/>
  <c r="DG33" i="5"/>
  <c r="DK6" i="5"/>
  <c r="DJ19" i="5"/>
  <c r="V36" i="36"/>
  <c r="DF6" i="5"/>
  <c r="DI33" i="5"/>
  <c r="DI19" i="5"/>
  <c r="DG19" i="5"/>
  <c r="DJ46" i="5"/>
  <c r="DM6" i="5"/>
  <c r="DM19" i="5"/>
  <c r="DG6" i="5"/>
  <c r="DH6" i="5"/>
  <c r="DH46" i="5"/>
  <c r="DJ41" i="5"/>
  <c r="DL33" i="5"/>
  <c r="MM68" i="1"/>
  <c r="DH19" i="5"/>
  <c r="ML170" i="1"/>
  <c r="DK33" i="5"/>
  <c r="DK46" i="5"/>
  <c r="DM41" i="5"/>
  <c r="DM46" i="5"/>
  <c r="DL19" i="5"/>
  <c r="DF19" i="5"/>
  <c r="V167" i="36"/>
  <c r="U154" i="36"/>
  <c r="V162" i="36"/>
  <c r="V154" i="36"/>
  <c r="U167" i="36"/>
  <c r="V51" i="36"/>
  <c r="V47" i="36"/>
  <c r="V40" i="36"/>
  <c r="V55" i="36"/>
  <c r="V39" i="36"/>
  <c r="V50" i="36"/>
  <c r="V52" i="36"/>
  <c r="V45" i="36"/>
  <c r="V57" i="36"/>
  <c r="DN35" i="5"/>
  <c r="DO35" i="5" s="1"/>
  <c r="DP162" i="5"/>
  <c r="DP167" i="5"/>
  <c r="DQ167" i="5" s="1"/>
  <c r="W173" i="36" s="1"/>
  <c r="DP168" i="5"/>
  <c r="U177" i="36"/>
  <c r="B23" i="9" s="1"/>
  <c r="V56" i="36"/>
  <c r="V44" i="36"/>
  <c r="DQ169" i="5"/>
  <c r="W175" i="36" s="1"/>
  <c r="V53" i="36"/>
  <c r="DQ163" i="5"/>
  <c r="W169" i="36" s="1"/>
  <c r="DQ165" i="5"/>
  <c r="W171" i="36" s="1"/>
  <c r="V49" i="36"/>
  <c r="V42" i="36"/>
  <c r="V23" i="36"/>
  <c r="V37" i="36"/>
  <c r="V29" i="36"/>
  <c r="DK82" i="5"/>
  <c r="DG73" i="5"/>
  <c r="DN11" i="5"/>
  <c r="DN54" i="5"/>
  <c r="DO54" i="5" s="1"/>
  <c r="DH82" i="5"/>
  <c r="DN40" i="5"/>
  <c r="DO40" i="5" s="1"/>
  <c r="DH68" i="5"/>
  <c r="DI77" i="5"/>
  <c r="DI73" i="5"/>
  <c r="DL70" i="5"/>
  <c r="DP170" i="5"/>
  <c r="DQ170" i="5" s="1"/>
  <c r="W176" i="36" s="1"/>
  <c r="DQ160" i="5"/>
  <c r="W166" i="36" s="1"/>
  <c r="DP152" i="5"/>
  <c r="DQ152" i="5" s="1"/>
  <c r="W158" i="36" s="1"/>
  <c r="DP164" i="5"/>
  <c r="DQ164" i="5" s="1"/>
  <c r="W170" i="36" s="1"/>
  <c r="V17" i="36"/>
  <c r="V16" i="36" s="1"/>
  <c r="DM65" i="5"/>
  <c r="DJ76" i="5"/>
  <c r="DJ134" i="5"/>
  <c r="DK62" i="5"/>
  <c r="DK133" i="5"/>
  <c r="DK75" i="5"/>
  <c r="DK79" i="5"/>
  <c r="DM62" i="5"/>
  <c r="DP151" i="5"/>
  <c r="DQ151" i="5" s="1"/>
  <c r="W157" i="36" s="1"/>
  <c r="DQ16" i="5"/>
  <c r="W18" i="36" s="1"/>
  <c r="V28" i="36"/>
  <c r="DJ83" i="5"/>
  <c r="DG83" i="5"/>
  <c r="DM72" i="5"/>
  <c r="DM81" i="5"/>
  <c r="DL82" i="5"/>
  <c r="V25" i="36"/>
  <c r="DJ75" i="5"/>
  <c r="DJ133" i="5"/>
  <c r="DF66" i="5"/>
  <c r="DF124" i="5"/>
  <c r="DN27" i="5"/>
  <c r="DM68" i="5"/>
  <c r="DP159" i="5"/>
  <c r="DQ159" i="5" s="1"/>
  <c r="W165" i="36" s="1"/>
  <c r="DL77" i="5"/>
  <c r="DF78" i="5"/>
  <c r="V9" i="36"/>
  <c r="DN24" i="5"/>
  <c r="DH80" i="5"/>
  <c r="DH138" i="5"/>
  <c r="V26" i="36"/>
  <c r="DF83" i="5"/>
  <c r="DK134" i="5"/>
  <c r="DK76" i="5"/>
  <c r="DJ71" i="5"/>
  <c r="DG138" i="5"/>
  <c r="DG80" i="5"/>
  <c r="DN7" i="5"/>
  <c r="DN28" i="5"/>
  <c r="DO28" i="5" s="1"/>
  <c r="DP28" i="5" s="1"/>
  <c r="DN47" i="5"/>
  <c r="DH133" i="5"/>
  <c r="DH75" i="5"/>
  <c r="DN51" i="5"/>
  <c r="DO51" i="5" s="1"/>
  <c r="DH79" i="5"/>
  <c r="DI67" i="5"/>
  <c r="DI82" i="5"/>
  <c r="DJ62" i="5"/>
  <c r="DK67" i="5"/>
  <c r="DL63" i="5"/>
  <c r="DL124" i="5"/>
  <c r="DL66" i="5"/>
  <c r="DL71" i="5"/>
  <c r="DL81" i="5"/>
  <c r="DM70" i="5"/>
  <c r="DM133" i="5"/>
  <c r="DM75" i="5"/>
  <c r="DO157" i="5"/>
  <c r="DO156" i="5" s="1"/>
  <c r="DN49" i="5"/>
  <c r="DH77" i="5"/>
  <c r="DN23" i="5"/>
  <c r="DG79" i="5"/>
  <c r="DN42" i="5"/>
  <c r="DH70" i="5"/>
  <c r="DI75" i="5"/>
  <c r="DI133" i="5"/>
  <c r="DJ66" i="5"/>
  <c r="DJ124" i="5"/>
  <c r="DK70" i="5"/>
  <c r="DL78" i="5"/>
  <c r="DL68" i="5"/>
  <c r="DM63" i="5"/>
  <c r="DM66" i="5"/>
  <c r="DM124" i="5"/>
  <c r="DM79" i="5"/>
  <c r="DM82" i="5"/>
  <c r="DM73" i="5"/>
  <c r="DK63" i="5"/>
  <c r="DN9" i="5"/>
  <c r="DN26" i="5"/>
  <c r="DN21" i="5"/>
  <c r="DO21" i="5" s="1"/>
  <c r="V30" i="36"/>
  <c r="DJ63" i="5"/>
  <c r="DF82" i="5"/>
  <c r="DI78" i="5"/>
  <c r="V10" i="36"/>
  <c r="DG78" i="5"/>
  <c r="DK64" i="5"/>
  <c r="DJ77" i="5"/>
  <c r="DF64" i="5"/>
  <c r="DF67" i="5"/>
  <c r="DF79" i="5"/>
  <c r="DG67" i="5"/>
  <c r="DG133" i="5"/>
  <c r="DG75" i="5"/>
  <c r="DG81" i="5"/>
  <c r="DN10" i="5"/>
  <c r="DO10" i="5" s="1"/>
  <c r="DP10" i="5" s="1"/>
  <c r="DI63" i="5"/>
  <c r="DN48" i="5"/>
  <c r="DO48" i="5" s="1"/>
  <c r="DH76" i="5"/>
  <c r="DH134" i="5"/>
  <c r="DI70" i="5"/>
  <c r="DI79" i="5"/>
  <c r="DJ67" i="5"/>
  <c r="DJ79" i="5"/>
  <c r="DJ68" i="5"/>
  <c r="DK68" i="5"/>
  <c r="DL64" i="5"/>
  <c r="DL67" i="5"/>
  <c r="ML64" i="1"/>
  <c r="DL44" i="5" s="1"/>
  <c r="DL41" i="5" s="1"/>
  <c r="ML68" i="1"/>
  <c r="MM76" i="1"/>
  <c r="DM76" i="5"/>
  <c r="DM134" i="5"/>
  <c r="V177" i="36"/>
  <c r="DJ82" i="5"/>
  <c r="DO17" i="5"/>
  <c r="DN13" i="5"/>
  <c r="DP155" i="5"/>
  <c r="DQ155" i="5" s="1"/>
  <c r="DK138" i="5"/>
  <c r="DK80" i="5"/>
  <c r="V13" i="36"/>
  <c r="DF75" i="5"/>
  <c r="DF133" i="5"/>
  <c r="DG62" i="5"/>
  <c r="DG82" i="5"/>
  <c r="DG68" i="5"/>
  <c r="DN12" i="5"/>
  <c r="DH62" i="5"/>
  <c r="DN38" i="5"/>
  <c r="DH66" i="5"/>
  <c r="DH124" i="5"/>
  <c r="DN53" i="5"/>
  <c r="DO53" i="5" s="1"/>
  <c r="DH81" i="5"/>
  <c r="DI64" i="5"/>
  <c r="DI71" i="5"/>
  <c r="DI76" i="5"/>
  <c r="DI134" i="5"/>
  <c r="DI83" i="5"/>
  <c r="DI68" i="5"/>
  <c r="DJ73" i="5"/>
  <c r="DK65" i="5"/>
  <c r="DK71" i="5"/>
  <c r="DK77" i="5"/>
  <c r="DK81" i="5"/>
  <c r="DL73" i="5"/>
  <c r="DM64" i="5"/>
  <c r="DM67" i="5"/>
  <c r="DM71" i="5"/>
  <c r="DM138" i="5"/>
  <c r="DM80" i="5"/>
  <c r="DL83" i="5"/>
  <c r="DL134" i="5"/>
  <c r="DL76" i="5"/>
  <c r="DI81" i="5"/>
  <c r="DI66" i="5"/>
  <c r="DI124" i="5"/>
  <c r="DP22" i="5"/>
  <c r="DH64" i="5"/>
  <c r="DK78" i="5"/>
  <c r="DN8" i="5"/>
  <c r="DN37" i="5"/>
  <c r="DH65" i="5"/>
  <c r="DN45" i="5"/>
  <c r="DH73" i="5"/>
  <c r="DK83" i="5"/>
  <c r="V11" i="36"/>
  <c r="V14" i="36"/>
  <c r="DJ81" i="5"/>
  <c r="DF81" i="5"/>
  <c r="DG71" i="5"/>
  <c r="DN15" i="5"/>
  <c r="DN14" i="5" s="1"/>
  <c r="DH72" i="5"/>
  <c r="DN50" i="5"/>
  <c r="DH78" i="5"/>
  <c r="DI65" i="5"/>
  <c r="DJ64" i="5"/>
  <c r="DJ70" i="5"/>
  <c r="DJ80" i="5"/>
  <c r="DJ138" i="5"/>
  <c r="DK66" i="5"/>
  <c r="DK124" i="5"/>
  <c r="DK73" i="5"/>
  <c r="DL62" i="5"/>
  <c r="DL138" i="5"/>
  <c r="DL80" i="5"/>
  <c r="DM77" i="5"/>
  <c r="DQ166" i="5"/>
  <c r="W172" i="36" s="1"/>
  <c r="DQ153" i="5"/>
  <c r="W159" i="36" s="1"/>
  <c r="DP154" i="5"/>
  <c r="DL133" i="5"/>
  <c r="DL75" i="5"/>
  <c r="DM78" i="5"/>
  <c r="DQ158" i="5"/>
  <c r="W164" i="36" s="1"/>
  <c r="DM83" i="5"/>
  <c r="DN20" i="5"/>
  <c r="V15" i="36"/>
  <c r="DI62" i="5"/>
  <c r="V22" i="36"/>
  <c r="DO18" i="5"/>
  <c r="DH63" i="5"/>
  <c r="DO25" i="5"/>
  <c r="DN55" i="5"/>
  <c r="DH83" i="5"/>
  <c r="DN36" i="5"/>
  <c r="DO36" i="5" s="1"/>
  <c r="DL65" i="5"/>
  <c r="V12" i="36"/>
  <c r="DJ65" i="5"/>
  <c r="DL79" i="5"/>
  <c r="LL50" i="1"/>
  <c r="LL85" i="1" s="1"/>
  <c r="LK50" i="1"/>
  <c r="LK85" i="1" s="1"/>
  <c r="LL46" i="1"/>
  <c r="LN46" i="1" s="1"/>
  <c r="LK46" i="1"/>
  <c r="LK81" i="1" s="1"/>
  <c r="LK42" i="1"/>
  <c r="LK77" i="1" s="1"/>
  <c r="LL39" i="1"/>
  <c r="LO39" i="1" s="1"/>
  <c r="LK39" i="1"/>
  <c r="LL38" i="1"/>
  <c r="LK38" i="1"/>
  <c r="LK76" i="1" s="1"/>
  <c r="LL37" i="1"/>
  <c r="LK37" i="1"/>
  <c r="LN37" i="1" s="1"/>
  <c r="LL35" i="1"/>
  <c r="LK35" i="1"/>
  <c r="LK73" i="1" s="1"/>
  <c r="LL34" i="1"/>
  <c r="LO34" i="1" s="1"/>
  <c r="LK34" i="1"/>
  <c r="LK72" i="1" s="1"/>
  <c r="LL31" i="1"/>
  <c r="LK31" i="1"/>
  <c r="LL28" i="1"/>
  <c r="LK28" i="1"/>
  <c r="LK66" i="1" s="1"/>
  <c r="LL27" i="1"/>
  <c r="LL65" i="1" s="1"/>
  <c r="LK27" i="1"/>
  <c r="LK65" i="1" s="1"/>
  <c r="LL25" i="1"/>
  <c r="LK25" i="1"/>
  <c r="LL24" i="1"/>
  <c r="LK24" i="1"/>
  <c r="LL17" i="1"/>
  <c r="LL61" i="1" s="1"/>
  <c r="LK17" i="1"/>
  <c r="LN17" i="1" s="1"/>
  <c r="LL13" i="1"/>
  <c r="LL59" i="1" s="1"/>
  <c r="LK13" i="1"/>
  <c r="LN13" i="1" s="1"/>
  <c r="LL10" i="1"/>
  <c r="LL58" i="1" s="1"/>
  <c r="LK10" i="1"/>
  <c r="A19" i="1"/>
  <c r="LL137" i="1"/>
  <c r="LL172" i="1" s="1"/>
  <c r="LK137" i="1"/>
  <c r="LK172" i="1" s="1"/>
  <c r="LL126" i="1"/>
  <c r="LL163" i="1" s="1"/>
  <c r="LK126" i="1"/>
  <c r="LK163" i="1" s="1"/>
  <c r="LL124" i="1"/>
  <c r="LL162" i="1" s="1"/>
  <c r="LK124" i="1"/>
  <c r="LK162" i="1" s="1"/>
  <c r="LK122" i="1"/>
  <c r="LK160" i="1" s="1"/>
  <c r="LL121" i="1"/>
  <c r="LO121" i="1" s="1"/>
  <c r="LK121" i="1"/>
  <c r="LL118" i="1"/>
  <c r="LL156" i="1" s="1"/>
  <c r="LK118" i="1"/>
  <c r="LK156" i="1" s="1"/>
  <c r="LL100" i="1"/>
  <c r="LL146" i="1" s="1"/>
  <c r="LK100" i="1"/>
  <c r="LN100" i="1" s="1"/>
  <c r="LK97" i="1"/>
  <c r="LK145" i="1" s="1"/>
  <c r="LL97" i="1"/>
  <c r="LL145" i="1" s="1"/>
  <c r="LM173" i="1"/>
  <c r="LL173" i="1"/>
  <c r="LK173" i="1"/>
  <c r="LM172" i="1"/>
  <c r="LM171" i="1"/>
  <c r="LL171" i="1"/>
  <c r="LK171" i="1"/>
  <c r="LM170" i="1"/>
  <c r="LL170" i="1"/>
  <c r="LK170" i="1"/>
  <c r="LM169" i="1"/>
  <c r="LL169" i="1"/>
  <c r="LK169" i="1"/>
  <c r="LM168" i="1"/>
  <c r="LL168" i="1"/>
  <c r="LK168" i="1"/>
  <c r="LM167" i="1"/>
  <c r="LL167" i="1"/>
  <c r="LK167" i="1"/>
  <c r="LM166" i="1"/>
  <c r="LL166" i="1"/>
  <c r="LK166" i="1"/>
  <c r="LM165" i="1"/>
  <c r="LL165" i="1"/>
  <c r="LK165" i="1"/>
  <c r="LM164" i="1"/>
  <c r="LL164" i="1"/>
  <c r="LK164" i="1"/>
  <c r="LM163" i="1"/>
  <c r="LM162" i="1"/>
  <c r="LM161" i="1"/>
  <c r="LL161" i="1"/>
  <c r="LK161" i="1"/>
  <c r="LM160" i="1"/>
  <c r="LL160" i="1"/>
  <c r="LM159" i="1"/>
  <c r="LK159" i="1"/>
  <c r="LM158" i="1"/>
  <c r="LL158" i="1"/>
  <c r="LK158" i="1"/>
  <c r="LM157" i="1"/>
  <c r="LL157" i="1"/>
  <c r="LK157" i="1"/>
  <c r="LM156" i="1"/>
  <c r="LM155" i="1"/>
  <c r="LL155" i="1"/>
  <c r="LK155" i="1"/>
  <c r="LM154" i="1"/>
  <c r="LL154" i="1"/>
  <c r="LK154" i="1"/>
  <c r="LM153" i="1"/>
  <c r="LL153" i="1"/>
  <c r="LK153" i="1"/>
  <c r="LM152" i="1"/>
  <c r="LL152" i="1"/>
  <c r="LK152" i="1"/>
  <c r="LM151" i="1"/>
  <c r="LL151" i="1"/>
  <c r="LK151" i="1"/>
  <c r="LM150" i="1"/>
  <c r="LL150" i="1"/>
  <c r="LK150" i="1"/>
  <c r="LM149" i="1"/>
  <c r="LL149" i="1"/>
  <c r="LK149" i="1"/>
  <c r="LM148" i="1"/>
  <c r="LL148" i="1"/>
  <c r="LK148" i="1"/>
  <c r="LM147" i="1"/>
  <c r="LL147" i="1"/>
  <c r="LK147" i="1"/>
  <c r="LM146" i="1"/>
  <c r="LM145" i="1"/>
  <c r="LM144" i="1"/>
  <c r="LL144" i="1"/>
  <c r="LK144" i="1"/>
  <c r="LM143" i="1"/>
  <c r="LL143" i="1"/>
  <c r="LK143" i="1"/>
  <c r="LO138" i="1"/>
  <c r="LN138" i="1"/>
  <c r="LO136" i="1"/>
  <c r="LN136" i="1"/>
  <c r="LO135" i="1"/>
  <c r="LN135" i="1"/>
  <c r="LO134" i="1"/>
  <c r="LN134" i="1"/>
  <c r="LO133" i="1"/>
  <c r="LN133" i="1"/>
  <c r="LO132" i="1"/>
  <c r="LN132" i="1"/>
  <c r="LO131" i="1"/>
  <c r="LN131" i="1"/>
  <c r="LO130" i="1"/>
  <c r="LN130" i="1"/>
  <c r="LO129" i="1"/>
  <c r="LN129" i="1"/>
  <c r="LO128" i="1"/>
  <c r="LN128" i="1"/>
  <c r="LO127" i="1"/>
  <c r="LN127" i="1"/>
  <c r="LO125" i="1"/>
  <c r="LN125" i="1"/>
  <c r="LO123" i="1"/>
  <c r="LO122" i="1"/>
  <c r="LO120" i="1"/>
  <c r="LN120" i="1"/>
  <c r="LO119" i="1"/>
  <c r="LN119" i="1"/>
  <c r="LO118" i="1"/>
  <c r="LO117" i="1"/>
  <c r="LN117" i="1"/>
  <c r="LO116" i="1"/>
  <c r="LN116" i="1"/>
  <c r="LO115" i="1"/>
  <c r="LN115" i="1"/>
  <c r="LO114" i="1"/>
  <c r="LN114" i="1"/>
  <c r="LO113" i="1"/>
  <c r="LN113" i="1"/>
  <c r="LO112" i="1"/>
  <c r="LN112" i="1"/>
  <c r="LO111" i="1"/>
  <c r="LN111" i="1"/>
  <c r="LO110" i="1"/>
  <c r="LN110" i="1"/>
  <c r="LO109" i="1"/>
  <c r="LN109" i="1"/>
  <c r="LO108" i="1"/>
  <c r="LN108" i="1"/>
  <c r="LO107" i="1"/>
  <c r="LN107" i="1"/>
  <c r="LO106" i="1"/>
  <c r="LN106" i="1"/>
  <c r="LO105" i="1"/>
  <c r="LN105" i="1"/>
  <c r="LO104" i="1"/>
  <c r="LN104" i="1"/>
  <c r="LO103" i="1"/>
  <c r="LN103" i="1"/>
  <c r="LO102" i="1"/>
  <c r="LN102" i="1"/>
  <c r="LO101" i="1"/>
  <c r="LN101" i="1"/>
  <c r="LO99" i="1"/>
  <c r="LN99" i="1"/>
  <c r="LO98" i="1"/>
  <c r="LN98" i="1"/>
  <c r="LO96" i="1"/>
  <c r="LN96" i="1"/>
  <c r="LO95" i="1"/>
  <c r="LO94" i="1"/>
  <c r="LN94" i="1"/>
  <c r="LO93" i="1"/>
  <c r="LM86" i="1"/>
  <c r="LL86" i="1"/>
  <c r="LK86" i="1"/>
  <c r="LM85" i="1"/>
  <c r="LM84" i="1"/>
  <c r="LL84" i="1"/>
  <c r="LK84" i="1"/>
  <c r="LM83" i="1"/>
  <c r="LL83" i="1"/>
  <c r="LK83" i="1"/>
  <c r="LM82" i="1"/>
  <c r="LL82" i="1"/>
  <c r="LK82" i="1"/>
  <c r="LM81" i="1"/>
  <c r="LM80" i="1"/>
  <c r="LL80" i="1"/>
  <c r="LK80" i="1"/>
  <c r="LM79" i="1"/>
  <c r="LL79" i="1"/>
  <c r="LK79" i="1"/>
  <c r="LM78" i="1"/>
  <c r="LL78" i="1"/>
  <c r="LK78" i="1"/>
  <c r="LM77" i="1"/>
  <c r="LL77" i="1"/>
  <c r="LM76" i="1"/>
  <c r="LM75" i="1"/>
  <c r="LL75" i="1"/>
  <c r="LM74" i="1"/>
  <c r="LL74" i="1"/>
  <c r="LK74" i="1"/>
  <c r="LM73" i="1"/>
  <c r="LM72" i="1"/>
  <c r="LM71" i="1"/>
  <c r="LL71" i="1"/>
  <c r="LK71" i="1"/>
  <c r="LN71" i="1" s="1"/>
  <c r="LM70" i="1"/>
  <c r="LL70" i="1"/>
  <c r="LK70" i="1"/>
  <c r="LM69" i="1"/>
  <c r="LL69" i="1"/>
  <c r="LK69" i="1"/>
  <c r="LM68" i="1"/>
  <c r="LL68" i="1"/>
  <c r="LK68" i="1"/>
  <c r="LM67" i="1"/>
  <c r="LL67" i="1"/>
  <c r="LK67" i="1"/>
  <c r="LM66" i="1"/>
  <c r="LM65" i="1"/>
  <c r="LM64" i="1"/>
  <c r="LL64" i="1"/>
  <c r="LK64" i="1"/>
  <c r="LM63" i="1"/>
  <c r="LL63" i="1"/>
  <c r="LK63" i="1"/>
  <c r="LN63" i="1" s="1"/>
  <c r="DD43" i="5" s="1"/>
  <c r="LM62" i="1"/>
  <c r="LK62" i="1"/>
  <c r="LM61" i="1"/>
  <c r="LM60" i="1"/>
  <c r="LL60" i="1"/>
  <c r="LK60" i="1"/>
  <c r="LM59" i="1"/>
  <c r="LM58" i="1"/>
  <c r="LK58" i="1"/>
  <c r="LM57" i="1"/>
  <c r="LL57" i="1"/>
  <c r="LK57" i="1"/>
  <c r="LM56" i="1"/>
  <c r="LL56" i="1"/>
  <c r="LK56" i="1"/>
  <c r="LO51" i="1"/>
  <c r="LN51" i="1"/>
  <c r="LO50" i="1"/>
  <c r="LO49" i="1"/>
  <c r="LN49" i="1"/>
  <c r="LO48" i="1"/>
  <c r="LN48" i="1"/>
  <c r="LO47" i="1"/>
  <c r="LN47" i="1"/>
  <c r="LO45" i="1"/>
  <c r="LN45" i="1"/>
  <c r="LO44" i="1"/>
  <c r="LN44" i="1"/>
  <c r="LO43" i="1"/>
  <c r="LN43" i="1"/>
  <c r="LO42" i="1"/>
  <c r="LO41" i="1"/>
  <c r="LN41" i="1"/>
  <c r="LO40" i="1"/>
  <c r="LN40" i="1"/>
  <c r="LN39" i="1"/>
  <c r="LN38" i="1"/>
  <c r="LO37" i="1"/>
  <c r="LO36" i="1"/>
  <c r="LN36" i="1"/>
  <c r="LO35" i="1"/>
  <c r="LO33" i="1"/>
  <c r="LN33" i="1"/>
  <c r="LO32" i="1"/>
  <c r="LN32" i="1"/>
  <c r="LO31" i="1"/>
  <c r="LN31" i="1"/>
  <c r="LO30" i="1"/>
  <c r="LN30" i="1"/>
  <c r="LO29" i="1"/>
  <c r="LN29" i="1"/>
  <c r="LO26" i="1"/>
  <c r="LN26" i="1"/>
  <c r="LO25" i="1"/>
  <c r="LN25" i="1"/>
  <c r="LO23" i="1"/>
  <c r="LN23" i="1"/>
  <c r="LO22" i="1"/>
  <c r="LN22" i="1"/>
  <c r="LO21" i="1"/>
  <c r="LN21" i="1"/>
  <c r="LO20" i="1"/>
  <c r="LN20" i="1"/>
  <c r="LO19" i="1"/>
  <c r="LN19" i="1"/>
  <c r="LO18" i="1"/>
  <c r="LN18" i="1"/>
  <c r="LO16" i="1"/>
  <c r="LN16" i="1"/>
  <c r="LO15" i="1"/>
  <c r="LN15" i="1"/>
  <c r="LO14" i="1"/>
  <c r="LN14" i="1"/>
  <c r="LO13" i="1"/>
  <c r="LO12" i="1"/>
  <c r="LN12" i="1"/>
  <c r="LO11" i="1"/>
  <c r="LN11" i="1"/>
  <c r="LO9" i="1"/>
  <c r="LN9" i="1"/>
  <c r="LO8" i="1"/>
  <c r="LN8" i="1"/>
  <c r="LO7" i="1"/>
  <c r="LN7" i="1"/>
  <c r="LO6" i="1"/>
  <c r="LN6" i="1"/>
  <c r="LF138" i="1"/>
  <c r="LI138" i="1" s="1"/>
  <c r="LE138" i="1"/>
  <c r="LE173" i="1" s="1"/>
  <c r="LF137" i="1"/>
  <c r="LF172" i="1" s="1"/>
  <c r="LE137" i="1"/>
  <c r="LE172" i="1" s="1"/>
  <c r="LF135" i="1"/>
  <c r="LF170" i="1" s="1"/>
  <c r="LE135" i="1"/>
  <c r="LF134" i="1"/>
  <c r="LF169" i="1" s="1"/>
  <c r="LE134" i="1"/>
  <c r="LE169" i="1" s="1"/>
  <c r="LF133" i="1"/>
  <c r="LI133" i="1" s="1"/>
  <c r="LE133" i="1"/>
  <c r="LE168" i="1" s="1"/>
  <c r="LF132" i="1"/>
  <c r="LF167" i="1" s="1"/>
  <c r="LE132" i="1"/>
  <c r="LE167" i="1" s="1"/>
  <c r="LF124" i="1"/>
  <c r="LI124" i="1" s="1"/>
  <c r="LE124" i="1"/>
  <c r="LE162" i="1" s="1"/>
  <c r="LF123" i="1"/>
  <c r="LI123" i="1" s="1"/>
  <c r="LE123" i="1"/>
  <c r="LE161" i="1" s="1"/>
  <c r="LF122" i="1"/>
  <c r="LI122" i="1" s="1"/>
  <c r="LE122" i="1"/>
  <c r="LF121" i="1"/>
  <c r="LI121" i="1" s="1"/>
  <c r="LE121" i="1"/>
  <c r="LE159" i="1" s="1"/>
  <c r="LF120" i="1"/>
  <c r="LE120" i="1"/>
  <c r="LE158" i="1" s="1"/>
  <c r="LF118" i="1"/>
  <c r="LI118" i="1" s="1"/>
  <c r="LE118" i="1"/>
  <c r="LE156" i="1" s="1"/>
  <c r="LF115" i="1"/>
  <c r="LF153" i="1" s="1"/>
  <c r="LE115" i="1"/>
  <c r="LE153" i="1" s="1"/>
  <c r="LF114" i="1"/>
  <c r="LI114" i="1" s="1"/>
  <c r="LE114" i="1"/>
  <c r="LE152" i="1" s="1"/>
  <c r="LF113" i="1"/>
  <c r="LI113" i="1" s="1"/>
  <c r="LE113" i="1"/>
  <c r="LE151" i="1" s="1"/>
  <c r="LF112" i="1"/>
  <c r="LE112" i="1"/>
  <c r="LF111" i="1"/>
  <c r="LI111" i="1" s="1"/>
  <c r="LE111" i="1"/>
  <c r="LE149" i="1" s="1"/>
  <c r="LF107" i="1"/>
  <c r="LE107" i="1"/>
  <c r="LF105" i="1"/>
  <c r="LI105" i="1" s="1"/>
  <c r="LE105" i="1"/>
  <c r="LF104" i="1"/>
  <c r="LI104" i="1" s="1"/>
  <c r="LE104" i="1"/>
  <c r="LF103" i="1"/>
  <c r="LI103" i="1" s="1"/>
  <c r="LE103" i="1"/>
  <c r="LF102" i="1"/>
  <c r="LI102" i="1" s="1"/>
  <c r="LE102" i="1"/>
  <c r="LF100" i="1"/>
  <c r="LF146" i="1" s="1"/>
  <c r="LE100" i="1"/>
  <c r="LE146" i="1" s="1"/>
  <c r="LF97" i="1"/>
  <c r="LF145" i="1" s="1"/>
  <c r="LE97" i="1"/>
  <c r="LE145" i="1" s="1"/>
  <c r="LF95" i="1"/>
  <c r="LI95" i="1" s="1"/>
  <c r="LE95" i="1"/>
  <c r="LE144" i="1" s="1"/>
  <c r="LF93" i="1"/>
  <c r="LI93" i="1" s="1"/>
  <c r="LE93" i="1"/>
  <c r="LE143" i="1" s="1"/>
  <c r="LG173" i="1"/>
  <c r="LG172" i="1"/>
  <c r="LG171" i="1"/>
  <c r="LF171" i="1"/>
  <c r="LE171" i="1"/>
  <c r="LG170" i="1"/>
  <c r="LG169" i="1"/>
  <c r="LG168" i="1"/>
  <c r="LG167" i="1"/>
  <c r="LG166" i="1"/>
  <c r="LF166" i="1"/>
  <c r="LE166" i="1"/>
  <c r="LG165" i="1"/>
  <c r="LF165" i="1"/>
  <c r="LE165" i="1"/>
  <c r="LG164" i="1"/>
  <c r="LF164" i="1"/>
  <c r="LE164" i="1"/>
  <c r="LG163" i="1"/>
  <c r="LF163" i="1"/>
  <c r="LE163" i="1"/>
  <c r="LG162" i="1"/>
  <c r="LG161" i="1"/>
  <c r="LG160" i="1"/>
  <c r="LG159" i="1"/>
  <c r="LG158" i="1"/>
  <c r="LF158" i="1"/>
  <c r="LG157" i="1"/>
  <c r="LF157" i="1"/>
  <c r="LE157" i="1"/>
  <c r="LG156" i="1"/>
  <c r="LF156" i="1"/>
  <c r="LG155" i="1"/>
  <c r="LF155" i="1"/>
  <c r="LE155" i="1"/>
  <c r="LG154" i="1"/>
  <c r="LF154" i="1"/>
  <c r="LE154" i="1"/>
  <c r="LG153" i="1"/>
  <c r="LG152" i="1"/>
  <c r="LG151" i="1"/>
  <c r="LG150" i="1"/>
  <c r="LF150" i="1"/>
  <c r="LG149" i="1"/>
  <c r="LG148" i="1"/>
  <c r="LG147" i="1"/>
  <c r="LG146" i="1"/>
  <c r="LG145" i="1"/>
  <c r="LG144" i="1"/>
  <c r="LG143" i="1"/>
  <c r="LI136" i="1"/>
  <c r="LH136" i="1"/>
  <c r="LH134" i="1"/>
  <c r="LI131" i="1"/>
  <c r="LH131" i="1"/>
  <c r="LI130" i="1"/>
  <c r="LH130" i="1"/>
  <c r="LI129" i="1"/>
  <c r="LH129" i="1"/>
  <c r="LI128" i="1"/>
  <c r="LH128" i="1"/>
  <c r="LI127" i="1"/>
  <c r="LH127" i="1"/>
  <c r="LI126" i="1"/>
  <c r="LH126" i="1"/>
  <c r="LI125" i="1"/>
  <c r="LH125" i="1"/>
  <c r="LI120" i="1"/>
  <c r="LI119" i="1"/>
  <c r="LH119" i="1"/>
  <c r="LI117" i="1"/>
  <c r="LH117" i="1"/>
  <c r="LI116" i="1"/>
  <c r="LH116" i="1"/>
  <c r="LI112" i="1"/>
  <c r="LI110" i="1"/>
  <c r="LH110" i="1"/>
  <c r="LI109" i="1"/>
  <c r="LH109" i="1"/>
  <c r="LI108" i="1"/>
  <c r="LH108" i="1"/>
  <c r="LI106" i="1"/>
  <c r="LH106" i="1"/>
  <c r="LI101" i="1"/>
  <c r="LH101" i="1"/>
  <c r="LI100" i="1"/>
  <c r="LI99" i="1"/>
  <c r="LH99" i="1"/>
  <c r="LI98" i="1"/>
  <c r="LH98" i="1"/>
  <c r="LI96" i="1"/>
  <c r="LH96" i="1"/>
  <c r="LI94" i="1"/>
  <c r="LH94" i="1"/>
  <c r="LG86" i="1"/>
  <c r="LF86" i="1"/>
  <c r="LE86" i="1"/>
  <c r="LG85" i="1"/>
  <c r="LF85" i="1"/>
  <c r="LE85" i="1"/>
  <c r="LG84" i="1"/>
  <c r="LF84" i="1"/>
  <c r="LE84" i="1"/>
  <c r="LG83" i="1"/>
  <c r="LF83" i="1"/>
  <c r="LE83" i="1"/>
  <c r="LG82" i="1"/>
  <c r="LF82" i="1"/>
  <c r="LE82" i="1"/>
  <c r="LG81" i="1"/>
  <c r="LF81" i="1"/>
  <c r="LE81" i="1"/>
  <c r="LG80" i="1"/>
  <c r="LF80" i="1"/>
  <c r="LE80" i="1"/>
  <c r="LG79" i="1"/>
  <c r="LF79" i="1"/>
  <c r="LE79" i="1"/>
  <c r="LG78" i="1"/>
  <c r="LF78" i="1"/>
  <c r="LE78" i="1"/>
  <c r="LG77" i="1"/>
  <c r="LF77" i="1"/>
  <c r="LE77" i="1"/>
  <c r="LG76" i="1"/>
  <c r="LF76" i="1"/>
  <c r="LE76" i="1"/>
  <c r="LG75" i="1"/>
  <c r="LF75" i="1"/>
  <c r="LE75" i="1"/>
  <c r="LG74" i="1"/>
  <c r="LF74" i="1"/>
  <c r="LE74" i="1"/>
  <c r="LG73" i="1"/>
  <c r="LF73" i="1"/>
  <c r="LE73" i="1"/>
  <c r="LG72" i="1"/>
  <c r="LF72" i="1"/>
  <c r="LI72" i="1" s="1"/>
  <c r="LE72" i="1"/>
  <c r="LG71" i="1"/>
  <c r="LF71" i="1"/>
  <c r="LE71" i="1"/>
  <c r="LG70" i="1"/>
  <c r="LF70" i="1"/>
  <c r="LE70" i="1"/>
  <c r="LG69" i="1"/>
  <c r="LF69" i="1"/>
  <c r="LE69" i="1"/>
  <c r="LG68" i="1"/>
  <c r="LF68" i="1"/>
  <c r="LE68" i="1"/>
  <c r="LG67" i="1"/>
  <c r="LF67" i="1"/>
  <c r="LE67" i="1"/>
  <c r="LG66" i="1"/>
  <c r="LF66" i="1"/>
  <c r="LE66" i="1"/>
  <c r="LG65" i="1"/>
  <c r="LF65" i="1"/>
  <c r="LE65" i="1"/>
  <c r="LG64" i="1"/>
  <c r="LF64" i="1"/>
  <c r="LE64" i="1"/>
  <c r="LG63" i="1"/>
  <c r="LF63" i="1"/>
  <c r="LE63" i="1"/>
  <c r="LG62" i="1"/>
  <c r="LF62" i="1"/>
  <c r="LE62" i="1"/>
  <c r="LG61" i="1"/>
  <c r="LF61" i="1"/>
  <c r="LE61" i="1"/>
  <c r="LG60" i="1"/>
  <c r="LF60" i="1"/>
  <c r="LE60" i="1"/>
  <c r="LG59" i="1"/>
  <c r="LF59" i="1"/>
  <c r="LE59" i="1"/>
  <c r="LG58" i="1"/>
  <c r="LF58" i="1"/>
  <c r="LE58" i="1"/>
  <c r="LG57" i="1"/>
  <c r="LF57" i="1"/>
  <c r="LE57" i="1"/>
  <c r="LG56" i="1"/>
  <c r="LF56" i="1"/>
  <c r="LE56" i="1"/>
  <c r="LI51" i="1"/>
  <c r="LH51" i="1"/>
  <c r="LI50" i="1"/>
  <c r="LH50" i="1"/>
  <c r="LI49" i="1"/>
  <c r="LH49" i="1"/>
  <c r="LI48" i="1"/>
  <c r="LH48" i="1"/>
  <c r="LI47" i="1"/>
  <c r="LH47" i="1"/>
  <c r="LI46" i="1"/>
  <c r="LH46" i="1"/>
  <c r="LI45" i="1"/>
  <c r="LH45" i="1"/>
  <c r="LI44" i="1"/>
  <c r="LH44" i="1"/>
  <c r="LI43" i="1"/>
  <c r="LH43" i="1"/>
  <c r="LI42" i="1"/>
  <c r="LH42" i="1"/>
  <c r="LI41" i="1"/>
  <c r="LH41" i="1"/>
  <c r="LI40" i="1"/>
  <c r="LH40" i="1"/>
  <c r="LI39" i="1"/>
  <c r="LH39" i="1"/>
  <c r="LI38" i="1"/>
  <c r="LH38" i="1"/>
  <c r="LI37" i="1"/>
  <c r="LH37" i="1"/>
  <c r="LI36" i="1"/>
  <c r="LH36" i="1"/>
  <c r="LI35" i="1"/>
  <c r="LH35" i="1"/>
  <c r="LI34" i="1"/>
  <c r="LH34" i="1"/>
  <c r="LI33" i="1"/>
  <c r="LH33" i="1"/>
  <c r="LI32" i="1"/>
  <c r="LH32" i="1"/>
  <c r="LI31" i="1"/>
  <c r="LH31" i="1"/>
  <c r="LI30" i="1"/>
  <c r="LH30" i="1"/>
  <c r="LI29" i="1"/>
  <c r="LH29" i="1"/>
  <c r="LI28" i="1"/>
  <c r="LH28" i="1"/>
  <c r="LI27" i="1"/>
  <c r="LH27" i="1"/>
  <c r="LI26" i="1"/>
  <c r="LH26" i="1"/>
  <c r="LI25" i="1"/>
  <c r="LH25" i="1"/>
  <c r="LI24" i="1"/>
  <c r="LH24" i="1"/>
  <c r="LI23" i="1"/>
  <c r="LH23" i="1"/>
  <c r="LI22" i="1"/>
  <c r="LH22" i="1"/>
  <c r="LI21" i="1"/>
  <c r="LH21" i="1"/>
  <c r="LI20" i="1"/>
  <c r="LH20" i="1"/>
  <c r="LI19" i="1"/>
  <c r="LH19" i="1"/>
  <c r="LI18" i="1"/>
  <c r="LH18" i="1"/>
  <c r="LI17" i="1"/>
  <c r="LH17" i="1"/>
  <c r="LI16" i="1"/>
  <c r="LH16" i="1"/>
  <c r="LI15" i="1"/>
  <c r="LH15" i="1"/>
  <c r="LI14" i="1"/>
  <c r="LH14" i="1"/>
  <c r="LI13" i="1"/>
  <c r="LH13" i="1"/>
  <c r="LI12" i="1"/>
  <c r="LH12" i="1"/>
  <c r="LI11" i="1"/>
  <c r="LH11" i="1"/>
  <c r="LI10" i="1"/>
  <c r="LH10" i="1"/>
  <c r="LI9" i="1"/>
  <c r="LH9" i="1"/>
  <c r="LI8" i="1"/>
  <c r="LH8" i="1"/>
  <c r="LI7" i="1"/>
  <c r="LH7" i="1"/>
  <c r="LI6" i="1"/>
  <c r="LH6" i="1"/>
  <c r="KY164" i="1"/>
  <c r="KY143" i="1"/>
  <c r="KZ143" i="1"/>
  <c r="LA143" i="1"/>
  <c r="KY144" i="1"/>
  <c r="KZ144" i="1"/>
  <c r="LA144" i="1"/>
  <c r="KY145" i="1"/>
  <c r="KZ145" i="1"/>
  <c r="LA145" i="1"/>
  <c r="KY146" i="1"/>
  <c r="KZ146" i="1"/>
  <c r="LA146" i="1"/>
  <c r="KY147" i="1"/>
  <c r="KZ147" i="1"/>
  <c r="LA147" i="1"/>
  <c r="KY148" i="1"/>
  <c r="KZ148" i="1"/>
  <c r="LA148" i="1"/>
  <c r="KY149" i="1"/>
  <c r="KZ149" i="1"/>
  <c r="LA149" i="1"/>
  <c r="KY150" i="1"/>
  <c r="KZ150" i="1"/>
  <c r="LA150" i="1"/>
  <c r="KY151" i="1"/>
  <c r="KZ151" i="1"/>
  <c r="LA151" i="1"/>
  <c r="KY152" i="1"/>
  <c r="KZ152" i="1"/>
  <c r="LA152" i="1"/>
  <c r="KY153" i="1"/>
  <c r="KZ153" i="1"/>
  <c r="LA153" i="1"/>
  <c r="KY154" i="1"/>
  <c r="KZ154" i="1"/>
  <c r="LA154" i="1"/>
  <c r="KY155" i="1"/>
  <c r="KZ155" i="1"/>
  <c r="LA155" i="1"/>
  <c r="KY156" i="1"/>
  <c r="KZ156" i="1"/>
  <c r="LA156" i="1"/>
  <c r="KY157" i="1"/>
  <c r="KZ157" i="1"/>
  <c r="LA157" i="1"/>
  <c r="KY158" i="1"/>
  <c r="KZ158" i="1"/>
  <c r="LA158" i="1"/>
  <c r="KY159" i="1"/>
  <c r="KZ159" i="1"/>
  <c r="LA159" i="1"/>
  <c r="KY160" i="1"/>
  <c r="KZ160" i="1"/>
  <c r="LA160" i="1"/>
  <c r="KY161" i="1"/>
  <c r="KZ161" i="1"/>
  <c r="LA161" i="1"/>
  <c r="KY162" i="1"/>
  <c r="KZ162" i="1"/>
  <c r="LA162" i="1"/>
  <c r="KY163" i="1"/>
  <c r="KZ163" i="1"/>
  <c r="LA163" i="1"/>
  <c r="KZ164" i="1"/>
  <c r="LA164" i="1"/>
  <c r="KY165" i="1"/>
  <c r="KZ165" i="1"/>
  <c r="LA165" i="1"/>
  <c r="KY166" i="1"/>
  <c r="KZ166" i="1"/>
  <c r="LA166" i="1"/>
  <c r="KY167" i="1"/>
  <c r="LB167" i="1" s="1"/>
  <c r="KZ167" i="1"/>
  <c r="LA167" i="1"/>
  <c r="KY168" i="1"/>
  <c r="KZ168" i="1"/>
  <c r="LA168" i="1"/>
  <c r="KY169" i="1"/>
  <c r="KZ169" i="1"/>
  <c r="LA169" i="1"/>
  <c r="KY170" i="1"/>
  <c r="KZ170" i="1"/>
  <c r="LA170" i="1"/>
  <c r="KY171" i="1"/>
  <c r="KZ171" i="1"/>
  <c r="LA171" i="1"/>
  <c r="KY172" i="1"/>
  <c r="KZ172" i="1"/>
  <c r="LA172" i="1"/>
  <c r="KY173" i="1"/>
  <c r="KZ173" i="1"/>
  <c r="LA173" i="1"/>
  <c r="LB122" i="1"/>
  <c r="LB124" i="1"/>
  <c r="LB128" i="1"/>
  <c r="LB132" i="1"/>
  <c r="LC132" i="1"/>
  <c r="LB135" i="1"/>
  <c r="LC135" i="1"/>
  <c r="LB137" i="1"/>
  <c r="LC138" i="1"/>
  <c r="LB93" i="1"/>
  <c r="LB96" i="1"/>
  <c r="LB97" i="1"/>
  <c r="LB101" i="1"/>
  <c r="LC101" i="1"/>
  <c r="LB102" i="1"/>
  <c r="LB104" i="1"/>
  <c r="LC104" i="1"/>
  <c r="LB105" i="1"/>
  <c r="LB108" i="1"/>
  <c r="LB109" i="1"/>
  <c r="LB111" i="1"/>
  <c r="LC111" i="1"/>
  <c r="LC112" i="1"/>
  <c r="LC114" i="1"/>
  <c r="LB115" i="1"/>
  <c r="LB138" i="1"/>
  <c r="LC137" i="1"/>
  <c r="LC136" i="1"/>
  <c r="LB136" i="1"/>
  <c r="LB134" i="1"/>
  <c r="LC133" i="1"/>
  <c r="LB133" i="1"/>
  <c r="LC131" i="1"/>
  <c r="LC130" i="1"/>
  <c r="LB130" i="1"/>
  <c r="LC129" i="1"/>
  <c r="LB129" i="1"/>
  <c r="LC128" i="1"/>
  <c r="LC127" i="1"/>
  <c r="LB127" i="1"/>
  <c r="LC126" i="1"/>
  <c r="LB126" i="1"/>
  <c r="LC125" i="1"/>
  <c r="LB125" i="1"/>
  <c r="LC123" i="1"/>
  <c r="LB123" i="1"/>
  <c r="LC121" i="1"/>
  <c r="LB121" i="1"/>
  <c r="LC120" i="1"/>
  <c r="LB120" i="1"/>
  <c r="LC119" i="1"/>
  <c r="LB119" i="1"/>
  <c r="LC118" i="1"/>
  <c r="LB118" i="1"/>
  <c r="LC117" i="1"/>
  <c r="LB117" i="1"/>
  <c r="LC116" i="1"/>
  <c r="LB116" i="1"/>
  <c r="LC115" i="1"/>
  <c r="LC113" i="1"/>
  <c r="LB112" i="1"/>
  <c r="LC110" i="1"/>
  <c r="LC109" i="1"/>
  <c r="LC108" i="1"/>
  <c r="LC107" i="1"/>
  <c r="LB107" i="1"/>
  <c r="LC106" i="1"/>
  <c r="LB106" i="1"/>
  <c r="LC105" i="1"/>
  <c r="LC103" i="1"/>
  <c r="LB103" i="1"/>
  <c r="LC102" i="1"/>
  <c r="LC100" i="1"/>
  <c r="LB100" i="1"/>
  <c r="LC99" i="1"/>
  <c r="LB99" i="1"/>
  <c r="LC98" i="1"/>
  <c r="LB98" i="1"/>
  <c r="LC97" i="1"/>
  <c r="LC96" i="1"/>
  <c r="LC95" i="1"/>
  <c r="LB95" i="1"/>
  <c r="LC94" i="1"/>
  <c r="LB94" i="1"/>
  <c r="LC93" i="1"/>
  <c r="LA86" i="1"/>
  <c r="KZ86" i="1"/>
  <c r="KY86" i="1"/>
  <c r="LA85" i="1"/>
  <c r="KZ85" i="1"/>
  <c r="KY85" i="1"/>
  <c r="LA84" i="1"/>
  <c r="KZ84" i="1"/>
  <c r="KY84" i="1"/>
  <c r="LA83" i="1"/>
  <c r="KZ83" i="1"/>
  <c r="KY83" i="1"/>
  <c r="LA82" i="1"/>
  <c r="KZ82" i="1"/>
  <c r="KY82" i="1"/>
  <c r="LA81" i="1"/>
  <c r="KZ81" i="1"/>
  <c r="KY81" i="1"/>
  <c r="LA80" i="1"/>
  <c r="KZ80" i="1"/>
  <c r="KY80" i="1"/>
  <c r="LA79" i="1"/>
  <c r="KZ79" i="1"/>
  <c r="KY79" i="1"/>
  <c r="LA78" i="1"/>
  <c r="KZ78" i="1"/>
  <c r="KY78" i="1"/>
  <c r="LA77" i="1"/>
  <c r="KZ77" i="1"/>
  <c r="KY77" i="1"/>
  <c r="LA76" i="1"/>
  <c r="KZ76" i="1"/>
  <c r="KY76" i="1"/>
  <c r="LA75" i="1"/>
  <c r="KZ75" i="1"/>
  <c r="KY75" i="1"/>
  <c r="LA74" i="1"/>
  <c r="KZ74" i="1"/>
  <c r="KY74" i="1"/>
  <c r="LA73" i="1"/>
  <c r="KZ73" i="1"/>
  <c r="KY73" i="1"/>
  <c r="LA72" i="1"/>
  <c r="KZ72" i="1"/>
  <c r="KY72" i="1"/>
  <c r="LA71" i="1"/>
  <c r="KZ71" i="1"/>
  <c r="KY71" i="1"/>
  <c r="LA70" i="1"/>
  <c r="KZ70" i="1"/>
  <c r="KY70" i="1"/>
  <c r="LA69" i="1"/>
  <c r="KZ69" i="1"/>
  <c r="KY69" i="1"/>
  <c r="LA68" i="1"/>
  <c r="KZ68" i="1"/>
  <c r="KY68" i="1"/>
  <c r="LA67" i="1"/>
  <c r="KZ67" i="1"/>
  <c r="KY67" i="1"/>
  <c r="LA66" i="1"/>
  <c r="KZ66" i="1"/>
  <c r="KY66" i="1"/>
  <c r="LA65" i="1"/>
  <c r="KZ65" i="1"/>
  <c r="KY65" i="1"/>
  <c r="LA64" i="1"/>
  <c r="KZ64" i="1"/>
  <c r="KY64" i="1"/>
  <c r="LA63" i="1"/>
  <c r="KZ63" i="1"/>
  <c r="KY63" i="1"/>
  <c r="LA62" i="1"/>
  <c r="KZ62" i="1"/>
  <c r="KY62" i="1"/>
  <c r="LA61" i="1"/>
  <c r="KZ61" i="1"/>
  <c r="KY61" i="1"/>
  <c r="LA60" i="1"/>
  <c r="KZ60" i="1"/>
  <c r="KY60" i="1"/>
  <c r="LA59" i="1"/>
  <c r="KZ59" i="1"/>
  <c r="KY59" i="1"/>
  <c r="LA58" i="1"/>
  <c r="KZ58" i="1"/>
  <c r="KY58" i="1"/>
  <c r="LA57" i="1"/>
  <c r="KZ57" i="1"/>
  <c r="KY57" i="1"/>
  <c r="LA56" i="1"/>
  <c r="KZ56" i="1"/>
  <c r="KY56" i="1"/>
  <c r="LC51" i="1"/>
  <c r="LB51" i="1"/>
  <c r="LC50" i="1"/>
  <c r="LB50" i="1"/>
  <c r="LC49" i="1"/>
  <c r="LB49" i="1"/>
  <c r="LC48" i="1"/>
  <c r="LB48" i="1"/>
  <c r="LC47" i="1"/>
  <c r="LB47" i="1"/>
  <c r="LC46" i="1"/>
  <c r="LB46" i="1"/>
  <c r="LC45" i="1"/>
  <c r="LB45" i="1"/>
  <c r="LC44" i="1"/>
  <c r="LB44" i="1"/>
  <c r="LC43" i="1"/>
  <c r="LB43" i="1"/>
  <c r="LC42" i="1"/>
  <c r="LB42" i="1"/>
  <c r="LC41" i="1"/>
  <c r="LB41" i="1"/>
  <c r="LC40" i="1"/>
  <c r="LB40" i="1"/>
  <c r="LC39" i="1"/>
  <c r="LB39" i="1"/>
  <c r="LC38" i="1"/>
  <c r="LB38" i="1"/>
  <c r="LC37" i="1"/>
  <c r="LB37" i="1"/>
  <c r="LC36" i="1"/>
  <c r="LB36" i="1"/>
  <c r="LC35" i="1"/>
  <c r="LB35" i="1"/>
  <c r="LC34" i="1"/>
  <c r="LB34" i="1"/>
  <c r="LC33" i="1"/>
  <c r="LB33" i="1"/>
  <c r="LC32" i="1"/>
  <c r="LB32" i="1"/>
  <c r="LC31" i="1"/>
  <c r="LB31" i="1"/>
  <c r="LC30" i="1"/>
  <c r="LB30" i="1"/>
  <c r="LC29" i="1"/>
  <c r="LB29" i="1"/>
  <c r="LC28" i="1"/>
  <c r="LB28" i="1"/>
  <c r="LC27" i="1"/>
  <c r="LB27" i="1"/>
  <c r="LC26" i="1"/>
  <c r="LB26" i="1"/>
  <c r="LC25" i="1"/>
  <c r="LB25" i="1"/>
  <c r="LC24" i="1"/>
  <c r="LB24" i="1"/>
  <c r="LC23" i="1"/>
  <c r="LB23" i="1"/>
  <c r="LC22" i="1"/>
  <c r="LB22" i="1"/>
  <c r="LC21" i="1"/>
  <c r="LB21" i="1"/>
  <c r="LC20" i="1"/>
  <c r="LB20" i="1"/>
  <c r="LC19" i="1"/>
  <c r="LB19" i="1"/>
  <c r="LC18" i="1"/>
  <c r="LB18" i="1"/>
  <c r="LC17" i="1"/>
  <c r="LB17" i="1"/>
  <c r="LC16" i="1"/>
  <c r="LB16" i="1"/>
  <c r="LC15" i="1"/>
  <c r="LB15" i="1"/>
  <c r="LC14" i="1"/>
  <c r="LB14" i="1"/>
  <c r="LC13" i="1"/>
  <c r="LB13" i="1"/>
  <c r="LC12" i="1"/>
  <c r="LB12" i="1"/>
  <c r="LC11" i="1"/>
  <c r="LB11" i="1"/>
  <c r="LB10" i="1"/>
  <c r="LC10" i="1"/>
  <c r="LC9" i="1"/>
  <c r="LB9" i="1"/>
  <c r="LB8" i="1"/>
  <c r="LC8" i="1"/>
  <c r="LC7" i="1"/>
  <c r="LB7" i="1"/>
  <c r="LC6" i="1"/>
  <c r="LB6" i="1"/>
  <c r="PP141" i="4"/>
  <c r="DE18" i="5" s="1"/>
  <c r="PO141" i="4"/>
  <c r="PO140" i="4"/>
  <c r="PO139" i="4"/>
  <c r="PO138" i="4"/>
  <c r="PO137" i="4"/>
  <c r="PO136" i="4"/>
  <c r="PO135" i="4"/>
  <c r="PO134" i="4"/>
  <c r="PO133" i="4"/>
  <c r="PO132" i="4"/>
  <c r="PO131" i="4"/>
  <c r="PO130" i="4"/>
  <c r="PP129" i="4"/>
  <c r="DE25" i="5" s="1"/>
  <c r="PO129" i="4"/>
  <c r="PO128" i="4"/>
  <c r="PO127" i="4"/>
  <c r="PO126" i="4"/>
  <c r="PO125" i="4"/>
  <c r="PO124" i="4"/>
  <c r="PO123" i="4"/>
  <c r="PP123" i="4" s="1"/>
  <c r="PO122" i="4"/>
  <c r="PP122" i="4" s="1"/>
  <c r="PO121" i="4"/>
  <c r="PP121" i="4" s="1"/>
  <c r="PO120" i="4"/>
  <c r="PP120" i="4" s="1"/>
  <c r="PO119" i="4"/>
  <c r="PP119" i="4" s="1"/>
  <c r="PO118" i="4"/>
  <c r="PP118" i="4" s="1"/>
  <c r="PO117" i="4"/>
  <c r="PP117" i="4" s="1"/>
  <c r="PO116" i="4"/>
  <c r="PO115" i="4"/>
  <c r="PO114" i="4"/>
  <c r="PO113" i="4"/>
  <c r="PP112" i="4"/>
  <c r="DE22" i="5" s="1"/>
  <c r="PO112" i="4"/>
  <c r="PO111" i="4"/>
  <c r="PO110" i="4"/>
  <c r="PO109" i="4"/>
  <c r="PO108" i="4"/>
  <c r="PO107" i="4"/>
  <c r="PO106" i="4"/>
  <c r="PO105" i="4"/>
  <c r="PO104" i="4"/>
  <c r="PO103" i="4"/>
  <c r="PP103" i="4" s="1"/>
  <c r="PO102" i="4"/>
  <c r="PP102" i="4" s="1"/>
  <c r="PO101" i="4"/>
  <c r="PP101" i="4" s="1"/>
  <c r="PO100" i="4"/>
  <c r="PP100" i="4" s="1"/>
  <c r="PP99" i="4"/>
  <c r="DE17" i="5" s="1"/>
  <c r="PO99" i="4"/>
  <c r="PP98" i="4"/>
  <c r="DE16" i="5" s="1"/>
  <c r="PO98" i="4"/>
  <c r="PO97" i="4"/>
  <c r="PO96" i="4"/>
  <c r="PO95" i="4"/>
  <c r="PO94" i="4"/>
  <c r="PO93" i="4"/>
  <c r="PO92" i="4"/>
  <c r="PO91" i="4"/>
  <c r="PO90" i="4"/>
  <c r="PO89" i="4"/>
  <c r="PO88" i="4"/>
  <c r="PO87" i="4"/>
  <c r="PO86" i="4"/>
  <c r="PO85" i="4"/>
  <c r="PO84" i="4"/>
  <c r="PO83" i="4"/>
  <c r="PO82" i="4"/>
  <c r="PO81" i="4"/>
  <c r="PO80" i="4"/>
  <c r="PO79" i="4"/>
  <c r="PP69" i="4"/>
  <c r="DD18" i="5" s="1"/>
  <c r="PO69" i="4"/>
  <c r="PO68" i="4"/>
  <c r="PO67" i="4"/>
  <c r="PO66" i="4"/>
  <c r="PO65" i="4"/>
  <c r="PO64" i="4"/>
  <c r="PO63" i="4"/>
  <c r="PO62" i="4"/>
  <c r="PO61" i="4"/>
  <c r="PO60" i="4"/>
  <c r="PO59" i="4"/>
  <c r="PO58" i="4"/>
  <c r="PP57" i="4"/>
  <c r="DD25" i="5" s="1"/>
  <c r="PO57" i="4"/>
  <c r="PO56" i="4"/>
  <c r="PO55" i="4"/>
  <c r="PO54" i="4"/>
  <c r="PO53" i="4"/>
  <c r="PO52" i="4"/>
  <c r="PO51" i="4"/>
  <c r="PP51" i="4" s="1"/>
  <c r="PO50" i="4"/>
  <c r="PP50" i="4" s="1"/>
  <c r="PO49" i="4"/>
  <c r="PP49" i="4" s="1"/>
  <c r="PO48" i="4"/>
  <c r="PP48" i="4" s="1"/>
  <c r="PO47" i="4"/>
  <c r="PP47" i="4" s="1"/>
  <c r="PO46" i="4"/>
  <c r="PP46" i="4" s="1"/>
  <c r="PO45" i="4"/>
  <c r="PP45" i="4" s="1"/>
  <c r="PO44" i="4"/>
  <c r="PO43" i="4"/>
  <c r="PO42" i="4"/>
  <c r="PO41" i="4"/>
  <c r="PP40" i="4"/>
  <c r="DD22" i="5" s="1"/>
  <c r="PO40" i="4"/>
  <c r="PO39" i="4"/>
  <c r="PO38" i="4"/>
  <c r="PO37" i="4"/>
  <c r="PO36" i="4"/>
  <c r="PO35" i="4"/>
  <c r="PO34" i="4"/>
  <c r="PO33" i="4"/>
  <c r="PO32" i="4"/>
  <c r="PO31" i="4"/>
  <c r="PP31" i="4" s="1"/>
  <c r="PO30" i="4"/>
  <c r="PP30" i="4" s="1"/>
  <c r="PO29" i="4"/>
  <c r="PP29" i="4" s="1"/>
  <c r="PO28" i="4"/>
  <c r="PP28" i="4" s="1"/>
  <c r="PP27" i="4"/>
  <c r="DD17" i="5" s="1"/>
  <c r="PO27" i="4"/>
  <c r="PP26" i="4"/>
  <c r="DD16" i="5" s="1"/>
  <c r="PO26" i="4"/>
  <c r="PO25" i="4"/>
  <c r="PO24" i="4"/>
  <c r="PO23" i="4"/>
  <c r="PO22" i="4"/>
  <c r="PO21" i="4"/>
  <c r="PO20" i="4"/>
  <c r="PO19" i="4"/>
  <c r="PO18" i="4"/>
  <c r="PO17" i="4"/>
  <c r="PO16" i="4"/>
  <c r="PO15" i="4"/>
  <c r="PO14" i="4"/>
  <c r="PO13" i="4"/>
  <c r="PO12" i="4"/>
  <c r="PO11" i="4"/>
  <c r="PO10" i="4"/>
  <c r="PO9" i="4"/>
  <c r="PO8" i="4"/>
  <c r="PO7" i="4"/>
  <c r="PH141" i="4"/>
  <c r="DC18" i="5" s="1"/>
  <c r="PG141" i="4"/>
  <c r="PG140" i="4"/>
  <c r="PG139" i="4"/>
  <c r="PG138" i="4"/>
  <c r="PG137" i="4"/>
  <c r="PG136" i="4"/>
  <c r="PG135" i="4"/>
  <c r="PG134" i="4"/>
  <c r="PG133" i="4"/>
  <c r="PG132" i="4"/>
  <c r="PG131" i="4"/>
  <c r="PG130" i="4"/>
  <c r="PH129" i="4"/>
  <c r="DC25" i="5" s="1"/>
  <c r="PG129" i="4"/>
  <c r="PG128" i="4"/>
  <c r="PG127" i="4"/>
  <c r="PG126" i="4"/>
  <c r="PG125" i="4"/>
  <c r="PG124" i="4"/>
  <c r="PG123" i="4"/>
  <c r="PH123" i="4" s="1"/>
  <c r="PG122" i="4"/>
  <c r="PH122" i="4" s="1"/>
  <c r="PG121" i="4"/>
  <c r="PH121" i="4" s="1"/>
  <c r="PG120" i="4"/>
  <c r="PH120" i="4" s="1"/>
  <c r="PG119" i="4"/>
  <c r="PH119" i="4" s="1"/>
  <c r="PG118" i="4"/>
  <c r="PH118" i="4" s="1"/>
  <c r="PG117" i="4"/>
  <c r="PH117" i="4" s="1"/>
  <c r="PG116" i="4"/>
  <c r="PG115" i="4"/>
  <c r="PG114" i="4"/>
  <c r="PG113" i="4"/>
  <c r="PH112" i="4"/>
  <c r="DC22" i="5" s="1"/>
  <c r="PG112" i="4"/>
  <c r="PG111" i="4"/>
  <c r="PG110" i="4"/>
  <c r="PG109" i="4"/>
  <c r="PG108" i="4"/>
  <c r="PG107" i="4"/>
  <c r="PG106" i="4"/>
  <c r="PG105" i="4"/>
  <c r="PG104" i="4"/>
  <c r="PG103" i="4"/>
  <c r="PH103" i="4" s="1"/>
  <c r="PG102" i="4"/>
  <c r="PH102" i="4" s="1"/>
  <c r="PG101" i="4"/>
  <c r="PH101" i="4" s="1"/>
  <c r="PG100" i="4"/>
  <c r="PH100" i="4" s="1"/>
  <c r="PH99" i="4"/>
  <c r="DC17" i="5" s="1"/>
  <c r="PG99" i="4"/>
  <c r="PH98" i="4"/>
  <c r="DC16" i="5" s="1"/>
  <c r="PG98" i="4"/>
  <c r="PG97" i="4"/>
  <c r="PG96" i="4"/>
  <c r="PG95" i="4"/>
  <c r="PG94" i="4"/>
  <c r="PG93" i="4"/>
  <c r="PG92" i="4"/>
  <c r="PG91" i="4"/>
  <c r="PG90" i="4"/>
  <c r="PG89" i="4"/>
  <c r="PG88" i="4"/>
  <c r="PG87" i="4"/>
  <c r="PG86" i="4"/>
  <c r="PG85" i="4"/>
  <c r="PG84" i="4"/>
  <c r="PG83" i="4"/>
  <c r="PG82" i="4"/>
  <c r="PG81" i="4"/>
  <c r="PG80" i="4"/>
  <c r="PG79" i="4"/>
  <c r="PH69" i="4"/>
  <c r="DB18" i="5" s="1"/>
  <c r="PG69" i="4"/>
  <c r="PG68" i="4"/>
  <c r="PG67" i="4"/>
  <c r="PG66" i="4"/>
  <c r="PG65" i="4"/>
  <c r="PG64" i="4"/>
  <c r="PG63" i="4"/>
  <c r="PG62" i="4"/>
  <c r="PG61" i="4"/>
  <c r="PG60" i="4"/>
  <c r="PG59" i="4"/>
  <c r="PG58" i="4"/>
  <c r="PH57" i="4"/>
  <c r="DB25" i="5" s="1"/>
  <c r="PG57" i="4"/>
  <c r="PG56" i="4"/>
  <c r="PG55" i="4"/>
  <c r="PG54" i="4"/>
  <c r="PG53" i="4"/>
  <c r="PG52" i="4"/>
  <c r="PG51" i="4"/>
  <c r="PH51" i="4" s="1"/>
  <c r="PG50" i="4"/>
  <c r="PH50" i="4" s="1"/>
  <c r="PG49" i="4"/>
  <c r="PH49" i="4" s="1"/>
  <c r="PG48" i="4"/>
  <c r="PH48" i="4" s="1"/>
  <c r="PG47" i="4"/>
  <c r="PH47" i="4" s="1"/>
  <c r="PG46" i="4"/>
  <c r="PH46" i="4" s="1"/>
  <c r="PG45" i="4"/>
  <c r="PH45" i="4" s="1"/>
  <c r="PG44" i="4"/>
  <c r="PG43" i="4"/>
  <c r="PG42" i="4"/>
  <c r="PG41" i="4"/>
  <c r="PH40" i="4"/>
  <c r="DB22" i="5" s="1"/>
  <c r="PG40" i="4"/>
  <c r="PG39" i="4"/>
  <c r="PG38" i="4"/>
  <c r="PG37" i="4"/>
  <c r="PG36" i="4"/>
  <c r="PG35" i="4"/>
  <c r="PG34" i="4"/>
  <c r="PG33" i="4"/>
  <c r="PG32" i="4"/>
  <c r="PG31" i="4"/>
  <c r="PH31" i="4" s="1"/>
  <c r="PG30" i="4"/>
  <c r="PH30" i="4" s="1"/>
  <c r="PG29" i="4"/>
  <c r="PH29" i="4" s="1"/>
  <c r="PG28" i="4"/>
  <c r="PH28" i="4" s="1"/>
  <c r="PH27" i="4"/>
  <c r="DB17" i="5" s="1"/>
  <c r="PG27" i="4"/>
  <c r="PH26" i="4"/>
  <c r="DB16" i="5" s="1"/>
  <c r="PG26" i="4"/>
  <c r="PG25" i="4"/>
  <c r="PG24" i="4"/>
  <c r="PG23" i="4"/>
  <c r="PG22" i="4"/>
  <c r="PG21" i="4"/>
  <c r="PG20" i="4"/>
  <c r="PG19" i="4"/>
  <c r="PG18" i="4"/>
  <c r="PG17" i="4"/>
  <c r="PG16" i="4"/>
  <c r="PG15" i="4"/>
  <c r="PG14" i="4"/>
  <c r="PG13" i="4"/>
  <c r="PG12" i="4"/>
  <c r="PG11" i="4"/>
  <c r="PG10" i="4"/>
  <c r="PG9" i="4"/>
  <c r="PG8" i="4"/>
  <c r="PG7" i="4"/>
  <c r="OZ141" i="4"/>
  <c r="DA18" i="5" s="1"/>
  <c r="OY141" i="4"/>
  <c r="OY140" i="4"/>
  <c r="OY139" i="4"/>
  <c r="OY138" i="4"/>
  <c r="OY137" i="4"/>
  <c r="OY136" i="4"/>
  <c r="OY135" i="4"/>
  <c r="OY134" i="4"/>
  <c r="OY133" i="4"/>
  <c r="OY132" i="4"/>
  <c r="OY131" i="4"/>
  <c r="OY130" i="4"/>
  <c r="OZ129" i="4"/>
  <c r="DA25" i="5" s="1"/>
  <c r="OY129" i="4"/>
  <c r="OY128" i="4"/>
  <c r="OY127" i="4"/>
  <c r="OY126" i="4"/>
  <c r="OY125" i="4"/>
  <c r="OY124" i="4"/>
  <c r="OY123" i="4"/>
  <c r="OZ123" i="4" s="1"/>
  <c r="OY122" i="4"/>
  <c r="OZ122" i="4" s="1"/>
  <c r="OY121" i="4"/>
  <c r="OZ121" i="4" s="1"/>
  <c r="OY120" i="4"/>
  <c r="OZ120" i="4" s="1"/>
  <c r="OY119" i="4"/>
  <c r="OZ119" i="4" s="1"/>
  <c r="OY118" i="4"/>
  <c r="OZ118" i="4" s="1"/>
  <c r="OY117" i="4"/>
  <c r="OZ117" i="4" s="1"/>
  <c r="OY116" i="4"/>
  <c r="OY115" i="4"/>
  <c r="OY114" i="4"/>
  <c r="OY113" i="4"/>
  <c r="OZ112" i="4"/>
  <c r="DA22" i="5" s="1"/>
  <c r="OY112" i="4"/>
  <c r="OY111" i="4"/>
  <c r="OY110" i="4"/>
  <c r="OY109" i="4"/>
  <c r="OY108" i="4"/>
  <c r="OY107" i="4"/>
  <c r="OY106" i="4"/>
  <c r="OY105" i="4"/>
  <c r="OY104" i="4"/>
  <c r="OY103" i="4"/>
  <c r="OZ103" i="4" s="1"/>
  <c r="OY102" i="4"/>
  <c r="OZ102" i="4" s="1"/>
  <c r="OY101" i="4"/>
  <c r="OZ101" i="4" s="1"/>
  <c r="OY100" i="4"/>
  <c r="OZ100" i="4" s="1"/>
  <c r="OZ99" i="4"/>
  <c r="DA17" i="5" s="1"/>
  <c r="OY99" i="4"/>
  <c r="OZ98" i="4"/>
  <c r="DA16" i="5" s="1"/>
  <c r="OY98" i="4"/>
  <c r="OY97" i="4"/>
  <c r="OY96" i="4"/>
  <c r="OY95" i="4"/>
  <c r="OY94" i="4"/>
  <c r="OY93" i="4"/>
  <c r="OY92" i="4"/>
  <c r="OY91" i="4"/>
  <c r="OY90" i="4"/>
  <c r="OY89" i="4"/>
  <c r="OY88" i="4"/>
  <c r="OY87" i="4"/>
  <c r="OY86" i="4"/>
  <c r="OY85" i="4"/>
  <c r="OY84" i="4"/>
  <c r="OY83" i="4"/>
  <c r="OY82" i="4"/>
  <c r="OY81" i="4"/>
  <c r="OY80" i="4"/>
  <c r="OY79" i="4"/>
  <c r="OZ69" i="4"/>
  <c r="CZ18" i="5" s="1"/>
  <c r="OY69" i="4"/>
  <c r="OY68" i="4"/>
  <c r="OY67" i="4"/>
  <c r="OY66" i="4"/>
  <c r="OY65" i="4"/>
  <c r="OY64" i="4"/>
  <c r="OY63" i="4"/>
  <c r="OY62" i="4"/>
  <c r="OY61" i="4"/>
  <c r="OY60" i="4"/>
  <c r="OY59" i="4"/>
  <c r="OY58" i="4"/>
  <c r="OZ57" i="4"/>
  <c r="CZ25" i="5" s="1"/>
  <c r="OY57" i="4"/>
  <c r="OY56" i="4"/>
  <c r="OY55" i="4"/>
  <c r="OY54" i="4"/>
  <c r="OY53" i="4"/>
  <c r="OY52" i="4"/>
  <c r="OY51" i="4"/>
  <c r="OZ51" i="4" s="1"/>
  <c r="OY50" i="4"/>
  <c r="OZ50" i="4" s="1"/>
  <c r="OY49" i="4"/>
  <c r="OZ49" i="4" s="1"/>
  <c r="OY48" i="4"/>
  <c r="OZ48" i="4" s="1"/>
  <c r="OY47" i="4"/>
  <c r="OZ47" i="4" s="1"/>
  <c r="OY46" i="4"/>
  <c r="OZ46" i="4" s="1"/>
  <c r="OY45" i="4"/>
  <c r="OZ45" i="4" s="1"/>
  <c r="OY44" i="4"/>
  <c r="OY43" i="4"/>
  <c r="OY42" i="4"/>
  <c r="OY41" i="4"/>
  <c r="OZ40" i="4"/>
  <c r="CZ22" i="5" s="1"/>
  <c r="OY40" i="4"/>
  <c r="OY39" i="4"/>
  <c r="OY38" i="4"/>
  <c r="OY37" i="4"/>
  <c r="OY36" i="4"/>
  <c r="OY35" i="4"/>
  <c r="OY34" i="4"/>
  <c r="OY33" i="4"/>
  <c r="OY32" i="4"/>
  <c r="OY31" i="4"/>
  <c r="OZ31" i="4" s="1"/>
  <c r="OY30" i="4"/>
  <c r="OZ30" i="4" s="1"/>
  <c r="OY29" i="4"/>
  <c r="OZ29" i="4" s="1"/>
  <c r="OY28" i="4"/>
  <c r="OZ28" i="4" s="1"/>
  <c r="OZ27" i="4"/>
  <c r="CZ17" i="5" s="1"/>
  <c r="OY27" i="4"/>
  <c r="OZ26" i="4"/>
  <c r="CZ16" i="5" s="1"/>
  <c r="OY26" i="4"/>
  <c r="OY25" i="4"/>
  <c r="OY24" i="4"/>
  <c r="OY23" i="4"/>
  <c r="OY22" i="4"/>
  <c r="OY21" i="4"/>
  <c r="OY20" i="4"/>
  <c r="OY19" i="4"/>
  <c r="OY18" i="4"/>
  <c r="OY17" i="4"/>
  <c r="OY16" i="4"/>
  <c r="OY15" i="4"/>
  <c r="OY14" i="4"/>
  <c r="OY13" i="4"/>
  <c r="OY12" i="4"/>
  <c r="OY11" i="4"/>
  <c r="OY10" i="4"/>
  <c r="OY9" i="4"/>
  <c r="OY8" i="4"/>
  <c r="OY7" i="4"/>
  <c r="LI115" i="1" l="1"/>
  <c r="LI137" i="1"/>
  <c r="LO57" i="1"/>
  <c r="LN35" i="1"/>
  <c r="DN34" i="5"/>
  <c r="V38" i="36"/>
  <c r="AB162" i="36"/>
  <c r="AA162" i="36"/>
  <c r="LI76" i="1"/>
  <c r="LK75" i="1"/>
  <c r="LN28" i="1"/>
  <c r="V54" i="36"/>
  <c r="B22" i="9"/>
  <c r="B17" i="9"/>
  <c r="OZ15" i="4"/>
  <c r="CZ10" i="5" s="1"/>
  <c r="PH15" i="4"/>
  <c r="DB10" i="5" s="1"/>
  <c r="DB65" i="5" s="1"/>
  <c r="LN42" i="1"/>
  <c r="AB167" i="36"/>
  <c r="AA167" i="36"/>
  <c r="B11" i="9"/>
  <c r="B28" i="9"/>
  <c r="B27" i="9"/>
  <c r="LK59" i="1"/>
  <c r="LN24" i="1"/>
  <c r="DN52" i="5"/>
  <c r="DO52" i="5" s="1"/>
  <c r="AA177" i="36"/>
  <c r="AC177" i="36"/>
  <c r="B15" i="9"/>
  <c r="LF168" i="1"/>
  <c r="LF173" i="1"/>
  <c r="LH111" i="1"/>
  <c r="LH120" i="1"/>
  <c r="LN118" i="1"/>
  <c r="LO124" i="1"/>
  <c r="DI80" i="5"/>
  <c r="B6" i="9"/>
  <c r="B10" i="9"/>
  <c r="DI138" i="5"/>
  <c r="AA154" i="36"/>
  <c r="AB154" i="36"/>
  <c r="B16" i="9"/>
  <c r="B8" i="9"/>
  <c r="B24" i="9"/>
  <c r="V21" i="36"/>
  <c r="LH163" i="1"/>
  <c r="LI171" i="1"/>
  <c r="LN56" i="1"/>
  <c r="LO137" i="1"/>
  <c r="DN39" i="5"/>
  <c r="DO39" i="5" s="1"/>
  <c r="V41" i="36"/>
  <c r="V35" i="36" s="1"/>
  <c r="LF152" i="1"/>
  <c r="LF149" i="1"/>
  <c r="LF161" i="1"/>
  <c r="LH161" i="1" s="1"/>
  <c r="DC52" i="5" s="1"/>
  <c r="LN122" i="1"/>
  <c r="LK146" i="1"/>
  <c r="LF148" i="1"/>
  <c r="LI148" i="1" s="1"/>
  <c r="LB59" i="1"/>
  <c r="LH62" i="1"/>
  <c r="LH64" i="1"/>
  <c r="LH157" i="1"/>
  <c r="LI165" i="1"/>
  <c r="LO24" i="1"/>
  <c r="LO46" i="1"/>
  <c r="LO56" i="1"/>
  <c r="LK61" i="1"/>
  <c r="LN61" i="1" s="1"/>
  <c r="DD39" i="5" s="1"/>
  <c r="LL81" i="1"/>
  <c r="LN81" i="1" s="1"/>
  <c r="LN166" i="1"/>
  <c r="LN170" i="1"/>
  <c r="DH67" i="5"/>
  <c r="LH86" i="1"/>
  <c r="LO59" i="1"/>
  <c r="LN86" i="1"/>
  <c r="LN74" i="1"/>
  <c r="LO78" i="1"/>
  <c r="LO84" i="1"/>
  <c r="LO86" i="1"/>
  <c r="LC72" i="1"/>
  <c r="LF159" i="1"/>
  <c r="LO28" i="1"/>
  <c r="LI77" i="1"/>
  <c r="LN68" i="1"/>
  <c r="LO97" i="1"/>
  <c r="LO100" i="1"/>
  <c r="LN126" i="1"/>
  <c r="LO153" i="1"/>
  <c r="LI64" i="1"/>
  <c r="LI66" i="1"/>
  <c r="LH133" i="1"/>
  <c r="LH155" i="1"/>
  <c r="LH105" i="1"/>
  <c r="LH112" i="1"/>
  <c r="LN50" i="1"/>
  <c r="LN83" i="1"/>
  <c r="LO126" i="1"/>
  <c r="LO165" i="1"/>
  <c r="V48" i="36"/>
  <c r="LN124" i="1"/>
  <c r="LI59" i="1"/>
  <c r="LI67" i="1"/>
  <c r="LI69" i="1"/>
  <c r="LI71" i="1"/>
  <c r="LH77" i="1"/>
  <c r="LI164" i="1"/>
  <c r="LH107" i="1"/>
  <c r="LO161" i="1"/>
  <c r="DK74" i="5"/>
  <c r="DK69" i="5"/>
  <c r="DF84" i="5"/>
  <c r="DG69" i="5"/>
  <c r="DJ69" i="5"/>
  <c r="LC76" i="1"/>
  <c r="LH113" i="1"/>
  <c r="LL66" i="1"/>
  <c r="LO66" i="1" s="1"/>
  <c r="DO20" i="5"/>
  <c r="DN19" i="5"/>
  <c r="DL61" i="5"/>
  <c r="DM74" i="5"/>
  <c r="DN6" i="5"/>
  <c r="V8" i="36"/>
  <c r="V43" i="36"/>
  <c r="DF74" i="5"/>
  <c r="LB170" i="1"/>
  <c r="LC157" i="1"/>
  <c r="LH56" i="1"/>
  <c r="LH58" i="1"/>
  <c r="LI65" i="1"/>
  <c r="LI79" i="1"/>
  <c r="LI81" i="1"/>
  <c r="LH132" i="1"/>
  <c r="LN10" i="1"/>
  <c r="LL62" i="1"/>
  <c r="LO68" i="1"/>
  <c r="LO70" i="1"/>
  <c r="LO170" i="1"/>
  <c r="DK61" i="5"/>
  <c r="DK84" i="5"/>
  <c r="DQ162" i="5"/>
  <c r="DP161" i="5"/>
  <c r="DP149" i="5"/>
  <c r="DO148" i="5"/>
  <c r="DO171" i="5"/>
  <c r="DO34" i="5"/>
  <c r="DP34" i="5" s="1"/>
  <c r="DN33" i="5"/>
  <c r="LI132" i="1"/>
  <c r="LO10" i="1"/>
  <c r="LO60" i="1"/>
  <c r="LO77" i="1"/>
  <c r="LO83" i="1"/>
  <c r="DI69" i="5"/>
  <c r="DM69" i="5"/>
  <c r="DH74" i="5"/>
  <c r="DF61" i="5"/>
  <c r="PP140" i="4"/>
  <c r="DE13" i="5" s="1"/>
  <c r="LB56" i="1"/>
  <c r="LB58" i="1"/>
  <c r="LB60" i="1"/>
  <c r="LB62" i="1"/>
  <c r="LB64" i="1"/>
  <c r="LB70" i="1"/>
  <c r="LI107" i="1"/>
  <c r="LH153" i="1"/>
  <c r="LL73" i="1"/>
  <c r="LN73" i="1" s="1"/>
  <c r="DD51" i="5" s="1"/>
  <c r="LL76" i="1"/>
  <c r="LO76" i="1" s="1"/>
  <c r="DG84" i="5"/>
  <c r="DG61" i="5"/>
  <c r="DG74" i="5"/>
  <c r="DI74" i="5"/>
  <c r="DJ61" i="5"/>
  <c r="DJ84" i="5"/>
  <c r="DJ74" i="5"/>
  <c r="DM84" i="5"/>
  <c r="DM61" i="5"/>
  <c r="DO42" i="5"/>
  <c r="PH63" i="4"/>
  <c r="DB27" i="5" s="1"/>
  <c r="PH89" i="4"/>
  <c r="DC10" i="5" s="1"/>
  <c r="LB74" i="1"/>
  <c r="LB76" i="1"/>
  <c r="LB78" i="1"/>
  <c r="LB80" i="1"/>
  <c r="LB82" i="1"/>
  <c r="LB86" i="1"/>
  <c r="LH59" i="1"/>
  <c r="LI78" i="1"/>
  <c r="LI84" i="1"/>
  <c r="LN57" i="1"/>
  <c r="LN80" i="1"/>
  <c r="DI84" i="5"/>
  <c r="DI61" i="5"/>
  <c r="DL74" i="5"/>
  <c r="DH84" i="5"/>
  <c r="DH61" i="5"/>
  <c r="DH69" i="5"/>
  <c r="DN46" i="5"/>
  <c r="DP53" i="5"/>
  <c r="DQ53" i="5" s="1"/>
  <c r="DN71" i="5"/>
  <c r="DQ168" i="5"/>
  <c r="W174" i="36" s="1"/>
  <c r="DP54" i="5"/>
  <c r="DQ54" i="5" s="1"/>
  <c r="DP20" i="5"/>
  <c r="DO15" i="5"/>
  <c r="DO45" i="5"/>
  <c r="DO73" i="5" s="1"/>
  <c r="DP48" i="5"/>
  <c r="DQ48" i="5" s="1"/>
  <c r="DN63" i="5"/>
  <c r="DD80" i="5"/>
  <c r="DD73" i="5"/>
  <c r="DE77" i="5"/>
  <c r="DE73" i="5"/>
  <c r="DD72" i="5"/>
  <c r="DE71" i="5"/>
  <c r="DD77" i="5"/>
  <c r="DN65" i="5"/>
  <c r="DN67" i="5"/>
  <c r="DQ154" i="5"/>
  <c r="W160" i="36" s="1"/>
  <c r="U24" i="36"/>
  <c r="CZ77" i="5"/>
  <c r="U54" i="36"/>
  <c r="U27" i="36"/>
  <c r="AA27" i="36" s="1"/>
  <c r="CZ80" i="5"/>
  <c r="DA72" i="5"/>
  <c r="DB71" i="5"/>
  <c r="PH135" i="4"/>
  <c r="DC27" i="5" s="1"/>
  <c r="PP17" i="4"/>
  <c r="DD11" i="5" s="1"/>
  <c r="LC57" i="1"/>
  <c r="LC59" i="1"/>
  <c r="LC63" i="1"/>
  <c r="LC65" i="1"/>
  <c r="LC67" i="1"/>
  <c r="LC69" i="1"/>
  <c r="LB71" i="1"/>
  <c r="LB77" i="1"/>
  <c r="LB160" i="1"/>
  <c r="LB154" i="1"/>
  <c r="LC148" i="1"/>
  <c r="LH57" i="1"/>
  <c r="LH65" i="1"/>
  <c r="LI70" i="1"/>
  <c r="LH74" i="1"/>
  <c r="LH76" i="1"/>
  <c r="LI83" i="1"/>
  <c r="LI85" i="1"/>
  <c r="LI135" i="1"/>
  <c r="LI154" i="1"/>
  <c r="LO17" i="1"/>
  <c r="LO38" i="1"/>
  <c r="LO58" i="1"/>
  <c r="LO64" i="1"/>
  <c r="LN79" i="1"/>
  <c r="LN167" i="1"/>
  <c r="DN83" i="5"/>
  <c r="DQ28" i="5"/>
  <c r="W30" i="36" s="1"/>
  <c r="DP21" i="5"/>
  <c r="DP40" i="5"/>
  <c r="DP39" i="5"/>
  <c r="W161" i="36"/>
  <c r="DP157" i="5"/>
  <c r="DP156" i="5" s="1"/>
  <c r="DN138" i="5"/>
  <c r="DN80" i="5"/>
  <c r="DO13" i="5"/>
  <c r="DB73" i="5"/>
  <c r="LI170" i="1"/>
  <c r="DO134" i="5"/>
  <c r="DO76" i="5"/>
  <c r="U20" i="36"/>
  <c r="AA20" i="36" s="1"/>
  <c r="U47" i="36"/>
  <c r="CZ73" i="5"/>
  <c r="PH17" i="4"/>
  <c r="DB11" i="5" s="1"/>
  <c r="PP89" i="4"/>
  <c r="DE11" i="5" s="1"/>
  <c r="LC73" i="1"/>
  <c r="LC75" i="1"/>
  <c r="LC77" i="1"/>
  <c r="LC79" i="1"/>
  <c r="LC83" i="1"/>
  <c r="LC85" i="1"/>
  <c r="LI61" i="1"/>
  <c r="LI63" i="1"/>
  <c r="LH71" i="1"/>
  <c r="LH80" i="1"/>
  <c r="LH82" i="1"/>
  <c r="LH166" i="1"/>
  <c r="LH103" i="1"/>
  <c r="LH122" i="1"/>
  <c r="LH167" i="1"/>
  <c r="LH135" i="1"/>
  <c r="LN27" i="1"/>
  <c r="LN121" i="1"/>
  <c r="LN145" i="1"/>
  <c r="DE36" i="5" s="1"/>
  <c r="LL159" i="1"/>
  <c r="LO159" i="1" s="1"/>
  <c r="DO138" i="5"/>
  <c r="DO80" i="5"/>
  <c r="DN78" i="5"/>
  <c r="DL72" i="5"/>
  <c r="DL69" i="5" s="1"/>
  <c r="DO8" i="5"/>
  <c r="DN70" i="5"/>
  <c r="DO12" i="5"/>
  <c r="DN68" i="5"/>
  <c r="DO11" i="5"/>
  <c r="DE80" i="5"/>
  <c r="CZ65" i="5"/>
  <c r="U45" i="36"/>
  <c r="AA45" i="36" s="1"/>
  <c r="U18" i="36"/>
  <c r="AA18" i="36" s="1"/>
  <c r="CZ71" i="5"/>
  <c r="DA80" i="5"/>
  <c r="DB72" i="5"/>
  <c r="LO27" i="1"/>
  <c r="DD71" i="5"/>
  <c r="LL72" i="1"/>
  <c r="LN137" i="1"/>
  <c r="LO147" i="1"/>
  <c r="DN64" i="5"/>
  <c r="DN73" i="5"/>
  <c r="DO55" i="5"/>
  <c r="DO71" i="5"/>
  <c r="DN81" i="5"/>
  <c r="DN62" i="5"/>
  <c r="DO7" i="5"/>
  <c r="DN134" i="5"/>
  <c r="DN76" i="5"/>
  <c r="DO23" i="5"/>
  <c r="DN79" i="5"/>
  <c r="DN66" i="5"/>
  <c r="DN124" i="5"/>
  <c r="DA77" i="5"/>
  <c r="DA73" i="5"/>
  <c r="PH13" i="4"/>
  <c r="DB9" i="5" s="1"/>
  <c r="DB82" i="5"/>
  <c r="DC11" i="5"/>
  <c r="PP61" i="4"/>
  <c r="DD26" i="5" s="1"/>
  <c r="LI82" i="1"/>
  <c r="LE170" i="1"/>
  <c r="LH170" i="1" s="1"/>
  <c r="LN34" i="1"/>
  <c r="LN67" i="1"/>
  <c r="LO74" i="1"/>
  <c r="DP25" i="5"/>
  <c r="DQ22" i="5"/>
  <c r="W24" i="36" s="1"/>
  <c r="DO38" i="5"/>
  <c r="DP38" i="5" s="1"/>
  <c r="DP51" i="5"/>
  <c r="DQ51" i="5" s="1"/>
  <c r="DO50" i="5"/>
  <c r="DP50" i="5" s="1"/>
  <c r="DP18" i="5"/>
  <c r="DE72" i="5"/>
  <c r="DN75" i="5"/>
  <c r="DN133" i="5"/>
  <c r="U19" i="36"/>
  <c r="CZ72" i="5"/>
  <c r="DA71" i="5"/>
  <c r="DB77" i="5"/>
  <c r="DB80" i="5"/>
  <c r="PH140" i="4"/>
  <c r="DC13" i="5" s="1"/>
  <c r="PP10" i="4"/>
  <c r="DD8" i="5" s="1"/>
  <c r="LC58" i="1"/>
  <c r="LC171" i="1"/>
  <c r="LC167" i="1"/>
  <c r="LI58" i="1"/>
  <c r="LI60" i="1"/>
  <c r="LH68" i="1"/>
  <c r="LH70" i="1"/>
  <c r="LI73" i="1"/>
  <c r="LI75" i="1"/>
  <c r="LH83" i="1"/>
  <c r="LF151" i="1"/>
  <c r="LH151" i="1" s="1"/>
  <c r="DC44" i="5" s="1"/>
  <c r="LF160" i="1"/>
  <c r="LI160" i="1" s="1"/>
  <c r="LH165" i="1"/>
  <c r="LO71" i="1"/>
  <c r="LO80" i="1"/>
  <c r="LO82" i="1"/>
  <c r="LO154" i="1"/>
  <c r="LN158" i="1"/>
  <c r="LO164" i="1"/>
  <c r="DP52" i="5"/>
  <c r="DQ52" i="5" s="1"/>
  <c r="DP36" i="5"/>
  <c r="DQ36" i="5" s="1"/>
  <c r="DO37" i="5"/>
  <c r="DP37" i="5" s="1"/>
  <c r="DN44" i="5"/>
  <c r="DO44" i="5" s="1"/>
  <c r="DO9" i="5"/>
  <c r="DQ10" i="5"/>
  <c r="DO27" i="5"/>
  <c r="DO82" i="5" s="1"/>
  <c r="DP35" i="5"/>
  <c r="DQ35" i="5" s="1"/>
  <c r="DO47" i="5"/>
  <c r="DP17" i="5"/>
  <c r="DN77" i="5"/>
  <c r="DP43" i="5"/>
  <c r="DO24" i="5"/>
  <c r="DO26" i="5"/>
  <c r="DO49" i="5"/>
  <c r="DN82" i="5"/>
  <c r="LN85" i="1"/>
  <c r="DD40" i="5" s="1"/>
  <c r="LO81" i="1"/>
  <c r="LO75" i="1"/>
  <c r="LN75" i="1"/>
  <c r="DD53" i="5" s="1"/>
  <c r="LO72" i="1"/>
  <c r="LO69" i="1"/>
  <c r="LO65" i="1"/>
  <c r="LN65" i="1"/>
  <c r="LO63" i="1"/>
  <c r="LN62" i="1"/>
  <c r="DD42" i="5" s="1"/>
  <c r="DD41" i="5" s="1"/>
  <c r="LO62" i="1"/>
  <c r="LN163" i="1"/>
  <c r="DE54" i="5" s="1"/>
  <c r="PP135" i="4"/>
  <c r="DE27" i="5" s="1"/>
  <c r="PP97" i="4"/>
  <c r="DE15" i="5" s="1"/>
  <c r="DE14" i="5" s="1"/>
  <c r="LO143" i="1"/>
  <c r="LO145" i="1"/>
  <c r="LN147" i="1"/>
  <c r="LN151" i="1"/>
  <c r="LN153" i="1"/>
  <c r="LO166" i="1"/>
  <c r="LN168" i="1"/>
  <c r="OZ68" i="4"/>
  <c r="CZ13" i="5" s="1"/>
  <c r="OZ82" i="4"/>
  <c r="DA8" i="5" s="1"/>
  <c r="PH8" i="4"/>
  <c r="DB7" i="5" s="1"/>
  <c r="PP15" i="4"/>
  <c r="DD10" i="5" s="1"/>
  <c r="PP56" i="4"/>
  <c r="DD24" i="5" s="1"/>
  <c r="LB65" i="1"/>
  <c r="LB67" i="1"/>
  <c r="LH60" i="1"/>
  <c r="LI68" i="1"/>
  <c r="LH73" i="1"/>
  <c r="LH78" i="1"/>
  <c r="LI86" i="1"/>
  <c r="LE150" i="1"/>
  <c r="LH150" i="1" s="1"/>
  <c r="DC43" i="5" s="1"/>
  <c r="LH154" i="1"/>
  <c r="LE160" i="1"/>
  <c r="LH118" i="1"/>
  <c r="LN64" i="1"/>
  <c r="LN72" i="1"/>
  <c r="DD50" i="5" s="1"/>
  <c r="LN82" i="1"/>
  <c r="LO149" i="1"/>
  <c r="LN155" i="1"/>
  <c r="LN157" i="1"/>
  <c r="LN159" i="1"/>
  <c r="DE50" i="5" s="1"/>
  <c r="LN161" i="1"/>
  <c r="LN165" i="1"/>
  <c r="LO172" i="1"/>
  <c r="PH10" i="4"/>
  <c r="DB8" i="5" s="1"/>
  <c r="PH44" i="4"/>
  <c r="DB23" i="5" s="1"/>
  <c r="PH61" i="4"/>
  <c r="DB26" i="5" s="1"/>
  <c r="PH80" i="4"/>
  <c r="DC7" i="5" s="1"/>
  <c r="PP80" i="4"/>
  <c r="DE7" i="5" s="1"/>
  <c r="LC71" i="1"/>
  <c r="LB73" i="1"/>
  <c r="LC78" i="1"/>
  <c r="LC80" i="1"/>
  <c r="LC84" i="1"/>
  <c r="LC86" i="1"/>
  <c r="LB164" i="1"/>
  <c r="LI62" i="1"/>
  <c r="LH67" i="1"/>
  <c r="LH72" i="1"/>
  <c r="LI80" i="1"/>
  <c r="LH85" i="1"/>
  <c r="LI146" i="1"/>
  <c r="LH114" i="1"/>
  <c r="LN58" i="1"/>
  <c r="DD36" i="5" s="1"/>
  <c r="LN76" i="1"/>
  <c r="DD54" i="5" s="1"/>
  <c r="LN84" i="1"/>
  <c r="LN146" i="1"/>
  <c r="DE37" i="5" s="1"/>
  <c r="LN148" i="1"/>
  <c r="DE39" i="5" s="1"/>
  <c r="LO157" i="1"/>
  <c r="LN169" i="1"/>
  <c r="LN171" i="1"/>
  <c r="LN173" i="1"/>
  <c r="LO146" i="1"/>
  <c r="LO150" i="1"/>
  <c r="LO152" i="1"/>
  <c r="LN160" i="1"/>
  <c r="DE51" i="5" s="1"/>
  <c r="LO171" i="1"/>
  <c r="LO173" i="1"/>
  <c r="PH25" i="4"/>
  <c r="DB15" i="5" s="1"/>
  <c r="DB14" i="5" s="1"/>
  <c r="LH164" i="1"/>
  <c r="LE147" i="1"/>
  <c r="LN59" i="1"/>
  <c r="DD37" i="5" s="1"/>
  <c r="LN69" i="1"/>
  <c r="DD47" i="5" s="1"/>
  <c r="LN77" i="1"/>
  <c r="OZ10" i="4"/>
  <c r="CZ8" i="5" s="1"/>
  <c r="PH68" i="4"/>
  <c r="DB13" i="5" s="1"/>
  <c r="PH82" i="4"/>
  <c r="DC8" i="5" s="1"/>
  <c r="PH87" i="4"/>
  <c r="PH111" i="4"/>
  <c r="DC21" i="5" s="1"/>
  <c r="PP82" i="4"/>
  <c r="DE8" i="5" s="1"/>
  <c r="PP87" i="4"/>
  <c r="DE10" i="5" s="1"/>
  <c r="PP111" i="4"/>
  <c r="DE21" i="5" s="1"/>
  <c r="LC60" i="1"/>
  <c r="LC62" i="1"/>
  <c r="LC66" i="1"/>
  <c r="LC68" i="1"/>
  <c r="LB72" i="1"/>
  <c r="LB83" i="1"/>
  <c r="LB85" i="1"/>
  <c r="LC165" i="1"/>
  <c r="LC163" i="1"/>
  <c r="LC161" i="1"/>
  <c r="LC159" i="1"/>
  <c r="LC153" i="1"/>
  <c r="LC151" i="1"/>
  <c r="LC147" i="1"/>
  <c r="LC145" i="1"/>
  <c r="LB143" i="1"/>
  <c r="LI56" i="1"/>
  <c r="LH61" i="1"/>
  <c r="LH66" i="1"/>
  <c r="LI74" i="1"/>
  <c r="LH79" i="1"/>
  <c r="LH84" i="1"/>
  <c r="LH100" i="1"/>
  <c r="LF144" i="1"/>
  <c r="LI144" i="1" s="1"/>
  <c r="LI153" i="1"/>
  <c r="LI155" i="1"/>
  <c r="LI157" i="1"/>
  <c r="LI163" i="1"/>
  <c r="LI166" i="1"/>
  <c r="LH171" i="1"/>
  <c r="LH102" i="1"/>
  <c r="LH115" i="1"/>
  <c r="LN60" i="1"/>
  <c r="LN70" i="1"/>
  <c r="LN78" i="1"/>
  <c r="PP63" i="4"/>
  <c r="DD27" i="5" s="1"/>
  <c r="PP39" i="4"/>
  <c r="DD21" i="5" s="1"/>
  <c r="OZ111" i="4"/>
  <c r="DA21" i="5" s="1"/>
  <c r="OZ140" i="4"/>
  <c r="DA13" i="5" s="1"/>
  <c r="PH21" i="4"/>
  <c r="DB12" i="5" s="1"/>
  <c r="PH35" i="4"/>
  <c r="DB20" i="5" s="1"/>
  <c r="PH66" i="4"/>
  <c r="DB28" i="5" s="1"/>
  <c r="PH107" i="4"/>
  <c r="DC20" i="5" s="1"/>
  <c r="PP85" i="4"/>
  <c r="DE9" i="5" s="1"/>
  <c r="PP128" i="4"/>
  <c r="DE24" i="5" s="1"/>
  <c r="PH56" i="4"/>
  <c r="DB24" i="5" s="1"/>
  <c r="PH133" i="4"/>
  <c r="DC26" i="5" s="1"/>
  <c r="PH138" i="4"/>
  <c r="DC28" i="5" s="1"/>
  <c r="PP35" i="4"/>
  <c r="DD20" i="5" s="1"/>
  <c r="PP66" i="4"/>
  <c r="DD28" i="5" s="1"/>
  <c r="PP93" i="4"/>
  <c r="DE12" i="5" s="1"/>
  <c r="PP116" i="4"/>
  <c r="DE23" i="5" s="1"/>
  <c r="OZ17" i="4"/>
  <c r="CZ11" i="5" s="1"/>
  <c r="PH85" i="4"/>
  <c r="DC9" i="5" s="1"/>
  <c r="PP8" i="4"/>
  <c r="DD7" i="5" s="1"/>
  <c r="PP13" i="4"/>
  <c r="DD9" i="5" s="1"/>
  <c r="PP68" i="4"/>
  <c r="DD13" i="5" s="1"/>
  <c r="PP107" i="4"/>
  <c r="DE20" i="5" s="1"/>
  <c r="PH39" i="4"/>
  <c r="DB21" i="5" s="1"/>
  <c r="PH116" i="4"/>
  <c r="DC23" i="5" s="1"/>
  <c r="PP133" i="4"/>
  <c r="DE26" i="5" s="1"/>
  <c r="PP138" i="4"/>
  <c r="DE28" i="5" s="1"/>
  <c r="LN149" i="1"/>
  <c r="LN143" i="1"/>
  <c r="DE34" i="5" s="1"/>
  <c r="LO148" i="1"/>
  <c r="LO163" i="1"/>
  <c r="LN152" i="1"/>
  <c r="LO155" i="1"/>
  <c r="LO158" i="1"/>
  <c r="LO160" i="1"/>
  <c r="LN164" i="1"/>
  <c r="LO167" i="1"/>
  <c r="LN172" i="1"/>
  <c r="DE40" i="5" s="1"/>
  <c r="LN154" i="1"/>
  <c r="LO169" i="1"/>
  <c r="LO151" i="1"/>
  <c r="LO168" i="1"/>
  <c r="LN144" i="1"/>
  <c r="LN162" i="1"/>
  <c r="DE53" i="5" s="1"/>
  <c r="LN156" i="1"/>
  <c r="DE47" i="5" s="1"/>
  <c r="DE46" i="5" s="1"/>
  <c r="LO144" i="1"/>
  <c r="LO156" i="1"/>
  <c r="LO162" i="1"/>
  <c r="LN150" i="1"/>
  <c r="LN93" i="1"/>
  <c r="LN95" i="1"/>
  <c r="LN97" i="1"/>
  <c r="LN123" i="1"/>
  <c r="LO61" i="1"/>
  <c r="LO67" i="1"/>
  <c r="LO79" i="1"/>
  <c r="LO85" i="1"/>
  <c r="LI173" i="1"/>
  <c r="LH173" i="1"/>
  <c r="DC45" i="5" s="1"/>
  <c r="LH138" i="1"/>
  <c r="LI172" i="1"/>
  <c r="LH172" i="1"/>
  <c r="DC40" i="5" s="1"/>
  <c r="LH137" i="1"/>
  <c r="LI134" i="1"/>
  <c r="LI169" i="1"/>
  <c r="LH169" i="1"/>
  <c r="LI167" i="1"/>
  <c r="LH168" i="1"/>
  <c r="LF162" i="1"/>
  <c r="LI162" i="1" s="1"/>
  <c r="LH124" i="1"/>
  <c r="LH123" i="1"/>
  <c r="LH121" i="1"/>
  <c r="LH159" i="1"/>
  <c r="DC50" i="5" s="1"/>
  <c r="LI159" i="1"/>
  <c r="LI158" i="1"/>
  <c r="LH158" i="1"/>
  <c r="DC49" i="5" s="1"/>
  <c r="LH156" i="1"/>
  <c r="DC47" i="5" s="1"/>
  <c r="LH152" i="1"/>
  <c r="LI152" i="1"/>
  <c r="LI151" i="1"/>
  <c r="LI149" i="1"/>
  <c r="LH149" i="1"/>
  <c r="DC42" i="5" s="1"/>
  <c r="LH104" i="1"/>
  <c r="LE148" i="1"/>
  <c r="LF147" i="1"/>
  <c r="LI147" i="1" s="1"/>
  <c r="LH146" i="1"/>
  <c r="DC37" i="5" s="1"/>
  <c r="LH97" i="1"/>
  <c r="LI97" i="1"/>
  <c r="LI145" i="1"/>
  <c r="LH145" i="1"/>
  <c r="DC36" i="5" s="1"/>
  <c r="LH95" i="1"/>
  <c r="LF143" i="1"/>
  <c r="LI143" i="1" s="1"/>
  <c r="LH93" i="1"/>
  <c r="LI150" i="1"/>
  <c r="LI156" i="1"/>
  <c r="LI168" i="1"/>
  <c r="LH63" i="1"/>
  <c r="LH69" i="1"/>
  <c r="LH75" i="1"/>
  <c r="LH81" i="1"/>
  <c r="LI57" i="1"/>
  <c r="LC146" i="1"/>
  <c r="LC144" i="1"/>
  <c r="LB145" i="1"/>
  <c r="LB148" i="1"/>
  <c r="LB146" i="1"/>
  <c r="LB144" i="1"/>
  <c r="LC143" i="1"/>
  <c r="LB151" i="1"/>
  <c r="LB161" i="1"/>
  <c r="LB173" i="1"/>
  <c r="LC162" i="1"/>
  <c r="LC160" i="1"/>
  <c r="LC158" i="1"/>
  <c r="LC156" i="1"/>
  <c r="LC152" i="1"/>
  <c r="LC150" i="1"/>
  <c r="LC154" i="1"/>
  <c r="LC172" i="1"/>
  <c r="LC170" i="1"/>
  <c r="LC168" i="1"/>
  <c r="LC166" i="1"/>
  <c r="LB162" i="1"/>
  <c r="LB158" i="1"/>
  <c r="LB156" i="1"/>
  <c r="LB152" i="1"/>
  <c r="LB150" i="1"/>
  <c r="LB172" i="1"/>
  <c r="LB168" i="1"/>
  <c r="LB166" i="1"/>
  <c r="LC155" i="1"/>
  <c r="LC149" i="1"/>
  <c r="LC169" i="1"/>
  <c r="LB157" i="1"/>
  <c r="LB155" i="1"/>
  <c r="LB149" i="1"/>
  <c r="LC173" i="1"/>
  <c r="LB163" i="1"/>
  <c r="LC64" i="1"/>
  <c r="LC82" i="1"/>
  <c r="LC56" i="1"/>
  <c r="LB61" i="1"/>
  <c r="LB66" i="1"/>
  <c r="LC74" i="1"/>
  <c r="LB79" i="1"/>
  <c r="LB84" i="1"/>
  <c r="LC61" i="1"/>
  <c r="LB68" i="1"/>
  <c r="LC81" i="1"/>
  <c r="LC70" i="1"/>
  <c r="LC164" i="1"/>
  <c r="LB147" i="1"/>
  <c r="LB153" i="1"/>
  <c r="LB169" i="1"/>
  <c r="LB114" i="1"/>
  <c r="LB159" i="1"/>
  <c r="LB165" i="1"/>
  <c r="LB171" i="1"/>
  <c r="LC122" i="1"/>
  <c r="LC124" i="1"/>
  <c r="LC134" i="1"/>
  <c r="LB110" i="1"/>
  <c r="LB113" i="1"/>
  <c r="LB131" i="1"/>
  <c r="LB57" i="1"/>
  <c r="LB63" i="1"/>
  <c r="LB69" i="1"/>
  <c r="LB75" i="1"/>
  <c r="LB81" i="1"/>
  <c r="PH128" i="4"/>
  <c r="DC24" i="5" s="1"/>
  <c r="PH97" i="4"/>
  <c r="DC15" i="5" s="1"/>
  <c r="DC14" i="5" s="1"/>
  <c r="PH93" i="4"/>
  <c r="DC12" i="5" s="1"/>
  <c r="PP21" i="4"/>
  <c r="DD12" i="5" s="1"/>
  <c r="PP44" i="4"/>
  <c r="DD23" i="5" s="1"/>
  <c r="PP25" i="4"/>
  <c r="DD15" i="5" s="1"/>
  <c r="DD14" i="5" s="1"/>
  <c r="OZ66" i="4"/>
  <c r="CZ28" i="5" s="1"/>
  <c r="OZ13" i="4"/>
  <c r="CZ9" i="5" s="1"/>
  <c r="OZ21" i="4"/>
  <c r="CZ12" i="5" s="1"/>
  <c r="OZ63" i="4"/>
  <c r="CZ27" i="5" s="1"/>
  <c r="OZ138" i="4"/>
  <c r="DA28" i="5" s="1"/>
  <c r="OZ116" i="4"/>
  <c r="DA23" i="5" s="1"/>
  <c r="OZ89" i="4"/>
  <c r="DA11" i="5" s="1"/>
  <c r="OZ93" i="4"/>
  <c r="DA12" i="5" s="1"/>
  <c r="OZ107" i="4"/>
  <c r="DA20" i="5" s="1"/>
  <c r="OZ87" i="4"/>
  <c r="DA10" i="5" s="1"/>
  <c r="OZ135" i="4"/>
  <c r="DA27" i="5" s="1"/>
  <c r="OZ133" i="4"/>
  <c r="DA26" i="5" s="1"/>
  <c r="OZ85" i="4"/>
  <c r="DA9" i="5" s="1"/>
  <c r="OZ128" i="4"/>
  <c r="DA24" i="5" s="1"/>
  <c r="OZ80" i="4"/>
  <c r="DA7" i="5" s="1"/>
  <c r="OZ97" i="4"/>
  <c r="DA15" i="5" s="1"/>
  <c r="DA14" i="5" s="1"/>
  <c r="OZ35" i="4"/>
  <c r="CZ20" i="5" s="1"/>
  <c r="OZ61" i="4"/>
  <c r="CZ26" i="5" s="1"/>
  <c r="OZ56" i="4"/>
  <c r="CZ24" i="5" s="1"/>
  <c r="OZ25" i="4"/>
  <c r="CZ15" i="5" s="1"/>
  <c r="CZ14" i="5" s="1"/>
  <c r="OZ44" i="4"/>
  <c r="CZ23" i="5" s="1"/>
  <c r="OZ8" i="4"/>
  <c r="CZ7" i="5" s="1"/>
  <c r="OZ39" i="4"/>
  <c r="CZ21" i="5" s="1"/>
  <c r="LH148" i="1" l="1"/>
  <c r="DC39" i="5" s="1"/>
  <c r="DC67" i="5" s="1"/>
  <c r="DD46" i="5"/>
  <c r="DQ161" i="5"/>
  <c r="LI161" i="1"/>
  <c r="LO73" i="1"/>
  <c r="DD79" i="5"/>
  <c r="DO33" i="5"/>
  <c r="DN61" i="5"/>
  <c r="DQ20" i="5"/>
  <c r="DD6" i="5"/>
  <c r="DD19" i="5"/>
  <c r="DC19" i="5"/>
  <c r="LN66" i="1"/>
  <c r="CZ6" i="5"/>
  <c r="DD33" i="5"/>
  <c r="DP47" i="5"/>
  <c r="DP133" i="5" s="1"/>
  <c r="DO46" i="5"/>
  <c r="DN74" i="5"/>
  <c r="W168" i="36"/>
  <c r="W167" i="36" s="1"/>
  <c r="DN41" i="5"/>
  <c r="DA19" i="5"/>
  <c r="DC41" i="5"/>
  <c r="DB19" i="5"/>
  <c r="DP42" i="5"/>
  <c r="DO41" i="5"/>
  <c r="DL84" i="5"/>
  <c r="DC6" i="5"/>
  <c r="DQ34" i="5"/>
  <c r="DP33" i="5"/>
  <c r="CZ19" i="5"/>
  <c r="DA6" i="5"/>
  <c r="DE33" i="5"/>
  <c r="DE19" i="5"/>
  <c r="LH160" i="1"/>
  <c r="DC51" i="5" s="1"/>
  <c r="DC79" i="5" s="1"/>
  <c r="DB6" i="5"/>
  <c r="DP148" i="5"/>
  <c r="DP171" i="5"/>
  <c r="DQ149" i="5"/>
  <c r="DE6" i="5"/>
  <c r="DP7" i="5"/>
  <c r="DO6" i="5"/>
  <c r="DO70" i="5"/>
  <c r="DO14" i="5"/>
  <c r="DO19" i="5"/>
  <c r="DO68" i="5"/>
  <c r="DP134" i="5"/>
  <c r="DP15" i="5"/>
  <c r="DQ7" i="5"/>
  <c r="DP13" i="5"/>
  <c r="U12" i="36"/>
  <c r="AA12" i="36" s="1"/>
  <c r="DQ21" i="5"/>
  <c r="W50" i="36" s="1"/>
  <c r="DP45" i="5"/>
  <c r="DO64" i="5"/>
  <c r="DP76" i="5"/>
  <c r="DQ157" i="5"/>
  <c r="U83" i="36"/>
  <c r="U76" i="36"/>
  <c r="DO72" i="5"/>
  <c r="DC72" i="5"/>
  <c r="U23" i="36"/>
  <c r="AA23" i="36" s="1"/>
  <c r="U50" i="36"/>
  <c r="CZ76" i="5"/>
  <c r="DA83" i="5"/>
  <c r="DA76" i="5"/>
  <c r="DE63" i="5"/>
  <c r="U52" i="36"/>
  <c r="AA52" i="36" s="1"/>
  <c r="U25" i="36"/>
  <c r="AA25" i="36" s="1"/>
  <c r="CZ78" i="5"/>
  <c r="DA75" i="5"/>
  <c r="U41" i="36"/>
  <c r="AA41" i="36" s="1"/>
  <c r="U14" i="36"/>
  <c r="AA14" i="36" s="1"/>
  <c r="CZ67" i="5"/>
  <c r="DC83" i="5"/>
  <c r="DE79" i="5"/>
  <c r="DB81" i="5"/>
  <c r="DQ17" i="5"/>
  <c r="DQ138" i="5"/>
  <c r="DO65" i="5"/>
  <c r="DC138" i="5"/>
  <c r="DC80" i="5"/>
  <c r="DA64" i="5"/>
  <c r="DE62" i="5"/>
  <c r="DB79" i="5"/>
  <c r="DB67" i="5"/>
  <c r="DE76" i="5"/>
  <c r="DB68" i="5"/>
  <c r="DE67" i="5"/>
  <c r="DB63" i="5"/>
  <c r="DO133" i="5"/>
  <c r="DO75" i="5"/>
  <c r="DP138" i="5"/>
  <c r="DP80" i="5"/>
  <c r="DP124" i="5"/>
  <c r="DB64" i="5"/>
  <c r="U39" i="36"/>
  <c r="AA39" i="36" s="1"/>
  <c r="DP44" i="5"/>
  <c r="DE64" i="5"/>
  <c r="DP9" i="5"/>
  <c r="DQ9" i="5" s="1"/>
  <c r="DC82" i="5"/>
  <c r="U22" i="36"/>
  <c r="AA22" i="36" s="1"/>
  <c r="U49" i="36"/>
  <c r="AA49" i="36" s="1"/>
  <c r="CZ75" i="5"/>
  <c r="DC68" i="5"/>
  <c r="DE75" i="5"/>
  <c r="DE133" i="5"/>
  <c r="DE83" i="5"/>
  <c r="DO77" i="5"/>
  <c r="DP49" i="5"/>
  <c r="DA62" i="5"/>
  <c r="DB83" i="5"/>
  <c r="DD65" i="5"/>
  <c r="DE78" i="5"/>
  <c r="U26" i="36"/>
  <c r="AA26" i="36" s="1"/>
  <c r="U53" i="36"/>
  <c r="AA53" i="36" s="1"/>
  <c r="CZ79" i="5"/>
  <c r="DA66" i="5"/>
  <c r="U57" i="36"/>
  <c r="U30" i="36"/>
  <c r="AA30" i="36" s="1"/>
  <c r="CZ83" i="5"/>
  <c r="DC77" i="5"/>
  <c r="U55" i="36"/>
  <c r="AA55" i="36" s="1"/>
  <c r="U28" i="36"/>
  <c r="AA28" i="36" s="1"/>
  <c r="CZ81" i="5"/>
  <c r="DA81" i="5"/>
  <c r="DA78" i="5"/>
  <c r="LH144" i="1"/>
  <c r="DC35" i="5" s="1"/>
  <c r="DC65" i="5"/>
  <c r="DC71" i="5"/>
  <c r="DA68" i="5"/>
  <c r="U37" i="36"/>
  <c r="U10" i="36"/>
  <c r="AA10" i="36" s="1"/>
  <c r="CZ63" i="5"/>
  <c r="DB70" i="5"/>
  <c r="DB69" i="5" s="1"/>
  <c r="DE65" i="5"/>
  <c r="DB62" i="5"/>
  <c r="DO124" i="5"/>
  <c r="DO66" i="5"/>
  <c r="DP12" i="5"/>
  <c r="DP67" i="5" s="1"/>
  <c r="DE66" i="5"/>
  <c r="W12" i="36"/>
  <c r="DQ25" i="5"/>
  <c r="W54" i="36" s="1"/>
  <c r="DQ134" i="5"/>
  <c r="DA82" i="5"/>
  <c r="DD83" i="5"/>
  <c r="DA63" i="5"/>
  <c r="DE82" i="5"/>
  <c r="DP26" i="5"/>
  <c r="DQ37" i="5"/>
  <c r="W39" i="36" s="1"/>
  <c r="DP65" i="5"/>
  <c r="DQ50" i="5"/>
  <c r="DP23" i="5"/>
  <c r="DQ23" i="5" s="1"/>
  <c r="DO83" i="5"/>
  <c r="DO81" i="5"/>
  <c r="U9" i="36"/>
  <c r="AA9" i="36" s="1"/>
  <c r="U36" i="36"/>
  <c r="AA36" i="36" s="1"/>
  <c r="CZ62" i="5"/>
  <c r="DA70" i="5"/>
  <c r="DA69" i="5" s="1"/>
  <c r="DA65" i="5"/>
  <c r="U29" i="36"/>
  <c r="AA29" i="36" s="1"/>
  <c r="U56" i="36"/>
  <c r="AA56" i="36" s="1"/>
  <c r="CZ82" i="5"/>
  <c r="DC64" i="5"/>
  <c r="DC78" i="5"/>
  <c r="DE81" i="5"/>
  <c r="DE68" i="5"/>
  <c r="DD62" i="5"/>
  <c r="DD76" i="5"/>
  <c r="DC76" i="5"/>
  <c r="DD75" i="5"/>
  <c r="DD133" i="5"/>
  <c r="DD82" i="5"/>
  <c r="DD78" i="5"/>
  <c r="U42" i="36"/>
  <c r="AA42" i="36" s="1"/>
  <c r="U15" i="36"/>
  <c r="AA15" i="36" s="1"/>
  <c r="CZ68" i="5"/>
  <c r="DD67" i="5"/>
  <c r="DD68" i="5"/>
  <c r="DP24" i="5"/>
  <c r="DP79" i="5" s="1"/>
  <c r="DN72" i="5"/>
  <c r="DN84" i="5" s="1"/>
  <c r="DD63" i="5"/>
  <c r="DO78" i="5"/>
  <c r="U74" i="36"/>
  <c r="DP62" i="5"/>
  <c r="DB66" i="5"/>
  <c r="DO67" i="5"/>
  <c r="DO62" i="5"/>
  <c r="DQ39" i="5"/>
  <c r="DQ38" i="5"/>
  <c r="DQ40" i="5"/>
  <c r="U44" i="36"/>
  <c r="U17" i="36"/>
  <c r="CZ70" i="5"/>
  <c r="CZ69" i="5" s="1"/>
  <c r="DA79" i="5"/>
  <c r="DA67" i="5"/>
  <c r="U38" i="36"/>
  <c r="AA38" i="36" s="1"/>
  <c r="U11" i="36"/>
  <c r="AA11" i="36" s="1"/>
  <c r="CZ64" i="5"/>
  <c r="DC70" i="5"/>
  <c r="DC75" i="5"/>
  <c r="DC133" i="5"/>
  <c r="DC73" i="5"/>
  <c r="DB76" i="5"/>
  <c r="U13" i="36"/>
  <c r="AA13" i="36" s="1"/>
  <c r="U40" i="36"/>
  <c r="CZ66" i="5"/>
  <c r="DB75" i="5"/>
  <c r="DB74" i="5" s="1"/>
  <c r="LH147" i="1"/>
  <c r="DC38" i="5" s="1"/>
  <c r="DD64" i="5"/>
  <c r="DB78" i="5"/>
  <c r="DE70" i="5"/>
  <c r="DE69" i="5" s="1"/>
  <c r="DD70" i="5"/>
  <c r="DD69" i="5" s="1"/>
  <c r="DD81" i="5"/>
  <c r="DP55" i="5"/>
  <c r="DQ43" i="5"/>
  <c r="W45" i="36" s="1"/>
  <c r="DP71" i="5"/>
  <c r="DP27" i="5"/>
  <c r="DQ18" i="5"/>
  <c r="DO79" i="5"/>
  <c r="DO63" i="5"/>
  <c r="DP8" i="5"/>
  <c r="DD66" i="5"/>
  <c r="W22" i="36"/>
  <c r="DP11" i="5"/>
  <c r="DP66" i="5" s="1"/>
  <c r="LH162" i="1"/>
  <c r="DC53" i="5" s="1"/>
  <c r="LH143" i="1"/>
  <c r="DC34" i="5" s="1"/>
  <c r="CY160" i="5"/>
  <c r="CY155" i="5"/>
  <c r="CY170" i="5"/>
  <c r="CY169" i="5"/>
  <c r="CY168" i="5"/>
  <c r="CY167" i="5"/>
  <c r="CY166" i="5"/>
  <c r="CY165" i="5"/>
  <c r="CY164" i="5"/>
  <c r="CY163" i="5"/>
  <c r="CY162" i="5"/>
  <c r="CY159" i="5"/>
  <c r="CY158" i="5"/>
  <c r="CY157" i="5"/>
  <c r="CY154" i="5"/>
  <c r="CY153" i="5"/>
  <c r="CY152" i="5"/>
  <c r="CY151" i="5"/>
  <c r="CY150" i="5"/>
  <c r="CY149" i="5"/>
  <c r="CX160" i="5"/>
  <c r="CX155" i="5"/>
  <c r="CX170" i="5"/>
  <c r="CX169" i="5"/>
  <c r="CX168" i="5"/>
  <c r="CX167" i="5"/>
  <c r="CX166" i="5"/>
  <c r="CX165" i="5"/>
  <c r="CX164" i="5"/>
  <c r="CX163" i="5"/>
  <c r="CX162" i="5"/>
  <c r="CX159" i="5"/>
  <c r="CX158" i="5"/>
  <c r="CX157" i="5"/>
  <c r="CX154" i="5"/>
  <c r="CX153" i="5"/>
  <c r="CX152" i="5"/>
  <c r="CX151" i="5"/>
  <c r="CX150" i="5"/>
  <c r="CX149" i="5"/>
  <c r="CW160" i="5"/>
  <c r="CW155" i="5"/>
  <c r="CW170" i="5"/>
  <c r="CW169" i="5"/>
  <c r="CW168" i="5"/>
  <c r="CW167" i="5"/>
  <c r="CW166" i="5"/>
  <c r="CW165" i="5"/>
  <c r="CW164" i="5"/>
  <c r="CW163" i="5"/>
  <c r="CW162" i="5"/>
  <c r="CW159" i="5"/>
  <c r="CW158" i="5"/>
  <c r="CW157" i="5"/>
  <c r="CW154" i="5"/>
  <c r="CW153" i="5"/>
  <c r="CW152" i="5"/>
  <c r="CW151" i="5"/>
  <c r="CW150" i="5"/>
  <c r="CW149" i="5"/>
  <c r="CV160" i="5"/>
  <c r="CV155" i="5"/>
  <c r="CV170" i="5"/>
  <c r="CV169" i="5"/>
  <c r="CV168" i="5"/>
  <c r="CV167" i="5"/>
  <c r="CV166" i="5"/>
  <c r="CV165" i="5"/>
  <c r="CV164" i="5"/>
  <c r="CV163" i="5"/>
  <c r="CV162" i="5"/>
  <c r="CV159" i="5"/>
  <c r="CV158" i="5"/>
  <c r="CV157" i="5"/>
  <c r="CV154" i="5"/>
  <c r="CV153" i="5"/>
  <c r="CV152" i="5"/>
  <c r="CV151" i="5"/>
  <c r="CV150" i="5"/>
  <c r="CV149" i="5"/>
  <c r="CU160" i="5"/>
  <c r="CU155" i="5"/>
  <c r="CU170" i="5"/>
  <c r="CU169" i="5"/>
  <c r="CU168" i="5"/>
  <c r="CU167" i="5"/>
  <c r="CU166" i="5"/>
  <c r="CU165" i="5"/>
  <c r="CU164" i="5"/>
  <c r="CU163" i="5"/>
  <c r="CU162" i="5"/>
  <c r="CU159" i="5"/>
  <c r="CU158" i="5"/>
  <c r="CU157" i="5"/>
  <c r="CU156" i="5" s="1"/>
  <c r="CU154" i="5"/>
  <c r="CU153" i="5"/>
  <c r="CU152" i="5"/>
  <c r="CU151" i="5"/>
  <c r="CU150" i="5"/>
  <c r="CU149" i="5"/>
  <c r="CT160" i="5"/>
  <c r="CT155" i="5"/>
  <c r="CT170" i="5"/>
  <c r="CT169" i="5"/>
  <c r="CT168" i="5"/>
  <c r="CT167" i="5"/>
  <c r="CT166" i="5"/>
  <c r="CT165" i="5"/>
  <c r="CT164" i="5"/>
  <c r="CT163" i="5"/>
  <c r="CT162" i="5"/>
  <c r="CT159" i="5"/>
  <c r="CT158" i="5"/>
  <c r="CT157" i="5"/>
  <c r="CT153" i="5"/>
  <c r="CT154" i="5"/>
  <c r="CT152" i="5"/>
  <c r="CT151" i="5"/>
  <c r="CT150" i="5"/>
  <c r="CT149" i="5"/>
  <c r="CY138" i="5"/>
  <c r="CX138" i="5"/>
  <c r="CW138" i="5"/>
  <c r="CV138" i="5"/>
  <c r="CY134" i="5"/>
  <c r="CX134" i="5"/>
  <c r="CW134" i="5"/>
  <c r="CV134" i="5"/>
  <c r="CU134" i="5"/>
  <c r="CT134" i="5"/>
  <c r="CY133" i="5"/>
  <c r="CX133" i="5"/>
  <c r="CW133" i="5"/>
  <c r="CW124" i="5"/>
  <c r="CV124" i="5"/>
  <c r="CW45" i="5"/>
  <c r="CV45" i="5"/>
  <c r="W27" i="36" l="1"/>
  <c r="AA74" i="36"/>
  <c r="CX156" i="5"/>
  <c r="U16" i="36"/>
  <c r="AA17" i="36"/>
  <c r="U43" i="36"/>
  <c r="AA44" i="36"/>
  <c r="DP75" i="5"/>
  <c r="DQ47" i="5"/>
  <c r="DC69" i="5"/>
  <c r="DO69" i="5"/>
  <c r="DC46" i="5"/>
  <c r="DC33" i="5"/>
  <c r="CT161" i="5"/>
  <c r="CW161" i="5"/>
  <c r="W49" i="36"/>
  <c r="DB84" i="5"/>
  <c r="DB61" i="5"/>
  <c r="U21" i="36"/>
  <c r="DP19" i="5"/>
  <c r="CU148" i="5"/>
  <c r="CU171" i="5"/>
  <c r="CV148" i="5"/>
  <c r="CV171" i="5"/>
  <c r="CY148" i="5"/>
  <c r="CY171" i="5"/>
  <c r="CY156" i="5"/>
  <c r="DO84" i="5"/>
  <c r="DO61" i="5"/>
  <c r="DD74" i="5"/>
  <c r="W163" i="36"/>
  <c r="W162" i="36" s="1"/>
  <c r="DQ156" i="5"/>
  <c r="DP41" i="5"/>
  <c r="DQ42" i="5"/>
  <c r="DP46" i="5"/>
  <c r="CV156" i="5"/>
  <c r="CU161" i="5"/>
  <c r="CX161" i="5"/>
  <c r="DE74" i="5"/>
  <c r="DE84" i="5"/>
  <c r="DE61" i="5"/>
  <c r="DN69" i="5"/>
  <c r="CT171" i="5"/>
  <c r="CT148" i="5"/>
  <c r="CW156" i="5"/>
  <c r="CZ84" i="5"/>
  <c r="CZ61" i="5"/>
  <c r="DA84" i="5"/>
  <c r="DA61" i="5"/>
  <c r="DA74" i="5"/>
  <c r="DQ15" i="5"/>
  <c r="DP14" i="5"/>
  <c r="DQ148" i="5"/>
  <c r="DQ171" i="5"/>
  <c r="W155" i="36"/>
  <c r="DQ33" i="5"/>
  <c r="CT156" i="5"/>
  <c r="CW148" i="5"/>
  <c r="CW171" i="5"/>
  <c r="CV161" i="5"/>
  <c r="CY161" i="5"/>
  <c r="DD84" i="5"/>
  <c r="DD61" i="5"/>
  <c r="CZ74" i="5"/>
  <c r="DO74" i="5"/>
  <c r="DP6" i="5"/>
  <c r="CX148" i="5"/>
  <c r="CX171" i="5"/>
  <c r="U8" i="36"/>
  <c r="W36" i="36"/>
  <c r="U48" i="36"/>
  <c r="AA48" i="36" s="1"/>
  <c r="U35" i="36"/>
  <c r="AA35" i="36" s="1"/>
  <c r="DQ13" i="5"/>
  <c r="U68" i="36"/>
  <c r="DP64" i="5"/>
  <c r="DP70" i="5"/>
  <c r="W177" i="36"/>
  <c r="W9" i="36"/>
  <c r="W44" i="36"/>
  <c r="DQ76" i="5"/>
  <c r="DP68" i="5"/>
  <c r="DQ62" i="5"/>
  <c r="DP73" i="5"/>
  <c r="W23" i="36"/>
  <c r="DQ45" i="5"/>
  <c r="W47" i="36" s="1"/>
  <c r="W52" i="36"/>
  <c r="DQ11" i="5"/>
  <c r="W40" i="36" s="1"/>
  <c r="DQ49" i="5"/>
  <c r="W51" i="36" s="1"/>
  <c r="DQ44" i="5"/>
  <c r="DQ72" i="5" s="1"/>
  <c r="DP63" i="5"/>
  <c r="DQ12" i="5"/>
  <c r="W41" i="36" s="1"/>
  <c r="T165" i="36"/>
  <c r="W38" i="36"/>
  <c r="W25" i="36"/>
  <c r="U69" i="36"/>
  <c r="U73" i="36"/>
  <c r="U67" i="36"/>
  <c r="U78" i="36"/>
  <c r="U84" i="36"/>
  <c r="U82" i="36"/>
  <c r="DQ64" i="5"/>
  <c r="DC62" i="5"/>
  <c r="U65" i="36"/>
  <c r="DP78" i="5"/>
  <c r="DQ65" i="5"/>
  <c r="U86" i="36"/>
  <c r="DP77" i="5"/>
  <c r="DP72" i="5"/>
  <c r="DQ80" i="5"/>
  <c r="U70" i="36"/>
  <c r="U81" i="36"/>
  <c r="DQ71" i="5"/>
  <c r="DQ78" i="5"/>
  <c r="DQ8" i="5"/>
  <c r="W10" i="36" s="1"/>
  <c r="DP82" i="5"/>
  <c r="DQ27" i="5"/>
  <c r="W29" i="36" s="1"/>
  <c r="DQ55" i="5"/>
  <c r="W57" i="36" s="1"/>
  <c r="DP83" i="5"/>
  <c r="DC66" i="5"/>
  <c r="DC124" i="5"/>
  <c r="DQ124" i="5"/>
  <c r="DC63" i="5"/>
  <c r="T164" i="36"/>
  <c r="DQ24" i="5"/>
  <c r="W53" i="36" s="1"/>
  <c r="W11" i="36"/>
  <c r="W19" i="36"/>
  <c r="DQ75" i="5"/>
  <c r="DQ133" i="5"/>
  <c r="DC81" i="5"/>
  <c r="DC74" i="5" s="1"/>
  <c r="T158" i="36"/>
  <c r="T168" i="36"/>
  <c r="T174" i="36"/>
  <c r="DP81" i="5"/>
  <c r="U66" i="36"/>
  <c r="W20" i="36"/>
  <c r="U71" i="36"/>
  <c r="U85" i="36"/>
  <c r="DQ26" i="5"/>
  <c r="W55" i="36" s="1"/>
  <c r="U79" i="36"/>
  <c r="T161" i="36"/>
  <c r="T160" i="36"/>
  <c r="T169" i="36"/>
  <c r="T175" i="36"/>
  <c r="T159" i="36"/>
  <c r="T170" i="36"/>
  <c r="T176" i="36"/>
  <c r="T155" i="36"/>
  <c r="T163" i="36"/>
  <c r="T171" i="36"/>
  <c r="T156" i="36"/>
  <c r="T172" i="36"/>
  <c r="T166" i="36"/>
  <c r="T157" i="36"/>
  <c r="T173" i="36"/>
  <c r="KT138" i="1"/>
  <c r="KS138" i="1"/>
  <c r="KT137" i="1"/>
  <c r="KS137" i="1"/>
  <c r="KT135" i="1"/>
  <c r="KS135" i="1"/>
  <c r="KT134" i="1"/>
  <c r="KS134" i="1"/>
  <c r="KT133" i="1"/>
  <c r="KS133" i="1"/>
  <c r="KT132" i="1"/>
  <c r="KS132" i="1"/>
  <c r="KT131" i="1"/>
  <c r="KS131" i="1"/>
  <c r="KT128" i="1"/>
  <c r="KS128" i="1"/>
  <c r="KT124" i="1"/>
  <c r="KS124" i="1"/>
  <c r="KT122" i="1"/>
  <c r="KS122" i="1"/>
  <c r="KT115" i="1"/>
  <c r="KS115" i="1"/>
  <c r="KT114" i="1"/>
  <c r="KS114" i="1"/>
  <c r="KS113" i="1"/>
  <c r="KT113" i="1"/>
  <c r="KT112" i="1"/>
  <c r="KS112" i="1"/>
  <c r="KT111" i="1"/>
  <c r="KS111" i="1"/>
  <c r="KT110" i="1"/>
  <c r="KS110" i="1"/>
  <c r="KS109" i="1"/>
  <c r="KT108" i="1"/>
  <c r="KS108" i="1"/>
  <c r="KT106" i="1"/>
  <c r="KS106" i="1"/>
  <c r="KT105" i="1"/>
  <c r="KS105" i="1"/>
  <c r="KT104" i="1"/>
  <c r="KS104" i="1"/>
  <c r="KT103" i="1"/>
  <c r="KS103" i="1"/>
  <c r="KT102" i="1"/>
  <c r="KS102" i="1"/>
  <c r="KT101" i="1"/>
  <c r="KS101" i="1"/>
  <c r="KT100" i="1"/>
  <c r="KS100" i="1"/>
  <c r="KT97" i="1"/>
  <c r="KS97" i="1"/>
  <c r="KT96" i="1"/>
  <c r="KS96" i="1"/>
  <c r="KT93" i="1"/>
  <c r="KS93" i="1"/>
  <c r="KT51" i="1"/>
  <c r="KS51" i="1"/>
  <c r="KT50" i="1"/>
  <c r="KS50" i="1"/>
  <c r="KT45" i="1"/>
  <c r="KS45" i="1"/>
  <c r="KT37" i="1"/>
  <c r="KS37" i="1"/>
  <c r="KT35" i="1"/>
  <c r="KS35" i="1"/>
  <c r="KT30" i="1"/>
  <c r="KS30" i="1"/>
  <c r="KT28" i="1"/>
  <c r="KS28" i="1"/>
  <c r="KT27" i="1"/>
  <c r="KS27" i="1"/>
  <c r="KT25" i="1"/>
  <c r="KS25" i="1"/>
  <c r="KT24" i="1"/>
  <c r="KS24" i="1"/>
  <c r="KT22" i="1"/>
  <c r="KS22" i="1"/>
  <c r="KT21" i="1"/>
  <c r="KS21" i="1"/>
  <c r="AA82" i="36" l="1"/>
  <c r="AA16" i="36"/>
  <c r="AC16" i="36"/>
  <c r="B6" i="7"/>
  <c r="AA84" i="36"/>
  <c r="AA21" i="36"/>
  <c r="AB21" i="36"/>
  <c r="AC8" i="36"/>
  <c r="AA8" i="36"/>
  <c r="AA78" i="36"/>
  <c r="B22" i="7"/>
  <c r="AA85" i="36"/>
  <c r="AA67" i="36"/>
  <c r="AA71" i="36"/>
  <c r="B16" i="7"/>
  <c r="B19" i="7"/>
  <c r="AA73" i="36"/>
  <c r="AA81" i="36"/>
  <c r="AA65" i="36"/>
  <c r="B13" i="7"/>
  <c r="AA70" i="36"/>
  <c r="AA43" i="36"/>
  <c r="AB43" i="36"/>
  <c r="AA69" i="36"/>
  <c r="AA68" i="36"/>
  <c r="U72" i="36"/>
  <c r="DP74" i="5"/>
  <c r="DP84" i="5"/>
  <c r="DC84" i="5"/>
  <c r="DC61" i="5"/>
  <c r="W17" i="36"/>
  <c r="DQ14" i="5"/>
  <c r="DP69" i="5"/>
  <c r="W154" i="36"/>
  <c r="DQ46" i="5"/>
  <c r="DP61" i="5"/>
  <c r="DQ6" i="5"/>
  <c r="T177" i="36"/>
  <c r="DQ19" i="5"/>
  <c r="U77" i="36"/>
  <c r="DQ70" i="5"/>
  <c r="U87" i="36"/>
  <c r="B7" i="7" s="1"/>
  <c r="U64" i="36"/>
  <c r="DQ41" i="5"/>
  <c r="T154" i="36"/>
  <c r="T167" i="36"/>
  <c r="T162" i="36"/>
  <c r="W42" i="36"/>
  <c r="DQ68" i="5"/>
  <c r="W15" i="36"/>
  <c r="DQ77" i="5"/>
  <c r="DQ67" i="5"/>
  <c r="W46" i="36"/>
  <c r="DQ73" i="5"/>
  <c r="W13" i="36"/>
  <c r="W14" i="36"/>
  <c r="DQ66" i="5"/>
  <c r="W56" i="36"/>
  <c r="W26" i="36"/>
  <c r="W37" i="36"/>
  <c r="DQ79" i="5"/>
  <c r="W28" i="36"/>
  <c r="DQ81" i="5"/>
  <c r="DQ83" i="5"/>
  <c r="DQ63" i="5"/>
  <c r="DQ82" i="5"/>
  <c r="KT19" i="1"/>
  <c r="KS19" i="1"/>
  <c r="KT17" i="1"/>
  <c r="KS17" i="1"/>
  <c r="KT16" i="1"/>
  <c r="KS16" i="1"/>
  <c r="KT15" i="1"/>
  <c r="KS15" i="1"/>
  <c r="KU13" i="1"/>
  <c r="KT13" i="1"/>
  <c r="KS13" i="1"/>
  <c r="KT10" i="1"/>
  <c r="KS10" i="1"/>
  <c r="KT8" i="1"/>
  <c r="KS8" i="1"/>
  <c r="B18" i="7" l="1"/>
  <c r="B14" i="7"/>
  <c r="AA87" i="36"/>
  <c r="B17" i="7"/>
  <c r="B5" i="7"/>
  <c r="AB87" i="36"/>
  <c r="B10" i="7"/>
  <c r="B12" i="7"/>
  <c r="B20" i="7"/>
  <c r="AA72" i="36"/>
  <c r="AF72" i="36"/>
  <c r="AD72" i="36"/>
  <c r="B24" i="7"/>
  <c r="B23" i="7"/>
  <c r="B11" i="7"/>
  <c r="B9" i="7"/>
  <c r="AC62" i="36"/>
  <c r="AD64" i="36"/>
  <c r="AA64" i="36"/>
  <c r="AA77" i="36"/>
  <c r="AD77" i="36"/>
  <c r="B21" i="7"/>
  <c r="B15" i="7"/>
  <c r="B8" i="7"/>
  <c r="DQ84" i="5"/>
  <c r="DQ74" i="5"/>
  <c r="W16" i="36"/>
  <c r="DQ61" i="5"/>
  <c r="DQ69" i="5"/>
  <c r="W8" i="36"/>
  <c r="W21" i="36"/>
  <c r="W48" i="36"/>
  <c r="W43" i="36"/>
  <c r="W35" i="36"/>
  <c r="KN137" i="1"/>
  <c r="KN172" i="1" s="1"/>
  <c r="KM137" i="1"/>
  <c r="KN135" i="1"/>
  <c r="KN170" i="1" s="1"/>
  <c r="KM135" i="1"/>
  <c r="KM170" i="1" s="1"/>
  <c r="KN134" i="1"/>
  <c r="KM134" i="1"/>
  <c r="KN129" i="1"/>
  <c r="KQ129" i="1" s="1"/>
  <c r="KM129" i="1"/>
  <c r="KN124" i="1"/>
  <c r="KQ124" i="1" s="1"/>
  <c r="KM124" i="1"/>
  <c r="KM162" i="1" s="1"/>
  <c r="KN122" i="1"/>
  <c r="KN160" i="1" s="1"/>
  <c r="KM122" i="1"/>
  <c r="KN115" i="1"/>
  <c r="KM115" i="1"/>
  <c r="KM153" i="1" s="1"/>
  <c r="KN114" i="1"/>
  <c r="KM114" i="1"/>
  <c r="KN113" i="1"/>
  <c r="KQ113" i="1" s="1"/>
  <c r="KM113" i="1"/>
  <c r="KN112" i="1"/>
  <c r="KN150" i="1" s="1"/>
  <c r="KM112" i="1"/>
  <c r="KM150" i="1" s="1"/>
  <c r="KN109" i="1"/>
  <c r="KM109" i="1"/>
  <c r="KN108" i="1"/>
  <c r="KQ108" i="1" s="1"/>
  <c r="KM108" i="1"/>
  <c r="KN104" i="1"/>
  <c r="KQ104" i="1" s="1"/>
  <c r="KM104" i="1"/>
  <c r="KM148" i="1" s="1"/>
  <c r="KN96" i="1"/>
  <c r="KN144" i="1" s="1"/>
  <c r="KM96" i="1"/>
  <c r="KN93" i="1"/>
  <c r="KQ93" i="1" s="1"/>
  <c r="KM93" i="1"/>
  <c r="KN50" i="1"/>
  <c r="KQ50" i="1" s="1"/>
  <c r="KM50" i="1"/>
  <c r="KM85" i="1" s="1"/>
  <c r="KN48" i="1"/>
  <c r="KQ48" i="1" s="1"/>
  <c r="KM48" i="1"/>
  <c r="KN45" i="1"/>
  <c r="KQ45" i="1" s="1"/>
  <c r="KM45" i="1"/>
  <c r="KM80" i="1" s="1"/>
  <c r="KN42" i="1"/>
  <c r="KQ42" i="1" s="1"/>
  <c r="KM42" i="1"/>
  <c r="KN37" i="1"/>
  <c r="KM37" i="1"/>
  <c r="KM75" i="1" s="1"/>
  <c r="KN35" i="1"/>
  <c r="KQ35" i="1" s="1"/>
  <c r="KM35" i="1"/>
  <c r="KM73" i="1" s="1"/>
  <c r="KN31" i="1"/>
  <c r="KN69" i="1" s="1"/>
  <c r="KM31" i="1"/>
  <c r="KN28" i="1"/>
  <c r="KQ28" i="1" s="1"/>
  <c r="KM28" i="1"/>
  <c r="KM66" i="1" s="1"/>
  <c r="KN25" i="1"/>
  <c r="KN63" i="1" s="1"/>
  <c r="KN24" i="1"/>
  <c r="KM25" i="1"/>
  <c r="KM63" i="1" s="1"/>
  <c r="KM24" i="1"/>
  <c r="KN23" i="1"/>
  <c r="KQ23" i="1" s="1"/>
  <c r="KM23" i="1"/>
  <c r="KP23" i="1" s="1"/>
  <c r="KN22" i="1"/>
  <c r="KQ22" i="1" s="1"/>
  <c r="KM22" i="1"/>
  <c r="KN20" i="1"/>
  <c r="KQ20" i="1" s="1"/>
  <c r="KM20" i="1"/>
  <c r="KN19" i="1"/>
  <c r="KQ19" i="1" s="1"/>
  <c r="KN17" i="1"/>
  <c r="KQ17" i="1" s="1"/>
  <c r="KM17" i="1"/>
  <c r="KN13" i="1"/>
  <c r="KN59" i="1" s="1"/>
  <c r="KM13" i="1"/>
  <c r="KM59" i="1" s="1"/>
  <c r="KN10" i="1"/>
  <c r="KQ10" i="1" s="1"/>
  <c r="KM10" i="1"/>
  <c r="KM58" i="1" s="1"/>
  <c r="KN9" i="1"/>
  <c r="KQ9" i="1" s="1"/>
  <c r="KM9" i="1"/>
  <c r="KU173" i="1"/>
  <c r="KT173" i="1"/>
  <c r="KS173" i="1"/>
  <c r="KU172" i="1"/>
  <c r="KT172" i="1"/>
  <c r="KS172" i="1"/>
  <c r="KU171" i="1"/>
  <c r="KT171" i="1"/>
  <c r="KS171" i="1"/>
  <c r="KU170" i="1"/>
  <c r="KT170" i="1"/>
  <c r="KS170" i="1"/>
  <c r="KU169" i="1"/>
  <c r="KT169" i="1"/>
  <c r="KS169" i="1"/>
  <c r="KU168" i="1"/>
  <c r="KT168" i="1"/>
  <c r="KS168" i="1"/>
  <c r="KU167" i="1"/>
  <c r="KT167" i="1"/>
  <c r="KS167" i="1"/>
  <c r="KU166" i="1"/>
  <c r="KT166" i="1"/>
  <c r="KS166" i="1"/>
  <c r="KU165" i="1"/>
  <c r="KT165" i="1"/>
  <c r="KS165" i="1"/>
  <c r="KU164" i="1"/>
  <c r="KT164" i="1"/>
  <c r="KS164" i="1"/>
  <c r="KU163" i="1"/>
  <c r="KT163" i="1"/>
  <c r="KS163" i="1"/>
  <c r="KU162" i="1"/>
  <c r="KT162" i="1"/>
  <c r="KS162" i="1"/>
  <c r="KU161" i="1"/>
  <c r="KT161" i="1"/>
  <c r="KS161" i="1"/>
  <c r="KU160" i="1"/>
  <c r="KT160" i="1"/>
  <c r="KS160" i="1"/>
  <c r="KU159" i="1"/>
  <c r="KT159" i="1"/>
  <c r="KS159" i="1"/>
  <c r="KU158" i="1"/>
  <c r="KT158" i="1"/>
  <c r="KS158" i="1"/>
  <c r="KU157" i="1"/>
  <c r="KT157" i="1"/>
  <c r="KS157" i="1"/>
  <c r="KU156" i="1"/>
  <c r="KT156" i="1"/>
  <c r="KS156" i="1"/>
  <c r="KU155" i="1"/>
  <c r="KT155" i="1"/>
  <c r="KS155" i="1"/>
  <c r="KU154" i="1"/>
  <c r="KT154" i="1"/>
  <c r="KS154" i="1"/>
  <c r="KU153" i="1"/>
  <c r="KT153" i="1"/>
  <c r="KS153" i="1"/>
  <c r="KU152" i="1"/>
  <c r="KT152" i="1"/>
  <c r="KS152" i="1"/>
  <c r="KU151" i="1"/>
  <c r="KT151" i="1"/>
  <c r="KS151" i="1"/>
  <c r="KU150" i="1"/>
  <c r="KT150" i="1"/>
  <c r="KS150" i="1"/>
  <c r="KU149" i="1"/>
  <c r="KT149" i="1"/>
  <c r="KS149" i="1"/>
  <c r="KU148" i="1"/>
  <c r="KT148" i="1"/>
  <c r="KS148" i="1"/>
  <c r="KU147" i="1"/>
  <c r="KT147" i="1"/>
  <c r="KS147" i="1"/>
  <c r="KU146" i="1"/>
  <c r="KT146" i="1"/>
  <c r="KS146" i="1"/>
  <c r="KU145" i="1"/>
  <c r="KT145" i="1"/>
  <c r="KS145" i="1"/>
  <c r="KU144" i="1"/>
  <c r="KT144" i="1"/>
  <c r="KS144" i="1"/>
  <c r="KU143" i="1"/>
  <c r="KT143" i="1"/>
  <c r="KS143" i="1"/>
  <c r="KW138" i="1"/>
  <c r="KV138" i="1"/>
  <c r="KW137" i="1"/>
  <c r="KV137" i="1"/>
  <c r="KW136" i="1"/>
  <c r="KV136" i="1"/>
  <c r="KW135" i="1"/>
  <c r="KV135" i="1"/>
  <c r="KW134" i="1"/>
  <c r="KV134" i="1"/>
  <c r="KW133" i="1"/>
  <c r="KV133" i="1"/>
  <c r="KW132" i="1"/>
  <c r="KV132" i="1"/>
  <c r="KW131" i="1"/>
  <c r="KV131" i="1"/>
  <c r="KW130" i="1"/>
  <c r="KV130" i="1"/>
  <c r="KW129" i="1"/>
  <c r="KV129" i="1"/>
  <c r="KW128" i="1"/>
  <c r="KV128" i="1"/>
  <c r="KW127" i="1"/>
  <c r="KV127" i="1"/>
  <c r="KW126" i="1"/>
  <c r="KV126" i="1"/>
  <c r="KW125" i="1"/>
  <c r="KV125" i="1"/>
  <c r="KW124" i="1"/>
  <c r="KV124" i="1"/>
  <c r="KW123" i="1"/>
  <c r="KV123" i="1"/>
  <c r="KW122" i="1"/>
  <c r="KV122" i="1"/>
  <c r="KW121" i="1"/>
  <c r="KV121" i="1"/>
  <c r="KW120" i="1"/>
  <c r="KV120" i="1"/>
  <c r="KW119" i="1"/>
  <c r="KV119" i="1"/>
  <c r="KW118" i="1"/>
  <c r="KV118" i="1"/>
  <c r="KW117" i="1"/>
  <c r="KV117" i="1"/>
  <c r="KW116" i="1"/>
  <c r="KV116" i="1"/>
  <c r="KW115" i="1"/>
  <c r="KV115" i="1"/>
  <c r="KW114" i="1"/>
  <c r="KV114" i="1"/>
  <c r="KW113" i="1"/>
  <c r="KV113" i="1"/>
  <c r="KW112" i="1"/>
  <c r="KV112" i="1"/>
  <c r="KW111" i="1"/>
  <c r="KV111" i="1"/>
  <c r="KW110" i="1"/>
  <c r="KV110" i="1"/>
  <c r="KW109" i="1"/>
  <c r="KV109" i="1"/>
  <c r="KW108" i="1"/>
  <c r="KV108" i="1"/>
  <c r="KW107" i="1"/>
  <c r="KV107" i="1"/>
  <c r="KW106" i="1"/>
  <c r="KV106" i="1"/>
  <c r="KW105" i="1"/>
  <c r="KV105" i="1"/>
  <c r="KW104" i="1"/>
  <c r="KV104" i="1"/>
  <c r="KW103" i="1"/>
  <c r="KV103" i="1"/>
  <c r="KW102" i="1"/>
  <c r="KV102" i="1"/>
  <c r="KW101" i="1"/>
  <c r="KV101" i="1"/>
  <c r="KW100" i="1"/>
  <c r="KV100" i="1"/>
  <c r="KW99" i="1"/>
  <c r="KV99" i="1"/>
  <c r="KW98" i="1"/>
  <c r="KV98" i="1"/>
  <c r="KW97" i="1"/>
  <c r="KV97" i="1"/>
  <c r="KW96" i="1"/>
  <c r="KV96" i="1"/>
  <c r="KW95" i="1"/>
  <c r="KV95" i="1"/>
  <c r="KW94" i="1"/>
  <c r="KV94" i="1"/>
  <c r="KW93" i="1"/>
  <c r="KV93" i="1"/>
  <c r="KU86" i="1"/>
  <c r="KT86" i="1"/>
  <c r="KS86" i="1"/>
  <c r="KU85" i="1"/>
  <c r="KT85" i="1"/>
  <c r="KS85" i="1"/>
  <c r="KU84" i="1"/>
  <c r="KT84" i="1"/>
  <c r="KS84" i="1"/>
  <c r="KU83" i="1"/>
  <c r="KT83" i="1"/>
  <c r="KS83" i="1"/>
  <c r="KU82" i="1"/>
  <c r="KT82" i="1"/>
  <c r="KS82" i="1"/>
  <c r="KU81" i="1"/>
  <c r="KT81" i="1"/>
  <c r="KS81" i="1"/>
  <c r="KU80" i="1"/>
  <c r="KT80" i="1"/>
  <c r="KS80" i="1"/>
  <c r="KU79" i="1"/>
  <c r="KT79" i="1"/>
  <c r="KS79" i="1"/>
  <c r="KU78" i="1"/>
  <c r="KT78" i="1"/>
  <c r="KS78" i="1"/>
  <c r="KU77" i="1"/>
  <c r="KT77" i="1"/>
  <c r="KS77" i="1"/>
  <c r="KU76" i="1"/>
  <c r="KT76" i="1"/>
  <c r="KS76" i="1"/>
  <c r="KU75" i="1"/>
  <c r="KT75" i="1"/>
  <c r="KS75" i="1"/>
  <c r="KU74" i="1"/>
  <c r="KT74" i="1"/>
  <c r="KS74" i="1"/>
  <c r="KU73" i="1"/>
  <c r="KT73" i="1"/>
  <c r="KS73" i="1"/>
  <c r="KU72" i="1"/>
  <c r="KT72" i="1"/>
  <c r="KS72" i="1"/>
  <c r="KU71" i="1"/>
  <c r="KT71" i="1"/>
  <c r="KS71" i="1"/>
  <c r="KU70" i="1"/>
  <c r="KT70" i="1"/>
  <c r="KS70" i="1"/>
  <c r="KU69" i="1"/>
  <c r="KT69" i="1"/>
  <c r="KS69" i="1"/>
  <c r="KU68" i="1"/>
  <c r="KT68" i="1"/>
  <c r="KS68" i="1"/>
  <c r="KU67" i="1"/>
  <c r="KT67" i="1"/>
  <c r="KS67" i="1"/>
  <c r="KU66" i="1"/>
  <c r="KT66" i="1"/>
  <c r="KS66" i="1"/>
  <c r="KU65" i="1"/>
  <c r="KT65" i="1"/>
  <c r="KS65" i="1"/>
  <c r="KU64" i="1"/>
  <c r="KT64" i="1"/>
  <c r="KS64" i="1"/>
  <c r="KU63" i="1"/>
  <c r="KT63" i="1"/>
  <c r="KS63" i="1"/>
  <c r="KU62" i="1"/>
  <c r="KT62" i="1"/>
  <c r="KS62" i="1"/>
  <c r="KU61" i="1"/>
  <c r="KT61" i="1"/>
  <c r="KS61" i="1"/>
  <c r="KU60" i="1"/>
  <c r="KT60" i="1"/>
  <c r="KS60" i="1"/>
  <c r="KU59" i="1"/>
  <c r="KT59" i="1"/>
  <c r="KS59" i="1"/>
  <c r="KU58" i="1"/>
  <c r="KT58" i="1"/>
  <c r="KS58" i="1"/>
  <c r="KU57" i="1"/>
  <c r="KT57" i="1"/>
  <c r="KS57" i="1"/>
  <c r="KU56" i="1"/>
  <c r="KT56" i="1"/>
  <c r="KS56" i="1"/>
  <c r="KW51" i="1"/>
  <c r="KV51" i="1"/>
  <c r="KW50" i="1"/>
  <c r="KV50" i="1"/>
  <c r="KW49" i="1"/>
  <c r="KV49" i="1"/>
  <c r="KW48" i="1"/>
  <c r="KV48" i="1"/>
  <c r="KW47" i="1"/>
  <c r="KV47" i="1"/>
  <c r="KW46" i="1"/>
  <c r="KV46" i="1"/>
  <c r="KW45" i="1"/>
  <c r="KV45" i="1"/>
  <c r="KW44" i="1"/>
  <c r="KV44" i="1"/>
  <c r="KW43" i="1"/>
  <c r="KV43" i="1"/>
  <c r="KW42" i="1"/>
  <c r="KV42" i="1"/>
  <c r="KW41" i="1"/>
  <c r="KV41" i="1"/>
  <c r="KW40" i="1"/>
  <c r="KV40" i="1"/>
  <c r="KW39" i="1"/>
  <c r="KV39" i="1"/>
  <c r="KW38" i="1"/>
  <c r="KV38" i="1"/>
  <c r="KW37" i="1"/>
  <c r="KV37" i="1"/>
  <c r="KW36" i="1"/>
  <c r="KV36" i="1"/>
  <c r="KW35" i="1"/>
  <c r="KV35" i="1"/>
  <c r="KW34" i="1"/>
  <c r="KV34" i="1"/>
  <c r="KW33" i="1"/>
  <c r="KV33" i="1"/>
  <c r="KW32" i="1"/>
  <c r="KV32" i="1"/>
  <c r="KW31" i="1"/>
  <c r="KV31" i="1"/>
  <c r="KW30" i="1"/>
  <c r="KV30" i="1"/>
  <c r="KW29" i="1"/>
  <c r="KV29" i="1"/>
  <c r="KW28" i="1"/>
  <c r="KV28" i="1"/>
  <c r="KW27" i="1"/>
  <c r="KV27" i="1"/>
  <c r="KW26" i="1"/>
  <c r="KV26" i="1"/>
  <c r="KW25" i="1"/>
  <c r="KV25" i="1"/>
  <c r="KW24" i="1"/>
  <c r="KV24" i="1"/>
  <c r="KW23" i="1"/>
  <c r="KV23" i="1"/>
  <c r="KW22" i="1"/>
  <c r="KV22" i="1"/>
  <c r="KW21" i="1"/>
  <c r="KV21" i="1"/>
  <c r="KW20" i="1"/>
  <c r="KV20" i="1"/>
  <c r="KW19" i="1"/>
  <c r="KV19" i="1"/>
  <c r="KW18" i="1"/>
  <c r="KV18" i="1"/>
  <c r="KW17" i="1"/>
  <c r="KV17" i="1"/>
  <c r="KW16" i="1"/>
  <c r="KV16" i="1"/>
  <c r="KW15" i="1"/>
  <c r="KV15" i="1"/>
  <c r="KW14" i="1"/>
  <c r="KV14" i="1"/>
  <c r="KW13" i="1"/>
  <c r="KV13" i="1"/>
  <c r="KW12" i="1"/>
  <c r="KV12" i="1"/>
  <c r="KW11" i="1"/>
  <c r="KV11" i="1"/>
  <c r="KW10" i="1"/>
  <c r="KV10" i="1"/>
  <c r="KW9" i="1"/>
  <c r="KV9" i="1"/>
  <c r="KW8" i="1"/>
  <c r="KV8" i="1"/>
  <c r="KW7" i="1"/>
  <c r="KV7" i="1"/>
  <c r="KW6" i="1"/>
  <c r="KV6" i="1"/>
  <c r="KP21" i="1"/>
  <c r="KP26" i="1"/>
  <c r="KP27" i="1"/>
  <c r="KP29" i="1"/>
  <c r="KP30" i="1"/>
  <c r="KP32" i="1"/>
  <c r="KP33" i="1"/>
  <c r="KP34" i="1"/>
  <c r="KP36" i="1"/>
  <c r="KP38" i="1"/>
  <c r="KP39" i="1"/>
  <c r="KP40" i="1"/>
  <c r="KP41" i="1"/>
  <c r="KP43" i="1"/>
  <c r="KP44" i="1"/>
  <c r="KP46" i="1"/>
  <c r="KP47" i="1"/>
  <c r="KP49" i="1"/>
  <c r="KP51" i="1"/>
  <c r="KQ32" i="1"/>
  <c r="KQ33" i="1"/>
  <c r="KQ34" i="1"/>
  <c r="KQ36" i="1"/>
  <c r="KQ38" i="1"/>
  <c r="KQ39" i="1"/>
  <c r="KQ40" i="1"/>
  <c r="KQ41" i="1"/>
  <c r="KQ43" i="1"/>
  <c r="KQ44" i="1"/>
  <c r="KQ46" i="1"/>
  <c r="KQ47" i="1"/>
  <c r="KQ49" i="1"/>
  <c r="KQ51" i="1"/>
  <c r="KQ26" i="1"/>
  <c r="KQ27" i="1"/>
  <c r="KQ29" i="1"/>
  <c r="KQ30" i="1"/>
  <c r="KQ15" i="1"/>
  <c r="KQ16" i="1"/>
  <c r="KQ18" i="1"/>
  <c r="KQ21" i="1"/>
  <c r="KQ14" i="1"/>
  <c r="KQ11" i="1"/>
  <c r="KQ12" i="1"/>
  <c r="KP11" i="1"/>
  <c r="KP12" i="1"/>
  <c r="KP14" i="1"/>
  <c r="KO173" i="1"/>
  <c r="KO172" i="1"/>
  <c r="KM172" i="1"/>
  <c r="KO171" i="1"/>
  <c r="KN171" i="1"/>
  <c r="KM171" i="1"/>
  <c r="KO170" i="1"/>
  <c r="KO169" i="1"/>
  <c r="KO168" i="1"/>
  <c r="KM168" i="1"/>
  <c r="KO167" i="1"/>
  <c r="KO166" i="1"/>
  <c r="KN166" i="1"/>
  <c r="KM166" i="1"/>
  <c r="KO165" i="1"/>
  <c r="KN165" i="1"/>
  <c r="KM165" i="1"/>
  <c r="KO164" i="1"/>
  <c r="KM164" i="1"/>
  <c r="KO163" i="1"/>
  <c r="KN163" i="1"/>
  <c r="KM163" i="1"/>
  <c r="KO162" i="1"/>
  <c r="KO161" i="1"/>
  <c r="KO160" i="1"/>
  <c r="KO159" i="1"/>
  <c r="KN159" i="1"/>
  <c r="KM159" i="1"/>
  <c r="KO158" i="1"/>
  <c r="KO157" i="1"/>
  <c r="KN157" i="1"/>
  <c r="KM157" i="1"/>
  <c r="KO156" i="1"/>
  <c r="KO155" i="1"/>
  <c r="KN155" i="1"/>
  <c r="KM155" i="1"/>
  <c r="KO154" i="1"/>
  <c r="KN154" i="1"/>
  <c r="KM154" i="1"/>
  <c r="KO153" i="1"/>
  <c r="KO152" i="1"/>
  <c r="KM152" i="1"/>
  <c r="KO151" i="1"/>
  <c r="KO150" i="1"/>
  <c r="KO149" i="1"/>
  <c r="KO148" i="1"/>
  <c r="KO147" i="1"/>
  <c r="KN147" i="1"/>
  <c r="KM147" i="1"/>
  <c r="KO146" i="1"/>
  <c r="KM146" i="1"/>
  <c r="KO145" i="1"/>
  <c r="KO144" i="1"/>
  <c r="KM144" i="1"/>
  <c r="KO143" i="1"/>
  <c r="KQ138" i="1"/>
  <c r="KQ136" i="1"/>
  <c r="KP136" i="1"/>
  <c r="KP135" i="1"/>
  <c r="KQ133" i="1"/>
  <c r="KN168" i="1"/>
  <c r="KP133" i="1"/>
  <c r="KQ132" i="1"/>
  <c r="KN167" i="1"/>
  <c r="KM167" i="1"/>
  <c r="KQ131" i="1"/>
  <c r="KP131" i="1"/>
  <c r="KQ130" i="1"/>
  <c r="KP130" i="1"/>
  <c r="KQ128" i="1"/>
  <c r="KP128" i="1"/>
  <c r="KQ127" i="1"/>
  <c r="KP127" i="1"/>
  <c r="KQ126" i="1"/>
  <c r="KP126" i="1"/>
  <c r="KQ125" i="1"/>
  <c r="KP125" i="1"/>
  <c r="KP124" i="1"/>
  <c r="KN161" i="1"/>
  <c r="KM161" i="1"/>
  <c r="KQ121" i="1"/>
  <c r="KP121" i="1"/>
  <c r="KQ119" i="1"/>
  <c r="KP119" i="1"/>
  <c r="KQ117" i="1"/>
  <c r="KP117" i="1"/>
  <c r="KQ116" i="1"/>
  <c r="KP116" i="1"/>
  <c r="KP114" i="1"/>
  <c r="KM151" i="1"/>
  <c r="KQ111" i="1"/>
  <c r="KP111" i="1"/>
  <c r="KQ110" i="1"/>
  <c r="KP110" i="1"/>
  <c r="KQ109" i="1"/>
  <c r="KQ107" i="1"/>
  <c r="KP107" i="1"/>
  <c r="KQ106" i="1"/>
  <c r="KP106" i="1"/>
  <c r="KQ105" i="1"/>
  <c r="KP105" i="1"/>
  <c r="KQ103" i="1"/>
  <c r="KP103" i="1"/>
  <c r="KQ102" i="1"/>
  <c r="KP102" i="1"/>
  <c r="KQ101" i="1"/>
  <c r="KP101" i="1"/>
  <c r="KQ100" i="1"/>
  <c r="KN146" i="1"/>
  <c r="KP100" i="1"/>
  <c r="KQ99" i="1"/>
  <c r="KP99" i="1"/>
  <c r="KQ98" i="1"/>
  <c r="KP98" i="1"/>
  <c r="KQ95" i="1"/>
  <c r="KP95" i="1"/>
  <c r="KQ94" i="1"/>
  <c r="KP94" i="1"/>
  <c r="KO86" i="1"/>
  <c r="KN86" i="1"/>
  <c r="KM86" i="1"/>
  <c r="KO85" i="1"/>
  <c r="KO84" i="1"/>
  <c r="KN84" i="1"/>
  <c r="KM84" i="1"/>
  <c r="KO83" i="1"/>
  <c r="KN83" i="1"/>
  <c r="KO82" i="1"/>
  <c r="KN82" i="1"/>
  <c r="KO81" i="1"/>
  <c r="KN81" i="1"/>
  <c r="KM81" i="1"/>
  <c r="KO80" i="1"/>
  <c r="KO79" i="1"/>
  <c r="KN79" i="1"/>
  <c r="KM79" i="1"/>
  <c r="KO78" i="1"/>
  <c r="KN78" i="1"/>
  <c r="KM78" i="1"/>
  <c r="KO77" i="1"/>
  <c r="KO76" i="1"/>
  <c r="KN76" i="1"/>
  <c r="KM76" i="1"/>
  <c r="KO75" i="1"/>
  <c r="KN75" i="1"/>
  <c r="KO74" i="1"/>
  <c r="KO73" i="1"/>
  <c r="KO72" i="1"/>
  <c r="KM72" i="1"/>
  <c r="KO71" i="1"/>
  <c r="KN71" i="1"/>
  <c r="KO70" i="1"/>
  <c r="KN70" i="1"/>
  <c r="KM70" i="1"/>
  <c r="KO69" i="1"/>
  <c r="KO68" i="1"/>
  <c r="KN68" i="1"/>
  <c r="KM68" i="1"/>
  <c r="KO67" i="1"/>
  <c r="KN67" i="1"/>
  <c r="KM67" i="1"/>
  <c r="KO66" i="1"/>
  <c r="KO65" i="1"/>
  <c r="KN65" i="1"/>
  <c r="KO64" i="1"/>
  <c r="KO63" i="1"/>
  <c r="KO62" i="1"/>
  <c r="KO61" i="1"/>
  <c r="KO60" i="1"/>
  <c r="KO59" i="1"/>
  <c r="KO58" i="1"/>
  <c r="KO57" i="1"/>
  <c r="KO56" i="1"/>
  <c r="KM83" i="1"/>
  <c r="KM82" i="1"/>
  <c r="KM74" i="1"/>
  <c r="KN72" i="1"/>
  <c r="KM65" i="1"/>
  <c r="KP16" i="1"/>
  <c r="KN60" i="1"/>
  <c r="KP15" i="1"/>
  <c r="KQ8" i="1"/>
  <c r="KP8" i="1"/>
  <c r="KQ7" i="1"/>
  <c r="KP7" i="1"/>
  <c r="KN56" i="1"/>
  <c r="KP6" i="1"/>
  <c r="KP76" i="1" l="1"/>
  <c r="KQ25" i="1"/>
  <c r="KN57" i="1"/>
  <c r="KQ57" i="1" s="1"/>
  <c r="KQ166" i="1"/>
  <c r="KV56" i="1"/>
  <c r="KP37" i="1"/>
  <c r="KQ60" i="1"/>
  <c r="KQ65" i="1"/>
  <c r="KQ70" i="1"/>
  <c r="KW81" i="1"/>
  <c r="KV155" i="1"/>
  <c r="KV159" i="1"/>
  <c r="KV161" i="1"/>
  <c r="KV165" i="1"/>
  <c r="KV171" i="1"/>
  <c r="KP129" i="1"/>
  <c r="KW84" i="1"/>
  <c r="KW86" i="1"/>
  <c r="KQ96" i="1"/>
  <c r="KW154" i="1"/>
  <c r="KW156" i="1"/>
  <c r="KN80" i="1"/>
  <c r="KQ80" i="1" s="1"/>
  <c r="KP78" i="1"/>
  <c r="KP86" i="1"/>
  <c r="KW57" i="1"/>
  <c r="KV69" i="1"/>
  <c r="KW71" i="1"/>
  <c r="KW73" i="1"/>
  <c r="KV79" i="1"/>
  <c r="KP45" i="1"/>
  <c r="KQ122" i="1"/>
  <c r="KN151" i="1"/>
  <c r="KQ151" i="1" s="1"/>
  <c r="KN73" i="1"/>
  <c r="KQ73" i="1" s="1"/>
  <c r="KQ78" i="1"/>
  <c r="KQ86" i="1"/>
  <c r="KN162" i="1"/>
  <c r="KQ162" i="1" s="1"/>
  <c r="KP154" i="1"/>
  <c r="KQ159" i="1"/>
  <c r="KV77" i="1"/>
  <c r="KV156" i="1"/>
  <c r="KV158" i="1"/>
  <c r="KP31" i="1"/>
  <c r="KP42" i="1"/>
  <c r="KN66" i="1"/>
  <c r="KP66" i="1" s="1"/>
  <c r="KP68" i="1"/>
  <c r="KQ37" i="1"/>
  <c r="KQ31" i="1"/>
  <c r="KP170" i="1"/>
  <c r="KN164" i="1"/>
  <c r="KQ164" i="1" s="1"/>
  <c r="KQ135" i="1"/>
  <c r="KQ155" i="1"/>
  <c r="KW72" i="1"/>
  <c r="KW74" i="1"/>
  <c r="KW78" i="1"/>
  <c r="KV149" i="1"/>
  <c r="CY42" i="5" s="1"/>
  <c r="KW161" i="1"/>
  <c r="KW163" i="1"/>
  <c r="KW165" i="1"/>
  <c r="KV167" i="1"/>
  <c r="KP48" i="1"/>
  <c r="KW144" i="1"/>
  <c r="KQ81" i="1"/>
  <c r="KP84" i="1"/>
  <c r="KP115" i="1"/>
  <c r="KP50" i="1"/>
  <c r="KV59" i="1"/>
  <c r="CX37" i="5" s="1"/>
  <c r="KV67" i="1"/>
  <c r="KV71" i="1"/>
  <c r="KV73" i="1"/>
  <c r="CX51" i="5" s="1"/>
  <c r="KV74" i="1"/>
  <c r="KW80" i="1"/>
  <c r="KV82" i="1"/>
  <c r="KV84" i="1"/>
  <c r="KW160" i="1"/>
  <c r="KP9" i="1"/>
  <c r="KP22" i="1"/>
  <c r="KN62" i="1"/>
  <c r="KQ62" i="1" s="1"/>
  <c r="KP108" i="1"/>
  <c r="KP122" i="1"/>
  <c r="KP137" i="1"/>
  <c r="KM77" i="1"/>
  <c r="KQ165" i="1"/>
  <c r="KP171" i="1"/>
  <c r="KP25" i="1"/>
  <c r="KP20" i="1"/>
  <c r="KQ75" i="1"/>
  <c r="KN77" i="1"/>
  <c r="KQ79" i="1"/>
  <c r="KQ82" i="1"/>
  <c r="KV75" i="1"/>
  <c r="CX53" i="5" s="1"/>
  <c r="KW82" i="1"/>
  <c r="KW64" i="1"/>
  <c r="KQ137" i="1"/>
  <c r="KN148" i="1"/>
  <c r="KQ160" i="1"/>
  <c r="KP166" i="1"/>
  <c r="KQ13" i="1"/>
  <c r="KW56" i="1"/>
  <c r="KV64" i="1"/>
  <c r="KV68" i="1"/>
  <c r="KV81" i="1"/>
  <c r="KV83" i="1"/>
  <c r="KW76" i="1"/>
  <c r="KW150" i="1"/>
  <c r="KW166" i="1"/>
  <c r="KW170" i="1"/>
  <c r="KP82" i="1"/>
  <c r="KQ146" i="1"/>
  <c r="KP147" i="1"/>
  <c r="KP35" i="1"/>
  <c r="KW69" i="1"/>
  <c r="KV86" i="1"/>
  <c r="CX45" i="5" s="1"/>
  <c r="KV147" i="1"/>
  <c r="CY38" i="5" s="1"/>
  <c r="KW172" i="1"/>
  <c r="KM62" i="1"/>
  <c r="KQ157" i="1"/>
  <c r="KQ24" i="1"/>
  <c r="KQ69" i="1"/>
  <c r="KP75" i="1"/>
  <c r="CV53" i="5" s="1"/>
  <c r="KQ147" i="1"/>
  <c r="KP159" i="1"/>
  <c r="KW68" i="1"/>
  <c r="KV70" i="1"/>
  <c r="KV72" i="1"/>
  <c r="KW77" i="1"/>
  <c r="KW79" i="1"/>
  <c r="KW151" i="1"/>
  <c r="KW153" i="1"/>
  <c r="KW155" i="1"/>
  <c r="KW158" i="1"/>
  <c r="KW167" i="1"/>
  <c r="KW171" i="1"/>
  <c r="KP28" i="1"/>
  <c r="KP96" i="1"/>
  <c r="KW173" i="1"/>
  <c r="KM61" i="1"/>
  <c r="KQ72" i="1"/>
  <c r="KQ154" i="1"/>
  <c r="KP157" i="1"/>
  <c r="KQ163" i="1"/>
  <c r="KQ171" i="1"/>
  <c r="KV63" i="1"/>
  <c r="CX43" i="5" s="1"/>
  <c r="KW67" i="1"/>
  <c r="KW70" i="1"/>
  <c r="KV76" i="1"/>
  <c r="KV78" i="1"/>
  <c r="KW83" i="1"/>
  <c r="KV144" i="1"/>
  <c r="CY35" i="5" s="1"/>
  <c r="KV148" i="1"/>
  <c r="CY39" i="5" s="1"/>
  <c r="KV154" i="1"/>
  <c r="KW157" i="1"/>
  <c r="KW159" i="1"/>
  <c r="KW162" i="1"/>
  <c r="KV166" i="1"/>
  <c r="KV168" i="1"/>
  <c r="KV173" i="1"/>
  <c r="CY45" i="5" s="1"/>
  <c r="KV172" i="1"/>
  <c r="CY40" i="5" s="1"/>
  <c r="KV170" i="1"/>
  <c r="KW169" i="1"/>
  <c r="KW168" i="1"/>
  <c r="KW164" i="1"/>
  <c r="KV164" i="1"/>
  <c r="CY55" i="5" s="1"/>
  <c r="KV162" i="1"/>
  <c r="CY53" i="5" s="1"/>
  <c r="KV160" i="1"/>
  <c r="CY51" i="5" s="1"/>
  <c r="KV153" i="1"/>
  <c r="KW152" i="1"/>
  <c r="KV152" i="1"/>
  <c r="KV150" i="1"/>
  <c r="CY43" i="5" s="1"/>
  <c r="KW149" i="1"/>
  <c r="KW148" i="1"/>
  <c r="KW147" i="1"/>
  <c r="KV146" i="1"/>
  <c r="CY37" i="5" s="1"/>
  <c r="KW146" i="1"/>
  <c r="KW145" i="1"/>
  <c r="KW143" i="1"/>
  <c r="KV143" i="1"/>
  <c r="CY34" i="5" s="1"/>
  <c r="KW85" i="1"/>
  <c r="KV85" i="1"/>
  <c r="CX40" i="5" s="1"/>
  <c r="KV80" i="1"/>
  <c r="KW75" i="1"/>
  <c r="KW66" i="1"/>
  <c r="KV66" i="1"/>
  <c r="KW65" i="1"/>
  <c r="KV65" i="1"/>
  <c r="KW63" i="1"/>
  <c r="KW62" i="1"/>
  <c r="KV62" i="1"/>
  <c r="CX42" i="5" s="1"/>
  <c r="KW61" i="1"/>
  <c r="KV61" i="1"/>
  <c r="CX39" i="5" s="1"/>
  <c r="KW60" i="1"/>
  <c r="KV60" i="1"/>
  <c r="CX38" i="5" s="1"/>
  <c r="KW59" i="1"/>
  <c r="KV57" i="1"/>
  <c r="CX35" i="5" s="1"/>
  <c r="KV58" i="1"/>
  <c r="CX36" i="5" s="1"/>
  <c r="KW58" i="1"/>
  <c r="KQ170" i="1"/>
  <c r="KP148" i="1"/>
  <c r="CW39" i="5" s="1"/>
  <c r="KP104" i="1"/>
  <c r="KQ83" i="1"/>
  <c r="KP83" i="1"/>
  <c r="KP24" i="1"/>
  <c r="KP19" i="1"/>
  <c r="KQ59" i="1"/>
  <c r="KP13" i="1"/>
  <c r="KM57" i="1"/>
  <c r="KV145" i="1"/>
  <c r="CY36" i="5" s="1"/>
  <c r="KV151" i="1"/>
  <c r="CY44" i="5" s="1"/>
  <c r="KV157" i="1"/>
  <c r="KV163" i="1"/>
  <c r="KV169" i="1"/>
  <c r="KP163" i="1"/>
  <c r="KQ168" i="1"/>
  <c r="KP146" i="1"/>
  <c r="KQ150" i="1"/>
  <c r="KQ148" i="1"/>
  <c r="KP172" i="1"/>
  <c r="CW40" i="5" s="1"/>
  <c r="KP144" i="1"/>
  <c r="CW35" i="5" s="1"/>
  <c r="KQ56" i="1"/>
  <c r="KQ71" i="1"/>
  <c r="KQ76" i="1"/>
  <c r="KQ68" i="1"/>
  <c r="KP59" i="1"/>
  <c r="CV37" i="5" s="1"/>
  <c r="KP72" i="1"/>
  <c r="KQ84" i="1"/>
  <c r="KQ67" i="1"/>
  <c r="KP70" i="1"/>
  <c r="KP81" i="1"/>
  <c r="KQ63" i="1"/>
  <c r="KP63" i="1"/>
  <c r="CV43" i="5" s="1"/>
  <c r="KQ167" i="1"/>
  <c r="KP167" i="1"/>
  <c r="KQ161" i="1"/>
  <c r="KP161" i="1"/>
  <c r="KN74" i="1"/>
  <c r="KQ74" i="1" s="1"/>
  <c r="KP65" i="1"/>
  <c r="KP109" i="1"/>
  <c r="KM149" i="1"/>
  <c r="KQ115" i="1"/>
  <c r="KP155" i="1"/>
  <c r="KP17" i="1"/>
  <c r="KM71" i="1"/>
  <c r="KP71" i="1" s="1"/>
  <c r="KN85" i="1"/>
  <c r="KM56" i="1"/>
  <c r="KP56" i="1" s="1"/>
  <c r="KN61" i="1"/>
  <c r="KQ61" i="1" s="1"/>
  <c r="KN64" i="1"/>
  <c r="KQ64" i="1" s="1"/>
  <c r="KN143" i="1"/>
  <c r="KQ143" i="1" s="1"/>
  <c r="KQ144" i="1"/>
  <c r="KP150" i="1"/>
  <c r="CW43" i="5" s="1"/>
  <c r="KP67" i="1"/>
  <c r="KM69" i="1"/>
  <c r="KP69" i="1" s="1"/>
  <c r="CV47" i="5" s="1"/>
  <c r="KP79" i="1"/>
  <c r="KM145" i="1"/>
  <c r="KP97" i="1"/>
  <c r="KP112" i="1"/>
  <c r="KN152" i="1"/>
  <c r="KQ152" i="1" s="1"/>
  <c r="KQ114" i="1"/>
  <c r="KM169" i="1"/>
  <c r="KP134" i="1"/>
  <c r="KN149" i="1"/>
  <c r="KQ149" i="1" s="1"/>
  <c r="KP168" i="1"/>
  <c r="KQ6" i="1"/>
  <c r="KN58" i="1"/>
  <c r="KQ58" i="1" s="1"/>
  <c r="KM60" i="1"/>
  <c r="KP60" i="1" s="1"/>
  <c r="KQ77" i="1"/>
  <c r="KN145" i="1"/>
  <c r="KQ145" i="1" s="1"/>
  <c r="KQ97" i="1"/>
  <c r="KQ112" i="1"/>
  <c r="KP120" i="1"/>
  <c r="KP132" i="1"/>
  <c r="KN169" i="1"/>
  <c r="KQ169" i="1" s="1"/>
  <c r="KQ134" i="1"/>
  <c r="KM158" i="1"/>
  <c r="KM160" i="1"/>
  <c r="KP160" i="1" s="1"/>
  <c r="CW51" i="5" s="1"/>
  <c r="KP165" i="1"/>
  <c r="KQ172" i="1"/>
  <c r="KN158" i="1"/>
  <c r="KQ158" i="1" s="1"/>
  <c r="KQ120" i="1"/>
  <c r="KN153" i="1"/>
  <c r="KQ153" i="1" s="1"/>
  <c r="KP10" i="1"/>
  <c r="KP118" i="1"/>
  <c r="KM156" i="1"/>
  <c r="KP123" i="1"/>
  <c r="KP138" i="1"/>
  <c r="KM173" i="1"/>
  <c r="KN173" i="1"/>
  <c r="KQ173" i="1" s="1"/>
  <c r="KN156" i="1"/>
  <c r="KQ156" i="1" s="1"/>
  <c r="KQ118" i="1"/>
  <c r="KP93" i="1"/>
  <c r="KM143" i="1"/>
  <c r="KM64" i="1"/>
  <c r="KQ123" i="1"/>
  <c r="KP18" i="1"/>
  <c r="KP113" i="1"/>
  <c r="KP73" i="1" l="1"/>
  <c r="CV51" i="5" s="1"/>
  <c r="CX41" i="5"/>
  <c r="KP80" i="1"/>
  <c r="KQ66" i="1"/>
  <c r="KP151" i="1"/>
  <c r="CW44" i="5" s="1"/>
  <c r="KP57" i="1"/>
  <c r="CV35" i="5" s="1"/>
  <c r="KP77" i="1"/>
  <c r="CV55" i="5" s="1"/>
  <c r="KP62" i="1"/>
  <c r="CV42" i="5" s="1"/>
  <c r="CV41" i="5" s="1"/>
  <c r="CX33" i="5"/>
  <c r="CY41" i="5"/>
  <c r="CV46" i="5"/>
  <c r="CY33" i="5"/>
  <c r="CY46" i="5"/>
  <c r="CX46" i="5"/>
  <c r="KP162" i="1"/>
  <c r="CW53" i="5" s="1"/>
  <c r="KP164" i="1"/>
  <c r="CW55" i="5" s="1"/>
  <c r="KP58" i="1"/>
  <c r="CV36" i="5" s="1"/>
  <c r="CX124" i="5"/>
  <c r="CV133" i="5"/>
  <c r="CY124" i="5"/>
  <c r="KP61" i="1"/>
  <c r="CV39" i="5" s="1"/>
  <c r="KP173" i="1"/>
  <c r="KP158" i="1"/>
  <c r="KP152" i="1"/>
  <c r="KP64" i="1"/>
  <c r="KP153" i="1"/>
  <c r="KP74" i="1"/>
  <c r="KP156" i="1"/>
  <c r="KP143" i="1"/>
  <c r="CW34" i="5" s="1"/>
  <c r="CW33" i="5" s="1"/>
  <c r="KP145" i="1"/>
  <c r="KP149" i="1"/>
  <c r="CW42" i="5" s="1"/>
  <c r="KP169" i="1"/>
  <c r="KQ85" i="1"/>
  <c r="KP85" i="1"/>
  <c r="CV40" i="5" s="1"/>
  <c r="OR141" i="4"/>
  <c r="CY18" i="5" s="1"/>
  <c r="OQ141" i="4"/>
  <c r="OQ140" i="4"/>
  <c r="OQ139" i="4"/>
  <c r="OQ138" i="4"/>
  <c r="OQ137" i="4"/>
  <c r="OQ136" i="4"/>
  <c r="OQ135" i="4"/>
  <c r="OQ134" i="4"/>
  <c r="OQ133" i="4"/>
  <c r="OQ132" i="4"/>
  <c r="OQ131" i="4"/>
  <c r="OQ130" i="4"/>
  <c r="OR129" i="4"/>
  <c r="CY25" i="5" s="1"/>
  <c r="OQ129" i="4"/>
  <c r="OQ128" i="4"/>
  <c r="OQ127" i="4"/>
  <c r="OQ126" i="4"/>
  <c r="OQ125" i="4"/>
  <c r="OQ124" i="4"/>
  <c r="OQ123" i="4"/>
  <c r="OR123" i="4" s="1"/>
  <c r="OQ122" i="4"/>
  <c r="OR122" i="4" s="1"/>
  <c r="OQ121" i="4"/>
  <c r="OR121" i="4" s="1"/>
  <c r="OQ120" i="4"/>
  <c r="OR120" i="4" s="1"/>
  <c r="OQ119" i="4"/>
  <c r="OR119" i="4" s="1"/>
  <c r="OQ118" i="4"/>
  <c r="OR118" i="4" s="1"/>
  <c r="OQ117" i="4"/>
  <c r="OR117" i="4" s="1"/>
  <c r="OQ116" i="4"/>
  <c r="OQ115" i="4"/>
  <c r="OQ114" i="4"/>
  <c r="OQ113" i="4"/>
  <c r="OR112" i="4"/>
  <c r="CY22" i="5" s="1"/>
  <c r="OQ112" i="4"/>
  <c r="OQ111" i="4"/>
  <c r="OQ110" i="4"/>
  <c r="OQ109" i="4"/>
  <c r="OQ108" i="4"/>
  <c r="OQ107" i="4"/>
  <c r="OQ106" i="4"/>
  <c r="OQ105" i="4"/>
  <c r="OQ104" i="4"/>
  <c r="OQ103" i="4"/>
  <c r="OR103" i="4" s="1"/>
  <c r="OQ102" i="4"/>
  <c r="OR102" i="4" s="1"/>
  <c r="OQ101" i="4"/>
  <c r="OR101" i="4" s="1"/>
  <c r="OQ100" i="4"/>
  <c r="OR100" i="4" s="1"/>
  <c r="OR99" i="4"/>
  <c r="CY17" i="5" s="1"/>
  <c r="OQ99" i="4"/>
  <c r="OR98" i="4"/>
  <c r="CY16" i="5" s="1"/>
  <c r="OQ98" i="4"/>
  <c r="OQ97" i="4"/>
  <c r="OQ96" i="4"/>
  <c r="OQ95" i="4"/>
  <c r="OQ94" i="4"/>
  <c r="OQ93" i="4"/>
  <c r="OQ92" i="4"/>
  <c r="OQ91" i="4"/>
  <c r="OQ90" i="4"/>
  <c r="OQ89" i="4"/>
  <c r="OQ88" i="4"/>
  <c r="OQ87" i="4"/>
  <c r="OQ86" i="4"/>
  <c r="OQ85" i="4"/>
  <c r="OQ84" i="4"/>
  <c r="OQ83" i="4"/>
  <c r="OQ82" i="4"/>
  <c r="OQ81" i="4"/>
  <c r="OQ80" i="4"/>
  <c r="OQ79" i="4"/>
  <c r="OR69" i="4"/>
  <c r="CX18" i="5" s="1"/>
  <c r="OQ69" i="4"/>
  <c r="OQ68" i="4"/>
  <c r="OQ67" i="4"/>
  <c r="OQ66" i="4"/>
  <c r="OQ65" i="4"/>
  <c r="OQ64" i="4"/>
  <c r="OQ63" i="4"/>
  <c r="OQ62" i="4"/>
  <c r="OQ61" i="4"/>
  <c r="OQ60" i="4"/>
  <c r="OQ59" i="4"/>
  <c r="OQ58" i="4"/>
  <c r="OR57" i="4"/>
  <c r="OQ57" i="4"/>
  <c r="OQ56" i="4"/>
  <c r="OQ55" i="4"/>
  <c r="OQ54" i="4"/>
  <c r="OQ53" i="4"/>
  <c r="OQ52" i="4"/>
  <c r="OQ51" i="4"/>
  <c r="OR51" i="4" s="1"/>
  <c r="OQ50" i="4"/>
  <c r="OR50" i="4" s="1"/>
  <c r="OQ49" i="4"/>
  <c r="OR49" i="4" s="1"/>
  <c r="OQ48" i="4"/>
  <c r="OR48" i="4" s="1"/>
  <c r="OQ47" i="4"/>
  <c r="OR47" i="4" s="1"/>
  <c r="OQ46" i="4"/>
  <c r="OR46" i="4" s="1"/>
  <c r="OQ45" i="4"/>
  <c r="OR45" i="4" s="1"/>
  <c r="OQ44" i="4"/>
  <c r="OQ43" i="4"/>
  <c r="OQ42" i="4"/>
  <c r="OQ41" i="4"/>
  <c r="OR40" i="4"/>
  <c r="CX22" i="5" s="1"/>
  <c r="OQ40" i="4"/>
  <c r="OQ39" i="4"/>
  <c r="OQ38" i="4"/>
  <c r="OQ37" i="4"/>
  <c r="OQ36" i="4"/>
  <c r="OQ35" i="4"/>
  <c r="OQ34" i="4"/>
  <c r="OQ33" i="4"/>
  <c r="OQ32" i="4"/>
  <c r="OQ31" i="4"/>
  <c r="OR31" i="4" s="1"/>
  <c r="OQ30" i="4"/>
  <c r="OR30" i="4" s="1"/>
  <c r="OQ29" i="4"/>
  <c r="OR29" i="4" s="1"/>
  <c r="OQ28" i="4"/>
  <c r="OR28" i="4" s="1"/>
  <c r="OR27" i="4"/>
  <c r="CX17" i="5" s="1"/>
  <c r="OQ27" i="4"/>
  <c r="OR26" i="4"/>
  <c r="CX16" i="5" s="1"/>
  <c r="CX71" i="5" s="1"/>
  <c r="OQ26" i="4"/>
  <c r="OQ25" i="4"/>
  <c r="OQ24" i="4"/>
  <c r="OQ23" i="4"/>
  <c r="OQ22" i="4"/>
  <c r="OQ21" i="4"/>
  <c r="OQ20" i="4"/>
  <c r="OQ19" i="4"/>
  <c r="OQ18" i="4"/>
  <c r="OQ17" i="4"/>
  <c r="OQ16" i="4"/>
  <c r="OQ15" i="4"/>
  <c r="OQ14" i="4"/>
  <c r="OQ13" i="4"/>
  <c r="OQ12" i="4"/>
  <c r="OQ11" i="4"/>
  <c r="OQ10" i="4"/>
  <c r="OQ9" i="4"/>
  <c r="OQ8" i="4"/>
  <c r="OQ7" i="4"/>
  <c r="OJ141" i="4"/>
  <c r="CW18" i="5" s="1"/>
  <c r="OI141" i="4"/>
  <c r="OI140" i="4"/>
  <c r="OI139" i="4"/>
  <c r="OI138" i="4"/>
  <c r="OI137" i="4"/>
  <c r="OI136" i="4"/>
  <c r="OI135" i="4"/>
  <c r="OI134" i="4"/>
  <c r="OI133" i="4"/>
  <c r="OI132" i="4"/>
  <c r="OI131" i="4"/>
  <c r="OI130" i="4"/>
  <c r="OJ129" i="4"/>
  <c r="CW25" i="5" s="1"/>
  <c r="OI129" i="4"/>
  <c r="OI128" i="4"/>
  <c r="OI127" i="4"/>
  <c r="OI126" i="4"/>
  <c r="OI125" i="4"/>
  <c r="OI124" i="4"/>
  <c r="OI123" i="4"/>
  <c r="OJ123" i="4" s="1"/>
  <c r="OI122" i="4"/>
  <c r="OJ122" i="4" s="1"/>
  <c r="OI121" i="4"/>
  <c r="OJ121" i="4" s="1"/>
  <c r="OI120" i="4"/>
  <c r="OJ120" i="4" s="1"/>
  <c r="OI119" i="4"/>
  <c r="OJ119" i="4" s="1"/>
  <c r="OI118" i="4"/>
  <c r="OJ118" i="4" s="1"/>
  <c r="OI117" i="4"/>
  <c r="OJ117" i="4" s="1"/>
  <c r="OI116" i="4"/>
  <c r="OI115" i="4"/>
  <c r="OI114" i="4"/>
  <c r="OI113" i="4"/>
  <c r="OJ112" i="4"/>
  <c r="CW22" i="5" s="1"/>
  <c r="OI112" i="4"/>
  <c r="OI111" i="4"/>
  <c r="OI110" i="4"/>
  <c r="OI109" i="4"/>
  <c r="OI108" i="4"/>
  <c r="OI107" i="4"/>
  <c r="OI106" i="4"/>
  <c r="OI105" i="4"/>
  <c r="OI104" i="4"/>
  <c r="OI103" i="4"/>
  <c r="OJ103" i="4" s="1"/>
  <c r="OI102" i="4"/>
  <c r="OJ102" i="4" s="1"/>
  <c r="OI101" i="4"/>
  <c r="OJ101" i="4" s="1"/>
  <c r="OI100" i="4"/>
  <c r="OJ100" i="4" s="1"/>
  <c r="OJ99" i="4"/>
  <c r="CW17" i="5" s="1"/>
  <c r="OI99" i="4"/>
  <c r="OJ98" i="4"/>
  <c r="CW16" i="5" s="1"/>
  <c r="OI98" i="4"/>
  <c r="OI97" i="4"/>
  <c r="OI96" i="4"/>
  <c r="OI95" i="4"/>
  <c r="OI94" i="4"/>
  <c r="OI93" i="4"/>
  <c r="OI92" i="4"/>
  <c r="OI91" i="4"/>
  <c r="OI90" i="4"/>
  <c r="OI89" i="4"/>
  <c r="OI88" i="4"/>
  <c r="OI87" i="4"/>
  <c r="OI86" i="4"/>
  <c r="OI85" i="4"/>
  <c r="OI84" i="4"/>
  <c r="OI83" i="4"/>
  <c r="OI82" i="4"/>
  <c r="OI81" i="4"/>
  <c r="OI80" i="4"/>
  <c r="OI79" i="4"/>
  <c r="OJ69" i="4"/>
  <c r="CV18" i="5" s="1"/>
  <c r="OI69" i="4"/>
  <c r="OI68" i="4"/>
  <c r="OI67" i="4"/>
  <c r="OI66" i="4"/>
  <c r="OI65" i="4"/>
  <c r="OI64" i="4"/>
  <c r="OI63" i="4"/>
  <c r="OI62" i="4"/>
  <c r="OI61" i="4"/>
  <c r="OI60" i="4"/>
  <c r="OI59" i="4"/>
  <c r="OI58" i="4"/>
  <c r="OJ57" i="4"/>
  <c r="CV25" i="5" s="1"/>
  <c r="OI57" i="4"/>
  <c r="OI56" i="4"/>
  <c r="OI55" i="4"/>
  <c r="OI54" i="4"/>
  <c r="OI53" i="4"/>
  <c r="OI52" i="4"/>
  <c r="OI51" i="4"/>
  <c r="OJ51" i="4" s="1"/>
  <c r="OI50" i="4"/>
  <c r="OJ50" i="4" s="1"/>
  <c r="OI49" i="4"/>
  <c r="OJ49" i="4" s="1"/>
  <c r="OI48" i="4"/>
  <c r="OJ48" i="4" s="1"/>
  <c r="OI47" i="4"/>
  <c r="OJ47" i="4" s="1"/>
  <c r="OI46" i="4"/>
  <c r="OJ46" i="4" s="1"/>
  <c r="OI45" i="4"/>
  <c r="OJ45" i="4" s="1"/>
  <c r="OI44" i="4"/>
  <c r="OI43" i="4"/>
  <c r="OI42" i="4"/>
  <c r="OI41" i="4"/>
  <c r="OJ40" i="4"/>
  <c r="CV22" i="5" s="1"/>
  <c r="OI40" i="4"/>
  <c r="OI39" i="4"/>
  <c r="OI38" i="4"/>
  <c r="OI37" i="4"/>
  <c r="OI36" i="4"/>
  <c r="OI35" i="4"/>
  <c r="OI34" i="4"/>
  <c r="OI33" i="4"/>
  <c r="OI32" i="4"/>
  <c r="OI31" i="4"/>
  <c r="OJ31" i="4" s="1"/>
  <c r="OI30" i="4"/>
  <c r="OJ30" i="4" s="1"/>
  <c r="OI29" i="4"/>
  <c r="OJ29" i="4" s="1"/>
  <c r="OI28" i="4"/>
  <c r="OJ28" i="4" s="1"/>
  <c r="OJ27" i="4"/>
  <c r="CV17" i="5" s="1"/>
  <c r="OI27" i="4"/>
  <c r="OJ26" i="4"/>
  <c r="CV16" i="5" s="1"/>
  <c r="CV71" i="5" s="1"/>
  <c r="OI26" i="4"/>
  <c r="OI25" i="4"/>
  <c r="OI24" i="4"/>
  <c r="OI23" i="4"/>
  <c r="OI22" i="4"/>
  <c r="OI21" i="4"/>
  <c r="OI20" i="4"/>
  <c r="OI19" i="4"/>
  <c r="OI18" i="4"/>
  <c r="OI17" i="4"/>
  <c r="OI16" i="4"/>
  <c r="OI15" i="4"/>
  <c r="OI14" i="4"/>
  <c r="OI13" i="4"/>
  <c r="OI12" i="4"/>
  <c r="OI11" i="4"/>
  <c r="OI10" i="4"/>
  <c r="OI9" i="4"/>
  <c r="OI8" i="4"/>
  <c r="OI7" i="4"/>
  <c r="CW41" i="5" l="1"/>
  <c r="CW72" i="5"/>
  <c r="CV33" i="5"/>
  <c r="CW46" i="5"/>
  <c r="CY73" i="5"/>
  <c r="CX73" i="5"/>
  <c r="OR135" i="4"/>
  <c r="CY27" i="5" s="1"/>
  <c r="CY82" i="5" s="1"/>
  <c r="OJ87" i="4"/>
  <c r="CW10" i="5" s="1"/>
  <c r="CW65" i="5" s="1"/>
  <c r="OR63" i="4"/>
  <c r="CX27" i="5" s="1"/>
  <c r="CX82" i="5" s="1"/>
  <c r="OR133" i="4"/>
  <c r="CY26" i="5" s="1"/>
  <c r="CY81" i="5" s="1"/>
  <c r="OR140" i="4"/>
  <c r="CY13" i="5" s="1"/>
  <c r="OR25" i="4"/>
  <c r="CX15" i="5" s="1"/>
  <c r="OR35" i="4"/>
  <c r="CX20" i="5" s="1"/>
  <c r="OR82" i="4"/>
  <c r="CY8" i="5" s="1"/>
  <c r="CY63" i="5" s="1"/>
  <c r="OR66" i="4"/>
  <c r="CX28" i="5" s="1"/>
  <c r="CX83" i="5" s="1"/>
  <c r="OJ140" i="4"/>
  <c r="CW13" i="5" s="1"/>
  <c r="OJ135" i="4"/>
  <c r="CW27" i="5" s="1"/>
  <c r="CW82" i="5" s="1"/>
  <c r="OR21" i="4"/>
  <c r="CX12" i="5" s="1"/>
  <c r="CX67" i="5" s="1"/>
  <c r="OR68" i="4"/>
  <c r="CX13" i="5" s="1"/>
  <c r="OR8" i="4"/>
  <c r="CX7" i="5" s="1"/>
  <c r="OR56" i="4"/>
  <c r="CX24" i="5" s="1"/>
  <c r="CX25" i="5"/>
  <c r="CV72" i="5"/>
  <c r="OJ68" i="4"/>
  <c r="CV13" i="5" s="1"/>
  <c r="OJ82" i="4"/>
  <c r="CW8" i="5" s="1"/>
  <c r="OJ138" i="4"/>
  <c r="CW28" i="5" s="1"/>
  <c r="CW73" i="5"/>
  <c r="CX72" i="5"/>
  <c r="CY77" i="5"/>
  <c r="OR138" i="4"/>
  <c r="CY28" i="5" s="1"/>
  <c r="CW80" i="5"/>
  <c r="CV77" i="5"/>
  <c r="CV80" i="5"/>
  <c r="CX77" i="5"/>
  <c r="OR128" i="4"/>
  <c r="CY24" i="5" s="1"/>
  <c r="CY80" i="5"/>
  <c r="OJ15" i="4"/>
  <c r="CV10" i="5" s="1"/>
  <c r="CV73" i="5"/>
  <c r="OR39" i="4"/>
  <c r="CX21" i="5" s="1"/>
  <c r="OR44" i="4"/>
  <c r="CX23" i="5" s="1"/>
  <c r="OR80" i="4"/>
  <c r="CY7" i="5" s="1"/>
  <c r="OR111" i="4"/>
  <c r="CY21" i="5" s="1"/>
  <c r="CY71" i="5"/>
  <c r="CY72" i="5"/>
  <c r="CW71" i="5"/>
  <c r="OJ116" i="4"/>
  <c r="CW23" i="5" s="1"/>
  <c r="OJ80" i="4"/>
  <c r="CW7" i="5" s="1"/>
  <c r="CW77" i="5"/>
  <c r="OR17" i="4"/>
  <c r="CX11" i="5" s="1"/>
  <c r="OR87" i="4"/>
  <c r="CY10" i="5" s="1"/>
  <c r="OR107" i="4"/>
  <c r="CY20" i="5" s="1"/>
  <c r="OR116" i="4"/>
  <c r="CY23" i="5" s="1"/>
  <c r="OR97" i="4"/>
  <c r="CY15" i="5" s="1"/>
  <c r="CY14" i="5" s="1"/>
  <c r="OR93" i="4"/>
  <c r="CY12" i="5" s="1"/>
  <c r="OR89" i="4"/>
  <c r="CY11" i="5" s="1"/>
  <c r="OR85" i="4"/>
  <c r="CY9" i="5" s="1"/>
  <c r="OR61" i="4"/>
  <c r="CX26" i="5" s="1"/>
  <c r="OR15" i="4"/>
  <c r="CX10" i="5" s="1"/>
  <c r="OR13" i="4"/>
  <c r="CX9" i="5" s="1"/>
  <c r="OR10" i="4"/>
  <c r="CX8" i="5" s="1"/>
  <c r="OJ107" i="4"/>
  <c r="CW20" i="5" s="1"/>
  <c r="OJ93" i="4"/>
  <c r="CW12" i="5" s="1"/>
  <c r="OJ111" i="4"/>
  <c r="CW21" i="5" s="1"/>
  <c r="OJ97" i="4"/>
  <c r="CW15" i="5" s="1"/>
  <c r="CW14" i="5" s="1"/>
  <c r="OJ133" i="4"/>
  <c r="CW26" i="5" s="1"/>
  <c r="OJ128" i="4"/>
  <c r="CW24" i="5" s="1"/>
  <c r="OJ85" i="4"/>
  <c r="CW9" i="5" s="1"/>
  <c r="OJ89" i="4"/>
  <c r="CW11" i="5" s="1"/>
  <c r="OJ39" i="4"/>
  <c r="CV21" i="5" s="1"/>
  <c r="OJ66" i="4"/>
  <c r="CV28" i="5" s="1"/>
  <c r="OJ21" i="4"/>
  <c r="CV12" i="5" s="1"/>
  <c r="OJ35" i="4"/>
  <c r="CV20" i="5" s="1"/>
  <c r="CV19" i="5" s="1"/>
  <c r="OJ8" i="4"/>
  <c r="CV7" i="5" s="1"/>
  <c r="OJ63" i="4"/>
  <c r="CV27" i="5" s="1"/>
  <c r="OJ10" i="4"/>
  <c r="CV8" i="5" s="1"/>
  <c r="OJ17" i="4"/>
  <c r="CV11" i="5" s="1"/>
  <c r="OJ44" i="4"/>
  <c r="CV23" i="5" s="1"/>
  <c r="OJ56" i="4"/>
  <c r="CV24" i="5" s="1"/>
  <c r="OJ61" i="4"/>
  <c r="CV26" i="5" s="1"/>
  <c r="OJ13" i="4"/>
  <c r="CV9" i="5" s="1"/>
  <c r="OJ25" i="4"/>
  <c r="CV15" i="5" s="1"/>
  <c r="CV14" i="5" s="1"/>
  <c r="KH138" i="1"/>
  <c r="KG138" i="1"/>
  <c r="KH137" i="1"/>
  <c r="KG137" i="1"/>
  <c r="KH134" i="1"/>
  <c r="KK134" i="1" s="1"/>
  <c r="KG134" i="1"/>
  <c r="KH133" i="1"/>
  <c r="KK133" i="1" s="1"/>
  <c r="KG133" i="1"/>
  <c r="KH132" i="1"/>
  <c r="KK132" i="1" s="1"/>
  <c r="KG132" i="1"/>
  <c r="KH129" i="1"/>
  <c r="KK129" i="1" s="1"/>
  <c r="KG129" i="1"/>
  <c r="KH124" i="1"/>
  <c r="KK124" i="1" s="1"/>
  <c r="KG124" i="1"/>
  <c r="KH123" i="1"/>
  <c r="KK123" i="1" s="1"/>
  <c r="KG123" i="1"/>
  <c r="KH122" i="1"/>
  <c r="KK122" i="1" s="1"/>
  <c r="KG122" i="1"/>
  <c r="KH120" i="1"/>
  <c r="KK120" i="1" s="1"/>
  <c r="KG120" i="1"/>
  <c r="KH118" i="1"/>
  <c r="KK118" i="1" s="1"/>
  <c r="KG118" i="1"/>
  <c r="KH115" i="1"/>
  <c r="KK115" i="1" s="1"/>
  <c r="KG115" i="1"/>
  <c r="KH114" i="1"/>
  <c r="KK114" i="1" s="1"/>
  <c r="KG114" i="1"/>
  <c r="KH113" i="1"/>
  <c r="KK113" i="1" s="1"/>
  <c r="KG113" i="1"/>
  <c r="KH112" i="1"/>
  <c r="KK112" i="1" s="1"/>
  <c r="KG112" i="1"/>
  <c r="KK103" i="1"/>
  <c r="KK105" i="1"/>
  <c r="KK108" i="1"/>
  <c r="KK110" i="1"/>
  <c r="KK116" i="1"/>
  <c r="KK117" i="1"/>
  <c r="KK119" i="1"/>
  <c r="KK121" i="1"/>
  <c r="KK125" i="1"/>
  <c r="KK126" i="1"/>
  <c r="KK127" i="1"/>
  <c r="KK128" i="1"/>
  <c r="KK130" i="1"/>
  <c r="KK131" i="1"/>
  <c r="KK135" i="1"/>
  <c r="KK136" i="1"/>
  <c r="KK137" i="1"/>
  <c r="KH111" i="1"/>
  <c r="KK111" i="1" s="1"/>
  <c r="KG111" i="1"/>
  <c r="KH109" i="1"/>
  <c r="KK109" i="1" s="1"/>
  <c r="KG109" i="1"/>
  <c r="KH107" i="1"/>
  <c r="KK107" i="1" s="1"/>
  <c r="KG107" i="1"/>
  <c r="KH106" i="1"/>
  <c r="KK106" i="1" s="1"/>
  <c r="KG106" i="1"/>
  <c r="KH104" i="1"/>
  <c r="KK104" i="1" s="1"/>
  <c r="KG104" i="1"/>
  <c r="KK94" i="1"/>
  <c r="KJ94" i="1"/>
  <c r="KJ98" i="1"/>
  <c r="KJ99" i="1"/>
  <c r="KJ101" i="1"/>
  <c r="KK98" i="1"/>
  <c r="KK99" i="1"/>
  <c r="KK101" i="1"/>
  <c r="KJ116" i="1"/>
  <c r="KJ117" i="1"/>
  <c r="KJ119" i="1"/>
  <c r="KJ121" i="1"/>
  <c r="KJ125" i="1"/>
  <c r="KJ126" i="1"/>
  <c r="KJ127" i="1"/>
  <c r="KJ128" i="1"/>
  <c r="KJ130" i="1"/>
  <c r="KJ131" i="1"/>
  <c r="KJ135" i="1"/>
  <c r="KJ136" i="1"/>
  <c r="KJ108" i="1"/>
  <c r="KJ110" i="1"/>
  <c r="KH102" i="1"/>
  <c r="KK102" i="1" s="1"/>
  <c r="KG102" i="1"/>
  <c r="KH100" i="1"/>
  <c r="KK100" i="1" s="1"/>
  <c r="KG100" i="1"/>
  <c r="KH97" i="1"/>
  <c r="KK97" i="1" s="1"/>
  <c r="KG97" i="1"/>
  <c r="KH96" i="1"/>
  <c r="KK96" i="1" s="1"/>
  <c r="KG96" i="1"/>
  <c r="KH93" i="1"/>
  <c r="KG93" i="1"/>
  <c r="KK7" i="1"/>
  <c r="KJ7" i="1"/>
  <c r="KH51" i="1"/>
  <c r="KG51" i="1"/>
  <c r="KH50" i="1"/>
  <c r="KG50" i="1"/>
  <c r="KH48" i="1"/>
  <c r="KG48" i="1"/>
  <c r="KH47" i="1"/>
  <c r="KG47" i="1"/>
  <c r="KH46" i="1"/>
  <c r="KG46" i="1"/>
  <c r="KH45" i="1"/>
  <c r="KG45" i="1"/>
  <c r="KH37" i="1"/>
  <c r="KG37" i="1"/>
  <c r="KH36" i="1"/>
  <c r="KK36" i="1" s="1"/>
  <c r="KG36" i="1"/>
  <c r="KH35" i="1"/>
  <c r="KG35" i="1"/>
  <c r="KH34" i="1"/>
  <c r="KG34" i="1"/>
  <c r="KH33" i="1"/>
  <c r="KG33" i="1"/>
  <c r="KH31" i="1"/>
  <c r="KG31" i="1"/>
  <c r="KH28" i="1"/>
  <c r="KG28" i="1"/>
  <c r="KH27" i="1"/>
  <c r="KG27" i="1"/>
  <c r="KH26" i="1"/>
  <c r="KG26" i="1"/>
  <c r="KH25" i="1"/>
  <c r="KG25" i="1"/>
  <c r="KH24" i="1"/>
  <c r="KG24" i="1"/>
  <c r="KH20" i="1"/>
  <c r="KG20" i="1"/>
  <c r="KH18" i="1"/>
  <c r="KG18" i="1"/>
  <c r="KH17" i="1"/>
  <c r="KG17" i="1"/>
  <c r="KH16" i="1"/>
  <c r="KK16" i="1" s="1"/>
  <c r="KG16" i="1"/>
  <c r="KH15" i="1"/>
  <c r="KG15" i="1"/>
  <c r="KH13" i="1"/>
  <c r="KG13" i="1"/>
  <c r="KH10" i="1"/>
  <c r="KG10" i="1"/>
  <c r="KH8" i="1"/>
  <c r="KK8" i="1" s="1"/>
  <c r="KG8" i="1"/>
  <c r="KH6" i="1"/>
  <c r="KG6" i="1"/>
  <c r="KJ112" i="1" l="1"/>
  <c r="KJ109" i="1"/>
  <c r="KJ133" i="1"/>
  <c r="KJ107" i="1"/>
  <c r="KJ132" i="1"/>
  <c r="CW62" i="5"/>
  <c r="CW6" i="5"/>
  <c r="CY6" i="5"/>
  <c r="CY19" i="5"/>
  <c r="CX70" i="5"/>
  <c r="CX69" i="5" s="1"/>
  <c r="CX14" i="5"/>
  <c r="CX62" i="5"/>
  <c r="CX6" i="5"/>
  <c r="KJ137" i="1"/>
  <c r="CV6" i="5"/>
  <c r="CW19" i="5"/>
  <c r="CX75" i="5"/>
  <c r="CX19" i="5"/>
  <c r="CX68" i="5"/>
  <c r="CV68" i="5"/>
  <c r="CY68" i="5"/>
  <c r="CW68" i="5"/>
  <c r="KJ100" i="1"/>
  <c r="KJ16" i="1"/>
  <c r="KJ97" i="1"/>
  <c r="KJ138" i="1"/>
  <c r="KJ96" i="1"/>
  <c r="KJ102" i="1"/>
  <c r="KJ115" i="1"/>
  <c r="KJ134" i="1"/>
  <c r="KJ124" i="1"/>
  <c r="KJ111" i="1"/>
  <c r="CV66" i="5"/>
  <c r="CX65" i="5"/>
  <c r="CV70" i="5"/>
  <c r="CV69" i="5" s="1"/>
  <c r="CV63" i="5"/>
  <c r="CV76" i="5"/>
  <c r="CW76" i="5"/>
  <c r="CX81" i="5"/>
  <c r="CX66" i="5"/>
  <c r="CY76" i="5"/>
  <c r="CV65" i="5"/>
  <c r="CY83" i="5"/>
  <c r="CV64" i="5"/>
  <c r="CV82" i="5"/>
  <c r="CW66" i="5"/>
  <c r="CW67" i="5"/>
  <c r="CY64" i="5"/>
  <c r="CY62" i="5"/>
  <c r="CW83" i="5"/>
  <c r="CV83" i="5"/>
  <c r="KJ8" i="1"/>
  <c r="KJ120" i="1"/>
  <c r="KJ113" i="1"/>
  <c r="KJ118" i="1"/>
  <c r="KJ123" i="1"/>
  <c r="CV81" i="5"/>
  <c r="CV62" i="5"/>
  <c r="CW64" i="5"/>
  <c r="CW75" i="5"/>
  <c r="CY66" i="5"/>
  <c r="CX78" i="5"/>
  <c r="CW70" i="5"/>
  <c r="CW69" i="5" s="1"/>
  <c r="CY79" i="5"/>
  <c r="CW78" i="5"/>
  <c r="KJ106" i="1"/>
  <c r="CV79" i="5"/>
  <c r="CV75" i="5"/>
  <c r="CW79" i="5"/>
  <c r="CX63" i="5"/>
  <c r="CY67" i="5"/>
  <c r="CY75" i="5"/>
  <c r="CX76" i="5"/>
  <c r="CW63" i="5"/>
  <c r="CX79" i="5"/>
  <c r="CY78" i="5"/>
  <c r="KK138" i="1"/>
  <c r="KJ114" i="1"/>
  <c r="CV78" i="5"/>
  <c r="CW81" i="5"/>
  <c r="CX64" i="5"/>
  <c r="CY70" i="5"/>
  <c r="CY69" i="5" s="1"/>
  <c r="CY65" i="5"/>
  <c r="CV67" i="5"/>
  <c r="CX80" i="5"/>
  <c r="KJ129" i="1"/>
  <c r="KJ122" i="1"/>
  <c r="KI173" i="1"/>
  <c r="KI172" i="1"/>
  <c r="KI171" i="1"/>
  <c r="KH171" i="1"/>
  <c r="KG171" i="1"/>
  <c r="KI170" i="1"/>
  <c r="KH170" i="1"/>
  <c r="KK170" i="1" s="1"/>
  <c r="KG170" i="1"/>
  <c r="KI169" i="1"/>
  <c r="KH169" i="1"/>
  <c r="KG169" i="1"/>
  <c r="KI168" i="1"/>
  <c r="KH168" i="1"/>
  <c r="KI167" i="1"/>
  <c r="KI166" i="1"/>
  <c r="KH166" i="1"/>
  <c r="KG166" i="1"/>
  <c r="KI165" i="1"/>
  <c r="KH165" i="1"/>
  <c r="KG165" i="1"/>
  <c r="KI164" i="1"/>
  <c r="KH164" i="1"/>
  <c r="KI163" i="1"/>
  <c r="KH163" i="1"/>
  <c r="KG163" i="1"/>
  <c r="KI162" i="1"/>
  <c r="KH162" i="1"/>
  <c r="KI161" i="1"/>
  <c r="KI160" i="1"/>
  <c r="KI159" i="1"/>
  <c r="KI158" i="1"/>
  <c r="KH158" i="1"/>
  <c r="KI157" i="1"/>
  <c r="KH157" i="1"/>
  <c r="KG157" i="1"/>
  <c r="KI156" i="1"/>
  <c r="KI155" i="1"/>
  <c r="KH155" i="1"/>
  <c r="KG155" i="1"/>
  <c r="KI154" i="1"/>
  <c r="KH154" i="1"/>
  <c r="KG154" i="1"/>
  <c r="KI153" i="1"/>
  <c r="KG153" i="1"/>
  <c r="KI152" i="1"/>
  <c r="KH152" i="1"/>
  <c r="KI151" i="1"/>
  <c r="KH151" i="1"/>
  <c r="KG151" i="1"/>
  <c r="KI150" i="1"/>
  <c r="KH150" i="1"/>
  <c r="KI149" i="1"/>
  <c r="KI148" i="1"/>
  <c r="KH148" i="1"/>
  <c r="KI147" i="1"/>
  <c r="KG147" i="1"/>
  <c r="KI146" i="1"/>
  <c r="KH146" i="1"/>
  <c r="KI145" i="1"/>
  <c r="KI144" i="1"/>
  <c r="KH144" i="1"/>
  <c r="KI143" i="1"/>
  <c r="KH173" i="1"/>
  <c r="KG173" i="1"/>
  <c r="KH172" i="1"/>
  <c r="KG172" i="1"/>
  <c r="KG168" i="1"/>
  <c r="KH167" i="1"/>
  <c r="KK167" i="1" s="1"/>
  <c r="KG167" i="1"/>
  <c r="KG164" i="1"/>
  <c r="KG162" i="1"/>
  <c r="KH161" i="1"/>
  <c r="KG161" i="1"/>
  <c r="KH160" i="1"/>
  <c r="KG160" i="1"/>
  <c r="KH159" i="1"/>
  <c r="KG159" i="1"/>
  <c r="KG158" i="1"/>
  <c r="KH153" i="1"/>
  <c r="KK153" i="1" s="1"/>
  <c r="KG152" i="1"/>
  <c r="KG150" i="1"/>
  <c r="KG149" i="1"/>
  <c r="KJ105" i="1"/>
  <c r="KG148" i="1"/>
  <c r="KJ103" i="1"/>
  <c r="KH147" i="1"/>
  <c r="KG146" i="1"/>
  <c r="KJ95" i="1"/>
  <c r="KK95" i="1"/>
  <c r="KG144" i="1"/>
  <c r="KK93" i="1"/>
  <c r="KJ93" i="1"/>
  <c r="KH143" i="1"/>
  <c r="KG143" i="1"/>
  <c r="KI86" i="1"/>
  <c r="KH86" i="1"/>
  <c r="KI85" i="1"/>
  <c r="KG85" i="1"/>
  <c r="KI84" i="1"/>
  <c r="KH84" i="1"/>
  <c r="KG84" i="1"/>
  <c r="KI83" i="1"/>
  <c r="KG83" i="1"/>
  <c r="KI82" i="1"/>
  <c r="KH82" i="1"/>
  <c r="KI81" i="1"/>
  <c r="KG81" i="1"/>
  <c r="KI80" i="1"/>
  <c r="KI79" i="1"/>
  <c r="KH79" i="1"/>
  <c r="KG79" i="1"/>
  <c r="KI78" i="1"/>
  <c r="KH78" i="1"/>
  <c r="KG78" i="1"/>
  <c r="KI77" i="1"/>
  <c r="KI76" i="1"/>
  <c r="KI75" i="1"/>
  <c r="KI74" i="1"/>
  <c r="KH74" i="1"/>
  <c r="KG74" i="1"/>
  <c r="KI73" i="1"/>
  <c r="KG73" i="1"/>
  <c r="KI72" i="1"/>
  <c r="KG72" i="1"/>
  <c r="KI71" i="1"/>
  <c r="KI70" i="1"/>
  <c r="KI69" i="1"/>
  <c r="KG69" i="1"/>
  <c r="KI68" i="1"/>
  <c r="KH68" i="1"/>
  <c r="KG68" i="1"/>
  <c r="KI67" i="1"/>
  <c r="KH67" i="1"/>
  <c r="KG67" i="1"/>
  <c r="KI66" i="1"/>
  <c r="KI65" i="1"/>
  <c r="KG65" i="1"/>
  <c r="KI64" i="1"/>
  <c r="KI63" i="1"/>
  <c r="KG63" i="1"/>
  <c r="KI62" i="1"/>
  <c r="KH62" i="1"/>
  <c r="KI61" i="1"/>
  <c r="KG61" i="1"/>
  <c r="KI60" i="1"/>
  <c r="KI59" i="1"/>
  <c r="KG59" i="1"/>
  <c r="KI58" i="1"/>
  <c r="KI57" i="1"/>
  <c r="KH57" i="1"/>
  <c r="KG57" i="1"/>
  <c r="KI56" i="1"/>
  <c r="KH56" i="1"/>
  <c r="KK51" i="1"/>
  <c r="KG86" i="1"/>
  <c r="KK50" i="1"/>
  <c r="KJ50" i="1"/>
  <c r="KH83" i="1"/>
  <c r="KK47" i="1"/>
  <c r="KG82" i="1"/>
  <c r="KK46" i="1"/>
  <c r="KH81" i="1"/>
  <c r="KH80" i="1"/>
  <c r="KG80" i="1"/>
  <c r="KK42" i="1"/>
  <c r="KH77" i="1"/>
  <c r="KJ42" i="1"/>
  <c r="KK39" i="1"/>
  <c r="KJ39" i="1"/>
  <c r="KH76" i="1"/>
  <c r="KG76" i="1"/>
  <c r="KK37" i="1"/>
  <c r="KH75" i="1"/>
  <c r="KG75" i="1"/>
  <c r="KK35" i="1"/>
  <c r="KJ35" i="1"/>
  <c r="KK34" i="1"/>
  <c r="KK33" i="1"/>
  <c r="KH71" i="1"/>
  <c r="KJ33" i="1"/>
  <c r="KK32" i="1"/>
  <c r="KJ32" i="1"/>
  <c r="KG70" i="1"/>
  <c r="KH69" i="1"/>
  <c r="KK28" i="1"/>
  <c r="KH66" i="1"/>
  <c r="KJ28" i="1"/>
  <c r="KK27" i="1"/>
  <c r="KJ27" i="1"/>
  <c r="KH64" i="1"/>
  <c r="KG64" i="1"/>
  <c r="KK25" i="1"/>
  <c r="KH63" i="1"/>
  <c r="KJ25" i="1"/>
  <c r="KK24" i="1"/>
  <c r="KJ24" i="1"/>
  <c r="KK23" i="1"/>
  <c r="KJ23" i="1"/>
  <c r="KK22" i="1"/>
  <c r="KJ22" i="1"/>
  <c r="KG62" i="1"/>
  <c r="KJ20" i="1"/>
  <c r="KK19" i="1"/>
  <c r="KJ19" i="1"/>
  <c r="KK18" i="1"/>
  <c r="KJ18" i="1"/>
  <c r="KK17" i="1"/>
  <c r="KK15" i="1"/>
  <c r="KH60" i="1"/>
  <c r="KJ15" i="1"/>
  <c r="KK13" i="1"/>
  <c r="KJ13" i="1"/>
  <c r="KH58" i="1"/>
  <c r="KG58" i="1"/>
  <c r="KK6" i="1"/>
  <c r="KG56" i="1"/>
  <c r="KK71" i="1" l="1"/>
  <c r="KJ75" i="1"/>
  <c r="CT53" i="5" s="1"/>
  <c r="KK86" i="1"/>
  <c r="KK151" i="1"/>
  <c r="KJ154" i="1"/>
  <c r="KK79" i="1"/>
  <c r="KJ144" i="1"/>
  <c r="CU35" i="5" s="1"/>
  <c r="KK56" i="1"/>
  <c r="KJ79" i="1"/>
  <c r="KK82" i="1"/>
  <c r="KJ160" i="1"/>
  <c r="CU51" i="5" s="1"/>
  <c r="KJ167" i="1"/>
  <c r="KK150" i="1"/>
  <c r="KJ155" i="1"/>
  <c r="KK162" i="1"/>
  <c r="CY74" i="5"/>
  <c r="CW74" i="5"/>
  <c r="CX74" i="5"/>
  <c r="CV84" i="5"/>
  <c r="CV61" i="5"/>
  <c r="CW84" i="5"/>
  <c r="CW61" i="5"/>
  <c r="KK172" i="1"/>
  <c r="CV74" i="5"/>
  <c r="CX61" i="5"/>
  <c r="CX84" i="5"/>
  <c r="KK157" i="1"/>
  <c r="CY84" i="5"/>
  <c r="CY61" i="5"/>
  <c r="KJ58" i="1"/>
  <c r="CT36" i="5" s="1"/>
  <c r="KK62" i="1"/>
  <c r="KK68" i="1"/>
  <c r="KJ143" i="1"/>
  <c r="CU34" i="5" s="1"/>
  <c r="KJ164" i="1"/>
  <c r="CU55" i="5" s="1"/>
  <c r="KK152" i="1"/>
  <c r="KJ157" i="1"/>
  <c r="KJ166" i="1"/>
  <c r="KK80" i="1"/>
  <c r="KJ57" i="1"/>
  <c r="CT35" i="5" s="1"/>
  <c r="KK67" i="1"/>
  <c r="KK144" i="1"/>
  <c r="KJ151" i="1"/>
  <c r="CU44" i="5" s="1"/>
  <c r="KK155" i="1"/>
  <c r="KK75" i="1"/>
  <c r="KK78" i="1"/>
  <c r="KJ159" i="1"/>
  <c r="KJ162" i="1"/>
  <c r="CU53" i="5" s="1"/>
  <c r="KK165" i="1"/>
  <c r="KJ172" i="1"/>
  <c r="CU40" i="5" s="1"/>
  <c r="KK168" i="1"/>
  <c r="KK161" i="1"/>
  <c r="KK160" i="1"/>
  <c r="KJ158" i="1"/>
  <c r="CU49" i="5" s="1"/>
  <c r="KJ152" i="1"/>
  <c r="KJ148" i="1"/>
  <c r="CU39" i="5" s="1"/>
  <c r="KJ147" i="1"/>
  <c r="CU38" i="5" s="1"/>
  <c r="KJ146" i="1"/>
  <c r="CU37" i="5" s="1"/>
  <c r="KK147" i="1"/>
  <c r="KJ168" i="1"/>
  <c r="KK173" i="1"/>
  <c r="KK143" i="1"/>
  <c r="KK159" i="1"/>
  <c r="KK146" i="1"/>
  <c r="KK154" i="1"/>
  <c r="KK158" i="1"/>
  <c r="KJ165" i="1"/>
  <c r="KK169" i="1"/>
  <c r="KK171" i="1"/>
  <c r="KJ163" i="1"/>
  <c r="KK163" i="1"/>
  <c r="KJ150" i="1"/>
  <c r="CU43" i="5" s="1"/>
  <c r="KK148" i="1"/>
  <c r="KK164" i="1"/>
  <c r="KK166" i="1"/>
  <c r="KJ169" i="1"/>
  <c r="KJ171" i="1"/>
  <c r="KJ86" i="1"/>
  <c r="CT45" i="5" s="1"/>
  <c r="KK81" i="1"/>
  <c r="KK74" i="1"/>
  <c r="KK66" i="1"/>
  <c r="KK63" i="1"/>
  <c r="KJ56" i="1"/>
  <c r="CT34" i="5" s="1"/>
  <c r="KK60" i="1"/>
  <c r="KK64" i="1"/>
  <c r="KK69" i="1"/>
  <c r="KK77" i="1"/>
  <c r="KJ82" i="1"/>
  <c r="KK58" i="1"/>
  <c r="KJ62" i="1"/>
  <c r="CT42" i="5" s="1"/>
  <c r="KK76" i="1"/>
  <c r="KK83" i="1"/>
  <c r="KJ67" i="1"/>
  <c r="KJ78" i="1"/>
  <c r="KJ84" i="1"/>
  <c r="KK84" i="1"/>
  <c r="KK57" i="1"/>
  <c r="KJ83" i="1"/>
  <c r="KJ153" i="1"/>
  <c r="KJ64" i="1"/>
  <c r="CT44" i="5" s="1"/>
  <c r="KJ76" i="1"/>
  <c r="KJ161" i="1"/>
  <c r="CU52" i="5" s="1"/>
  <c r="KJ173" i="1"/>
  <c r="CU45" i="5" s="1"/>
  <c r="KJ63" i="1"/>
  <c r="CT43" i="5" s="1"/>
  <c r="KJ81" i="1"/>
  <c r="KJ80" i="1"/>
  <c r="KJ69" i="1"/>
  <c r="CT47" i="5" s="1"/>
  <c r="KJ26" i="1"/>
  <c r="KJ31" i="1"/>
  <c r="KJ34" i="1"/>
  <c r="KJ38" i="1"/>
  <c r="KJ45" i="1"/>
  <c r="KJ48" i="1"/>
  <c r="KG60" i="1"/>
  <c r="KJ60" i="1" s="1"/>
  <c r="CT38" i="5" s="1"/>
  <c r="KH61" i="1"/>
  <c r="KK61" i="1" s="1"/>
  <c r="KG66" i="1"/>
  <c r="KJ66" i="1" s="1"/>
  <c r="KH73" i="1"/>
  <c r="KK73" i="1" s="1"/>
  <c r="KH85" i="1"/>
  <c r="KK85" i="1" s="1"/>
  <c r="KH145" i="1"/>
  <c r="KK145" i="1" s="1"/>
  <c r="KG156" i="1"/>
  <c r="KG145" i="1"/>
  <c r="KJ17" i="1"/>
  <c r="KK20" i="1"/>
  <c r="KK38" i="1"/>
  <c r="KK45" i="1"/>
  <c r="KG71" i="1"/>
  <c r="KJ71" i="1" s="1"/>
  <c r="CT49" i="5" s="1"/>
  <c r="KH72" i="1"/>
  <c r="KJ74" i="1"/>
  <c r="CT52" i="5" s="1"/>
  <c r="KG77" i="1"/>
  <c r="KJ77" i="1" s="1"/>
  <c r="KJ104" i="1"/>
  <c r="KH156" i="1"/>
  <c r="KK156" i="1" s="1"/>
  <c r="KJ170" i="1"/>
  <c r="KJ10" i="1"/>
  <c r="KK10" i="1"/>
  <c r="KK26" i="1"/>
  <c r="KK31" i="1"/>
  <c r="KK48" i="1"/>
  <c r="KJ68" i="1"/>
  <c r="KJ6" i="1"/>
  <c r="KJ37" i="1"/>
  <c r="KJ47" i="1"/>
  <c r="KJ51" i="1"/>
  <c r="KH59" i="1"/>
  <c r="KK59" i="1" s="1"/>
  <c r="KH65" i="1"/>
  <c r="KK65" i="1" s="1"/>
  <c r="KH149" i="1"/>
  <c r="KK149" i="1" s="1"/>
  <c r="KH70" i="1"/>
  <c r="KK70" i="1" s="1"/>
  <c r="KJ46" i="1"/>
  <c r="OB141" i="4"/>
  <c r="CU18" i="5" s="1"/>
  <c r="OA141" i="4"/>
  <c r="OA140" i="4"/>
  <c r="OA139" i="4"/>
  <c r="OA138" i="4"/>
  <c r="OA137" i="4"/>
  <c r="OA136" i="4"/>
  <c r="OA135" i="4"/>
  <c r="OA134" i="4"/>
  <c r="OA133" i="4"/>
  <c r="OA132" i="4"/>
  <c r="OA131" i="4"/>
  <c r="OA130" i="4"/>
  <c r="OB129" i="4"/>
  <c r="CU25" i="5" s="1"/>
  <c r="OA129" i="4"/>
  <c r="OA128" i="4"/>
  <c r="OA127" i="4"/>
  <c r="OA126" i="4"/>
  <c r="OA125" i="4"/>
  <c r="OA124" i="4"/>
  <c r="OA123" i="4"/>
  <c r="OB123" i="4" s="1"/>
  <c r="OA122" i="4"/>
  <c r="OB122" i="4" s="1"/>
  <c r="OA121" i="4"/>
  <c r="OB121" i="4" s="1"/>
  <c r="OA120" i="4"/>
  <c r="OB120" i="4" s="1"/>
  <c r="OA119" i="4"/>
  <c r="OB119" i="4" s="1"/>
  <c r="OA118" i="4"/>
  <c r="OB118" i="4" s="1"/>
  <c r="OA117" i="4"/>
  <c r="OB117" i="4" s="1"/>
  <c r="OA116" i="4"/>
  <c r="OA115" i="4"/>
  <c r="OA114" i="4"/>
  <c r="OA113" i="4"/>
  <c r="OB112" i="4"/>
  <c r="CU22" i="5" s="1"/>
  <c r="OA112" i="4"/>
  <c r="OA111" i="4"/>
  <c r="OA110" i="4"/>
  <c r="OA109" i="4"/>
  <c r="OA108" i="4"/>
  <c r="OA107" i="4"/>
  <c r="OA106" i="4"/>
  <c r="OA105" i="4"/>
  <c r="OA104" i="4"/>
  <c r="OA103" i="4"/>
  <c r="OB103" i="4" s="1"/>
  <c r="OA102" i="4"/>
  <c r="OB102" i="4" s="1"/>
  <c r="OA101" i="4"/>
  <c r="OB101" i="4" s="1"/>
  <c r="OA100" i="4"/>
  <c r="OB100" i="4" s="1"/>
  <c r="OB99" i="4"/>
  <c r="CU17" i="5" s="1"/>
  <c r="OA99" i="4"/>
  <c r="OB98" i="4"/>
  <c r="CU16" i="5" s="1"/>
  <c r="OA98" i="4"/>
  <c r="OA97" i="4"/>
  <c r="OA96" i="4"/>
  <c r="OA95" i="4"/>
  <c r="OA94" i="4"/>
  <c r="OA93" i="4"/>
  <c r="OA92" i="4"/>
  <c r="OA91" i="4"/>
  <c r="OA90" i="4"/>
  <c r="OA89" i="4"/>
  <c r="OA88" i="4"/>
  <c r="OA87" i="4"/>
  <c r="OA86" i="4"/>
  <c r="OA85" i="4"/>
  <c r="OA84" i="4"/>
  <c r="OA83" i="4"/>
  <c r="OA82" i="4"/>
  <c r="OA81" i="4"/>
  <c r="OA80" i="4"/>
  <c r="OA79" i="4"/>
  <c r="OB69" i="4"/>
  <c r="CT18" i="5" s="1"/>
  <c r="OA69" i="4"/>
  <c r="OA68" i="4"/>
  <c r="OA67" i="4"/>
  <c r="OA66" i="4"/>
  <c r="OA65" i="4"/>
  <c r="OA64" i="4"/>
  <c r="OA63" i="4"/>
  <c r="OA62" i="4"/>
  <c r="OA61" i="4"/>
  <c r="OA60" i="4"/>
  <c r="OA59" i="4"/>
  <c r="OA58" i="4"/>
  <c r="OB57" i="4"/>
  <c r="CT25" i="5" s="1"/>
  <c r="OA57" i="4"/>
  <c r="OA56" i="4"/>
  <c r="OA55" i="4"/>
  <c r="OA54" i="4"/>
  <c r="OA53" i="4"/>
  <c r="OA52" i="4"/>
  <c r="OA51" i="4"/>
  <c r="OB51" i="4" s="1"/>
  <c r="OA50" i="4"/>
  <c r="OB50" i="4" s="1"/>
  <c r="OA49" i="4"/>
  <c r="OB49" i="4" s="1"/>
  <c r="OA48" i="4"/>
  <c r="OB48" i="4" s="1"/>
  <c r="OA47" i="4"/>
  <c r="OB47" i="4" s="1"/>
  <c r="OA46" i="4"/>
  <c r="OB46" i="4" s="1"/>
  <c r="OA45" i="4"/>
  <c r="OB45" i="4" s="1"/>
  <c r="OA44" i="4"/>
  <c r="OA43" i="4"/>
  <c r="OA42" i="4"/>
  <c r="OA41" i="4"/>
  <c r="OB40" i="4"/>
  <c r="CT22" i="5" s="1"/>
  <c r="OA40" i="4"/>
  <c r="OA39" i="4"/>
  <c r="OA38" i="4"/>
  <c r="OA37" i="4"/>
  <c r="OA36" i="4"/>
  <c r="OA35" i="4"/>
  <c r="OA34" i="4"/>
  <c r="OA33" i="4"/>
  <c r="OA32" i="4"/>
  <c r="OA31" i="4"/>
  <c r="OB31" i="4" s="1"/>
  <c r="OA30" i="4"/>
  <c r="OB30" i="4" s="1"/>
  <c r="OA29" i="4"/>
  <c r="OB29" i="4" s="1"/>
  <c r="OA28" i="4"/>
  <c r="OB28" i="4" s="1"/>
  <c r="OB27" i="4"/>
  <c r="CT17" i="5" s="1"/>
  <c r="OA27" i="4"/>
  <c r="OB26" i="4"/>
  <c r="CT16" i="5" s="1"/>
  <c r="OA26" i="4"/>
  <c r="OA25" i="4"/>
  <c r="OA24" i="4"/>
  <c r="OA23" i="4"/>
  <c r="OA22" i="4"/>
  <c r="OA21" i="4"/>
  <c r="OA20" i="4"/>
  <c r="OA19" i="4"/>
  <c r="OA18" i="4"/>
  <c r="OA17" i="4"/>
  <c r="OA16" i="4"/>
  <c r="OA15" i="4"/>
  <c r="OA14" i="4"/>
  <c r="OA13" i="4"/>
  <c r="OA12" i="4"/>
  <c r="OA11" i="4"/>
  <c r="OA10" i="4"/>
  <c r="OA9" i="4"/>
  <c r="OA8" i="4"/>
  <c r="OA7" i="4"/>
  <c r="CT41" i="5" l="1"/>
  <c r="T47" i="36"/>
  <c r="T46" i="36"/>
  <c r="T51" i="36"/>
  <c r="T54" i="36"/>
  <c r="OB85" i="4"/>
  <c r="CU9" i="5" s="1"/>
  <c r="T45" i="36"/>
  <c r="CT80" i="5"/>
  <c r="CT138" i="5"/>
  <c r="T20" i="36"/>
  <c r="CT77" i="5"/>
  <c r="CU71" i="5"/>
  <c r="CU77" i="5"/>
  <c r="OB10" i="4"/>
  <c r="CT8" i="5" s="1"/>
  <c r="T19" i="36"/>
  <c r="T18" i="36"/>
  <c r="CT133" i="5"/>
  <c r="T24" i="36"/>
  <c r="T27" i="36"/>
  <c r="CU73" i="5"/>
  <c r="CT124" i="5"/>
  <c r="CU138" i="5"/>
  <c r="CU80" i="5"/>
  <c r="CT73" i="5"/>
  <c r="CT72" i="5"/>
  <c r="CU124" i="5"/>
  <c r="CU72" i="5"/>
  <c r="CT71" i="5"/>
  <c r="KJ145" i="1"/>
  <c r="CU36" i="5" s="1"/>
  <c r="CU33" i="5" s="1"/>
  <c r="KJ149" i="1"/>
  <c r="CU42" i="5" s="1"/>
  <c r="CU41" i="5" s="1"/>
  <c r="KJ73" i="1"/>
  <c r="CT51" i="5" s="1"/>
  <c r="KJ65" i="1"/>
  <c r="OB138" i="4"/>
  <c r="CU28" i="5" s="1"/>
  <c r="OB82" i="4"/>
  <c r="CU8" i="5" s="1"/>
  <c r="OB80" i="4"/>
  <c r="CU7" i="5" s="1"/>
  <c r="OB63" i="4"/>
  <c r="CT27" i="5" s="1"/>
  <c r="OB13" i="4"/>
  <c r="CT9" i="5" s="1"/>
  <c r="OB15" i="4"/>
  <c r="CT10" i="5" s="1"/>
  <c r="OB61" i="4"/>
  <c r="CT26" i="5" s="1"/>
  <c r="KK72" i="1"/>
  <c r="KJ72" i="1"/>
  <c r="CT50" i="5" s="1"/>
  <c r="KJ156" i="1"/>
  <c r="CU47" i="5" s="1"/>
  <c r="CU46" i="5" s="1"/>
  <c r="KJ70" i="1"/>
  <c r="KJ61" i="1"/>
  <c r="CT39" i="5" s="1"/>
  <c r="KJ85" i="1"/>
  <c r="CT40" i="5" s="1"/>
  <c r="KJ59" i="1"/>
  <c r="CT37" i="5" s="1"/>
  <c r="OB111" i="4"/>
  <c r="CU21" i="5" s="1"/>
  <c r="OB133" i="4"/>
  <c r="CU26" i="5" s="1"/>
  <c r="OB89" i="4"/>
  <c r="CU11" i="5" s="1"/>
  <c r="OB128" i="4"/>
  <c r="CU24" i="5" s="1"/>
  <c r="OB97" i="4"/>
  <c r="CU15" i="5" s="1"/>
  <c r="CU14" i="5" s="1"/>
  <c r="OB93" i="4"/>
  <c r="CU12" i="5" s="1"/>
  <c r="CU67" i="5" s="1"/>
  <c r="OB116" i="4"/>
  <c r="CU23" i="5" s="1"/>
  <c r="OB140" i="4"/>
  <c r="CU13" i="5" s="1"/>
  <c r="OB107" i="4"/>
  <c r="CU20" i="5" s="1"/>
  <c r="OB87" i="4"/>
  <c r="CU10" i="5" s="1"/>
  <c r="OB135" i="4"/>
  <c r="CU27" i="5" s="1"/>
  <c r="OB17" i="4"/>
  <c r="CT11" i="5" s="1"/>
  <c r="OB56" i="4"/>
  <c r="CT24" i="5" s="1"/>
  <c r="OB25" i="4"/>
  <c r="CT15" i="5" s="1"/>
  <c r="CT14" i="5" s="1"/>
  <c r="OB44" i="4"/>
  <c r="CT23" i="5" s="1"/>
  <c r="OB8" i="4"/>
  <c r="CT7" i="5" s="1"/>
  <c r="OB39" i="4"/>
  <c r="CT21" i="5" s="1"/>
  <c r="OB21" i="4"/>
  <c r="CT12" i="5" s="1"/>
  <c r="OB35" i="4"/>
  <c r="CT20" i="5" s="1"/>
  <c r="OB66" i="4"/>
  <c r="CT28" i="5" s="1"/>
  <c r="OB68" i="4"/>
  <c r="CT13" i="5" s="1"/>
  <c r="CT6" i="5" l="1"/>
  <c r="CT33" i="5"/>
  <c r="CT46" i="5"/>
  <c r="CU19" i="5"/>
  <c r="CU6" i="5"/>
  <c r="CT19" i="5"/>
  <c r="CU68" i="5"/>
  <c r="T41" i="36"/>
  <c r="T52" i="36"/>
  <c r="T38" i="36"/>
  <c r="T40" i="36"/>
  <c r="T50" i="36"/>
  <c r="T55" i="36"/>
  <c r="T39" i="36"/>
  <c r="T37" i="36"/>
  <c r="T42" i="36"/>
  <c r="T57" i="36"/>
  <c r="T44" i="36"/>
  <c r="T56" i="36"/>
  <c r="CT75" i="5"/>
  <c r="T49" i="36"/>
  <c r="T53" i="36"/>
  <c r="T74" i="36"/>
  <c r="T76" i="36"/>
  <c r="T80" i="36"/>
  <c r="T83" i="36"/>
  <c r="T36" i="36"/>
  <c r="T9" i="36"/>
  <c r="CU79" i="5"/>
  <c r="T12" i="36"/>
  <c r="T15" i="36"/>
  <c r="T11" i="36"/>
  <c r="CT64" i="5"/>
  <c r="CT79" i="5"/>
  <c r="CU66" i="5"/>
  <c r="T10" i="36"/>
  <c r="T30" i="36"/>
  <c r="CT83" i="5"/>
  <c r="T17" i="36"/>
  <c r="T16" i="36" s="1"/>
  <c r="CU75" i="5"/>
  <c r="CU133" i="5"/>
  <c r="T29" i="36"/>
  <c r="CT82" i="5"/>
  <c r="CU70" i="5"/>
  <c r="CU69" i="5" s="1"/>
  <c r="CU81" i="5"/>
  <c r="CT63" i="5"/>
  <c r="CT67" i="5"/>
  <c r="T25" i="36"/>
  <c r="T22" i="36"/>
  <c r="T26" i="36"/>
  <c r="CU78" i="5"/>
  <c r="CU76" i="5"/>
  <c r="CT78" i="5"/>
  <c r="CU62" i="5"/>
  <c r="CU64" i="5"/>
  <c r="CU65" i="5"/>
  <c r="CT62" i="5"/>
  <c r="T14" i="36"/>
  <c r="T13" i="36"/>
  <c r="CT65" i="5"/>
  <c r="CU63" i="5"/>
  <c r="CT66" i="5"/>
  <c r="T23" i="36"/>
  <c r="CT76" i="5"/>
  <c r="CU82" i="5"/>
  <c r="CT68" i="5"/>
  <c r="T28" i="36"/>
  <c r="CT81" i="5"/>
  <c r="CU83" i="5"/>
  <c r="CT70" i="5"/>
  <c r="CT69" i="5" s="1"/>
  <c r="T75" i="36"/>
  <c r="CS160" i="5"/>
  <c r="CS155" i="5"/>
  <c r="CS170" i="5"/>
  <c r="CS169" i="5"/>
  <c r="CS168" i="5"/>
  <c r="CS167" i="5"/>
  <c r="CS166" i="5"/>
  <c r="CS165" i="5"/>
  <c r="CS164" i="5"/>
  <c r="CS163" i="5"/>
  <c r="CS162" i="5"/>
  <c r="CS159" i="5"/>
  <c r="CS158" i="5"/>
  <c r="CS157" i="5"/>
  <c r="CS154" i="5"/>
  <c r="CS153" i="5"/>
  <c r="CS152" i="5"/>
  <c r="CS151" i="5"/>
  <c r="CS150" i="5"/>
  <c r="CS149" i="5"/>
  <c r="CR160" i="5"/>
  <c r="CR155" i="5"/>
  <c r="CR170" i="5"/>
  <c r="CR169" i="5"/>
  <c r="CR168" i="5"/>
  <c r="CR167" i="5"/>
  <c r="CR166" i="5"/>
  <c r="CR165" i="5"/>
  <c r="CR164" i="5"/>
  <c r="CR163" i="5"/>
  <c r="CR162" i="5"/>
  <c r="CR159" i="5"/>
  <c r="CR158" i="5"/>
  <c r="CR157" i="5"/>
  <c r="CR154" i="5"/>
  <c r="CR153" i="5"/>
  <c r="CR152" i="5"/>
  <c r="CR151" i="5"/>
  <c r="CR150" i="5"/>
  <c r="CR149" i="5"/>
  <c r="CQ160" i="5"/>
  <c r="CQ155" i="5"/>
  <c r="CQ170" i="5"/>
  <c r="CQ169" i="5"/>
  <c r="CQ168" i="5"/>
  <c r="CQ167" i="5"/>
  <c r="CQ166" i="5"/>
  <c r="CQ165" i="5"/>
  <c r="CQ164" i="5"/>
  <c r="CQ163" i="5"/>
  <c r="CQ162" i="5"/>
  <c r="CQ159" i="5"/>
  <c r="CQ157" i="5"/>
  <c r="CQ158" i="5"/>
  <c r="CQ154" i="5"/>
  <c r="CQ153" i="5"/>
  <c r="CQ152" i="5"/>
  <c r="CQ151" i="5"/>
  <c r="CQ150" i="5"/>
  <c r="CQ149" i="5"/>
  <c r="CP160" i="5"/>
  <c r="CP155" i="5"/>
  <c r="CP170" i="5"/>
  <c r="CP169" i="5"/>
  <c r="CP168" i="5"/>
  <c r="CP167" i="5"/>
  <c r="CP166" i="5"/>
  <c r="CP165" i="5"/>
  <c r="CP164" i="5"/>
  <c r="CP163" i="5"/>
  <c r="CP162" i="5"/>
  <c r="CP159" i="5"/>
  <c r="CP158" i="5"/>
  <c r="CP157" i="5"/>
  <c r="CP154" i="5"/>
  <c r="CP153" i="5"/>
  <c r="CP152" i="5"/>
  <c r="CP151" i="5"/>
  <c r="CP150" i="5"/>
  <c r="CP149" i="5"/>
  <c r="CO160" i="5"/>
  <c r="CO155" i="5"/>
  <c r="CO170" i="5"/>
  <c r="CO169" i="5"/>
  <c r="CO168" i="5"/>
  <c r="CO167" i="5"/>
  <c r="CO166" i="5"/>
  <c r="CO165" i="5"/>
  <c r="CO164" i="5"/>
  <c r="CO163" i="5"/>
  <c r="CO162" i="5"/>
  <c r="CS134" i="5"/>
  <c r="CR138" i="5"/>
  <c r="CQ138" i="5"/>
  <c r="CQ124" i="5"/>
  <c r="CP138" i="5"/>
  <c r="CS156" i="5" l="1"/>
  <c r="CQ156" i="5"/>
  <c r="CP156" i="5"/>
  <c r="CP148" i="5"/>
  <c r="CP171" i="5"/>
  <c r="CS171" i="5"/>
  <c r="CS148" i="5"/>
  <c r="T21" i="36"/>
  <c r="CR161" i="5"/>
  <c r="CU84" i="5"/>
  <c r="CU61" i="5"/>
  <c r="CO161" i="5"/>
  <c r="CQ148" i="5"/>
  <c r="CQ171" i="5"/>
  <c r="CP161" i="5"/>
  <c r="CS161" i="5"/>
  <c r="CU74" i="5"/>
  <c r="T8" i="36"/>
  <c r="CR156" i="5"/>
  <c r="CT84" i="5"/>
  <c r="CT61" i="5"/>
  <c r="CR148" i="5"/>
  <c r="CR171" i="5"/>
  <c r="CQ161" i="5"/>
  <c r="CT74" i="5"/>
  <c r="T43" i="36"/>
  <c r="T35" i="36"/>
  <c r="T48" i="36"/>
  <c r="T66" i="36"/>
  <c r="T82" i="36"/>
  <c r="T86" i="36"/>
  <c r="T79" i="36"/>
  <c r="T73" i="36"/>
  <c r="T72" i="36" s="1"/>
  <c r="T71" i="36"/>
  <c r="T70" i="36"/>
  <c r="T78" i="36"/>
  <c r="T67" i="36"/>
  <c r="T84" i="36"/>
  <c r="T69" i="36"/>
  <c r="T81" i="36"/>
  <c r="T85" i="36"/>
  <c r="T68" i="36"/>
  <c r="T65" i="36"/>
  <c r="T87" i="36" l="1"/>
  <c r="T64" i="36"/>
  <c r="T77" i="36"/>
  <c r="KC173" i="1" l="1"/>
  <c r="KC172" i="1"/>
  <c r="KC171" i="1"/>
  <c r="KC170" i="1"/>
  <c r="KC169" i="1"/>
  <c r="KC168" i="1"/>
  <c r="KC167" i="1"/>
  <c r="KC166" i="1"/>
  <c r="KC165" i="1"/>
  <c r="KC164" i="1"/>
  <c r="KC163" i="1"/>
  <c r="KC162" i="1"/>
  <c r="KC161" i="1"/>
  <c r="KC160" i="1"/>
  <c r="KC159" i="1"/>
  <c r="KC158" i="1"/>
  <c r="KC157" i="1"/>
  <c r="KC156" i="1"/>
  <c r="KC155" i="1"/>
  <c r="KC154" i="1"/>
  <c r="KC153" i="1"/>
  <c r="KC152" i="1"/>
  <c r="KC151" i="1"/>
  <c r="KC150" i="1"/>
  <c r="KC149" i="1"/>
  <c r="KC148" i="1"/>
  <c r="KC147" i="1"/>
  <c r="KC146" i="1"/>
  <c r="KC145" i="1"/>
  <c r="KC144" i="1"/>
  <c r="KC143" i="1"/>
  <c r="KB171" i="1"/>
  <c r="KB170" i="1"/>
  <c r="KB169" i="1"/>
  <c r="KB166" i="1"/>
  <c r="KB165" i="1"/>
  <c r="KB163" i="1"/>
  <c r="KB157" i="1"/>
  <c r="KB155" i="1"/>
  <c r="KB154" i="1"/>
  <c r="KA171" i="1"/>
  <c r="KA170" i="1"/>
  <c r="KA169" i="1"/>
  <c r="KA166" i="1"/>
  <c r="KA165" i="1"/>
  <c r="KA163" i="1"/>
  <c r="KA157" i="1"/>
  <c r="KA155" i="1"/>
  <c r="KA154" i="1"/>
  <c r="KB138" i="1"/>
  <c r="KB173" i="1" s="1"/>
  <c r="KA138" i="1"/>
  <c r="KA173" i="1" s="1"/>
  <c r="KB137" i="1"/>
  <c r="KB172" i="1" s="1"/>
  <c r="KA137" i="1"/>
  <c r="KA172" i="1" s="1"/>
  <c r="KB133" i="1"/>
  <c r="KB168" i="1" s="1"/>
  <c r="KA133" i="1"/>
  <c r="KA168" i="1" s="1"/>
  <c r="KB132" i="1"/>
  <c r="KB167" i="1" s="1"/>
  <c r="KA132" i="1"/>
  <c r="KA167" i="1" s="1"/>
  <c r="KB129" i="1"/>
  <c r="KB164" i="1" s="1"/>
  <c r="KA129" i="1"/>
  <c r="KA164" i="1" s="1"/>
  <c r="KB124" i="1"/>
  <c r="KB162" i="1" s="1"/>
  <c r="KA124" i="1"/>
  <c r="KA162" i="1" s="1"/>
  <c r="KB123" i="1"/>
  <c r="KE123" i="1" s="1"/>
  <c r="KA123" i="1"/>
  <c r="KA161" i="1" s="1"/>
  <c r="KB122" i="1"/>
  <c r="KB160" i="1" s="1"/>
  <c r="KA122" i="1"/>
  <c r="KA160" i="1" s="1"/>
  <c r="KB121" i="1"/>
  <c r="KB159" i="1" s="1"/>
  <c r="KA121" i="1"/>
  <c r="KA159" i="1" s="1"/>
  <c r="KB120" i="1"/>
  <c r="KB158" i="1" s="1"/>
  <c r="KA120" i="1"/>
  <c r="KA158" i="1" s="1"/>
  <c r="KB118" i="1"/>
  <c r="KB156" i="1" s="1"/>
  <c r="KA118" i="1"/>
  <c r="KA156" i="1" s="1"/>
  <c r="KB115" i="1"/>
  <c r="KB153" i="1" s="1"/>
  <c r="KA115" i="1"/>
  <c r="KA153" i="1" s="1"/>
  <c r="KB114" i="1"/>
  <c r="KB152" i="1" s="1"/>
  <c r="KA114" i="1"/>
  <c r="KA152" i="1" s="1"/>
  <c r="KB113" i="1"/>
  <c r="KB151" i="1" s="1"/>
  <c r="KA113" i="1"/>
  <c r="KA151" i="1" s="1"/>
  <c r="KB112" i="1"/>
  <c r="KB150" i="1" s="1"/>
  <c r="KA112" i="1"/>
  <c r="KA150" i="1" s="1"/>
  <c r="KB110" i="1"/>
  <c r="KE110" i="1" s="1"/>
  <c r="KA110" i="1"/>
  <c r="KB109" i="1"/>
  <c r="KE109" i="1" s="1"/>
  <c r="KA109" i="1"/>
  <c r="KB105" i="1"/>
  <c r="KA105" i="1"/>
  <c r="KB104" i="1"/>
  <c r="KA104" i="1"/>
  <c r="KB103" i="1"/>
  <c r="KB147" i="1" s="1"/>
  <c r="KA103" i="1"/>
  <c r="KA147" i="1" s="1"/>
  <c r="KB100" i="1"/>
  <c r="KB146" i="1" s="1"/>
  <c r="KA100" i="1"/>
  <c r="KA146" i="1" s="1"/>
  <c r="KB97" i="1"/>
  <c r="KB145" i="1" s="1"/>
  <c r="KA97" i="1"/>
  <c r="KA145" i="1" s="1"/>
  <c r="KB95" i="1"/>
  <c r="KE95" i="1" s="1"/>
  <c r="KA95" i="1"/>
  <c r="KA144" i="1" s="1"/>
  <c r="KB93" i="1"/>
  <c r="KB143" i="1" s="1"/>
  <c r="KA93" i="1"/>
  <c r="KA143" i="1" s="1"/>
  <c r="KC86" i="1"/>
  <c r="KC85" i="1"/>
  <c r="KC84" i="1"/>
  <c r="KC83" i="1"/>
  <c r="KC82" i="1"/>
  <c r="KC81" i="1"/>
  <c r="KC80" i="1"/>
  <c r="KC79" i="1"/>
  <c r="KC78" i="1"/>
  <c r="KC77" i="1"/>
  <c r="KC76" i="1"/>
  <c r="KC75" i="1"/>
  <c r="KC74" i="1"/>
  <c r="KC73" i="1"/>
  <c r="KC72" i="1"/>
  <c r="KC71" i="1"/>
  <c r="KC70" i="1"/>
  <c r="KC69" i="1"/>
  <c r="KC68" i="1"/>
  <c r="KC67" i="1"/>
  <c r="KC66" i="1"/>
  <c r="KC65" i="1"/>
  <c r="KC64" i="1"/>
  <c r="KC63" i="1"/>
  <c r="KC62" i="1"/>
  <c r="KC61" i="1"/>
  <c r="KC60" i="1"/>
  <c r="KC59" i="1"/>
  <c r="KC58" i="1"/>
  <c r="KC57" i="1"/>
  <c r="KC56" i="1"/>
  <c r="KB84" i="1"/>
  <c r="KB79" i="1"/>
  <c r="KB78" i="1"/>
  <c r="KB74" i="1"/>
  <c r="KB68" i="1"/>
  <c r="KB67" i="1"/>
  <c r="KB57" i="1"/>
  <c r="KA84" i="1"/>
  <c r="KA79" i="1"/>
  <c r="KA78" i="1"/>
  <c r="KA74" i="1"/>
  <c r="KA68" i="1"/>
  <c r="KA67" i="1"/>
  <c r="KA57" i="1"/>
  <c r="KB51" i="1"/>
  <c r="KB86" i="1" s="1"/>
  <c r="KA51" i="1"/>
  <c r="KA86" i="1" s="1"/>
  <c r="KB50" i="1"/>
  <c r="KB85" i="1" s="1"/>
  <c r="KA50" i="1"/>
  <c r="KA85" i="1" s="1"/>
  <c r="KB48" i="1"/>
  <c r="KB83" i="1" s="1"/>
  <c r="KA48" i="1"/>
  <c r="KA83" i="1" s="1"/>
  <c r="KB47" i="1"/>
  <c r="KB82" i="1" s="1"/>
  <c r="KA47" i="1"/>
  <c r="KA82" i="1" s="1"/>
  <c r="KB46" i="1"/>
  <c r="KB81" i="1" s="1"/>
  <c r="KA46" i="1"/>
  <c r="KA81" i="1" s="1"/>
  <c r="KB45" i="1"/>
  <c r="KB80" i="1" s="1"/>
  <c r="KA45" i="1"/>
  <c r="KA80" i="1" s="1"/>
  <c r="KB42" i="1"/>
  <c r="KB77" i="1" s="1"/>
  <c r="KA42" i="1"/>
  <c r="KA77" i="1" s="1"/>
  <c r="KB39" i="1"/>
  <c r="KA39" i="1"/>
  <c r="KB38" i="1"/>
  <c r="KA38" i="1"/>
  <c r="KB37" i="1"/>
  <c r="KB75" i="1" s="1"/>
  <c r="KA37" i="1"/>
  <c r="KA75" i="1" s="1"/>
  <c r="KB35" i="1"/>
  <c r="KB73" i="1" s="1"/>
  <c r="KA35" i="1"/>
  <c r="KA73" i="1" s="1"/>
  <c r="KB34" i="1"/>
  <c r="KB72" i="1" s="1"/>
  <c r="KA34" i="1"/>
  <c r="KA72" i="1" s="1"/>
  <c r="KB33" i="1"/>
  <c r="KB71" i="1" s="1"/>
  <c r="KA33" i="1"/>
  <c r="KA71" i="1" s="1"/>
  <c r="KB32" i="1"/>
  <c r="KB70" i="1" s="1"/>
  <c r="KA32" i="1"/>
  <c r="KA70" i="1" s="1"/>
  <c r="KB31" i="1"/>
  <c r="KB69" i="1" s="1"/>
  <c r="KA31" i="1"/>
  <c r="KA69" i="1" s="1"/>
  <c r="KB28" i="1"/>
  <c r="KB66" i="1" s="1"/>
  <c r="KA28" i="1"/>
  <c r="KA66" i="1" s="1"/>
  <c r="KB27" i="1"/>
  <c r="KB65" i="1" s="1"/>
  <c r="KA27" i="1"/>
  <c r="KA65" i="1" s="1"/>
  <c r="KB26" i="1"/>
  <c r="KB64" i="1" s="1"/>
  <c r="KA26" i="1"/>
  <c r="KA64" i="1" s="1"/>
  <c r="KB25" i="1"/>
  <c r="KB63" i="1" s="1"/>
  <c r="KA25" i="1"/>
  <c r="KA63" i="1" s="1"/>
  <c r="KB24" i="1"/>
  <c r="KA24" i="1"/>
  <c r="KB22" i="1"/>
  <c r="KA22" i="1"/>
  <c r="KA62" i="1" s="1"/>
  <c r="KB20" i="1"/>
  <c r="KA20" i="1"/>
  <c r="KB19" i="1"/>
  <c r="KA19" i="1"/>
  <c r="KB18" i="1"/>
  <c r="KA18" i="1"/>
  <c r="KB17" i="1"/>
  <c r="KA17" i="1"/>
  <c r="KB15" i="1"/>
  <c r="KB60" i="1" s="1"/>
  <c r="KA15" i="1"/>
  <c r="KA60" i="1" s="1"/>
  <c r="KB13" i="1"/>
  <c r="KB59" i="1" s="1"/>
  <c r="KA13" i="1"/>
  <c r="KA59" i="1" s="1"/>
  <c r="KB10" i="1"/>
  <c r="KB58" i="1" s="1"/>
  <c r="KA10" i="1"/>
  <c r="KA58" i="1" s="1"/>
  <c r="KB6" i="1"/>
  <c r="KB56" i="1" s="1"/>
  <c r="KA6" i="1"/>
  <c r="KA56" i="1" s="1"/>
  <c r="KA76" i="1" l="1"/>
  <c r="KD104" i="1"/>
  <c r="KA61" i="1"/>
  <c r="KE93" i="1"/>
  <c r="KD105" i="1"/>
  <c r="KD109" i="1"/>
  <c r="KB148" i="1"/>
  <c r="KD103" i="1"/>
  <c r="KB61" i="1"/>
  <c r="KE103" i="1"/>
  <c r="KE105" i="1"/>
  <c r="KD93" i="1"/>
  <c r="KB62" i="1"/>
  <c r="KB76" i="1"/>
  <c r="KB161" i="1"/>
  <c r="KD161" i="1" s="1"/>
  <c r="CS52" i="5" s="1"/>
  <c r="KD95" i="1"/>
  <c r="KD110" i="1"/>
  <c r="KD123" i="1"/>
  <c r="KB144" i="1"/>
  <c r="KA149" i="1"/>
  <c r="KB149" i="1"/>
  <c r="KA148" i="1"/>
  <c r="KE48" i="1"/>
  <c r="KE33" i="1"/>
  <c r="KE26" i="1"/>
  <c r="KE23" i="1"/>
  <c r="KD48" i="1"/>
  <c r="KD33" i="1"/>
  <c r="KD26" i="1"/>
  <c r="KD23" i="1"/>
  <c r="KE171" i="1"/>
  <c r="KD171" i="1"/>
  <c r="KE170" i="1"/>
  <c r="KD166" i="1"/>
  <c r="KD165" i="1"/>
  <c r="KE165" i="1"/>
  <c r="KE162" i="1"/>
  <c r="KE156" i="1"/>
  <c r="KE155" i="1"/>
  <c r="KD155" i="1"/>
  <c r="KE154" i="1"/>
  <c r="KD154" i="1"/>
  <c r="KE150" i="1"/>
  <c r="KD147" i="1"/>
  <c r="CS38" i="5" s="1"/>
  <c r="KE147" i="1"/>
  <c r="KE138" i="1"/>
  <c r="KE173" i="1"/>
  <c r="KD138" i="1"/>
  <c r="KD137" i="1"/>
  <c r="KE133" i="1"/>
  <c r="KD133" i="1"/>
  <c r="KD132" i="1"/>
  <c r="KE167" i="1"/>
  <c r="KE163" i="1"/>
  <c r="KD124" i="1"/>
  <c r="KE124" i="1"/>
  <c r="KE122" i="1"/>
  <c r="KD122" i="1"/>
  <c r="KE121" i="1"/>
  <c r="KE159" i="1"/>
  <c r="KD121" i="1"/>
  <c r="KD120" i="1"/>
  <c r="KE118" i="1"/>
  <c r="KD118" i="1"/>
  <c r="KD115" i="1"/>
  <c r="KE153" i="1"/>
  <c r="KE151" i="1"/>
  <c r="KE112" i="1"/>
  <c r="KD112" i="1"/>
  <c r="KE104" i="1"/>
  <c r="KD100" i="1"/>
  <c r="KE146" i="1"/>
  <c r="KE97" i="1"/>
  <c r="KE83" i="1"/>
  <c r="KE79" i="1"/>
  <c r="KE78" i="1"/>
  <c r="KD78" i="1"/>
  <c r="KE74" i="1"/>
  <c r="KE71" i="1"/>
  <c r="KE67" i="1"/>
  <c r="KD51" i="1"/>
  <c r="KE51" i="1"/>
  <c r="KD86" i="1"/>
  <c r="CR45" i="5" s="1"/>
  <c r="KE50" i="1"/>
  <c r="KD50" i="1"/>
  <c r="KE84" i="1"/>
  <c r="KD47" i="1"/>
  <c r="KE82" i="1"/>
  <c r="KE46" i="1"/>
  <c r="KE81" i="1"/>
  <c r="KE45" i="1"/>
  <c r="KD45" i="1"/>
  <c r="KD42" i="1"/>
  <c r="KE42" i="1"/>
  <c r="KD39" i="1"/>
  <c r="KE39" i="1"/>
  <c r="KE38" i="1"/>
  <c r="KE37" i="1"/>
  <c r="KD35" i="1"/>
  <c r="KE35" i="1"/>
  <c r="KE34" i="1"/>
  <c r="KD70" i="1"/>
  <c r="CR48" i="5" s="1"/>
  <c r="KD31" i="1"/>
  <c r="KE31" i="1"/>
  <c r="KE28" i="1"/>
  <c r="KE65" i="1"/>
  <c r="KD25" i="1"/>
  <c r="KE25" i="1"/>
  <c r="KE24" i="1"/>
  <c r="KD24" i="1"/>
  <c r="KE22" i="1"/>
  <c r="KD22" i="1"/>
  <c r="KD20" i="1"/>
  <c r="KE20" i="1"/>
  <c r="KE19" i="1"/>
  <c r="KD19" i="1"/>
  <c r="KE18" i="1"/>
  <c r="KD17" i="1"/>
  <c r="KE17" i="1"/>
  <c r="KE15" i="1"/>
  <c r="KD60" i="1"/>
  <c r="CR38" i="5" s="1"/>
  <c r="KD10" i="1"/>
  <c r="KE58" i="1"/>
  <c r="KE57" i="1"/>
  <c r="KD6" i="1"/>
  <c r="KE6" i="1"/>
  <c r="JW173" i="1"/>
  <c r="JW172" i="1"/>
  <c r="JW171" i="1"/>
  <c r="JW170" i="1"/>
  <c r="JW169" i="1"/>
  <c r="JW168" i="1"/>
  <c r="JW167" i="1"/>
  <c r="JW166" i="1"/>
  <c r="JW165" i="1"/>
  <c r="JW164" i="1"/>
  <c r="JW163" i="1"/>
  <c r="JW162" i="1"/>
  <c r="JW161" i="1"/>
  <c r="JW160" i="1"/>
  <c r="JW159" i="1"/>
  <c r="JW158" i="1"/>
  <c r="JW157" i="1"/>
  <c r="JW156" i="1"/>
  <c r="JW155" i="1"/>
  <c r="JW154" i="1"/>
  <c r="JW153" i="1"/>
  <c r="JW152" i="1"/>
  <c r="JW151" i="1"/>
  <c r="JW150" i="1"/>
  <c r="JW149" i="1"/>
  <c r="JW148" i="1"/>
  <c r="JW147" i="1"/>
  <c r="JW146" i="1"/>
  <c r="JW145" i="1"/>
  <c r="JW144" i="1"/>
  <c r="JW143" i="1"/>
  <c r="JV171" i="1"/>
  <c r="JV170" i="1"/>
  <c r="JV166" i="1"/>
  <c r="JV165" i="1"/>
  <c r="JV161" i="1"/>
  <c r="JV155" i="1"/>
  <c r="JV154" i="1"/>
  <c r="JV147" i="1"/>
  <c r="JY147" i="1" s="1"/>
  <c r="JU171" i="1"/>
  <c r="JU170" i="1"/>
  <c r="JU166" i="1"/>
  <c r="JU165" i="1"/>
  <c r="JU161" i="1"/>
  <c r="JU155" i="1"/>
  <c r="JU154" i="1"/>
  <c r="JU147" i="1"/>
  <c r="CR134" i="5" l="1"/>
  <c r="CS124" i="5"/>
  <c r="CR124" i="5"/>
  <c r="CS138" i="5"/>
  <c r="KE164" i="1"/>
  <c r="KD164" i="1"/>
  <c r="CS55" i="5" s="1"/>
  <c r="KE158" i="1"/>
  <c r="KE161" i="1"/>
  <c r="KE166" i="1"/>
  <c r="KE172" i="1"/>
  <c r="KE168" i="1"/>
  <c r="KD162" i="1"/>
  <c r="CS53" i="5" s="1"/>
  <c r="KD170" i="1"/>
  <c r="KD167" i="1"/>
  <c r="KE152" i="1"/>
  <c r="KD152" i="1"/>
  <c r="KD153" i="1"/>
  <c r="KE149" i="1"/>
  <c r="KD146" i="1"/>
  <c r="CS37" i="5" s="1"/>
  <c r="KE144" i="1"/>
  <c r="KE143" i="1"/>
  <c r="KE86" i="1"/>
  <c r="KE85" i="1"/>
  <c r="KE77" i="1"/>
  <c r="KE76" i="1"/>
  <c r="KE70" i="1"/>
  <c r="KE66" i="1"/>
  <c r="KE64" i="1"/>
  <c r="KE72" i="1"/>
  <c r="KD72" i="1"/>
  <c r="CR50" i="5" s="1"/>
  <c r="KD79" i="1"/>
  <c r="KD83" i="1"/>
  <c r="KD81" i="1"/>
  <c r="KD84" i="1"/>
  <c r="KD71" i="1"/>
  <c r="CR49" i="5" s="1"/>
  <c r="KD74" i="1"/>
  <c r="KD85" i="1"/>
  <c r="CR40" i="5" s="1"/>
  <c r="KE68" i="1"/>
  <c r="KD67" i="1"/>
  <c r="KD68" i="1"/>
  <c r="KD64" i="1"/>
  <c r="CR44" i="5" s="1"/>
  <c r="KD66" i="1"/>
  <c r="KE60" i="1"/>
  <c r="KE59" i="1"/>
  <c r="KD58" i="1"/>
  <c r="CR36" i="5" s="1"/>
  <c r="KD82" i="1"/>
  <c r="KD151" i="1"/>
  <c r="CS44" i="5" s="1"/>
  <c r="KD158" i="1"/>
  <c r="CS49" i="5" s="1"/>
  <c r="KD172" i="1"/>
  <c r="CS40" i="5" s="1"/>
  <c r="KD143" i="1"/>
  <c r="CS34" i="5" s="1"/>
  <c r="KD149" i="1"/>
  <c r="CS42" i="5" s="1"/>
  <c r="KD69" i="1"/>
  <c r="CR47" i="5" s="1"/>
  <c r="KD173" i="1"/>
  <c r="CS45" i="5" s="1"/>
  <c r="KD57" i="1"/>
  <c r="KD59" i="1"/>
  <c r="CR37" i="5" s="1"/>
  <c r="KD65" i="1"/>
  <c r="KD76" i="1"/>
  <c r="CR54" i="5" s="1"/>
  <c r="KD77" i="1"/>
  <c r="CR55" i="5" s="1"/>
  <c r="KD163" i="1"/>
  <c r="KE56" i="1"/>
  <c r="KD15" i="1"/>
  <c r="KD28" i="1"/>
  <c r="KD34" i="1"/>
  <c r="KD38" i="1"/>
  <c r="KD46" i="1"/>
  <c r="KE63" i="1"/>
  <c r="KE69" i="1"/>
  <c r="KE75" i="1"/>
  <c r="KD144" i="1"/>
  <c r="CS35" i="5" s="1"/>
  <c r="KE145" i="1"/>
  <c r="KD150" i="1"/>
  <c r="CS43" i="5" s="1"/>
  <c r="KD156" i="1"/>
  <c r="CS47" i="5" s="1"/>
  <c r="KE157" i="1"/>
  <c r="KD168" i="1"/>
  <c r="KE169" i="1"/>
  <c r="KE80" i="1"/>
  <c r="KD13" i="1"/>
  <c r="KD18" i="1"/>
  <c r="KD27" i="1"/>
  <c r="KD32" i="1"/>
  <c r="KD37" i="1"/>
  <c r="KE61" i="1"/>
  <c r="KE73" i="1"/>
  <c r="KE100" i="1"/>
  <c r="KE115" i="1"/>
  <c r="KE120" i="1"/>
  <c r="KE132" i="1"/>
  <c r="KE137" i="1"/>
  <c r="KE62" i="1"/>
  <c r="KE13" i="1"/>
  <c r="KE27" i="1"/>
  <c r="KE32" i="1"/>
  <c r="KD97" i="1"/>
  <c r="KD114" i="1"/>
  <c r="KD129" i="1"/>
  <c r="KE148" i="1"/>
  <c r="KD159" i="1"/>
  <c r="CS50" i="5" s="1"/>
  <c r="KE160" i="1"/>
  <c r="KE114" i="1"/>
  <c r="KE129" i="1"/>
  <c r="KE10" i="1"/>
  <c r="KE47" i="1"/>
  <c r="JW56" i="1"/>
  <c r="JV138" i="1"/>
  <c r="JV173" i="1" s="1"/>
  <c r="JU138" i="1"/>
  <c r="JU173" i="1" s="1"/>
  <c r="JV137" i="1"/>
  <c r="JV172" i="1" s="1"/>
  <c r="JY172" i="1" s="1"/>
  <c r="JU137" i="1"/>
  <c r="JU172" i="1" s="1"/>
  <c r="JV134" i="1"/>
  <c r="JV169" i="1" s="1"/>
  <c r="JU134" i="1"/>
  <c r="JU169" i="1" s="1"/>
  <c r="JV133" i="1"/>
  <c r="JV168" i="1" s="1"/>
  <c r="JU133" i="1"/>
  <c r="JU168" i="1" s="1"/>
  <c r="JV132" i="1"/>
  <c r="JV167" i="1" s="1"/>
  <c r="JY167" i="1" s="1"/>
  <c r="JU132" i="1"/>
  <c r="JU167" i="1" s="1"/>
  <c r="JV129" i="1"/>
  <c r="JV164" i="1" s="1"/>
  <c r="JU129" i="1"/>
  <c r="JU164" i="1" s="1"/>
  <c r="JV126" i="1"/>
  <c r="JU126" i="1"/>
  <c r="JU163" i="1" s="1"/>
  <c r="JV124" i="1"/>
  <c r="JV162" i="1" s="1"/>
  <c r="JY162" i="1" s="1"/>
  <c r="JU124" i="1"/>
  <c r="JV122" i="1"/>
  <c r="JV160" i="1" s="1"/>
  <c r="JY160" i="1" s="1"/>
  <c r="JU122" i="1"/>
  <c r="JU160" i="1" s="1"/>
  <c r="JV121" i="1"/>
  <c r="JV159" i="1" s="1"/>
  <c r="JU121" i="1"/>
  <c r="JU159" i="1" s="1"/>
  <c r="JV120" i="1"/>
  <c r="JU120" i="1"/>
  <c r="JU158" i="1" s="1"/>
  <c r="JV119" i="1"/>
  <c r="JV157" i="1" s="1"/>
  <c r="JU119" i="1"/>
  <c r="JU157" i="1" s="1"/>
  <c r="JV118" i="1"/>
  <c r="JV156" i="1" s="1"/>
  <c r="JU118" i="1"/>
  <c r="JU156" i="1" s="1"/>
  <c r="JV115" i="1"/>
  <c r="JV153" i="1" s="1"/>
  <c r="JU115" i="1"/>
  <c r="JU153" i="1" s="1"/>
  <c r="JV114" i="1"/>
  <c r="JV152" i="1" s="1"/>
  <c r="JY152" i="1" s="1"/>
  <c r="JU114" i="1"/>
  <c r="JV113" i="1"/>
  <c r="JV151" i="1" s="1"/>
  <c r="JU113" i="1"/>
  <c r="JU151" i="1" s="1"/>
  <c r="JV112" i="1"/>
  <c r="JV150" i="1" s="1"/>
  <c r="JU112" i="1"/>
  <c r="JU150" i="1" s="1"/>
  <c r="JV111" i="1"/>
  <c r="JU111" i="1"/>
  <c r="JV109" i="1"/>
  <c r="JU109" i="1"/>
  <c r="JV104" i="1"/>
  <c r="JY104" i="1" s="1"/>
  <c r="JU106" i="1"/>
  <c r="JU104" i="1"/>
  <c r="JV101" i="1"/>
  <c r="JY101" i="1" s="1"/>
  <c r="JU101" i="1"/>
  <c r="JV100" i="1"/>
  <c r="JY100" i="1" s="1"/>
  <c r="JU100" i="1"/>
  <c r="JV97" i="1"/>
  <c r="JV145" i="1" s="1"/>
  <c r="JU97" i="1"/>
  <c r="JU145" i="1" s="1"/>
  <c r="JV96" i="1"/>
  <c r="JY96" i="1" s="1"/>
  <c r="JU96" i="1"/>
  <c r="JU144" i="1" s="1"/>
  <c r="JV94" i="1"/>
  <c r="JV143" i="1" s="1"/>
  <c r="JU94" i="1"/>
  <c r="JW86" i="1"/>
  <c r="JW85" i="1"/>
  <c r="JW84" i="1"/>
  <c r="JW83" i="1"/>
  <c r="JY83" i="1" s="1"/>
  <c r="JW82" i="1"/>
  <c r="JW81" i="1"/>
  <c r="JW80" i="1"/>
  <c r="JW79" i="1"/>
  <c r="JW78" i="1"/>
  <c r="JW77" i="1"/>
  <c r="JW76" i="1"/>
  <c r="JW75" i="1"/>
  <c r="JW74" i="1"/>
  <c r="JW73" i="1"/>
  <c r="JW72" i="1"/>
  <c r="JW71" i="1"/>
  <c r="JW70" i="1"/>
  <c r="JW69" i="1"/>
  <c r="JW68" i="1"/>
  <c r="JW67" i="1"/>
  <c r="JW66" i="1"/>
  <c r="JW65" i="1"/>
  <c r="JW64" i="1"/>
  <c r="JW63" i="1"/>
  <c r="JW62" i="1"/>
  <c r="JW61" i="1"/>
  <c r="JW60" i="1"/>
  <c r="JW59" i="1"/>
  <c r="JW58" i="1"/>
  <c r="JW57" i="1"/>
  <c r="JV83" i="1"/>
  <c r="JV79" i="1"/>
  <c r="JY79" i="1" s="1"/>
  <c r="JV78" i="1"/>
  <c r="JV74" i="1"/>
  <c r="JV71" i="1"/>
  <c r="JV68" i="1"/>
  <c r="JY68" i="1" s="1"/>
  <c r="JV67" i="1"/>
  <c r="JV64" i="1"/>
  <c r="JU83" i="1"/>
  <c r="JU79" i="1"/>
  <c r="JU78" i="1"/>
  <c r="JU74" i="1"/>
  <c r="JU71" i="1"/>
  <c r="JU68" i="1"/>
  <c r="JU67" i="1"/>
  <c r="JU64" i="1"/>
  <c r="JV51" i="1"/>
  <c r="JU51" i="1"/>
  <c r="JU86" i="1" s="1"/>
  <c r="JV50" i="1"/>
  <c r="JY50" i="1" s="1"/>
  <c r="JU50" i="1"/>
  <c r="JU85" i="1" s="1"/>
  <c r="JV49" i="1"/>
  <c r="JV84" i="1" s="1"/>
  <c r="JY84" i="1" s="1"/>
  <c r="JU49" i="1"/>
  <c r="JU84" i="1" s="1"/>
  <c r="JV42" i="1"/>
  <c r="JY42" i="1" s="1"/>
  <c r="JU47" i="1"/>
  <c r="JU82" i="1" s="1"/>
  <c r="JV46" i="1"/>
  <c r="JV81" i="1" s="1"/>
  <c r="JU46" i="1"/>
  <c r="JU81" i="1" s="1"/>
  <c r="JV45" i="1"/>
  <c r="JV80" i="1" s="1"/>
  <c r="JU45" i="1"/>
  <c r="JU80" i="1" s="1"/>
  <c r="JU42" i="1"/>
  <c r="JV41" i="1"/>
  <c r="JY41" i="1" s="1"/>
  <c r="JU41" i="1"/>
  <c r="JV40" i="1"/>
  <c r="JY40" i="1" s="1"/>
  <c r="JU40" i="1"/>
  <c r="JV39" i="1"/>
  <c r="JU39" i="1"/>
  <c r="JV38" i="1"/>
  <c r="JY38" i="1" s="1"/>
  <c r="JU38" i="1"/>
  <c r="JV37" i="1"/>
  <c r="JY37" i="1" s="1"/>
  <c r="JU37" i="1"/>
  <c r="JV35" i="1"/>
  <c r="JV73" i="1" s="1"/>
  <c r="JU35" i="1"/>
  <c r="JU73" i="1" s="1"/>
  <c r="JV34" i="1"/>
  <c r="JU34" i="1"/>
  <c r="JU72" i="1" s="1"/>
  <c r="JV32" i="1"/>
  <c r="JV70" i="1" s="1"/>
  <c r="JU32" i="1"/>
  <c r="JU70" i="1" s="1"/>
  <c r="JV31" i="1"/>
  <c r="JY31" i="1" s="1"/>
  <c r="JU31" i="1"/>
  <c r="JU28" i="1"/>
  <c r="JU66" i="1" s="1"/>
  <c r="JV27" i="1"/>
  <c r="JV65" i="1" s="1"/>
  <c r="JU27" i="1"/>
  <c r="JU65" i="1" s="1"/>
  <c r="JV25" i="1"/>
  <c r="JV63" i="1" s="1"/>
  <c r="JU25" i="1"/>
  <c r="JU63" i="1" s="1"/>
  <c r="JV24" i="1"/>
  <c r="JY24" i="1" s="1"/>
  <c r="JU24" i="1"/>
  <c r="JV22" i="1"/>
  <c r="JU22" i="1"/>
  <c r="JV20" i="1"/>
  <c r="JY20" i="1" s="1"/>
  <c r="JU20" i="1"/>
  <c r="JV19" i="1"/>
  <c r="JY19" i="1" s="1"/>
  <c r="JU19" i="1"/>
  <c r="JV18" i="1"/>
  <c r="JY18" i="1" s="1"/>
  <c r="JU18" i="1"/>
  <c r="JV17" i="1"/>
  <c r="JU17" i="1"/>
  <c r="JX17" i="1" s="1"/>
  <c r="JY46" i="1"/>
  <c r="JV15" i="1"/>
  <c r="JY15" i="1" s="1"/>
  <c r="JV13" i="1"/>
  <c r="JV59" i="1" s="1"/>
  <c r="JV10" i="1"/>
  <c r="JV58" i="1" s="1"/>
  <c r="JV8" i="1"/>
  <c r="JY8" i="1" s="1"/>
  <c r="JV7" i="1"/>
  <c r="JY7" i="1" s="1"/>
  <c r="JV6" i="1"/>
  <c r="JU15" i="1"/>
  <c r="JU60" i="1" s="1"/>
  <c r="JU13" i="1"/>
  <c r="JU10" i="1"/>
  <c r="JU58" i="1" s="1"/>
  <c r="JU8" i="1"/>
  <c r="JU57" i="1" s="1"/>
  <c r="JU7" i="1"/>
  <c r="JU6" i="1"/>
  <c r="JX6" i="1" s="1"/>
  <c r="JY171" i="1"/>
  <c r="JY170" i="1"/>
  <c r="JX170" i="1"/>
  <c r="JY166" i="1"/>
  <c r="JX166" i="1"/>
  <c r="JY165" i="1"/>
  <c r="JX155" i="1"/>
  <c r="JY155" i="1"/>
  <c r="JY154" i="1"/>
  <c r="JX154" i="1"/>
  <c r="JY151" i="1"/>
  <c r="JY161" i="1"/>
  <c r="JY121" i="1"/>
  <c r="JV106" i="1"/>
  <c r="JY106" i="1" s="1"/>
  <c r="JY78" i="1"/>
  <c r="JX50" i="1"/>
  <c r="JV47" i="1"/>
  <c r="JY39" i="1"/>
  <c r="JY34" i="1"/>
  <c r="JV28" i="1"/>
  <c r="JY28" i="1" s="1"/>
  <c r="JX8" i="1"/>
  <c r="JO134" i="1"/>
  <c r="JP133" i="1"/>
  <c r="JO133" i="1"/>
  <c r="JP132" i="1"/>
  <c r="JO132" i="1"/>
  <c r="JY118" i="1" l="1"/>
  <c r="JX132" i="1"/>
  <c r="JY35" i="1"/>
  <c r="JY133" i="1"/>
  <c r="JU146" i="1"/>
  <c r="JX31" i="1"/>
  <c r="JX39" i="1"/>
  <c r="JX83" i="1"/>
  <c r="JX67" i="1"/>
  <c r="JY27" i="1"/>
  <c r="JY25" i="1"/>
  <c r="JX25" i="1"/>
  <c r="JX78" i="1"/>
  <c r="JY70" i="1"/>
  <c r="JY94" i="1"/>
  <c r="JV56" i="1"/>
  <c r="JY56" i="1" s="1"/>
  <c r="JX94" i="1"/>
  <c r="JX27" i="1"/>
  <c r="JX18" i="1"/>
  <c r="CS41" i="5"/>
  <c r="JY73" i="1"/>
  <c r="JX70" i="1"/>
  <c r="CP48" i="5" s="1"/>
  <c r="CP134" i="5" s="1"/>
  <c r="JX37" i="1"/>
  <c r="JX40" i="1"/>
  <c r="JY80" i="1"/>
  <c r="JX79" i="1"/>
  <c r="JV61" i="1"/>
  <c r="JX68" i="1"/>
  <c r="JX22" i="1"/>
  <c r="JX71" i="1"/>
  <c r="JX34" i="1"/>
  <c r="JX73" i="1"/>
  <c r="CP51" i="5" s="1"/>
  <c r="JX51" i="1"/>
  <c r="JY13" i="1"/>
  <c r="JY132" i="1"/>
  <c r="JU61" i="1"/>
  <c r="JX63" i="1"/>
  <c r="CP43" i="5" s="1"/>
  <c r="JX13" i="1"/>
  <c r="JY63" i="1"/>
  <c r="JX124" i="1"/>
  <c r="JY17" i="1"/>
  <c r="JY112" i="1"/>
  <c r="JX172" i="1"/>
  <c r="CQ40" i="5" s="1"/>
  <c r="JU62" i="1"/>
  <c r="JU148" i="1"/>
  <c r="JX115" i="1"/>
  <c r="JY124" i="1"/>
  <c r="JU56" i="1"/>
  <c r="JX56" i="1" s="1"/>
  <c r="CP34" i="5" s="1"/>
  <c r="JY81" i="1"/>
  <c r="JV85" i="1"/>
  <c r="JY85" i="1" s="1"/>
  <c r="JY129" i="1"/>
  <c r="JU69" i="1"/>
  <c r="JU75" i="1"/>
  <c r="JV86" i="1"/>
  <c r="JY86" i="1" s="1"/>
  <c r="JX97" i="1"/>
  <c r="JU162" i="1"/>
  <c r="JX162" i="1" s="1"/>
  <c r="CQ53" i="5" s="1"/>
  <c r="CS133" i="5"/>
  <c r="JY114" i="1"/>
  <c r="JV60" i="1"/>
  <c r="JY60" i="1" s="1"/>
  <c r="JU76" i="1"/>
  <c r="JV69" i="1"/>
  <c r="JY69" i="1" s="1"/>
  <c r="JV75" i="1"/>
  <c r="JY75" i="1" s="1"/>
  <c r="JV148" i="1"/>
  <c r="JY148" i="1" s="1"/>
  <c r="JX120" i="1"/>
  <c r="JV158" i="1"/>
  <c r="JY158" i="1" s="1"/>
  <c r="JU143" i="1"/>
  <c r="JV62" i="1"/>
  <c r="JY62" i="1" s="1"/>
  <c r="JY67" i="1"/>
  <c r="JX46" i="1"/>
  <c r="JU59" i="1"/>
  <c r="JX59" i="1" s="1"/>
  <c r="CP37" i="5" s="1"/>
  <c r="JU77" i="1"/>
  <c r="JV76" i="1"/>
  <c r="JY76" i="1" s="1"/>
  <c r="JV82" i="1"/>
  <c r="JY82" i="1" s="1"/>
  <c r="JX100" i="1"/>
  <c r="JV146" i="1"/>
  <c r="JY146" i="1" s="1"/>
  <c r="JU149" i="1"/>
  <c r="CR133" i="5"/>
  <c r="JX19" i="1"/>
  <c r="JX104" i="1"/>
  <c r="JX41" i="1"/>
  <c r="JV77" i="1"/>
  <c r="JV149" i="1"/>
  <c r="JY149" i="1" s="1"/>
  <c r="JY126" i="1"/>
  <c r="JV163" i="1"/>
  <c r="JY163" i="1" s="1"/>
  <c r="JY119" i="1"/>
  <c r="JV57" i="1"/>
  <c r="JY57" i="1" s="1"/>
  <c r="JV66" i="1"/>
  <c r="JX66" i="1" s="1"/>
  <c r="JV72" i="1"/>
  <c r="JY72" i="1" s="1"/>
  <c r="JU152" i="1"/>
  <c r="JX152" i="1" s="1"/>
  <c r="JV144" i="1"/>
  <c r="JY144" i="1" s="1"/>
  <c r="KD160" i="1"/>
  <c r="CS51" i="5" s="1"/>
  <c r="CS46" i="5" s="1"/>
  <c r="KD148" i="1"/>
  <c r="CS39" i="5" s="1"/>
  <c r="KD80" i="1"/>
  <c r="KD61" i="1"/>
  <c r="CR39" i="5" s="1"/>
  <c r="KD62" i="1"/>
  <c r="CR42" i="5" s="1"/>
  <c r="KD63" i="1"/>
  <c r="CR43" i="5" s="1"/>
  <c r="KD157" i="1"/>
  <c r="KD145" i="1"/>
  <c r="CS36" i="5" s="1"/>
  <c r="CS33" i="5" s="1"/>
  <c r="KD73" i="1"/>
  <c r="CR51" i="5" s="1"/>
  <c r="KD75" i="1"/>
  <c r="CR53" i="5" s="1"/>
  <c r="KD169" i="1"/>
  <c r="KD56" i="1"/>
  <c r="CR34" i="5" s="1"/>
  <c r="JX138" i="1"/>
  <c r="JY169" i="1"/>
  <c r="JX169" i="1"/>
  <c r="JY164" i="1"/>
  <c r="JY159" i="1"/>
  <c r="JX159" i="1"/>
  <c r="CQ50" i="5" s="1"/>
  <c r="JY156" i="1"/>
  <c r="JX156" i="1"/>
  <c r="CQ47" i="5" s="1"/>
  <c r="JX118" i="1"/>
  <c r="JY153" i="1"/>
  <c r="JY115" i="1"/>
  <c r="JX114" i="1"/>
  <c r="JY150" i="1"/>
  <c r="JX112" i="1"/>
  <c r="JX150" i="1"/>
  <c r="CQ43" i="5" s="1"/>
  <c r="JX84" i="1"/>
  <c r="JX45" i="1"/>
  <c r="JX42" i="1"/>
  <c r="JX38" i="1"/>
  <c r="JY74" i="1"/>
  <c r="JY71" i="1"/>
  <c r="JY65" i="1"/>
  <c r="JX65" i="1"/>
  <c r="JY64" i="1"/>
  <c r="JX20" i="1"/>
  <c r="JY61" i="1"/>
  <c r="JY59" i="1"/>
  <c r="JY58" i="1"/>
  <c r="JX158" i="1"/>
  <c r="CQ49" i="5" s="1"/>
  <c r="JX64" i="1"/>
  <c r="JX74" i="1"/>
  <c r="JX82" i="1"/>
  <c r="JX58" i="1"/>
  <c r="CP36" i="5" s="1"/>
  <c r="JX164" i="1"/>
  <c r="CQ55" i="5" s="1"/>
  <c r="JX80" i="1"/>
  <c r="JX160" i="1"/>
  <c r="CQ51" i="5" s="1"/>
  <c r="JX7" i="1"/>
  <c r="JX15" i="1"/>
  <c r="JX24" i="1"/>
  <c r="JX28" i="1"/>
  <c r="JX49" i="1"/>
  <c r="JX81" i="1"/>
  <c r="JY97" i="1"/>
  <c r="JY120" i="1"/>
  <c r="JY134" i="1"/>
  <c r="JY138" i="1"/>
  <c r="JY145" i="1"/>
  <c r="JX153" i="1"/>
  <c r="JY157" i="1"/>
  <c r="JX165" i="1"/>
  <c r="JX171" i="1"/>
  <c r="JY49" i="1"/>
  <c r="JX96" i="1"/>
  <c r="JX101" i="1"/>
  <c r="JX106" i="1"/>
  <c r="JX119" i="1"/>
  <c r="JX122" i="1"/>
  <c r="JX126" i="1"/>
  <c r="JX129" i="1"/>
  <c r="JX133" i="1"/>
  <c r="JX137" i="1"/>
  <c r="JX161" i="1"/>
  <c r="JX167" i="1"/>
  <c r="JY168" i="1"/>
  <c r="JX10" i="1"/>
  <c r="JX32" i="1"/>
  <c r="JX35" i="1"/>
  <c r="JX47" i="1"/>
  <c r="JY77" i="1"/>
  <c r="JY122" i="1"/>
  <c r="JY137" i="1"/>
  <c r="JY143" i="1"/>
  <c r="JX148" i="1"/>
  <c r="CQ39" i="5" s="1"/>
  <c r="JX151" i="1"/>
  <c r="CQ44" i="5" s="1"/>
  <c r="JY173" i="1"/>
  <c r="JY6" i="1"/>
  <c r="JY10" i="1"/>
  <c r="JY22" i="1"/>
  <c r="JY32" i="1"/>
  <c r="JY47" i="1"/>
  <c r="JY51" i="1"/>
  <c r="JX121" i="1"/>
  <c r="JY45" i="1"/>
  <c r="JX134" i="1"/>
  <c r="JP49" i="1"/>
  <c r="JO65" i="1"/>
  <c r="JP65" i="1"/>
  <c r="JQ65" i="1"/>
  <c r="JO67" i="1"/>
  <c r="JP67" i="1"/>
  <c r="JQ67" i="1"/>
  <c r="JO68" i="1"/>
  <c r="JP68" i="1"/>
  <c r="JQ68" i="1"/>
  <c r="JO78" i="1"/>
  <c r="JP78" i="1"/>
  <c r="JQ78" i="1"/>
  <c r="JO79" i="1"/>
  <c r="JP79" i="1"/>
  <c r="JS79" i="1" s="1"/>
  <c r="JQ79" i="1"/>
  <c r="JO81" i="1"/>
  <c r="JP81" i="1"/>
  <c r="JQ81" i="1"/>
  <c r="JO83" i="1"/>
  <c r="JP83" i="1"/>
  <c r="JQ83" i="1"/>
  <c r="JR114" i="1"/>
  <c r="JS114" i="1"/>
  <c r="JR115" i="1"/>
  <c r="JS115" i="1"/>
  <c r="JR116" i="1"/>
  <c r="JS116" i="1"/>
  <c r="JR117" i="1"/>
  <c r="JS117" i="1"/>
  <c r="JO49" i="1"/>
  <c r="JP47" i="1"/>
  <c r="JO47" i="1"/>
  <c r="JP45" i="1"/>
  <c r="JO45" i="1"/>
  <c r="JP28" i="1"/>
  <c r="JO28" i="1"/>
  <c r="JX57" i="1" l="1"/>
  <c r="CP35" i="5" s="1"/>
  <c r="JX146" i="1"/>
  <c r="CQ37" i="5" s="1"/>
  <c r="JR78" i="1"/>
  <c r="JX85" i="1"/>
  <c r="CP40" i="5" s="1"/>
  <c r="CR46" i="5"/>
  <c r="CR33" i="5"/>
  <c r="CR41" i="5"/>
  <c r="JR68" i="1"/>
  <c r="JR65" i="1"/>
  <c r="JR81" i="1"/>
  <c r="JX149" i="1"/>
  <c r="CQ42" i="5" s="1"/>
  <c r="JR67" i="1"/>
  <c r="JR79" i="1"/>
  <c r="JS68" i="1"/>
  <c r="JX62" i="1"/>
  <c r="CP42" i="5" s="1"/>
  <c r="JS78" i="1"/>
  <c r="JX86" i="1"/>
  <c r="CP45" i="5" s="1"/>
  <c r="JS81" i="1"/>
  <c r="JS65" i="1"/>
  <c r="JX60" i="1"/>
  <c r="CP38" i="5" s="1"/>
  <c r="CP124" i="5" s="1"/>
  <c r="JY66" i="1"/>
  <c r="JS83" i="1"/>
  <c r="JR83" i="1"/>
  <c r="JS67" i="1"/>
  <c r="CQ133" i="5"/>
  <c r="JX75" i="1"/>
  <c r="CP53" i="5" s="1"/>
  <c r="JX69" i="1"/>
  <c r="CP47" i="5" s="1"/>
  <c r="JX76" i="1"/>
  <c r="CP54" i="5" s="1"/>
  <c r="JX61" i="1"/>
  <c r="CP39" i="5" s="1"/>
  <c r="JX77" i="1"/>
  <c r="CP55" i="5" s="1"/>
  <c r="JX173" i="1"/>
  <c r="CQ45" i="5" s="1"/>
  <c r="JX163" i="1"/>
  <c r="CQ54" i="5" s="1"/>
  <c r="JX157" i="1"/>
  <c r="CQ48" i="5" s="1"/>
  <c r="JX72" i="1"/>
  <c r="CP50" i="5" s="1"/>
  <c r="JX144" i="1"/>
  <c r="CQ35" i="5" s="1"/>
  <c r="JX145" i="1"/>
  <c r="CQ36" i="5" s="1"/>
  <c r="JX143" i="1"/>
  <c r="CQ34" i="5" s="1"/>
  <c r="JX147" i="1"/>
  <c r="JX168" i="1"/>
  <c r="JP6" i="1"/>
  <c r="JO6" i="1"/>
  <c r="JQ166" i="1"/>
  <c r="JQ167" i="1"/>
  <c r="JQ168" i="1"/>
  <c r="JQ169" i="1"/>
  <c r="JQ170" i="1"/>
  <c r="JQ171" i="1"/>
  <c r="JQ165" i="1"/>
  <c r="JP166" i="1"/>
  <c r="JP167" i="1"/>
  <c r="JP168" i="1"/>
  <c r="JP169" i="1"/>
  <c r="JP170" i="1"/>
  <c r="JP171" i="1"/>
  <c r="JP165" i="1"/>
  <c r="JO166" i="1"/>
  <c r="JO167" i="1"/>
  <c r="JO168" i="1"/>
  <c r="JO169" i="1"/>
  <c r="JO170" i="1"/>
  <c r="JO171" i="1"/>
  <c r="JO165" i="1"/>
  <c r="JQ152" i="1"/>
  <c r="JQ153" i="1"/>
  <c r="JQ154" i="1"/>
  <c r="JQ155" i="1"/>
  <c r="JP152" i="1"/>
  <c r="JP153" i="1"/>
  <c r="JP154" i="1"/>
  <c r="JP155" i="1"/>
  <c r="JO152" i="1"/>
  <c r="JO153" i="1"/>
  <c r="JO154" i="1"/>
  <c r="JO155" i="1"/>
  <c r="JS132" i="1"/>
  <c r="JS133" i="1"/>
  <c r="JS134" i="1"/>
  <c r="JS135" i="1"/>
  <c r="JS136" i="1"/>
  <c r="JR132" i="1"/>
  <c r="JR133" i="1"/>
  <c r="JR134" i="1"/>
  <c r="JR135" i="1"/>
  <c r="JR136" i="1"/>
  <c r="JQ80" i="1"/>
  <c r="JQ82" i="1"/>
  <c r="JQ84" i="1"/>
  <c r="JP80" i="1"/>
  <c r="JP82" i="1"/>
  <c r="JP84" i="1"/>
  <c r="JO80" i="1"/>
  <c r="JO82" i="1"/>
  <c r="JO84" i="1"/>
  <c r="JQ66" i="1"/>
  <c r="JP66" i="1"/>
  <c r="JO66" i="1"/>
  <c r="JS45" i="1"/>
  <c r="JS47" i="1"/>
  <c r="JS49" i="1"/>
  <c r="JR45" i="1"/>
  <c r="JR47" i="1"/>
  <c r="JR49" i="1"/>
  <c r="JS28" i="1"/>
  <c r="JR28" i="1"/>
  <c r="JQ77" i="1"/>
  <c r="K129" i="1"/>
  <c r="L129" i="1"/>
  <c r="O129" i="1" s="1"/>
  <c r="T129" i="1"/>
  <c r="U129" i="1"/>
  <c r="AC129" i="1"/>
  <c r="AD129" i="1"/>
  <c r="AG129" i="1" s="1"/>
  <c r="AI129" i="1"/>
  <c r="AJ129" i="1"/>
  <c r="AM129" i="1" s="1"/>
  <c r="AU129" i="1"/>
  <c r="AV129" i="1"/>
  <c r="AY129" i="1" s="1"/>
  <c r="BA129" i="1"/>
  <c r="BB129" i="1"/>
  <c r="BE129" i="1" s="1"/>
  <c r="BY129" i="1"/>
  <c r="BZ129" i="1"/>
  <c r="CC129" i="1" s="1"/>
  <c r="CW129" i="1"/>
  <c r="CX129" i="1"/>
  <c r="DA129" i="1" s="1"/>
  <c r="DI129" i="1"/>
  <c r="DJ129" i="1"/>
  <c r="DM129" i="1" s="1"/>
  <c r="DR129" i="1"/>
  <c r="DS129" i="1"/>
  <c r="ES129" i="1"/>
  <c r="ET129" i="1"/>
  <c r="EW129" i="1" s="1"/>
  <c r="FB129" i="1"/>
  <c r="FC129" i="1"/>
  <c r="FK129" i="1"/>
  <c r="FL129" i="1"/>
  <c r="FM129" i="1"/>
  <c r="FQ129" i="1"/>
  <c r="FR129" i="1"/>
  <c r="FS129" i="1"/>
  <c r="GC129" i="1"/>
  <c r="GD129" i="1"/>
  <c r="GE129" i="1"/>
  <c r="GI129" i="1"/>
  <c r="GJ129" i="1"/>
  <c r="GK129" i="1"/>
  <c r="GO129" i="1"/>
  <c r="GP129" i="1"/>
  <c r="GQ129" i="1"/>
  <c r="GU129" i="1"/>
  <c r="GV129" i="1"/>
  <c r="GY129" i="1" s="1"/>
  <c r="HA129" i="1"/>
  <c r="HB129" i="1"/>
  <c r="HE129" i="1" s="1"/>
  <c r="HJ129" i="1"/>
  <c r="HK129" i="1"/>
  <c r="HM129" i="1"/>
  <c r="HN129" i="1"/>
  <c r="HQ129" i="1" s="1"/>
  <c r="HS129" i="1"/>
  <c r="HT129" i="1"/>
  <c r="HW129" i="1" s="1"/>
  <c r="IE129" i="1"/>
  <c r="IF129" i="1"/>
  <c r="IG129" i="1"/>
  <c r="IK129" i="1"/>
  <c r="IL129" i="1"/>
  <c r="IO129" i="1" s="1"/>
  <c r="IQ129" i="1"/>
  <c r="IR129" i="1"/>
  <c r="IU129" i="1" s="1"/>
  <c r="IW129" i="1"/>
  <c r="IX129" i="1"/>
  <c r="JA129" i="1" s="1"/>
  <c r="JC129" i="1"/>
  <c r="JD129" i="1"/>
  <c r="JG129" i="1" s="1"/>
  <c r="JI129" i="1"/>
  <c r="JJ129" i="1"/>
  <c r="JM129" i="1" s="1"/>
  <c r="JO129" i="1"/>
  <c r="JP129" i="1"/>
  <c r="JS129" i="1" s="1"/>
  <c r="E137" i="1"/>
  <c r="F137" i="1"/>
  <c r="I137" i="1" s="1"/>
  <c r="K137" i="1"/>
  <c r="L137" i="1"/>
  <c r="O137" i="1" s="1"/>
  <c r="T137" i="1"/>
  <c r="U137" i="1"/>
  <c r="W137" i="1"/>
  <c r="X137" i="1"/>
  <c r="AA137" i="1" s="1"/>
  <c r="AC137" i="1"/>
  <c r="AD137" i="1"/>
  <c r="AG137" i="1" s="1"/>
  <c r="AI137" i="1"/>
  <c r="AJ137" i="1"/>
  <c r="AM137" i="1" s="1"/>
  <c r="AU137" i="1"/>
  <c r="AV137" i="1"/>
  <c r="AY137" i="1" s="1"/>
  <c r="BA137" i="1"/>
  <c r="BB137" i="1"/>
  <c r="BE137" i="1" s="1"/>
  <c r="BY137" i="1"/>
  <c r="BZ137" i="1"/>
  <c r="CC137" i="1" s="1"/>
  <c r="CN137" i="1"/>
  <c r="CO137" i="1"/>
  <c r="CQ137" i="1"/>
  <c r="CR137" i="1"/>
  <c r="CU137" i="1" s="1"/>
  <c r="CW137" i="1"/>
  <c r="CX137" i="1"/>
  <c r="DA137" i="1" s="1"/>
  <c r="DC137" i="1"/>
  <c r="DD137" i="1"/>
  <c r="DG137" i="1" s="1"/>
  <c r="DL137" i="1"/>
  <c r="DM137" i="1"/>
  <c r="DR137" i="1"/>
  <c r="DS137" i="1"/>
  <c r="ES137" i="1"/>
  <c r="ET137" i="1"/>
  <c r="EW137" i="1" s="1"/>
  <c r="FB137" i="1"/>
  <c r="FC137" i="1"/>
  <c r="FH137" i="1"/>
  <c r="FI137" i="1"/>
  <c r="FK137" i="1"/>
  <c r="FL137" i="1"/>
  <c r="FM137" i="1"/>
  <c r="FQ137" i="1"/>
  <c r="FR137" i="1"/>
  <c r="FS137" i="1"/>
  <c r="FW137" i="1"/>
  <c r="FX137" i="1"/>
  <c r="GA137" i="1" s="1"/>
  <c r="GC137" i="1"/>
  <c r="GD137" i="1"/>
  <c r="GE137" i="1"/>
  <c r="GI137" i="1"/>
  <c r="GJ137" i="1"/>
  <c r="GK137" i="1"/>
  <c r="GO137" i="1"/>
  <c r="GP137" i="1"/>
  <c r="GQ137" i="1"/>
  <c r="GU137" i="1"/>
  <c r="GV137" i="1"/>
  <c r="GY137" i="1" s="1"/>
  <c r="HA137" i="1"/>
  <c r="HB137" i="1"/>
  <c r="HE137" i="1" s="1"/>
  <c r="HJ137" i="1"/>
  <c r="HK137" i="1"/>
  <c r="HM137" i="1"/>
  <c r="HN137" i="1"/>
  <c r="HQ137" i="1" s="1"/>
  <c r="HS137" i="1"/>
  <c r="HT137" i="1"/>
  <c r="HW137" i="1" s="1"/>
  <c r="HY137" i="1"/>
  <c r="HZ137" i="1"/>
  <c r="IA137" i="1"/>
  <c r="IE137" i="1"/>
  <c r="IF137" i="1"/>
  <c r="IG137" i="1"/>
  <c r="IK137" i="1"/>
  <c r="IL137" i="1"/>
  <c r="IO137" i="1" s="1"/>
  <c r="IQ137" i="1"/>
  <c r="IR137" i="1"/>
  <c r="IU137" i="1" s="1"/>
  <c r="IW137" i="1"/>
  <c r="IX137" i="1"/>
  <c r="JA137" i="1" s="1"/>
  <c r="JC137" i="1"/>
  <c r="JD137" i="1"/>
  <c r="JG137" i="1" s="1"/>
  <c r="JI137" i="1"/>
  <c r="JJ137" i="1"/>
  <c r="JM137" i="1" s="1"/>
  <c r="JO137" i="1"/>
  <c r="JP137" i="1"/>
  <c r="JS137" i="1" s="1"/>
  <c r="E138" i="1"/>
  <c r="F138" i="1"/>
  <c r="I138" i="1" s="1"/>
  <c r="K138" i="1"/>
  <c r="L138" i="1"/>
  <c r="O138" i="1" s="1"/>
  <c r="T138" i="1"/>
  <c r="U138" i="1"/>
  <c r="W138" i="1"/>
  <c r="X138" i="1"/>
  <c r="AA138" i="1" s="1"/>
  <c r="AC138" i="1"/>
  <c r="AD138" i="1"/>
  <c r="AG138" i="1" s="1"/>
  <c r="AI138" i="1"/>
  <c r="AJ138" i="1"/>
  <c r="AM138" i="1" s="1"/>
  <c r="AU138" i="1"/>
  <c r="AV138" i="1"/>
  <c r="AY138" i="1" s="1"/>
  <c r="BA138" i="1"/>
  <c r="BB138" i="1"/>
  <c r="BE138" i="1" s="1"/>
  <c r="BY138" i="1"/>
  <c r="BZ138" i="1"/>
  <c r="CC138" i="1" s="1"/>
  <c r="CN138" i="1"/>
  <c r="CO138" i="1"/>
  <c r="CQ138" i="1"/>
  <c r="CR138" i="1"/>
  <c r="CU138" i="1" s="1"/>
  <c r="CW138" i="1"/>
  <c r="CX138" i="1"/>
  <c r="DA138" i="1" s="1"/>
  <c r="DC138" i="1"/>
  <c r="DD138" i="1"/>
  <c r="DG138" i="1" s="1"/>
  <c r="DR138" i="1"/>
  <c r="DS138" i="1"/>
  <c r="ES138" i="1"/>
  <c r="ET138" i="1"/>
  <c r="EW138" i="1" s="1"/>
  <c r="FB138" i="1"/>
  <c r="FC138" i="1"/>
  <c r="FH138" i="1"/>
  <c r="FI138" i="1"/>
  <c r="FK138" i="1"/>
  <c r="FL138" i="1"/>
  <c r="FM138" i="1"/>
  <c r="FQ138" i="1"/>
  <c r="FR138" i="1"/>
  <c r="FS138" i="1"/>
  <c r="FW138" i="1"/>
  <c r="FX138" i="1"/>
  <c r="GA138" i="1" s="1"/>
  <c r="GC138" i="1"/>
  <c r="GD138" i="1"/>
  <c r="GE138" i="1"/>
  <c r="GI138" i="1"/>
  <c r="GJ138" i="1"/>
  <c r="GM138" i="1" s="1"/>
  <c r="GO138" i="1"/>
  <c r="GP138" i="1"/>
  <c r="GQ138" i="1"/>
  <c r="GU138" i="1"/>
  <c r="GV138" i="1"/>
  <c r="GY138" i="1" s="1"/>
  <c r="HA138" i="1"/>
  <c r="HB138" i="1"/>
  <c r="HE138" i="1" s="1"/>
  <c r="HJ138" i="1"/>
  <c r="HK138" i="1"/>
  <c r="HM138" i="1"/>
  <c r="HN138" i="1"/>
  <c r="HQ138" i="1" s="1"/>
  <c r="HS138" i="1"/>
  <c r="HT138" i="1"/>
  <c r="HW138" i="1" s="1"/>
  <c r="HY138" i="1"/>
  <c r="HZ138" i="1"/>
  <c r="IC138" i="1" s="1"/>
  <c r="IE138" i="1"/>
  <c r="IF138" i="1"/>
  <c r="IG138" i="1"/>
  <c r="IK138" i="1"/>
  <c r="IL138" i="1"/>
  <c r="IO138" i="1" s="1"/>
  <c r="IQ138" i="1"/>
  <c r="IR138" i="1"/>
  <c r="IU138" i="1" s="1"/>
  <c r="IW138" i="1"/>
  <c r="IX138" i="1"/>
  <c r="JA138" i="1" s="1"/>
  <c r="JC138" i="1"/>
  <c r="JD138" i="1"/>
  <c r="JG138" i="1" s="1"/>
  <c r="JI138" i="1"/>
  <c r="JJ138" i="1"/>
  <c r="JM138" i="1" s="1"/>
  <c r="JO138" i="1"/>
  <c r="JP138" i="1"/>
  <c r="JS138" i="1" s="1"/>
  <c r="FT137" i="1" l="1"/>
  <c r="IB137" i="1"/>
  <c r="CQ41" i="5"/>
  <c r="JF138" i="1"/>
  <c r="GR138" i="1"/>
  <c r="CQ46" i="5"/>
  <c r="CP46" i="5"/>
  <c r="CP41" i="5"/>
  <c r="CQ33" i="5"/>
  <c r="JR170" i="1"/>
  <c r="JS171" i="1"/>
  <c r="CP33" i="5"/>
  <c r="DF137" i="1"/>
  <c r="AL137" i="1"/>
  <c r="JS80" i="1"/>
  <c r="JR168" i="1"/>
  <c r="JS169" i="1"/>
  <c r="II138" i="1"/>
  <c r="FO137" i="1"/>
  <c r="JS66" i="1"/>
  <c r="JS82" i="1"/>
  <c r="JS170" i="1"/>
  <c r="DF138" i="1"/>
  <c r="II137" i="1"/>
  <c r="GF137" i="1"/>
  <c r="JR167" i="1"/>
  <c r="JS168" i="1"/>
  <c r="CQ134" i="5"/>
  <c r="CP133" i="5"/>
  <c r="JR82" i="1"/>
  <c r="IH137" i="1"/>
  <c r="GS129" i="1"/>
  <c r="JS152" i="1"/>
  <c r="JR171" i="1"/>
  <c r="JR165" i="1"/>
  <c r="JS166" i="1"/>
  <c r="JR169" i="1"/>
  <c r="JS84" i="1"/>
  <c r="JR154" i="1"/>
  <c r="JR153" i="1"/>
  <c r="JR155" i="1"/>
  <c r="JS153" i="1"/>
  <c r="JR80" i="1"/>
  <c r="JR66" i="1"/>
  <c r="GR129" i="1"/>
  <c r="JR138" i="1"/>
  <c r="CB137" i="1"/>
  <c r="HV129" i="1"/>
  <c r="N129" i="1"/>
  <c r="JR152" i="1"/>
  <c r="H138" i="1"/>
  <c r="JS155" i="1"/>
  <c r="IZ137" i="1"/>
  <c r="CT137" i="1"/>
  <c r="JS154" i="1"/>
  <c r="HV138" i="1"/>
  <c r="FZ137" i="1"/>
  <c r="JR84" i="1"/>
  <c r="JR166" i="1"/>
  <c r="JS167" i="1"/>
  <c r="CT138" i="1"/>
  <c r="IN137" i="1"/>
  <c r="JS165" i="1"/>
  <c r="IZ138" i="1"/>
  <c r="HP138" i="1"/>
  <c r="JL137" i="1"/>
  <c r="BD137" i="1"/>
  <c r="IT129" i="1"/>
  <c r="GX129" i="1"/>
  <c r="DL129" i="1"/>
  <c r="JL138" i="1"/>
  <c r="IN138" i="1"/>
  <c r="GS138" i="1"/>
  <c r="FZ138" i="1"/>
  <c r="CZ138" i="1"/>
  <c r="JR137" i="1"/>
  <c r="IT137" i="1"/>
  <c r="GX137" i="1"/>
  <c r="GG137" i="1"/>
  <c r="FN137" i="1"/>
  <c r="AF137" i="1"/>
  <c r="Z137" i="1"/>
  <c r="HD129" i="1"/>
  <c r="FT129" i="1"/>
  <c r="AX129" i="1"/>
  <c r="IT138" i="1"/>
  <c r="IB138" i="1"/>
  <c r="GF138" i="1"/>
  <c r="FU138" i="1"/>
  <c r="N138" i="1"/>
  <c r="JF137" i="1"/>
  <c r="HD137" i="1"/>
  <c r="GS137" i="1"/>
  <c r="AX137" i="1"/>
  <c r="JR129" i="1"/>
  <c r="FU129" i="1"/>
  <c r="FO129" i="1"/>
  <c r="EV129" i="1"/>
  <c r="IH138" i="1"/>
  <c r="GL138" i="1"/>
  <c r="IZ129" i="1"/>
  <c r="II129" i="1"/>
  <c r="GG129" i="1"/>
  <c r="BD129" i="1"/>
  <c r="Z138" i="1"/>
  <c r="FU137" i="1"/>
  <c r="EV137" i="1"/>
  <c r="CZ137" i="1"/>
  <c r="N137" i="1"/>
  <c r="JF129" i="1"/>
  <c r="IH129" i="1"/>
  <c r="HP129" i="1"/>
  <c r="GM129" i="1"/>
  <c r="FN129" i="1"/>
  <c r="CB129" i="1"/>
  <c r="AF129" i="1"/>
  <c r="FT138" i="1"/>
  <c r="GR137" i="1"/>
  <c r="H137" i="1"/>
  <c r="GG138" i="1"/>
  <c r="FN138" i="1"/>
  <c r="GL137" i="1"/>
  <c r="JL129" i="1"/>
  <c r="IN129" i="1"/>
  <c r="GL129" i="1"/>
  <c r="CZ129" i="1"/>
  <c r="AL129" i="1"/>
  <c r="HD138" i="1"/>
  <c r="GX138" i="1"/>
  <c r="EV138" i="1"/>
  <c r="CB138" i="1"/>
  <c r="BD138" i="1"/>
  <c r="AX138" i="1"/>
  <c r="AL138" i="1"/>
  <c r="AF138" i="1"/>
  <c r="HV137" i="1"/>
  <c r="HP137" i="1"/>
  <c r="GF129" i="1"/>
  <c r="FO138" i="1"/>
  <c r="IC137" i="1"/>
  <c r="GM137" i="1"/>
  <c r="NS141" i="4"/>
  <c r="NT141" i="4" l="1"/>
  <c r="CS18" i="5" s="1"/>
  <c r="NS140" i="4"/>
  <c r="NS139" i="4"/>
  <c r="NS138" i="4"/>
  <c r="NS137" i="4"/>
  <c r="NS136" i="4"/>
  <c r="NT138" i="4" s="1"/>
  <c r="CS28" i="5" s="1"/>
  <c r="NS135" i="4"/>
  <c r="NS134" i="4"/>
  <c r="NS133" i="4"/>
  <c r="NS132" i="4"/>
  <c r="NS131" i="4"/>
  <c r="NS130" i="4"/>
  <c r="NT129" i="4"/>
  <c r="CS25" i="5" s="1"/>
  <c r="NS129" i="4"/>
  <c r="NS128" i="4"/>
  <c r="NS127" i="4"/>
  <c r="NS126" i="4"/>
  <c r="NS125" i="4"/>
  <c r="NS124" i="4"/>
  <c r="NS123" i="4"/>
  <c r="NT123" i="4" s="1"/>
  <c r="NS122" i="4"/>
  <c r="NT122" i="4" s="1"/>
  <c r="NS121" i="4"/>
  <c r="NT121" i="4" s="1"/>
  <c r="NS120" i="4"/>
  <c r="NT120" i="4" s="1"/>
  <c r="NS119" i="4"/>
  <c r="NT119" i="4" s="1"/>
  <c r="NS118" i="4"/>
  <c r="NT118" i="4" s="1"/>
  <c r="NS117" i="4"/>
  <c r="NT117" i="4" s="1"/>
  <c r="NS116" i="4"/>
  <c r="NS115" i="4"/>
  <c r="NS114" i="4"/>
  <c r="NS113" i="4"/>
  <c r="NT112" i="4"/>
  <c r="CS22" i="5" s="1"/>
  <c r="NS112" i="4"/>
  <c r="NS111" i="4"/>
  <c r="NS110" i="4"/>
  <c r="NS109" i="4"/>
  <c r="NS108" i="4"/>
  <c r="NS107" i="4"/>
  <c r="NS106" i="4"/>
  <c r="NS105" i="4"/>
  <c r="NS104" i="4"/>
  <c r="NS103" i="4"/>
  <c r="NT103" i="4" s="1"/>
  <c r="NS102" i="4"/>
  <c r="NT102" i="4" s="1"/>
  <c r="NS101" i="4"/>
  <c r="NT101" i="4" s="1"/>
  <c r="NS100" i="4"/>
  <c r="NT100" i="4" s="1"/>
  <c r="NT99" i="4"/>
  <c r="CS17" i="5" s="1"/>
  <c r="NS99" i="4"/>
  <c r="NT98" i="4"/>
  <c r="CS16" i="5" s="1"/>
  <c r="NS98" i="4"/>
  <c r="NS97" i="4"/>
  <c r="NS96" i="4"/>
  <c r="NS95" i="4"/>
  <c r="NS94" i="4"/>
  <c r="NS93" i="4"/>
  <c r="NS92" i="4"/>
  <c r="NS91" i="4"/>
  <c r="NS90" i="4"/>
  <c r="NS89" i="4"/>
  <c r="NS88" i="4"/>
  <c r="NS87" i="4"/>
  <c r="NS86" i="4"/>
  <c r="NT87" i="4" s="1"/>
  <c r="CS10" i="5" s="1"/>
  <c r="NS85" i="4"/>
  <c r="NS84" i="4"/>
  <c r="NS83" i="4"/>
  <c r="NS82" i="4"/>
  <c r="NS81" i="4"/>
  <c r="NS80" i="4"/>
  <c r="NS79" i="4"/>
  <c r="NT69" i="4"/>
  <c r="CR18" i="5" s="1"/>
  <c r="NS69" i="4"/>
  <c r="NS68" i="4"/>
  <c r="NS67" i="4"/>
  <c r="NS66" i="4"/>
  <c r="NS65" i="4"/>
  <c r="NS64" i="4"/>
  <c r="NS63" i="4"/>
  <c r="NS62" i="4"/>
  <c r="NS61" i="4"/>
  <c r="NS60" i="4"/>
  <c r="NS59" i="4"/>
  <c r="NS58" i="4"/>
  <c r="NT57" i="4"/>
  <c r="CR25" i="5" s="1"/>
  <c r="NS57" i="4"/>
  <c r="NS56" i="4"/>
  <c r="NS55" i="4"/>
  <c r="NS54" i="4"/>
  <c r="NS53" i="4"/>
  <c r="NS52" i="4"/>
  <c r="NS51" i="4"/>
  <c r="NT51" i="4" s="1"/>
  <c r="NS50" i="4"/>
  <c r="NT50" i="4" s="1"/>
  <c r="NS49" i="4"/>
  <c r="NT49" i="4" s="1"/>
  <c r="NS48" i="4"/>
  <c r="NT48" i="4" s="1"/>
  <c r="NS47" i="4"/>
  <c r="NT47" i="4" s="1"/>
  <c r="NS46" i="4"/>
  <c r="NT46" i="4" s="1"/>
  <c r="NS45" i="4"/>
  <c r="NT45" i="4" s="1"/>
  <c r="NS44" i="4"/>
  <c r="NS43" i="4"/>
  <c r="NS42" i="4"/>
  <c r="NS41" i="4"/>
  <c r="NT40" i="4"/>
  <c r="CR22" i="5" s="1"/>
  <c r="NS40" i="4"/>
  <c r="NS39" i="4"/>
  <c r="NS38" i="4"/>
  <c r="NS37" i="4"/>
  <c r="NS36" i="4"/>
  <c r="NS35" i="4"/>
  <c r="NS34" i="4"/>
  <c r="NS33" i="4"/>
  <c r="NS32" i="4"/>
  <c r="NS31" i="4"/>
  <c r="NT31" i="4" s="1"/>
  <c r="NS30" i="4"/>
  <c r="NT30" i="4" s="1"/>
  <c r="NS29" i="4"/>
  <c r="NT29" i="4" s="1"/>
  <c r="NS28" i="4"/>
  <c r="NT28" i="4" s="1"/>
  <c r="NT27" i="4"/>
  <c r="CR17" i="5" s="1"/>
  <c r="NS27" i="4"/>
  <c r="NT26" i="4"/>
  <c r="CR16" i="5" s="1"/>
  <c r="NS26" i="4"/>
  <c r="NS25" i="4"/>
  <c r="NS24" i="4"/>
  <c r="NS23" i="4"/>
  <c r="NS22" i="4"/>
  <c r="NS21" i="4"/>
  <c r="NS20" i="4"/>
  <c r="NS19" i="4"/>
  <c r="NS18" i="4"/>
  <c r="NS17" i="4"/>
  <c r="NS16" i="4"/>
  <c r="NS15" i="4"/>
  <c r="NS14" i="4"/>
  <c r="NS13" i="4"/>
  <c r="NS12" i="4"/>
  <c r="NS11" i="4"/>
  <c r="NS10" i="4"/>
  <c r="NS9" i="4"/>
  <c r="NS8" i="4"/>
  <c r="NS7" i="4"/>
  <c r="NT135" i="4" l="1"/>
  <c r="CS27" i="5" s="1"/>
  <c r="NT111" i="4"/>
  <c r="CS21" i="5" s="1"/>
  <c r="NT116" i="4"/>
  <c r="CS23" i="5" s="1"/>
  <c r="CS78" i="5" s="1"/>
  <c r="NT133" i="4"/>
  <c r="CS26" i="5" s="1"/>
  <c r="CS81" i="5" s="1"/>
  <c r="CS65" i="5"/>
  <c r="CS76" i="5"/>
  <c r="CR72" i="5"/>
  <c r="NT107" i="4"/>
  <c r="CS20" i="5" s="1"/>
  <c r="CS83" i="5"/>
  <c r="CS71" i="5"/>
  <c r="CR77" i="5"/>
  <c r="CR80" i="5"/>
  <c r="NT85" i="4"/>
  <c r="CS9" i="5" s="1"/>
  <c r="CS72" i="5"/>
  <c r="NT140" i="4"/>
  <c r="CS13" i="5" s="1"/>
  <c r="CS82" i="5"/>
  <c r="CR71" i="5"/>
  <c r="CS77" i="5"/>
  <c r="CS80" i="5"/>
  <c r="CS73" i="5"/>
  <c r="CR73" i="5"/>
  <c r="NT82" i="4"/>
  <c r="CS8" i="5" s="1"/>
  <c r="NT39" i="4"/>
  <c r="CR21" i="5" s="1"/>
  <c r="NT56" i="4"/>
  <c r="CR24" i="5" s="1"/>
  <c r="NT61" i="4"/>
  <c r="CR26" i="5" s="1"/>
  <c r="NT128" i="4"/>
  <c r="CS24" i="5" s="1"/>
  <c r="NT89" i="4"/>
  <c r="CS11" i="5" s="1"/>
  <c r="NT68" i="4"/>
  <c r="CR13" i="5" s="1"/>
  <c r="NT66" i="4"/>
  <c r="CR28" i="5" s="1"/>
  <c r="NT25" i="4"/>
  <c r="CR15" i="5" s="1"/>
  <c r="CR14" i="5" s="1"/>
  <c r="NT17" i="4"/>
  <c r="CR11" i="5" s="1"/>
  <c r="NT10" i="4"/>
  <c r="CR8" i="5" s="1"/>
  <c r="NT80" i="4"/>
  <c r="CS7" i="5" s="1"/>
  <c r="NT93" i="4"/>
  <c r="CS12" i="5" s="1"/>
  <c r="NT97" i="4"/>
  <c r="CS15" i="5" s="1"/>
  <c r="CS14" i="5" s="1"/>
  <c r="NT8" i="4"/>
  <c r="CR7" i="5" s="1"/>
  <c r="NT21" i="4"/>
  <c r="CR12" i="5" s="1"/>
  <c r="NT35" i="4"/>
  <c r="CR20" i="5" s="1"/>
  <c r="NT63" i="4"/>
  <c r="CR27" i="5" s="1"/>
  <c r="NT15" i="4"/>
  <c r="CR10" i="5" s="1"/>
  <c r="NT44" i="4"/>
  <c r="CR23" i="5" s="1"/>
  <c r="NT13" i="4"/>
  <c r="CR9" i="5" s="1"/>
  <c r="ND69" i="4"/>
  <c r="CN18" i="5" s="1"/>
  <c r="NC69" i="4"/>
  <c r="CR19" i="5" l="1"/>
  <c r="CS19" i="5"/>
  <c r="CS6" i="5"/>
  <c r="CR6" i="5"/>
  <c r="CS67" i="5"/>
  <c r="CS66" i="5"/>
  <c r="CS68" i="5"/>
  <c r="CR75" i="5"/>
  <c r="CR63" i="5"/>
  <c r="CS79" i="5"/>
  <c r="CR65" i="5"/>
  <c r="CS63" i="5"/>
  <c r="CS62" i="5"/>
  <c r="CR67" i="5"/>
  <c r="CR66" i="5"/>
  <c r="CR81" i="5"/>
  <c r="CS75" i="5"/>
  <c r="CR68" i="5"/>
  <c r="CR82" i="5"/>
  <c r="CR64" i="5"/>
  <c r="CR62" i="5"/>
  <c r="CR70" i="5"/>
  <c r="CR69" i="5" s="1"/>
  <c r="CR79" i="5"/>
  <c r="CS64" i="5"/>
  <c r="CR78" i="5"/>
  <c r="CS70" i="5"/>
  <c r="CS69" i="5" s="1"/>
  <c r="CR83" i="5"/>
  <c r="CR76" i="5"/>
  <c r="NL141" i="4"/>
  <c r="CQ18" i="5" s="1"/>
  <c r="NK141" i="4"/>
  <c r="NK140" i="4"/>
  <c r="NK139" i="4"/>
  <c r="NK138" i="4"/>
  <c r="NK137" i="4"/>
  <c r="NK136" i="4"/>
  <c r="NK135" i="4"/>
  <c r="NK134" i="4"/>
  <c r="NK133" i="4"/>
  <c r="NK132" i="4"/>
  <c r="NK131" i="4"/>
  <c r="NK130" i="4"/>
  <c r="NL129" i="4"/>
  <c r="CQ25" i="5" s="1"/>
  <c r="NK129" i="4"/>
  <c r="NK128" i="4"/>
  <c r="NK127" i="4"/>
  <c r="NK126" i="4"/>
  <c r="NK125" i="4"/>
  <c r="NK124" i="4"/>
  <c r="NK123" i="4"/>
  <c r="NL123" i="4" s="1"/>
  <c r="NK122" i="4"/>
  <c r="NL122" i="4" s="1"/>
  <c r="NK121" i="4"/>
  <c r="NL121" i="4" s="1"/>
  <c r="NK120" i="4"/>
  <c r="NL120" i="4" s="1"/>
  <c r="NK119" i="4"/>
  <c r="NL119" i="4" s="1"/>
  <c r="NK118" i="4"/>
  <c r="NL118" i="4" s="1"/>
  <c r="NK117" i="4"/>
  <c r="NL117" i="4" s="1"/>
  <c r="NK116" i="4"/>
  <c r="NK115" i="4"/>
  <c r="NK114" i="4"/>
  <c r="NK113" i="4"/>
  <c r="NL112" i="4"/>
  <c r="CQ22" i="5" s="1"/>
  <c r="NK112" i="4"/>
  <c r="NK111" i="4"/>
  <c r="NK110" i="4"/>
  <c r="NK109" i="4"/>
  <c r="NK108" i="4"/>
  <c r="NK107" i="4"/>
  <c r="NK106" i="4"/>
  <c r="NK105" i="4"/>
  <c r="NK104" i="4"/>
  <c r="NK103" i="4"/>
  <c r="NL103" i="4" s="1"/>
  <c r="NK102" i="4"/>
  <c r="NL102" i="4" s="1"/>
  <c r="NK101" i="4"/>
  <c r="NL101" i="4" s="1"/>
  <c r="NK100" i="4"/>
  <c r="NL100" i="4" s="1"/>
  <c r="NL99" i="4"/>
  <c r="CQ17" i="5" s="1"/>
  <c r="NK99" i="4"/>
  <c r="NL98" i="4"/>
  <c r="CQ16" i="5" s="1"/>
  <c r="NK98" i="4"/>
  <c r="NK97" i="4"/>
  <c r="NK96" i="4"/>
  <c r="NK95" i="4"/>
  <c r="NK94" i="4"/>
  <c r="NK93" i="4"/>
  <c r="NK92" i="4"/>
  <c r="NK91" i="4"/>
  <c r="NK90" i="4"/>
  <c r="NK89" i="4"/>
  <c r="NK88" i="4"/>
  <c r="NK87" i="4"/>
  <c r="NK86" i="4"/>
  <c r="NK85" i="4"/>
  <c r="NK84" i="4"/>
  <c r="NK83" i="4"/>
  <c r="NK82" i="4"/>
  <c r="NK81" i="4"/>
  <c r="NK80" i="4"/>
  <c r="NK79" i="4"/>
  <c r="NL80" i="4" s="1"/>
  <c r="CQ7" i="5" s="1"/>
  <c r="NL69" i="4"/>
  <c r="CP18" i="5" s="1"/>
  <c r="NK69" i="4"/>
  <c r="NK68" i="4"/>
  <c r="NK67" i="4"/>
  <c r="NK66" i="4"/>
  <c r="NK65" i="4"/>
  <c r="NK64" i="4"/>
  <c r="NK63" i="4"/>
  <c r="NK62" i="4"/>
  <c r="NK61" i="4"/>
  <c r="NK60" i="4"/>
  <c r="NK59" i="4"/>
  <c r="NK58" i="4"/>
  <c r="NL57" i="4"/>
  <c r="CP25" i="5" s="1"/>
  <c r="NK57" i="4"/>
  <c r="NK56" i="4"/>
  <c r="NK55" i="4"/>
  <c r="NK54" i="4"/>
  <c r="NK53" i="4"/>
  <c r="NK52" i="4"/>
  <c r="NK51" i="4"/>
  <c r="NL51" i="4" s="1"/>
  <c r="NK50" i="4"/>
  <c r="NL50" i="4" s="1"/>
  <c r="NK49" i="4"/>
  <c r="NL49" i="4" s="1"/>
  <c r="NK48" i="4"/>
  <c r="NL48" i="4" s="1"/>
  <c r="NK47" i="4"/>
  <c r="NL47" i="4" s="1"/>
  <c r="NK46" i="4"/>
  <c r="NL46" i="4" s="1"/>
  <c r="NK45" i="4"/>
  <c r="NL45" i="4" s="1"/>
  <c r="NK44" i="4"/>
  <c r="NK43" i="4"/>
  <c r="NK42" i="4"/>
  <c r="NK41" i="4"/>
  <c r="NL40" i="4"/>
  <c r="CP22" i="5" s="1"/>
  <c r="NK40" i="4"/>
  <c r="NK39" i="4"/>
  <c r="NK38" i="4"/>
  <c r="NK37" i="4"/>
  <c r="NK36" i="4"/>
  <c r="NK35" i="4"/>
  <c r="NK34" i="4"/>
  <c r="NK33" i="4"/>
  <c r="NK32" i="4"/>
  <c r="NK31" i="4"/>
  <c r="NL31" i="4" s="1"/>
  <c r="NK30" i="4"/>
  <c r="NL30" i="4" s="1"/>
  <c r="NK29" i="4"/>
  <c r="NL29" i="4" s="1"/>
  <c r="NK28" i="4"/>
  <c r="NL28" i="4" s="1"/>
  <c r="NL27" i="4"/>
  <c r="CP17" i="5" s="1"/>
  <c r="NK27" i="4"/>
  <c r="NL26" i="4"/>
  <c r="CP16" i="5" s="1"/>
  <c r="NK26" i="4"/>
  <c r="NK25" i="4"/>
  <c r="NK24" i="4"/>
  <c r="NK23" i="4"/>
  <c r="NK22" i="4"/>
  <c r="NK21" i="4"/>
  <c r="NK20" i="4"/>
  <c r="NK19" i="4"/>
  <c r="NK18" i="4"/>
  <c r="NK17" i="4"/>
  <c r="NK16" i="4"/>
  <c r="NK15" i="4"/>
  <c r="NK14" i="4"/>
  <c r="NK13" i="4"/>
  <c r="NK12" i="4"/>
  <c r="NK11" i="4"/>
  <c r="NK10" i="4"/>
  <c r="NK9" i="4"/>
  <c r="NK8" i="4"/>
  <c r="NK7" i="4"/>
  <c r="NC26" i="4"/>
  <c r="ND26" i="4"/>
  <c r="NC28" i="4"/>
  <c r="ND28" i="4" s="1"/>
  <c r="ND141" i="4"/>
  <c r="CO18" i="5" s="1"/>
  <c r="NC141" i="4"/>
  <c r="NC140" i="4"/>
  <c r="NC139" i="4"/>
  <c r="NC138" i="4"/>
  <c r="NC137" i="4"/>
  <c r="NC136" i="4"/>
  <c r="NC135" i="4"/>
  <c r="NC134" i="4"/>
  <c r="NC133" i="4"/>
  <c r="NC132" i="4"/>
  <c r="NC131" i="4"/>
  <c r="NC130" i="4"/>
  <c r="ND129" i="4"/>
  <c r="CO25" i="5" s="1"/>
  <c r="NC129" i="4"/>
  <c r="NC128" i="4"/>
  <c r="NC127" i="4"/>
  <c r="NC126" i="4"/>
  <c r="NC125" i="4"/>
  <c r="NC124" i="4"/>
  <c r="NC123" i="4"/>
  <c r="ND123" i="4" s="1"/>
  <c r="NC122" i="4"/>
  <c r="ND122" i="4" s="1"/>
  <c r="NC121" i="4"/>
  <c r="ND121" i="4" s="1"/>
  <c r="NC120" i="4"/>
  <c r="ND120" i="4" s="1"/>
  <c r="NC119" i="4"/>
  <c r="ND119" i="4" s="1"/>
  <c r="NC118" i="4"/>
  <c r="ND118" i="4" s="1"/>
  <c r="NC117" i="4"/>
  <c r="ND117" i="4" s="1"/>
  <c r="NC116" i="4"/>
  <c r="NC115" i="4"/>
  <c r="NC114" i="4"/>
  <c r="NC113" i="4"/>
  <c r="ND112" i="4"/>
  <c r="CO22" i="5" s="1"/>
  <c r="NC112" i="4"/>
  <c r="NC111" i="4"/>
  <c r="NC110" i="4"/>
  <c r="NC109" i="4"/>
  <c r="NC108" i="4"/>
  <c r="NC107" i="4"/>
  <c r="NC106" i="4"/>
  <c r="NC105" i="4"/>
  <c r="NC104" i="4"/>
  <c r="NC103" i="4"/>
  <c r="ND103" i="4" s="1"/>
  <c r="NC102" i="4"/>
  <c r="ND102" i="4" s="1"/>
  <c r="NC101" i="4"/>
  <c r="ND101" i="4" s="1"/>
  <c r="NC100" i="4"/>
  <c r="ND100" i="4" s="1"/>
  <c r="ND57" i="4"/>
  <c r="CN25" i="5" s="1"/>
  <c r="ND40" i="4"/>
  <c r="CN22" i="5" s="1"/>
  <c r="NC40" i="4"/>
  <c r="MU58" i="4"/>
  <c r="MV58" i="4"/>
  <c r="NC66" i="4"/>
  <c r="NC67" i="4"/>
  <c r="NC68" i="4"/>
  <c r="NC65" i="4"/>
  <c r="NC64" i="4"/>
  <c r="NC63" i="4"/>
  <c r="NC62" i="4"/>
  <c r="NC61" i="4"/>
  <c r="NC60" i="4"/>
  <c r="NC59" i="4"/>
  <c r="NC32" i="4"/>
  <c r="NC39" i="4"/>
  <c r="NC38" i="4"/>
  <c r="NC37" i="4"/>
  <c r="NC36" i="4"/>
  <c r="NC35" i="4"/>
  <c r="NC34" i="4"/>
  <c r="NC33" i="4"/>
  <c r="NC31" i="4"/>
  <c r="ND31" i="4" s="1"/>
  <c r="NC30" i="4"/>
  <c r="ND30" i="4" s="1"/>
  <c r="NC29" i="4"/>
  <c r="ND29" i="4" s="1"/>
  <c r="CR84" i="5" l="1"/>
  <c r="CR61" i="5"/>
  <c r="CR74" i="5"/>
  <c r="CS84" i="5"/>
  <c r="CS61" i="5"/>
  <c r="CS74" i="5"/>
  <c r="ND68" i="4"/>
  <c r="CN13" i="5" s="1"/>
  <c r="ND135" i="4"/>
  <c r="CO27" i="5" s="1"/>
  <c r="CP77" i="5"/>
  <c r="CP80" i="5"/>
  <c r="CQ72" i="5"/>
  <c r="CP71" i="5"/>
  <c r="CQ62" i="5"/>
  <c r="CQ77" i="5"/>
  <c r="CQ80" i="5"/>
  <c r="CQ73" i="5"/>
  <c r="ND140" i="4"/>
  <c r="CO13" i="5" s="1"/>
  <c r="CP72" i="5"/>
  <c r="CQ71" i="5"/>
  <c r="CP73" i="5"/>
  <c r="NL63" i="4"/>
  <c r="CP27" i="5" s="1"/>
  <c r="ND35" i="4"/>
  <c r="CN20" i="5" s="1"/>
  <c r="ND128" i="4"/>
  <c r="CO24" i="5" s="1"/>
  <c r="NL87" i="4"/>
  <c r="CQ10" i="5" s="1"/>
  <c r="NL8" i="4"/>
  <c r="CP7" i="5" s="1"/>
  <c r="NL140" i="4"/>
  <c r="CQ13" i="5" s="1"/>
  <c r="NL66" i="4"/>
  <c r="CP28" i="5" s="1"/>
  <c r="ND138" i="4"/>
  <c r="CO28" i="5" s="1"/>
  <c r="ND63" i="4"/>
  <c r="CN27" i="5" s="1"/>
  <c r="ND66" i="4"/>
  <c r="CN28" i="5" s="1"/>
  <c r="ND39" i="4"/>
  <c r="CN21" i="5" s="1"/>
  <c r="NL97" i="4"/>
  <c r="CQ15" i="5" s="1"/>
  <c r="CQ14" i="5" s="1"/>
  <c r="NL15" i="4"/>
  <c r="CP10" i="5" s="1"/>
  <c r="NL39" i="4"/>
  <c r="CP21" i="5" s="1"/>
  <c r="NL44" i="4"/>
  <c r="CP23" i="5" s="1"/>
  <c r="NL93" i="4"/>
  <c r="CQ12" i="5" s="1"/>
  <c r="NL138" i="4"/>
  <c r="CQ28" i="5" s="1"/>
  <c r="ND111" i="4"/>
  <c r="CO21" i="5" s="1"/>
  <c r="ND116" i="4"/>
  <c r="CO23" i="5" s="1"/>
  <c r="ND133" i="4"/>
  <c r="CO26" i="5" s="1"/>
  <c r="NL10" i="4"/>
  <c r="CP8" i="5" s="1"/>
  <c r="NL35" i="4"/>
  <c r="CP20" i="5" s="1"/>
  <c r="NL111" i="4"/>
  <c r="CQ21" i="5" s="1"/>
  <c r="NL116" i="4"/>
  <c r="CQ23" i="5" s="1"/>
  <c r="NL56" i="4"/>
  <c r="CP24" i="5" s="1"/>
  <c r="NL68" i="4"/>
  <c r="CP13" i="5" s="1"/>
  <c r="NL135" i="4"/>
  <c r="CQ27" i="5" s="1"/>
  <c r="ND107" i="4"/>
  <c r="CO20" i="5" s="1"/>
  <c r="CO19" i="5" s="1"/>
  <c r="NL61" i="4"/>
  <c r="CP26" i="5" s="1"/>
  <c r="NL107" i="4"/>
  <c r="CQ20" i="5" s="1"/>
  <c r="NL85" i="4"/>
  <c r="CQ9" i="5" s="1"/>
  <c r="NL89" i="4"/>
  <c r="CQ11" i="5" s="1"/>
  <c r="NL128" i="4"/>
  <c r="CQ24" i="5" s="1"/>
  <c r="NL133" i="4"/>
  <c r="CQ26" i="5" s="1"/>
  <c r="NL82" i="4"/>
  <c r="CQ8" i="5" s="1"/>
  <c r="NL25" i="4"/>
  <c r="CP15" i="5" s="1"/>
  <c r="CP14" i="5" s="1"/>
  <c r="NL21" i="4"/>
  <c r="CP12" i="5" s="1"/>
  <c r="NL13" i="4"/>
  <c r="CP9" i="5" s="1"/>
  <c r="NL17" i="4"/>
  <c r="CP11" i="5" s="1"/>
  <c r="CH134" i="5"/>
  <c r="CQ6" i="5" l="1"/>
  <c r="CP6" i="5"/>
  <c r="CP19" i="5"/>
  <c r="CQ19" i="5"/>
  <c r="CQ65" i="5"/>
  <c r="CQ79" i="5"/>
  <c r="CP64" i="5"/>
  <c r="CP68" i="5"/>
  <c r="CP76" i="5"/>
  <c r="CQ67" i="5"/>
  <c r="CQ82" i="5"/>
  <c r="CQ66" i="5"/>
  <c r="CP67" i="5"/>
  <c r="CQ64" i="5"/>
  <c r="CP79" i="5"/>
  <c r="CP65" i="5"/>
  <c r="CP83" i="5"/>
  <c r="CP82" i="5"/>
  <c r="CQ81" i="5"/>
  <c r="CP78" i="5"/>
  <c r="CQ78" i="5"/>
  <c r="CQ68" i="5"/>
  <c r="CP75" i="5"/>
  <c r="CP66" i="5"/>
  <c r="S10" i="36"/>
  <c r="CP63" i="5"/>
  <c r="CP70" i="5"/>
  <c r="CP69" i="5" s="1"/>
  <c r="CQ75" i="5"/>
  <c r="CQ70" i="5"/>
  <c r="CQ69" i="5" s="1"/>
  <c r="CQ63" i="5"/>
  <c r="CP81" i="5"/>
  <c r="CQ76" i="5"/>
  <c r="CQ83" i="5"/>
  <c r="CP62" i="5"/>
  <c r="B149" i="5"/>
  <c r="CQ84" i="5" l="1"/>
  <c r="CP84" i="5"/>
  <c r="CP61" i="5"/>
  <c r="CQ61" i="5"/>
  <c r="CP74" i="5"/>
  <c r="CQ74" i="5"/>
  <c r="JP7" i="1"/>
  <c r="JJ128" i="1" l="1"/>
  <c r="JI128" i="1"/>
  <c r="JJ126" i="1"/>
  <c r="JI126" i="1"/>
  <c r="JJ124" i="1"/>
  <c r="JI124" i="1"/>
  <c r="JJ123" i="1"/>
  <c r="JI123" i="1"/>
  <c r="JJ122" i="1"/>
  <c r="JI122" i="1"/>
  <c r="JJ121" i="1"/>
  <c r="JI121" i="1"/>
  <c r="JJ119" i="1"/>
  <c r="JM119" i="1" s="1"/>
  <c r="JI119" i="1"/>
  <c r="JJ118" i="1"/>
  <c r="JI118" i="1"/>
  <c r="JJ113" i="1"/>
  <c r="JM113" i="1" s="1"/>
  <c r="JI113" i="1"/>
  <c r="JJ112" i="1"/>
  <c r="JI112" i="1"/>
  <c r="JJ111" i="1"/>
  <c r="JI111" i="1"/>
  <c r="JJ109" i="1"/>
  <c r="JI109" i="1"/>
  <c r="JJ108" i="1"/>
  <c r="JM108" i="1" s="1"/>
  <c r="JI108" i="1"/>
  <c r="JJ107" i="1"/>
  <c r="JI107" i="1"/>
  <c r="JJ106" i="1"/>
  <c r="JM106" i="1" s="1"/>
  <c r="JI106" i="1"/>
  <c r="JJ105" i="1"/>
  <c r="JI105" i="1"/>
  <c r="JJ104" i="1"/>
  <c r="JI104" i="1"/>
  <c r="JJ103" i="1"/>
  <c r="JI103" i="1"/>
  <c r="JJ102" i="1"/>
  <c r="JI102" i="1"/>
  <c r="JJ101" i="1"/>
  <c r="JI101" i="1"/>
  <c r="JJ100" i="1"/>
  <c r="JI100" i="1"/>
  <c r="JJ97" i="1"/>
  <c r="JI97" i="1"/>
  <c r="JJ95" i="1"/>
  <c r="JI95" i="1"/>
  <c r="JJ94" i="1"/>
  <c r="JI94" i="1"/>
  <c r="JJ93" i="1"/>
  <c r="JI93" i="1"/>
  <c r="JJ50" i="1"/>
  <c r="JI50" i="1"/>
  <c r="JJ42" i="1"/>
  <c r="JM42" i="1" s="1"/>
  <c r="JI42" i="1"/>
  <c r="JJ41" i="1"/>
  <c r="JI41" i="1"/>
  <c r="JJ39" i="1"/>
  <c r="JI39" i="1"/>
  <c r="JJ38" i="1"/>
  <c r="JM38" i="1" s="1"/>
  <c r="JI38" i="1"/>
  <c r="JJ37" i="1"/>
  <c r="JI37" i="1"/>
  <c r="JJ34" i="1"/>
  <c r="JI34" i="1"/>
  <c r="JJ32" i="1"/>
  <c r="JM32" i="1" s="1"/>
  <c r="JI32" i="1"/>
  <c r="JJ31" i="1"/>
  <c r="JI31" i="1"/>
  <c r="JJ25" i="1"/>
  <c r="JI25" i="1"/>
  <c r="JJ24" i="1"/>
  <c r="JI24" i="1"/>
  <c r="JJ23" i="1"/>
  <c r="JI23" i="1"/>
  <c r="JJ21" i="1"/>
  <c r="JI21" i="1"/>
  <c r="JJ20" i="1"/>
  <c r="JI20" i="1"/>
  <c r="JJ19" i="1"/>
  <c r="JI19" i="1"/>
  <c r="JJ18" i="1"/>
  <c r="JI18" i="1"/>
  <c r="JJ17" i="1"/>
  <c r="JI17" i="1"/>
  <c r="JJ15" i="1"/>
  <c r="JI15" i="1"/>
  <c r="JJ14" i="1"/>
  <c r="JI14" i="1"/>
  <c r="JJ13" i="1"/>
  <c r="JM13" i="1" s="1"/>
  <c r="JI13" i="1"/>
  <c r="JJ10" i="1"/>
  <c r="JI10" i="1"/>
  <c r="JJ8" i="1"/>
  <c r="JI8" i="1"/>
  <c r="JJ7" i="1"/>
  <c r="JI7" i="1"/>
  <c r="JJ6" i="1"/>
  <c r="JI6" i="1"/>
  <c r="JD128" i="1"/>
  <c r="JG128" i="1" s="1"/>
  <c r="JC128" i="1"/>
  <c r="JD127" i="1"/>
  <c r="JG127" i="1" s="1"/>
  <c r="JC127" i="1"/>
  <c r="JE126" i="1"/>
  <c r="JD126" i="1"/>
  <c r="JC126" i="1"/>
  <c r="JD125" i="1"/>
  <c r="JC125" i="1"/>
  <c r="JD124" i="1"/>
  <c r="JC124" i="1"/>
  <c r="JD123" i="1"/>
  <c r="JC123" i="1"/>
  <c r="JD122" i="1"/>
  <c r="JC122" i="1"/>
  <c r="JE121" i="1"/>
  <c r="JD121" i="1"/>
  <c r="JC121" i="1"/>
  <c r="JD119" i="1"/>
  <c r="JG119" i="1" s="1"/>
  <c r="JC119" i="1"/>
  <c r="JD118" i="1"/>
  <c r="JC118" i="1"/>
  <c r="JD113" i="1"/>
  <c r="JG113" i="1" s="1"/>
  <c r="JC113" i="1"/>
  <c r="JD112" i="1"/>
  <c r="JC112" i="1"/>
  <c r="JD111" i="1"/>
  <c r="JC111" i="1"/>
  <c r="JD109" i="1"/>
  <c r="JC109" i="1"/>
  <c r="JD105" i="1"/>
  <c r="JC105" i="1"/>
  <c r="JD104" i="1"/>
  <c r="JC104" i="1"/>
  <c r="JD103" i="1"/>
  <c r="JC103" i="1"/>
  <c r="JD102" i="1"/>
  <c r="JC102" i="1"/>
  <c r="JD101" i="1"/>
  <c r="JC101" i="1"/>
  <c r="JD100" i="1"/>
  <c r="JC100" i="1"/>
  <c r="JD99" i="1"/>
  <c r="JG99" i="1" s="1"/>
  <c r="JC99" i="1"/>
  <c r="JD97" i="1"/>
  <c r="JC97" i="1"/>
  <c r="JE96" i="1"/>
  <c r="JD96" i="1"/>
  <c r="JC96" i="1"/>
  <c r="JD94" i="1"/>
  <c r="JC94" i="1"/>
  <c r="JD93" i="1"/>
  <c r="JC93" i="1"/>
  <c r="JD51" i="1"/>
  <c r="JC51" i="1"/>
  <c r="JD50" i="1"/>
  <c r="JG50" i="1" s="1"/>
  <c r="JC50" i="1"/>
  <c r="JD42" i="1"/>
  <c r="JG42" i="1" s="1"/>
  <c r="JC42" i="1"/>
  <c r="JD41" i="1"/>
  <c r="JG41" i="1" s="1"/>
  <c r="JC41" i="1"/>
  <c r="JD40" i="1"/>
  <c r="JG40" i="1" s="1"/>
  <c r="JC40" i="1"/>
  <c r="JD39" i="1"/>
  <c r="JG39" i="1" s="1"/>
  <c r="JC39" i="1"/>
  <c r="JD38" i="1"/>
  <c r="JG38" i="1" s="1"/>
  <c r="JC38" i="1"/>
  <c r="JD37" i="1"/>
  <c r="JG37" i="1" s="1"/>
  <c r="JC37" i="1"/>
  <c r="JD36" i="1"/>
  <c r="JG36" i="1" s="1"/>
  <c r="JC36" i="1"/>
  <c r="JD35" i="1"/>
  <c r="JG35" i="1" s="1"/>
  <c r="JC35" i="1"/>
  <c r="JD34" i="1"/>
  <c r="JG34" i="1" s="1"/>
  <c r="JC34" i="1"/>
  <c r="JD33" i="1"/>
  <c r="JG33" i="1" s="1"/>
  <c r="JC33" i="1"/>
  <c r="JD32" i="1"/>
  <c r="JG32" i="1" s="1"/>
  <c r="JC32" i="1"/>
  <c r="JD31" i="1"/>
  <c r="JG31" i="1" s="1"/>
  <c r="JC31" i="1"/>
  <c r="JD25" i="1"/>
  <c r="JC25" i="1"/>
  <c r="JD24" i="1"/>
  <c r="JC24" i="1"/>
  <c r="JD21" i="1"/>
  <c r="JC21" i="1"/>
  <c r="JD19" i="1"/>
  <c r="JG19" i="1" s="1"/>
  <c r="JC19" i="1"/>
  <c r="JD17" i="1"/>
  <c r="JC17" i="1"/>
  <c r="JD16" i="1"/>
  <c r="JC16" i="1"/>
  <c r="JD15" i="1"/>
  <c r="JC15" i="1"/>
  <c r="JD14" i="1"/>
  <c r="JC14" i="1"/>
  <c r="JD13" i="1"/>
  <c r="JC13" i="1"/>
  <c r="JD12" i="1"/>
  <c r="JC12" i="1"/>
  <c r="JD11" i="1"/>
  <c r="JG11" i="1" s="1"/>
  <c r="JC11" i="1"/>
  <c r="JD10" i="1"/>
  <c r="JC10" i="1"/>
  <c r="JD9" i="1"/>
  <c r="JC9" i="1"/>
  <c r="JD7" i="1"/>
  <c r="JC7" i="1"/>
  <c r="JD6" i="1"/>
  <c r="JC6" i="1"/>
  <c r="JO128" i="1"/>
  <c r="JO127" i="1"/>
  <c r="JO126" i="1"/>
  <c r="JO124" i="1"/>
  <c r="JO123" i="1"/>
  <c r="JO122" i="1"/>
  <c r="JO121" i="1"/>
  <c r="JO120" i="1"/>
  <c r="JO119" i="1"/>
  <c r="JO118" i="1"/>
  <c r="JP128" i="1"/>
  <c r="JS128" i="1" s="1"/>
  <c r="JP127" i="1"/>
  <c r="JS127" i="1" s="1"/>
  <c r="JP126" i="1"/>
  <c r="JP124" i="1"/>
  <c r="JP123" i="1"/>
  <c r="JP122" i="1"/>
  <c r="JP121" i="1"/>
  <c r="JP120" i="1"/>
  <c r="JS120" i="1" s="1"/>
  <c r="JP119" i="1"/>
  <c r="JS119" i="1" s="1"/>
  <c r="JP118" i="1"/>
  <c r="JS118" i="1" s="1"/>
  <c r="JP112" i="1"/>
  <c r="JP107" i="1"/>
  <c r="JP106" i="1"/>
  <c r="JS106" i="1" s="1"/>
  <c r="JP104" i="1"/>
  <c r="JP102" i="1"/>
  <c r="JP101" i="1"/>
  <c r="JP100" i="1"/>
  <c r="JP97" i="1"/>
  <c r="JP96" i="1"/>
  <c r="JP94" i="1"/>
  <c r="JP93" i="1"/>
  <c r="JO112" i="1"/>
  <c r="JO107" i="1"/>
  <c r="JO106" i="1"/>
  <c r="JO104" i="1"/>
  <c r="JO102" i="1"/>
  <c r="JO101" i="1"/>
  <c r="JO100" i="1"/>
  <c r="JO97" i="1"/>
  <c r="JO96" i="1"/>
  <c r="JO94" i="1"/>
  <c r="JO93" i="1"/>
  <c r="JP51" i="1"/>
  <c r="JO51" i="1"/>
  <c r="JP50" i="1"/>
  <c r="JO50" i="1"/>
  <c r="JP42" i="1"/>
  <c r="JS42" i="1" s="1"/>
  <c r="JO42" i="1"/>
  <c r="JP41" i="1"/>
  <c r="JO41" i="1"/>
  <c r="JP39" i="1"/>
  <c r="JO39" i="1"/>
  <c r="JP38" i="1"/>
  <c r="JO38" i="1"/>
  <c r="JP37" i="1"/>
  <c r="JO37" i="1"/>
  <c r="JP36" i="1"/>
  <c r="JO36" i="1"/>
  <c r="JP35" i="1"/>
  <c r="JO35" i="1"/>
  <c r="JP34" i="1"/>
  <c r="JO34" i="1"/>
  <c r="JP33" i="1"/>
  <c r="JS33" i="1" s="1"/>
  <c r="JO33" i="1"/>
  <c r="JP32" i="1"/>
  <c r="JS32" i="1" s="1"/>
  <c r="JO32" i="1"/>
  <c r="JP31" i="1"/>
  <c r="JO31" i="1"/>
  <c r="JP26" i="1"/>
  <c r="JS26" i="1" s="1"/>
  <c r="JO26" i="1"/>
  <c r="JP25" i="1"/>
  <c r="JO25" i="1"/>
  <c r="JP24" i="1"/>
  <c r="JO24" i="1"/>
  <c r="JP22" i="1"/>
  <c r="JO22" i="1"/>
  <c r="JP20" i="1"/>
  <c r="JO20" i="1"/>
  <c r="JP19" i="1"/>
  <c r="JS19" i="1" s="1"/>
  <c r="JO19" i="1"/>
  <c r="JP18" i="1"/>
  <c r="JO18" i="1"/>
  <c r="JP17" i="1"/>
  <c r="JO17" i="1"/>
  <c r="JP15" i="1"/>
  <c r="JP60" i="1" s="1"/>
  <c r="JO15" i="1"/>
  <c r="JO60" i="1" s="1"/>
  <c r="JP14" i="1"/>
  <c r="JO14" i="1"/>
  <c r="JP13" i="1"/>
  <c r="JO13" i="1"/>
  <c r="JP12" i="1"/>
  <c r="JO12" i="1"/>
  <c r="JP10" i="1"/>
  <c r="JO10" i="1"/>
  <c r="JP8" i="1"/>
  <c r="JP57" i="1" s="1"/>
  <c r="JO8" i="1"/>
  <c r="JO7" i="1"/>
  <c r="JO56" i="1" s="1"/>
  <c r="JP56" i="1"/>
  <c r="JQ56" i="1"/>
  <c r="JQ57" i="1"/>
  <c r="JQ58" i="1"/>
  <c r="JQ59" i="1"/>
  <c r="JQ60" i="1"/>
  <c r="JQ61" i="1"/>
  <c r="JQ62" i="1"/>
  <c r="JR38" i="1" l="1"/>
  <c r="JF31" i="1"/>
  <c r="JF11" i="1"/>
  <c r="JO59" i="1"/>
  <c r="JL128" i="1"/>
  <c r="JP58" i="1"/>
  <c r="JO57" i="1"/>
  <c r="JR8" i="1"/>
  <c r="JL38" i="1"/>
  <c r="JR128" i="1"/>
  <c r="JF99" i="1"/>
  <c r="JR106" i="1"/>
  <c r="JF19" i="1"/>
  <c r="JF128" i="1"/>
  <c r="JL13" i="1"/>
  <c r="JL32" i="1"/>
  <c r="JL42" i="1"/>
  <c r="JO58" i="1"/>
  <c r="JO61" i="1"/>
  <c r="JR32" i="1"/>
  <c r="JF32" i="1"/>
  <c r="JF34" i="1"/>
  <c r="JF36" i="1"/>
  <c r="JF38" i="1"/>
  <c r="JF40" i="1"/>
  <c r="JF42" i="1"/>
  <c r="JR19" i="1"/>
  <c r="JR33" i="1"/>
  <c r="JR42" i="1"/>
  <c r="JF33" i="1"/>
  <c r="JF35" i="1"/>
  <c r="JF37" i="1"/>
  <c r="JF39" i="1"/>
  <c r="JF41" i="1"/>
  <c r="JF50" i="1"/>
  <c r="JL19" i="1"/>
  <c r="JF119" i="1"/>
  <c r="JF127" i="1"/>
  <c r="JP61" i="1"/>
  <c r="JR127" i="1"/>
  <c r="JM128" i="1"/>
  <c r="JR120" i="1"/>
  <c r="JR119" i="1"/>
  <c r="JO62" i="1"/>
  <c r="JP59" i="1"/>
  <c r="JL113" i="1"/>
  <c r="JF113" i="1"/>
  <c r="JL106" i="1"/>
  <c r="JR56" i="1"/>
  <c r="JP62" i="1"/>
  <c r="JM19" i="1"/>
  <c r="JL108" i="1"/>
  <c r="JL119" i="1"/>
  <c r="JR118" i="1"/>
  <c r="CO159" i="5"/>
  <c r="CO158" i="5"/>
  <c r="CO157" i="5"/>
  <c r="CO154" i="5"/>
  <c r="CO153" i="5"/>
  <c r="CO152" i="5"/>
  <c r="CO151" i="5"/>
  <c r="CO150" i="5"/>
  <c r="CO149" i="5"/>
  <c r="CN160" i="5"/>
  <c r="S166" i="36" s="1"/>
  <c r="CN155" i="5"/>
  <c r="S161" i="36" s="1"/>
  <c r="CN170" i="5"/>
  <c r="S176" i="36" s="1"/>
  <c r="CN169" i="5"/>
  <c r="S175" i="36" s="1"/>
  <c r="CN168" i="5"/>
  <c r="S174" i="36" s="1"/>
  <c r="CN167" i="5"/>
  <c r="S173" i="36" s="1"/>
  <c r="CN166" i="5"/>
  <c r="S172" i="36" s="1"/>
  <c r="CN165" i="5"/>
  <c r="S171" i="36" s="1"/>
  <c r="CN164" i="5"/>
  <c r="S170" i="36" s="1"/>
  <c r="CN163" i="5"/>
  <c r="S169" i="36" s="1"/>
  <c r="CN162" i="5"/>
  <c r="CN159" i="5"/>
  <c r="CN158" i="5"/>
  <c r="CN157" i="5"/>
  <c r="CN156" i="5" s="1"/>
  <c r="CN154" i="5"/>
  <c r="CN153" i="5"/>
  <c r="CN152" i="5"/>
  <c r="S158" i="36" s="1"/>
  <c r="CN151" i="5"/>
  <c r="CN150" i="5"/>
  <c r="CN149" i="5"/>
  <c r="S168" i="36" l="1"/>
  <c r="S167" i="36" s="1"/>
  <c r="CN161" i="5"/>
  <c r="CN171" i="5"/>
  <c r="CN148" i="5"/>
  <c r="CO148" i="5"/>
  <c r="CO171" i="5"/>
  <c r="CO156" i="5"/>
  <c r="S160" i="36"/>
  <c r="S157" i="36"/>
  <c r="S156" i="36"/>
  <c r="S164" i="36"/>
  <c r="AW147" i="6"/>
  <c r="S165" i="36"/>
  <c r="S155" i="36"/>
  <c r="S163" i="36"/>
  <c r="AW143" i="6"/>
  <c r="S159" i="36"/>
  <c r="AW149" i="6"/>
  <c r="AW155" i="6"/>
  <c r="AW157" i="6"/>
  <c r="AW158" i="6"/>
  <c r="AW142" i="6"/>
  <c r="AW146" i="6"/>
  <c r="AW154" i="6"/>
  <c r="AW141" i="6"/>
  <c r="AW140" i="6"/>
  <c r="AW144" i="6"/>
  <c r="AW156" i="6"/>
  <c r="AW153" i="6"/>
  <c r="AW150" i="6"/>
  <c r="AW148" i="6"/>
  <c r="AW152" i="6"/>
  <c r="AW151" i="6"/>
  <c r="AW145" i="6"/>
  <c r="AW139" i="6"/>
  <c r="S154" i="36" l="1"/>
  <c r="S162" i="36"/>
  <c r="S177" i="36"/>
  <c r="AW159" i="6"/>
  <c r="CM160" i="5"/>
  <c r="CM155" i="5"/>
  <c r="CM170" i="5"/>
  <c r="CM169" i="5"/>
  <c r="CM168" i="5"/>
  <c r="CM167" i="5"/>
  <c r="CM166" i="5"/>
  <c r="CM165" i="5"/>
  <c r="CM164" i="5"/>
  <c r="CM163" i="5"/>
  <c r="CM162" i="5"/>
  <c r="CM159" i="5"/>
  <c r="CM158" i="5"/>
  <c r="CM157" i="5"/>
  <c r="CM154" i="5"/>
  <c r="CM153" i="5"/>
  <c r="CM152" i="5"/>
  <c r="CM151" i="5"/>
  <c r="CM150" i="5"/>
  <c r="CM149" i="5"/>
  <c r="CL160" i="5"/>
  <c r="CL155" i="5"/>
  <c r="CL170" i="5"/>
  <c r="CL169" i="5"/>
  <c r="CL168" i="5"/>
  <c r="CL167" i="5"/>
  <c r="CL166" i="5"/>
  <c r="CL165" i="5"/>
  <c r="CL164" i="5"/>
  <c r="CL163" i="5"/>
  <c r="CL162" i="5"/>
  <c r="CL159" i="5"/>
  <c r="CL158" i="5"/>
  <c r="CL157" i="5"/>
  <c r="CL154" i="5"/>
  <c r="CL153" i="5"/>
  <c r="CL152" i="5"/>
  <c r="CL151" i="5"/>
  <c r="CL150" i="5"/>
  <c r="CL149" i="5"/>
  <c r="CK160" i="5"/>
  <c r="CK155" i="5"/>
  <c r="CK170" i="5"/>
  <c r="CK169" i="5"/>
  <c r="CK168" i="5"/>
  <c r="CK167" i="5"/>
  <c r="CK166" i="5"/>
  <c r="CK165" i="5"/>
  <c r="CK164" i="5"/>
  <c r="CK163" i="5"/>
  <c r="CK162" i="5"/>
  <c r="CK159" i="5"/>
  <c r="CK158" i="5"/>
  <c r="CK157" i="5"/>
  <c r="CK154" i="5"/>
  <c r="CK153" i="5"/>
  <c r="CK152" i="5"/>
  <c r="CK151" i="5"/>
  <c r="CK150" i="5"/>
  <c r="CK149" i="5"/>
  <c r="CJ160" i="5"/>
  <c r="CJ155" i="5"/>
  <c r="CJ170" i="5"/>
  <c r="CJ169" i="5"/>
  <c r="CJ168" i="5"/>
  <c r="CJ167" i="5"/>
  <c r="CJ166" i="5"/>
  <c r="CJ165" i="5"/>
  <c r="CJ164" i="5"/>
  <c r="CJ163" i="5"/>
  <c r="CJ162" i="5"/>
  <c r="CJ159" i="5"/>
  <c r="CJ158" i="5"/>
  <c r="CJ157" i="5"/>
  <c r="CJ154" i="5"/>
  <c r="CJ153" i="5"/>
  <c r="CJ152" i="5"/>
  <c r="CJ151" i="5"/>
  <c r="CJ150" i="5"/>
  <c r="CJ149" i="5"/>
  <c r="CI160" i="5"/>
  <c r="CI155" i="5"/>
  <c r="CI170" i="5"/>
  <c r="CI169" i="5"/>
  <c r="CI168" i="5"/>
  <c r="CI167" i="5"/>
  <c r="CI166" i="5"/>
  <c r="CI165" i="5"/>
  <c r="CI164" i="5"/>
  <c r="CI163" i="5"/>
  <c r="CI162" i="5"/>
  <c r="CI159" i="5"/>
  <c r="CI158" i="5"/>
  <c r="CI157" i="5"/>
  <c r="CI154" i="5"/>
  <c r="CI153" i="5"/>
  <c r="CI152" i="5"/>
  <c r="CI151" i="5"/>
  <c r="CI150" i="5"/>
  <c r="CI149" i="5"/>
  <c r="CH160" i="5"/>
  <c r="CH155" i="5"/>
  <c r="CH170" i="5"/>
  <c r="CH169" i="5"/>
  <c r="CH168" i="5"/>
  <c r="CH167" i="5"/>
  <c r="CH166" i="5"/>
  <c r="CH165" i="5"/>
  <c r="CH164" i="5"/>
  <c r="CH163" i="5"/>
  <c r="CH162" i="5"/>
  <c r="CH159" i="5"/>
  <c r="CH158" i="5"/>
  <c r="CH157" i="5"/>
  <c r="CH154" i="5"/>
  <c r="CH153" i="5"/>
  <c r="CH152" i="5"/>
  <c r="CH151" i="5"/>
  <c r="CH150" i="5"/>
  <c r="CH149" i="5"/>
  <c r="CG160" i="5"/>
  <c r="CG155" i="5"/>
  <c r="CG170" i="5"/>
  <c r="CG169" i="5"/>
  <c r="CG168" i="5"/>
  <c r="CG167" i="5"/>
  <c r="CG166" i="5"/>
  <c r="CG165" i="5"/>
  <c r="CG164" i="5"/>
  <c r="CG163" i="5"/>
  <c r="CG162" i="5"/>
  <c r="CG159" i="5"/>
  <c r="CG158" i="5"/>
  <c r="CG157" i="5"/>
  <c r="CG154" i="5"/>
  <c r="CG153" i="5"/>
  <c r="CG152" i="5"/>
  <c r="CG151" i="5"/>
  <c r="CG150" i="5"/>
  <c r="CG149" i="5"/>
  <c r="CF160" i="5"/>
  <c r="CF155" i="5"/>
  <c r="CF170" i="5"/>
  <c r="CF169" i="5"/>
  <c r="CF168" i="5"/>
  <c r="CF167" i="5"/>
  <c r="CF166" i="5"/>
  <c r="CF165" i="5"/>
  <c r="CF164" i="5"/>
  <c r="CF163" i="5"/>
  <c r="CF162" i="5"/>
  <c r="CF159" i="5"/>
  <c r="CF158" i="5"/>
  <c r="CF157" i="5"/>
  <c r="CF154" i="5"/>
  <c r="CF153" i="5"/>
  <c r="CF152" i="5"/>
  <c r="CF151" i="5"/>
  <c r="CF150" i="5"/>
  <c r="CF149" i="5"/>
  <c r="AW160" i="5"/>
  <c r="AW155" i="5"/>
  <c r="AW170" i="5"/>
  <c r="AW169" i="5"/>
  <c r="AW168" i="5"/>
  <c r="AW167" i="5"/>
  <c r="AW166" i="5"/>
  <c r="AW165" i="5"/>
  <c r="AW164" i="5"/>
  <c r="AW163" i="5"/>
  <c r="AW162" i="5"/>
  <c r="AW159" i="5"/>
  <c r="AW158" i="5"/>
  <c r="AW157" i="5"/>
  <c r="AW154" i="5"/>
  <c r="AW153" i="5"/>
  <c r="AW152" i="5"/>
  <c r="AW151" i="5"/>
  <c r="AW150" i="5"/>
  <c r="AW149" i="5"/>
  <c r="AV160" i="5"/>
  <c r="AV155" i="5"/>
  <c r="AV170" i="5"/>
  <c r="AV169" i="5"/>
  <c r="AV168" i="5"/>
  <c r="AV167" i="5"/>
  <c r="AV166" i="5"/>
  <c r="AV165" i="5"/>
  <c r="AV164" i="5"/>
  <c r="AV163" i="5"/>
  <c r="AV162" i="5"/>
  <c r="AV159" i="5"/>
  <c r="AV158" i="5"/>
  <c r="AV157" i="5"/>
  <c r="AV154" i="5"/>
  <c r="AV153" i="5"/>
  <c r="AV152" i="5"/>
  <c r="AV151" i="5"/>
  <c r="AV150" i="5"/>
  <c r="AV149" i="5"/>
  <c r="AU160" i="5"/>
  <c r="AU155" i="5"/>
  <c r="AU170" i="5"/>
  <c r="AU169" i="5"/>
  <c r="AU168" i="5"/>
  <c r="AU167" i="5"/>
  <c r="AU166" i="5"/>
  <c r="AU165" i="5"/>
  <c r="AU164" i="5"/>
  <c r="AU163" i="5"/>
  <c r="AU162" i="5"/>
  <c r="AU159" i="5"/>
  <c r="AU158" i="5"/>
  <c r="AU157" i="5"/>
  <c r="AU154" i="5"/>
  <c r="AU153" i="5"/>
  <c r="AU152" i="5"/>
  <c r="AU151" i="5"/>
  <c r="AU150" i="5"/>
  <c r="AU149" i="5"/>
  <c r="AT160" i="5"/>
  <c r="AT155" i="5"/>
  <c r="AT170" i="5"/>
  <c r="AT169" i="5"/>
  <c r="AT168" i="5"/>
  <c r="AT167" i="5"/>
  <c r="AT166" i="5"/>
  <c r="AT165" i="5"/>
  <c r="AT164" i="5"/>
  <c r="AT163" i="5"/>
  <c r="AT162" i="5"/>
  <c r="AT159" i="5"/>
  <c r="AT158" i="5"/>
  <c r="AT157" i="5"/>
  <c r="AT154" i="5"/>
  <c r="AT153" i="5"/>
  <c r="AT152" i="5"/>
  <c r="AT151" i="5"/>
  <c r="AT150" i="5"/>
  <c r="AT149" i="5"/>
  <c r="AS160" i="5"/>
  <c r="AS155" i="5"/>
  <c r="AS170" i="5"/>
  <c r="AS169" i="5"/>
  <c r="AS168" i="5"/>
  <c r="AS167" i="5"/>
  <c r="AS166" i="5"/>
  <c r="AS165" i="5"/>
  <c r="AS164" i="5"/>
  <c r="AS163" i="5"/>
  <c r="AS162" i="5"/>
  <c r="AS159" i="5"/>
  <c r="AS158" i="5"/>
  <c r="AS157" i="5"/>
  <c r="AS154" i="5"/>
  <c r="AS153" i="5"/>
  <c r="AS152" i="5"/>
  <c r="AS151" i="5"/>
  <c r="AS150" i="5"/>
  <c r="AS149" i="5"/>
  <c r="AR160" i="5"/>
  <c r="AR155" i="5"/>
  <c r="AR170" i="5"/>
  <c r="AR169" i="5"/>
  <c r="AR168" i="5"/>
  <c r="AR167" i="5"/>
  <c r="AR166" i="5"/>
  <c r="AR165" i="5"/>
  <c r="AR164" i="5"/>
  <c r="AR163" i="5"/>
  <c r="AR162" i="5"/>
  <c r="AR159" i="5"/>
  <c r="AR158" i="5"/>
  <c r="AR157" i="5"/>
  <c r="AR154" i="5"/>
  <c r="AR153" i="5"/>
  <c r="AR152" i="5"/>
  <c r="AR151" i="5"/>
  <c r="AR150" i="5"/>
  <c r="AR149" i="5"/>
  <c r="AQ160" i="5"/>
  <c r="AQ155" i="5"/>
  <c r="AQ170" i="5"/>
  <c r="AQ169" i="5"/>
  <c r="AQ168" i="5"/>
  <c r="AQ167" i="5"/>
  <c r="AQ166" i="5"/>
  <c r="AQ165" i="5"/>
  <c r="AQ164" i="5"/>
  <c r="AQ163" i="5"/>
  <c r="AQ162" i="5"/>
  <c r="AQ159" i="5"/>
  <c r="AQ158" i="5"/>
  <c r="AQ157" i="5"/>
  <c r="AQ154" i="5"/>
  <c r="AQ153" i="5"/>
  <c r="AQ152" i="5"/>
  <c r="AQ151" i="5"/>
  <c r="AQ150" i="5"/>
  <c r="AQ149" i="5"/>
  <c r="AP160" i="5"/>
  <c r="AP155" i="5"/>
  <c r="AP170" i="5"/>
  <c r="AP169" i="5"/>
  <c r="AP168" i="5"/>
  <c r="AP167" i="5"/>
  <c r="AP166" i="5"/>
  <c r="AP165" i="5"/>
  <c r="AP164" i="5"/>
  <c r="AP163" i="5"/>
  <c r="AP162" i="5"/>
  <c r="AP159" i="5"/>
  <c r="AP158" i="5"/>
  <c r="AP157" i="5"/>
  <c r="AP154" i="5"/>
  <c r="AP153" i="5"/>
  <c r="AP152" i="5"/>
  <c r="AP151" i="5"/>
  <c r="AP150" i="5"/>
  <c r="AP149" i="5"/>
  <c r="AO160" i="5"/>
  <c r="AO155" i="5"/>
  <c r="AO170" i="5"/>
  <c r="AO169" i="5"/>
  <c r="AO168" i="5"/>
  <c r="AO167" i="5"/>
  <c r="AO166" i="5"/>
  <c r="AO165" i="5"/>
  <c r="AO164" i="5"/>
  <c r="AO163" i="5"/>
  <c r="AO162" i="5"/>
  <c r="AO159" i="5"/>
  <c r="AO158" i="5"/>
  <c r="AO157" i="5"/>
  <c r="AO154" i="5"/>
  <c r="AO153" i="5"/>
  <c r="AO152" i="5"/>
  <c r="AO151" i="5"/>
  <c r="AO150" i="5"/>
  <c r="AO149" i="5"/>
  <c r="AN160" i="5"/>
  <c r="AN155" i="5"/>
  <c r="AN170" i="5"/>
  <c r="AN169" i="5"/>
  <c r="AN168" i="5"/>
  <c r="AN167" i="5"/>
  <c r="AN166" i="5"/>
  <c r="AN165" i="5"/>
  <c r="AN164" i="5"/>
  <c r="AN163" i="5"/>
  <c r="AN162" i="5"/>
  <c r="AN159" i="5"/>
  <c r="AN158" i="5"/>
  <c r="AN157" i="5"/>
  <c r="AN154" i="5"/>
  <c r="AN153" i="5"/>
  <c r="AN152" i="5"/>
  <c r="AN151" i="5"/>
  <c r="AN150" i="5"/>
  <c r="AN149" i="5"/>
  <c r="AM160" i="5"/>
  <c r="AM155" i="5"/>
  <c r="AM170" i="5"/>
  <c r="AM169" i="5"/>
  <c r="AM168" i="5"/>
  <c r="AM167" i="5"/>
  <c r="AM166" i="5"/>
  <c r="AM165" i="5"/>
  <c r="AM164" i="5"/>
  <c r="AM163" i="5"/>
  <c r="AM162" i="5"/>
  <c r="AM159" i="5"/>
  <c r="AM158" i="5"/>
  <c r="AM157" i="5"/>
  <c r="AM154" i="5"/>
  <c r="AM153" i="5"/>
  <c r="AM152" i="5"/>
  <c r="AM151" i="5"/>
  <c r="AM150" i="5"/>
  <c r="AM149" i="5"/>
  <c r="AL160" i="5"/>
  <c r="AL155" i="5"/>
  <c r="AL170" i="5"/>
  <c r="AL169" i="5"/>
  <c r="AL168" i="5"/>
  <c r="AL167" i="5"/>
  <c r="AL166" i="5"/>
  <c r="AL165" i="5"/>
  <c r="AL164" i="5"/>
  <c r="AL163" i="5"/>
  <c r="AL162" i="5"/>
  <c r="AL159" i="5"/>
  <c r="AL158" i="5"/>
  <c r="AL157" i="5"/>
  <c r="AL154" i="5"/>
  <c r="AL153" i="5"/>
  <c r="AL152" i="5"/>
  <c r="AL151" i="5"/>
  <c r="AL150" i="5"/>
  <c r="AL149" i="5"/>
  <c r="AK160" i="5"/>
  <c r="AK155" i="5"/>
  <c r="AK170" i="5"/>
  <c r="AK169" i="5"/>
  <c r="AK168" i="5"/>
  <c r="AK167" i="5"/>
  <c r="AK166" i="5"/>
  <c r="AK165" i="5"/>
  <c r="AK164" i="5"/>
  <c r="AK163" i="5"/>
  <c r="AK162" i="5"/>
  <c r="AK159" i="5"/>
  <c r="AK158" i="5"/>
  <c r="AK157" i="5"/>
  <c r="AK154" i="5"/>
  <c r="AK153" i="5"/>
  <c r="AK152" i="5"/>
  <c r="AK151" i="5"/>
  <c r="AK150" i="5"/>
  <c r="AK149" i="5"/>
  <c r="AJ160" i="5"/>
  <c r="AJ155" i="5"/>
  <c r="AJ170" i="5"/>
  <c r="AJ169" i="5"/>
  <c r="AJ168" i="5"/>
  <c r="AJ167" i="5"/>
  <c r="AJ166" i="5"/>
  <c r="AJ165" i="5"/>
  <c r="AJ164" i="5"/>
  <c r="AJ163" i="5"/>
  <c r="AJ162" i="5"/>
  <c r="AJ159" i="5"/>
  <c r="AJ158" i="5"/>
  <c r="AJ157" i="5"/>
  <c r="AJ154" i="5"/>
  <c r="AJ153" i="5"/>
  <c r="AJ152" i="5"/>
  <c r="AJ151" i="5"/>
  <c r="AJ150" i="5"/>
  <c r="AJ149" i="5"/>
  <c r="AI160" i="5"/>
  <c r="AI155" i="5"/>
  <c r="AI170" i="5"/>
  <c r="AI169" i="5"/>
  <c r="AI168" i="5"/>
  <c r="AI167" i="5"/>
  <c r="AI166" i="5"/>
  <c r="AI165" i="5"/>
  <c r="AI164" i="5"/>
  <c r="AI163" i="5"/>
  <c r="AI162" i="5"/>
  <c r="AI159" i="5"/>
  <c r="AI158" i="5"/>
  <c r="AI157" i="5"/>
  <c r="AI154" i="5"/>
  <c r="AI153" i="5"/>
  <c r="AI152" i="5"/>
  <c r="AI151" i="5"/>
  <c r="AI150" i="5"/>
  <c r="AI149" i="5"/>
  <c r="AH160" i="5"/>
  <c r="AH155" i="5"/>
  <c r="AH170" i="5"/>
  <c r="AH169" i="5"/>
  <c r="AH168" i="5"/>
  <c r="AH167" i="5"/>
  <c r="AH166" i="5"/>
  <c r="AH165" i="5"/>
  <c r="AH164" i="5"/>
  <c r="AH163" i="5"/>
  <c r="AH162" i="5"/>
  <c r="AH159" i="5"/>
  <c r="AH158" i="5"/>
  <c r="AH157" i="5"/>
  <c r="AH154" i="5"/>
  <c r="AH153" i="5"/>
  <c r="AH152" i="5"/>
  <c r="AH151" i="5"/>
  <c r="AH150" i="5"/>
  <c r="AH149" i="5"/>
  <c r="AG160" i="5"/>
  <c r="AG155" i="5"/>
  <c r="AG170" i="5"/>
  <c r="AG169" i="5"/>
  <c r="AG168" i="5"/>
  <c r="AG167" i="5"/>
  <c r="AG166" i="5"/>
  <c r="AG165" i="5"/>
  <c r="AG164" i="5"/>
  <c r="AG163" i="5"/>
  <c r="AG162" i="5"/>
  <c r="AG159" i="5"/>
  <c r="AG158" i="5"/>
  <c r="AG157" i="5"/>
  <c r="AG154" i="5"/>
  <c r="AG153" i="5"/>
  <c r="AG152" i="5"/>
  <c r="AG151" i="5"/>
  <c r="AG150" i="5"/>
  <c r="AG149" i="5"/>
  <c r="AF160" i="5"/>
  <c r="AF155" i="5"/>
  <c r="AF170" i="5"/>
  <c r="AF169" i="5"/>
  <c r="AF168" i="5"/>
  <c r="AF167" i="5"/>
  <c r="AF166" i="5"/>
  <c r="AF165" i="5"/>
  <c r="AF164" i="5"/>
  <c r="AF163" i="5"/>
  <c r="AF162" i="5"/>
  <c r="AF159" i="5"/>
  <c r="AF158" i="5"/>
  <c r="AF157" i="5"/>
  <c r="AF154" i="5"/>
  <c r="AF153" i="5"/>
  <c r="AF152" i="5"/>
  <c r="AF151" i="5"/>
  <c r="AF150" i="5"/>
  <c r="AF149" i="5"/>
  <c r="AE160" i="5"/>
  <c r="AE155" i="5"/>
  <c r="AE170" i="5"/>
  <c r="AE169" i="5"/>
  <c r="AE168" i="5"/>
  <c r="AE167" i="5"/>
  <c r="AE166" i="5"/>
  <c r="AE165" i="5"/>
  <c r="AE164" i="5"/>
  <c r="AE163" i="5"/>
  <c r="AE162" i="5"/>
  <c r="AE159" i="5"/>
  <c r="AE158" i="5"/>
  <c r="AE157" i="5"/>
  <c r="AE154" i="5"/>
  <c r="AE153" i="5"/>
  <c r="AE152" i="5"/>
  <c r="AE151" i="5"/>
  <c r="AE150" i="5"/>
  <c r="AE149" i="5"/>
  <c r="AD160" i="5"/>
  <c r="AD155" i="5"/>
  <c r="AD170" i="5"/>
  <c r="AD169" i="5"/>
  <c r="AD168" i="5"/>
  <c r="AD167" i="5"/>
  <c r="AD166" i="5"/>
  <c r="AD165" i="5"/>
  <c r="AD164" i="5"/>
  <c r="AD163" i="5"/>
  <c r="AD162" i="5"/>
  <c r="AD159" i="5"/>
  <c r="AD158" i="5"/>
  <c r="AD157" i="5"/>
  <c r="AD154" i="5"/>
  <c r="AD153" i="5"/>
  <c r="AD152" i="5"/>
  <c r="AD151" i="5"/>
  <c r="AD150" i="5"/>
  <c r="AD149" i="5"/>
  <c r="AC160" i="5"/>
  <c r="AC155" i="5"/>
  <c r="AC170" i="5"/>
  <c r="AC169" i="5"/>
  <c r="AC168" i="5"/>
  <c r="AC167" i="5"/>
  <c r="AC166" i="5"/>
  <c r="AC165" i="5"/>
  <c r="AC164" i="5"/>
  <c r="AC163" i="5"/>
  <c r="AC162" i="5"/>
  <c r="AC159" i="5"/>
  <c r="AC158" i="5"/>
  <c r="AC157" i="5"/>
  <c r="AC154" i="5"/>
  <c r="AC153" i="5"/>
  <c r="AC152" i="5"/>
  <c r="AC151" i="5"/>
  <c r="AC150" i="5"/>
  <c r="AC149" i="5"/>
  <c r="AB160" i="5"/>
  <c r="AB155" i="5"/>
  <c r="AB170" i="5"/>
  <c r="AB169" i="5"/>
  <c r="AB168" i="5"/>
  <c r="AB167" i="5"/>
  <c r="AB166" i="5"/>
  <c r="AB165" i="5"/>
  <c r="AB164" i="5"/>
  <c r="AB163" i="5"/>
  <c r="AB162" i="5"/>
  <c r="AB159" i="5"/>
  <c r="AB158" i="5"/>
  <c r="AB157" i="5"/>
  <c r="AB154" i="5"/>
  <c r="AB153" i="5"/>
  <c r="AB152" i="5"/>
  <c r="AB151" i="5"/>
  <c r="AB150" i="5"/>
  <c r="AB149" i="5"/>
  <c r="AA160" i="5"/>
  <c r="AA155" i="5"/>
  <c r="AA170" i="5"/>
  <c r="AA169" i="5"/>
  <c r="AA168" i="5"/>
  <c r="AA167" i="5"/>
  <c r="AA166" i="5"/>
  <c r="AA165" i="5"/>
  <c r="AA164" i="5"/>
  <c r="AA163" i="5"/>
  <c r="AA162" i="5"/>
  <c r="AA159" i="5"/>
  <c r="AA158" i="5"/>
  <c r="AA157" i="5"/>
  <c r="AA154" i="5"/>
  <c r="AA153" i="5"/>
  <c r="AA152" i="5"/>
  <c r="AA151" i="5"/>
  <c r="AA150" i="5"/>
  <c r="AA149" i="5"/>
  <c r="Z160" i="5"/>
  <c r="Z155" i="5"/>
  <c r="Z170" i="5"/>
  <c r="Z169" i="5"/>
  <c r="Z168" i="5"/>
  <c r="Z167" i="5"/>
  <c r="Z166" i="5"/>
  <c r="Z165" i="5"/>
  <c r="Z164" i="5"/>
  <c r="Z163" i="5"/>
  <c r="Z162" i="5"/>
  <c r="Z159" i="5"/>
  <c r="Z158" i="5"/>
  <c r="Z157" i="5"/>
  <c r="Z154" i="5"/>
  <c r="Z153" i="5"/>
  <c r="Z152" i="5"/>
  <c r="Z151" i="5"/>
  <c r="Z150" i="5"/>
  <c r="Z149" i="5"/>
  <c r="Y160" i="5"/>
  <c r="Y155" i="5"/>
  <c r="Y170" i="5"/>
  <c r="Y169" i="5"/>
  <c r="Y168" i="5"/>
  <c r="Y167" i="5"/>
  <c r="Y166" i="5"/>
  <c r="Y165" i="5"/>
  <c r="Y164" i="5"/>
  <c r="Y163" i="5"/>
  <c r="Y162" i="5"/>
  <c r="Y159" i="5"/>
  <c r="Y158" i="5"/>
  <c r="Y157" i="5"/>
  <c r="Y154" i="5"/>
  <c r="Y153" i="5"/>
  <c r="Y152" i="5"/>
  <c r="Y151" i="5"/>
  <c r="Y150" i="5"/>
  <c r="Y149" i="5"/>
  <c r="X160" i="5"/>
  <c r="X155" i="5"/>
  <c r="X170" i="5"/>
  <c r="X169" i="5"/>
  <c r="X168" i="5"/>
  <c r="X167" i="5"/>
  <c r="X166" i="5"/>
  <c r="X165" i="5"/>
  <c r="X164" i="5"/>
  <c r="X163" i="5"/>
  <c r="X162" i="5"/>
  <c r="X159" i="5"/>
  <c r="X158" i="5"/>
  <c r="X157" i="5"/>
  <c r="X154" i="5"/>
  <c r="X153" i="5"/>
  <c r="X152" i="5"/>
  <c r="X151" i="5"/>
  <c r="X150" i="5"/>
  <c r="X149" i="5"/>
  <c r="W160" i="5"/>
  <c r="W155" i="5"/>
  <c r="W170" i="5"/>
  <c r="W169" i="5"/>
  <c r="W168" i="5"/>
  <c r="W167" i="5"/>
  <c r="W166" i="5"/>
  <c r="W165" i="5"/>
  <c r="W164" i="5"/>
  <c r="W163" i="5"/>
  <c r="W162" i="5"/>
  <c r="W159" i="5"/>
  <c r="W158" i="5"/>
  <c r="W157" i="5"/>
  <c r="W154" i="5"/>
  <c r="W153" i="5"/>
  <c r="W152" i="5"/>
  <c r="W151" i="5"/>
  <c r="W150" i="5"/>
  <c r="W149" i="5"/>
  <c r="V160" i="5"/>
  <c r="V155" i="5"/>
  <c r="V170" i="5"/>
  <c r="V169" i="5"/>
  <c r="V168" i="5"/>
  <c r="V167" i="5"/>
  <c r="V166" i="5"/>
  <c r="V165" i="5"/>
  <c r="V164" i="5"/>
  <c r="V163" i="5"/>
  <c r="V162" i="5"/>
  <c r="V159" i="5"/>
  <c r="V158" i="5"/>
  <c r="V157" i="5"/>
  <c r="V154" i="5"/>
  <c r="V153" i="5"/>
  <c r="V152" i="5"/>
  <c r="V151" i="5"/>
  <c r="V150" i="5"/>
  <c r="V149" i="5"/>
  <c r="U160" i="5"/>
  <c r="U155" i="5"/>
  <c r="U170" i="5"/>
  <c r="U169" i="5"/>
  <c r="U168" i="5"/>
  <c r="U167" i="5"/>
  <c r="U166" i="5"/>
  <c r="U165" i="5"/>
  <c r="U164" i="5"/>
  <c r="U163" i="5"/>
  <c r="U162" i="5"/>
  <c r="U159" i="5"/>
  <c r="U158" i="5"/>
  <c r="U157" i="5"/>
  <c r="U154" i="5"/>
  <c r="U153" i="5"/>
  <c r="U152" i="5"/>
  <c r="U151" i="5"/>
  <c r="U150" i="5"/>
  <c r="U149" i="5"/>
  <c r="T160" i="5"/>
  <c r="T155" i="5"/>
  <c r="T170" i="5"/>
  <c r="T169" i="5"/>
  <c r="T168" i="5"/>
  <c r="T167" i="5"/>
  <c r="T166" i="5"/>
  <c r="T165" i="5"/>
  <c r="T164" i="5"/>
  <c r="T163" i="5"/>
  <c r="T162" i="5"/>
  <c r="T159" i="5"/>
  <c r="T158" i="5"/>
  <c r="T157" i="5"/>
  <c r="T154" i="5"/>
  <c r="T153" i="5"/>
  <c r="T152" i="5"/>
  <c r="T151" i="5"/>
  <c r="T150" i="5"/>
  <c r="T149" i="5"/>
  <c r="S160" i="5"/>
  <c r="S155" i="5"/>
  <c r="S170" i="5"/>
  <c r="S169" i="5"/>
  <c r="S168" i="5"/>
  <c r="S167" i="5"/>
  <c r="S166" i="5"/>
  <c r="S165" i="5"/>
  <c r="S164" i="5"/>
  <c r="S163" i="5"/>
  <c r="S162" i="5"/>
  <c r="S159" i="5"/>
  <c r="S158" i="5"/>
  <c r="S157" i="5"/>
  <c r="S154" i="5"/>
  <c r="S153" i="5"/>
  <c r="S152" i="5"/>
  <c r="S151" i="5"/>
  <c r="S150" i="5"/>
  <c r="S149" i="5"/>
  <c r="R160" i="5"/>
  <c r="R155" i="5"/>
  <c r="R170" i="5"/>
  <c r="R169" i="5"/>
  <c r="R168" i="5"/>
  <c r="R167" i="5"/>
  <c r="R166" i="5"/>
  <c r="R165" i="5"/>
  <c r="R164" i="5"/>
  <c r="R163" i="5"/>
  <c r="R162" i="5"/>
  <c r="R159" i="5"/>
  <c r="R158" i="5"/>
  <c r="R157" i="5"/>
  <c r="R154" i="5"/>
  <c r="R153" i="5"/>
  <c r="R152" i="5"/>
  <c r="R151" i="5"/>
  <c r="R150" i="5"/>
  <c r="R149" i="5"/>
  <c r="P160" i="5"/>
  <c r="P155" i="5"/>
  <c r="P170" i="5"/>
  <c r="P169" i="5"/>
  <c r="P168" i="5"/>
  <c r="P167" i="5"/>
  <c r="P166" i="5"/>
  <c r="P165" i="5"/>
  <c r="P164" i="5"/>
  <c r="P163" i="5"/>
  <c r="P162" i="5"/>
  <c r="Q160" i="5"/>
  <c r="Q155" i="5"/>
  <c r="Q170" i="5"/>
  <c r="Q169" i="5"/>
  <c r="Q168" i="5"/>
  <c r="Q167" i="5"/>
  <c r="Q166" i="5"/>
  <c r="Q165" i="5"/>
  <c r="Q164" i="5"/>
  <c r="Q163" i="5"/>
  <c r="Q162" i="5"/>
  <c r="Q159" i="5"/>
  <c r="Q158" i="5"/>
  <c r="Q157" i="5"/>
  <c r="Q154" i="5"/>
  <c r="Q153" i="5"/>
  <c r="Q152" i="5"/>
  <c r="Q151" i="5"/>
  <c r="Q150" i="5"/>
  <c r="Q149" i="5"/>
  <c r="P159" i="5"/>
  <c r="P158" i="5"/>
  <c r="P157" i="5"/>
  <c r="P154" i="5"/>
  <c r="P153" i="5"/>
  <c r="P152" i="5"/>
  <c r="P151" i="5"/>
  <c r="P150" i="5"/>
  <c r="P149" i="5"/>
  <c r="O160" i="5"/>
  <c r="O155" i="5"/>
  <c r="O170" i="5"/>
  <c r="O169" i="5"/>
  <c r="O168" i="5"/>
  <c r="O167" i="5"/>
  <c r="O166" i="5"/>
  <c r="O165" i="5"/>
  <c r="O164" i="5"/>
  <c r="O163" i="5"/>
  <c r="O162" i="5"/>
  <c r="O159" i="5"/>
  <c r="O158" i="5"/>
  <c r="O157" i="5"/>
  <c r="O154" i="5"/>
  <c r="O153" i="5"/>
  <c r="O152" i="5"/>
  <c r="O151" i="5"/>
  <c r="O150" i="5"/>
  <c r="O149" i="5"/>
  <c r="N160" i="5"/>
  <c r="N155" i="5"/>
  <c r="N170" i="5"/>
  <c r="N169" i="5"/>
  <c r="N168" i="5"/>
  <c r="N167" i="5"/>
  <c r="N166" i="5"/>
  <c r="N165" i="5"/>
  <c r="N164" i="5"/>
  <c r="N163" i="5"/>
  <c r="N162" i="5"/>
  <c r="N159" i="5"/>
  <c r="N158" i="5"/>
  <c r="N157" i="5"/>
  <c r="N154" i="5"/>
  <c r="N153" i="5"/>
  <c r="N152" i="5"/>
  <c r="N151" i="5"/>
  <c r="N150" i="5"/>
  <c r="N149" i="5"/>
  <c r="M160" i="5"/>
  <c r="M155" i="5"/>
  <c r="M170" i="5"/>
  <c r="M169" i="5"/>
  <c r="M168" i="5"/>
  <c r="M167" i="5"/>
  <c r="M166" i="5"/>
  <c r="M165" i="5"/>
  <c r="M164" i="5"/>
  <c r="O161" i="5" l="1"/>
  <c r="U161" i="5"/>
  <c r="Y161" i="5"/>
  <c r="AE161" i="5"/>
  <c r="AK161" i="5"/>
  <c r="AO161" i="5"/>
  <c r="AU161" i="5"/>
  <c r="CI161" i="5"/>
  <c r="R161" i="5"/>
  <c r="X161" i="5"/>
  <c r="AB161" i="5"/>
  <c r="AH161" i="5"/>
  <c r="AL161" i="5"/>
  <c r="AR161" i="5"/>
  <c r="CF161" i="5"/>
  <c r="CL161" i="5"/>
  <c r="AS156" i="5"/>
  <c r="CK156" i="5"/>
  <c r="Q156" i="5"/>
  <c r="O148" i="5"/>
  <c r="O171" i="5"/>
  <c r="O156" i="5"/>
  <c r="R148" i="5"/>
  <c r="R171" i="5"/>
  <c r="R156" i="5"/>
  <c r="U148" i="5"/>
  <c r="U171" i="5"/>
  <c r="U156" i="5"/>
  <c r="X148" i="5"/>
  <c r="X171" i="5"/>
  <c r="X156" i="5"/>
  <c r="AA148" i="5"/>
  <c r="AA171" i="5"/>
  <c r="AA156" i="5"/>
  <c r="AD148" i="5"/>
  <c r="AD171" i="5"/>
  <c r="AD156" i="5"/>
  <c r="AG148" i="5"/>
  <c r="AG171" i="5"/>
  <c r="AG156" i="5"/>
  <c r="AJ148" i="5"/>
  <c r="AJ171" i="5"/>
  <c r="AJ156" i="5"/>
  <c r="AM148" i="5"/>
  <c r="AM171" i="5"/>
  <c r="AM156" i="5"/>
  <c r="AP148" i="5"/>
  <c r="AP171" i="5"/>
  <c r="AP156" i="5"/>
  <c r="AS148" i="5"/>
  <c r="AS171" i="5"/>
  <c r="AV148" i="5"/>
  <c r="AV171" i="5"/>
  <c r="AV156" i="5"/>
  <c r="CG148" i="5"/>
  <c r="CG171" i="5"/>
  <c r="CG156" i="5"/>
  <c r="CJ148" i="5"/>
  <c r="CJ171" i="5"/>
  <c r="CJ156" i="5"/>
  <c r="CM171" i="5"/>
  <c r="CM148" i="5"/>
  <c r="CM156" i="5"/>
  <c r="N161" i="5"/>
  <c r="P161" i="5"/>
  <c r="T161" i="5"/>
  <c r="W161" i="5"/>
  <c r="Z161" i="5"/>
  <c r="AC161" i="5"/>
  <c r="AF161" i="5"/>
  <c r="AI161" i="5"/>
  <c r="P148" i="5"/>
  <c r="P171" i="5"/>
  <c r="P156" i="5"/>
  <c r="Q161" i="5"/>
  <c r="S171" i="5"/>
  <c r="S148" i="5"/>
  <c r="S156" i="5"/>
  <c r="V148" i="5"/>
  <c r="V171" i="5"/>
  <c r="V156" i="5"/>
  <c r="Y171" i="5"/>
  <c r="Y148" i="5"/>
  <c r="Y156" i="5"/>
  <c r="AB148" i="5"/>
  <c r="AB171" i="5"/>
  <c r="AB156" i="5"/>
  <c r="AE148" i="5"/>
  <c r="AE171" i="5"/>
  <c r="AE156" i="5"/>
  <c r="AH148" i="5"/>
  <c r="AH171" i="5"/>
  <c r="AH156" i="5"/>
  <c r="AK148" i="5"/>
  <c r="AK171" i="5"/>
  <c r="AK156" i="5"/>
  <c r="AN148" i="5"/>
  <c r="AN171" i="5"/>
  <c r="AN156" i="5"/>
  <c r="AQ171" i="5"/>
  <c r="AQ148" i="5"/>
  <c r="AQ156" i="5"/>
  <c r="AT148" i="5"/>
  <c r="AT171" i="5"/>
  <c r="AT156" i="5"/>
  <c r="AW148" i="5"/>
  <c r="AW171" i="5"/>
  <c r="AW156" i="5"/>
  <c r="CH171" i="5"/>
  <c r="CH148" i="5"/>
  <c r="CH156" i="5"/>
  <c r="CK148" i="5"/>
  <c r="CK171" i="5"/>
  <c r="AA161" i="5"/>
  <c r="AD161" i="5"/>
  <c r="AG161" i="5"/>
  <c r="AJ161" i="5"/>
  <c r="AM161" i="5"/>
  <c r="AP161" i="5"/>
  <c r="AS161" i="5"/>
  <c r="AV161" i="5"/>
  <c r="CG161" i="5"/>
  <c r="CJ161" i="5"/>
  <c r="CM161" i="5"/>
  <c r="N171" i="5"/>
  <c r="N148" i="5"/>
  <c r="N156" i="5"/>
  <c r="T171" i="5"/>
  <c r="T148" i="5"/>
  <c r="T156" i="5"/>
  <c r="W148" i="5"/>
  <c r="W171" i="5"/>
  <c r="W156" i="5"/>
  <c r="Z171" i="5"/>
  <c r="Z148" i="5"/>
  <c r="Z156" i="5"/>
  <c r="AC148" i="5"/>
  <c r="AC171" i="5"/>
  <c r="AC156" i="5"/>
  <c r="AF171" i="5"/>
  <c r="AF148" i="5"/>
  <c r="AF156" i="5"/>
  <c r="AI148" i="5"/>
  <c r="AI171" i="5"/>
  <c r="AI156" i="5"/>
  <c r="AL171" i="5"/>
  <c r="AL148" i="5"/>
  <c r="AL156" i="5"/>
  <c r="AO148" i="5"/>
  <c r="AO171" i="5"/>
  <c r="AO156" i="5"/>
  <c r="AR171" i="5"/>
  <c r="AR148" i="5"/>
  <c r="AR156" i="5"/>
  <c r="AU148" i="5"/>
  <c r="AU171" i="5"/>
  <c r="AU156" i="5"/>
  <c r="CF148" i="5"/>
  <c r="CF171" i="5"/>
  <c r="CF156" i="5"/>
  <c r="CI148" i="5"/>
  <c r="CI171" i="5"/>
  <c r="CI156" i="5"/>
  <c r="AU143" i="6"/>
  <c r="AU149" i="6"/>
  <c r="AU155" i="6"/>
  <c r="AV139" i="6"/>
  <c r="AX139" i="6" s="1"/>
  <c r="CL148" i="5"/>
  <c r="CL171" i="5"/>
  <c r="AV145" i="6"/>
  <c r="AX145" i="6" s="1"/>
  <c r="CL156" i="5"/>
  <c r="AV151" i="6"/>
  <c r="AX151" i="6" s="1"/>
  <c r="Q148" i="5"/>
  <c r="Q171" i="5"/>
  <c r="S161" i="5"/>
  <c r="V161" i="5"/>
  <c r="AN161" i="5"/>
  <c r="AQ161" i="5"/>
  <c r="AT161" i="5"/>
  <c r="AW161" i="5"/>
  <c r="CH161" i="5"/>
  <c r="CK161" i="5"/>
  <c r="AV157" i="6"/>
  <c r="AX157" i="6" s="1"/>
  <c r="N143" i="6"/>
  <c r="N149" i="6"/>
  <c r="N155" i="6"/>
  <c r="O139" i="6"/>
  <c r="O145" i="6"/>
  <c r="O151" i="6"/>
  <c r="O157" i="6"/>
  <c r="Q143" i="6"/>
  <c r="Q149" i="6"/>
  <c r="Q155" i="6"/>
  <c r="R139" i="6"/>
  <c r="R145" i="6"/>
  <c r="R151" i="6"/>
  <c r="R157" i="6"/>
  <c r="T143" i="6"/>
  <c r="T149" i="6"/>
  <c r="T155" i="6"/>
  <c r="U139" i="6"/>
  <c r="U145" i="6"/>
  <c r="U151" i="6"/>
  <c r="U157" i="6"/>
  <c r="W143" i="6"/>
  <c r="W149" i="6"/>
  <c r="W155" i="6"/>
  <c r="X139" i="6"/>
  <c r="X145" i="6"/>
  <c r="X151" i="6"/>
  <c r="X157" i="6"/>
  <c r="Z143" i="6"/>
  <c r="Z149" i="6"/>
  <c r="Z155" i="6"/>
  <c r="AA139" i="6"/>
  <c r="AA145" i="6"/>
  <c r="AA151" i="6"/>
  <c r="AA157" i="6"/>
  <c r="AS141" i="6"/>
  <c r="AS147" i="6"/>
  <c r="AS153" i="6"/>
  <c r="K142" i="6"/>
  <c r="L139" i="6"/>
  <c r="L145" i="6"/>
  <c r="L151" i="6"/>
  <c r="L157" i="6"/>
  <c r="AU145" i="6"/>
  <c r="L144" i="6"/>
  <c r="L150" i="6"/>
  <c r="N142" i="6"/>
  <c r="N148" i="6"/>
  <c r="N154" i="6"/>
  <c r="O144" i="6"/>
  <c r="O150" i="6"/>
  <c r="O156" i="6"/>
  <c r="Q142" i="6"/>
  <c r="Q148" i="6"/>
  <c r="Q154" i="6"/>
  <c r="R144" i="6"/>
  <c r="R150" i="6"/>
  <c r="R156" i="6"/>
  <c r="T142" i="6"/>
  <c r="T148" i="6"/>
  <c r="T154" i="6"/>
  <c r="U144" i="6"/>
  <c r="U150" i="6"/>
  <c r="U156" i="6"/>
  <c r="W142" i="6"/>
  <c r="W148" i="6"/>
  <c r="W154" i="6"/>
  <c r="X144" i="6"/>
  <c r="X150" i="6"/>
  <c r="X156" i="6"/>
  <c r="Z142" i="6"/>
  <c r="Z148" i="6"/>
  <c r="Z154" i="6"/>
  <c r="AA144" i="6"/>
  <c r="AA150" i="6"/>
  <c r="AA156" i="6"/>
  <c r="AS140" i="6"/>
  <c r="AS146" i="6"/>
  <c r="AS152" i="6"/>
  <c r="AS158" i="6"/>
  <c r="AU144" i="6"/>
  <c r="L156" i="6"/>
  <c r="AU150" i="6"/>
  <c r="AU156" i="6"/>
  <c r="AV140" i="6"/>
  <c r="AX140" i="6" s="1"/>
  <c r="Z141" i="6"/>
  <c r="Z147" i="6"/>
  <c r="Z153" i="6"/>
  <c r="AA143" i="6"/>
  <c r="AA149" i="6"/>
  <c r="AA155" i="6"/>
  <c r="AS139" i="6"/>
  <c r="AS145" i="6"/>
  <c r="AS151" i="6"/>
  <c r="AS157" i="6"/>
  <c r="R165" i="36"/>
  <c r="AU151" i="6"/>
  <c r="AV146" i="6"/>
  <c r="AX146" i="6" s="1"/>
  <c r="AU157" i="6"/>
  <c r="AV141" i="6"/>
  <c r="AX141" i="6" s="1"/>
  <c r="AV147" i="6"/>
  <c r="AX147" i="6" s="1"/>
  <c r="AV153" i="6"/>
  <c r="AX153" i="6" s="1"/>
  <c r="L143" i="6"/>
  <c r="L149" i="6"/>
  <c r="L155" i="6"/>
  <c r="N141" i="6"/>
  <c r="U143" i="6"/>
  <c r="U149" i="6"/>
  <c r="AV152" i="6"/>
  <c r="AX152" i="6" s="1"/>
  <c r="AV158" i="6"/>
  <c r="AX158" i="6" s="1"/>
  <c r="N147" i="6"/>
  <c r="N153" i="6"/>
  <c r="O143" i="6"/>
  <c r="O149" i="6"/>
  <c r="O155" i="6"/>
  <c r="Q141" i="6"/>
  <c r="R143" i="6"/>
  <c r="K146" i="6"/>
  <c r="Q147" i="6"/>
  <c r="Q153" i="6"/>
  <c r="R149" i="6"/>
  <c r="R155" i="6"/>
  <c r="T141" i="6"/>
  <c r="T147" i="6"/>
  <c r="T153" i="6"/>
  <c r="U155" i="6"/>
  <c r="W141" i="6"/>
  <c r="W147" i="6"/>
  <c r="W153" i="6"/>
  <c r="X143" i="6"/>
  <c r="X149" i="6"/>
  <c r="X155" i="6"/>
  <c r="L142" i="6"/>
  <c r="L148" i="6"/>
  <c r="L154" i="6"/>
  <c r="N140" i="6"/>
  <c r="N146" i="6"/>
  <c r="N152" i="6"/>
  <c r="N158" i="6"/>
  <c r="O142" i="6"/>
  <c r="O148" i="6"/>
  <c r="O154" i="6"/>
  <c r="Q140" i="6"/>
  <c r="Q146" i="6"/>
  <c r="Q152" i="6"/>
  <c r="Q158" i="6"/>
  <c r="R142" i="6"/>
  <c r="R148" i="6"/>
  <c r="R154" i="6"/>
  <c r="T140" i="6"/>
  <c r="T146" i="6"/>
  <c r="T152" i="6"/>
  <c r="T158" i="6"/>
  <c r="U142" i="6"/>
  <c r="U148" i="6"/>
  <c r="U154" i="6"/>
  <c r="W140" i="6"/>
  <c r="W146" i="6"/>
  <c r="W152" i="6"/>
  <c r="W158" i="6"/>
  <c r="X142" i="6"/>
  <c r="X148" i="6"/>
  <c r="X154" i="6"/>
  <c r="Z140" i="6"/>
  <c r="Z146" i="6"/>
  <c r="Z152" i="6"/>
  <c r="Z158" i="6"/>
  <c r="AA142" i="6"/>
  <c r="AA148" i="6"/>
  <c r="AA154" i="6"/>
  <c r="AS144" i="6"/>
  <c r="AS150" i="6"/>
  <c r="AS156" i="6"/>
  <c r="AU142" i="6"/>
  <c r="AU148" i="6"/>
  <c r="AU154" i="6"/>
  <c r="AV144" i="6"/>
  <c r="AX144" i="6" s="1"/>
  <c r="AV150" i="6"/>
  <c r="AX150" i="6" s="1"/>
  <c r="AV156" i="6"/>
  <c r="AX156" i="6" s="1"/>
  <c r="L140" i="6"/>
  <c r="L146" i="6"/>
  <c r="L152" i="6"/>
  <c r="L158" i="6"/>
  <c r="N144" i="6"/>
  <c r="N150" i="6"/>
  <c r="N156" i="6"/>
  <c r="O140" i="6"/>
  <c r="O146" i="6"/>
  <c r="O152" i="6"/>
  <c r="O158" i="6"/>
  <c r="Q144" i="6"/>
  <c r="Q150" i="6"/>
  <c r="Q156" i="6"/>
  <c r="R140" i="6"/>
  <c r="R146" i="6"/>
  <c r="R152" i="6"/>
  <c r="R158" i="6"/>
  <c r="T144" i="6"/>
  <c r="T150" i="6"/>
  <c r="T156" i="6"/>
  <c r="U140" i="6"/>
  <c r="U146" i="6"/>
  <c r="U152" i="6"/>
  <c r="U158" i="6"/>
  <c r="W144" i="6"/>
  <c r="W150" i="6"/>
  <c r="W156" i="6"/>
  <c r="X140" i="6"/>
  <c r="X146" i="6"/>
  <c r="X152" i="6"/>
  <c r="X158" i="6"/>
  <c r="Z144" i="6"/>
  <c r="Z150" i="6"/>
  <c r="Z156" i="6"/>
  <c r="AA140" i="6"/>
  <c r="AA146" i="6"/>
  <c r="AA152" i="6"/>
  <c r="AA158" i="6"/>
  <c r="AS142" i="6"/>
  <c r="AS148" i="6"/>
  <c r="AS154" i="6"/>
  <c r="AU140" i="6"/>
  <c r="AU146" i="6"/>
  <c r="AU152" i="6"/>
  <c r="AU158" i="6"/>
  <c r="AV142" i="6"/>
  <c r="AX142" i="6" s="1"/>
  <c r="AV148" i="6"/>
  <c r="AX148" i="6" s="1"/>
  <c r="AV154" i="6"/>
  <c r="AX154" i="6" s="1"/>
  <c r="L141" i="6"/>
  <c r="L147" i="6"/>
  <c r="L153" i="6"/>
  <c r="N139" i="6"/>
  <c r="N145" i="6"/>
  <c r="N151" i="6"/>
  <c r="N157" i="6"/>
  <c r="O141" i="6"/>
  <c r="O147" i="6"/>
  <c r="Q139" i="6"/>
  <c r="Q145" i="6"/>
  <c r="Q151" i="6"/>
  <c r="Q157" i="6"/>
  <c r="R141" i="6"/>
  <c r="R147" i="6"/>
  <c r="R153" i="6"/>
  <c r="T139" i="6"/>
  <c r="T145" i="6"/>
  <c r="T151" i="6"/>
  <c r="T157" i="6"/>
  <c r="U141" i="6"/>
  <c r="U147" i="6"/>
  <c r="U153" i="6"/>
  <c r="W145" i="6"/>
  <c r="W151" i="6"/>
  <c r="W157" i="6"/>
  <c r="X141" i="6"/>
  <c r="X147" i="6"/>
  <c r="X153" i="6"/>
  <c r="Z139" i="6"/>
  <c r="Z145" i="6"/>
  <c r="Z151" i="6"/>
  <c r="Z157" i="6"/>
  <c r="AA141" i="6"/>
  <c r="AA147" i="6"/>
  <c r="AA153" i="6"/>
  <c r="AS143" i="6"/>
  <c r="AS149" i="6"/>
  <c r="AS155" i="6"/>
  <c r="AU141" i="6"/>
  <c r="AU147" i="6"/>
  <c r="AU153" i="6"/>
  <c r="AV143" i="6"/>
  <c r="AX143" i="6" s="1"/>
  <c r="AV149" i="6"/>
  <c r="AX149" i="6" s="1"/>
  <c r="AV155" i="6"/>
  <c r="AX155" i="6" s="1"/>
  <c r="K140" i="6"/>
  <c r="K144" i="6"/>
  <c r="K148" i="6"/>
  <c r="O153" i="6"/>
  <c r="K141" i="6"/>
  <c r="K145" i="6"/>
  <c r="K152" i="6"/>
  <c r="K156" i="6"/>
  <c r="F160" i="36"/>
  <c r="J144" i="6"/>
  <c r="G160" i="36"/>
  <c r="M144" i="6"/>
  <c r="G176" i="36"/>
  <c r="M156" i="6"/>
  <c r="H156" i="36"/>
  <c r="P140" i="6"/>
  <c r="H176" i="36"/>
  <c r="P156" i="6"/>
  <c r="I159" i="36"/>
  <c r="S143" i="6"/>
  <c r="I175" i="36"/>
  <c r="S155" i="6"/>
  <c r="J159" i="36"/>
  <c r="V143" i="6"/>
  <c r="J175" i="36"/>
  <c r="V155" i="6"/>
  <c r="K170" i="36"/>
  <c r="Y150" i="6"/>
  <c r="R157" i="36"/>
  <c r="AT141" i="6"/>
  <c r="R169" i="36"/>
  <c r="AT149" i="6"/>
  <c r="F155" i="36"/>
  <c r="J139" i="6"/>
  <c r="F159" i="36"/>
  <c r="J143" i="6"/>
  <c r="F165" i="36"/>
  <c r="J147" i="6"/>
  <c r="F171" i="36"/>
  <c r="J151" i="6"/>
  <c r="F175" i="36"/>
  <c r="J155" i="6"/>
  <c r="K139" i="6"/>
  <c r="K143" i="6"/>
  <c r="K147" i="6"/>
  <c r="K151" i="6"/>
  <c r="K155" i="6"/>
  <c r="G155" i="36"/>
  <c r="M139" i="6"/>
  <c r="G159" i="36"/>
  <c r="M143" i="6"/>
  <c r="G165" i="36"/>
  <c r="M147" i="6"/>
  <c r="G171" i="36"/>
  <c r="M151" i="6"/>
  <c r="G175" i="36"/>
  <c r="M155" i="6"/>
  <c r="H155" i="36"/>
  <c r="P139" i="6"/>
  <c r="H159" i="36"/>
  <c r="P143" i="6"/>
  <c r="H165" i="36"/>
  <c r="P147" i="6"/>
  <c r="H171" i="36"/>
  <c r="P151" i="6"/>
  <c r="H175" i="36"/>
  <c r="P155" i="6"/>
  <c r="I158" i="36"/>
  <c r="S142" i="6"/>
  <c r="I164" i="36"/>
  <c r="S146" i="6"/>
  <c r="I170" i="36"/>
  <c r="S150" i="6"/>
  <c r="I174" i="36"/>
  <c r="S154" i="6"/>
  <c r="I166" i="36"/>
  <c r="S158" i="6"/>
  <c r="J158" i="36"/>
  <c r="V142" i="6"/>
  <c r="J164" i="36"/>
  <c r="V146" i="6"/>
  <c r="J170" i="36"/>
  <c r="V150" i="6"/>
  <c r="J174" i="36"/>
  <c r="V154" i="6"/>
  <c r="J166" i="36"/>
  <c r="V158" i="6"/>
  <c r="K157" i="36"/>
  <c r="Y141" i="6"/>
  <c r="K163" i="36"/>
  <c r="Y145" i="6"/>
  <c r="K169" i="36"/>
  <c r="Y149" i="6"/>
  <c r="K173" i="36"/>
  <c r="Y153" i="6"/>
  <c r="K161" i="36"/>
  <c r="Y157" i="6"/>
  <c r="R156" i="36"/>
  <c r="AT140" i="6"/>
  <c r="R160" i="36"/>
  <c r="AT144" i="6"/>
  <c r="R168" i="36"/>
  <c r="AT148" i="6"/>
  <c r="R172" i="36"/>
  <c r="AT152" i="6"/>
  <c r="R176" i="36"/>
  <c r="AT156" i="6"/>
  <c r="F172" i="36"/>
  <c r="J152" i="6"/>
  <c r="G168" i="36"/>
  <c r="M148" i="6"/>
  <c r="H168" i="36"/>
  <c r="P148" i="6"/>
  <c r="I165" i="36"/>
  <c r="S147" i="6"/>
  <c r="J165" i="36"/>
  <c r="V147" i="6"/>
  <c r="K164" i="36"/>
  <c r="Y146" i="6"/>
  <c r="K166" i="36"/>
  <c r="Y158" i="6"/>
  <c r="R163" i="36"/>
  <c r="AT145" i="6"/>
  <c r="R161" i="36"/>
  <c r="AT157" i="6"/>
  <c r="F157" i="36"/>
  <c r="J141" i="6"/>
  <c r="F163" i="36"/>
  <c r="J145" i="6"/>
  <c r="F169" i="36"/>
  <c r="J149" i="6"/>
  <c r="F173" i="36"/>
  <c r="J153" i="6"/>
  <c r="F161" i="36"/>
  <c r="J157" i="6"/>
  <c r="K149" i="6"/>
  <c r="K153" i="6"/>
  <c r="K157" i="6"/>
  <c r="G157" i="36"/>
  <c r="M141" i="6"/>
  <c r="G163" i="36"/>
  <c r="M145" i="6"/>
  <c r="G169" i="36"/>
  <c r="M149" i="6"/>
  <c r="G173" i="36"/>
  <c r="M153" i="6"/>
  <c r="G161" i="36"/>
  <c r="M157" i="6"/>
  <c r="H157" i="36"/>
  <c r="P141" i="6"/>
  <c r="H163" i="36"/>
  <c r="P145" i="6"/>
  <c r="H169" i="36"/>
  <c r="P149" i="6"/>
  <c r="H173" i="36"/>
  <c r="P153" i="6"/>
  <c r="H161" i="36"/>
  <c r="P157" i="6"/>
  <c r="I156" i="36"/>
  <c r="S140" i="6"/>
  <c r="I160" i="36"/>
  <c r="S144" i="6"/>
  <c r="I168" i="36"/>
  <c r="S148" i="6"/>
  <c r="I172" i="36"/>
  <c r="S152" i="6"/>
  <c r="I176" i="36"/>
  <c r="S156" i="6"/>
  <c r="J156" i="36"/>
  <c r="V140" i="6"/>
  <c r="J160" i="36"/>
  <c r="V144" i="6"/>
  <c r="J168" i="36"/>
  <c r="V148" i="6"/>
  <c r="J172" i="36"/>
  <c r="V152" i="6"/>
  <c r="J176" i="36"/>
  <c r="V156" i="6"/>
  <c r="K155" i="36"/>
  <c r="Y139" i="6"/>
  <c r="K159" i="36"/>
  <c r="Y143" i="6"/>
  <c r="K165" i="36"/>
  <c r="Y147" i="6"/>
  <c r="K171" i="36"/>
  <c r="Y151" i="6"/>
  <c r="K175" i="36"/>
  <c r="Y155" i="6"/>
  <c r="R158" i="36"/>
  <c r="AT142" i="6"/>
  <c r="R164" i="36"/>
  <c r="AT146" i="6"/>
  <c r="R170" i="36"/>
  <c r="AT150" i="6"/>
  <c r="R174" i="36"/>
  <c r="AT154" i="6"/>
  <c r="R166" i="36"/>
  <c r="AT158" i="6"/>
  <c r="F156" i="36"/>
  <c r="J140" i="6"/>
  <c r="F168" i="36"/>
  <c r="J148" i="6"/>
  <c r="F176" i="36"/>
  <c r="J156" i="6"/>
  <c r="G156" i="36"/>
  <c r="M140" i="6"/>
  <c r="G172" i="36"/>
  <c r="M152" i="6"/>
  <c r="H160" i="36"/>
  <c r="P144" i="6"/>
  <c r="H172" i="36"/>
  <c r="P152" i="6"/>
  <c r="I155" i="36"/>
  <c r="S139" i="6"/>
  <c r="I171" i="36"/>
  <c r="S151" i="6"/>
  <c r="J155" i="36"/>
  <c r="V139" i="6"/>
  <c r="J171" i="36"/>
  <c r="V151" i="6"/>
  <c r="W139" i="6"/>
  <c r="K158" i="36"/>
  <c r="Y142" i="6"/>
  <c r="K174" i="36"/>
  <c r="Y154" i="6"/>
  <c r="R173" i="36"/>
  <c r="AT153" i="6"/>
  <c r="F158" i="36"/>
  <c r="J142" i="6"/>
  <c r="F164" i="36"/>
  <c r="J146" i="6"/>
  <c r="F170" i="36"/>
  <c r="J150" i="6"/>
  <c r="F174" i="36"/>
  <c r="J154" i="6"/>
  <c r="F166" i="36"/>
  <c r="J158" i="6"/>
  <c r="K150" i="6"/>
  <c r="K154" i="6"/>
  <c r="K158" i="6"/>
  <c r="G158" i="36"/>
  <c r="M142" i="6"/>
  <c r="G164" i="36"/>
  <c r="M146" i="6"/>
  <c r="G170" i="36"/>
  <c r="M150" i="6"/>
  <c r="G174" i="36"/>
  <c r="M154" i="6"/>
  <c r="G166" i="36"/>
  <c r="M158" i="6"/>
  <c r="H158" i="36"/>
  <c r="P142" i="6"/>
  <c r="H164" i="36"/>
  <c r="P146" i="6"/>
  <c r="H170" i="36"/>
  <c r="P150" i="6"/>
  <c r="H174" i="36"/>
  <c r="P154" i="6"/>
  <c r="H166" i="36"/>
  <c r="P158" i="6"/>
  <c r="I157" i="36"/>
  <c r="S141" i="6"/>
  <c r="I163" i="36"/>
  <c r="S145" i="6"/>
  <c r="I169" i="36"/>
  <c r="S149" i="6"/>
  <c r="I173" i="36"/>
  <c r="S153" i="6"/>
  <c r="I161" i="36"/>
  <c r="S157" i="6"/>
  <c r="J157" i="36"/>
  <c r="V141" i="6"/>
  <c r="J163" i="36"/>
  <c r="V145" i="6"/>
  <c r="J169" i="36"/>
  <c r="V149" i="6"/>
  <c r="J173" i="36"/>
  <c r="V153" i="6"/>
  <c r="J161" i="36"/>
  <c r="V157" i="6"/>
  <c r="K156" i="36"/>
  <c r="Y140" i="6"/>
  <c r="K160" i="36"/>
  <c r="Y144" i="6"/>
  <c r="K168" i="36"/>
  <c r="Y148" i="6"/>
  <c r="K172" i="36"/>
  <c r="Y152" i="6"/>
  <c r="K176" i="36"/>
  <c r="Y156" i="6"/>
  <c r="R155" i="36"/>
  <c r="AT139" i="6"/>
  <c r="R159" i="36"/>
  <c r="AT143" i="6"/>
  <c r="AT147" i="6"/>
  <c r="R171" i="36"/>
  <c r="AT151" i="6"/>
  <c r="R175" i="36"/>
  <c r="AT155" i="6"/>
  <c r="AU139" i="6"/>
  <c r="J162" i="36" l="1"/>
  <c r="I162" i="36"/>
  <c r="R154" i="36"/>
  <c r="F162" i="36"/>
  <c r="R162" i="36"/>
  <c r="G167" i="36"/>
  <c r="J154" i="36"/>
  <c r="I167" i="36"/>
  <c r="H162" i="36"/>
  <c r="R167" i="36"/>
  <c r="K162" i="36"/>
  <c r="G154" i="36"/>
  <c r="K154" i="36"/>
  <c r="J167" i="36"/>
  <c r="H167" i="36"/>
  <c r="H154" i="36"/>
  <c r="K167" i="36"/>
  <c r="I154" i="36"/>
  <c r="F167" i="36"/>
  <c r="G162" i="36"/>
  <c r="F154" i="36"/>
  <c r="AV159" i="6"/>
  <c r="AX159" i="6" s="1"/>
  <c r="U159" i="6"/>
  <c r="R159" i="6"/>
  <c r="N159" i="6"/>
  <c r="Z159" i="6"/>
  <c r="X159" i="6"/>
  <c r="O159" i="6"/>
  <c r="Q159" i="6"/>
  <c r="T159" i="6"/>
  <c r="K159" i="6"/>
  <c r="AU159" i="6"/>
  <c r="AS159" i="6"/>
  <c r="K177" i="36"/>
  <c r="Y159" i="6"/>
  <c r="F177" i="36"/>
  <c r="J159" i="6"/>
  <c r="I177" i="36"/>
  <c r="S159" i="6"/>
  <c r="L159" i="6"/>
  <c r="J177" i="36"/>
  <c r="V159" i="6"/>
  <c r="G177" i="36"/>
  <c r="M159" i="6"/>
  <c r="R177" i="36"/>
  <c r="AT159" i="6"/>
  <c r="H177" i="36"/>
  <c r="P159" i="6"/>
  <c r="W159" i="6"/>
  <c r="M163" i="5"/>
  <c r="M162" i="5"/>
  <c r="M159" i="5"/>
  <c r="M158" i="5"/>
  <c r="M157" i="5"/>
  <c r="M156" i="5" s="1"/>
  <c r="M154" i="5"/>
  <c r="M153" i="5"/>
  <c r="M152" i="5"/>
  <c r="M151" i="5"/>
  <c r="M150" i="5"/>
  <c r="M149" i="5"/>
  <c r="L160" i="5"/>
  <c r="I158" i="6" s="1"/>
  <c r="L155" i="5"/>
  <c r="I157" i="6" s="1"/>
  <c r="L170" i="5"/>
  <c r="I156" i="6" s="1"/>
  <c r="L169" i="5"/>
  <c r="I155" i="6" s="1"/>
  <c r="L168" i="5"/>
  <c r="I154" i="6" s="1"/>
  <c r="L167" i="5"/>
  <c r="I153" i="6" s="1"/>
  <c r="L166" i="5"/>
  <c r="I152" i="6" s="1"/>
  <c r="L165" i="5"/>
  <c r="I151" i="6" s="1"/>
  <c r="L164" i="5"/>
  <c r="I150" i="6" s="1"/>
  <c r="L163" i="5"/>
  <c r="L162" i="5"/>
  <c r="L159" i="5"/>
  <c r="L158" i="5"/>
  <c r="L157" i="5"/>
  <c r="L154" i="5"/>
  <c r="L153" i="5"/>
  <c r="L152" i="5"/>
  <c r="L151" i="5"/>
  <c r="L150" i="5"/>
  <c r="L149" i="5"/>
  <c r="K160" i="5"/>
  <c r="K155" i="5"/>
  <c r="K170" i="5"/>
  <c r="K169" i="5"/>
  <c r="K168" i="5"/>
  <c r="K167" i="5"/>
  <c r="K166" i="5"/>
  <c r="K165" i="5"/>
  <c r="K164" i="5"/>
  <c r="K163" i="5"/>
  <c r="K162" i="5"/>
  <c r="K159" i="5"/>
  <c r="K158" i="5"/>
  <c r="K157" i="5"/>
  <c r="K154" i="5"/>
  <c r="K153" i="5"/>
  <c r="K152" i="5"/>
  <c r="K151" i="5"/>
  <c r="K150" i="5"/>
  <c r="K149" i="5"/>
  <c r="J160" i="5"/>
  <c r="J155" i="5"/>
  <c r="J170" i="5"/>
  <c r="J169" i="5"/>
  <c r="J168" i="5"/>
  <c r="J167" i="5"/>
  <c r="J166" i="5"/>
  <c r="J165" i="5"/>
  <c r="J164" i="5"/>
  <c r="J163" i="5"/>
  <c r="J162" i="5"/>
  <c r="J159" i="5"/>
  <c r="J158" i="5"/>
  <c r="J157" i="5"/>
  <c r="J154" i="5"/>
  <c r="J153" i="5"/>
  <c r="J152" i="5"/>
  <c r="J151" i="5"/>
  <c r="J150" i="5"/>
  <c r="J149" i="5"/>
  <c r="I160" i="5"/>
  <c r="I155" i="5"/>
  <c r="I170" i="5"/>
  <c r="I169" i="5"/>
  <c r="I168" i="5"/>
  <c r="I167" i="5"/>
  <c r="I166" i="5"/>
  <c r="I165" i="5"/>
  <c r="I164" i="5"/>
  <c r="I163" i="5"/>
  <c r="I162" i="5"/>
  <c r="I159" i="5"/>
  <c r="I158" i="5"/>
  <c r="I157" i="5"/>
  <c r="I156" i="5" s="1"/>
  <c r="I154" i="5"/>
  <c r="I153" i="5"/>
  <c r="I152" i="5"/>
  <c r="I151" i="5"/>
  <c r="I150" i="5"/>
  <c r="I149" i="5"/>
  <c r="H157" i="5"/>
  <c r="H155" i="5"/>
  <c r="H160" i="5"/>
  <c r="H170" i="5"/>
  <c r="H169" i="5"/>
  <c r="H168" i="5"/>
  <c r="H167" i="5"/>
  <c r="H166" i="5"/>
  <c r="H165" i="5"/>
  <c r="H164" i="5"/>
  <c r="H163" i="5"/>
  <c r="H158" i="5"/>
  <c r="H162" i="5"/>
  <c r="H159" i="5"/>
  <c r="H154" i="5"/>
  <c r="H153" i="5"/>
  <c r="H152" i="5"/>
  <c r="H151" i="5"/>
  <c r="H150" i="5"/>
  <c r="H149" i="5"/>
  <c r="G160" i="5"/>
  <c r="G155" i="5"/>
  <c r="G170" i="5"/>
  <c r="G169" i="5"/>
  <c r="G168" i="5"/>
  <c r="G167" i="5"/>
  <c r="G166" i="5"/>
  <c r="G165" i="5"/>
  <c r="G164" i="5"/>
  <c r="G163" i="5"/>
  <c r="G162" i="5"/>
  <c r="G159" i="5"/>
  <c r="G158" i="5"/>
  <c r="G157" i="5"/>
  <c r="G156" i="5" s="1"/>
  <c r="G154" i="5"/>
  <c r="G153" i="5"/>
  <c r="G152" i="5"/>
  <c r="G151" i="5"/>
  <c r="G150" i="5"/>
  <c r="G149" i="5"/>
  <c r="F160" i="5"/>
  <c r="F155" i="5"/>
  <c r="F170" i="5"/>
  <c r="F169" i="5"/>
  <c r="F168" i="5"/>
  <c r="F167" i="5"/>
  <c r="F166" i="5"/>
  <c r="F165" i="5"/>
  <c r="F164" i="5"/>
  <c r="F163" i="5"/>
  <c r="F162" i="5"/>
  <c r="F159" i="5"/>
  <c r="F158" i="5"/>
  <c r="F157" i="5"/>
  <c r="F154" i="5"/>
  <c r="F153" i="5"/>
  <c r="F152" i="5"/>
  <c r="F151" i="5"/>
  <c r="F150" i="5"/>
  <c r="F149" i="5"/>
  <c r="E160" i="5"/>
  <c r="E155" i="5"/>
  <c r="E170" i="5"/>
  <c r="E169" i="5"/>
  <c r="E168" i="5"/>
  <c r="E167" i="5"/>
  <c r="E166" i="5"/>
  <c r="E165" i="5"/>
  <c r="E164" i="5"/>
  <c r="E163" i="5"/>
  <c r="E162" i="5"/>
  <c r="E159" i="5"/>
  <c r="E158" i="5"/>
  <c r="E157" i="5"/>
  <c r="E154" i="5"/>
  <c r="E153" i="5"/>
  <c r="E152" i="5"/>
  <c r="E151" i="5"/>
  <c r="E150" i="5"/>
  <c r="E149" i="5"/>
  <c r="D160" i="5"/>
  <c r="D155" i="5"/>
  <c r="D170" i="5"/>
  <c r="D169" i="5"/>
  <c r="D168" i="5"/>
  <c r="D167" i="5"/>
  <c r="D166" i="5"/>
  <c r="D165" i="5"/>
  <c r="D164" i="5"/>
  <c r="D163" i="5"/>
  <c r="D162" i="5"/>
  <c r="D159" i="5"/>
  <c r="D158" i="5"/>
  <c r="D157" i="5"/>
  <c r="D154" i="5"/>
  <c r="D153" i="5"/>
  <c r="D152" i="5"/>
  <c r="D151" i="5"/>
  <c r="D150" i="5"/>
  <c r="D149" i="5"/>
  <c r="F156" i="5" l="1"/>
  <c r="J156" i="5"/>
  <c r="L156" i="5"/>
  <c r="D156" i="5"/>
  <c r="K161" i="5"/>
  <c r="D148" i="5"/>
  <c r="D171" i="5"/>
  <c r="G171" i="5"/>
  <c r="G148" i="5"/>
  <c r="J148" i="5"/>
  <c r="J171" i="5"/>
  <c r="M148" i="5"/>
  <c r="M171" i="5"/>
  <c r="I148" i="5"/>
  <c r="I171" i="5"/>
  <c r="L148" i="5"/>
  <c r="L171" i="5"/>
  <c r="E161" i="5"/>
  <c r="F161" i="5"/>
  <c r="I161" i="5"/>
  <c r="L161" i="5"/>
  <c r="F148" i="5"/>
  <c r="F171" i="5"/>
  <c r="E148" i="5"/>
  <c r="E171" i="5"/>
  <c r="E156" i="5"/>
  <c r="H171" i="5"/>
  <c r="H148" i="5"/>
  <c r="K148" i="5"/>
  <c r="K171" i="5"/>
  <c r="K156" i="5"/>
  <c r="D161" i="5"/>
  <c r="G161" i="5"/>
  <c r="H161" i="5"/>
  <c r="H156" i="5"/>
  <c r="J161" i="5"/>
  <c r="M161" i="5"/>
  <c r="E142" i="6"/>
  <c r="E148" i="6"/>
  <c r="E154" i="6"/>
  <c r="F144" i="6"/>
  <c r="F150" i="6"/>
  <c r="F156" i="6"/>
  <c r="H142" i="6"/>
  <c r="H148" i="6"/>
  <c r="H154" i="6"/>
  <c r="I144" i="6"/>
  <c r="E141" i="6"/>
  <c r="E147" i="6"/>
  <c r="E153" i="6"/>
  <c r="F143" i="6"/>
  <c r="F149" i="6"/>
  <c r="F155" i="6"/>
  <c r="H141" i="6"/>
  <c r="H147" i="6"/>
  <c r="H153" i="6"/>
  <c r="I143" i="6"/>
  <c r="I149" i="6"/>
  <c r="E146" i="6"/>
  <c r="E152" i="6"/>
  <c r="F142" i="6"/>
  <c r="F148" i="6"/>
  <c r="F154" i="6"/>
  <c r="H140" i="6"/>
  <c r="H146" i="6"/>
  <c r="H152" i="6"/>
  <c r="H158" i="6"/>
  <c r="I142" i="6"/>
  <c r="I148" i="6"/>
  <c r="E158" i="6"/>
  <c r="E139" i="6"/>
  <c r="E145" i="6"/>
  <c r="E151" i="6"/>
  <c r="E157" i="6"/>
  <c r="F141" i="6"/>
  <c r="F147" i="6"/>
  <c r="F153" i="6"/>
  <c r="H139" i="6"/>
  <c r="H145" i="6"/>
  <c r="H151" i="6"/>
  <c r="H157" i="6"/>
  <c r="I141" i="6"/>
  <c r="I147" i="6"/>
  <c r="E143" i="6"/>
  <c r="E155" i="6"/>
  <c r="F145" i="6"/>
  <c r="F151" i="6"/>
  <c r="F157" i="6"/>
  <c r="H143" i="6"/>
  <c r="H149" i="6"/>
  <c r="H155" i="6"/>
  <c r="I139" i="6"/>
  <c r="I145" i="6"/>
  <c r="E149" i="6"/>
  <c r="F139" i="6"/>
  <c r="E144" i="6"/>
  <c r="E150" i="6"/>
  <c r="E156" i="6"/>
  <c r="F140" i="6"/>
  <c r="F146" i="6"/>
  <c r="F152" i="6"/>
  <c r="F158" i="6"/>
  <c r="H144" i="6"/>
  <c r="H150" i="6"/>
  <c r="H156" i="6"/>
  <c r="I140" i="6"/>
  <c r="I146" i="6"/>
  <c r="E164" i="36"/>
  <c r="G146" i="6"/>
  <c r="E158" i="36"/>
  <c r="G142" i="6"/>
  <c r="E168" i="36"/>
  <c r="G148" i="6"/>
  <c r="E171" i="36"/>
  <c r="G151" i="6"/>
  <c r="E175" i="36"/>
  <c r="G155" i="6"/>
  <c r="E163" i="36"/>
  <c r="G145" i="6"/>
  <c r="E155" i="36"/>
  <c r="G139" i="6"/>
  <c r="E172" i="36"/>
  <c r="G152" i="6"/>
  <c r="E140" i="6"/>
  <c r="E156" i="36"/>
  <c r="G140" i="6"/>
  <c r="E160" i="36"/>
  <c r="G144" i="6"/>
  <c r="E169" i="36"/>
  <c r="G149" i="6"/>
  <c r="E173" i="36"/>
  <c r="G153" i="6"/>
  <c r="E166" i="36"/>
  <c r="G158" i="6"/>
  <c r="E159" i="36"/>
  <c r="G143" i="6"/>
  <c r="E176" i="36"/>
  <c r="G156" i="6"/>
  <c r="E157" i="36"/>
  <c r="G141" i="6"/>
  <c r="E165" i="36"/>
  <c r="G147" i="6"/>
  <c r="E170" i="36"/>
  <c r="G150" i="6"/>
  <c r="E174" i="36"/>
  <c r="G154" i="6"/>
  <c r="E161" i="36"/>
  <c r="G157" i="6"/>
  <c r="C160" i="5"/>
  <c r="C155" i="5"/>
  <c r="C170" i="5"/>
  <c r="C169" i="5"/>
  <c r="C168" i="5"/>
  <c r="C167" i="5"/>
  <c r="C166" i="5"/>
  <c r="C165" i="5"/>
  <c r="C164" i="5"/>
  <c r="C163" i="5"/>
  <c r="C162" i="5"/>
  <c r="C159" i="5"/>
  <c r="C158" i="5"/>
  <c r="C157" i="5"/>
  <c r="C154" i="5"/>
  <c r="C153" i="5"/>
  <c r="C152" i="5"/>
  <c r="C151" i="5"/>
  <c r="C150" i="5"/>
  <c r="C149" i="5"/>
  <c r="B160" i="5"/>
  <c r="B155" i="5"/>
  <c r="B170" i="5"/>
  <c r="B169" i="5"/>
  <c r="B168" i="5"/>
  <c r="B167" i="5"/>
  <c r="B166" i="5"/>
  <c r="B165" i="5"/>
  <c r="B164" i="5"/>
  <c r="B163" i="5"/>
  <c r="B162" i="5"/>
  <c r="B159" i="5"/>
  <c r="B158" i="5"/>
  <c r="B157" i="5"/>
  <c r="B154" i="5"/>
  <c r="B153" i="5"/>
  <c r="B152" i="5"/>
  <c r="B151" i="5"/>
  <c r="B150" i="5"/>
  <c r="E138" i="5"/>
  <c r="H138" i="5"/>
  <c r="I138" i="5"/>
  <c r="L138" i="5"/>
  <c r="O138" i="5"/>
  <c r="T138" i="5"/>
  <c r="U138" i="5"/>
  <c r="V138" i="5"/>
  <c r="W138" i="5"/>
  <c r="Y138" i="5"/>
  <c r="AC138" i="5"/>
  <c r="AF138" i="5"/>
  <c r="AK138" i="5"/>
  <c r="AP138" i="5"/>
  <c r="AQ138" i="5"/>
  <c r="AR138" i="5"/>
  <c r="AS138" i="5"/>
  <c r="AT138" i="5"/>
  <c r="AU138" i="5"/>
  <c r="AV138" i="5"/>
  <c r="AW138" i="5"/>
  <c r="BI138" i="5"/>
  <c r="BV138" i="5"/>
  <c r="BY138" i="5"/>
  <c r="CA138" i="5"/>
  <c r="C134" i="5"/>
  <c r="D134" i="5"/>
  <c r="E134" i="5"/>
  <c r="F134" i="5"/>
  <c r="H134" i="5"/>
  <c r="I134" i="5"/>
  <c r="J134" i="5"/>
  <c r="K134" i="5"/>
  <c r="L134" i="5"/>
  <c r="M134" i="5"/>
  <c r="O134" i="5"/>
  <c r="S134" i="5"/>
  <c r="T134" i="5"/>
  <c r="U134" i="5"/>
  <c r="V134" i="5"/>
  <c r="W134" i="5"/>
  <c r="Y134" i="5"/>
  <c r="Z134" i="5"/>
  <c r="AB134" i="5"/>
  <c r="AC134" i="5"/>
  <c r="AD134" i="5"/>
  <c r="AE134" i="5"/>
  <c r="AF134" i="5"/>
  <c r="AG134" i="5"/>
  <c r="AH134" i="5"/>
  <c r="AJ134" i="5"/>
  <c r="AK134" i="5"/>
  <c r="AL134" i="5"/>
  <c r="AM134" i="5"/>
  <c r="AN134" i="5"/>
  <c r="AP134" i="5"/>
  <c r="AQ134" i="5"/>
  <c r="AR134" i="5"/>
  <c r="AS134" i="5"/>
  <c r="AT134" i="5"/>
  <c r="AU134" i="5"/>
  <c r="AV134" i="5"/>
  <c r="AW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X134" i="5"/>
  <c r="BY134" i="5"/>
  <c r="BZ134" i="5"/>
  <c r="CA134" i="5"/>
  <c r="CB134" i="5"/>
  <c r="CC134" i="5"/>
  <c r="CD134" i="5"/>
  <c r="CE134" i="5"/>
  <c r="CF134" i="5"/>
  <c r="CG134" i="5"/>
  <c r="C133" i="5"/>
  <c r="D133" i="5"/>
  <c r="E133" i="5"/>
  <c r="H133" i="5"/>
  <c r="I133" i="5"/>
  <c r="K133" i="5"/>
  <c r="L133" i="5"/>
  <c r="O133" i="5"/>
  <c r="S133" i="5"/>
  <c r="T133" i="5"/>
  <c r="U133" i="5"/>
  <c r="V133" i="5"/>
  <c r="W133" i="5"/>
  <c r="Y133" i="5"/>
  <c r="AB133" i="5"/>
  <c r="AC133" i="5"/>
  <c r="AD133" i="5"/>
  <c r="AE133" i="5"/>
  <c r="AF133" i="5"/>
  <c r="AG133" i="5"/>
  <c r="AM133" i="5"/>
  <c r="AP133" i="5"/>
  <c r="AQ133" i="5"/>
  <c r="AR133" i="5"/>
  <c r="AS133" i="5"/>
  <c r="AT133" i="5"/>
  <c r="AU133" i="5"/>
  <c r="AV133" i="5"/>
  <c r="AW133" i="5"/>
  <c r="AZ133" i="5"/>
  <c r="BB133" i="5"/>
  <c r="BC133" i="5"/>
  <c r="BD133" i="5"/>
  <c r="BE133" i="5"/>
  <c r="BF133" i="5"/>
  <c r="BX133" i="5"/>
  <c r="BY133" i="5"/>
  <c r="BZ133" i="5"/>
  <c r="CA133" i="5"/>
  <c r="CB133" i="5"/>
  <c r="D124" i="5"/>
  <c r="E124" i="5"/>
  <c r="I124" i="5"/>
  <c r="L124" i="5"/>
  <c r="O124" i="5"/>
  <c r="T124" i="5"/>
  <c r="U124" i="5"/>
  <c r="V124" i="5"/>
  <c r="W124" i="5"/>
  <c r="Y124" i="5"/>
  <c r="AA124" i="5"/>
  <c r="AC124" i="5"/>
  <c r="AF124" i="5"/>
  <c r="AI124" i="5"/>
  <c r="AP124" i="5"/>
  <c r="AQ124" i="5"/>
  <c r="AR124" i="5"/>
  <c r="AS124" i="5"/>
  <c r="AT124" i="5"/>
  <c r="AU124" i="5"/>
  <c r="AV124" i="5"/>
  <c r="AW124" i="5"/>
  <c r="BQ124" i="5"/>
  <c r="BV124" i="5"/>
  <c r="BX124" i="5"/>
  <c r="BY124" i="5"/>
  <c r="B138" i="5"/>
  <c r="B134" i="5"/>
  <c r="B133" i="5"/>
  <c r="B124" i="5"/>
  <c r="C161" i="5" l="1"/>
  <c r="B156" i="5"/>
  <c r="B171" i="5"/>
  <c r="B148" i="5"/>
  <c r="C148" i="5"/>
  <c r="C171" i="5"/>
  <c r="D177" i="36" s="1"/>
  <c r="C156" i="5"/>
  <c r="B161" i="5"/>
  <c r="E154" i="36"/>
  <c r="E162" i="36"/>
  <c r="E167" i="36"/>
  <c r="E159" i="6"/>
  <c r="D160" i="36"/>
  <c r="C160" i="36" s="1"/>
  <c r="D144" i="6"/>
  <c r="C144" i="6" s="1"/>
  <c r="D176" i="36"/>
  <c r="C176" i="36" s="1"/>
  <c r="D156" i="6"/>
  <c r="C156" i="6" s="1"/>
  <c r="D159" i="36"/>
  <c r="C159" i="36" s="1"/>
  <c r="D143" i="6"/>
  <c r="C143" i="6" s="1"/>
  <c r="D165" i="36"/>
  <c r="C165" i="36" s="1"/>
  <c r="D147" i="6"/>
  <c r="C147" i="6" s="1"/>
  <c r="D171" i="36"/>
  <c r="C171" i="36" s="1"/>
  <c r="D151" i="6"/>
  <c r="C151" i="6" s="1"/>
  <c r="D175" i="36"/>
  <c r="C175" i="36" s="1"/>
  <c r="D155" i="6"/>
  <c r="C155" i="6" s="1"/>
  <c r="D155" i="36"/>
  <c r="D139" i="6"/>
  <c r="C139" i="6" s="1"/>
  <c r="F159" i="6"/>
  <c r="I159" i="6"/>
  <c r="D168" i="36"/>
  <c r="D148" i="6"/>
  <c r="C148" i="6" s="1"/>
  <c r="D157" i="36"/>
  <c r="C157" i="36" s="1"/>
  <c r="D141" i="6"/>
  <c r="C141" i="6" s="1"/>
  <c r="D163" i="36"/>
  <c r="D145" i="6"/>
  <c r="C145" i="6" s="1"/>
  <c r="D169" i="36"/>
  <c r="C169" i="36" s="1"/>
  <c r="D149" i="6"/>
  <c r="C149" i="6" s="1"/>
  <c r="D173" i="36"/>
  <c r="C173" i="36" s="1"/>
  <c r="D153" i="6"/>
  <c r="C153" i="6" s="1"/>
  <c r="D161" i="36"/>
  <c r="C161" i="36" s="1"/>
  <c r="D157" i="6"/>
  <c r="C157" i="6" s="1"/>
  <c r="H159" i="6"/>
  <c r="D156" i="36"/>
  <c r="C156" i="36" s="1"/>
  <c r="D140" i="6"/>
  <c r="C140" i="6" s="1"/>
  <c r="D172" i="36"/>
  <c r="C172" i="36" s="1"/>
  <c r="D152" i="6"/>
  <c r="C152" i="6" s="1"/>
  <c r="C12" i="9"/>
  <c r="D158" i="36"/>
  <c r="C158" i="36" s="1"/>
  <c r="D142" i="6"/>
  <c r="C142" i="6" s="1"/>
  <c r="D164" i="36"/>
  <c r="C164" i="36" s="1"/>
  <c r="D146" i="6"/>
  <c r="C146" i="6" s="1"/>
  <c r="D170" i="36"/>
  <c r="C170" i="36" s="1"/>
  <c r="D150" i="6"/>
  <c r="C150" i="6" s="1"/>
  <c r="D174" i="36"/>
  <c r="C174" i="36" s="1"/>
  <c r="D154" i="6"/>
  <c r="C154" i="6" s="1"/>
  <c r="D166" i="36"/>
  <c r="C166" i="36" s="1"/>
  <c r="D158" i="6"/>
  <c r="C158" i="6" s="1"/>
  <c r="E177" i="36"/>
  <c r="G159" i="6"/>
  <c r="AW21" i="5"/>
  <c r="BL87" i="4"/>
  <c r="Q16" i="5" s="1"/>
  <c r="C168" i="36" l="1"/>
  <c r="C167" i="36" s="1"/>
  <c r="D167" i="36"/>
  <c r="C155" i="36"/>
  <c r="C154" i="36" s="1"/>
  <c r="D154" i="36"/>
  <c r="C163" i="36"/>
  <c r="C162" i="36" s="1"/>
  <c r="D162" i="36"/>
  <c r="D159" i="6"/>
  <c r="C159" i="6" s="1"/>
  <c r="C177" i="36"/>
  <c r="AW76" i="5"/>
  <c r="AX149" i="5" l="1"/>
  <c r="AX150" i="5"/>
  <c r="AX151" i="5"/>
  <c r="AX152" i="5"/>
  <c r="AX153" i="5"/>
  <c r="AX154" i="5"/>
  <c r="AX157" i="5"/>
  <c r="AX158" i="5"/>
  <c r="AX159" i="5"/>
  <c r="AX162" i="5"/>
  <c r="AX163" i="5"/>
  <c r="AX164" i="5"/>
  <c r="AX165" i="5"/>
  <c r="AX166" i="5"/>
  <c r="AX167" i="5"/>
  <c r="AX168" i="5"/>
  <c r="AX169" i="5"/>
  <c r="AX170" i="5"/>
  <c r="AX155" i="5"/>
  <c r="AX160" i="5"/>
  <c r="IX100" i="1"/>
  <c r="IW100" i="1"/>
  <c r="IX173" i="1"/>
  <c r="IX128" i="1"/>
  <c r="JA128" i="1" s="1"/>
  <c r="IX127" i="1"/>
  <c r="JA127" i="1" s="1"/>
  <c r="IX126" i="1"/>
  <c r="IX125" i="1"/>
  <c r="JA125" i="1" s="1"/>
  <c r="IX124" i="1"/>
  <c r="IX162" i="1" s="1"/>
  <c r="IX123" i="1"/>
  <c r="IX161" i="1" s="1"/>
  <c r="IX122" i="1"/>
  <c r="JA122" i="1" s="1"/>
  <c r="IX121" i="1"/>
  <c r="IX120" i="1"/>
  <c r="IX158" i="1" s="1"/>
  <c r="IX119" i="1"/>
  <c r="JA119" i="1" s="1"/>
  <c r="IX118" i="1"/>
  <c r="IX112" i="1"/>
  <c r="JA112" i="1" s="1"/>
  <c r="IX111" i="1"/>
  <c r="JA111" i="1" s="1"/>
  <c r="IX110" i="1"/>
  <c r="JA110" i="1" s="1"/>
  <c r="IX109" i="1"/>
  <c r="JA109" i="1" s="1"/>
  <c r="IX108" i="1"/>
  <c r="JA108" i="1" s="1"/>
  <c r="IX107" i="1"/>
  <c r="JA107" i="1" s="1"/>
  <c r="IX106" i="1"/>
  <c r="JA106" i="1" s="1"/>
  <c r="IX105" i="1"/>
  <c r="JA105" i="1" s="1"/>
  <c r="IX104" i="1"/>
  <c r="JA104" i="1" s="1"/>
  <c r="IX103" i="1"/>
  <c r="JA103" i="1" s="1"/>
  <c r="IX102" i="1"/>
  <c r="JA102" i="1" s="1"/>
  <c r="IX101" i="1"/>
  <c r="JA101" i="1" s="1"/>
  <c r="IX99" i="1"/>
  <c r="JA99" i="1" s="1"/>
  <c r="IX97" i="1"/>
  <c r="IX96" i="1"/>
  <c r="JA96" i="1" s="1"/>
  <c r="IX95" i="1"/>
  <c r="IX94" i="1"/>
  <c r="JA94" i="1" s="1"/>
  <c r="IW128" i="1"/>
  <c r="IW127" i="1"/>
  <c r="IW126" i="1"/>
  <c r="IW125" i="1"/>
  <c r="IW124" i="1"/>
  <c r="IW123" i="1"/>
  <c r="IW122" i="1"/>
  <c r="IW121" i="1"/>
  <c r="IW159" i="1" s="1"/>
  <c r="IW120" i="1"/>
  <c r="IW119" i="1"/>
  <c r="IW118" i="1"/>
  <c r="IW112" i="1"/>
  <c r="IW111" i="1"/>
  <c r="IW110" i="1"/>
  <c r="IW109" i="1"/>
  <c r="IW108" i="1"/>
  <c r="IW107" i="1"/>
  <c r="IW106" i="1"/>
  <c r="IW105" i="1"/>
  <c r="IW104" i="1"/>
  <c r="IW103" i="1"/>
  <c r="IW102" i="1"/>
  <c r="IW101" i="1"/>
  <c r="IW99" i="1"/>
  <c r="IW97" i="1"/>
  <c r="IW96" i="1"/>
  <c r="IW95" i="1"/>
  <c r="IW94" i="1"/>
  <c r="IW143" i="1" s="1"/>
  <c r="JA40" i="1"/>
  <c r="JA33" i="1"/>
  <c r="IW51" i="1"/>
  <c r="IZ51" i="1" s="1"/>
  <c r="IX50" i="1"/>
  <c r="JA50" i="1" s="1"/>
  <c r="IW50" i="1"/>
  <c r="IW85" i="1" s="1"/>
  <c r="IX42" i="1"/>
  <c r="JA42" i="1" s="1"/>
  <c r="IW42" i="1"/>
  <c r="IX41" i="1"/>
  <c r="JA41" i="1" s="1"/>
  <c r="IW41" i="1"/>
  <c r="IW40" i="1"/>
  <c r="IZ40" i="1" s="1"/>
  <c r="IX39" i="1"/>
  <c r="JA39" i="1" s="1"/>
  <c r="IW39" i="1"/>
  <c r="IX38" i="1"/>
  <c r="IW38" i="1"/>
  <c r="IX37" i="1"/>
  <c r="IX75" i="1" s="1"/>
  <c r="IW37" i="1"/>
  <c r="IW75" i="1" s="1"/>
  <c r="IX36" i="1"/>
  <c r="IX74" i="1" s="1"/>
  <c r="IW36" i="1"/>
  <c r="IX35" i="1"/>
  <c r="IW35" i="1"/>
  <c r="IW73" i="1" s="1"/>
  <c r="IX34" i="1"/>
  <c r="IX72" i="1" s="1"/>
  <c r="IW34" i="1"/>
  <c r="IW33" i="1"/>
  <c r="IZ33" i="1" s="1"/>
  <c r="IX31" i="1"/>
  <c r="JA31" i="1" s="1"/>
  <c r="IW31" i="1"/>
  <c r="IW69" i="1" s="1"/>
  <c r="IX25" i="1"/>
  <c r="IX63" i="1" s="1"/>
  <c r="IW25" i="1"/>
  <c r="IW63" i="1" s="1"/>
  <c r="IX24" i="1"/>
  <c r="JA24" i="1" s="1"/>
  <c r="IW24" i="1"/>
  <c r="IX22" i="1"/>
  <c r="JA22" i="1" s="1"/>
  <c r="IW22" i="1"/>
  <c r="IX21" i="1"/>
  <c r="IW21" i="1"/>
  <c r="IX20" i="1"/>
  <c r="IW20" i="1"/>
  <c r="IX19" i="1"/>
  <c r="JA19" i="1" s="1"/>
  <c r="IW19" i="1"/>
  <c r="IX18" i="1"/>
  <c r="JA18" i="1" s="1"/>
  <c r="IW18" i="1"/>
  <c r="IX17" i="1"/>
  <c r="JA17" i="1" s="1"/>
  <c r="IW17" i="1"/>
  <c r="IX16" i="1"/>
  <c r="IW16" i="1"/>
  <c r="IX15" i="1"/>
  <c r="IW15" i="1"/>
  <c r="IX14" i="1"/>
  <c r="JA14" i="1" s="1"/>
  <c r="IW14" i="1"/>
  <c r="IX13" i="1"/>
  <c r="JA13" i="1" s="1"/>
  <c r="IW13" i="1"/>
  <c r="IX12" i="1"/>
  <c r="IW12" i="1"/>
  <c r="IX10" i="1"/>
  <c r="JA10" i="1" s="1"/>
  <c r="IW10" i="1"/>
  <c r="IX9" i="1"/>
  <c r="IW9" i="1"/>
  <c r="IX8" i="1"/>
  <c r="JA8" i="1" s="1"/>
  <c r="IW8" i="1"/>
  <c r="IX7" i="1"/>
  <c r="IW7" i="1"/>
  <c r="IX6" i="1"/>
  <c r="IW6" i="1"/>
  <c r="IR126" i="1"/>
  <c r="IR124" i="1"/>
  <c r="IU124" i="1" s="1"/>
  <c r="IR123" i="1"/>
  <c r="IR161" i="1" s="1"/>
  <c r="IR121" i="1"/>
  <c r="IU121" i="1" s="1"/>
  <c r="IR120" i="1"/>
  <c r="IU120" i="1" s="1"/>
  <c r="IR118" i="1"/>
  <c r="IR112" i="1"/>
  <c r="IU112" i="1" s="1"/>
  <c r="IR111" i="1"/>
  <c r="IR110" i="1"/>
  <c r="IR109" i="1"/>
  <c r="IU109" i="1" s="1"/>
  <c r="IR108" i="1"/>
  <c r="IU108" i="1" s="1"/>
  <c r="IR107" i="1"/>
  <c r="IU107" i="1" s="1"/>
  <c r="IR106" i="1"/>
  <c r="IU106" i="1" s="1"/>
  <c r="IR104" i="1"/>
  <c r="IR103" i="1"/>
  <c r="IU103" i="1" s="1"/>
  <c r="IR102" i="1"/>
  <c r="IR101" i="1"/>
  <c r="IU101" i="1" s="1"/>
  <c r="IR100" i="1"/>
  <c r="IU100" i="1" s="1"/>
  <c r="IR97" i="1"/>
  <c r="IR145" i="1" s="1"/>
  <c r="IR96" i="1"/>
  <c r="IU96" i="1" s="1"/>
  <c r="IR95" i="1"/>
  <c r="IR94" i="1"/>
  <c r="IU94" i="1" s="1"/>
  <c r="IR93" i="1"/>
  <c r="IQ173" i="1"/>
  <c r="IQ126" i="1"/>
  <c r="IQ163" i="1" s="1"/>
  <c r="IQ124" i="1"/>
  <c r="IQ162" i="1" s="1"/>
  <c r="IQ123" i="1"/>
  <c r="IQ161" i="1" s="1"/>
  <c r="IQ122" i="1"/>
  <c r="IT122" i="1" s="1"/>
  <c r="IQ121" i="1"/>
  <c r="IQ159" i="1" s="1"/>
  <c r="IQ120" i="1"/>
  <c r="IQ118" i="1"/>
  <c r="IQ156" i="1" s="1"/>
  <c r="IQ113" i="1"/>
  <c r="IQ112" i="1"/>
  <c r="IQ111" i="1"/>
  <c r="IQ110" i="1"/>
  <c r="IQ109" i="1"/>
  <c r="IQ108" i="1"/>
  <c r="IQ107" i="1"/>
  <c r="IQ106" i="1"/>
  <c r="IT106" i="1" s="1"/>
  <c r="IQ104" i="1"/>
  <c r="IT104" i="1" s="1"/>
  <c r="IQ103" i="1"/>
  <c r="IQ102" i="1"/>
  <c r="IQ101" i="1"/>
  <c r="IQ100" i="1"/>
  <c r="IT100" i="1" s="1"/>
  <c r="IQ97" i="1"/>
  <c r="IQ145" i="1" s="1"/>
  <c r="IQ96" i="1"/>
  <c r="IQ95" i="1"/>
  <c r="IQ94" i="1"/>
  <c r="IQ93" i="1"/>
  <c r="IR51" i="1"/>
  <c r="IQ51" i="1"/>
  <c r="IQ86" i="1" s="1"/>
  <c r="IR50" i="1"/>
  <c r="IU50" i="1" s="1"/>
  <c r="IQ50" i="1"/>
  <c r="IQ85" i="1" s="1"/>
  <c r="IR42" i="1"/>
  <c r="IU42" i="1" s="1"/>
  <c r="IQ42" i="1"/>
  <c r="IQ77" i="1" s="1"/>
  <c r="IR39" i="1"/>
  <c r="IU39" i="1" s="1"/>
  <c r="IQ39" i="1"/>
  <c r="IR38" i="1"/>
  <c r="IU38" i="1" s="1"/>
  <c r="IQ38" i="1"/>
  <c r="IR37" i="1"/>
  <c r="IR75" i="1" s="1"/>
  <c r="IQ37" i="1"/>
  <c r="IQ75" i="1" s="1"/>
  <c r="IR36" i="1"/>
  <c r="IQ36" i="1"/>
  <c r="IT36" i="1" s="1"/>
  <c r="IR35" i="1"/>
  <c r="IR73" i="1" s="1"/>
  <c r="IQ35" i="1"/>
  <c r="IQ73" i="1" s="1"/>
  <c r="IR34" i="1"/>
  <c r="IR72" i="1" s="1"/>
  <c r="IQ34" i="1"/>
  <c r="IQ72" i="1" s="1"/>
  <c r="IR31" i="1"/>
  <c r="IR69" i="1" s="1"/>
  <c r="IQ31" i="1"/>
  <c r="IQ69" i="1" s="1"/>
  <c r="IR26" i="1"/>
  <c r="IR64" i="1" s="1"/>
  <c r="IQ26" i="1"/>
  <c r="IR25" i="1"/>
  <c r="IR63" i="1" s="1"/>
  <c r="IQ25" i="1"/>
  <c r="IQ63" i="1" s="1"/>
  <c r="IR24" i="1"/>
  <c r="IQ24" i="1"/>
  <c r="IR22" i="1"/>
  <c r="IR62" i="1" s="1"/>
  <c r="IQ22" i="1"/>
  <c r="IR20" i="1"/>
  <c r="IQ20" i="1"/>
  <c r="IT20" i="1" s="1"/>
  <c r="IR18" i="1"/>
  <c r="IQ18" i="1"/>
  <c r="IR17" i="1"/>
  <c r="IQ17" i="1"/>
  <c r="IR16" i="1"/>
  <c r="IQ16" i="1"/>
  <c r="IR15" i="1"/>
  <c r="IQ15" i="1"/>
  <c r="IR14" i="1"/>
  <c r="IQ14" i="1"/>
  <c r="IR13" i="1"/>
  <c r="IU13" i="1" s="1"/>
  <c r="IQ13" i="1"/>
  <c r="IR10" i="1"/>
  <c r="IU10" i="1" s="1"/>
  <c r="IQ10" i="1"/>
  <c r="IQ58" i="1" s="1"/>
  <c r="IR9" i="1"/>
  <c r="IU9" i="1" s="1"/>
  <c r="IQ9" i="1"/>
  <c r="IQ57" i="1" s="1"/>
  <c r="IR7" i="1"/>
  <c r="IU7" i="1" s="1"/>
  <c r="IQ7" i="1"/>
  <c r="IS6" i="1"/>
  <c r="IR6" i="1"/>
  <c r="IQ6" i="1"/>
  <c r="IL50" i="1"/>
  <c r="IL42" i="1"/>
  <c r="IK42" i="1"/>
  <c r="JQ173" i="1"/>
  <c r="JP173" i="1"/>
  <c r="JO173" i="1"/>
  <c r="JQ172" i="1"/>
  <c r="JP172" i="1"/>
  <c r="JO172" i="1"/>
  <c r="JQ164" i="1"/>
  <c r="JP164" i="1"/>
  <c r="JO164" i="1"/>
  <c r="JQ163" i="1"/>
  <c r="JP163" i="1"/>
  <c r="JO163" i="1"/>
  <c r="JQ162" i="1"/>
  <c r="JP162" i="1"/>
  <c r="JO162" i="1"/>
  <c r="JQ161" i="1"/>
  <c r="JP161" i="1"/>
  <c r="JO161" i="1"/>
  <c r="JQ160" i="1"/>
  <c r="JP160" i="1"/>
  <c r="JO160" i="1"/>
  <c r="JQ159" i="1"/>
  <c r="JP159" i="1"/>
  <c r="JO159" i="1"/>
  <c r="JQ158" i="1"/>
  <c r="JP158" i="1"/>
  <c r="JO158" i="1"/>
  <c r="JR158" i="1" s="1"/>
  <c r="CO49" i="5" s="1"/>
  <c r="JQ157" i="1"/>
  <c r="JP157" i="1"/>
  <c r="JO157" i="1"/>
  <c r="JQ156" i="1"/>
  <c r="JP156" i="1"/>
  <c r="JO156" i="1"/>
  <c r="JQ151" i="1"/>
  <c r="JP151" i="1"/>
  <c r="JO151" i="1"/>
  <c r="JQ150" i="1"/>
  <c r="JP150" i="1"/>
  <c r="JO150" i="1"/>
  <c r="JQ149" i="1"/>
  <c r="JP149" i="1"/>
  <c r="JO149" i="1"/>
  <c r="JR149" i="1" s="1"/>
  <c r="JQ148" i="1"/>
  <c r="JP148" i="1"/>
  <c r="JO148" i="1"/>
  <c r="JQ147" i="1"/>
  <c r="JP147" i="1"/>
  <c r="JO147" i="1"/>
  <c r="JQ146" i="1"/>
  <c r="JP146" i="1"/>
  <c r="JO146" i="1"/>
  <c r="JQ145" i="1"/>
  <c r="JP145" i="1"/>
  <c r="JO145" i="1"/>
  <c r="JQ144" i="1"/>
  <c r="JP144" i="1"/>
  <c r="JO144" i="1"/>
  <c r="JQ143" i="1"/>
  <c r="JP143" i="1"/>
  <c r="JO143" i="1"/>
  <c r="JS126" i="1"/>
  <c r="JR126" i="1"/>
  <c r="JS124" i="1"/>
  <c r="JR124" i="1"/>
  <c r="JS123" i="1"/>
  <c r="JR123" i="1"/>
  <c r="JS122" i="1"/>
  <c r="JR122" i="1"/>
  <c r="JS121" i="1"/>
  <c r="JR121" i="1"/>
  <c r="JS112" i="1"/>
  <c r="JR112" i="1"/>
  <c r="JS107" i="1"/>
  <c r="JR107" i="1"/>
  <c r="JS104" i="1"/>
  <c r="JR104" i="1"/>
  <c r="JS102" i="1"/>
  <c r="JR102" i="1"/>
  <c r="JS101" i="1"/>
  <c r="JR101" i="1"/>
  <c r="JS100" i="1"/>
  <c r="JR100" i="1"/>
  <c r="JS97" i="1"/>
  <c r="JR97" i="1"/>
  <c r="JS96" i="1"/>
  <c r="JR96" i="1"/>
  <c r="JS94" i="1"/>
  <c r="JR94" i="1"/>
  <c r="JS93" i="1"/>
  <c r="JR93" i="1"/>
  <c r="JQ86" i="1"/>
  <c r="JP86" i="1"/>
  <c r="JO86" i="1"/>
  <c r="JQ85" i="1"/>
  <c r="JP85" i="1"/>
  <c r="JO85" i="1"/>
  <c r="JP77" i="1"/>
  <c r="JO77" i="1"/>
  <c r="JQ76" i="1"/>
  <c r="JP76" i="1"/>
  <c r="JO76" i="1"/>
  <c r="JQ75" i="1"/>
  <c r="JP75" i="1"/>
  <c r="JO75" i="1"/>
  <c r="JQ74" i="1"/>
  <c r="JP74" i="1"/>
  <c r="JO74" i="1"/>
  <c r="JQ73" i="1"/>
  <c r="JP73" i="1"/>
  <c r="JO73" i="1"/>
  <c r="JQ72" i="1"/>
  <c r="JP72" i="1"/>
  <c r="JO72" i="1"/>
  <c r="JQ71" i="1"/>
  <c r="JP71" i="1"/>
  <c r="JO71" i="1"/>
  <c r="JQ70" i="1"/>
  <c r="JP70" i="1"/>
  <c r="JO70" i="1"/>
  <c r="JQ69" i="1"/>
  <c r="JP69" i="1"/>
  <c r="JO69" i="1"/>
  <c r="JQ64" i="1"/>
  <c r="JP64" i="1"/>
  <c r="JO64" i="1"/>
  <c r="JQ63" i="1"/>
  <c r="JP63" i="1"/>
  <c r="JO63" i="1"/>
  <c r="JR62" i="1"/>
  <c r="CN42" i="5" s="1"/>
  <c r="JR61" i="1"/>
  <c r="CN39" i="5" s="1"/>
  <c r="JS61" i="1"/>
  <c r="JS60" i="1"/>
  <c r="JR60" i="1"/>
  <c r="CN38" i="5" s="1"/>
  <c r="CN124" i="5" s="1"/>
  <c r="JS59" i="1"/>
  <c r="JR59" i="1"/>
  <c r="CN37" i="5" s="1"/>
  <c r="JR58" i="1"/>
  <c r="CN36" i="5" s="1"/>
  <c r="JR57" i="1"/>
  <c r="CN35" i="5" s="1"/>
  <c r="JS57" i="1"/>
  <c r="JS56" i="1"/>
  <c r="CN34" i="5"/>
  <c r="JS51" i="1"/>
  <c r="JR51" i="1"/>
  <c r="JS50" i="1"/>
  <c r="JR50" i="1"/>
  <c r="JS41" i="1"/>
  <c r="JR41" i="1"/>
  <c r="JS39" i="1"/>
  <c r="JR39" i="1"/>
  <c r="JS37" i="1"/>
  <c r="JR37" i="1"/>
  <c r="JS36" i="1"/>
  <c r="JR36" i="1"/>
  <c r="JS35" i="1"/>
  <c r="JR35" i="1"/>
  <c r="JS34" i="1"/>
  <c r="JR34" i="1"/>
  <c r="JS31" i="1"/>
  <c r="JR31" i="1"/>
  <c r="JR26" i="1"/>
  <c r="JS25" i="1"/>
  <c r="JR25" i="1"/>
  <c r="JS24" i="1"/>
  <c r="JR24" i="1"/>
  <c r="JS22" i="1"/>
  <c r="JR22" i="1"/>
  <c r="JS20" i="1"/>
  <c r="JR20" i="1"/>
  <c r="JS18" i="1"/>
  <c r="JR18" i="1"/>
  <c r="JS17" i="1"/>
  <c r="JR17" i="1"/>
  <c r="JS15" i="1"/>
  <c r="JR15" i="1"/>
  <c r="JS14" i="1"/>
  <c r="JR14" i="1"/>
  <c r="JS13" i="1"/>
  <c r="JR13" i="1"/>
  <c r="JS12" i="1"/>
  <c r="JR12" i="1"/>
  <c r="JS10" i="1"/>
  <c r="JR10" i="1"/>
  <c r="JS8" i="1"/>
  <c r="JS7" i="1"/>
  <c r="JR7" i="1"/>
  <c r="JS6" i="1"/>
  <c r="JR6" i="1"/>
  <c r="JK173" i="1"/>
  <c r="JJ173" i="1"/>
  <c r="JK172" i="1"/>
  <c r="JK164" i="1"/>
  <c r="JK163" i="1"/>
  <c r="JK162" i="1"/>
  <c r="JJ162" i="1"/>
  <c r="JK161" i="1"/>
  <c r="JK160" i="1"/>
  <c r="JK159" i="1"/>
  <c r="JK158" i="1"/>
  <c r="JJ158" i="1"/>
  <c r="JI158" i="1"/>
  <c r="JK157" i="1"/>
  <c r="JJ157" i="1"/>
  <c r="JI157" i="1"/>
  <c r="JK156" i="1"/>
  <c r="JK151" i="1"/>
  <c r="JJ151" i="1"/>
  <c r="JI151" i="1"/>
  <c r="JK150" i="1"/>
  <c r="JJ150" i="1"/>
  <c r="JK149" i="1"/>
  <c r="JK148" i="1"/>
  <c r="JK147" i="1"/>
  <c r="JK146" i="1"/>
  <c r="JJ146" i="1"/>
  <c r="JK145" i="1"/>
  <c r="JK144" i="1"/>
  <c r="JI143" i="1"/>
  <c r="JJ172" i="1"/>
  <c r="JM126" i="1"/>
  <c r="JL126" i="1"/>
  <c r="JM124" i="1"/>
  <c r="JJ161" i="1"/>
  <c r="JM122" i="1"/>
  <c r="JM121" i="1"/>
  <c r="JM118" i="1"/>
  <c r="JM112" i="1"/>
  <c r="JM111" i="1"/>
  <c r="JL111" i="1"/>
  <c r="JJ149" i="1"/>
  <c r="JM107" i="1"/>
  <c r="JL107" i="1"/>
  <c r="JM105" i="1"/>
  <c r="JL105" i="1"/>
  <c r="JM104" i="1"/>
  <c r="JM103" i="1"/>
  <c r="JL103" i="1"/>
  <c r="JM102" i="1"/>
  <c r="JM101" i="1"/>
  <c r="JL101" i="1"/>
  <c r="JM100" i="1"/>
  <c r="JJ145" i="1"/>
  <c r="JM95" i="1"/>
  <c r="JL95" i="1"/>
  <c r="JM94" i="1"/>
  <c r="JL94" i="1"/>
  <c r="JM93" i="1"/>
  <c r="JL93" i="1"/>
  <c r="JK143" i="1"/>
  <c r="JJ143" i="1"/>
  <c r="JI86" i="1"/>
  <c r="JK77" i="1"/>
  <c r="JI75" i="1"/>
  <c r="JJ74" i="1"/>
  <c r="JK73" i="1"/>
  <c r="JK71" i="1"/>
  <c r="JJ71" i="1"/>
  <c r="JI71" i="1"/>
  <c r="JK70" i="1"/>
  <c r="JJ70" i="1"/>
  <c r="JI70" i="1"/>
  <c r="JK69" i="1"/>
  <c r="JI63" i="1"/>
  <c r="JJ62" i="1"/>
  <c r="JK61" i="1"/>
  <c r="JI59" i="1"/>
  <c r="JK57" i="1"/>
  <c r="JK86" i="1"/>
  <c r="JJ86" i="1"/>
  <c r="JK85" i="1"/>
  <c r="JM50" i="1"/>
  <c r="JI85" i="1"/>
  <c r="JI77" i="1"/>
  <c r="JK76" i="1"/>
  <c r="JJ76" i="1"/>
  <c r="JI76" i="1"/>
  <c r="JL37" i="1"/>
  <c r="JK75" i="1"/>
  <c r="JJ75" i="1"/>
  <c r="JK74" i="1"/>
  <c r="JI73" i="1"/>
  <c r="JK72" i="1"/>
  <c r="JJ72" i="1"/>
  <c r="JI72" i="1"/>
  <c r="JL31" i="1"/>
  <c r="JJ69" i="1"/>
  <c r="JI69" i="1"/>
  <c r="JK64" i="1"/>
  <c r="JJ64" i="1"/>
  <c r="JK63" i="1"/>
  <c r="JL25" i="1"/>
  <c r="JL24" i="1"/>
  <c r="JL23" i="1"/>
  <c r="JM23" i="1"/>
  <c r="JK62" i="1"/>
  <c r="JM21" i="1"/>
  <c r="JM20" i="1"/>
  <c r="JL20" i="1"/>
  <c r="JL18" i="1"/>
  <c r="JM18" i="1"/>
  <c r="JM17" i="1"/>
  <c r="JJ61" i="1"/>
  <c r="JK60" i="1"/>
  <c r="JI60" i="1"/>
  <c r="JL14" i="1"/>
  <c r="JM14" i="1"/>
  <c r="JK59" i="1"/>
  <c r="JJ59" i="1"/>
  <c r="JK58" i="1"/>
  <c r="JM10" i="1"/>
  <c r="JI58" i="1"/>
  <c r="JM8" i="1"/>
  <c r="JJ57" i="1"/>
  <c r="JI56" i="1"/>
  <c r="JE173" i="1"/>
  <c r="JD173" i="1"/>
  <c r="JE172" i="1"/>
  <c r="JE164" i="1"/>
  <c r="JD164" i="1"/>
  <c r="JE163" i="1"/>
  <c r="JE162" i="1"/>
  <c r="JD162" i="1"/>
  <c r="JE161" i="1"/>
  <c r="JE160" i="1"/>
  <c r="JD160" i="1"/>
  <c r="JE159" i="1"/>
  <c r="JE158" i="1"/>
  <c r="JD158" i="1"/>
  <c r="JC158" i="1"/>
  <c r="JE157" i="1"/>
  <c r="JD157" i="1"/>
  <c r="JC157" i="1"/>
  <c r="JE156" i="1"/>
  <c r="JD156" i="1"/>
  <c r="JE151" i="1"/>
  <c r="JD151" i="1"/>
  <c r="JC151" i="1"/>
  <c r="JE150" i="1"/>
  <c r="JD150" i="1"/>
  <c r="JE149" i="1"/>
  <c r="JE148" i="1"/>
  <c r="JD148" i="1"/>
  <c r="JE147" i="1"/>
  <c r="JE146" i="1"/>
  <c r="JD146" i="1"/>
  <c r="JE145" i="1"/>
  <c r="JE144" i="1"/>
  <c r="JD144" i="1"/>
  <c r="JE143" i="1"/>
  <c r="JC173" i="1"/>
  <c r="JD172" i="1"/>
  <c r="JC172" i="1"/>
  <c r="JC164" i="1"/>
  <c r="JG126" i="1"/>
  <c r="JF126" i="1"/>
  <c r="JG125" i="1"/>
  <c r="JF125" i="1"/>
  <c r="JD163" i="1"/>
  <c r="JC163" i="1"/>
  <c r="JG124" i="1"/>
  <c r="JF124" i="1"/>
  <c r="JC162" i="1"/>
  <c r="JG123" i="1"/>
  <c r="JF123" i="1"/>
  <c r="JD161" i="1"/>
  <c r="JC161" i="1"/>
  <c r="JG122" i="1"/>
  <c r="JF122" i="1"/>
  <c r="JC160" i="1"/>
  <c r="JG121" i="1"/>
  <c r="JF121" i="1"/>
  <c r="JD159" i="1"/>
  <c r="JC159" i="1"/>
  <c r="JG118" i="1"/>
  <c r="JF118" i="1"/>
  <c r="JC156" i="1"/>
  <c r="JG112" i="1"/>
  <c r="JF112" i="1"/>
  <c r="JC150" i="1"/>
  <c r="JG111" i="1"/>
  <c r="JF111" i="1"/>
  <c r="JG109" i="1"/>
  <c r="JF109" i="1"/>
  <c r="JD149" i="1"/>
  <c r="JC149" i="1"/>
  <c r="JG105" i="1"/>
  <c r="JF105" i="1"/>
  <c r="JG104" i="1"/>
  <c r="JF104" i="1"/>
  <c r="JC148" i="1"/>
  <c r="JF148" i="1" s="1"/>
  <c r="CK39" i="5" s="1"/>
  <c r="JG103" i="1"/>
  <c r="JF103" i="1"/>
  <c r="JG102" i="1"/>
  <c r="JF102" i="1"/>
  <c r="JD147" i="1"/>
  <c r="JC147" i="1"/>
  <c r="JG101" i="1"/>
  <c r="JF101" i="1"/>
  <c r="JG100" i="1"/>
  <c r="JF100" i="1"/>
  <c r="JC146" i="1"/>
  <c r="JG97" i="1"/>
  <c r="JF97" i="1"/>
  <c r="JD145" i="1"/>
  <c r="JC145" i="1"/>
  <c r="JG96" i="1"/>
  <c r="JF96" i="1"/>
  <c r="JC144" i="1"/>
  <c r="JG94" i="1"/>
  <c r="JC143" i="1"/>
  <c r="JD143" i="1"/>
  <c r="JD76" i="1"/>
  <c r="JE75" i="1"/>
  <c r="JC75" i="1"/>
  <c r="JD74" i="1"/>
  <c r="JE73" i="1"/>
  <c r="JC73" i="1"/>
  <c r="JD72" i="1"/>
  <c r="JE71" i="1"/>
  <c r="JD71" i="1"/>
  <c r="JC71" i="1"/>
  <c r="JE70" i="1"/>
  <c r="JD70" i="1"/>
  <c r="JC70" i="1"/>
  <c r="JE69" i="1"/>
  <c r="JC69" i="1"/>
  <c r="JD64" i="1"/>
  <c r="JE63" i="1"/>
  <c r="JC63" i="1"/>
  <c r="JC61" i="1"/>
  <c r="JC59" i="1"/>
  <c r="JC57" i="1"/>
  <c r="JG51" i="1"/>
  <c r="JE86" i="1"/>
  <c r="JD86" i="1"/>
  <c r="JE85" i="1"/>
  <c r="JC85" i="1"/>
  <c r="JE77" i="1"/>
  <c r="JC77" i="1"/>
  <c r="JE76" i="1"/>
  <c r="JE74" i="1"/>
  <c r="JE72" i="1"/>
  <c r="JE64" i="1"/>
  <c r="JF25" i="1"/>
  <c r="JG24" i="1"/>
  <c r="JF24" i="1"/>
  <c r="JE62" i="1"/>
  <c r="JF21" i="1"/>
  <c r="JC62" i="1"/>
  <c r="JE61" i="1"/>
  <c r="JD61" i="1"/>
  <c r="JF17" i="1"/>
  <c r="JG16" i="1"/>
  <c r="JE60" i="1"/>
  <c r="JG14" i="1"/>
  <c r="JE59" i="1"/>
  <c r="JD59" i="1"/>
  <c r="JF13" i="1"/>
  <c r="JG12" i="1"/>
  <c r="JE58" i="1"/>
  <c r="JG9" i="1"/>
  <c r="JE57" i="1"/>
  <c r="JD57" i="1"/>
  <c r="JG7" i="1"/>
  <c r="JE56" i="1"/>
  <c r="IY173" i="1"/>
  <c r="IY172" i="1"/>
  <c r="IY164" i="1"/>
  <c r="IY163" i="1"/>
  <c r="IY162" i="1"/>
  <c r="IY161" i="1"/>
  <c r="IY160" i="1"/>
  <c r="IY159" i="1"/>
  <c r="IY158" i="1"/>
  <c r="IY157" i="1"/>
  <c r="IY156" i="1"/>
  <c r="IY151" i="1"/>
  <c r="IX151" i="1"/>
  <c r="IW151" i="1"/>
  <c r="IY150" i="1"/>
  <c r="IY149" i="1"/>
  <c r="IY148" i="1"/>
  <c r="IY147" i="1"/>
  <c r="IY146" i="1"/>
  <c r="IY145" i="1"/>
  <c r="IY144" i="1"/>
  <c r="IX172" i="1"/>
  <c r="JA126" i="1"/>
  <c r="JA118" i="1"/>
  <c r="JA95" i="1"/>
  <c r="IY143" i="1"/>
  <c r="IY74" i="1"/>
  <c r="IY71" i="1"/>
  <c r="IX71" i="1"/>
  <c r="IY70" i="1"/>
  <c r="IX70" i="1"/>
  <c r="IW70" i="1"/>
  <c r="IY69" i="1"/>
  <c r="IW64" i="1"/>
  <c r="IY62" i="1"/>
  <c r="IY57" i="1"/>
  <c r="IY86" i="1"/>
  <c r="IX86" i="1"/>
  <c r="IY85" i="1"/>
  <c r="IY77" i="1"/>
  <c r="IY75" i="1"/>
  <c r="IY73" i="1"/>
  <c r="IY64" i="1"/>
  <c r="IX64" i="1"/>
  <c r="IY63" i="1"/>
  <c r="JA20" i="1"/>
  <c r="IY59" i="1"/>
  <c r="IS173" i="1"/>
  <c r="IS172" i="1"/>
  <c r="IQ172" i="1"/>
  <c r="IS164" i="1"/>
  <c r="IS163" i="1"/>
  <c r="IS162" i="1"/>
  <c r="IS161" i="1"/>
  <c r="IS160" i="1"/>
  <c r="IR160" i="1"/>
  <c r="IS159" i="1"/>
  <c r="IS158" i="1"/>
  <c r="IR158" i="1"/>
  <c r="IS157" i="1"/>
  <c r="IR157" i="1"/>
  <c r="IQ157" i="1"/>
  <c r="IS156" i="1"/>
  <c r="IR156" i="1"/>
  <c r="IS151" i="1"/>
  <c r="IR151" i="1"/>
  <c r="IQ151" i="1"/>
  <c r="IS150" i="1"/>
  <c r="IS149" i="1"/>
  <c r="IS148" i="1"/>
  <c r="IS147" i="1"/>
  <c r="IS146" i="1"/>
  <c r="IS145" i="1"/>
  <c r="IS144" i="1"/>
  <c r="IR173" i="1"/>
  <c r="IU126" i="1"/>
  <c r="IR163" i="1"/>
  <c r="IU122" i="1"/>
  <c r="IU118" i="1"/>
  <c r="IU111" i="1"/>
  <c r="IU104" i="1"/>
  <c r="IS143" i="1"/>
  <c r="IS71" i="1"/>
  <c r="IR71" i="1"/>
  <c r="IQ71" i="1"/>
  <c r="IS70" i="1"/>
  <c r="IR70" i="1"/>
  <c r="IQ70" i="1"/>
  <c r="IS86" i="1"/>
  <c r="IR86" i="1"/>
  <c r="IS85" i="1"/>
  <c r="IS77" i="1"/>
  <c r="IR77" i="1"/>
  <c r="IS76" i="1"/>
  <c r="IS75" i="1"/>
  <c r="IS74" i="1"/>
  <c r="IR74" i="1"/>
  <c r="IS73" i="1"/>
  <c r="IU34" i="1"/>
  <c r="IS72" i="1"/>
  <c r="IS69" i="1"/>
  <c r="IS64" i="1"/>
  <c r="IS63" i="1"/>
  <c r="IU24" i="1"/>
  <c r="IS62" i="1"/>
  <c r="IU20" i="1"/>
  <c r="IS61" i="1"/>
  <c r="IU15" i="1"/>
  <c r="IS60" i="1"/>
  <c r="IS59" i="1"/>
  <c r="IS58" i="1"/>
  <c r="IS57" i="1"/>
  <c r="IS56" i="1"/>
  <c r="DR128" i="1"/>
  <c r="DS128" i="1"/>
  <c r="DR106" i="1"/>
  <c r="DS106" i="1"/>
  <c r="DR103" i="1"/>
  <c r="DS103" i="1"/>
  <c r="DR102" i="1"/>
  <c r="DS102" i="1"/>
  <c r="DR95" i="1"/>
  <c r="DS95" i="1"/>
  <c r="DR93" i="1"/>
  <c r="DS93" i="1"/>
  <c r="DP111" i="1"/>
  <c r="DR42" i="1"/>
  <c r="DS42" i="1"/>
  <c r="DR40" i="1"/>
  <c r="DS40" i="1"/>
  <c r="DR26" i="1"/>
  <c r="DS26" i="1"/>
  <c r="DR23" i="1"/>
  <c r="DS23" i="1"/>
  <c r="DR16" i="1"/>
  <c r="DS16" i="1"/>
  <c r="DR8" i="1"/>
  <c r="DS8" i="1"/>
  <c r="DO13" i="1"/>
  <c r="DL42" i="1"/>
  <c r="DL128" i="1"/>
  <c r="DM128" i="1"/>
  <c r="DL103" i="1"/>
  <c r="DM103" i="1"/>
  <c r="DL98" i="1"/>
  <c r="DM98" i="1"/>
  <c r="DL99" i="1"/>
  <c r="DM99" i="1"/>
  <c r="DL95" i="1"/>
  <c r="DM95" i="1"/>
  <c r="DL93" i="1"/>
  <c r="DM93" i="1"/>
  <c r="DM42" i="1"/>
  <c r="DL40" i="1"/>
  <c r="DM40" i="1"/>
  <c r="DL8" i="1"/>
  <c r="DM8" i="1"/>
  <c r="DL16" i="1"/>
  <c r="DM16" i="1"/>
  <c r="DJ38" i="1"/>
  <c r="DJ24" i="1"/>
  <c r="DJ6" i="1"/>
  <c r="DM6" i="1" s="1"/>
  <c r="DI6" i="1"/>
  <c r="DD126" i="1"/>
  <c r="DC126" i="1"/>
  <c r="DD125" i="1"/>
  <c r="DG125" i="1" s="1"/>
  <c r="DC125" i="1"/>
  <c r="DD124" i="1"/>
  <c r="DC124" i="1"/>
  <c r="DD122" i="1"/>
  <c r="DC122" i="1"/>
  <c r="DD121" i="1"/>
  <c r="DC121" i="1"/>
  <c r="DD120" i="1"/>
  <c r="DC120" i="1"/>
  <c r="DD118" i="1"/>
  <c r="DC118" i="1"/>
  <c r="DD112" i="1"/>
  <c r="DC112" i="1"/>
  <c r="DD111" i="1"/>
  <c r="DC111" i="1"/>
  <c r="DD109" i="1"/>
  <c r="DC109" i="1"/>
  <c r="DD107" i="1"/>
  <c r="DG107" i="1" s="1"/>
  <c r="DC107" i="1"/>
  <c r="DD105" i="1"/>
  <c r="DC105" i="1"/>
  <c r="DD104" i="1"/>
  <c r="DC104" i="1"/>
  <c r="DD103" i="1"/>
  <c r="DC103" i="1"/>
  <c r="DD102" i="1"/>
  <c r="DC102" i="1"/>
  <c r="DD101" i="1"/>
  <c r="DC101" i="1"/>
  <c r="DD100" i="1"/>
  <c r="DC100" i="1"/>
  <c r="DD97" i="1"/>
  <c r="DC97" i="1"/>
  <c r="DD96" i="1"/>
  <c r="DC96" i="1"/>
  <c r="DD95" i="1"/>
  <c r="DC95" i="1"/>
  <c r="DD94" i="1"/>
  <c r="DC94" i="1"/>
  <c r="DD93" i="1"/>
  <c r="DC93" i="1"/>
  <c r="DD51" i="1"/>
  <c r="DC51" i="1"/>
  <c r="DD50" i="1"/>
  <c r="DC50" i="1"/>
  <c r="DE42" i="1"/>
  <c r="DD42" i="1"/>
  <c r="DC42" i="1"/>
  <c r="DD39" i="1"/>
  <c r="DG39" i="1" s="1"/>
  <c r="DC39" i="1"/>
  <c r="DD37" i="1"/>
  <c r="DC37" i="1"/>
  <c r="DD36" i="1"/>
  <c r="DC36" i="1"/>
  <c r="DD35" i="1"/>
  <c r="DC35" i="1"/>
  <c r="DD34" i="1"/>
  <c r="DG34" i="1" s="1"/>
  <c r="DC34" i="1"/>
  <c r="DD31" i="1"/>
  <c r="DG31" i="1" s="1"/>
  <c r="DC31" i="1"/>
  <c r="DD25" i="1"/>
  <c r="DC25" i="1"/>
  <c r="DD24" i="1"/>
  <c r="DC24" i="1"/>
  <c r="DD22" i="1"/>
  <c r="DC22" i="1"/>
  <c r="DD18" i="1"/>
  <c r="DC18" i="1"/>
  <c r="DD17" i="1"/>
  <c r="DC17" i="1"/>
  <c r="DD16" i="1"/>
  <c r="DC16" i="1"/>
  <c r="DD15" i="1"/>
  <c r="DC15" i="1"/>
  <c r="DD14" i="1"/>
  <c r="DC14" i="1"/>
  <c r="DD13" i="1"/>
  <c r="DC13" i="1"/>
  <c r="DD11" i="1"/>
  <c r="DG11" i="1" s="1"/>
  <c r="DC11" i="1"/>
  <c r="DD10" i="1"/>
  <c r="DC10" i="1"/>
  <c r="DD9" i="1"/>
  <c r="DC9" i="1"/>
  <c r="DD8" i="1"/>
  <c r="DC8" i="1"/>
  <c r="DD7" i="1"/>
  <c r="DG7" i="1" s="1"/>
  <c r="DC7" i="1"/>
  <c r="DD6" i="1"/>
  <c r="DG6" i="1" s="1"/>
  <c r="DC6" i="1"/>
  <c r="DR6" i="1"/>
  <c r="DS6" i="1"/>
  <c r="DL7" i="1"/>
  <c r="DM7" i="1"/>
  <c r="DR7" i="1"/>
  <c r="DS7" i="1"/>
  <c r="IU6" i="1" l="1"/>
  <c r="IT13" i="1"/>
  <c r="IT24" i="1"/>
  <c r="JG143" i="1"/>
  <c r="JG147" i="1"/>
  <c r="IR59" i="1"/>
  <c r="JF160" i="1"/>
  <c r="CK51" i="5" s="1"/>
  <c r="IZ95" i="1"/>
  <c r="IZ6" i="1"/>
  <c r="IR60" i="1"/>
  <c r="IU60" i="1" s="1"/>
  <c r="AX161" i="5"/>
  <c r="AX156" i="5"/>
  <c r="AX171" i="5"/>
  <c r="AX148" i="5"/>
  <c r="IR57" i="1"/>
  <c r="IT57" i="1" s="1"/>
  <c r="CF35" i="5" s="1"/>
  <c r="JR161" i="1"/>
  <c r="CO52" i="5" s="1"/>
  <c r="CO138" i="5" s="1"/>
  <c r="IZ101" i="1"/>
  <c r="IW76" i="1"/>
  <c r="IR159" i="1"/>
  <c r="IT159" i="1" s="1"/>
  <c r="CG50" i="5" s="1"/>
  <c r="IQ160" i="1"/>
  <c r="IT160" i="1" s="1"/>
  <c r="CG51" i="5" s="1"/>
  <c r="JG172" i="1"/>
  <c r="IR61" i="1"/>
  <c r="IU61" i="1" s="1"/>
  <c r="IZ105" i="1"/>
  <c r="IT94" i="1"/>
  <c r="IT109" i="1"/>
  <c r="IZ42" i="1"/>
  <c r="IQ74" i="1"/>
  <c r="IT110" i="1"/>
  <c r="IR143" i="1"/>
  <c r="IU97" i="1"/>
  <c r="IU163" i="1"/>
  <c r="JG150" i="1"/>
  <c r="JG157" i="1"/>
  <c r="JG164" i="1"/>
  <c r="JM75" i="1"/>
  <c r="JR64" i="1"/>
  <c r="CN44" i="5" s="1"/>
  <c r="JR72" i="1"/>
  <c r="CN50" i="5" s="1"/>
  <c r="JR76" i="1"/>
  <c r="CN54" i="5" s="1"/>
  <c r="IT156" i="1"/>
  <c r="CG47" i="5" s="1"/>
  <c r="JF156" i="1"/>
  <c r="CK47" i="5" s="1"/>
  <c r="JG159" i="1"/>
  <c r="JR145" i="1"/>
  <c r="CO36" i="5" s="1"/>
  <c r="JF70" i="1"/>
  <c r="CJ48" i="5" s="1"/>
  <c r="CJ134" i="5" s="1"/>
  <c r="JG158" i="1"/>
  <c r="JS144" i="1"/>
  <c r="JS148" i="1"/>
  <c r="IU62" i="1"/>
  <c r="IU75" i="1"/>
  <c r="IZ10" i="1"/>
  <c r="IZ13" i="1"/>
  <c r="IZ15" i="1"/>
  <c r="IZ19" i="1"/>
  <c r="IZ24" i="1"/>
  <c r="IZ41" i="1"/>
  <c r="IT51" i="1"/>
  <c r="IX69" i="1"/>
  <c r="IZ69" i="1" s="1"/>
  <c r="CH47" i="5" s="1"/>
  <c r="JG163" i="1"/>
  <c r="JF173" i="1"/>
  <c r="CK45" i="5" s="1"/>
  <c r="JM149" i="1"/>
  <c r="JR69" i="1"/>
  <c r="CN47" i="5" s="1"/>
  <c r="JR73" i="1"/>
  <c r="CN51" i="5" s="1"/>
  <c r="IT111" i="1"/>
  <c r="IW163" i="1"/>
  <c r="DF125" i="1"/>
  <c r="IX150" i="1"/>
  <c r="JA150" i="1" s="1"/>
  <c r="IQ143" i="1"/>
  <c r="IT143" i="1" s="1"/>
  <c r="CG34" i="5" s="1"/>
  <c r="IT108" i="1"/>
  <c r="IT112" i="1"/>
  <c r="JA161" i="1"/>
  <c r="JR164" i="1"/>
  <c r="CO55" i="5" s="1"/>
  <c r="DF6" i="1"/>
  <c r="DF34" i="1"/>
  <c r="DF39" i="1"/>
  <c r="IR150" i="1"/>
  <c r="IU150" i="1" s="1"/>
  <c r="IW71" i="1"/>
  <c r="IZ71" i="1" s="1"/>
  <c r="CH49" i="5" s="1"/>
  <c r="IZ126" i="1"/>
  <c r="IT42" i="1"/>
  <c r="IQ144" i="1"/>
  <c r="IQ148" i="1"/>
  <c r="IT120" i="1"/>
  <c r="JA71" i="1"/>
  <c r="JR86" i="1"/>
  <c r="CN45" i="5" s="1"/>
  <c r="JR146" i="1"/>
  <c r="CO37" i="5" s="1"/>
  <c r="JS160" i="1"/>
  <c r="IX157" i="1"/>
  <c r="JA157" i="1" s="1"/>
  <c r="DG42" i="1"/>
  <c r="DF107" i="1"/>
  <c r="IT71" i="1"/>
  <c r="IT97" i="1"/>
  <c r="IQ150" i="1"/>
  <c r="IQ147" i="1"/>
  <c r="IR147" i="1"/>
  <c r="IU147" i="1" s="1"/>
  <c r="IZ39" i="1"/>
  <c r="IR172" i="1"/>
  <c r="IU172" i="1" s="1"/>
  <c r="IT9" i="1"/>
  <c r="IT26" i="1"/>
  <c r="IT38" i="1"/>
  <c r="IZ102" i="1"/>
  <c r="IZ106" i="1"/>
  <c r="IZ110" i="1"/>
  <c r="IZ119" i="1"/>
  <c r="IZ127" i="1"/>
  <c r="IU69" i="1"/>
  <c r="IU123" i="1"/>
  <c r="IW56" i="1"/>
  <c r="JA74" i="1"/>
  <c r="IX76" i="1"/>
  <c r="IZ121" i="1"/>
  <c r="IX146" i="1"/>
  <c r="JA146" i="1" s="1"/>
  <c r="IU102" i="1"/>
  <c r="IQ149" i="1"/>
  <c r="IU151" i="1"/>
  <c r="IR164" i="1"/>
  <c r="IU164" i="1" s="1"/>
  <c r="JA36" i="1"/>
  <c r="JA86" i="1"/>
  <c r="IZ151" i="1"/>
  <c r="IW157" i="1"/>
  <c r="JS150" i="1"/>
  <c r="JR162" i="1"/>
  <c r="CO53" i="5" s="1"/>
  <c r="IQ59" i="1"/>
  <c r="IT59" i="1" s="1"/>
  <c r="CF37" i="5" s="1"/>
  <c r="IQ62" i="1"/>
  <c r="IT62" i="1" s="1"/>
  <c r="CF42" i="5" s="1"/>
  <c r="IQ146" i="1"/>
  <c r="IT118" i="1"/>
  <c r="IZ38" i="1"/>
  <c r="IZ109" i="1"/>
  <c r="IR56" i="1"/>
  <c r="IU56" i="1" s="1"/>
  <c r="IU16" i="1"/>
  <c r="IU25" i="1"/>
  <c r="JA38" i="1"/>
  <c r="IZ107" i="1"/>
  <c r="IZ111" i="1"/>
  <c r="IZ120" i="1"/>
  <c r="IZ128" i="1"/>
  <c r="IT14" i="1"/>
  <c r="IT107" i="1"/>
  <c r="IW58" i="1"/>
  <c r="IZ108" i="1"/>
  <c r="DF11" i="1"/>
  <c r="DF31" i="1"/>
  <c r="DF42" i="1"/>
  <c r="IR58" i="1"/>
  <c r="IT58" i="1" s="1"/>
  <c r="CF36" i="5" s="1"/>
  <c r="IU18" i="1"/>
  <c r="IU22" i="1"/>
  <c r="IT102" i="1"/>
  <c r="IU158" i="1"/>
  <c r="JA37" i="1"/>
  <c r="JA151" i="1"/>
  <c r="JG146" i="1"/>
  <c r="JF151" i="1"/>
  <c r="CK44" i="5" s="1"/>
  <c r="JG160" i="1"/>
  <c r="JM146" i="1"/>
  <c r="JR144" i="1"/>
  <c r="CO35" i="5" s="1"/>
  <c r="JS145" i="1"/>
  <c r="JS149" i="1"/>
  <c r="JR156" i="1"/>
  <c r="CO47" i="5" s="1"/>
  <c r="JR172" i="1"/>
  <c r="CO40" i="5" s="1"/>
  <c r="IT7" i="1"/>
  <c r="IT16" i="1"/>
  <c r="IT18" i="1"/>
  <c r="IT69" i="1"/>
  <c r="CF47" i="5" s="1"/>
  <c r="IR144" i="1"/>
  <c r="IU144" i="1" s="1"/>
  <c r="IR149" i="1"/>
  <c r="IU149" i="1" s="1"/>
  <c r="DF7" i="1"/>
  <c r="IU35" i="1"/>
  <c r="IT121" i="1"/>
  <c r="IX143" i="1"/>
  <c r="JA143" i="1" s="1"/>
  <c r="IW158" i="1"/>
  <c r="IZ158" i="1" s="1"/>
  <c r="CI49" i="5" s="1"/>
  <c r="JG151" i="1"/>
  <c r="JS161" i="1"/>
  <c r="JS172" i="1"/>
  <c r="IQ61" i="1"/>
  <c r="IZ20" i="1"/>
  <c r="IZ99" i="1"/>
  <c r="IZ125" i="1"/>
  <c r="IU71" i="1"/>
  <c r="JF144" i="1"/>
  <c r="CK35" i="5" s="1"/>
  <c r="JR159" i="1"/>
  <c r="CO50" i="5" s="1"/>
  <c r="IU64" i="1"/>
  <c r="DF8" i="1"/>
  <c r="IT86" i="1"/>
  <c r="CF45" i="5" s="1"/>
  <c r="IT123" i="1"/>
  <c r="IQ158" i="1"/>
  <c r="IT158" i="1" s="1"/>
  <c r="CG49" i="5" s="1"/>
  <c r="IX61" i="1"/>
  <c r="IW60" i="1"/>
  <c r="JA70" i="1"/>
  <c r="JA100" i="1"/>
  <c r="JA121" i="1"/>
  <c r="JF146" i="1"/>
  <c r="CK37" i="5" s="1"/>
  <c r="JF158" i="1"/>
  <c r="JR160" i="1"/>
  <c r="CO51" i="5" s="1"/>
  <c r="IU14" i="1"/>
  <c r="IZ34" i="1"/>
  <c r="JR85" i="1"/>
  <c r="CN40" i="5" s="1"/>
  <c r="CN33" i="5" s="1"/>
  <c r="IR76" i="1"/>
  <c r="IU76" i="1" s="1"/>
  <c r="IR85" i="1"/>
  <c r="IU85" i="1" s="1"/>
  <c r="IR162" i="1"/>
  <c r="IU162" i="1" s="1"/>
  <c r="IQ164" i="1"/>
  <c r="IT164" i="1" s="1"/>
  <c r="CG55" i="5" s="1"/>
  <c r="JG145" i="1"/>
  <c r="JF162" i="1"/>
  <c r="CK53" i="5" s="1"/>
  <c r="JM145" i="1"/>
  <c r="JM172" i="1"/>
  <c r="JS64" i="1"/>
  <c r="JS72" i="1"/>
  <c r="JS76" i="1"/>
  <c r="IQ76" i="1"/>
  <c r="IR148" i="1"/>
  <c r="IU148" i="1" s="1"/>
  <c r="IT126" i="1"/>
  <c r="IX145" i="1"/>
  <c r="JA145" i="1" s="1"/>
  <c r="JR157" i="1"/>
  <c r="CO48" i="5" s="1"/>
  <c r="CO134" i="5" s="1"/>
  <c r="DL6" i="1"/>
  <c r="IU74" i="1"/>
  <c r="IT70" i="1"/>
  <c r="IT96" i="1"/>
  <c r="IT103" i="1"/>
  <c r="IT124" i="1"/>
  <c r="IU173" i="1"/>
  <c r="JG59" i="1"/>
  <c r="JM72" i="1"/>
  <c r="JM151" i="1"/>
  <c r="JS157" i="1"/>
  <c r="IX57" i="1"/>
  <c r="JA57" i="1" s="1"/>
  <c r="JA120" i="1"/>
  <c r="IQ64" i="1"/>
  <c r="IT64" i="1" s="1"/>
  <c r="CF44" i="5" s="1"/>
  <c r="JA64" i="1"/>
  <c r="JG149" i="1"/>
  <c r="JR77" i="1"/>
  <c r="CN55" i="5" s="1"/>
  <c r="JR150" i="1"/>
  <c r="CO43" i="5" s="1"/>
  <c r="JR163" i="1"/>
  <c r="CO54" i="5" s="1"/>
  <c r="IT75" i="1"/>
  <c r="CF53" i="5" s="1"/>
  <c r="IU110" i="1"/>
  <c r="JS173" i="1"/>
  <c r="JL157" i="1"/>
  <c r="CM48" i="5" s="1"/>
  <c r="JM158" i="1"/>
  <c r="JM173" i="1"/>
  <c r="JM61" i="1"/>
  <c r="JM71" i="1"/>
  <c r="JM57" i="1"/>
  <c r="JL76" i="1"/>
  <c r="CL54" i="5" s="1"/>
  <c r="JL59" i="1"/>
  <c r="CL37" i="5" s="1"/>
  <c r="JL71" i="1"/>
  <c r="JL75" i="1"/>
  <c r="CL53" i="5" s="1"/>
  <c r="JM70" i="1"/>
  <c r="JG144" i="1"/>
  <c r="JF150" i="1"/>
  <c r="CK43" i="5" s="1"/>
  <c r="JG71" i="1"/>
  <c r="JF71" i="1"/>
  <c r="CJ49" i="5" s="1"/>
  <c r="JR173" i="1"/>
  <c r="CO45" i="5" s="1"/>
  <c r="JS156" i="1"/>
  <c r="JS164" i="1"/>
  <c r="JS158" i="1"/>
  <c r="JS162" i="1"/>
  <c r="JS146" i="1"/>
  <c r="JR148" i="1"/>
  <c r="CO39" i="5" s="1"/>
  <c r="JR151" i="1"/>
  <c r="JR143" i="1"/>
  <c r="CO34" i="5" s="1"/>
  <c r="JR147" i="1"/>
  <c r="CO38" i="5" s="1"/>
  <c r="CO124" i="5" s="1"/>
  <c r="JS86" i="1"/>
  <c r="JR71" i="1"/>
  <c r="CN49" i="5" s="1"/>
  <c r="JR75" i="1"/>
  <c r="CN53" i="5" s="1"/>
  <c r="JR70" i="1"/>
  <c r="CN48" i="5" s="1"/>
  <c r="CN134" i="5" s="1"/>
  <c r="JS71" i="1"/>
  <c r="JR74" i="1"/>
  <c r="CN52" i="5" s="1"/>
  <c r="CN138" i="5" s="1"/>
  <c r="JS75" i="1"/>
  <c r="JR63" i="1"/>
  <c r="CN43" i="5" s="1"/>
  <c r="JS63" i="1"/>
  <c r="JS69" i="1"/>
  <c r="JS73" i="1"/>
  <c r="JS77" i="1"/>
  <c r="JA173" i="1"/>
  <c r="JA158" i="1"/>
  <c r="JA162" i="1"/>
  <c r="IX149" i="1"/>
  <c r="JA149" i="1" s="1"/>
  <c r="JA124" i="1"/>
  <c r="IZ103" i="1"/>
  <c r="IZ94" i="1"/>
  <c r="IZ9" i="1"/>
  <c r="IZ14" i="1"/>
  <c r="IX59" i="1"/>
  <c r="JA59" i="1" s="1"/>
  <c r="IZ64" i="1"/>
  <c r="IW72" i="1"/>
  <c r="IZ72" i="1" s="1"/>
  <c r="CH50" i="5" s="1"/>
  <c r="JA9" i="1"/>
  <c r="IZ18" i="1"/>
  <c r="IZ22" i="1"/>
  <c r="IU157" i="1"/>
  <c r="IU145" i="1"/>
  <c r="IT151" i="1"/>
  <c r="IT95" i="1"/>
  <c r="IT101" i="1"/>
  <c r="IU95" i="1"/>
  <c r="IR146" i="1"/>
  <c r="IU146" i="1" s="1"/>
  <c r="IT163" i="1"/>
  <c r="CG54" i="5" s="1"/>
  <c r="IT173" i="1"/>
  <c r="CG45" i="5" s="1"/>
  <c r="IT22" i="1"/>
  <c r="IT25" i="1"/>
  <c r="IT35" i="1"/>
  <c r="IQ60" i="1"/>
  <c r="IT50" i="1"/>
  <c r="IU70" i="1"/>
  <c r="IQ56" i="1"/>
  <c r="IU58" i="1"/>
  <c r="IU63" i="1"/>
  <c r="IU72" i="1"/>
  <c r="IU73" i="1"/>
  <c r="IT74" i="1"/>
  <c r="CF52" i="5" s="1"/>
  <c r="CF138" i="5" s="1"/>
  <c r="IU77" i="1"/>
  <c r="JS58" i="1"/>
  <c r="JS62" i="1"/>
  <c r="JS70" i="1"/>
  <c r="JS74" i="1"/>
  <c r="JS85" i="1"/>
  <c r="JS143" i="1"/>
  <c r="JS147" i="1"/>
  <c r="JS151" i="1"/>
  <c r="JS159" i="1"/>
  <c r="JS163" i="1"/>
  <c r="JM161" i="1"/>
  <c r="JM150" i="1"/>
  <c r="JM157" i="1"/>
  <c r="JM162" i="1"/>
  <c r="JL151" i="1"/>
  <c r="CM44" i="5" s="1"/>
  <c r="JL158" i="1"/>
  <c r="JM59" i="1"/>
  <c r="JM64" i="1"/>
  <c r="JM69" i="1"/>
  <c r="JM86" i="1"/>
  <c r="JL70" i="1"/>
  <c r="CL48" i="5" s="1"/>
  <c r="JL86" i="1"/>
  <c r="JG161" i="1"/>
  <c r="JF164" i="1"/>
  <c r="CK55" i="5" s="1"/>
  <c r="JG148" i="1"/>
  <c r="JG156" i="1"/>
  <c r="JG173" i="1"/>
  <c r="JF143" i="1"/>
  <c r="CK34" i="5" s="1"/>
  <c r="JF157" i="1"/>
  <c r="CK48" i="5" s="1"/>
  <c r="JG162" i="1"/>
  <c r="JF59" i="1"/>
  <c r="CJ37" i="5" s="1"/>
  <c r="JG70" i="1"/>
  <c r="JG57" i="1"/>
  <c r="JG61" i="1"/>
  <c r="JA172" i="1"/>
  <c r="IZ75" i="1"/>
  <c r="CH53" i="5" s="1"/>
  <c r="JA63" i="1"/>
  <c r="JA75" i="1"/>
  <c r="IU143" i="1"/>
  <c r="IU156" i="1"/>
  <c r="IU160" i="1"/>
  <c r="IU161" i="1"/>
  <c r="IT157" i="1"/>
  <c r="IU59" i="1"/>
  <c r="IU86" i="1"/>
  <c r="JM62" i="1"/>
  <c r="JL72" i="1"/>
  <c r="CL50" i="5" s="1"/>
  <c r="JM7" i="1"/>
  <c r="JL7" i="1"/>
  <c r="JM25" i="1"/>
  <c r="JJ63" i="1"/>
  <c r="JM63" i="1" s="1"/>
  <c r="JI74" i="1"/>
  <c r="JL74" i="1" s="1"/>
  <c r="JJ77" i="1"/>
  <c r="JM77" i="1" s="1"/>
  <c r="JM41" i="1"/>
  <c r="JI144" i="1"/>
  <c r="JI146" i="1"/>
  <c r="JL146" i="1" s="1"/>
  <c r="CM37" i="5" s="1"/>
  <c r="JL100" i="1"/>
  <c r="JL102" i="1"/>
  <c r="JI147" i="1"/>
  <c r="JL104" i="1"/>
  <c r="JI148" i="1"/>
  <c r="JL118" i="1"/>
  <c r="JI156" i="1"/>
  <c r="JL122" i="1"/>
  <c r="JI160" i="1"/>
  <c r="JI162" i="1"/>
  <c r="JL162" i="1" s="1"/>
  <c r="CM53" i="5" s="1"/>
  <c r="JL124" i="1"/>
  <c r="JI172" i="1"/>
  <c r="JL172" i="1" s="1"/>
  <c r="CM40" i="5" s="1"/>
  <c r="JL143" i="1"/>
  <c r="CM34" i="5" s="1"/>
  <c r="JJ56" i="1"/>
  <c r="JJ60" i="1"/>
  <c r="JM60" i="1" s="1"/>
  <c r="JI62" i="1"/>
  <c r="JL62" i="1" s="1"/>
  <c r="CL42" i="5" s="1"/>
  <c r="JM24" i="1"/>
  <c r="JM76" i="1"/>
  <c r="JM74" i="1"/>
  <c r="JK56" i="1"/>
  <c r="JM6" i="1"/>
  <c r="JL8" i="1"/>
  <c r="JI57" i="1"/>
  <c r="JL57" i="1" s="1"/>
  <c r="CL35" i="5" s="1"/>
  <c r="JL17" i="1"/>
  <c r="JI61" i="1"/>
  <c r="JL61" i="1" s="1"/>
  <c r="CL39" i="5" s="1"/>
  <c r="JI64" i="1"/>
  <c r="JL64" i="1" s="1"/>
  <c r="JL69" i="1"/>
  <c r="CL47" i="5" s="1"/>
  <c r="JJ73" i="1"/>
  <c r="JM73" i="1" s="1"/>
  <c r="JJ58" i="1"/>
  <c r="JM58" i="1" s="1"/>
  <c r="JJ85" i="1"/>
  <c r="JM85" i="1" s="1"/>
  <c r="JM143" i="1"/>
  <c r="JI145" i="1"/>
  <c r="JL145" i="1" s="1"/>
  <c r="CM36" i="5" s="1"/>
  <c r="JL97" i="1"/>
  <c r="JI149" i="1"/>
  <c r="JL149" i="1" s="1"/>
  <c r="CM42" i="5" s="1"/>
  <c r="JL109" i="1"/>
  <c r="JI150" i="1"/>
  <c r="JL150" i="1" s="1"/>
  <c r="CM43" i="5" s="1"/>
  <c r="JL112" i="1"/>
  <c r="JI159" i="1"/>
  <c r="JL121" i="1"/>
  <c r="JI161" i="1"/>
  <c r="JL161" i="1" s="1"/>
  <c r="CM52" i="5" s="1"/>
  <c r="JL123" i="1"/>
  <c r="JI163" i="1"/>
  <c r="JI164" i="1"/>
  <c r="JI173" i="1"/>
  <c r="JL173" i="1" s="1"/>
  <c r="CM45" i="5" s="1"/>
  <c r="JL6" i="1"/>
  <c r="JL10" i="1"/>
  <c r="JL15" i="1"/>
  <c r="JM31" i="1"/>
  <c r="JL34" i="1"/>
  <c r="JM37" i="1"/>
  <c r="JL39" i="1"/>
  <c r="JJ147" i="1"/>
  <c r="JM147" i="1" s="1"/>
  <c r="JJ159" i="1"/>
  <c r="JM159" i="1" s="1"/>
  <c r="JJ163" i="1"/>
  <c r="JM163" i="1" s="1"/>
  <c r="JM15" i="1"/>
  <c r="JL21" i="1"/>
  <c r="JM34" i="1"/>
  <c r="JM39" i="1"/>
  <c r="JL41" i="1"/>
  <c r="JL50" i="1"/>
  <c r="JJ144" i="1"/>
  <c r="JM144" i="1" s="1"/>
  <c r="JJ148" i="1"/>
  <c r="JM148" i="1" s="1"/>
  <c r="JJ156" i="1"/>
  <c r="JM156" i="1" s="1"/>
  <c r="JJ160" i="1"/>
  <c r="JM160" i="1" s="1"/>
  <c r="JJ164" i="1"/>
  <c r="JM164" i="1" s="1"/>
  <c r="JM97" i="1"/>
  <c r="JM109" i="1"/>
  <c r="JM123" i="1"/>
  <c r="JG74" i="1"/>
  <c r="JG6" i="1"/>
  <c r="JF7" i="1"/>
  <c r="JF9" i="1"/>
  <c r="JG10" i="1"/>
  <c r="JF12" i="1"/>
  <c r="JG13" i="1"/>
  <c r="JF14" i="1"/>
  <c r="JG15" i="1"/>
  <c r="JF16" i="1"/>
  <c r="JG17" i="1"/>
  <c r="JF51" i="1"/>
  <c r="JC86" i="1"/>
  <c r="JF86" i="1" s="1"/>
  <c r="CJ45" i="5" s="1"/>
  <c r="JD56" i="1"/>
  <c r="JG56" i="1" s="1"/>
  <c r="JF61" i="1"/>
  <c r="CJ39" i="5" s="1"/>
  <c r="JG72" i="1"/>
  <c r="JC56" i="1"/>
  <c r="JF6" i="1"/>
  <c r="JC58" i="1"/>
  <c r="JF10" i="1"/>
  <c r="JC60" i="1"/>
  <c r="JF15" i="1"/>
  <c r="JC64" i="1"/>
  <c r="JF64" i="1" s="1"/>
  <c r="JC72" i="1"/>
  <c r="JF72" i="1" s="1"/>
  <c r="CJ50" i="5" s="1"/>
  <c r="JC74" i="1"/>
  <c r="JF74" i="1" s="1"/>
  <c r="CJ52" i="5" s="1"/>
  <c r="JC76" i="1"/>
  <c r="JF76" i="1" s="1"/>
  <c r="CJ54" i="5" s="1"/>
  <c r="JD85" i="1"/>
  <c r="JG85" i="1" s="1"/>
  <c r="JG86" i="1"/>
  <c r="JD58" i="1"/>
  <c r="JG58" i="1" s="1"/>
  <c r="JG64" i="1"/>
  <c r="JG21" i="1"/>
  <c r="JD62" i="1"/>
  <c r="JG25" i="1"/>
  <c r="JD63" i="1"/>
  <c r="JG63" i="1" s="1"/>
  <c r="JD69" i="1"/>
  <c r="JG69" i="1" s="1"/>
  <c r="JD73" i="1"/>
  <c r="JG73" i="1" s="1"/>
  <c r="JD75" i="1"/>
  <c r="JG75" i="1" s="1"/>
  <c r="JD77" i="1"/>
  <c r="JG77" i="1" s="1"/>
  <c r="JF57" i="1"/>
  <c r="CJ35" i="5" s="1"/>
  <c r="JD60" i="1"/>
  <c r="JG60" i="1" s="1"/>
  <c r="JG76" i="1"/>
  <c r="JF145" i="1"/>
  <c r="CK36" i="5" s="1"/>
  <c r="JF147" i="1"/>
  <c r="CK38" i="5" s="1"/>
  <c r="JF149" i="1"/>
  <c r="CK42" i="5" s="1"/>
  <c r="JF159" i="1"/>
  <c r="CK50" i="5" s="1"/>
  <c r="JF161" i="1"/>
  <c r="CK52" i="5" s="1"/>
  <c r="JF163" i="1"/>
  <c r="CK54" i="5" s="1"/>
  <c r="JF172" i="1"/>
  <c r="CK40" i="5" s="1"/>
  <c r="JF93" i="1"/>
  <c r="JF94" i="1"/>
  <c r="JG93" i="1"/>
  <c r="IX56" i="1"/>
  <c r="IZ56" i="1" s="1"/>
  <c r="CH34" i="5" s="1"/>
  <c r="JA12" i="1"/>
  <c r="IZ12" i="1"/>
  <c r="IX60" i="1"/>
  <c r="JA21" i="1"/>
  <c r="IZ21" i="1"/>
  <c r="IX77" i="1"/>
  <c r="JA77" i="1" s="1"/>
  <c r="IZ8" i="1"/>
  <c r="IW57" i="1"/>
  <c r="IZ17" i="1"/>
  <c r="IW61" i="1"/>
  <c r="IW74" i="1"/>
  <c r="IZ74" i="1" s="1"/>
  <c r="CH52" i="5" s="1"/>
  <c r="CH138" i="5" s="1"/>
  <c r="IZ36" i="1"/>
  <c r="IY58" i="1"/>
  <c r="IW62" i="1"/>
  <c r="IW77" i="1"/>
  <c r="JA51" i="1"/>
  <c r="IW59" i="1"/>
  <c r="IX62" i="1"/>
  <c r="JA62" i="1" s="1"/>
  <c r="IX85" i="1"/>
  <c r="JA85" i="1" s="1"/>
  <c r="IW145" i="1"/>
  <c r="IZ97" i="1"/>
  <c r="IW149" i="1"/>
  <c r="IW150" i="1"/>
  <c r="IZ150" i="1" s="1"/>
  <c r="CI43" i="5" s="1"/>
  <c r="IZ112" i="1"/>
  <c r="IW161" i="1"/>
  <c r="IZ161" i="1" s="1"/>
  <c r="CI52" i="5" s="1"/>
  <c r="CI138" i="5" s="1"/>
  <c r="IZ123" i="1"/>
  <c r="IW164" i="1"/>
  <c r="IW173" i="1"/>
  <c r="IZ173" i="1" s="1"/>
  <c r="CI45" i="5" s="1"/>
  <c r="JA7" i="1"/>
  <c r="IZ7" i="1"/>
  <c r="JA16" i="1"/>
  <c r="IZ16" i="1"/>
  <c r="JA25" i="1"/>
  <c r="IZ25" i="1"/>
  <c r="IX73" i="1"/>
  <c r="JA73" i="1" s="1"/>
  <c r="JA35" i="1"/>
  <c r="IZ35" i="1"/>
  <c r="IW86" i="1"/>
  <c r="IZ86" i="1" s="1"/>
  <c r="CH45" i="5" s="1"/>
  <c r="IY56" i="1"/>
  <c r="JA6" i="1"/>
  <c r="IY60" i="1"/>
  <c r="JA15" i="1"/>
  <c r="IZ31" i="1"/>
  <c r="IY72" i="1"/>
  <c r="JA72" i="1" s="1"/>
  <c r="JA34" i="1"/>
  <c r="IZ37" i="1"/>
  <c r="IY76" i="1"/>
  <c r="IX58" i="1"/>
  <c r="IY61" i="1"/>
  <c r="IZ63" i="1"/>
  <c r="CH43" i="5" s="1"/>
  <c r="IZ70" i="1"/>
  <c r="IZ96" i="1"/>
  <c r="IW144" i="1"/>
  <c r="IW146" i="1"/>
  <c r="IZ100" i="1"/>
  <c r="IZ104" i="1"/>
  <c r="IW148" i="1"/>
  <c r="IZ118" i="1"/>
  <c r="IW156" i="1"/>
  <c r="IZ122" i="1"/>
  <c r="IW160" i="1"/>
  <c r="IW162" i="1"/>
  <c r="IZ162" i="1" s="1"/>
  <c r="CI53" i="5" s="1"/>
  <c r="IZ124" i="1"/>
  <c r="IW172" i="1"/>
  <c r="IZ172" i="1" s="1"/>
  <c r="CI40" i="5" s="1"/>
  <c r="IW147" i="1"/>
  <c r="IX147" i="1"/>
  <c r="JA147" i="1" s="1"/>
  <c r="IX159" i="1"/>
  <c r="JA159" i="1" s="1"/>
  <c r="IX163" i="1"/>
  <c r="JA163" i="1" s="1"/>
  <c r="IZ50" i="1"/>
  <c r="IX144" i="1"/>
  <c r="JA144" i="1" s="1"/>
  <c r="IX148" i="1"/>
  <c r="JA148" i="1" s="1"/>
  <c r="IX156" i="1"/>
  <c r="JA156" i="1" s="1"/>
  <c r="IX160" i="1"/>
  <c r="JA160" i="1" s="1"/>
  <c r="IX164" i="1"/>
  <c r="JA164" i="1" s="1"/>
  <c r="JA97" i="1"/>
  <c r="JA123" i="1"/>
  <c r="IT145" i="1"/>
  <c r="CG36" i="5" s="1"/>
  <c r="IU57" i="1"/>
  <c r="IT63" i="1"/>
  <c r="CF43" i="5" s="1"/>
  <c r="IT72" i="1"/>
  <c r="CF50" i="5" s="1"/>
  <c r="IT73" i="1"/>
  <c r="CF51" i="5" s="1"/>
  <c r="IT77" i="1"/>
  <c r="CF55" i="5" s="1"/>
  <c r="IT161" i="1"/>
  <c r="CG52" i="5" s="1"/>
  <c r="CG138" i="5" s="1"/>
  <c r="IU8" i="1"/>
  <c r="IU17" i="1"/>
  <c r="IU26" i="1"/>
  <c r="IT31" i="1"/>
  <c r="IU36" i="1"/>
  <c r="IT37" i="1"/>
  <c r="IU51" i="1"/>
  <c r="IT93" i="1"/>
  <c r="IT6" i="1"/>
  <c r="IT10" i="1"/>
  <c r="IT15" i="1"/>
  <c r="IU31" i="1"/>
  <c r="IT34" i="1"/>
  <c r="IU37" i="1"/>
  <c r="IT39" i="1"/>
  <c r="IU93" i="1"/>
  <c r="IT8" i="1"/>
  <c r="IT17" i="1"/>
  <c r="DG8" i="1"/>
  <c r="DF102" i="1"/>
  <c r="DG102" i="1"/>
  <c r="DF103" i="1"/>
  <c r="DG103" i="1"/>
  <c r="DF95" i="1"/>
  <c r="DG95" i="1"/>
  <c r="DF93" i="1"/>
  <c r="DG93" i="1"/>
  <c r="DC172" i="1"/>
  <c r="DC160" i="1"/>
  <c r="DC158" i="1"/>
  <c r="DD143" i="1"/>
  <c r="DF16" i="1"/>
  <c r="DG16" i="1"/>
  <c r="DC86" i="1"/>
  <c r="DC75" i="1"/>
  <c r="DF17" i="1"/>
  <c r="DC60" i="1"/>
  <c r="DC57" i="1"/>
  <c r="CU108" i="1"/>
  <c r="CT108" i="1"/>
  <c r="CU102" i="1"/>
  <c r="CQ173" i="1"/>
  <c r="CQ172" i="1"/>
  <c r="CR124" i="1"/>
  <c r="CQ124" i="1"/>
  <c r="CQ162" i="1" s="1"/>
  <c r="CR123" i="1"/>
  <c r="CU123" i="1" s="1"/>
  <c r="CQ123" i="1"/>
  <c r="CQ161" i="1" s="1"/>
  <c r="CR122" i="1"/>
  <c r="CU122" i="1" s="1"/>
  <c r="CQ122" i="1"/>
  <c r="CQ160" i="1" s="1"/>
  <c r="CR121" i="1"/>
  <c r="CQ121" i="1"/>
  <c r="CR112" i="1"/>
  <c r="CU112" i="1" s="1"/>
  <c r="CQ112" i="1"/>
  <c r="CQ150" i="1" s="1"/>
  <c r="CR111" i="1"/>
  <c r="CU111" i="1" s="1"/>
  <c r="CQ111" i="1"/>
  <c r="CR109" i="1"/>
  <c r="CQ109" i="1"/>
  <c r="CR106" i="1"/>
  <c r="CU106" i="1" s="1"/>
  <c r="CQ106" i="1"/>
  <c r="CR105" i="1"/>
  <c r="CU105" i="1" s="1"/>
  <c r="CQ105" i="1"/>
  <c r="CR104" i="1"/>
  <c r="CU104" i="1" s="1"/>
  <c r="CQ104" i="1"/>
  <c r="CR103" i="1"/>
  <c r="CU103" i="1" s="1"/>
  <c r="CQ103" i="1"/>
  <c r="CQ102" i="1"/>
  <c r="CR101" i="1"/>
  <c r="CU101" i="1" s="1"/>
  <c r="CQ101" i="1"/>
  <c r="CR100" i="1"/>
  <c r="CU100" i="1" s="1"/>
  <c r="CQ100" i="1"/>
  <c r="CR99" i="1"/>
  <c r="CU99" i="1" s="1"/>
  <c r="CQ99" i="1"/>
  <c r="CR98" i="1"/>
  <c r="CU98" i="1" s="1"/>
  <c r="CQ98" i="1"/>
  <c r="CR97" i="1"/>
  <c r="CU97" i="1" s="1"/>
  <c r="CQ97" i="1"/>
  <c r="CR96" i="1"/>
  <c r="CU96" i="1" s="1"/>
  <c r="CQ96" i="1"/>
  <c r="CR95" i="1"/>
  <c r="CU95" i="1" s="1"/>
  <c r="CQ95" i="1"/>
  <c r="CR94" i="1"/>
  <c r="CU94" i="1" s="1"/>
  <c r="CQ94" i="1"/>
  <c r="CR93" i="1"/>
  <c r="CU93" i="1" s="1"/>
  <c r="CQ93" i="1"/>
  <c r="CQ86" i="1"/>
  <c r="CQ73" i="1"/>
  <c r="CQ57" i="1"/>
  <c r="CN103" i="1"/>
  <c r="CO103" i="1"/>
  <c r="CN99" i="1"/>
  <c r="CO99" i="1"/>
  <c r="CN95" i="1"/>
  <c r="CO95" i="1"/>
  <c r="CL51" i="1"/>
  <c r="CK51" i="1"/>
  <c r="CL50" i="1"/>
  <c r="CL85" i="1" s="1"/>
  <c r="CK50" i="1"/>
  <c r="CL42" i="1"/>
  <c r="CK42" i="1"/>
  <c r="CK77" i="1" s="1"/>
  <c r="CL37" i="1"/>
  <c r="CL75" i="1" s="1"/>
  <c r="CK37" i="1"/>
  <c r="CK75" i="1" s="1"/>
  <c r="CL36" i="1"/>
  <c r="CL74" i="1" s="1"/>
  <c r="CK36" i="1"/>
  <c r="CK74" i="1" s="1"/>
  <c r="CL35" i="1"/>
  <c r="CO35" i="1" s="1"/>
  <c r="CK35" i="1"/>
  <c r="CL34" i="1"/>
  <c r="CO34" i="1" s="1"/>
  <c r="CK34" i="1"/>
  <c r="CL25" i="1"/>
  <c r="CO25" i="1" s="1"/>
  <c r="CK25" i="1"/>
  <c r="CK63" i="1" s="1"/>
  <c r="CL24" i="1"/>
  <c r="CO24" i="1" s="1"/>
  <c r="CK24" i="1"/>
  <c r="CL23" i="1"/>
  <c r="CO23" i="1" s="1"/>
  <c r="CK23" i="1"/>
  <c r="CL22" i="1"/>
  <c r="CK22" i="1"/>
  <c r="CL20" i="1"/>
  <c r="CO20" i="1" s="1"/>
  <c r="CK20" i="1"/>
  <c r="CL19" i="1"/>
  <c r="CO19" i="1" s="1"/>
  <c r="CK19" i="1"/>
  <c r="CL18" i="1"/>
  <c r="CO18" i="1" s="1"/>
  <c r="CK18" i="1"/>
  <c r="CL17" i="1"/>
  <c r="CK17" i="1"/>
  <c r="CL16" i="1"/>
  <c r="CK16" i="1"/>
  <c r="CK60" i="1" s="1"/>
  <c r="CL14" i="1"/>
  <c r="CO14" i="1" s="1"/>
  <c r="CK14" i="1"/>
  <c r="CL13" i="1"/>
  <c r="CK13" i="1"/>
  <c r="CL12" i="1"/>
  <c r="CO12" i="1" s="1"/>
  <c r="CK12" i="1"/>
  <c r="CL10" i="1"/>
  <c r="CK10" i="1"/>
  <c r="CL9" i="1"/>
  <c r="CK9" i="1"/>
  <c r="CL8" i="1"/>
  <c r="CO8" i="1" s="1"/>
  <c r="CK8" i="1"/>
  <c r="CH42" i="1"/>
  <c r="CI42" i="1"/>
  <c r="CH26" i="1"/>
  <c r="CI26" i="1"/>
  <c r="CH21" i="1"/>
  <c r="CI21" i="1"/>
  <c r="CH19" i="1"/>
  <c r="CI19" i="1"/>
  <c r="CH16" i="1"/>
  <c r="CI16" i="1"/>
  <c r="CH12" i="1"/>
  <c r="CI12" i="1"/>
  <c r="CH8" i="1"/>
  <c r="CI8" i="1"/>
  <c r="EO173" i="1"/>
  <c r="EO172" i="1"/>
  <c r="EO164" i="1"/>
  <c r="EO163" i="1"/>
  <c r="EO162" i="1"/>
  <c r="EO161" i="1"/>
  <c r="EO160" i="1"/>
  <c r="EO159" i="1"/>
  <c r="EO158" i="1"/>
  <c r="EO157" i="1"/>
  <c r="EO156" i="1"/>
  <c r="EO151" i="1"/>
  <c r="EO150" i="1"/>
  <c r="EO149" i="1"/>
  <c r="EO148" i="1"/>
  <c r="EO147" i="1"/>
  <c r="EN147" i="1"/>
  <c r="EM147" i="1"/>
  <c r="EO146" i="1"/>
  <c r="EO145" i="1"/>
  <c r="EO144" i="1"/>
  <c r="EO143" i="1"/>
  <c r="EM160" i="1"/>
  <c r="EM156" i="1"/>
  <c r="EM144" i="1"/>
  <c r="EO86" i="1"/>
  <c r="EO85" i="1"/>
  <c r="EO77" i="1"/>
  <c r="EO76" i="1"/>
  <c r="EO75" i="1"/>
  <c r="EO74" i="1"/>
  <c r="EO73" i="1"/>
  <c r="EO72" i="1"/>
  <c r="EO71" i="1"/>
  <c r="EO70" i="1"/>
  <c r="EN70" i="1"/>
  <c r="EM70" i="1"/>
  <c r="EO69" i="1"/>
  <c r="EO64" i="1"/>
  <c r="EN64" i="1"/>
  <c r="EM64" i="1"/>
  <c r="EO63" i="1"/>
  <c r="EO62" i="1"/>
  <c r="EO61" i="1"/>
  <c r="EO60" i="1"/>
  <c r="EO59" i="1"/>
  <c r="EO58" i="1"/>
  <c r="EO57" i="1"/>
  <c r="EO56" i="1"/>
  <c r="EM73" i="1"/>
  <c r="EN57" i="1"/>
  <c r="EM57" i="1"/>
  <c r="EI173" i="1"/>
  <c r="EI172" i="1"/>
  <c r="EI164" i="1"/>
  <c r="EI163" i="1"/>
  <c r="EI162" i="1"/>
  <c r="EI161" i="1"/>
  <c r="EI160" i="1"/>
  <c r="EI159" i="1"/>
  <c r="EI158" i="1"/>
  <c r="EI157" i="1"/>
  <c r="EI156" i="1"/>
  <c r="EI151" i="1"/>
  <c r="EI150" i="1"/>
  <c r="EI149" i="1"/>
  <c r="EI148" i="1"/>
  <c r="EI147" i="1"/>
  <c r="EH147" i="1"/>
  <c r="EG147" i="1"/>
  <c r="EI146" i="1"/>
  <c r="EI145" i="1"/>
  <c r="EI144" i="1"/>
  <c r="EI143" i="1"/>
  <c r="EG173" i="1"/>
  <c r="EG172" i="1"/>
  <c r="EG162" i="1"/>
  <c r="EG161" i="1"/>
  <c r="EG158" i="1"/>
  <c r="EG157" i="1"/>
  <c r="EG150" i="1"/>
  <c r="EG145" i="1"/>
  <c r="EI86" i="1"/>
  <c r="EI85" i="1"/>
  <c r="EI77" i="1"/>
  <c r="EI76" i="1"/>
  <c r="EI75" i="1"/>
  <c r="EI74" i="1"/>
  <c r="EI73" i="1"/>
  <c r="EI72" i="1"/>
  <c r="EI71" i="1"/>
  <c r="EI70" i="1"/>
  <c r="EH70" i="1"/>
  <c r="EG70" i="1"/>
  <c r="EI69" i="1"/>
  <c r="EI64" i="1"/>
  <c r="EH64" i="1"/>
  <c r="EG64" i="1"/>
  <c r="EI63" i="1"/>
  <c r="EI62" i="1"/>
  <c r="EI61" i="1"/>
  <c r="EI60" i="1"/>
  <c r="EI59" i="1"/>
  <c r="EI58" i="1"/>
  <c r="EI57" i="1"/>
  <c r="EI56" i="1"/>
  <c r="EG86" i="1"/>
  <c r="EG85" i="1"/>
  <c r="EG77" i="1"/>
  <c r="EG75" i="1"/>
  <c r="EG74" i="1"/>
  <c r="EG73" i="1"/>
  <c r="EG71" i="1"/>
  <c r="EG69" i="1"/>
  <c r="EG63" i="1"/>
  <c r="EH57" i="1"/>
  <c r="EG57" i="1"/>
  <c r="EC173" i="1"/>
  <c r="EC172" i="1"/>
  <c r="EC164" i="1"/>
  <c r="EC163" i="1"/>
  <c r="EC162" i="1"/>
  <c r="EC161" i="1"/>
  <c r="EC160" i="1"/>
  <c r="EC159" i="1"/>
  <c r="EC158" i="1"/>
  <c r="EC157" i="1"/>
  <c r="EC156" i="1"/>
  <c r="EC151" i="1"/>
  <c r="EC150" i="1"/>
  <c r="EC149" i="1"/>
  <c r="EC148" i="1"/>
  <c r="EC147" i="1"/>
  <c r="EB147" i="1"/>
  <c r="EA147" i="1"/>
  <c r="EC146" i="1"/>
  <c r="EC145" i="1"/>
  <c r="EC144" i="1"/>
  <c r="EC143" i="1"/>
  <c r="EA173" i="1"/>
  <c r="EA172" i="1"/>
  <c r="EA162" i="1"/>
  <c r="EA161" i="1"/>
  <c r="EA160" i="1"/>
  <c r="EA159" i="1"/>
  <c r="EA158" i="1"/>
  <c r="EA157" i="1"/>
  <c r="EA156" i="1"/>
  <c r="EA150" i="1"/>
  <c r="EA145" i="1"/>
  <c r="EA144" i="1"/>
  <c r="EA143" i="1"/>
  <c r="EC86" i="1"/>
  <c r="EC85" i="1"/>
  <c r="EC77" i="1"/>
  <c r="EC76" i="1"/>
  <c r="EC75" i="1"/>
  <c r="EC74" i="1"/>
  <c r="EC73" i="1"/>
  <c r="EC72" i="1"/>
  <c r="EC71" i="1"/>
  <c r="EC70" i="1"/>
  <c r="EB70" i="1"/>
  <c r="EA70" i="1"/>
  <c r="EC69" i="1"/>
  <c r="EC64" i="1"/>
  <c r="EB64" i="1"/>
  <c r="EA64" i="1"/>
  <c r="EC63" i="1"/>
  <c r="EC62" i="1"/>
  <c r="EC61" i="1"/>
  <c r="EC60" i="1"/>
  <c r="EC59" i="1"/>
  <c r="EC58" i="1"/>
  <c r="EC57" i="1"/>
  <c r="EC56" i="1"/>
  <c r="EA86" i="1"/>
  <c r="EA85" i="1"/>
  <c r="EA74" i="1"/>
  <c r="EA72" i="1"/>
  <c r="EA71" i="1"/>
  <c r="EA69" i="1"/>
  <c r="EA63" i="1"/>
  <c r="EA60" i="1"/>
  <c r="EB57" i="1"/>
  <c r="EB56" i="1"/>
  <c r="DW173" i="1"/>
  <c r="DW172" i="1"/>
  <c r="DW164" i="1"/>
  <c r="DW163" i="1"/>
  <c r="DW162" i="1"/>
  <c r="DW161" i="1"/>
  <c r="DW160" i="1"/>
  <c r="DW159" i="1"/>
  <c r="DW158" i="1"/>
  <c r="DW157" i="1"/>
  <c r="DW156" i="1"/>
  <c r="DW151" i="1"/>
  <c r="DW150" i="1"/>
  <c r="DW149" i="1"/>
  <c r="DW148" i="1"/>
  <c r="DW147" i="1"/>
  <c r="DV147" i="1"/>
  <c r="DU147" i="1"/>
  <c r="DW146" i="1"/>
  <c r="DW145" i="1"/>
  <c r="DW144" i="1"/>
  <c r="DW143" i="1"/>
  <c r="DU173" i="1"/>
  <c r="DU172" i="1"/>
  <c r="DU162" i="1"/>
  <c r="DU161" i="1"/>
  <c r="DU158" i="1"/>
  <c r="DU157" i="1"/>
  <c r="DU156" i="1"/>
  <c r="DU151" i="1"/>
  <c r="DU150" i="1"/>
  <c r="DU148" i="1"/>
  <c r="DU145" i="1"/>
  <c r="DU144" i="1"/>
  <c r="DV143" i="1"/>
  <c r="DU143" i="1"/>
  <c r="DW86" i="1"/>
  <c r="DW85" i="1"/>
  <c r="DW77" i="1"/>
  <c r="DW76" i="1"/>
  <c r="DW75" i="1"/>
  <c r="DW74" i="1"/>
  <c r="DW73" i="1"/>
  <c r="DW72" i="1"/>
  <c r="DW71" i="1"/>
  <c r="DW70" i="1"/>
  <c r="DV70" i="1"/>
  <c r="DU70" i="1"/>
  <c r="DW69" i="1"/>
  <c r="DW64" i="1"/>
  <c r="DV64" i="1"/>
  <c r="DU64" i="1"/>
  <c r="DW63" i="1"/>
  <c r="DW62" i="1"/>
  <c r="DW61" i="1"/>
  <c r="DW60" i="1"/>
  <c r="DW59" i="1"/>
  <c r="DW58" i="1"/>
  <c r="DW57" i="1"/>
  <c r="DW56" i="1"/>
  <c r="DU86" i="1"/>
  <c r="DU85" i="1"/>
  <c r="DU75" i="1"/>
  <c r="DU74" i="1"/>
  <c r="DU73" i="1"/>
  <c r="DU71" i="1"/>
  <c r="DU63" i="1"/>
  <c r="DV57" i="1"/>
  <c r="DU57" i="1"/>
  <c r="DU56" i="1"/>
  <c r="DQ173" i="1"/>
  <c r="DQ172" i="1"/>
  <c r="DQ164" i="1"/>
  <c r="DQ163" i="1"/>
  <c r="DQ162" i="1"/>
  <c r="DQ161" i="1"/>
  <c r="DQ160" i="1"/>
  <c r="DQ159" i="1"/>
  <c r="DQ158" i="1"/>
  <c r="DQ157" i="1"/>
  <c r="DQ156" i="1"/>
  <c r="DQ151" i="1"/>
  <c r="DQ150" i="1"/>
  <c r="DQ149" i="1"/>
  <c r="DQ148" i="1"/>
  <c r="DQ147" i="1"/>
  <c r="DP147" i="1"/>
  <c r="DO147" i="1"/>
  <c r="DQ146" i="1"/>
  <c r="DQ145" i="1"/>
  <c r="DQ144" i="1"/>
  <c r="DQ143" i="1"/>
  <c r="DO173" i="1"/>
  <c r="DO172" i="1"/>
  <c r="DS126" i="1"/>
  <c r="DS125" i="1"/>
  <c r="DO162" i="1"/>
  <c r="DO161" i="1"/>
  <c r="DO160" i="1"/>
  <c r="DS121" i="1"/>
  <c r="DO158" i="1"/>
  <c r="DO157" i="1"/>
  <c r="DO156" i="1"/>
  <c r="DS113" i="1"/>
  <c r="DO150" i="1"/>
  <c r="DS111" i="1"/>
  <c r="DS107" i="1"/>
  <c r="DS101" i="1"/>
  <c r="DO145" i="1"/>
  <c r="DO144" i="1"/>
  <c r="DS94" i="1"/>
  <c r="DQ86" i="1"/>
  <c r="DQ85" i="1"/>
  <c r="DQ77" i="1"/>
  <c r="DQ76" i="1"/>
  <c r="DQ75" i="1"/>
  <c r="DQ74" i="1"/>
  <c r="DQ73" i="1"/>
  <c r="DQ72" i="1"/>
  <c r="DQ71" i="1"/>
  <c r="DQ70" i="1"/>
  <c r="DP70" i="1"/>
  <c r="DO70" i="1"/>
  <c r="DQ69" i="1"/>
  <c r="DQ64" i="1"/>
  <c r="DP64" i="1"/>
  <c r="DO64" i="1"/>
  <c r="DQ63" i="1"/>
  <c r="DQ62" i="1"/>
  <c r="DQ61" i="1"/>
  <c r="DQ60" i="1"/>
  <c r="DQ59" i="1"/>
  <c r="DQ58" i="1"/>
  <c r="DQ57" i="1"/>
  <c r="DQ56" i="1"/>
  <c r="DO86" i="1"/>
  <c r="DO85" i="1"/>
  <c r="DO77" i="1"/>
  <c r="DS39" i="1"/>
  <c r="DS38" i="1"/>
  <c r="DO75" i="1"/>
  <c r="DO74" i="1"/>
  <c r="DO73" i="1"/>
  <c r="DS34" i="1"/>
  <c r="DO71" i="1"/>
  <c r="DO69" i="1"/>
  <c r="DO63" i="1"/>
  <c r="DS24" i="1"/>
  <c r="DS14" i="1"/>
  <c r="DP59" i="1"/>
  <c r="DP58" i="1"/>
  <c r="DP57" i="1"/>
  <c r="DO57" i="1"/>
  <c r="DK173" i="1"/>
  <c r="DK172" i="1"/>
  <c r="DK164" i="1"/>
  <c r="DK163" i="1"/>
  <c r="DK162" i="1"/>
  <c r="DK161" i="1"/>
  <c r="DK160" i="1"/>
  <c r="DK159" i="1"/>
  <c r="DK158" i="1"/>
  <c r="DK157" i="1"/>
  <c r="DK156" i="1"/>
  <c r="DK151" i="1"/>
  <c r="DK150" i="1"/>
  <c r="DK149" i="1"/>
  <c r="DK148" i="1"/>
  <c r="DK147" i="1"/>
  <c r="DJ147" i="1"/>
  <c r="DI147" i="1"/>
  <c r="DK146" i="1"/>
  <c r="DK145" i="1"/>
  <c r="DK144" i="1"/>
  <c r="DK143" i="1"/>
  <c r="DI173" i="1"/>
  <c r="DI172" i="1"/>
  <c r="DM126" i="1"/>
  <c r="DI162" i="1"/>
  <c r="DI161" i="1"/>
  <c r="DM121" i="1"/>
  <c r="DI158" i="1"/>
  <c r="DI157" i="1"/>
  <c r="DI156" i="1"/>
  <c r="DI150" i="1"/>
  <c r="DM101" i="1"/>
  <c r="DI145" i="1"/>
  <c r="DI144" i="1"/>
  <c r="DM94" i="1"/>
  <c r="DK86" i="1"/>
  <c r="DK85" i="1"/>
  <c r="DK77" i="1"/>
  <c r="DK76" i="1"/>
  <c r="DK75" i="1"/>
  <c r="DK74" i="1"/>
  <c r="DK73" i="1"/>
  <c r="DK72" i="1"/>
  <c r="DK71" i="1"/>
  <c r="DK70" i="1"/>
  <c r="DJ70" i="1"/>
  <c r="DI70" i="1"/>
  <c r="DK69" i="1"/>
  <c r="DK64" i="1"/>
  <c r="DJ64" i="1"/>
  <c r="DI64" i="1"/>
  <c r="DK63" i="1"/>
  <c r="DK62" i="1"/>
  <c r="DK61" i="1"/>
  <c r="DK60" i="1"/>
  <c r="DK59" i="1"/>
  <c r="DK58" i="1"/>
  <c r="DK57" i="1"/>
  <c r="DK56" i="1"/>
  <c r="DI77" i="1"/>
  <c r="DM39" i="1"/>
  <c r="DM38" i="1"/>
  <c r="DI73" i="1"/>
  <c r="DM34" i="1"/>
  <c r="DM33" i="1"/>
  <c r="DI69" i="1"/>
  <c r="DM25" i="1"/>
  <c r="DM24" i="1"/>
  <c r="DM20" i="1"/>
  <c r="DM18" i="1"/>
  <c r="DM15" i="1"/>
  <c r="DM14" i="1"/>
  <c r="DM13" i="1"/>
  <c r="DJ57" i="1"/>
  <c r="DE173" i="1"/>
  <c r="DE172" i="1"/>
  <c r="DE164" i="1"/>
  <c r="DE163" i="1"/>
  <c r="DE162" i="1"/>
  <c r="DE161" i="1"/>
  <c r="DE160" i="1"/>
  <c r="DE159" i="1"/>
  <c r="DE158" i="1"/>
  <c r="DE157" i="1"/>
  <c r="DE156" i="1"/>
  <c r="DE151" i="1"/>
  <c r="DE150" i="1"/>
  <c r="DE149" i="1"/>
  <c r="DE148" i="1"/>
  <c r="DE147" i="1"/>
  <c r="DD147" i="1"/>
  <c r="DC147" i="1"/>
  <c r="DE146" i="1"/>
  <c r="DE145" i="1"/>
  <c r="DE144" i="1"/>
  <c r="DE143" i="1"/>
  <c r="DC173" i="1"/>
  <c r="DC162" i="1"/>
  <c r="DC161" i="1"/>
  <c r="DD159" i="1"/>
  <c r="DC159" i="1"/>
  <c r="DC157" i="1"/>
  <c r="DC156" i="1"/>
  <c r="DD151" i="1"/>
  <c r="DC151" i="1"/>
  <c r="DC150" i="1"/>
  <c r="DC145" i="1"/>
  <c r="DC144" i="1"/>
  <c r="DC143" i="1"/>
  <c r="DE86" i="1"/>
  <c r="DE85" i="1"/>
  <c r="DE77" i="1"/>
  <c r="DE76" i="1"/>
  <c r="DE75" i="1"/>
  <c r="DE74" i="1"/>
  <c r="DE73" i="1"/>
  <c r="DE72" i="1"/>
  <c r="DE71" i="1"/>
  <c r="DE70" i="1"/>
  <c r="DD70" i="1"/>
  <c r="DC70" i="1"/>
  <c r="DE69" i="1"/>
  <c r="DE64" i="1"/>
  <c r="DD64" i="1"/>
  <c r="DC64" i="1"/>
  <c r="DE63" i="1"/>
  <c r="DE62" i="1"/>
  <c r="DE61" i="1"/>
  <c r="DE60" i="1"/>
  <c r="DE59" i="1"/>
  <c r="DE58" i="1"/>
  <c r="DE57" i="1"/>
  <c r="DE56" i="1"/>
  <c r="DC85" i="1"/>
  <c r="DC77" i="1"/>
  <c r="DC74" i="1"/>
  <c r="DC73" i="1"/>
  <c r="DC71" i="1"/>
  <c r="DC69" i="1"/>
  <c r="DC63" i="1"/>
  <c r="DG18" i="1"/>
  <c r="DG15" i="1"/>
  <c r="DG14" i="1"/>
  <c r="DF14" i="1"/>
  <c r="DD58" i="1"/>
  <c r="CY173" i="1"/>
  <c r="CY172" i="1"/>
  <c r="CY164" i="1"/>
  <c r="CY163" i="1"/>
  <c r="CY162" i="1"/>
  <c r="CY161" i="1"/>
  <c r="CY160" i="1"/>
  <c r="CY159" i="1"/>
  <c r="CY158" i="1"/>
  <c r="CY157" i="1"/>
  <c r="CY156" i="1"/>
  <c r="CY151" i="1"/>
  <c r="CY150" i="1"/>
  <c r="CY149" i="1"/>
  <c r="CY148" i="1"/>
  <c r="CY147" i="1"/>
  <c r="CX147" i="1"/>
  <c r="CW147" i="1"/>
  <c r="CY146" i="1"/>
  <c r="CY145" i="1"/>
  <c r="CY144" i="1"/>
  <c r="CY143" i="1"/>
  <c r="CX127" i="1"/>
  <c r="DA127" i="1" s="1"/>
  <c r="CW127" i="1"/>
  <c r="CX126" i="1"/>
  <c r="DA126" i="1" s="1"/>
  <c r="CW126" i="1"/>
  <c r="CX125" i="1"/>
  <c r="CW125" i="1"/>
  <c r="CX124" i="1"/>
  <c r="DA124" i="1" s="1"/>
  <c r="CW124" i="1"/>
  <c r="CX123" i="1"/>
  <c r="CX161" i="1" s="1"/>
  <c r="CW123" i="1"/>
  <c r="CX122" i="1"/>
  <c r="CW122" i="1"/>
  <c r="CX121" i="1"/>
  <c r="CW121" i="1"/>
  <c r="CX120" i="1"/>
  <c r="CW120" i="1"/>
  <c r="CX119" i="1"/>
  <c r="DA119" i="1" s="1"/>
  <c r="CW119" i="1"/>
  <c r="CX118" i="1"/>
  <c r="CX156" i="1" s="1"/>
  <c r="CW118" i="1"/>
  <c r="CX113" i="1"/>
  <c r="CW113" i="1"/>
  <c r="CX112" i="1"/>
  <c r="DA112" i="1" s="1"/>
  <c r="CW112" i="1"/>
  <c r="CX111" i="1"/>
  <c r="DA111" i="1" s="1"/>
  <c r="CW111" i="1"/>
  <c r="CX109" i="1"/>
  <c r="DA109" i="1" s="1"/>
  <c r="CW109" i="1"/>
  <c r="CX108" i="1"/>
  <c r="CW108" i="1"/>
  <c r="CX107" i="1"/>
  <c r="DA107" i="1" s="1"/>
  <c r="CW107" i="1"/>
  <c r="CX105" i="1"/>
  <c r="DA105" i="1" s="1"/>
  <c r="CW105" i="1"/>
  <c r="CX104" i="1"/>
  <c r="CW104" i="1"/>
  <c r="CX101" i="1"/>
  <c r="DA101" i="1" s="1"/>
  <c r="CW101" i="1"/>
  <c r="CX100" i="1"/>
  <c r="DA100" i="1" s="1"/>
  <c r="CW100" i="1"/>
  <c r="CX97" i="1"/>
  <c r="CX145" i="1" s="1"/>
  <c r="CW97" i="1"/>
  <c r="CX96" i="1"/>
  <c r="CW96" i="1"/>
  <c r="CX94" i="1"/>
  <c r="CW94" i="1"/>
  <c r="CY86" i="1"/>
  <c r="CY85" i="1"/>
  <c r="CY77" i="1"/>
  <c r="CY76" i="1"/>
  <c r="CY75" i="1"/>
  <c r="CY74" i="1"/>
  <c r="CY73" i="1"/>
  <c r="CY72" i="1"/>
  <c r="CY71" i="1"/>
  <c r="CY70" i="1"/>
  <c r="CX70" i="1"/>
  <c r="CW70" i="1"/>
  <c r="CY69" i="1"/>
  <c r="CY64" i="1"/>
  <c r="CX64" i="1"/>
  <c r="CW64" i="1"/>
  <c r="CY63" i="1"/>
  <c r="CY62" i="1"/>
  <c r="CY61" i="1"/>
  <c r="CY60" i="1"/>
  <c r="CY59" i="1"/>
  <c r="CY58" i="1"/>
  <c r="CY57" i="1"/>
  <c r="CY56" i="1"/>
  <c r="CX51" i="1"/>
  <c r="CW51" i="1"/>
  <c r="CX50" i="1"/>
  <c r="DA50" i="1" s="1"/>
  <c r="CW50" i="1"/>
  <c r="CX41" i="1"/>
  <c r="CX77" i="1" s="1"/>
  <c r="CW41" i="1"/>
  <c r="CX39" i="1"/>
  <c r="DA39" i="1" s="1"/>
  <c r="CW39" i="1"/>
  <c r="CX38" i="1"/>
  <c r="CW38" i="1"/>
  <c r="CX37" i="1"/>
  <c r="CW37" i="1"/>
  <c r="CX36" i="1"/>
  <c r="DA36" i="1" s="1"/>
  <c r="CW36" i="1"/>
  <c r="CX35" i="1"/>
  <c r="CX73" i="1" s="1"/>
  <c r="CW35" i="1"/>
  <c r="CX34" i="1"/>
  <c r="CW34" i="1"/>
  <c r="CX33" i="1"/>
  <c r="DA33" i="1" s="1"/>
  <c r="CW33" i="1"/>
  <c r="CX31" i="1"/>
  <c r="CX69" i="1" s="1"/>
  <c r="CW31" i="1"/>
  <c r="CX25" i="1"/>
  <c r="DA25" i="1" s="1"/>
  <c r="CW25" i="1"/>
  <c r="CX24" i="1"/>
  <c r="DA24" i="1" s="1"/>
  <c r="CW24" i="1"/>
  <c r="CX22" i="1"/>
  <c r="DA22" i="1" s="1"/>
  <c r="CW22" i="1"/>
  <c r="CX20" i="1"/>
  <c r="DA20" i="1" s="1"/>
  <c r="CW20" i="1"/>
  <c r="CX18" i="1"/>
  <c r="DA18" i="1" s="1"/>
  <c r="CW18" i="1"/>
  <c r="CX17" i="1"/>
  <c r="CW17" i="1"/>
  <c r="CX15" i="1"/>
  <c r="CW15" i="1"/>
  <c r="CX14" i="1"/>
  <c r="DA14" i="1" s="1"/>
  <c r="CW14" i="1"/>
  <c r="CX13" i="1"/>
  <c r="CW13" i="1"/>
  <c r="CX11" i="1"/>
  <c r="DA11" i="1" s="1"/>
  <c r="CW11" i="1"/>
  <c r="CX10" i="1"/>
  <c r="DA10" i="1" s="1"/>
  <c r="CW10" i="1"/>
  <c r="CX9" i="1"/>
  <c r="CX57" i="1" s="1"/>
  <c r="CW9" i="1"/>
  <c r="CW57" i="1" s="1"/>
  <c r="CX7" i="1"/>
  <c r="DA7" i="1" s="1"/>
  <c r="CW7" i="1"/>
  <c r="CX6" i="1"/>
  <c r="CW6" i="1"/>
  <c r="CS173" i="1"/>
  <c r="CS172" i="1"/>
  <c r="CS164" i="1"/>
  <c r="CS163" i="1"/>
  <c r="CS162" i="1"/>
  <c r="CS161" i="1"/>
  <c r="CS160" i="1"/>
  <c r="CS159" i="1"/>
  <c r="CS158" i="1"/>
  <c r="CS157" i="1"/>
  <c r="CS156" i="1"/>
  <c r="CS151" i="1"/>
  <c r="CS150" i="1"/>
  <c r="CS149" i="1"/>
  <c r="CS148" i="1"/>
  <c r="CS147" i="1"/>
  <c r="CS146" i="1"/>
  <c r="CS145" i="1"/>
  <c r="CS144" i="1"/>
  <c r="CS143" i="1"/>
  <c r="CQ158" i="1"/>
  <c r="CQ157" i="1"/>
  <c r="CS86" i="1"/>
  <c r="CS85" i="1"/>
  <c r="CS77" i="1"/>
  <c r="CS76" i="1"/>
  <c r="CS75" i="1"/>
  <c r="CS74" i="1"/>
  <c r="CS73" i="1"/>
  <c r="CS72" i="1"/>
  <c r="CS71" i="1"/>
  <c r="CS70" i="1"/>
  <c r="CR70" i="1"/>
  <c r="CQ70" i="1"/>
  <c r="CS69" i="1"/>
  <c r="CS64" i="1"/>
  <c r="CR64" i="1"/>
  <c r="CQ64" i="1"/>
  <c r="CS63" i="1"/>
  <c r="CS62" i="1"/>
  <c r="CS61" i="1"/>
  <c r="CS60" i="1"/>
  <c r="CS59" i="1"/>
  <c r="CS58" i="1"/>
  <c r="CS57" i="1"/>
  <c r="CS56" i="1"/>
  <c r="CQ85" i="1"/>
  <c r="CQ77" i="1"/>
  <c r="CQ75" i="1"/>
  <c r="CQ74" i="1"/>
  <c r="CQ71" i="1"/>
  <c r="CQ69" i="1"/>
  <c r="CQ63" i="1"/>
  <c r="CR57" i="1"/>
  <c r="CM173" i="1"/>
  <c r="CM172" i="1"/>
  <c r="CM164" i="1"/>
  <c r="CM163" i="1"/>
  <c r="CM162" i="1"/>
  <c r="CM161" i="1"/>
  <c r="CM160" i="1"/>
  <c r="CM159" i="1"/>
  <c r="CM158" i="1"/>
  <c r="CM157" i="1"/>
  <c r="CM156" i="1"/>
  <c r="CM151" i="1"/>
  <c r="CM150" i="1"/>
  <c r="CM149" i="1"/>
  <c r="CM148" i="1"/>
  <c r="CM147" i="1"/>
  <c r="CL147" i="1"/>
  <c r="CK147" i="1"/>
  <c r="CM146" i="1"/>
  <c r="CM145" i="1"/>
  <c r="CM144" i="1"/>
  <c r="CM143" i="1"/>
  <c r="CK173" i="1"/>
  <c r="CL172" i="1"/>
  <c r="CK172" i="1"/>
  <c r="CO124" i="1"/>
  <c r="CK162" i="1"/>
  <c r="CL161" i="1"/>
  <c r="CK161" i="1"/>
  <c r="CO122" i="1"/>
  <c r="CO121" i="1"/>
  <c r="CK158" i="1"/>
  <c r="CL157" i="1"/>
  <c r="CK157" i="1"/>
  <c r="CO113" i="1"/>
  <c r="CO112" i="1"/>
  <c r="CK150" i="1"/>
  <c r="CO111" i="1"/>
  <c r="CO109" i="1"/>
  <c r="CO107" i="1"/>
  <c r="CO105" i="1"/>
  <c r="CO104" i="1"/>
  <c r="CO101" i="1"/>
  <c r="CO100" i="1"/>
  <c r="CL145" i="1"/>
  <c r="CK145" i="1"/>
  <c r="CO96" i="1"/>
  <c r="CM86" i="1"/>
  <c r="CM85" i="1"/>
  <c r="CM77" i="1"/>
  <c r="CM76" i="1"/>
  <c r="CM75" i="1"/>
  <c r="CM74" i="1"/>
  <c r="CM73" i="1"/>
  <c r="CM72" i="1"/>
  <c r="CM71" i="1"/>
  <c r="CM70" i="1"/>
  <c r="CL70" i="1"/>
  <c r="CK70" i="1"/>
  <c r="CM69" i="1"/>
  <c r="CM64" i="1"/>
  <c r="CL64" i="1"/>
  <c r="CK64" i="1"/>
  <c r="CM63" i="1"/>
  <c r="CM62" i="1"/>
  <c r="CM61" i="1"/>
  <c r="CM60" i="1"/>
  <c r="CM59" i="1"/>
  <c r="CM58" i="1"/>
  <c r="CM57" i="1"/>
  <c r="CM56" i="1"/>
  <c r="CL76" i="1"/>
  <c r="CK76" i="1"/>
  <c r="CK71" i="1"/>
  <c r="CO11" i="1"/>
  <c r="CO6" i="1"/>
  <c r="CG173" i="1"/>
  <c r="CG172" i="1"/>
  <c r="CG164" i="1"/>
  <c r="CG163" i="1"/>
  <c r="CG162" i="1"/>
  <c r="CG161" i="1"/>
  <c r="CG160" i="1"/>
  <c r="CG159" i="1"/>
  <c r="CG158" i="1"/>
  <c r="CG157" i="1"/>
  <c r="CG156" i="1"/>
  <c r="CG151" i="1"/>
  <c r="CG150" i="1"/>
  <c r="CG149" i="1"/>
  <c r="CG148" i="1"/>
  <c r="CG147" i="1"/>
  <c r="CF147" i="1"/>
  <c r="CE147" i="1"/>
  <c r="CG146" i="1"/>
  <c r="CG145" i="1"/>
  <c r="CG144" i="1"/>
  <c r="CG143" i="1"/>
  <c r="CE173" i="1"/>
  <c r="CE172" i="1"/>
  <c r="CE162" i="1"/>
  <c r="CE161" i="1"/>
  <c r="CE160" i="1"/>
  <c r="CE159" i="1"/>
  <c r="CE158" i="1"/>
  <c r="CE157" i="1"/>
  <c r="CE156" i="1"/>
  <c r="CE151" i="1"/>
  <c r="CE150" i="1"/>
  <c r="CE148" i="1"/>
  <c r="CE146" i="1"/>
  <c r="CE145" i="1"/>
  <c r="CE144" i="1"/>
  <c r="CE143" i="1"/>
  <c r="CG86" i="1"/>
  <c r="CG85" i="1"/>
  <c r="CG77" i="1"/>
  <c r="CG76" i="1"/>
  <c r="CG75" i="1"/>
  <c r="CG74" i="1"/>
  <c r="CG73" i="1"/>
  <c r="CG72" i="1"/>
  <c r="CG71" i="1"/>
  <c r="CG70" i="1"/>
  <c r="CF70" i="1"/>
  <c r="CE70" i="1"/>
  <c r="CG69" i="1"/>
  <c r="CG64" i="1"/>
  <c r="CF64" i="1"/>
  <c r="CE64" i="1"/>
  <c r="CG63" i="1"/>
  <c r="CG62" i="1"/>
  <c r="CG61" i="1"/>
  <c r="CG60" i="1"/>
  <c r="CG59" i="1"/>
  <c r="CG58" i="1"/>
  <c r="CG57" i="1"/>
  <c r="CG56" i="1"/>
  <c r="CE86" i="1"/>
  <c r="CE85" i="1"/>
  <c r="CE77" i="1"/>
  <c r="CE75" i="1"/>
  <c r="CE74" i="1"/>
  <c r="CE73" i="1"/>
  <c r="CE72" i="1"/>
  <c r="CE71" i="1"/>
  <c r="CE69" i="1"/>
  <c r="CE63" i="1"/>
  <c r="CI18" i="1"/>
  <c r="CE60" i="1"/>
  <c r="CI14" i="1"/>
  <c r="CH13" i="1"/>
  <c r="CE57" i="1"/>
  <c r="BY172" i="1"/>
  <c r="BZ127" i="1"/>
  <c r="CC127" i="1" s="1"/>
  <c r="BY127" i="1"/>
  <c r="BY164" i="1" s="1"/>
  <c r="BZ126" i="1"/>
  <c r="BY126" i="1"/>
  <c r="BZ125" i="1"/>
  <c r="CC125" i="1" s="1"/>
  <c r="BY125" i="1"/>
  <c r="BZ124" i="1"/>
  <c r="BY124" i="1"/>
  <c r="BY162" i="1" s="1"/>
  <c r="BZ123" i="1"/>
  <c r="CC123" i="1" s="1"/>
  <c r="BY123" i="1"/>
  <c r="BY161" i="1" s="1"/>
  <c r="BZ122" i="1"/>
  <c r="BY122" i="1"/>
  <c r="BY160" i="1" s="1"/>
  <c r="BZ121" i="1"/>
  <c r="BZ159" i="1" s="1"/>
  <c r="BY121" i="1"/>
  <c r="BY159" i="1" s="1"/>
  <c r="BZ120" i="1"/>
  <c r="BY120" i="1"/>
  <c r="BY158" i="1" s="1"/>
  <c r="BZ119" i="1"/>
  <c r="CC119" i="1" s="1"/>
  <c r="BY119" i="1"/>
  <c r="BY157" i="1" s="1"/>
  <c r="BZ118" i="1"/>
  <c r="CC118" i="1" s="1"/>
  <c r="BY118" i="1"/>
  <c r="BY156" i="1" s="1"/>
  <c r="BZ113" i="1"/>
  <c r="CC113" i="1" s="1"/>
  <c r="BY113" i="1"/>
  <c r="BY151" i="1" s="1"/>
  <c r="BZ112" i="1"/>
  <c r="BY112" i="1"/>
  <c r="BY150" i="1" s="1"/>
  <c r="BZ111" i="1"/>
  <c r="CC111" i="1" s="1"/>
  <c r="BY111" i="1"/>
  <c r="BZ109" i="1"/>
  <c r="BY109" i="1"/>
  <c r="BZ108" i="1"/>
  <c r="CC108" i="1" s="1"/>
  <c r="BY108" i="1"/>
  <c r="BZ107" i="1"/>
  <c r="CC107" i="1" s="1"/>
  <c r="BY107" i="1"/>
  <c r="BZ105" i="1"/>
  <c r="CC105" i="1" s="1"/>
  <c r="BY105" i="1"/>
  <c r="BZ104" i="1"/>
  <c r="BY104" i="1"/>
  <c r="BZ101" i="1"/>
  <c r="CC101" i="1" s="1"/>
  <c r="BY101" i="1"/>
  <c r="BZ100" i="1"/>
  <c r="CC100" i="1" s="1"/>
  <c r="BY100" i="1"/>
  <c r="BZ97" i="1"/>
  <c r="CC97" i="1" s="1"/>
  <c r="BY97" i="1"/>
  <c r="BY145" i="1" s="1"/>
  <c r="BZ96" i="1"/>
  <c r="BZ144" i="1" s="1"/>
  <c r="BY96" i="1"/>
  <c r="BY144" i="1" s="1"/>
  <c r="BZ94" i="1"/>
  <c r="CC94" i="1" s="1"/>
  <c r="BY94" i="1"/>
  <c r="BY143" i="1" s="1"/>
  <c r="BZ51" i="1"/>
  <c r="CC51" i="1" s="1"/>
  <c r="BY51" i="1"/>
  <c r="BY86" i="1" s="1"/>
  <c r="BZ50" i="1"/>
  <c r="BZ85" i="1" s="1"/>
  <c r="BY50" i="1"/>
  <c r="BY85" i="1" s="1"/>
  <c r="BZ41" i="1"/>
  <c r="CC41" i="1" s="1"/>
  <c r="BY41" i="1"/>
  <c r="BY77" i="1" s="1"/>
  <c r="BZ39" i="1"/>
  <c r="CC39" i="1" s="1"/>
  <c r="BY39" i="1"/>
  <c r="BZ38" i="1"/>
  <c r="CC38" i="1" s="1"/>
  <c r="BY38" i="1"/>
  <c r="BZ37" i="1"/>
  <c r="CC37" i="1" s="1"/>
  <c r="BY37" i="1"/>
  <c r="BY75" i="1" s="1"/>
  <c r="BZ36" i="1"/>
  <c r="BZ74" i="1" s="1"/>
  <c r="BY36" i="1"/>
  <c r="BY74" i="1" s="1"/>
  <c r="BZ35" i="1"/>
  <c r="CC35" i="1" s="1"/>
  <c r="BY35" i="1"/>
  <c r="BY73" i="1" s="1"/>
  <c r="BZ34" i="1"/>
  <c r="CC34" i="1" s="1"/>
  <c r="BY34" i="1"/>
  <c r="BY72" i="1" s="1"/>
  <c r="BZ33" i="1"/>
  <c r="CC33" i="1" s="1"/>
  <c r="BY33" i="1"/>
  <c r="BY71" i="1" s="1"/>
  <c r="BZ31" i="1"/>
  <c r="CC31" i="1" s="1"/>
  <c r="BY31" i="1"/>
  <c r="BY69" i="1" s="1"/>
  <c r="BZ25" i="1"/>
  <c r="CC25" i="1" s="1"/>
  <c r="BY25" i="1"/>
  <c r="BY63" i="1" s="1"/>
  <c r="BZ24" i="1"/>
  <c r="CC24" i="1" s="1"/>
  <c r="BY24" i="1"/>
  <c r="BZ22" i="1"/>
  <c r="BY22" i="1"/>
  <c r="BZ20" i="1"/>
  <c r="CC20" i="1" s="1"/>
  <c r="BY20" i="1"/>
  <c r="BZ18" i="1"/>
  <c r="BY18" i="1"/>
  <c r="BZ17" i="1"/>
  <c r="CC17" i="1" s="1"/>
  <c r="BY17" i="1"/>
  <c r="BZ15" i="1"/>
  <c r="CC15" i="1" s="1"/>
  <c r="BY15" i="1"/>
  <c r="BY60" i="1" s="1"/>
  <c r="BZ14" i="1"/>
  <c r="CC14" i="1" s="1"/>
  <c r="BY14" i="1"/>
  <c r="BZ13" i="1"/>
  <c r="CC13" i="1" s="1"/>
  <c r="BY13" i="1"/>
  <c r="BZ11" i="1"/>
  <c r="BY11" i="1"/>
  <c r="BZ10" i="1"/>
  <c r="BY10" i="1"/>
  <c r="BZ9" i="1"/>
  <c r="CC9" i="1" s="1"/>
  <c r="BY9" i="1"/>
  <c r="BY57" i="1" s="1"/>
  <c r="BZ7" i="1"/>
  <c r="CC7" i="1" s="1"/>
  <c r="BY7" i="1"/>
  <c r="BZ6" i="1"/>
  <c r="CC6" i="1" s="1"/>
  <c r="BY6" i="1"/>
  <c r="CA173" i="1"/>
  <c r="BY173" i="1"/>
  <c r="CA172" i="1"/>
  <c r="CA164" i="1"/>
  <c r="CA163" i="1"/>
  <c r="CA162" i="1"/>
  <c r="CA161" i="1"/>
  <c r="CA160" i="1"/>
  <c r="CA159" i="1"/>
  <c r="CA158" i="1"/>
  <c r="CA157" i="1"/>
  <c r="CA156" i="1"/>
  <c r="CA151" i="1"/>
  <c r="CA150" i="1"/>
  <c r="CA149" i="1"/>
  <c r="CA148" i="1"/>
  <c r="CA147" i="1"/>
  <c r="BZ147" i="1"/>
  <c r="BY147" i="1"/>
  <c r="CA146" i="1"/>
  <c r="CA145" i="1"/>
  <c r="CA144" i="1"/>
  <c r="CA143" i="1"/>
  <c r="CA86" i="1"/>
  <c r="CA85" i="1"/>
  <c r="CA77" i="1"/>
  <c r="CA76" i="1"/>
  <c r="CA75" i="1"/>
  <c r="CA74" i="1"/>
  <c r="CA73" i="1"/>
  <c r="CA72" i="1"/>
  <c r="CA71" i="1"/>
  <c r="CA70" i="1"/>
  <c r="CA69" i="1"/>
  <c r="CA64" i="1"/>
  <c r="CA63" i="1"/>
  <c r="CA62" i="1"/>
  <c r="CA61" i="1"/>
  <c r="CA60" i="1"/>
  <c r="CA59" i="1"/>
  <c r="CA58" i="1"/>
  <c r="CA57" i="1"/>
  <c r="CA56" i="1"/>
  <c r="BZ70" i="1"/>
  <c r="BY70" i="1"/>
  <c r="BY64" i="1"/>
  <c r="BT51" i="1"/>
  <c r="BW51" i="1" s="1"/>
  <c r="BS51" i="1"/>
  <c r="BT50" i="1"/>
  <c r="BS50" i="1"/>
  <c r="BT42" i="1"/>
  <c r="BW42" i="1" s="1"/>
  <c r="BS42" i="1"/>
  <c r="BT41" i="1"/>
  <c r="BS41" i="1"/>
  <c r="BT38" i="1"/>
  <c r="BW38" i="1" s="1"/>
  <c r="BS38" i="1"/>
  <c r="BT37" i="1"/>
  <c r="BW37" i="1" s="1"/>
  <c r="BS37" i="1"/>
  <c r="BT36" i="1"/>
  <c r="BT74" i="1" s="1"/>
  <c r="BS36" i="1"/>
  <c r="BT35" i="1"/>
  <c r="BW35" i="1" s="1"/>
  <c r="BS35" i="1"/>
  <c r="BT34" i="1"/>
  <c r="BW34" i="1" s="1"/>
  <c r="BS34" i="1"/>
  <c r="BT33" i="1"/>
  <c r="BW33" i="1" s="1"/>
  <c r="BS33" i="1"/>
  <c r="BT32" i="1"/>
  <c r="BT70" i="1" s="1"/>
  <c r="BS32" i="1"/>
  <c r="BT31" i="1"/>
  <c r="BW31" i="1" s="1"/>
  <c r="BS31" i="1"/>
  <c r="BT26" i="1"/>
  <c r="BW26" i="1" s="1"/>
  <c r="BS26" i="1"/>
  <c r="BT25" i="1"/>
  <c r="BS25" i="1"/>
  <c r="BT24" i="1"/>
  <c r="BW24" i="1" s="1"/>
  <c r="BS24" i="1"/>
  <c r="BT23" i="1"/>
  <c r="BS23" i="1"/>
  <c r="BT22" i="1"/>
  <c r="BS22" i="1"/>
  <c r="BT20" i="1"/>
  <c r="BW20" i="1" s="1"/>
  <c r="BS20" i="1"/>
  <c r="BT17" i="1"/>
  <c r="BW17" i="1" s="1"/>
  <c r="BS17" i="1"/>
  <c r="BT16" i="1"/>
  <c r="BS16" i="1"/>
  <c r="BT14" i="1"/>
  <c r="BW14" i="1" s="1"/>
  <c r="BS14" i="1"/>
  <c r="BT13" i="1"/>
  <c r="BW13" i="1" s="1"/>
  <c r="BS13" i="1"/>
  <c r="BT12" i="1"/>
  <c r="BW12" i="1" s="1"/>
  <c r="BS12" i="1"/>
  <c r="BT10" i="1"/>
  <c r="BS10" i="1"/>
  <c r="BT9" i="1"/>
  <c r="BS9" i="1"/>
  <c r="BT8" i="1"/>
  <c r="BS8" i="1"/>
  <c r="BT7" i="1"/>
  <c r="BS7" i="1"/>
  <c r="BT6" i="1"/>
  <c r="BS6" i="1"/>
  <c r="BU173" i="1"/>
  <c r="BU172" i="1"/>
  <c r="BU164" i="1"/>
  <c r="BU163" i="1"/>
  <c r="BU162" i="1"/>
  <c r="BT162" i="1"/>
  <c r="BU161" i="1"/>
  <c r="BU160" i="1"/>
  <c r="BU159" i="1"/>
  <c r="BT159" i="1"/>
  <c r="BS159" i="1"/>
  <c r="BU158" i="1"/>
  <c r="BT158" i="1"/>
  <c r="BS158" i="1"/>
  <c r="BU157" i="1"/>
  <c r="BT157" i="1"/>
  <c r="BS157" i="1"/>
  <c r="BU156" i="1"/>
  <c r="BT156" i="1"/>
  <c r="BS156" i="1"/>
  <c r="BU151" i="1"/>
  <c r="BU150" i="1"/>
  <c r="BU149" i="1"/>
  <c r="BU148" i="1"/>
  <c r="BU147" i="1"/>
  <c r="BU146" i="1"/>
  <c r="BT146" i="1"/>
  <c r="BU145" i="1"/>
  <c r="BU144" i="1"/>
  <c r="BU143" i="1"/>
  <c r="BT172" i="1"/>
  <c r="BT164" i="1"/>
  <c r="BT161" i="1"/>
  <c r="BT160" i="1"/>
  <c r="BT149" i="1"/>
  <c r="BT148" i="1"/>
  <c r="BT144" i="1"/>
  <c r="BT143" i="1"/>
  <c r="BU86" i="1"/>
  <c r="BU85" i="1"/>
  <c r="BU77" i="1"/>
  <c r="BU76" i="1"/>
  <c r="BU75" i="1"/>
  <c r="BU74" i="1"/>
  <c r="BU73" i="1"/>
  <c r="BU72" i="1"/>
  <c r="BU71" i="1"/>
  <c r="BU70" i="1"/>
  <c r="BU69" i="1"/>
  <c r="BU64" i="1"/>
  <c r="BU63" i="1"/>
  <c r="BU62" i="1"/>
  <c r="BU61" i="1"/>
  <c r="BU60" i="1"/>
  <c r="BU59" i="1"/>
  <c r="BU58" i="1"/>
  <c r="BU57" i="1"/>
  <c r="BU56" i="1"/>
  <c r="BT85" i="1"/>
  <c r="BO173" i="1"/>
  <c r="BN173" i="1"/>
  <c r="BO172" i="1"/>
  <c r="BO164" i="1"/>
  <c r="BN164" i="1"/>
  <c r="BO163" i="1"/>
  <c r="BO162" i="1"/>
  <c r="BN162" i="1"/>
  <c r="BO161" i="1"/>
  <c r="BO160" i="1"/>
  <c r="BN160" i="1"/>
  <c r="BO159" i="1"/>
  <c r="BN159" i="1"/>
  <c r="BM159" i="1"/>
  <c r="BO158" i="1"/>
  <c r="BN158" i="1"/>
  <c r="BM158" i="1"/>
  <c r="BO157" i="1"/>
  <c r="BN157" i="1"/>
  <c r="BM157" i="1"/>
  <c r="BO156" i="1"/>
  <c r="BN156" i="1"/>
  <c r="BM156" i="1"/>
  <c r="BO151" i="1"/>
  <c r="BO150" i="1"/>
  <c r="BN150" i="1"/>
  <c r="BO149" i="1"/>
  <c r="BO148" i="1"/>
  <c r="BN148" i="1"/>
  <c r="BO147" i="1"/>
  <c r="BO146" i="1"/>
  <c r="BN146" i="1"/>
  <c r="BO145" i="1"/>
  <c r="BO144" i="1"/>
  <c r="BN144" i="1"/>
  <c r="BO143" i="1"/>
  <c r="BN172" i="1"/>
  <c r="BN163" i="1"/>
  <c r="BN161" i="1"/>
  <c r="BN151" i="1"/>
  <c r="BN149" i="1"/>
  <c r="BN147" i="1"/>
  <c r="BQ147" i="1" s="1"/>
  <c r="BN145" i="1"/>
  <c r="BN143" i="1"/>
  <c r="BO86" i="1"/>
  <c r="BN86" i="1"/>
  <c r="BO85" i="1"/>
  <c r="BO77" i="1"/>
  <c r="BO76" i="1"/>
  <c r="BO75" i="1"/>
  <c r="BN75" i="1"/>
  <c r="BO74" i="1"/>
  <c r="BO73" i="1"/>
  <c r="BO72" i="1"/>
  <c r="BM72" i="1"/>
  <c r="BO71" i="1"/>
  <c r="BN71" i="1"/>
  <c r="BO70" i="1"/>
  <c r="BO69" i="1"/>
  <c r="BO64" i="1"/>
  <c r="BM64" i="1"/>
  <c r="BO63" i="1"/>
  <c r="BN63" i="1"/>
  <c r="BO62" i="1"/>
  <c r="BO61" i="1"/>
  <c r="BO60" i="1"/>
  <c r="BO59" i="1"/>
  <c r="BN59" i="1"/>
  <c r="BO58" i="1"/>
  <c r="BO57" i="1"/>
  <c r="BO56" i="1"/>
  <c r="BM56" i="1"/>
  <c r="BN85" i="1"/>
  <c r="BN74" i="1"/>
  <c r="BN70" i="1"/>
  <c r="BN62" i="1"/>
  <c r="BN58" i="1"/>
  <c r="BM58" i="1"/>
  <c r="BN57" i="1"/>
  <c r="BM57" i="1"/>
  <c r="BN56" i="1"/>
  <c r="BI173" i="1"/>
  <c r="BI172" i="1"/>
  <c r="BI164" i="1"/>
  <c r="BG164" i="1"/>
  <c r="BI163" i="1"/>
  <c r="BI162" i="1"/>
  <c r="BI161" i="1"/>
  <c r="BI160" i="1"/>
  <c r="BG160" i="1"/>
  <c r="BI159" i="1"/>
  <c r="BH159" i="1"/>
  <c r="BG159" i="1"/>
  <c r="BI158" i="1"/>
  <c r="BH158" i="1"/>
  <c r="BG158" i="1"/>
  <c r="BI157" i="1"/>
  <c r="BH157" i="1"/>
  <c r="BG157" i="1"/>
  <c r="BI156" i="1"/>
  <c r="BH156" i="1"/>
  <c r="BG156" i="1"/>
  <c r="BI151" i="1"/>
  <c r="BI150" i="1"/>
  <c r="BI149" i="1"/>
  <c r="BI148" i="1"/>
  <c r="BG148" i="1"/>
  <c r="BI147" i="1"/>
  <c r="BI146" i="1"/>
  <c r="BI145" i="1"/>
  <c r="BI144" i="1"/>
  <c r="BG144" i="1"/>
  <c r="BI143" i="1"/>
  <c r="BG173" i="1"/>
  <c r="BH172" i="1"/>
  <c r="BG172" i="1"/>
  <c r="BG163" i="1"/>
  <c r="BG162" i="1"/>
  <c r="BH161" i="1"/>
  <c r="BG161" i="1"/>
  <c r="BG151" i="1"/>
  <c r="BG150" i="1"/>
  <c r="BH149" i="1"/>
  <c r="BG149" i="1"/>
  <c r="BG147" i="1"/>
  <c r="BG146" i="1"/>
  <c r="BH145" i="1"/>
  <c r="BG145" i="1"/>
  <c r="BG143" i="1"/>
  <c r="BI86" i="1"/>
  <c r="BI85" i="1"/>
  <c r="BI77" i="1"/>
  <c r="BG77" i="1"/>
  <c r="BI76" i="1"/>
  <c r="BI75" i="1"/>
  <c r="BI74" i="1"/>
  <c r="BI73" i="1"/>
  <c r="BG73" i="1"/>
  <c r="BI72" i="1"/>
  <c r="BI71" i="1"/>
  <c r="BI70" i="1"/>
  <c r="BI69" i="1"/>
  <c r="BG69" i="1"/>
  <c r="BI64" i="1"/>
  <c r="BI63" i="1"/>
  <c r="BI62" i="1"/>
  <c r="BI61" i="1"/>
  <c r="BG61" i="1"/>
  <c r="BI60" i="1"/>
  <c r="BH60" i="1"/>
  <c r="BI59" i="1"/>
  <c r="BI58" i="1"/>
  <c r="BI57" i="1"/>
  <c r="BG57" i="1"/>
  <c r="BI56" i="1"/>
  <c r="BH56" i="1"/>
  <c r="BG86" i="1"/>
  <c r="BG85" i="1"/>
  <c r="BG76" i="1"/>
  <c r="BG75" i="1"/>
  <c r="BG74" i="1"/>
  <c r="BG72" i="1"/>
  <c r="BG71" i="1"/>
  <c r="BG70" i="1"/>
  <c r="BH64" i="1"/>
  <c r="BG64" i="1"/>
  <c r="BG63" i="1"/>
  <c r="BG62" i="1"/>
  <c r="BG60" i="1"/>
  <c r="BG59" i="1"/>
  <c r="BH58" i="1"/>
  <c r="BG58" i="1"/>
  <c r="BH57" i="1"/>
  <c r="BG56" i="1"/>
  <c r="BA173" i="1"/>
  <c r="BA172" i="1"/>
  <c r="BA164" i="1"/>
  <c r="BB125" i="1"/>
  <c r="BA125" i="1"/>
  <c r="BA163" i="1" s="1"/>
  <c r="BB124" i="1"/>
  <c r="BA124" i="1"/>
  <c r="BA162" i="1" s="1"/>
  <c r="BB123" i="1"/>
  <c r="BA123" i="1"/>
  <c r="BA161" i="1" s="1"/>
  <c r="BB122" i="1"/>
  <c r="BA122" i="1"/>
  <c r="BA160" i="1" s="1"/>
  <c r="BB113" i="1"/>
  <c r="BB151" i="1" s="1"/>
  <c r="BA113" i="1"/>
  <c r="BA151" i="1" s="1"/>
  <c r="BB112" i="1"/>
  <c r="BA112" i="1"/>
  <c r="BA150" i="1" s="1"/>
  <c r="BB108" i="1"/>
  <c r="BE108" i="1" s="1"/>
  <c r="BA108" i="1"/>
  <c r="BA149" i="1" s="1"/>
  <c r="BB105" i="1"/>
  <c r="BB148" i="1" s="1"/>
  <c r="BA105" i="1"/>
  <c r="BA148" i="1" s="1"/>
  <c r="BB103" i="1"/>
  <c r="BA103" i="1"/>
  <c r="BA147" i="1" s="1"/>
  <c r="BB101" i="1"/>
  <c r="BA101" i="1"/>
  <c r="BB100" i="1"/>
  <c r="BE100" i="1" s="1"/>
  <c r="BA100" i="1"/>
  <c r="BB98" i="1"/>
  <c r="BE98" i="1" s="1"/>
  <c r="BA98" i="1"/>
  <c r="BB97" i="1"/>
  <c r="BA97" i="1"/>
  <c r="BB95" i="1"/>
  <c r="BE95" i="1" s="1"/>
  <c r="BA95" i="1"/>
  <c r="BB94" i="1"/>
  <c r="BB143" i="1" s="1"/>
  <c r="BA94" i="1"/>
  <c r="BA143" i="1" s="1"/>
  <c r="BB51" i="1"/>
  <c r="BA51" i="1"/>
  <c r="BA86" i="1" s="1"/>
  <c r="BB50" i="1"/>
  <c r="BA50" i="1"/>
  <c r="BA85" i="1" s="1"/>
  <c r="BB42" i="1"/>
  <c r="BA42" i="1"/>
  <c r="BB41" i="1"/>
  <c r="BA41" i="1"/>
  <c r="BB40" i="1"/>
  <c r="BA40" i="1"/>
  <c r="BB39" i="1"/>
  <c r="BA39" i="1"/>
  <c r="BB38" i="1"/>
  <c r="BA38" i="1"/>
  <c r="BB37" i="1"/>
  <c r="BA37" i="1"/>
  <c r="BA75" i="1" s="1"/>
  <c r="BB36" i="1"/>
  <c r="BA36" i="1"/>
  <c r="BA74" i="1" s="1"/>
  <c r="BB35" i="1"/>
  <c r="BA35" i="1"/>
  <c r="BA73" i="1" s="1"/>
  <c r="BB34" i="1"/>
  <c r="BB72" i="1" s="1"/>
  <c r="BA34" i="1"/>
  <c r="BA72" i="1" s="1"/>
  <c r="BB33" i="1"/>
  <c r="BA33" i="1"/>
  <c r="BA71" i="1" s="1"/>
  <c r="BB32" i="1"/>
  <c r="BA32" i="1"/>
  <c r="BA70" i="1" s="1"/>
  <c r="BB31" i="1"/>
  <c r="BA31" i="1"/>
  <c r="BA69" i="1" s="1"/>
  <c r="BB26" i="1"/>
  <c r="BA26" i="1"/>
  <c r="BA64" i="1" s="1"/>
  <c r="BB25" i="1"/>
  <c r="BA25" i="1"/>
  <c r="BA63" i="1" s="1"/>
  <c r="BB22" i="1"/>
  <c r="BA22" i="1"/>
  <c r="BA62" i="1" s="1"/>
  <c r="BB18" i="1"/>
  <c r="BA18" i="1"/>
  <c r="BB17" i="1"/>
  <c r="BA17" i="1"/>
  <c r="BB16" i="1"/>
  <c r="BA16" i="1"/>
  <c r="BB14" i="1"/>
  <c r="BE14" i="1" s="1"/>
  <c r="BA14" i="1"/>
  <c r="BB13" i="1"/>
  <c r="BA13" i="1"/>
  <c r="BB10" i="1"/>
  <c r="BB58" i="1" s="1"/>
  <c r="BA10" i="1"/>
  <c r="BA58" i="1" s="1"/>
  <c r="BB9" i="1"/>
  <c r="BB57" i="1" s="1"/>
  <c r="BA9" i="1"/>
  <c r="BA57" i="1" s="1"/>
  <c r="BB7" i="1"/>
  <c r="BE7" i="1" s="1"/>
  <c r="BA7" i="1"/>
  <c r="BA56" i="1" s="1"/>
  <c r="BC173" i="1"/>
  <c r="BC172" i="1"/>
  <c r="BC164" i="1"/>
  <c r="BC163" i="1"/>
  <c r="BC162" i="1"/>
  <c r="BC161" i="1"/>
  <c r="BC160" i="1"/>
  <c r="BC159" i="1"/>
  <c r="BB159" i="1"/>
  <c r="BC158" i="1"/>
  <c r="BC157" i="1"/>
  <c r="BC156" i="1"/>
  <c r="BA156" i="1"/>
  <c r="BC151" i="1"/>
  <c r="BC150" i="1"/>
  <c r="BC149" i="1"/>
  <c r="BC148" i="1"/>
  <c r="BC147" i="1"/>
  <c r="BB147" i="1"/>
  <c r="BC146" i="1"/>
  <c r="BC145" i="1"/>
  <c r="BC144" i="1"/>
  <c r="BC143" i="1"/>
  <c r="BA159" i="1"/>
  <c r="BA158" i="1"/>
  <c r="BA157" i="1"/>
  <c r="BE103" i="1"/>
  <c r="BC86" i="1"/>
  <c r="BC85" i="1"/>
  <c r="BC77" i="1"/>
  <c r="BC76" i="1"/>
  <c r="BC75" i="1"/>
  <c r="BC74" i="1"/>
  <c r="BC73" i="1"/>
  <c r="BC72" i="1"/>
  <c r="BC71" i="1"/>
  <c r="BC70" i="1"/>
  <c r="BC69" i="1"/>
  <c r="BC64" i="1"/>
  <c r="BC63" i="1"/>
  <c r="BC62" i="1"/>
  <c r="BC61" i="1"/>
  <c r="BC60" i="1"/>
  <c r="BC59" i="1"/>
  <c r="BC58" i="1"/>
  <c r="BC57" i="1"/>
  <c r="BC56" i="1"/>
  <c r="BE11" i="1"/>
  <c r="AY98" i="1"/>
  <c r="AX98" i="1"/>
  <c r="AV173" i="1"/>
  <c r="AV172" i="1"/>
  <c r="AV128" i="1"/>
  <c r="AU128" i="1"/>
  <c r="AV127" i="1"/>
  <c r="AY127" i="1" s="1"/>
  <c r="AU127" i="1"/>
  <c r="AV126" i="1"/>
  <c r="AU126" i="1"/>
  <c r="AV125" i="1"/>
  <c r="AY125" i="1" s="1"/>
  <c r="AU125" i="1"/>
  <c r="AV124" i="1"/>
  <c r="AV162" i="1" s="1"/>
  <c r="AU124" i="1"/>
  <c r="AV123" i="1"/>
  <c r="AV161" i="1" s="1"/>
  <c r="AU123" i="1"/>
  <c r="AV122" i="1"/>
  <c r="AV160" i="1" s="1"/>
  <c r="AU122" i="1"/>
  <c r="AV121" i="1"/>
  <c r="AU121" i="1"/>
  <c r="AV120" i="1"/>
  <c r="AV158" i="1" s="1"/>
  <c r="AU120" i="1"/>
  <c r="AV119" i="1"/>
  <c r="AU119" i="1"/>
  <c r="AV118" i="1"/>
  <c r="AV156" i="1" s="1"/>
  <c r="AU118" i="1"/>
  <c r="AU156" i="1" s="1"/>
  <c r="AV113" i="1"/>
  <c r="AU113" i="1"/>
  <c r="AV112" i="1"/>
  <c r="AV150" i="1" s="1"/>
  <c r="AU112" i="1"/>
  <c r="AV111" i="1"/>
  <c r="AY111" i="1" s="1"/>
  <c r="AU111" i="1"/>
  <c r="AV109" i="1"/>
  <c r="AY109" i="1" s="1"/>
  <c r="AU109" i="1"/>
  <c r="AV108" i="1"/>
  <c r="AU108" i="1"/>
  <c r="AV107" i="1"/>
  <c r="AY107" i="1" s="1"/>
  <c r="AU107" i="1"/>
  <c r="AV105" i="1"/>
  <c r="AY105" i="1" s="1"/>
  <c r="AU105" i="1"/>
  <c r="AV104" i="1"/>
  <c r="AU104" i="1"/>
  <c r="AV103" i="1"/>
  <c r="AV147" i="1" s="1"/>
  <c r="AU103" i="1"/>
  <c r="AV101" i="1"/>
  <c r="AU101" i="1"/>
  <c r="AV100" i="1"/>
  <c r="AY100" i="1" s="1"/>
  <c r="AU100" i="1"/>
  <c r="AV97" i="1"/>
  <c r="AV145" i="1" s="1"/>
  <c r="AU97" i="1"/>
  <c r="AU145" i="1" s="1"/>
  <c r="AV96" i="1"/>
  <c r="AU96" i="1"/>
  <c r="AV94" i="1"/>
  <c r="AY94" i="1" s="1"/>
  <c r="AU94" i="1"/>
  <c r="AV93" i="1"/>
  <c r="AY93" i="1" s="1"/>
  <c r="AU93" i="1"/>
  <c r="AV51" i="1"/>
  <c r="AY51" i="1" s="1"/>
  <c r="AU51" i="1"/>
  <c r="AU86" i="1" s="1"/>
  <c r="AV50" i="1"/>
  <c r="AV85" i="1" s="1"/>
  <c r="AU50" i="1"/>
  <c r="AU85" i="1" s="1"/>
  <c r="AV42" i="1"/>
  <c r="AY42" i="1" s="1"/>
  <c r="AU42" i="1"/>
  <c r="AV41" i="1"/>
  <c r="AY41" i="1" s="1"/>
  <c r="AU41" i="1"/>
  <c r="AV40" i="1"/>
  <c r="AY40" i="1" s="1"/>
  <c r="AU40" i="1"/>
  <c r="AV39" i="1"/>
  <c r="AY39" i="1" s="1"/>
  <c r="AU39" i="1"/>
  <c r="AV38" i="1"/>
  <c r="AY38" i="1" s="1"/>
  <c r="AU38" i="1"/>
  <c r="AV37" i="1"/>
  <c r="AY37" i="1" s="1"/>
  <c r="AU37" i="1"/>
  <c r="AU75" i="1" s="1"/>
  <c r="AV36" i="1"/>
  <c r="AV74" i="1" s="1"/>
  <c r="AU36" i="1"/>
  <c r="AU74" i="1" s="1"/>
  <c r="AV35" i="1"/>
  <c r="AY35" i="1" s="1"/>
  <c r="AU35" i="1"/>
  <c r="AU73" i="1" s="1"/>
  <c r="AV34" i="1"/>
  <c r="AY34" i="1" s="1"/>
  <c r="AU34" i="1"/>
  <c r="AU72" i="1" s="1"/>
  <c r="AV33" i="1"/>
  <c r="AY33" i="1" s="1"/>
  <c r="AU33" i="1"/>
  <c r="AU71" i="1" s="1"/>
  <c r="AV32" i="1"/>
  <c r="AV70" i="1" s="1"/>
  <c r="AU32" i="1"/>
  <c r="AU70" i="1" s="1"/>
  <c r="AV31" i="1"/>
  <c r="AY31" i="1" s="1"/>
  <c r="AU31" i="1"/>
  <c r="AU69" i="1" s="1"/>
  <c r="AV25" i="1"/>
  <c r="AY25" i="1" s="1"/>
  <c r="AU25" i="1"/>
  <c r="AU63" i="1" s="1"/>
  <c r="AV24" i="1"/>
  <c r="AU24" i="1"/>
  <c r="AV22" i="1"/>
  <c r="AU22" i="1"/>
  <c r="AV20" i="1"/>
  <c r="AU20" i="1"/>
  <c r="AV18" i="1"/>
  <c r="AY18" i="1" s="1"/>
  <c r="AU18" i="1"/>
  <c r="AV17" i="1"/>
  <c r="AY17" i="1" s="1"/>
  <c r="AU17" i="1"/>
  <c r="AV16" i="1"/>
  <c r="AY16" i="1" s="1"/>
  <c r="AU16" i="1"/>
  <c r="AV15" i="1"/>
  <c r="AY15" i="1" s="1"/>
  <c r="AU15" i="1"/>
  <c r="AV14" i="1"/>
  <c r="AY14" i="1" s="1"/>
  <c r="AU14" i="1"/>
  <c r="AV13" i="1"/>
  <c r="AY13" i="1" s="1"/>
  <c r="AU13" i="1"/>
  <c r="AV11" i="1"/>
  <c r="AY11" i="1" s="1"/>
  <c r="AU11" i="1"/>
  <c r="AV10" i="1"/>
  <c r="AU10" i="1"/>
  <c r="AV9" i="1"/>
  <c r="AY9" i="1" s="1"/>
  <c r="AU9" i="1"/>
  <c r="AU57" i="1" s="1"/>
  <c r="AV7" i="1"/>
  <c r="AU7" i="1"/>
  <c r="AV6" i="1"/>
  <c r="AY6" i="1" s="1"/>
  <c r="AU6" i="1"/>
  <c r="AW173" i="1"/>
  <c r="AW172" i="1"/>
  <c r="AW164" i="1"/>
  <c r="AW163" i="1"/>
  <c r="AW162" i="1"/>
  <c r="AW161" i="1"/>
  <c r="AW160" i="1"/>
  <c r="AW159" i="1"/>
  <c r="AW158" i="1"/>
  <c r="AW157" i="1"/>
  <c r="AW156" i="1"/>
  <c r="AW151" i="1"/>
  <c r="AW150" i="1"/>
  <c r="AW149" i="1"/>
  <c r="AW148" i="1"/>
  <c r="AW147" i="1"/>
  <c r="AW146" i="1"/>
  <c r="AW145" i="1"/>
  <c r="AW144" i="1"/>
  <c r="AW143" i="1"/>
  <c r="AW86" i="1"/>
  <c r="AW85" i="1"/>
  <c r="AW77" i="1"/>
  <c r="AW76" i="1"/>
  <c r="AW75" i="1"/>
  <c r="AW74" i="1"/>
  <c r="AW73" i="1"/>
  <c r="AW72" i="1"/>
  <c r="AW71" i="1"/>
  <c r="AW70" i="1"/>
  <c r="AW69" i="1"/>
  <c r="AW64" i="1"/>
  <c r="AW63" i="1"/>
  <c r="AW62" i="1"/>
  <c r="AW61" i="1"/>
  <c r="AW60" i="1"/>
  <c r="AW59" i="1"/>
  <c r="AW58" i="1"/>
  <c r="AW57" i="1"/>
  <c r="AW56" i="1"/>
  <c r="AU64" i="1"/>
  <c r="AP51" i="1"/>
  <c r="AS51" i="1" s="1"/>
  <c r="AO51" i="1"/>
  <c r="AO86" i="1" s="1"/>
  <c r="AP50" i="1"/>
  <c r="AS50" i="1" s="1"/>
  <c r="AO50" i="1"/>
  <c r="AP42" i="1"/>
  <c r="AS42" i="1" s="1"/>
  <c r="AO42" i="1"/>
  <c r="AP41" i="1"/>
  <c r="AO41" i="1"/>
  <c r="AP40" i="1"/>
  <c r="AS40" i="1" s="1"/>
  <c r="AO40" i="1"/>
  <c r="AP39" i="1"/>
  <c r="AS39" i="1" s="1"/>
  <c r="AO39" i="1"/>
  <c r="AP38" i="1"/>
  <c r="AS38" i="1" s="1"/>
  <c r="AO38" i="1"/>
  <c r="AP37" i="1"/>
  <c r="AS37" i="1" s="1"/>
  <c r="AO37" i="1"/>
  <c r="AO75" i="1" s="1"/>
  <c r="AP36" i="1"/>
  <c r="AS36" i="1" s="1"/>
  <c r="AO36" i="1"/>
  <c r="AO74" i="1" s="1"/>
  <c r="AP35" i="1"/>
  <c r="AS35" i="1" s="1"/>
  <c r="AO35" i="1"/>
  <c r="AO73" i="1" s="1"/>
  <c r="AP34" i="1"/>
  <c r="AP72" i="1" s="1"/>
  <c r="AO34" i="1"/>
  <c r="AO72" i="1" s="1"/>
  <c r="AP33" i="1"/>
  <c r="AS33" i="1" s="1"/>
  <c r="AO33" i="1"/>
  <c r="AP32" i="1"/>
  <c r="AS32" i="1" s="1"/>
  <c r="AO32" i="1"/>
  <c r="AP31" i="1"/>
  <c r="AS31" i="1" s="1"/>
  <c r="AO31" i="1"/>
  <c r="AO69" i="1" s="1"/>
  <c r="AP26" i="1"/>
  <c r="AP64" i="1" s="1"/>
  <c r="AO26" i="1"/>
  <c r="AO64" i="1" s="1"/>
  <c r="AP25" i="1"/>
  <c r="AP63" i="1" s="1"/>
  <c r="AO25" i="1"/>
  <c r="AO63" i="1" s="1"/>
  <c r="AP24" i="1"/>
  <c r="AP62" i="1" s="1"/>
  <c r="AO24" i="1"/>
  <c r="AO62" i="1" s="1"/>
  <c r="AP18" i="1"/>
  <c r="AO18" i="1"/>
  <c r="AP17" i="1"/>
  <c r="AS17" i="1" s="1"/>
  <c r="AO17" i="1"/>
  <c r="AP15" i="1"/>
  <c r="AS15" i="1" s="1"/>
  <c r="AO15" i="1"/>
  <c r="AO60" i="1" s="1"/>
  <c r="AP14" i="1"/>
  <c r="AS14" i="1" s="1"/>
  <c r="AO14" i="1"/>
  <c r="AP13" i="1"/>
  <c r="AS13" i="1" s="1"/>
  <c r="AO13" i="1"/>
  <c r="AP10" i="1"/>
  <c r="AS10" i="1" s="1"/>
  <c r="AO10" i="1"/>
  <c r="AP9" i="1"/>
  <c r="AS9" i="1" s="1"/>
  <c r="AO9" i="1"/>
  <c r="AO57" i="1" s="1"/>
  <c r="AP6" i="1"/>
  <c r="AS6" i="1" s="1"/>
  <c r="AO6" i="1"/>
  <c r="AQ173" i="1"/>
  <c r="AP173" i="1"/>
  <c r="AQ172" i="1"/>
  <c r="AQ164" i="1"/>
  <c r="AQ163" i="1"/>
  <c r="AQ162" i="1"/>
  <c r="AP162" i="1"/>
  <c r="AQ161" i="1"/>
  <c r="AQ160" i="1"/>
  <c r="AQ159" i="1"/>
  <c r="AQ158" i="1"/>
  <c r="AP158" i="1"/>
  <c r="AO158" i="1"/>
  <c r="AQ157" i="1"/>
  <c r="AP157" i="1"/>
  <c r="AO157" i="1"/>
  <c r="AQ156" i="1"/>
  <c r="AQ151" i="1"/>
  <c r="AQ150" i="1"/>
  <c r="AP150" i="1"/>
  <c r="AQ149" i="1"/>
  <c r="AQ148" i="1"/>
  <c r="AQ147" i="1"/>
  <c r="AP147" i="1"/>
  <c r="AO147" i="1"/>
  <c r="AQ146" i="1"/>
  <c r="AP146" i="1"/>
  <c r="AQ145" i="1"/>
  <c r="AQ144" i="1"/>
  <c r="AQ143" i="1"/>
  <c r="AP143" i="1"/>
  <c r="AO143" i="1"/>
  <c r="AO173" i="1"/>
  <c r="AP172" i="1"/>
  <c r="AO172" i="1"/>
  <c r="AO163" i="1"/>
  <c r="AO162" i="1"/>
  <c r="AP161" i="1"/>
  <c r="AO161" i="1"/>
  <c r="AO159" i="1"/>
  <c r="AO151" i="1"/>
  <c r="AO150" i="1"/>
  <c r="AP149" i="1"/>
  <c r="AO149" i="1"/>
  <c r="AO146" i="1"/>
  <c r="AP145" i="1"/>
  <c r="AO145" i="1"/>
  <c r="AP144" i="1"/>
  <c r="AO144" i="1"/>
  <c r="AQ86" i="1"/>
  <c r="AQ85" i="1"/>
  <c r="AQ77" i="1"/>
  <c r="AQ76" i="1"/>
  <c r="AQ75" i="1"/>
  <c r="AQ74" i="1"/>
  <c r="AQ73" i="1"/>
  <c r="AQ72" i="1"/>
  <c r="AQ71" i="1"/>
  <c r="AQ70" i="1"/>
  <c r="AQ69" i="1"/>
  <c r="AQ64" i="1"/>
  <c r="AQ63" i="1"/>
  <c r="AQ62" i="1"/>
  <c r="AQ61" i="1"/>
  <c r="AQ60" i="1"/>
  <c r="AQ59" i="1"/>
  <c r="AQ58" i="1"/>
  <c r="AQ57" i="1"/>
  <c r="AQ56" i="1"/>
  <c r="AI173" i="1"/>
  <c r="AJ172" i="1"/>
  <c r="AI172" i="1"/>
  <c r="AI164" i="1"/>
  <c r="AJ126" i="1"/>
  <c r="AM126" i="1" s="1"/>
  <c r="AI126" i="1"/>
  <c r="AI163" i="1" s="1"/>
  <c r="AJ124" i="1"/>
  <c r="AM124" i="1" s="1"/>
  <c r="AI124" i="1"/>
  <c r="AI162" i="1" s="1"/>
  <c r="AJ123" i="1"/>
  <c r="AJ161" i="1" s="1"/>
  <c r="AI123" i="1"/>
  <c r="AI161" i="1" s="1"/>
  <c r="AJ122" i="1"/>
  <c r="AM122" i="1" s="1"/>
  <c r="AI122" i="1"/>
  <c r="AI160" i="1" s="1"/>
  <c r="AJ121" i="1"/>
  <c r="AM121" i="1" s="1"/>
  <c r="AI121" i="1"/>
  <c r="AI159" i="1" s="1"/>
  <c r="AJ118" i="1"/>
  <c r="AI118" i="1"/>
  <c r="AI156" i="1" s="1"/>
  <c r="AJ113" i="1"/>
  <c r="AM113" i="1" s="1"/>
  <c r="AI113" i="1"/>
  <c r="AI151" i="1" s="1"/>
  <c r="AJ112" i="1"/>
  <c r="AI112" i="1"/>
  <c r="AI150" i="1" s="1"/>
  <c r="AJ111" i="1"/>
  <c r="AM111" i="1" s="1"/>
  <c r="AI111" i="1"/>
  <c r="AJ110" i="1"/>
  <c r="AI110" i="1"/>
  <c r="AJ109" i="1"/>
  <c r="AM109" i="1" s="1"/>
  <c r="AI109" i="1"/>
  <c r="AJ104" i="1"/>
  <c r="AJ148" i="1" s="1"/>
  <c r="AI104" i="1"/>
  <c r="AI148" i="1" s="1"/>
  <c r="AJ101" i="1"/>
  <c r="AM101" i="1" s="1"/>
  <c r="AI101" i="1"/>
  <c r="AJ100" i="1"/>
  <c r="AM100" i="1" s="1"/>
  <c r="AI100" i="1"/>
  <c r="AJ97" i="1"/>
  <c r="AM97" i="1" s="1"/>
  <c r="AI97" i="1"/>
  <c r="AI145" i="1" s="1"/>
  <c r="AJ96" i="1"/>
  <c r="AJ144" i="1" s="1"/>
  <c r="AI96" i="1"/>
  <c r="AI144" i="1" s="1"/>
  <c r="AL102" i="1"/>
  <c r="AM102" i="1"/>
  <c r="AK173" i="1"/>
  <c r="AK172" i="1"/>
  <c r="AK164" i="1"/>
  <c r="AK163" i="1"/>
  <c r="AK162" i="1"/>
  <c r="AK161" i="1"/>
  <c r="AK160" i="1"/>
  <c r="AK159" i="1"/>
  <c r="AK158" i="1"/>
  <c r="AJ158" i="1"/>
  <c r="AI158" i="1"/>
  <c r="AK157" i="1"/>
  <c r="AJ157" i="1"/>
  <c r="AI157" i="1"/>
  <c r="AK156" i="1"/>
  <c r="AK151" i="1"/>
  <c r="AK150" i="1"/>
  <c r="AK149" i="1"/>
  <c r="AK148" i="1"/>
  <c r="AK147" i="1"/>
  <c r="AK146" i="1"/>
  <c r="AK145" i="1"/>
  <c r="AK144" i="1"/>
  <c r="AK143" i="1"/>
  <c r="AJ143" i="1"/>
  <c r="AI147" i="1"/>
  <c r="AI143" i="1"/>
  <c r="AK86" i="1"/>
  <c r="AI86" i="1"/>
  <c r="AK85" i="1"/>
  <c r="AJ85" i="1"/>
  <c r="AK77" i="1"/>
  <c r="AK76" i="1"/>
  <c r="AK75" i="1"/>
  <c r="AI75" i="1"/>
  <c r="AK74" i="1"/>
  <c r="AJ74" i="1"/>
  <c r="AK73" i="1"/>
  <c r="AK72" i="1"/>
  <c r="AK71" i="1"/>
  <c r="AJ71" i="1"/>
  <c r="AI71" i="1"/>
  <c r="AK70" i="1"/>
  <c r="AJ70" i="1"/>
  <c r="AI70" i="1"/>
  <c r="AK69" i="1"/>
  <c r="AK64" i="1"/>
  <c r="AJ64" i="1"/>
  <c r="AI64" i="1"/>
  <c r="AK63" i="1"/>
  <c r="AJ63" i="1"/>
  <c r="AI63" i="1"/>
  <c r="AK62" i="1"/>
  <c r="AJ62" i="1"/>
  <c r="AI62" i="1"/>
  <c r="AK61" i="1"/>
  <c r="AJ61" i="1"/>
  <c r="AI61" i="1"/>
  <c r="AK60" i="1"/>
  <c r="AK59" i="1"/>
  <c r="AI59" i="1"/>
  <c r="AK58" i="1"/>
  <c r="AJ58" i="1"/>
  <c r="AK57" i="1"/>
  <c r="AK56" i="1"/>
  <c r="AJ86" i="1"/>
  <c r="AI85" i="1"/>
  <c r="AJ77" i="1"/>
  <c r="AM77" i="1" s="1"/>
  <c r="AI77" i="1"/>
  <c r="AJ76" i="1"/>
  <c r="AI76" i="1"/>
  <c r="AJ75" i="1"/>
  <c r="AI74" i="1"/>
  <c r="AJ73" i="1"/>
  <c r="AI73" i="1"/>
  <c r="AJ72" i="1"/>
  <c r="AI72" i="1"/>
  <c r="AJ69" i="1"/>
  <c r="AI69" i="1"/>
  <c r="AJ60" i="1"/>
  <c r="AI60" i="1"/>
  <c r="AJ59" i="1"/>
  <c r="AI58" i="1"/>
  <c r="AJ57" i="1"/>
  <c r="AI57" i="1"/>
  <c r="AJ56" i="1"/>
  <c r="AI56" i="1"/>
  <c r="AF98" i="1"/>
  <c r="AG98" i="1"/>
  <c r="AC173" i="1"/>
  <c r="AD172" i="1"/>
  <c r="AC172" i="1"/>
  <c r="AD164" i="1"/>
  <c r="AC164" i="1"/>
  <c r="AD126" i="1"/>
  <c r="AG126" i="1" s="1"/>
  <c r="AC126" i="1"/>
  <c r="AD125" i="1"/>
  <c r="AG125" i="1" s="1"/>
  <c r="AC125" i="1"/>
  <c r="AD124" i="1"/>
  <c r="AG124" i="1" s="1"/>
  <c r="AC124" i="1"/>
  <c r="AC162" i="1" s="1"/>
  <c r="AD123" i="1"/>
  <c r="AD161" i="1" s="1"/>
  <c r="AC123" i="1"/>
  <c r="AC161" i="1" s="1"/>
  <c r="AD122" i="1"/>
  <c r="AC122" i="1"/>
  <c r="AC160" i="1" s="1"/>
  <c r="AD121" i="1"/>
  <c r="AD159" i="1" s="1"/>
  <c r="AC121" i="1"/>
  <c r="AC159" i="1" s="1"/>
  <c r="AD103" i="1"/>
  <c r="AD147" i="1" s="1"/>
  <c r="AC103" i="1"/>
  <c r="AD101" i="1"/>
  <c r="AC101" i="1"/>
  <c r="AD100" i="1"/>
  <c r="AG100" i="1" s="1"/>
  <c r="AC100" i="1"/>
  <c r="AD99" i="1"/>
  <c r="AG99" i="1" s="1"/>
  <c r="AC99" i="1"/>
  <c r="AD97" i="1"/>
  <c r="AG97" i="1" s="1"/>
  <c r="AC97" i="1"/>
  <c r="AD96" i="1"/>
  <c r="AC96" i="1"/>
  <c r="AD95" i="1"/>
  <c r="AG95" i="1" s="1"/>
  <c r="AC95" i="1"/>
  <c r="AD94" i="1"/>
  <c r="AG94" i="1" s="1"/>
  <c r="AC94" i="1"/>
  <c r="AD93" i="1"/>
  <c r="AG93" i="1" s="1"/>
  <c r="AC93" i="1"/>
  <c r="AD51" i="1"/>
  <c r="AD86" i="1" s="1"/>
  <c r="AD50" i="1"/>
  <c r="AC50" i="1"/>
  <c r="AC85" i="1" s="1"/>
  <c r="AD42" i="1"/>
  <c r="AG42" i="1" s="1"/>
  <c r="AC42" i="1"/>
  <c r="AC77" i="1" s="1"/>
  <c r="AD39" i="1"/>
  <c r="AG39" i="1" s="1"/>
  <c r="AC39" i="1"/>
  <c r="AC76" i="1" s="1"/>
  <c r="AD37" i="1"/>
  <c r="AG37" i="1" s="1"/>
  <c r="AC37" i="1"/>
  <c r="AC75" i="1" s="1"/>
  <c r="AD36" i="1"/>
  <c r="AC36" i="1"/>
  <c r="AC74" i="1" s="1"/>
  <c r="AD35" i="1"/>
  <c r="AG35" i="1" s="1"/>
  <c r="AC35" i="1"/>
  <c r="AD34" i="1"/>
  <c r="AD72" i="1" s="1"/>
  <c r="AC34" i="1"/>
  <c r="AC72" i="1" s="1"/>
  <c r="AD31" i="1"/>
  <c r="AG31" i="1" s="1"/>
  <c r="AC31" i="1"/>
  <c r="AC69" i="1" s="1"/>
  <c r="AD16" i="1"/>
  <c r="AC16" i="1"/>
  <c r="AD15" i="1"/>
  <c r="AG15" i="1" s="1"/>
  <c r="AC15" i="1"/>
  <c r="AD14" i="1"/>
  <c r="AC14" i="1"/>
  <c r="AD13" i="1"/>
  <c r="AC13" i="1"/>
  <c r="AD10" i="1"/>
  <c r="AD58" i="1" s="1"/>
  <c r="AC10" i="1"/>
  <c r="AC58" i="1" s="1"/>
  <c r="AD8" i="1"/>
  <c r="AG8" i="1" s="1"/>
  <c r="AC8" i="1"/>
  <c r="AC57" i="1" s="1"/>
  <c r="AD7" i="1"/>
  <c r="AC7" i="1"/>
  <c r="AC56" i="1" s="1"/>
  <c r="AE173" i="1"/>
  <c r="AE172" i="1"/>
  <c r="AE164" i="1"/>
  <c r="AE163" i="1"/>
  <c r="AE162" i="1"/>
  <c r="AE161" i="1"/>
  <c r="AE160" i="1"/>
  <c r="AE159" i="1"/>
  <c r="AE158" i="1"/>
  <c r="AD158" i="1"/>
  <c r="AC158" i="1"/>
  <c r="AE157" i="1"/>
  <c r="AD157" i="1"/>
  <c r="AC157" i="1"/>
  <c r="AE156" i="1"/>
  <c r="AD156" i="1"/>
  <c r="AC156" i="1"/>
  <c r="AE151" i="1"/>
  <c r="AD151" i="1"/>
  <c r="AC151" i="1"/>
  <c r="AE150" i="1"/>
  <c r="AE149" i="1"/>
  <c r="AE148" i="1"/>
  <c r="AC148" i="1"/>
  <c r="AE147" i="1"/>
  <c r="AE146" i="1"/>
  <c r="AE145" i="1"/>
  <c r="AE144" i="1"/>
  <c r="AE143" i="1"/>
  <c r="AD150" i="1"/>
  <c r="AC150" i="1"/>
  <c r="AD149" i="1"/>
  <c r="AC149" i="1"/>
  <c r="AD148" i="1"/>
  <c r="AE86" i="1"/>
  <c r="AC86" i="1"/>
  <c r="AE85" i="1"/>
  <c r="AE77" i="1"/>
  <c r="AE76" i="1"/>
  <c r="AE75" i="1"/>
  <c r="AE74" i="1"/>
  <c r="AE73" i="1"/>
  <c r="AE72" i="1"/>
  <c r="AE71" i="1"/>
  <c r="AD71" i="1"/>
  <c r="AC71" i="1"/>
  <c r="AE70" i="1"/>
  <c r="AD70" i="1"/>
  <c r="AC70" i="1"/>
  <c r="AE69" i="1"/>
  <c r="AE64" i="1"/>
  <c r="AE63" i="1"/>
  <c r="AC63" i="1"/>
  <c r="AE62" i="1"/>
  <c r="AD62" i="1"/>
  <c r="AE61" i="1"/>
  <c r="AE60" i="1"/>
  <c r="AE59" i="1"/>
  <c r="AE58" i="1"/>
  <c r="AE57" i="1"/>
  <c r="AE56" i="1"/>
  <c r="AD64" i="1"/>
  <c r="AC64" i="1"/>
  <c r="AD63" i="1"/>
  <c r="AC62" i="1"/>
  <c r="AC61" i="1"/>
  <c r="W173" i="1"/>
  <c r="X172" i="1"/>
  <c r="W172" i="1"/>
  <c r="X126" i="1"/>
  <c r="AA126" i="1" s="1"/>
  <c r="W126" i="1"/>
  <c r="X124" i="1"/>
  <c r="W124" i="1"/>
  <c r="W162" i="1" s="1"/>
  <c r="X121" i="1"/>
  <c r="AA121" i="1" s="1"/>
  <c r="W121" i="1"/>
  <c r="X112" i="1"/>
  <c r="AA112" i="1" s="1"/>
  <c r="W112" i="1"/>
  <c r="W150" i="1" s="1"/>
  <c r="X109" i="1"/>
  <c r="X149" i="1" s="1"/>
  <c r="W109" i="1"/>
  <c r="W149" i="1" s="1"/>
  <c r="X104" i="1"/>
  <c r="X148" i="1" s="1"/>
  <c r="W104" i="1"/>
  <c r="W148" i="1" s="1"/>
  <c r="X101" i="1"/>
  <c r="AA101" i="1" s="1"/>
  <c r="W101" i="1"/>
  <c r="X100" i="1"/>
  <c r="AA100" i="1" s="1"/>
  <c r="W100" i="1"/>
  <c r="X97" i="1"/>
  <c r="X145" i="1" s="1"/>
  <c r="W97" i="1"/>
  <c r="W145" i="1" s="1"/>
  <c r="X96" i="1"/>
  <c r="W96" i="1"/>
  <c r="W144" i="1" s="1"/>
  <c r="X94" i="1"/>
  <c r="AA94" i="1" s="1"/>
  <c r="W94" i="1"/>
  <c r="X51" i="1"/>
  <c r="X86" i="1" s="1"/>
  <c r="W51" i="1"/>
  <c r="W86" i="1" s="1"/>
  <c r="X50" i="1"/>
  <c r="X85" i="1" s="1"/>
  <c r="W50" i="1"/>
  <c r="W85" i="1" s="1"/>
  <c r="X37" i="1"/>
  <c r="X75" i="1" s="1"/>
  <c r="X35" i="1"/>
  <c r="AA35" i="1" s="1"/>
  <c r="W35" i="1"/>
  <c r="X34" i="1"/>
  <c r="X72" i="1" s="1"/>
  <c r="W34" i="1"/>
  <c r="X26" i="1"/>
  <c r="AA26" i="1" s="1"/>
  <c r="W26" i="1"/>
  <c r="W64" i="1" s="1"/>
  <c r="X25" i="1"/>
  <c r="AA25" i="1" s="1"/>
  <c r="W25" i="1"/>
  <c r="X23" i="1"/>
  <c r="AA23" i="1" s="1"/>
  <c r="W23" i="1"/>
  <c r="X17" i="1"/>
  <c r="AA17" i="1" s="1"/>
  <c r="W17" i="1"/>
  <c r="W61" i="1" s="1"/>
  <c r="X16" i="1"/>
  <c r="AA16" i="1" s="1"/>
  <c r="W16" i="1"/>
  <c r="W60" i="1" s="1"/>
  <c r="X14" i="1"/>
  <c r="W14" i="1"/>
  <c r="X13" i="1"/>
  <c r="AA13" i="1" s="1"/>
  <c r="W13" i="1"/>
  <c r="X10" i="1"/>
  <c r="AA10" i="1" s="1"/>
  <c r="W10" i="1"/>
  <c r="X9" i="1"/>
  <c r="AA9" i="1" s="1"/>
  <c r="W9" i="1"/>
  <c r="T125" i="1"/>
  <c r="U125" i="1"/>
  <c r="T126" i="1"/>
  <c r="U126" i="1"/>
  <c r="T127" i="1"/>
  <c r="U127" i="1"/>
  <c r="T123" i="1"/>
  <c r="U123" i="1"/>
  <c r="T118" i="1"/>
  <c r="U118" i="1"/>
  <c r="T119" i="1"/>
  <c r="U119" i="1"/>
  <c r="T102" i="1"/>
  <c r="U102" i="1"/>
  <c r="T103" i="1"/>
  <c r="U103" i="1"/>
  <c r="T99" i="1"/>
  <c r="U99" i="1"/>
  <c r="T93" i="1"/>
  <c r="U93" i="1"/>
  <c r="T94" i="1"/>
  <c r="U94" i="1"/>
  <c r="T95" i="1"/>
  <c r="U95" i="1"/>
  <c r="T96" i="1"/>
  <c r="U96" i="1"/>
  <c r="R113" i="1"/>
  <c r="U113" i="1" s="1"/>
  <c r="Q113" i="1"/>
  <c r="Q151" i="1" s="1"/>
  <c r="T39" i="1"/>
  <c r="U39" i="1"/>
  <c r="T34" i="1"/>
  <c r="U34" i="1"/>
  <c r="T31" i="1"/>
  <c r="U31" i="1"/>
  <c r="T15" i="1"/>
  <c r="U15" i="1"/>
  <c r="T16" i="1"/>
  <c r="U16" i="1"/>
  <c r="T8" i="1"/>
  <c r="U8" i="1"/>
  <c r="R26" i="1"/>
  <c r="U26" i="1" s="1"/>
  <c r="Q26" i="1"/>
  <c r="Q64" i="1" s="1"/>
  <c r="Y173" i="1"/>
  <c r="X173" i="1"/>
  <c r="Y172" i="1"/>
  <c r="Y164" i="1"/>
  <c r="Y163" i="1"/>
  <c r="X163" i="1"/>
  <c r="Y162" i="1"/>
  <c r="Y161" i="1"/>
  <c r="X161" i="1"/>
  <c r="W161" i="1"/>
  <c r="Y160" i="1"/>
  <c r="Y159" i="1"/>
  <c r="Y158" i="1"/>
  <c r="X158" i="1"/>
  <c r="W158" i="1"/>
  <c r="Y157" i="1"/>
  <c r="X157" i="1"/>
  <c r="W157" i="1"/>
  <c r="Y156" i="1"/>
  <c r="X156" i="1"/>
  <c r="W156" i="1"/>
  <c r="Y151" i="1"/>
  <c r="X151" i="1"/>
  <c r="W151" i="1"/>
  <c r="Y150" i="1"/>
  <c r="Y149" i="1"/>
  <c r="Y148" i="1"/>
  <c r="Y147" i="1"/>
  <c r="X147" i="1"/>
  <c r="W147" i="1"/>
  <c r="Y146" i="1"/>
  <c r="Y145" i="1"/>
  <c r="Y144" i="1"/>
  <c r="Y143" i="1"/>
  <c r="AA122" i="1"/>
  <c r="Z122" i="1"/>
  <c r="Y86" i="1"/>
  <c r="Y85" i="1"/>
  <c r="Y77" i="1"/>
  <c r="W77" i="1"/>
  <c r="Y76" i="1"/>
  <c r="X76" i="1"/>
  <c r="W76" i="1"/>
  <c r="Y75" i="1"/>
  <c r="Y74" i="1"/>
  <c r="X74" i="1"/>
  <c r="W74" i="1"/>
  <c r="Y73" i="1"/>
  <c r="Y72" i="1"/>
  <c r="Y71" i="1"/>
  <c r="X71" i="1"/>
  <c r="W71" i="1"/>
  <c r="Y70" i="1"/>
  <c r="X70" i="1"/>
  <c r="W70" i="1"/>
  <c r="Y69" i="1"/>
  <c r="X69" i="1"/>
  <c r="W69" i="1"/>
  <c r="Y64" i="1"/>
  <c r="Y63" i="1"/>
  <c r="Y62" i="1"/>
  <c r="Y61" i="1"/>
  <c r="Y60" i="1"/>
  <c r="Y59" i="1"/>
  <c r="Y58" i="1"/>
  <c r="Y57" i="1"/>
  <c r="Y56" i="1"/>
  <c r="X56" i="1"/>
  <c r="W75" i="1"/>
  <c r="AA7" i="1"/>
  <c r="Z7" i="1"/>
  <c r="W56" i="1"/>
  <c r="S173" i="1"/>
  <c r="S172" i="1"/>
  <c r="S164" i="1"/>
  <c r="Q164" i="1"/>
  <c r="S163" i="1"/>
  <c r="R163" i="1"/>
  <c r="Q163" i="1"/>
  <c r="S162" i="1"/>
  <c r="S161" i="1"/>
  <c r="R161" i="1"/>
  <c r="Q161" i="1"/>
  <c r="S160" i="1"/>
  <c r="Q160" i="1"/>
  <c r="S159" i="1"/>
  <c r="S158" i="1"/>
  <c r="R158" i="1"/>
  <c r="Q158" i="1"/>
  <c r="S157" i="1"/>
  <c r="R157" i="1"/>
  <c r="Q157" i="1"/>
  <c r="S156" i="1"/>
  <c r="R156" i="1"/>
  <c r="Q156" i="1"/>
  <c r="S151" i="1"/>
  <c r="S150" i="1"/>
  <c r="S149" i="1"/>
  <c r="S148" i="1"/>
  <c r="Q148" i="1"/>
  <c r="S147" i="1"/>
  <c r="R147" i="1"/>
  <c r="Q147" i="1"/>
  <c r="S146" i="1"/>
  <c r="S145" i="1"/>
  <c r="S144" i="1"/>
  <c r="R144" i="1"/>
  <c r="Q144" i="1"/>
  <c r="S143" i="1"/>
  <c r="R143" i="1"/>
  <c r="Q143" i="1"/>
  <c r="Q173" i="1"/>
  <c r="R172" i="1"/>
  <c r="Q172" i="1"/>
  <c r="U128" i="1"/>
  <c r="Q162" i="1"/>
  <c r="U122" i="1"/>
  <c r="U121" i="1"/>
  <c r="Q159" i="1"/>
  <c r="Q150" i="1"/>
  <c r="U110" i="1"/>
  <c r="R149" i="1"/>
  <c r="Q149" i="1"/>
  <c r="U106" i="1"/>
  <c r="T106" i="1"/>
  <c r="U105" i="1"/>
  <c r="T105" i="1"/>
  <c r="R148" i="1"/>
  <c r="U101" i="1"/>
  <c r="T101" i="1"/>
  <c r="U100" i="1"/>
  <c r="T100" i="1"/>
  <c r="R146" i="1"/>
  <c r="Q146" i="1"/>
  <c r="U97" i="1"/>
  <c r="T97" i="1"/>
  <c r="R145" i="1"/>
  <c r="Q145" i="1"/>
  <c r="S86" i="1"/>
  <c r="S85" i="1"/>
  <c r="Q85" i="1"/>
  <c r="S77" i="1"/>
  <c r="R77" i="1"/>
  <c r="S76" i="1"/>
  <c r="R76" i="1"/>
  <c r="Q76" i="1"/>
  <c r="S75" i="1"/>
  <c r="S74" i="1"/>
  <c r="R74" i="1"/>
  <c r="Q74" i="1"/>
  <c r="S73" i="1"/>
  <c r="R73" i="1"/>
  <c r="S72" i="1"/>
  <c r="R72" i="1"/>
  <c r="Q72" i="1"/>
  <c r="S71" i="1"/>
  <c r="R71" i="1"/>
  <c r="Q71" i="1"/>
  <c r="S70" i="1"/>
  <c r="R70" i="1"/>
  <c r="Q70" i="1"/>
  <c r="S69" i="1"/>
  <c r="R69" i="1"/>
  <c r="Q69" i="1"/>
  <c r="S64" i="1"/>
  <c r="S63" i="1"/>
  <c r="S62" i="1"/>
  <c r="R62" i="1"/>
  <c r="Q62" i="1"/>
  <c r="S61" i="1"/>
  <c r="R61" i="1"/>
  <c r="S60" i="1"/>
  <c r="R60" i="1"/>
  <c r="Q60" i="1"/>
  <c r="S59" i="1"/>
  <c r="S58" i="1"/>
  <c r="S57" i="1"/>
  <c r="R57" i="1"/>
  <c r="S56" i="1"/>
  <c r="T51" i="1"/>
  <c r="R86" i="1"/>
  <c r="Q86" i="1"/>
  <c r="T50" i="1"/>
  <c r="R85" i="1"/>
  <c r="T42" i="1"/>
  <c r="U42" i="1"/>
  <c r="Q77" i="1"/>
  <c r="T37" i="1"/>
  <c r="R75" i="1"/>
  <c r="Q75" i="1"/>
  <c r="U36" i="1"/>
  <c r="T36" i="1"/>
  <c r="U35" i="1"/>
  <c r="T35" i="1"/>
  <c r="R63" i="1"/>
  <c r="U14" i="1"/>
  <c r="T14" i="1"/>
  <c r="U13" i="1"/>
  <c r="R59" i="1"/>
  <c r="T13" i="1"/>
  <c r="U10" i="1"/>
  <c r="R58" i="1"/>
  <c r="T10" i="1"/>
  <c r="U7" i="1"/>
  <c r="T7" i="1"/>
  <c r="R56" i="1"/>
  <c r="Q56" i="1"/>
  <c r="N106" i="1"/>
  <c r="O106" i="1"/>
  <c r="K173" i="1"/>
  <c r="L172" i="1"/>
  <c r="K172" i="1"/>
  <c r="L128" i="1"/>
  <c r="O128" i="1" s="1"/>
  <c r="K128" i="1"/>
  <c r="L124" i="1"/>
  <c r="L162" i="1" s="1"/>
  <c r="K124" i="1"/>
  <c r="K162" i="1" s="1"/>
  <c r="L122" i="1"/>
  <c r="L160" i="1" s="1"/>
  <c r="K122" i="1"/>
  <c r="L121" i="1"/>
  <c r="O121" i="1" s="1"/>
  <c r="K121" i="1"/>
  <c r="K159" i="1" s="1"/>
  <c r="L112" i="1"/>
  <c r="L150" i="1" s="1"/>
  <c r="K112" i="1"/>
  <c r="K150" i="1" s="1"/>
  <c r="L111" i="1"/>
  <c r="O111" i="1" s="1"/>
  <c r="K111" i="1"/>
  <c r="L110" i="1"/>
  <c r="O110" i="1" s="1"/>
  <c r="K110" i="1"/>
  <c r="L109" i="1"/>
  <c r="O109" i="1" s="1"/>
  <c r="K109" i="1"/>
  <c r="K108" i="1"/>
  <c r="L105" i="1"/>
  <c r="O105" i="1" s="1"/>
  <c r="K105" i="1"/>
  <c r="L104" i="1"/>
  <c r="O104" i="1" s="1"/>
  <c r="K104" i="1"/>
  <c r="L101" i="1"/>
  <c r="O101" i="1" s="1"/>
  <c r="K101" i="1"/>
  <c r="L100" i="1"/>
  <c r="K100" i="1"/>
  <c r="L97" i="1"/>
  <c r="L145" i="1" s="1"/>
  <c r="K97" i="1"/>
  <c r="K145" i="1" s="1"/>
  <c r="N36" i="1"/>
  <c r="O36" i="1"/>
  <c r="L51" i="1"/>
  <c r="L86" i="1" s="1"/>
  <c r="K51" i="1"/>
  <c r="K86" i="1" s="1"/>
  <c r="L50" i="1"/>
  <c r="K50" i="1"/>
  <c r="K85" i="1" s="1"/>
  <c r="L42" i="1"/>
  <c r="L77" i="1" s="1"/>
  <c r="K42" i="1"/>
  <c r="K77" i="1" s="1"/>
  <c r="L37" i="1"/>
  <c r="K37" i="1"/>
  <c r="K75" i="1" s="1"/>
  <c r="L35" i="1"/>
  <c r="L73" i="1" s="1"/>
  <c r="K35" i="1"/>
  <c r="K73" i="1" s="1"/>
  <c r="L26" i="1"/>
  <c r="K26" i="1"/>
  <c r="K64" i="1" s="1"/>
  <c r="L25" i="1"/>
  <c r="K25" i="1"/>
  <c r="K63" i="1" s="1"/>
  <c r="L17" i="1"/>
  <c r="K17" i="1"/>
  <c r="K61" i="1" s="1"/>
  <c r="L14" i="1"/>
  <c r="O14" i="1" s="1"/>
  <c r="K14" i="1"/>
  <c r="L13" i="1"/>
  <c r="K13" i="1"/>
  <c r="L11" i="1"/>
  <c r="K11" i="1"/>
  <c r="L10" i="1"/>
  <c r="K10" i="1"/>
  <c r="L9" i="1"/>
  <c r="K9" i="1"/>
  <c r="K57" i="1" s="1"/>
  <c r="L7" i="1"/>
  <c r="K7" i="1"/>
  <c r="L6" i="1"/>
  <c r="O6" i="1" s="1"/>
  <c r="K6" i="1"/>
  <c r="M173" i="1"/>
  <c r="M172" i="1"/>
  <c r="M164" i="1"/>
  <c r="M163" i="1"/>
  <c r="M162" i="1"/>
  <c r="M161" i="1"/>
  <c r="M160" i="1"/>
  <c r="M159" i="1"/>
  <c r="M158" i="1"/>
  <c r="L158" i="1"/>
  <c r="M157" i="1"/>
  <c r="L157" i="1"/>
  <c r="K157" i="1"/>
  <c r="M156" i="1"/>
  <c r="L156" i="1"/>
  <c r="K156" i="1"/>
  <c r="M151" i="1"/>
  <c r="M150" i="1"/>
  <c r="M149" i="1"/>
  <c r="M148" i="1"/>
  <c r="M147" i="1"/>
  <c r="L147" i="1"/>
  <c r="K147" i="1"/>
  <c r="M146" i="1"/>
  <c r="M145" i="1"/>
  <c r="M144" i="1"/>
  <c r="L144" i="1"/>
  <c r="M143" i="1"/>
  <c r="L143" i="1"/>
  <c r="K143" i="1"/>
  <c r="L163" i="1"/>
  <c r="K163" i="1"/>
  <c r="L161" i="1"/>
  <c r="K161" i="1"/>
  <c r="K158" i="1"/>
  <c r="L151" i="1"/>
  <c r="O108" i="1"/>
  <c r="K144" i="1"/>
  <c r="M86" i="1"/>
  <c r="M85" i="1"/>
  <c r="M77" i="1"/>
  <c r="M76" i="1"/>
  <c r="M75" i="1"/>
  <c r="M74" i="1"/>
  <c r="L74" i="1"/>
  <c r="K74" i="1"/>
  <c r="M73" i="1"/>
  <c r="M72" i="1"/>
  <c r="M71" i="1"/>
  <c r="M70" i="1"/>
  <c r="L70" i="1"/>
  <c r="K70" i="1"/>
  <c r="M69" i="1"/>
  <c r="L69" i="1"/>
  <c r="K69" i="1"/>
  <c r="M64" i="1"/>
  <c r="M63" i="1"/>
  <c r="M62" i="1"/>
  <c r="K62" i="1"/>
  <c r="M61" i="1"/>
  <c r="M60" i="1"/>
  <c r="L60" i="1"/>
  <c r="K60" i="1"/>
  <c r="M59" i="1"/>
  <c r="M58" i="1"/>
  <c r="M57" i="1"/>
  <c r="M56" i="1"/>
  <c r="L76" i="1"/>
  <c r="K76" i="1"/>
  <c r="L72" i="1"/>
  <c r="K72" i="1"/>
  <c r="L71" i="1"/>
  <c r="K71" i="1"/>
  <c r="L62" i="1"/>
  <c r="H102" i="1"/>
  <c r="I102" i="1"/>
  <c r="F173" i="1"/>
  <c r="F126" i="1"/>
  <c r="F163" i="1" s="1"/>
  <c r="E126" i="1"/>
  <c r="F124" i="1"/>
  <c r="I124" i="1" s="1"/>
  <c r="E124" i="1"/>
  <c r="F123" i="1"/>
  <c r="F161" i="1" s="1"/>
  <c r="E123" i="1"/>
  <c r="F122" i="1"/>
  <c r="F160" i="1" s="1"/>
  <c r="E122" i="1"/>
  <c r="F121" i="1"/>
  <c r="I121" i="1" s="1"/>
  <c r="E121" i="1"/>
  <c r="E159" i="1" s="1"/>
  <c r="F120" i="1"/>
  <c r="F158" i="1" s="1"/>
  <c r="E120" i="1"/>
  <c r="F113" i="1"/>
  <c r="F151" i="1" s="1"/>
  <c r="E113" i="1"/>
  <c r="E151" i="1" s="1"/>
  <c r="F112" i="1"/>
  <c r="I112" i="1" s="1"/>
  <c r="E112" i="1"/>
  <c r="F108" i="1"/>
  <c r="I108" i="1" s="1"/>
  <c r="E108" i="1"/>
  <c r="F104" i="1"/>
  <c r="F148" i="1" s="1"/>
  <c r="E104" i="1"/>
  <c r="F101" i="1"/>
  <c r="I101" i="1" s="1"/>
  <c r="E101" i="1"/>
  <c r="F100" i="1"/>
  <c r="E100" i="1"/>
  <c r="F99" i="1"/>
  <c r="E99" i="1"/>
  <c r="F98" i="1"/>
  <c r="E98" i="1"/>
  <c r="F97" i="1"/>
  <c r="I97" i="1" s="1"/>
  <c r="E97" i="1"/>
  <c r="F95" i="1"/>
  <c r="F144" i="1" s="1"/>
  <c r="E95" i="1"/>
  <c r="I8" i="1"/>
  <c r="F51" i="1"/>
  <c r="F86" i="1" s="1"/>
  <c r="E51" i="1"/>
  <c r="F50" i="1"/>
  <c r="F85" i="1" s="1"/>
  <c r="E50" i="1"/>
  <c r="F42" i="1"/>
  <c r="E42" i="1"/>
  <c r="F39" i="1"/>
  <c r="I39" i="1" s="1"/>
  <c r="E39" i="1"/>
  <c r="F37" i="1"/>
  <c r="I37" i="1" s="1"/>
  <c r="E37" i="1"/>
  <c r="F35" i="1"/>
  <c r="I35" i="1" s="1"/>
  <c r="E35" i="1"/>
  <c r="F34" i="1"/>
  <c r="I34" i="1" s="1"/>
  <c r="E34" i="1"/>
  <c r="F33" i="1"/>
  <c r="F71" i="1" s="1"/>
  <c r="E33" i="1"/>
  <c r="F26" i="1"/>
  <c r="I26" i="1" s="1"/>
  <c r="E26" i="1"/>
  <c r="F25" i="1"/>
  <c r="I25" i="1" s="1"/>
  <c r="E25" i="1"/>
  <c r="F21" i="1"/>
  <c r="F62" i="1" s="1"/>
  <c r="E21" i="1"/>
  <c r="F17" i="1"/>
  <c r="E17" i="1"/>
  <c r="F14" i="1"/>
  <c r="I14" i="1" s="1"/>
  <c r="E14" i="1"/>
  <c r="F13" i="1"/>
  <c r="I13" i="1" s="1"/>
  <c r="E13" i="1"/>
  <c r="F12" i="1"/>
  <c r="I12" i="1" s="1"/>
  <c r="E12" i="1"/>
  <c r="F10" i="1"/>
  <c r="E10" i="1"/>
  <c r="E8" i="1"/>
  <c r="E57" i="1" s="1"/>
  <c r="F7" i="1"/>
  <c r="I7" i="1" s="1"/>
  <c r="E7" i="1"/>
  <c r="G173" i="1"/>
  <c r="G172" i="1"/>
  <c r="G164" i="1"/>
  <c r="G163" i="1"/>
  <c r="G162" i="1"/>
  <c r="G161" i="1"/>
  <c r="G160" i="1"/>
  <c r="G159" i="1"/>
  <c r="G158" i="1"/>
  <c r="G157" i="1"/>
  <c r="G156" i="1"/>
  <c r="G151" i="1"/>
  <c r="G150" i="1"/>
  <c r="G149" i="1"/>
  <c r="G148" i="1"/>
  <c r="G147" i="1"/>
  <c r="F147" i="1"/>
  <c r="E147" i="1"/>
  <c r="G146" i="1"/>
  <c r="G145" i="1"/>
  <c r="G144" i="1"/>
  <c r="G143" i="1"/>
  <c r="E143" i="1"/>
  <c r="F164" i="1"/>
  <c r="F157" i="1"/>
  <c r="F156" i="1"/>
  <c r="F143" i="1"/>
  <c r="G86" i="1"/>
  <c r="G85" i="1"/>
  <c r="G77" i="1"/>
  <c r="G76" i="1"/>
  <c r="G75" i="1"/>
  <c r="G74" i="1"/>
  <c r="G73" i="1"/>
  <c r="G72" i="1"/>
  <c r="G71" i="1"/>
  <c r="G70" i="1"/>
  <c r="G69" i="1"/>
  <c r="G64" i="1"/>
  <c r="G63" i="1"/>
  <c r="G62" i="1"/>
  <c r="G61" i="1"/>
  <c r="G60" i="1"/>
  <c r="G59" i="1"/>
  <c r="G58" i="1"/>
  <c r="G57" i="1"/>
  <c r="G56" i="1"/>
  <c r="F74" i="1"/>
  <c r="F70" i="1"/>
  <c r="F57" i="1"/>
  <c r="CJ119" i="4"/>
  <c r="W18" i="5" s="1"/>
  <c r="CI119" i="4"/>
  <c r="CI118" i="4"/>
  <c r="CI117" i="4"/>
  <c r="CI116" i="4"/>
  <c r="CI115" i="4"/>
  <c r="CI114" i="4"/>
  <c r="CI113" i="4"/>
  <c r="CI112" i="4"/>
  <c r="CI111" i="4"/>
  <c r="CI110" i="4"/>
  <c r="CI109" i="4"/>
  <c r="CI108" i="4"/>
  <c r="CJ107" i="4"/>
  <c r="W25" i="5" s="1"/>
  <c r="CI107" i="4"/>
  <c r="CI106" i="4"/>
  <c r="CI105" i="4"/>
  <c r="CI104" i="4"/>
  <c r="CI103" i="4"/>
  <c r="CI102" i="4"/>
  <c r="CI101" i="4"/>
  <c r="CI100" i="4"/>
  <c r="CI99" i="4"/>
  <c r="CI98" i="4"/>
  <c r="CJ97" i="4"/>
  <c r="W22" i="5" s="1"/>
  <c r="CI97" i="4"/>
  <c r="CI96" i="4"/>
  <c r="CI95" i="4"/>
  <c r="CI94" i="4"/>
  <c r="CI93" i="4"/>
  <c r="CI92" i="4"/>
  <c r="CI91" i="4"/>
  <c r="CI90" i="4"/>
  <c r="CI89" i="4"/>
  <c r="CJ88" i="4"/>
  <c r="W17" i="5" s="1"/>
  <c r="CI88" i="4"/>
  <c r="CJ87" i="4"/>
  <c r="W16" i="5" s="1"/>
  <c r="CI87" i="4"/>
  <c r="CI86" i="4"/>
  <c r="CI85" i="4"/>
  <c r="CI84" i="4"/>
  <c r="CI83" i="4"/>
  <c r="CI82" i="4"/>
  <c r="CI81" i="4"/>
  <c r="CI80" i="4"/>
  <c r="CI79" i="4"/>
  <c r="CI78" i="4"/>
  <c r="CI77" i="4"/>
  <c r="CI76" i="4"/>
  <c r="CI75" i="4"/>
  <c r="CI74" i="4"/>
  <c r="CI73" i="4"/>
  <c r="CI72" i="4"/>
  <c r="CI71" i="4"/>
  <c r="CI70" i="4"/>
  <c r="CI69" i="4"/>
  <c r="CI68" i="4"/>
  <c r="CJ58" i="4"/>
  <c r="V18" i="5" s="1"/>
  <c r="CI58" i="4"/>
  <c r="CI57" i="4"/>
  <c r="CI56" i="4"/>
  <c r="CI55" i="4"/>
  <c r="CI54" i="4"/>
  <c r="CI53" i="4"/>
  <c r="CI52" i="4"/>
  <c r="CI51" i="4"/>
  <c r="CI50" i="4"/>
  <c r="CI49" i="4"/>
  <c r="CI48" i="4"/>
  <c r="CI47" i="4"/>
  <c r="CJ46" i="4"/>
  <c r="V25" i="5" s="1"/>
  <c r="CI46" i="4"/>
  <c r="CI45" i="4"/>
  <c r="CI44" i="4"/>
  <c r="CI43" i="4"/>
  <c r="CI42" i="4"/>
  <c r="CI41" i="4"/>
  <c r="CI40" i="4"/>
  <c r="CI39" i="4"/>
  <c r="CI38" i="4"/>
  <c r="CI37" i="4"/>
  <c r="CJ36" i="4"/>
  <c r="V22" i="5" s="1"/>
  <c r="CI36" i="4"/>
  <c r="CI35" i="4"/>
  <c r="CI34" i="4"/>
  <c r="CI33" i="4"/>
  <c r="CI32" i="4"/>
  <c r="CI31" i="4"/>
  <c r="CI30" i="4"/>
  <c r="CI29" i="4"/>
  <c r="CI28" i="4"/>
  <c r="CJ27" i="4"/>
  <c r="V17" i="5" s="1"/>
  <c r="CI27" i="4"/>
  <c r="CJ26" i="4"/>
  <c r="V16" i="5" s="1"/>
  <c r="CI26" i="4"/>
  <c r="CI25" i="4"/>
  <c r="CI24" i="4"/>
  <c r="CI23" i="4"/>
  <c r="CI22" i="4"/>
  <c r="CI21" i="4"/>
  <c r="CI20" i="4"/>
  <c r="CI19" i="4"/>
  <c r="CI18" i="4"/>
  <c r="CI17" i="4"/>
  <c r="CI16" i="4"/>
  <c r="CI15" i="4"/>
  <c r="CI14" i="4"/>
  <c r="CI13" i="4"/>
  <c r="CI12" i="4"/>
  <c r="CI11" i="4"/>
  <c r="CI10" i="4"/>
  <c r="CI9" i="4"/>
  <c r="CI8" i="4"/>
  <c r="CI7" i="4"/>
  <c r="CB119" i="4"/>
  <c r="U18" i="5" s="1"/>
  <c r="CA119" i="4"/>
  <c r="CA118" i="4"/>
  <c r="CA117" i="4"/>
  <c r="CA116" i="4"/>
  <c r="CA115" i="4"/>
  <c r="CA114" i="4"/>
  <c r="CA113" i="4"/>
  <c r="CA112" i="4"/>
  <c r="CA111" i="4"/>
  <c r="CA110" i="4"/>
  <c r="CA109" i="4"/>
  <c r="CA108" i="4"/>
  <c r="CB107" i="4"/>
  <c r="U25" i="5" s="1"/>
  <c r="CA107" i="4"/>
  <c r="CA106" i="4"/>
  <c r="CA105" i="4"/>
  <c r="CA104" i="4"/>
  <c r="CA103" i="4"/>
  <c r="CA102" i="4"/>
  <c r="CA101" i="4"/>
  <c r="CA100" i="4"/>
  <c r="CA99" i="4"/>
  <c r="CA98" i="4"/>
  <c r="CB97" i="4"/>
  <c r="U22" i="5" s="1"/>
  <c r="CA97" i="4"/>
  <c r="CA96" i="4"/>
  <c r="CA95" i="4"/>
  <c r="CA94" i="4"/>
  <c r="CA93" i="4"/>
  <c r="CA92" i="4"/>
  <c r="CA91" i="4"/>
  <c r="CA90" i="4"/>
  <c r="CA89" i="4"/>
  <c r="CB88" i="4"/>
  <c r="U17" i="5" s="1"/>
  <c r="CA88" i="4"/>
  <c r="CB87" i="4"/>
  <c r="U16" i="5" s="1"/>
  <c r="CA87" i="4"/>
  <c r="CA86" i="4"/>
  <c r="CA85" i="4"/>
  <c r="CA84" i="4"/>
  <c r="CA83" i="4"/>
  <c r="CA82" i="4"/>
  <c r="CA81" i="4"/>
  <c r="CA80" i="4"/>
  <c r="CA79" i="4"/>
  <c r="CA78" i="4"/>
  <c r="CA77" i="4"/>
  <c r="CA76" i="4"/>
  <c r="CA75" i="4"/>
  <c r="CA74" i="4"/>
  <c r="CA73" i="4"/>
  <c r="CA72" i="4"/>
  <c r="CA71" i="4"/>
  <c r="CA70" i="4"/>
  <c r="CB71" i="4" s="1"/>
  <c r="U8" i="5" s="1"/>
  <c r="CA69" i="4"/>
  <c r="CA68" i="4"/>
  <c r="CB58" i="4"/>
  <c r="T18" i="5" s="1"/>
  <c r="CA58" i="4"/>
  <c r="CA57" i="4"/>
  <c r="CA56" i="4"/>
  <c r="CA55" i="4"/>
  <c r="CA54" i="4"/>
  <c r="CA53" i="4"/>
  <c r="CA52" i="4"/>
  <c r="CA51" i="4"/>
  <c r="CA50" i="4"/>
  <c r="CA49" i="4"/>
  <c r="CA48" i="4"/>
  <c r="CA47" i="4"/>
  <c r="CB46" i="4"/>
  <c r="T25" i="5" s="1"/>
  <c r="CA46" i="4"/>
  <c r="CA45" i="4"/>
  <c r="CA44" i="4"/>
  <c r="CA43" i="4"/>
  <c r="CA42" i="4"/>
  <c r="CA41" i="4"/>
  <c r="CA40" i="4"/>
  <c r="CA39" i="4"/>
  <c r="CA38" i="4"/>
  <c r="CA37" i="4"/>
  <c r="CB36" i="4"/>
  <c r="T22" i="5" s="1"/>
  <c r="CA36" i="4"/>
  <c r="CA35" i="4"/>
  <c r="CA34" i="4"/>
  <c r="CA33" i="4"/>
  <c r="CA32" i="4"/>
  <c r="CA31" i="4"/>
  <c r="CA30" i="4"/>
  <c r="CA29" i="4"/>
  <c r="CA28" i="4"/>
  <c r="CB27" i="4"/>
  <c r="T17" i="5" s="1"/>
  <c r="CA27" i="4"/>
  <c r="CB26" i="4"/>
  <c r="T16" i="5" s="1"/>
  <c r="CA26" i="4"/>
  <c r="CA25" i="4"/>
  <c r="CA24" i="4"/>
  <c r="CA23" i="4"/>
  <c r="CA22" i="4"/>
  <c r="CA21" i="4"/>
  <c r="CA20" i="4"/>
  <c r="CA19" i="4"/>
  <c r="CA18" i="4"/>
  <c r="CA17" i="4"/>
  <c r="CA16" i="4"/>
  <c r="CA15" i="4"/>
  <c r="CA14" i="4"/>
  <c r="CA13" i="4"/>
  <c r="CA12" i="4"/>
  <c r="CA11" i="4"/>
  <c r="CA10" i="4"/>
  <c r="CA9" i="4"/>
  <c r="CA8" i="4"/>
  <c r="CA7" i="4"/>
  <c r="IZ61" i="1" l="1"/>
  <c r="CH39" i="5" s="1"/>
  <c r="AL74" i="1"/>
  <c r="JA61" i="1"/>
  <c r="AM73" i="1"/>
  <c r="IZ76" i="1"/>
  <c r="CH54" i="5" s="1"/>
  <c r="IU159" i="1"/>
  <c r="CK41" i="5"/>
  <c r="IT60" i="1"/>
  <c r="CF38" i="5" s="1"/>
  <c r="CF124" i="5" s="1"/>
  <c r="BY146" i="1"/>
  <c r="IT61" i="1"/>
  <c r="CF39" i="5" s="1"/>
  <c r="CN41" i="5"/>
  <c r="CH133" i="5"/>
  <c r="CF41" i="5"/>
  <c r="DM57" i="1"/>
  <c r="CN133" i="5"/>
  <c r="CN46" i="5"/>
  <c r="AP86" i="1"/>
  <c r="AR86" i="1" s="1"/>
  <c r="N45" i="5" s="1"/>
  <c r="CK33" i="5"/>
  <c r="CO41" i="5"/>
  <c r="CO133" i="5"/>
  <c r="CO46" i="5"/>
  <c r="BW143" i="1"/>
  <c r="CM41" i="5"/>
  <c r="CF133" i="5"/>
  <c r="CK133" i="5"/>
  <c r="CK46" i="5"/>
  <c r="CO33" i="5"/>
  <c r="CG133" i="5"/>
  <c r="CB52" i="4"/>
  <c r="T27" i="5" s="1"/>
  <c r="T82" i="5" s="1"/>
  <c r="BY62" i="1"/>
  <c r="IT150" i="1"/>
  <c r="CG43" i="5" s="1"/>
  <c r="CB76" i="4"/>
  <c r="U10" i="5" s="1"/>
  <c r="U65" i="5" s="1"/>
  <c r="CJ76" i="4"/>
  <c r="W10" i="5" s="1"/>
  <c r="W65" i="5" s="1"/>
  <c r="BQ151" i="1"/>
  <c r="BQ143" i="1"/>
  <c r="BQ163" i="1"/>
  <c r="CJ15" i="4"/>
  <c r="V10" i="5" s="1"/>
  <c r="V65" i="5" s="1"/>
  <c r="IZ145" i="1"/>
  <c r="CI36" i="5" s="1"/>
  <c r="CJ13" i="4"/>
  <c r="V9" i="5" s="1"/>
  <c r="V64" i="5" s="1"/>
  <c r="CB74" i="4"/>
  <c r="U9" i="5" s="1"/>
  <c r="U64" i="5" s="1"/>
  <c r="CB82" i="4"/>
  <c r="U12" i="5" s="1"/>
  <c r="U67" i="5" s="1"/>
  <c r="CB92" i="4"/>
  <c r="U20" i="5" s="1"/>
  <c r="CB118" i="4"/>
  <c r="U13" i="5" s="1"/>
  <c r="CJ55" i="4"/>
  <c r="V28" i="5" s="1"/>
  <c r="V83" i="5" s="1"/>
  <c r="CJ82" i="4"/>
  <c r="W12" i="5" s="1"/>
  <c r="W67" i="5" s="1"/>
  <c r="CJ92" i="4"/>
  <c r="W20" i="5" s="1"/>
  <c r="IT147" i="1"/>
  <c r="CG38" i="5" s="1"/>
  <c r="CG124" i="5" s="1"/>
  <c r="CJ17" i="4"/>
  <c r="V11" i="5" s="1"/>
  <c r="V66" i="5" s="1"/>
  <c r="CJ40" i="4"/>
  <c r="V23" i="5" s="1"/>
  <c r="V78" i="5" s="1"/>
  <c r="CJ69" i="4"/>
  <c r="W7" i="5" s="1"/>
  <c r="CJ113" i="4"/>
  <c r="W27" i="5" s="1"/>
  <c r="W82" i="5" s="1"/>
  <c r="IZ59" i="1"/>
  <c r="CH37" i="5" s="1"/>
  <c r="JA69" i="1"/>
  <c r="JA76" i="1"/>
  <c r="AX105" i="1"/>
  <c r="CT93" i="1"/>
  <c r="CT95" i="1"/>
  <c r="CT97" i="1"/>
  <c r="CT99" i="1"/>
  <c r="CT101" i="1"/>
  <c r="IT144" i="1"/>
  <c r="CG35" i="5" s="1"/>
  <c r="BV16" i="1"/>
  <c r="CT121" i="1"/>
  <c r="IZ77" i="1"/>
  <c r="CH55" i="5" s="1"/>
  <c r="IZ157" i="1"/>
  <c r="CI48" i="5" s="1"/>
  <c r="CI134" i="5" s="1"/>
  <c r="CK57" i="1"/>
  <c r="IT56" i="1"/>
  <c r="CF34" i="5" s="1"/>
  <c r="CN19" i="1"/>
  <c r="R64" i="1"/>
  <c r="T64" i="1" s="1"/>
  <c r="F44" i="5" s="1"/>
  <c r="X61" i="1"/>
  <c r="Z61" i="1" s="1"/>
  <c r="H39" i="5" s="1"/>
  <c r="AD75" i="1"/>
  <c r="AG75" i="1" s="1"/>
  <c r="AS26" i="1"/>
  <c r="AD60" i="1"/>
  <c r="AG60" i="1" s="1"/>
  <c r="CR147" i="1"/>
  <c r="CQ145" i="1"/>
  <c r="CT70" i="1"/>
  <c r="CZ124" i="1"/>
  <c r="CN23" i="1"/>
  <c r="CT94" i="1"/>
  <c r="CT96" i="1"/>
  <c r="CT100" i="1"/>
  <c r="CQ147" i="1"/>
  <c r="X64" i="1"/>
  <c r="Z64" i="1" s="1"/>
  <c r="H44" i="5" s="1"/>
  <c r="X73" i="1"/>
  <c r="AA73" i="1" s="1"/>
  <c r="AP60" i="1"/>
  <c r="AS60" i="1" s="1"/>
  <c r="AX96" i="1"/>
  <c r="AX113" i="1"/>
  <c r="CZ33" i="1"/>
  <c r="IT172" i="1"/>
  <c r="CG40" i="5" s="1"/>
  <c r="IZ146" i="1"/>
  <c r="CI37" i="5" s="1"/>
  <c r="IT162" i="1"/>
  <c r="CG53" i="5" s="1"/>
  <c r="CG46" i="5" s="1"/>
  <c r="IZ143" i="1"/>
  <c r="CI34" i="5" s="1"/>
  <c r="CB39" i="1"/>
  <c r="CB111" i="1"/>
  <c r="CZ14" i="1"/>
  <c r="DA145" i="1"/>
  <c r="DA147" i="1"/>
  <c r="CN42" i="1"/>
  <c r="CT106" i="1"/>
  <c r="CT111" i="1"/>
  <c r="X57" i="1"/>
  <c r="AA57" i="1" s="1"/>
  <c r="X60" i="1"/>
  <c r="Z60" i="1" s="1"/>
  <c r="H38" i="5" s="1"/>
  <c r="H124" i="5" s="1"/>
  <c r="X62" i="1"/>
  <c r="AA62" i="1" s="1"/>
  <c r="AM59" i="1"/>
  <c r="AR24" i="1"/>
  <c r="BZ161" i="1"/>
  <c r="CC161" i="1" s="1"/>
  <c r="DA41" i="1"/>
  <c r="CT103" i="1"/>
  <c r="CT105" i="1"/>
  <c r="CT112" i="1"/>
  <c r="AG149" i="1"/>
  <c r="AR25" i="1"/>
  <c r="AL85" i="1"/>
  <c r="AS144" i="1"/>
  <c r="AR143" i="1"/>
  <c r="AR26" i="1"/>
  <c r="AR6" i="1"/>
  <c r="AR10" i="1"/>
  <c r="AR14" i="1"/>
  <c r="AR40" i="1"/>
  <c r="AR42" i="1"/>
  <c r="BV14" i="1"/>
  <c r="BV24" i="1"/>
  <c r="CN12" i="1"/>
  <c r="CT104" i="1"/>
  <c r="CT123" i="1"/>
  <c r="CT102" i="1"/>
  <c r="N101" i="1"/>
  <c r="Z121" i="1"/>
  <c r="Z126" i="1"/>
  <c r="AF13" i="1"/>
  <c r="AF35" i="1"/>
  <c r="AI146" i="1"/>
  <c r="AP56" i="1"/>
  <c r="AP74" i="1"/>
  <c r="AR74" i="1" s="1"/>
  <c r="N52" i="5" s="1"/>
  <c r="N138" i="5" s="1"/>
  <c r="AS143" i="1"/>
  <c r="AS24" i="1"/>
  <c r="AS34" i="1"/>
  <c r="CN8" i="1"/>
  <c r="CT122" i="1"/>
  <c r="IZ149" i="1"/>
  <c r="CI42" i="5" s="1"/>
  <c r="CI41" i="5" s="1"/>
  <c r="BY76" i="1"/>
  <c r="DS59" i="1"/>
  <c r="CN16" i="1"/>
  <c r="CT109" i="1"/>
  <c r="CT124" i="1"/>
  <c r="IT149" i="1"/>
  <c r="CG42" i="5" s="1"/>
  <c r="CJ118" i="4"/>
  <c r="W13" i="5" s="1"/>
  <c r="CB15" i="4"/>
  <c r="T10" i="5" s="1"/>
  <c r="T65" i="5" s="1"/>
  <c r="CB78" i="4"/>
  <c r="U11" i="5" s="1"/>
  <c r="U66" i="5" s="1"/>
  <c r="CB86" i="4"/>
  <c r="U15" i="5" s="1"/>
  <c r="CB96" i="4"/>
  <c r="U21" i="5" s="1"/>
  <c r="U76" i="5" s="1"/>
  <c r="CJ8" i="4"/>
  <c r="V7" i="5" s="1"/>
  <c r="CJ78" i="4"/>
  <c r="W11" i="5" s="1"/>
  <c r="W66" i="5" s="1"/>
  <c r="CJ86" i="4"/>
  <c r="W15" i="5" s="1"/>
  <c r="CJ96" i="4"/>
  <c r="W21" i="5" s="1"/>
  <c r="W76" i="5" s="1"/>
  <c r="Z94" i="1"/>
  <c r="AL58" i="1"/>
  <c r="BK57" i="1"/>
  <c r="BQ58" i="1"/>
  <c r="CU109" i="1"/>
  <c r="CU121" i="1"/>
  <c r="CU124" i="1"/>
  <c r="IT76" i="1"/>
  <c r="CF54" i="5" s="1"/>
  <c r="CF46" i="5" s="1"/>
  <c r="IT148" i="1"/>
  <c r="CG39" i="5" s="1"/>
  <c r="N143" i="1"/>
  <c r="Z34" i="1"/>
  <c r="AF122" i="1"/>
  <c r="AJ145" i="1"/>
  <c r="AM145" i="1" s="1"/>
  <c r="AL109" i="1"/>
  <c r="AR17" i="1"/>
  <c r="AR32" i="1"/>
  <c r="AR38" i="1"/>
  <c r="AR51" i="1"/>
  <c r="AX93" i="1"/>
  <c r="AX103" i="1"/>
  <c r="AX111" i="1"/>
  <c r="BY163" i="1"/>
  <c r="CT98" i="1"/>
  <c r="Z109" i="1"/>
  <c r="X143" i="1"/>
  <c r="AD69" i="1"/>
  <c r="AG121" i="1"/>
  <c r="AF161" i="1"/>
  <c r="K52" i="5" s="1"/>
  <c r="K138" i="5" s="1"/>
  <c r="AP58" i="1"/>
  <c r="AS58" i="1" s="1"/>
  <c r="BB146" i="1"/>
  <c r="BE146" i="1" s="1"/>
  <c r="CO16" i="1"/>
  <c r="CO42" i="1"/>
  <c r="IT85" i="1"/>
  <c r="CF40" i="5" s="1"/>
  <c r="IZ57" i="1"/>
  <c r="CH35" i="5" s="1"/>
  <c r="JF63" i="1"/>
  <c r="CJ43" i="5" s="1"/>
  <c r="AU144" i="1"/>
  <c r="AD77" i="1"/>
  <c r="AF77" i="1" s="1"/>
  <c r="J55" i="5" s="1"/>
  <c r="AM57" i="1"/>
  <c r="AM69" i="1"/>
  <c r="AX100" i="1"/>
  <c r="AX119" i="1"/>
  <c r="BW144" i="1"/>
  <c r="BY148" i="1"/>
  <c r="JF56" i="1"/>
  <c r="CJ34" i="5" s="1"/>
  <c r="M16" i="6"/>
  <c r="M66" i="6" s="1"/>
  <c r="T72" i="5"/>
  <c r="CB10" i="4"/>
  <c r="T8" i="5" s="1"/>
  <c r="CB17" i="4"/>
  <c r="T11" i="5" s="1"/>
  <c r="CB57" i="4"/>
  <c r="T13" i="5" s="1"/>
  <c r="CB69" i="4"/>
  <c r="U7" i="5" s="1"/>
  <c r="U72" i="5"/>
  <c r="CB106" i="4"/>
  <c r="U24" i="5" s="1"/>
  <c r="CB116" i="4"/>
  <c r="U28" i="5" s="1"/>
  <c r="V71" i="5"/>
  <c r="N15" i="6"/>
  <c r="N65" i="6" s="1"/>
  <c r="N19" i="6"/>
  <c r="N69" i="6" s="1"/>
  <c r="V77" i="5"/>
  <c r="CJ50" i="4"/>
  <c r="V26" i="5" s="1"/>
  <c r="CJ52" i="4"/>
  <c r="V27" i="5" s="1"/>
  <c r="N27" i="6"/>
  <c r="N77" i="6" s="1"/>
  <c r="V73" i="5"/>
  <c r="CJ71" i="4"/>
  <c r="W8" i="5" s="1"/>
  <c r="W72" i="5"/>
  <c r="CJ106" i="4"/>
  <c r="W24" i="5" s="1"/>
  <c r="CJ116" i="4"/>
  <c r="W28" i="5" s="1"/>
  <c r="W80" i="5"/>
  <c r="T80" i="5"/>
  <c r="M22" i="6"/>
  <c r="U63" i="5"/>
  <c r="U71" i="5"/>
  <c r="U77" i="5"/>
  <c r="CB111" i="4"/>
  <c r="U26" i="5" s="1"/>
  <c r="CB113" i="4"/>
  <c r="U27" i="5" s="1"/>
  <c r="U73" i="5"/>
  <c r="CJ10" i="4"/>
  <c r="V8" i="5" s="1"/>
  <c r="V72" i="5"/>
  <c r="N16" i="6"/>
  <c r="N66" i="6" s="1"/>
  <c r="CJ45" i="4"/>
  <c r="V24" i="5" s="1"/>
  <c r="CJ57" i="4"/>
  <c r="V13" i="5" s="1"/>
  <c r="W71" i="5"/>
  <c r="W77" i="5"/>
  <c r="CJ111" i="4"/>
  <c r="W26" i="5" s="1"/>
  <c r="W73" i="5"/>
  <c r="U80" i="5"/>
  <c r="T71" i="5"/>
  <c r="M15" i="6"/>
  <c r="M65" i="6" s="1"/>
  <c r="M19" i="6"/>
  <c r="M69" i="6" s="1"/>
  <c r="T77" i="5"/>
  <c r="CB50" i="4"/>
  <c r="T26" i="5" s="1"/>
  <c r="T73" i="5"/>
  <c r="M27" i="6"/>
  <c r="CB101" i="4"/>
  <c r="U23" i="5" s="1"/>
  <c r="CJ21" i="4"/>
  <c r="V12" i="5" s="1"/>
  <c r="CJ25" i="4"/>
  <c r="V15" i="5" s="1"/>
  <c r="V14" i="5" s="1"/>
  <c r="CJ31" i="4"/>
  <c r="V20" i="5" s="1"/>
  <c r="CJ35" i="4"/>
  <c r="V21" i="5" s="1"/>
  <c r="N22" i="6"/>
  <c r="N72" i="6" s="1"/>
  <c r="V80" i="5"/>
  <c r="CJ74" i="4"/>
  <c r="W9" i="5" s="1"/>
  <c r="CJ101" i="4"/>
  <c r="W23" i="5" s="1"/>
  <c r="CM134" i="5"/>
  <c r="CM138" i="5"/>
  <c r="JM56" i="1"/>
  <c r="CL133" i="5"/>
  <c r="CL138" i="5"/>
  <c r="CL134" i="5"/>
  <c r="CK124" i="5"/>
  <c r="CK138" i="5"/>
  <c r="CK134" i="5"/>
  <c r="CJ138" i="5"/>
  <c r="IZ73" i="1"/>
  <c r="CH51" i="5" s="1"/>
  <c r="IT146" i="1"/>
  <c r="CG37" i="5" s="1"/>
  <c r="JL148" i="1"/>
  <c r="CM39" i="5" s="1"/>
  <c r="JL85" i="1"/>
  <c r="CL40" i="5" s="1"/>
  <c r="JL77" i="1"/>
  <c r="CL55" i="5" s="1"/>
  <c r="CL46" i="5" s="1"/>
  <c r="JL73" i="1"/>
  <c r="JF85" i="1"/>
  <c r="CJ40" i="5" s="1"/>
  <c r="IZ156" i="1"/>
  <c r="CI47" i="5" s="1"/>
  <c r="IZ163" i="1"/>
  <c r="CI54" i="5" s="1"/>
  <c r="IZ147" i="1"/>
  <c r="CI38" i="5" s="1"/>
  <c r="CI124" i="5" s="1"/>
  <c r="JA58" i="1"/>
  <c r="JA60" i="1"/>
  <c r="JL163" i="1"/>
  <c r="CM54" i="5" s="1"/>
  <c r="JL156" i="1"/>
  <c r="CM47" i="5" s="1"/>
  <c r="JL147" i="1"/>
  <c r="CM38" i="5" s="1"/>
  <c r="JL144" i="1"/>
  <c r="CM35" i="5" s="1"/>
  <c r="JL159" i="1"/>
  <c r="CM50" i="5" s="1"/>
  <c r="JL60" i="1"/>
  <c r="CL38" i="5" s="1"/>
  <c r="JL164" i="1"/>
  <c r="CM55" i="5" s="1"/>
  <c r="JL58" i="1"/>
  <c r="CL36" i="5" s="1"/>
  <c r="JL160" i="1"/>
  <c r="CM51" i="5" s="1"/>
  <c r="JL63" i="1"/>
  <c r="CL43" i="5" s="1"/>
  <c r="CL41" i="5" s="1"/>
  <c r="JL56" i="1"/>
  <c r="CL34" i="5" s="1"/>
  <c r="JF73" i="1"/>
  <c r="CJ51" i="5" s="1"/>
  <c r="JF60" i="1"/>
  <c r="CJ38" i="5" s="1"/>
  <c r="JF69" i="1"/>
  <c r="CJ47" i="5" s="1"/>
  <c r="JF75" i="1"/>
  <c r="CJ53" i="5" s="1"/>
  <c r="JG62" i="1"/>
  <c r="JF62" i="1"/>
  <c r="CJ42" i="5" s="1"/>
  <c r="CJ41" i="5" s="1"/>
  <c r="JF77" i="1"/>
  <c r="CJ55" i="5" s="1"/>
  <c r="JF58" i="1"/>
  <c r="CJ36" i="5" s="1"/>
  <c r="IZ58" i="1"/>
  <c r="CH36" i="5" s="1"/>
  <c r="JA56" i="1"/>
  <c r="IZ160" i="1"/>
  <c r="CI51" i="5" s="1"/>
  <c r="IZ148" i="1"/>
  <c r="CI39" i="5" s="1"/>
  <c r="IZ144" i="1"/>
  <c r="CI35" i="5" s="1"/>
  <c r="IZ85" i="1"/>
  <c r="CH40" i="5" s="1"/>
  <c r="IZ164" i="1"/>
  <c r="CI55" i="5" s="1"/>
  <c r="IZ62" i="1"/>
  <c r="CH42" i="5" s="1"/>
  <c r="CH41" i="5" s="1"/>
  <c r="IZ159" i="1"/>
  <c r="CI50" i="5" s="1"/>
  <c r="IZ60" i="1"/>
  <c r="CH38" i="5" s="1"/>
  <c r="CH124" i="5" s="1"/>
  <c r="DR57" i="1"/>
  <c r="AN35" i="5" s="1"/>
  <c r="AA56" i="1"/>
  <c r="W146" i="1"/>
  <c r="AU146" i="1"/>
  <c r="BE58" i="1"/>
  <c r="BK145" i="1"/>
  <c r="BQ57" i="1"/>
  <c r="BQ144" i="1"/>
  <c r="BZ148" i="1"/>
  <c r="CC148" i="1" s="1"/>
  <c r="CH18" i="1"/>
  <c r="DG10" i="1"/>
  <c r="DF35" i="1"/>
  <c r="DS58" i="1"/>
  <c r="DY147" i="1"/>
  <c r="F149" i="1"/>
  <c r="I149" i="1" s="1"/>
  <c r="I123" i="1"/>
  <c r="AR31" i="1"/>
  <c r="BJ60" i="1"/>
  <c r="DA31" i="1"/>
  <c r="CZ100" i="1"/>
  <c r="EE57" i="1"/>
  <c r="I113" i="1"/>
  <c r="H126" i="1"/>
  <c r="I148" i="1"/>
  <c r="AU56" i="1"/>
  <c r="AU58" i="1"/>
  <c r="AU60" i="1"/>
  <c r="AU61" i="1"/>
  <c r="AU62" i="1"/>
  <c r="AU76" i="1"/>
  <c r="AU77" i="1"/>
  <c r="AX145" i="1"/>
  <c r="Q36" i="5" s="1"/>
  <c r="BZ143" i="1"/>
  <c r="CB143" i="1" s="1"/>
  <c r="AA34" i="5" s="1"/>
  <c r="BZ145" i="1"/>
  <c r="CC145" i="1" s="1"/>
  <c r="BZ157" i="1"/>
  <c r="CB157" i="1" s="1"/>
  <c r="AA48" i="5" s="1"/>
  <c r="AA134" i="5" s="1"/>
  <c r="BZ172" i="1"/>
  <c r="CB172" i="1" s="1"/>
  <c r="AA40" i="5" s="1"/>
  <c r="CQ149" i="1"/>
  <c r="CR143" i="1"/>
  <c r="CU143" i="1" s="1"/>
  <c r="CW56" i="1"/>
  <c r="DC149" i="1"/>
  <c r="DC163" i="1"/>
  <c r="DC164" i="1"/>
  <c r="DO58" i="1"/>
  <c r="DR58" i="1" s="1"/>
  <c r="AN36" i="5" s="1"/>
  <c r="DO62" i="1"/>
  <c r="DO164" i="1"/>
  <c r="DU149" i="1"/>
  <c r="DU164" i="1"/>
  <c r="EG56" i="1"/>
  <c r="EG146" i="1"/>
  <c r="EM56" i="1"/>
  <c r="DY64" i="1"/>
  <c r="I143" i="1"/>
  <c r="F145" i="1"/>
  <c r="I145" i="1" s="1"/>
  <c r="F146" i="1"/>
  <c r="I146" i="1" s="1"/>
  <c r="AF51" i="1"/>
  <c r="AS149" i="1"/>
  <c r="AS25" i="1"/>
  <c r="AU59" i="1"/>
  <c r="BE101" i="1"/>
  <c r="BZ58" i="1"/>
  <c r="CC58" i="1" s="1"/>
  <c r="CL56" i="1"/>
  <c r="CO56" i="1" s="1"/>
  <c r="CN11" i="1"/>
  <c r="CN37" i="1"/>
  <c r="DA97" i="1"/>
  <c r="EP147" i="1"/>
  <c r="H42" i="1"/>
  <c r="R151" i="1"/>
  <c r="T151" i="1" s="1"/>
  <c r="G44" i="5" s="1"/>
  <c r="Z13" i="1"/>
  <c r="AG51" i="1"/>
  <c r="AP71" i="1"/>
  <c r="AP59" i="1"/>
  <c r="AS59" i="1" s="1"/>
  <c r="BW146" i="1"/>
  <c r="BT58" i="1"/>
  <c r="BW58" i="1" s="1"/>
  <c r="CU57" i="1"/>
  <c r="DC62" i="1"/>
  <c r="DF51" i="1"/>
  <c r="DI146" i="1"/>
  <c r="DO146" i="1"/>
  <c r="DO148" i="1"/>
  <c r="DV58" i="1"/>
  <c r="DY58" i="1" s="1"/>
  <c r="EA76" i="1"/>
  <c r="N105" i="1"/>
  <c r="Z96" i="1"/>
  <c r="AP57" i="1"/>
  <c r="AR57" i="1" s="1"/>
  <c r="N35" i="5" s="1"/>
  <c r="AS62" i="1"/>
  <c r="AP69" i="1"/>
  <c r="AS69" i="1" s="1"/>
  <c r="AX94" i="1"/>
  <c r="AX97" i="1"/>
  <c r="AX101" i="1"/>
  <c r="AX107" i="1"/>
  <c r="AX109" i="1"/>
  <c r="AX112" i="1"/>
  <c r="AX118" i="1"/>
  <c r="AX126" i="1"/>
  <c r="AX128" i="1"/>
  <c r="BE105" i="1"/>
  <c r="BD101" i="1"/>
  <c r="BV12" i="1"/>
  <c r="BV26" i="1"/>
  <c r="BV42" i="1"/>
  <c r="CC144" i="1"/>
  <c r="CN101" i="1"/>
  <c r="CN105" i="1"/>
  <c r="CN111" i="1"/>
  <c r="CN113" i="1"/>
  <c r="CN121" i="1"/>
  <c r="CN147" i="1"/>
  <c r="AE38" i="5" s="1"/>
  <c r="AE124" i="5" s="1"/>
  <c r="DA35" i="1"/>
  <c r="CZ107" i="1"/>
  <c r="DA123" i="1"/>
  <c r="DF25" i="1"/>
  <c r="EP70" i="1"/>
  <c r="H21" i="1"/>
  <c r="I144" i="1"/>
  <c r="AG122" i="1"/>
  <c r="AD160" i="1"/>
  <c r="AG160" i="1" s="1"/>
  <c r="AD146" i="1"/>
  <c r="AG146" i="1" s="1"/>
  <c r="AG103" i="1"/>
  <c r="AI149" i="1"/>
  <c r="AS145" i="1"/>
  <c r="AR36" i="1"/>
  <c r="AU149" i="1"/>
  <c r="BA59" i="1"/>
  <c r="BA61" i="1"/>
  <c r="BA76" i="1"/>
  <c r="BA77" i="1"/>
  <c r="BD147" i="1"/>
  <c r="S38" i="5" s="1"/>
  <c r="S124" i="5" s="1"/>
  <c r="BK149" i="1"/>
  <c r="BQ145" i="1"/>
  <c r="BY149" i="1"/>
  <c r="CB108" i="1"/>
  <c r="CB119" i="1"/>
  <c r="DA120" i="1"/>
  <c r="CX158" i="1"/>
  <c r="DA158" i="1" s="1"/>
  <c r="EA73" i="1"/>
  <c r="O60" i="1"/>
  <c r="N10" i="1"/>
  <c r="N13" i="1"/>
  <c r="N17" i="1"/>
  <c r="N26" i="1"/>
  <c r="N37" i="1"/>
  <c r="N50" i="1"/>
  <c r="L146" i="1"/>
  <c r="O146" i="1" s="1"/>
  <c r="K164" i="1"/>
  <c r="U148" i="1"/>
  <c r="W72" i="1"/>
  <c r="Z72" i="1" s="1"/>
  <c r="H50" i="5" s="1"/>
  <c r="W143" i="1"/>
  <c r="W163" i="1"/>
  <c r="Z163" i="1" s="1"/>
  <c r="I54" i="5" s="1"/>
  <c r="X59" i="1"/>
  <c r="AA59" i="1" s="1"/>
  <c r="Z17" i="1"/>
  <c r="AC73" i="1"/>
  <c r="AD144" i="1"/>
  <c r="AG144" i="1" s="1"/>
  <c r="AF93" i="1"/>
  <c r="AF95" i="1"/>
  <c r="AC145" i="1"/>
  <c r="AC146" i="1"/>
  <c r="AF103" i="1"/>
  <c r="AF126" i="1"/>
  <c r="AL56" i="1"/>
  <c r="AL76" i="1"/>
  <c r="AM58" i="1"/>
  <c r="AL62" i="1"/>
  <c r="AL143" i="1"/>
  <c r="AM144" i="1"/>
  <c r="AM148" i="1"/>
  <c r="AP70" i="1"/>
  <c r="AS70" i="1" s="1"/>
  <c r="AR34" i="1"/>
  <c r="AP61" i="1"/>
  <c r="AP73" i="1"/>
  <c r="AR73" i="1" s="1"/>
  <c r="N51" i="5" s="1"/>
  <c r="AR35" i="1"/>
  <c r="AP75" i="1"/>
  <c r="AS75" i="1" s="1"/>
  <c r="AR37" i="1"/>
  <c r="AP77" i="1"/>
  <c r="AS77" i="1" s="1"/>
  <c r="AX7" i="1"/>
  <c r="AX20" i="1"/>
  <c r="AY119" i="1"/>
  <c r="AV157" i="1"/>
  <c r="AY157" i="1" s="1"/>
  <c r="AV159" i="1"/>
  <c r="AY121" i="1"/>
  <c r="CH14" i="1"/>
  <c r="CE61" i="1"/>
  <c r="CX63" i="1"/>
  <c r="DA63" i="1" s="1"/>
  <c r="DP60" i="1"/>
  <c r="DS60" i="1" s="1"/>
  <c r="EA151" i="1"/>
  <c r="I164" i="1"/>
  <c r="I147" i="1"/>
  <c r="F162" i="1"/>
  <c r="I162" i="1" s="1"/>
  <c r="H99" i="1"/>
  <c r="H101" i="1"/>
  <c r="K59" i="1"/>
  <c r="N145" i="1"/>
  <c r="E36" i="5" s="1"/>
  <c r="AX104" i="1"/>
  <c r="AU148" i="1"/>
  <c r="BY56" i="1"/>
  <c r="BY58" i="1"/>
  <c r="BY59" i="1"/>
  <c r="BY61" i="1"/>
  <c r="CB15" i="1"/>
  <c r="CX60" i="1"/>
  <c r="DA60" i="1" s="1"/>
  <c r="DA15" i="1"/>
  <c r="CX75" i="1"/>
  <c r="DA75" i="1" s="1"/>
  <c r="DA37" i="1"/>
  <c r="EB143" i="1"/>
  <c r="ED143" i="1" s="1"/>
  <c r="F56" i="1"/>
  <c r="I51" i="1"/>
  <c r="H113" i="1"/>
  <c r="F159" i="1"/>
  <c r="I159" i="1" s="1"/>
  <c r="O62" i="1"/>
  <c r="N60" i="1"/>
  <c r="O122" i="1"/>
  <c r="N128" i="1"/>
  <c r="T56" i="1"/>
  <c r="F34" i="5" s="1"/>
  <c r="T76" i="1"/>
  <c r="F54" i="5" s="1"/>
  <c r="T145" i="1"/>
  <c r="G36" i="5" s="1"/>
  <c r="T146" i="1"/>
  <c r="G37" i="5" s="1"/>
  <c r="T144" i="1"/>
  <c r="G35" i="5" s="1"/>
  <c r="AG62" i="1"/>
  <c r="AF101" i="1"/>
  <c r="AF99" i="1"/>
  <c r="AF123" i="1"/>
  <c r="AF125" i="1"/>
  <c r="AL57" i="1"/>
  <c r="AL60" i="1"/>
  <c r="AL77" i="1"/>
  <c r="AM61" i="1"/>
  <c r="AU150" i="1"/>
  <c r="AX150" i="1" s="1"/>
  <c r="Q43" i="5" s="1"/>
  <c r="CB18" i="1"/>
  <c r="DU61" i="1"/>
  <c r="EB77" i="1"/>
  <c r="EE77" i="1" s="1"/>
  <c r="AR9" i="1"/>
  <c r="AR39" i="1"/>
  <c r="AX22" i="1"/>
  <c r="BV34" i="1"/>
  <c r="BV38" i="1"/>
  <c r="CB147" i="1"/>
  <c r="CC74" i="1"/>
  <c r="CC121" i="1"/>
  <c r="CE58" i="1"/>
  <c r="CE59" i="1"/>
  <c r="CH17" i="1"/>
  <c r="CE76" i="1"/>
  <c r="CH70" i="1"/>
  <c r="CE164" i="1"/>
  <c r="CO37" i="1"/>
  <c r="CK149" i="1"/>
  <c r="CQ58" i="1"/>
  <c r="CQ62" i="1"/>
  <c r="CX71" i="1"/>
  <c r="DA71" i="1" s="1"/>
  <c r="CX74" i="1"/>
  <c r="DA74" i="1" s="1"/>
  <c r="CX148" i="1"/>
  <c r="CX150" i="1"/>
  <c r="DA150" i="1" s="1"/>
  <c r="CX157" i="1"/>
  <c r="DA157" i="1" s="1"/>
  <c r="DG143" i="1"/>
  <c r="DG159" i="1"/>
  <c r="DI58" i="1"/>
  <c r="DI149" i="1"/>
  <c r="DI164" i="1"/>
  <c r="DO61" i="1"/>
  <c r="DR70" i="1"/>
  <c r="DO149" i="1"/>
  <c r="DU146" i="1"/>
  <c r="EA59" i="1"/>
  <c r="EK57" i="1"/>
  <c r="EN56" i="1"/>
  <c r="EQ56" i="1" s="1"/>
  <c r="EM58" i="1"/>
  <c r="EQ64" i="1"/>
  <c r="CN35" i="1"/>
  <c r="CN76" i="1"/>
  <c r="CO85" i="1"/>
  <c r="CO145" i="1"/>
  <c r="CL149" i="1"/>
  <c r="CO149" i="1" s="1"/>
  <c r="CO147" i="1"/>
  <c r="CR58" i="1"/>
  <c r="CU58" i="1" s="1"/>
  <c r="CX85" i="1"/>
  <c r="DA85" i="1" s="1"/>
  <c r="CZ105" i="1"/>
  <c r="DF13" i="1"/>
  <c r="DC146" i="1"/>
  <c r="DC148" i="1"/>
  <c r="DJ58" i="1"/>
  <c r="DM58" i="1" s="1"/>
  <c r="DS57" i="1"/>
  <c r="EA56" i="1"/>
  <c r="ED56" i="1" s="1"/>
  <c r="EA62" i="1"/>
  <c r="ED70" i="1"/>
  <c r="EA148" i="1"/>
  <c r="EG58" i="1"/>
  <c r="EG62" i="1"/>
  <c r="EG164" i="1"/>
  <c r="EN58" i="1"/>
  <c r="EQ58" i="1" s="1"/>
  <c r="CI147" i="1"/>
  <c r="CN96" i="1"/>
  <c r="CN104" i="1"/>
  <c r="CN107" i="1"/>
  <c r="CN109" i="1"/>
  <c r="CN122" i="1"/>
  <c r="CZ15" i="1"/>
  <c r="CZ34" i="1"/>
  <c r="CZ37" i="1"/>
  <c r="CZ111" i="1"/>
  <c r="DA156" i="1"/>
  <c r="DL96" i="1"/>
  <c r="DL122" i="1"/>
  <c r="DL126" i="1"/>
  <c r="DM147" i="1"/>
  <c r="DR35" i="1"/>
  <c r="DR39" i="1"/>
  <c r="DX147" i="1"/>
  <c r="EK147" i="1"/>
  <c r="EQ57" i="1"/>
  <c r="AG58" i="1"/>
  <c r="AX121" i="1"/>
  <c r="AU159" i="1"/>
  <c r="CC109" i="1"/>
  <c r="CB109" i="1"/>
  <c r="CC112" i="1"/>
  <c r="CB112" i="1"/>
  <c r="BZ150" i="1"/>
  <c r="CB150" i="1" s="1"/>
  <c r="AA43" i="5" s="1"/>
  <c r="CC122" i="1"/>
  <c r="CB122" i="1"/>
  <c r="BZ173" i="1"/>
  <c r="CC173" i="1" s="1"/>
  <c r="CK85" i="1"/>
  <c r="CN85" i="1" s="1"/>
  <c r="AD40" i="5" s="1"/>
  <c r="CN50" i="1"/>
  <c r="DC72" i="1"/>
  <c r="EA58" i="1"/>
  <c r="EA75" i="1"/>
  <c r="I62" i="1"/>
  <c r="N42" i="1"/>
  <c r="N109" i="1"/>
  <c r="N111" i="1"/>
  <c r="U62" i="1"/>
  <c r="X150" i="1"/>
  <c r="Z150" i="1" s="1"/>
  <c r="I43" i="5" s="1"/>
  <c r="Z16" i="1"/>
  <c r="AF14" i="1"/>
  <c r="AF96" i="1"/>
  <c r="AM56" i="1"/>
  <c r="AM76" i="1"/>
  <c r="AL61" i="1"/>
  <c r="AM62" i="1"/>
  <c r="AL111" i="1"/>
  <c r="AO56" i="1"/>
  <c r="AS57" i="1"/>
  <c r="AS147" i="1"/>
  <c r="BE26" i="1"/>
  <c r="BB64" i="1"/>
  <c r="BE64" i="1" s="1"/>
  <c r="BT56" i="1"/>
  <c r="BW56" i="1" s="1"/>
  <c r="BW6" i="1"/>
  <c r="BT57" i="1"/>
  <c r="BW57" i="1" s="1"/>
  <c r="BW8" i="1"/>
  <c r="BT62" i="1"/>
  <c r="BW62" i="1" s="1"/>
  <c r="BW23" i="1"/>
  <c r="BT63" i="1"/>
  <c r="BW63" i="1" s="1"/>
  <c r="BW25" i="1"/>
  <c r="BW41" i="1"/>
  <c r="BV41" i="1"/>
  <c r="BV8" i="1"/>
  <c r="BV23" i="1"/>
  <c r="BZ149" i="1"/>
  <c r="CC149" i="1" s="1"/>
  <c r="CB96" i="1"/>
  <c r="CB100" i="1"/>
  <c r="CB104" i="1"/>
  <c r="CB107" i="1"/>
  <c r="CB118" i="1"/>
  <c r="CC104" i="1"/>
  <c r="CF57" i="1"/>
  <c r="CI57" i="1" s="1"/>
  <c r="CI11" i="1"/>
  <c r="CH11" i="1"/>
  <c r="CQ164" i="1"/>
  <c r="CX86" i="1"/>
  <c r="DA86" i="1" s="1"/>
  <c r="DA51" i="1"/>
  <c r="CX144" i="1"/>
  <c r="DA144" i="1" s="1"/>
  <c r="DA96" i="1"/>
  <c r="CX160" i="1"/>
  <c r="DA160" i="1" s="1"/>
  <c r="DA122" i="1"/>
  <c r="EA149" i="1"/>
  <c r="AX123" i="1"/>
  <c r="AU161" i="1"/>
  <c r="AX125" i="1"/>
  <c r="AU163" i="1"/>
  <c r="AX127" i="1"/>
  <c r="AU164" i="1"/>
  <c r="AU173" i="1"/>
  <c r="AX173" i="1" s="1"/>
  <c r="Q45" i="5" s="1"/>
  <c r="CC120" i="1"/>
  <c r="CB120" i="1"/>
  <c r="BZ158" i="1"/>
  <c r="CB158" i="1" s="1"/>
  <c r="AA49" i="5" s="1"/>
  <c r="CC124" i="1"/>
  <c r="CB124" i="1"/>
  <c r="BZ162" i="1"/>
  <c r="CC126" i="1"/>
  <c r="CB126" i="1"/>
  <c r="CX151" i="1"/>
  <c r="DA151" i="1" s="1"/>
  <c r="DA113" i="1"/>
  <c r="H143" i="1"/>
  <c r="H7" i="1"/>
  <c r="H8" i="1"/>
  <c r="H121" i="1"/>
  <c r="L159" i="1"/>
  <c r="N159" i="1" s="1"/>
  <c r="E50" i="5" s="1"/>
  <c r="N9" i="1"/>
  <c r="N11" i="1"/>
  <c r="N14" i="1"/>
  <c r="N25" i="1"/>
  <c r="O77" i="1"/>
  <c r="N97" i="1"/>
  <c r="N110" i="1"/>
  <c r="AF8" i="1"/>
  <c r="AF15" i="1"/>
  <c r="AF31" i="1"/>
  <c r="AF42" i="1"/>
  <c r="AO58" i="1"/>
  <c r="AR58" i="1" s="1"/>
  <c r="N36" i="5" s="1"/>
  <c r="AR147" i="1"/>
  <c r="AV58" i="1"/>
  <c r="AY58" i="1" s="1"/>
  <c r="BB59" i="1"/>
  <c r="BB60" i="1"/>
  <c r="BE60" i="1" s="1"/>
  <c r="BE16" i="1"/>
  <c r="BV20" i="1"/>
  <c r="CB144" i="1"/>
  <c r="AA35" i="5" s="1"/>
  <c r="BZ146" i="1"/>
  <c r="CB146" i="1" s="1"/>
  <c r="AA37" i="5" s="1"/>
  <c r="BZ156" i="1"/>
  <c r="CB156" i="1" s="1"/>
  <c r="AA47" i="5" s="1"/>
  <c r="BZ160" i="1"/>
  <c r="CC160" i="1" s="1"/>
  <c r="CC96" i="1"/>
  <c r="CF58" i="1"/>
  <c r="CI58" i="1" s="1"/>
  <c r="CI10" i="1"/>
  <c r="CH10" i="1"/>
  <c r="CX173" i="1"/>
  <c r="DA173" i="1" s="1"/>
  <c r="I100" i="1"/>
  <c r="H147" i="1"/>
  <c r="C38" i="5" s="1"/>
  <c r="C124" i="5" s="1"/>
  <c r="I163" i="1"/>
  <c r="N144" i="1"/>
  <c r="O124" i="1"/>
  <c r="L173" i="1"/>
  <c r="N173" i="1" s="1"/>
  <c r="E45" i="5" s="1"/>
  <c r="K56" i="1"/>
  <c r="K58" i="1"/>
  <c r="U56" i="1"/>
  <c r="AA61" i="1"/>
  <c r="Z149" i="1"/>
  <c r="I42" i="5" s="1"/>
  <c r="AF62" i="1"/>
  <c r="AJ151" i="1"/>
  <c r="AL151" i="1" s="1"/>
  <c r="M44" i="5" s="1"/>
  <c r="AL113" i="1"/>
  <c r="AO70" i="1"/>
  <c r="AO59" i="1"/>
  <c r="AU143" i="1"/>
  <c r="AU147" i="1"/>
  <c r="AX147" i="1" s="1"/>
  <c r="Q38" i="5" s="1"/>
  <c r="Q124" i="5" s="1"/>
  <c r="AU151" i="1"/>
  <c r="AU157" i="1"/>
  <c r="AX120" i="1"/>
  <c r="AU158" i="1"/>
  <c r="AX158" i="1" s="1"/>
  <c r="Q49" i="5" s="1"/>
  <c r="AX122" i="1"/>
  <c r="AU160" i="1"/>
  <c r="AX160" i="1" s="1"/>
  <c r="Q51" i="5" s="1"/>
  <c r="AX124" i="1"/>
  <c r="AU162" i="1"/>
  <c r="AX162" i="1" s="1"/>
  <c r="Q53" i="5" s="1"/>
  <c r="AU172" i="1"/>
  <c r="AX172" i="1" s="1"/>
  <c r="Q40" i="5" s="1"/>
  <c r="BV6" i="1"/>
  <c r="CB11" i="1"/>
  <c r="CC11" i="1"/>
  <c r="BZ163" i="1"/>
  <c r="CC163" i="1" s="1"/>
  <c r="CX59" i="1"/>
  <c r="DA59" i="1" s="1"/>
  <c r="DA13" i="1"/>
  <c r="CX163" i="1"/>
  <c r="DA163" i="1" s="1"/>
  <c r="DA125" i="1"/>
  <c r="AR50" i="1"/>
  <c r="AX11" i="1"/>
  <c r="AY97" i="1"/>
  <c r="BD57" i="1"/>
  <c r="R35" i="5" s="1"/>
  <c r="BD16" i="1"/>
  <c r="BJ58" i="1"/>
  <c r="BQ59" i="1"/>
  <c r="BQ146" i="1"/>
  <c r="BW164" i="1"/>
  <c r="BZ164" i="1"/>
  <c r="CC164" i="1" s="1"/>
  <c r="CB121" i="1"/>
  <c r="CB123" i="1"/>
  <c r="CB125" i="1"/>
  <c r="CE62" i="1"/>
  <c r="CN14" i="1"/>
  <c r="CN17" i="1"/>
  <c r="CN20" i="1"/>
  <c r="CN24" i="1"/>
  <c r="CN34" i="1"/>
  <c r="CL86" i="1"/>
  <c r="CO86" i="1" s="1"/>
  <c r="CO51" i="1"/>
  <c r="CZ24" i="1"/>
  <c r="CX72" i="1"/>
  <c r="DA72" i="1" s="1"/>
  <c r="DA34" i="1"/>
  <c r="CZ51" i="1"/>
  <c r="CZ101" i="1"/>
  <c r="DA104" i="1"/>
  <c r="DA118" i="1"/>
  <c r="CZ120" i="1"/>
  <c r="CW158" i="1"/>
  <c r="CZ147" i="1"/>
  <c r="DD57" i="1"/>
  <c r="DG57" i="1" s="1"/>
  <c r="DG9" i="1"/>
  <c r="DU69" i="1"/>
  <c r="DU77" i="1"/>
  <c r="DY143" i="1"/>
  <c r="EE70" i="1"/>
  <c r="EA163" i="1"/>
  <c r="EG160" i="1"/>
  <c r="AY112" i="1"/>
  <c r="BD26" i="1"/>
  <c r="BK60" i="1"/>
  <c r="BZ151" i="1"/>
  <c r="CB151" i="1" s="1"/>
  <c r="AA44" i="5" s="1"/>
  <c r="CC18" i="1"/>
  <c r="CB145" i="1"/>
  <c r="AA36" i="5" s="1"/>
  <c r="CB94" i="1"/>
  <c r="CB97" i="1"/>
  <c r="CB101" i="1"/>
  <c r="CB105" i="1"/>
  <c r="CE56" i="1"/>
  <c r="CH7" i="1"/>
  <c r="CX61" i="1"/>
  <c r="DA61" i="1" s="1"/>
  <c r="DA17" i="1"/>
  <c r="CX62" i="1"/>
  <c r="DA62" i="1" s="1"/>
  <c r="DA73" i="1"/>
  <c r="CZ38" i="1"/>
  <c r="CZ94" i="1"/>
  <c r="CZ112" i="1"/>
  <c r="CW150" i="1"/>
  <c r="DG24" i="1"/>
  <c r="DF24" i="1"/>
  <c r="EA61" i="1"/>
  <c r="EK70" i="1"/>
  <c r="EJ70" i="1"/>
  <c r="BZ62" i="1"/>
  <c r="CC62" i="1" s="1"/>
  <c r="CB113" i="1"/>
  <c r="CB127" i="1"/>
  <c r="CF56" i="1"/>
  <c r="CI56" i="1" s="1"/>
  <c r="CI7" i="1"/>
  <c r="CK86" i="1"/>
  <c r="CN51" i="1"/>
  <c r="CQ61" i="1"/>
  <c r="CQ148" i="1"/>
  <c r="CX76" i="1"/>
  <c r="DA76" i="1" s="1"/>
  <c r="DA38" i="1"/>
  <c r="CX143" i="1"/>
  <c r="DA143" i="1" s="1"/>
  <c r="DA94" i="1"/>
  <c r="CX149" i="1"/>
  <c r="DA149" i="1" s="1"/>
  <c r="DA108" i="1"/>
  <c r="CX159" i="1"/>
  <c r="DA159" i="1" s="1"/>
  <c r="DA121" i="1"/>
  <c r="CX172" i="1"/>
  <c r="DA172" i="1" s="1"/>
  <c r="EE56" i="1"/>
  <c r="EA77" i="1"/>
  <c r="EG144" i="1"/>
  <c r="EG148" i="1"/>
  <c r="EG156" i="1"/>
  <c r="CK56" i="1"/>
  <c r="CK59" i="1"/>
  <c r="CK62" i="1"/>
  <c r="CK146" i="1"/>
  <c r="CQ56" i="1"/>
  <c r="CX56" i="1"/>
  <c r="DA56" i="1" s="1"/>
  <c r="DA57" i="1"/>
  <c r="CZ20" i="1"/>
  <c r="CX146" i="1"/>
  <c r="DA146" i="1" s="1"/>
  <c r="CX162" i="1"/>
  <c r="DA162" i="1" s="1"/>
  <c r="DC56" i="1"/>
  <c r="DC76" i="1"/>
  <c r="DD76" i="1"/>
  <c r="DG76" i="1" s="1"/>
  <c r="DI160" i="1"/>
  <c r="DY57" i="1"/>
  <c r="EB58" i="1"/>
  <c r="EE58" i="1" s="1"/>
  <c r="EA57" i="1"/>
  <c r="ED57" i="1" s="1"/>
  <c r="EA146" i="1"/>
  <c r="EP57" i="1"/>
  <c r="EN59" i="1"/>
  <c r="EQ59" i="1" s="1"/>
  <c r="EQ147" i="1"/>
  <c r="CE149" i="1"/>
  <c r="CE163" i="1"/>
  <c r="CL62" i="1"/>
  <c r="CO62" i="1" s="1"/>
  <c r="CO76" i="1"/>
  <c r="CQ146" i="1"/>
  <c r="CQ144" i="1"/>
  <c r="CQ156" i="1"/>
  <c r="CW58" i="1"/>
  <c r="CZ13" i="1"/>
  <c r="CZ18" i="1"/>
  <c r="CZ25" i="1"/>
  <c r="CZ39" i="1"/>
  <c r="CZ109" i="1"/>
  <c r="CZ126" i="1"/>
  <c r="CX164" i="1"/>
  <c r="DA164" i="1" s="1"/>
  <c r="DD56" i="1"/>
  <c r="DG56" i="1" s="1"/>
  <c r="DC58" i="1"/>
  <c r="DF58" i="1" s="1"/>
  <c r="AJ36" i="5" s="1"/>
  <c r="DC61" i="1"/>
  <c r="DL9" i="1"/>
  <c r="DO56" i="1"/>
  <c r="DU58" i="1"/>
  <c r="DU62" i="1"/>
  <c r="DU160" i="1"/>
  <c r="EB60" i="1"/>
  <c r="ED60" i="1" s="1"/>
  <c r="EB159" i="1"/>
  <c r="ED159" i="1" s="1"/>
  <c r="EA164" i="1"/>
  <c r="EH58" i="1"/>
  <c r="EK58" i="1" s="1"/>
  <c r="EG149" i="1"/>
  <c r="EG163" i="1"/>
  <c r="EN63" i="1"/>
  <c r="EQ63" i="1" s="1"/>
  <c r="DG58" i="1"/>
  <c r="DD72" i="1"/>
  <c r="DG72" i="1" s="1"/>
  <c r="DF143" i="1"/>
  <c r="AK34" i="5" s="1"/>
  <c r="DI148" i="1"/>
  <c r="DX143" i="1"/>
  <c r="EB151" i="1"/>
  <c r="EK64" i="1"/>
  <c r="EM74" i="1"/>
  <c r="EM145" i="1"/>
  <c r="EM151" i="1"/>
  <c r="EM159" i="1"/>
  <c r="EM163" i="1"/>
  <c r="EN69" i="1"/>
  <c r="EQ69" i="1" s="1"/>
  <c r="EN74" i="1"/>
  <c r="EQ74" i="1" s="1"/>
  <c r="EN145" i="1"/>
  <c r="EQ145" i="1" s="1"/>
  <c r="EN149" i="1"/>
  <c r="EQ149" i="1" s="1"/>
  <c r="EN143" i="1"/>
  <c r="EQ143" i="1" s="1"/>
  <c r="EM59" i="1"/>
  <c r="EM62" i="1"/>
  <c r="EM63" i="1"/>
  <c r="EM71" i="1"/>
  <c r="EM75" i="1"/>
  <c r="EM85" i="1"/>
  <c r="EM60" i="1"/>
  <c r="EM61" i="1"/>
  <c r="EP64" i="1"/>
  <c r="EM69" i="1"/>
  <c r="EN71" i="1"/>
  <c r="EQ71" i="1" s="1"/>
  <c r="EN75" i="1"/>
  <c r="EQ75" i="1" s="1"/>
  <c r="EN86" i="1"/>
  <c r="EQ86" i="1" s="1"/>
  <c r="EM146" i="1"/>
  <c r="EM150" i="1"/>
  <c r="EM158" i="1"/>
  <c r="EM162" i="1"/>
  <c r="EM173" i="1"/>
  <c r="EN146" i="1"/>
  <c r="EQ146" i="1" s="1"/>
  <c r="EN150" i="1"/>
  <c r="EQ150" i="1" s="1"/>
  <c r="EN158" i="1"/>
  <c r="EQ158" i="1" s="1"/>
  <c r="EN162" i="1"/>
  <c r="EQ162" i="1" s="1"/>
  <c r="EN173" i="1"/>
  <c r="EQ173" i="1" s="1"/>
  <c r="EM86" i="1"/>
  <c r="EM72" i="1"/>
  <c r="EM76" i="1"/>
  <c r="EM77" i="1"/>
  <c r="EM149" i="1"/>
  <c r="EM157" i="1"/>
  <c r="EM161" i="1"/>
  <c r="EM172" i="1"/>
  <c r="EM143" i="1"/>
  <c r="EM148" i="1"/>
  <c r="EM164" i="1"/>
  <c r="EN61" i="1"/>
  <c r="EQ61" i="1" s="1"/>
  <c r="EN77" i="1"/>
  <c r="EQ77" i="1" s="1"/>
  <c r="EN72" i="1"/>
  <c r="EQ72" i="1" s="1"/>
  <c r="EN76" i="1"/>
  <c r="EQ76" i="1" s="1"/>
  <c r="EN157" i="1"/>
  <c r="EQ157" i="1" s="1"/>
  <c r="EN161" i="1"/>
  <c r="EQ161" i="1" s="1"/>
  <c r="EN164" i="1"/>
  <c r="EQ164" i="1" s="1"/>
  <c r="EN172" i="1"/>
  <c r="EQ172" i="1" s="1"/>
  <c r="EN151" i="1"/>
  <c r="EQ151" i="1" s="1"/>
  <c r="EN159" i="1"/>
  <c r="EQ159" i="1" s="1"/>
  <c r="EN163" i="1"/>
  <c r="EQ163" i="1" s="1"/>
  <c r="EN62" i="1"/>
  <c r="EQ62" i="1" s="1"/>
  <c r="EN73" i="1"/>
  <c r="EQ73" i="1" s="1"/>
  <c r="EN85" i="1"/>
  <c r="EQ85" i="1" s="1"/>
  <c r="EN60" i="1"/>
  <c r="EQ60" i="1" s="1"/>
  <c r="EQ70" i="1"/>
  <c r="EN144" i="1"/>
  <c r="EQ144" i="1" s="1"/>
  <c r="EN148" i="1"/>
  <c r="EQ148" i="1" s="1"/>
  <c r="EN156" i="1"/>
  <c r="EQ156" i="1" s="1"/>
  <c r="EN160" i="1"/>
  <c r="EQ160" i="1" s="1"/>
  <c r="EH59" i="1"/>
  <c r="EK59" i="1" s="1"/>
  <c r="EH62" i="1"/>
  <c r="EH73" i="1"/>
  <c r="EK73" i="1" s="1"/>
  <c r="EH85" i="1"/>
  <c r="EG59" i="1"/>
  <c r="EG60" i="1"/>
  <c r="EH56" i="1"/>
  <c r="EK56" i="1" s="1"/>
  <c r="EH60" i="1"/>
  <c r="EK60" i="1" s="1"/>
  <c r="EJ64" i="1"/>
  <c r="EH145" i="1"/>
  <c r="EH149" i="1"/>
  <c r="EH157" i="1"/>
  <c r="EH161" i="1"/>
  <c r="EH164" i="1"/>
  <c r="EK164" i="1" s="1"/>
  <c r="EH172" i="1"/>
  <c r="EH151" i="1"/>
  <c r="EK151" i="1" s="1"/>
  <c r="EH159" i="1"/>
  <c r="EK159" i="1" s="1"/>
  <c r="EH163" i="1"/>
  <c r="EK163" i="1" s="1"/>
  <c r="EH63" i="1"/>
  <c r="EK63" i="1" s="1"/>
  <c r="EJ57" i="1"/>
  <c r="EG61" i="1"/>
  <c r="EH144" i="1"/>
  <c r="EK144" i="1" s="1"/>
  <c r="EH146" i="1"/>
  <c r="EK146" i="1" s="1"/>
  <c r="EH148" i="1"/>
  <c r="EK148" i="1" s="1"/>
  <c r="EH150" i="1"/>
  <c r="EK150" i="1" s="1"/>
  <c r="EH156" i="1"/>
  <c r="EK156" i="1" s="1"/>
  <c r="EH158" i="1"/>
  <c r="EK158" i="1" s="1"/>
  <c r="EH160" i="1"/>
  <c r="EK160" i="1" s="1"/>
  <c r="EH162" i="1"/>
  <c r="EK162" i="1" s="1"/>
  <c r="EH173" i="1"/>
  <c r="EK173" i="1" s="1"/>
  <c r="EH71" i="1"/>
  <c r="EK71" i="1" s="1"/>
  <c r="EH75" i="1"/>
  <c r="EK75" i="1" s="1"/>
  <c r="EH61" i="1"/>
  <c r="EK61" i="1" s="1"/>
  <c r="EH69" i="1"/>
  <c r="EK69" i="1" s="1"/>
  <c r="EH74" i="1"/>
  <c r="EH77" i="1"/>
  <c r="EK77" i="1" s="1"/>
  <c r="EH86" i="1"/>
  <c r="EK86" i="1" s="1"/>
  <c r="EH72" i="1"/>
  <c r="EK72" i="1" s="1"/>
  <c r="EH76" i="1"/>
  <c r="EK76" i="1" s="1"/>
  <c r="EH143" i="1"/>
  <c r="EK143" i="1" s="1"/>
  <c r="EJ147" i="1"/>
  <c r="EG72" i="1"/>
  <c r="EG76" i="1"/>
  <c r="EG143" i="1"/>
  <c r="EG151" i="1"/>
  <c r="EG159" i="1"/>
  <c r="EB59" i="1"/>
  <c r="EE59" i="1" s="1"/>
  <c r="EB63" i="1"/>
  <c r="EE63" i="1" s="1"/>
  <c r="EE64" i="1"/>
  <c r="EB73" i="1"/>
  <c r="EE73" i="1" s="1"/>
  <c r="EB145" i="1"/>
  <c r="EE145" i="1" s="1"/>
  <c r="EB157" i="1"/>
  <c r="EB161" i="1"/>
  <c r="EE147" i="1"/>
  <c r="EE159" i="1"/>
  <c r="EB163" i="1"/>
  <c r="EE163" i="1" s="1"/>
  <c r="EB86" i="1"/>
  <c r="EE86" i="1" s="1"/>
  <c r="EB76" i="1"/>
  <c r="EE76" i="1" s="1"/>
  <c r="EB173" i="1"/>
  <c r="EE173" i="1" s="1"/>
  <c r="EB62" i="1"/>
  <c r="EE62" i="1" s="1"/>
  <c r="EB71" i="1"/>
  <c r="EE71" i="1" s="1"/>
  <c r="EB75" i="1"/>
  <c r="EE75" i="1" s="1"/>
  <c r="EB85" i="1"/>
  <c r="EB61" i="1"/>
  <c r="EE61" i="1" s="1"/>
  <c r="EB149" i="1"/>
  <c r="EB172" i="1"/>
  <c r="EB144" i="1"/>
  <c r="EE144" i="1" s="1"/>
  <c r="EB72" i="1"/>
  <c r="EE72" i="1" s="1"/>
  <c r="EB74" i="1"/>
  <c r="ED64" i="1"/>
  <c r="EB69" i="1"/>
  <c r="EE69" i="1" s="1"/>
  <c r="EB146" i="1"/>
  <c r="EE146" i="1" s="1"/>
  <c r="EB150" i="1"/>
  <c r="EB158" i="1"/>
  <c r="EB162" i="1"/>
  <c r="ED147" i="1"/>
  <c r="EB148" i="1"/>
  <c r="EE148" i="1" s="1"/>
  <c r="EB156" i="1"/>
  <c r="EE156" i="1" s="1"/>
  <c r="EB160" i="1"/>
  <c r="EE160" i="1" s="1"/>
  <c r="EB164" i="1"/>
  <c r="EE164" i="1" s="1"/>
  <c r="DA64" i="1"/>
  <c r="DR64" i="1"/>
  <c r="AN44" i="5" s="1"/>
  <c r="DA161" i="1"/>
  <c r="DY70" i="1"/>
  <c r="CZ64" i="1"/>
  <c r="CZ70" i="1"/>
  <c r="DG70" i="1"/>
  <c r="DS70" i="1"/>
  <c r="DF159" i="1"/>
  <c r="AK50" i="5" s="1"/>
  <c r="DS64" i="1"/>
  <c r="DG151" i="1"/>
  <c r="DM70" i="1"/>
  <c r="DX70" i="1"/>
  <c r="CO157" i="1"/>
  <c r="CO161" i="1"/>
  <c r="CO172" i="1"/>
  <c r="DF70" i="1"/>
  <c r="DL70" i="1"/>
  <c r="DM64" i="1"/>
  <c r="DV63" i="1"/>
  <c r="DY63" i="1" s="1"/>
  <c r="DV75" i="1"/>
  <c r="DY75" i="1" s="1"/>
  <c r="DV85" i="1"/>
  <c r="DU59" i="1"/>
  <c r="DV56" i="1"/>
  <c r="DY56" i="1" s="1"/>
  <c r="DV60" i="1"/>
  <c r="DY60" i="1" s="1"/>
  <c r="DX64" i="1"/>
  <c r="DV145" i="1"/>
  <c r="DV149" i="1"/>
  <c r="DV157" i="1"/>
  <c r="DV161" i="1"/>
  <c r="DV164" i="1"/>
  <c r="DY164" i="1" s="1"/>
  <c r="DV172" i="1"/>
  <c r="DV151" i="1"/>
  <c r="DY151" i="1" s="1"/>
  <c r="DV159" i="1"/>
  <c r="DY159" i="1" s="1"/>
  <c r="DV163" i="1"/>
  <c r="DY163" i="1" s="1"/>
  <c r="DV73" i="1"/>
  <c r="DY73" i="1" s="1"/>
  <c r="DX57" i="1"/>
  <c r="DV144" i="1"/>
  <c r="DY144" i="1" s="1"/>
  <c r="DV146" i="1"/>
  <c r="DY146" i="1" s="1"/>
  <c r="DV148" i="1"/>
  <c r="DY148" i="1" s="1"/>
  <c r="DV150" i="1"/>
  <c r="DY150" i="1" s="1"/>
  <c r="DV156" i="1"/>
  <c r="DY156" i="1" s="1"/>
  <c r="DV158" i="1"/>
  <c r="DY158" i="1" s="1"/>
  <c r="DV160" i="1"/>
  <c r="DY160" i="1" s="1"/>
  <c r="DV162" i="1"/>
  <c r="DY162" i="1" s="1"/>
  <c r="DV173" i="1"/>
  <c r="DY173" i="1" s="1"/>
  <c r="DV59" i="1"/>
  <c r="DY59" i="1" s="1"/>
  <c r="DV62" i="1"/>
  <c r="DV71" i="1"/>
  <c r="DY71" i="1" s="1"/>
  <c r="DV61" i="1"/>
  <c r="DY61" i="1" s="1"/>
  <c r="DV69" i="1"/>
  <c r="DY69" i="1" s="1"/>
  <c r="DV74" i="1"/>
  <c r="DV77" i="1"/>
  <c r="DY77" i="1" s="1"/>
  <c r="DV86" i="1"/>
  <c r="DY86" i="1" s="1"/>
  <c r="DV72" i="1"/>
  <c r="DY72" i="1" s="1"/>
  <c r="DV76" i="1"/>
  <c r="DY76" i="1" s="1"/>
  <c r="DU60" i="1"/>
  <c r="DU72" i="1"/>
  <c r="DU76" i="1"/>
  <c r="DU159" i="1"/>
  <c r="DU163" i="1"/>
  <c r="DR9" i="1"/>
  <c r="DR10" i="1"/>
  <c r="DS13" i="1"/>
  <c r="DP62" i="1"/>
  <c r="DS62" i="1" s="1"/>
  <c r="DS22" i="1"/>
  <c r="DS25" i="1"/>
  <c r="DP63" i="1"/>
  <c r="DS63" i="1" s="1"/>
  <c r="DS33" i="1"/>
  <c r="DP71" i="1"/>
  <c r="DS71" i="1" s="1"/>
  <c r="DS35" i="1"/>
  <c r="DP73" i="1"/>
  <c r="DS73" i="1" s="1"/>
  <c r="DS37" i="1"/>
  <c r="DP75" i="1"/>
  <c r="DS75" i="1" s="1"/>
  <c r="DP85" i="1"/>
  <c r="DS85" i="1" s="1"/>
  <c r="DS50" i="1"/>
  <c r="DR96" i="1"/>
  <c r="DR104" i="1"/>
  <c r="DR107" i="1"/>
  <c r="DR118" i="1"/>
  <c r="DR122" i="1"/>
  <c r="DR126" i="1"/>
  <c r="DP56" i="1"/>
  <c r="DS56" i="1" s="1"/>
  <c r="DP145" i="1"/>
  <c r="DS145" i="1" s="1"/>
  <c r="DS97" i="1"/>
  <c r="DP149" i="1"/>
  <c r="DS149" i="1" s="1"/>
  <c r="DP157" i="1"/>
  <c r="DS157" i="1" s="1"/>
  <c r="DS119" i="1"/>
  <c r="DP161" i="1"/>
  <c r="DS161" i="1" s="1"/>
  <c r="DS123" i="1"/>
  <c r="DS127" i="1"/>
  <c r="DP164" i="1"/>
  <c r="DS164" i="1" s="1"/>
  <c r="DP172" i="1"/>
  <c r="DS172" i="1" s="1"/>
  <c r="DR147" i="1"/>
  <c r="AO38" i="5" s="1"/>
  <c r="AO124" i="5" s="1"/>
  <c r="DS147" i="1"/>
  <c r="DP151" i="1"/>
  <c r="DS151" i="1" s="1"/>
  <c r="DP159" i="1"/>
  <c r="DS159" i="1" s="1"/>
  <c r="DP163" i="1"/>
  <c r="DS163" i="1" s="1"/>
  <c r="DS9" i="1"/>
  <c r="DS10" i="1"/>
  <c r="DR14" i="1"/>
  <c r="DR17" i="1"/>
  <c r="DR24" i="1"/>
  <c r="DR31" i="1"/>
  <c r="DR34" i="1"/>
  <c r="DR38" i="1"/>
  <c r="DR41" i="1"/>
  <c r="DS96" i="1"/>
  <c r="DP144" i="1"/>
  <c r="DS144" i="1" s="1"/>
  <c r="DS100" i="1"/>
  <c r="DP146" i="1"/>
  <c r="DS146" i="1" s="1"/>
  <c r="DS104" i="1"/>
  <c r="DP148" i="1"/>
  <c r="DS148" i="1" s="1"/>
  <c r="DS112" i="1"/>
  <c r="DP150" i="1"/>
  <c r="DS150" i="1" s="1"/>
  <c r="DS118" i="1"/>
  <c r="DP156" i="1"/>
  <c r="DS156" i="1" s="1"/>
  <c r="DS120" i="1"/>
  <c r="DP158" i="1"/>
  <c r="DS158" i="1" s="1"/>
  <c r="DS122" i="1"/>
  <c r="DP160" i="1"/>
  <c r="DS160" i="1" s="1"/>
  <c r="DS124" i="1"/>
  <c r="DP162" i="1"/>
  <c r="DS162" i="1" s="1"/>
  <c r="DP173" i="1"/>
  <c r="DS173" i="1" s="1"/>
  <c r="DO59" i="1"/>
  <c r="DR59" i="1" s="1"/>
  <c r="AN37" i="5" s="1"/>
  <c r="DR13" i="1"/>
  <c r="DS17" i="1"/>
  <c r="DP61" i="1"/>
  <c r="DS61" i="1" s="1"/>
  <c r="DS31" i="1"/>
  <c r="DP69" i="1"/>
  <c r="DS69" i="1" s="1"/>
  <c r="DP74" i="1"/>
  <c r="DS74" i="1" s="1"/>
  <c r="DS36" i="1"/>
  <c r="DS41" i="1"/>
  <c r="DP77" i="1"/>
  <c r="DS77" i="1" s="1"/>
  <c r="DS51" i="1"/>
  <c r="DP86" i="1"/>
  <c r="DS86" i="1" s="1"/>
  <c r="DP72" i="1"/>
  <c r="DS72" i="1" s="1"/>
  <c r="DP76" i="1"/>
  <c r="DS76" i="1" s="1"/>
  <c r="DR94" i="1"/>
  <c r="DR101" i="1"/>
  <c r="DR111" i="1"/>
  <c r="DR113" i="1"/>
  <c r="DR121" i="1"/>
  <c r="DR125" i="1"/>
  <c r="DR127" i="1"/>
  <c r="DP143" i="1"/>
  <c r="DS143" i="1" s="1"/>
  <c r="DO60" i="1"/>
  <c r="DO72" i="1"/>
  <c r="DO76" i="1"/>
  <c r="DO143" i="1"/>
  <c r="DO151" i="1"/>
  <c r="DO159" i="1"/>
  <c r="DO163" i="1"/>
  <c r="DR22" i="1"/>
  <c r="DR25" i="1"/>
  <c r="DR33" i="1"/>
  <c r="DR36" i="1"/>
  <c r="DR37" i="1"/>
  <c r="DR50" i="1"/>
  <c r="DR51" i="1"/>
  <c r="DR97" i="1"/>
  <c r="DR100" i="1"/>
  <c r="DR112" i="1"/>
  <c r="DR119" i="1"/>
  <c r="DR120" i="1"/>
  <c r="DR123" i="1"/>
  <c r="DR124" i="1"/>
  <c r="DM37" i="1"/>
  <c r="DJ75" i="1"/>
  <c r="DM75" i="1" s="1"/>
  <c r="DJ56" i="1"/>
  <c r="DM56" i="1" s="1"/>
  <c r="DJ60" i="1"/>
  <c r="DM60" i="1" s="1"/>
  <c r="DI59" i="1"/>
  <c r="DL13" i="1"/>
  <c r="DL15" i="1"/>
  <c r="DL18" i="1"/>
  <c r="DI62" i="1"/>
  <c r="DL22" i="1"/>
  <c r="DI63" i="1"/>
  <c r="DL25" i="1"/>
  <c r="DI71" i="1"/>
  <c r="DL33" i="1"/>
  <c r="DL35" i="1"/>
  <c r="DI75" i="1"/>
  <c r="DL37" i="1"/>
  <c r="DL39" i="1"/>
  <c r="DI85" i="1"/>
  <c r="DL50" i="1"/>
  <c r="DI56" i="1"/>
  <c r="DI57" i="1"/>
  <c r="DL57" i="1" s="1"/>
  <c r="AL35" i="5" s="1"/>
  <c r="DI60" i="1"/>
  <c r="DI61" i="1"/>
  <c r="DL64" i="1"/>
  <c r="DJ71" i="1"/>
  <c r="DM71" i="1" s="1"/>
  <c r="DJ145" i="1"/>
  <c r="DM97" i="1"/>
  <c r="DJ149" i="1"/>
  <c r="DM149" i="1" s="1"/>
  <c r="DJ157" i="1"/>
  <c r="DM157" i="1" s="1"/>
  <c r="DJ161" i="1"/>
  <c r="DM161" i="1" s="1"/>
  <c r="DM123" i="1"/>
  <c r="DJ164" i="1"/>
  <c r="DM164" i="1" s="1"/>
  <c r="DJ172" i="1"/>
  <c r="DM172" i="1" s="1"/>
  <c r="DJ151" i="1"/>
  <c r="DM151" i="1" s="1"/>
  <c r="DJ159" i="1"/>
  <c r="DM159" i="1" s="1"/>
  <c r="DJ163" i="1"/>
  <c r="DM163" i="1" s="1"/>
  <c r="DJ62" i="1"/>
  <c r="DM62" i="1" s="1"/>
  <c r="DM22" i="1"/>
  <c r="DM35" i="1"/>
  <c r="DJ73" i="1"/>
  <c r="DM73" i="1" s="1"/>
  <c r="DJ85" i="1"/>
  <c r="DM85" i="1" s="1"/>
  <c r="DM50" i="1"/>
  <c r="DL10" i="1"/>
  <c r="DL14" i="1"/>
  <c r="DL17" i="1"/>
  <c r="DL20" i="1"/>
  <c r="DL24" i="1"/>
  <c r="DL31" i="1"/>
  <c r="DL34" i="1"/>
  <c r="DI74" i="1"/>
  <c r="DL36" i="1"/>
  <c r="DL38" i="1"/>
  <c r="DI76" i="1"/>
  <c r="DL41" i="1"/>
  <c r="DI86" i="1"/>
  <c r="DL51" i="1"/>
  <c r="DJ59" i="1"/>
  <c r="DM59" i="1" s="1"/>
  <c r="DJ63" i="1"/>
  <c r="DM63" i="1" s="1"/>
  <c r="DI72" i="1"/>
  <c r="DM96" i="1"/>
  <c r="DJ144" i="1"/>
  <c r="DM144" i="1" s="1"/>
  <c r="DM100" i="1"/>
  <c r="DJ146" i="1"/>
  <c r="DM146" i="1" s="1"/>
  <c r="DJ148" i="1"/>
  <c r="DM148" i="1" s="1"/>
  <c r="DJ150" i="1"/>
  <c r="DM150" i="1" s="1"/>
  <c r="DJ156" i="1"/>
  <c r="DM156" i="1" s="1"/>
  <c r="DM120" i="1"/>
  <c r="DJ158" i="1"/>
  <c r="DM158" i="1" s="1"/>
  <c r="DM122" i="1"/>
  <c r="DJ160" i="1"/>
  <c r="DM160" i="1" s="1"/>
  <c r="DM124" i="1"/>
  <c r="DJ162" i="1"/>
  <c r="DM162" i="1" s="1"/>
  <c r="DJ173" i="1"/>
  <c r="DM173" i="1" s="1"/>
  <c r="DM9" i="1"/>
  <c r="DM10" i="1"/>
  <c r="DM17" i="1"/>
  <c r="DJ61" i="1"/>
  <c r="DM61" i="1" s="1"/>
  <c r="DM31" i="1"/>
  <c r="DJ69" i="1"/>
  <c r="DM69" i="1" s="1"/>
  <c r="DJ74" i="1"/>
  <c r="DM74" i="1" s="1"/>
  <c r="DM36" i="1"/>
  <c r="DM41" i="1"/>
  <c r="DJ77" i="1"/>
  <c r="DM77" i="1" s="1"/>
  <c r="DM51" i="1"/>
  <c r="DJ86" i="1"/>
  <c r="DM86" i="1" s="1"/>
  <c r="DJ72" i="1"/>
  <c r="DM72" i="1" s="1"/>
  <c r="DJ76" i="1"/>
  <c r="DM76" i="1" s="1"/>
  <c r="DL94" i="1"/>
  <c r="DL101" i="1"/>
  <c r="DL121" i="1"/>
  <c r="DJ143" i="1"/>
  <c r="DM143" i="1" s="1"/>
  <c r="DL147" i="1"/>
  <c r="AM38" i="5" s="1"/>
  <c r="AM124" i="5" s="1"/>
  <c r="DI143" i="1"/>
  <c r="DI151" i="1"/>
  <c r="DI159" i="1"/>
  <c r="DI163" i="1"/>
  <c r="DL97" i="1"/>
  <c r="DL100" i="1"/>
  <c r="DL120" i="1"/>
  <c r="DL123" i="1"/>
  <c r="DL124" i="1"/>
  <c r="DG37" i="1"/>
  <c r="DD75" i="1"/>
  <c r="DG75" i="1" s="1"/>
  <c r="DG96" i="1"/>
  <c r="DD144" i="1"/>
  <c r="DG144" i="1" s="1"/>
  <c r="DF96" i="1"/>
  <c r="DG112" i="1"/>
  <c r="DF112" i="1"/>
  <c r="DD150" i="1"/>
  <c r="DG150" i="1" s="1"/>
  <c r="DG120" i="1"/>
  <c r="DF120" i="1"/>
  <c r="DD158" i="1"/>
  <c r="DG158" i="1" s="1"/>
  <c r="DG124" i="1"/>
  <c r="DF124" i="1"/>
  <c r="DD162" i="1"/>
  <c r="DG162" i="1" s="1"/>
  <c r="DG126" i="1"/>
  <c r="DF126" i="1"/>
  <c r="DD173" i="1"/>
  <c r="DG173" i="1" s="1"/>
  <c r="DF9" i="1"/>
  <c r="DF10" i="1"/>
  <c r="DG17" i="1"/>
  <c r="DD61" i="1"/>
  <c r="DG61" i="1" s="1"/>
  <c r="DF18" i="1"/>
  <c r="DG51" i="1"/>
  <c r="DD86" i="1"/>
  <c r="DG86" i="1" s="1"/>
  <c r="DF147" i="1"/>
  <c r="AK38" i="5" s="1"/>
  <c r="AK124" i="5" s="1"/>
  <c r="DG147" i="1"/>
  <c r="DD62" i="1"/>
  <c r="DG62" i="1" s="1"/>
  <c r="DG22" i="1"/>
  <c r="DD85" i="1"/>
  <c r="DG85" i="1" s="1"/>
  <c r="DG50" i="1"/>
  <c r="DG104" i="1"/>
  <c r="DD148" i="1"/>
  <c r="DG148" i="1" s="1"/>
  <c r="DF104" i="1"/>
  <c r="DG109" i="1"/>
  <c r="DF109" i="1"/>
  <c r="DG122" i="1"/>
  <c r="DD160" i="1"/>
  <c r="DG160" i="1" s="1"/>
  <c r="DF122" i="1"/>
  <c r="DC59" i="1"/>
  <c r="DF15" i="1"/>
  <c r="DF22" i="1"/>
  <c r="DD69" i="1"/>
  <c r="DG69" i="1" s="1"/>
  <c r="DD74" i="1"/>
  <c r="DG74" i="1" s="1"/>
  <c r="DG36" i="1"/>
  <c r="DF37" i="1"/>
  <c r="DD77" i="1"/>
  <c r="DG77" i="1" s="1"/>
  <c r="DF50" i="1"/>
  <c r="DD60" i="1"/>
  <c r="DG60" i="1" s="1"/>
  <c r="DF151" i="1"/>
  <c r="DD71" i="1"/>
  <c r="DG71" i="1" s="1"/>
  <c r="DG100" i="1"/>
  <c r="DF100" i="1"/>
  <c r="DD146" i="1"/>
  <c r="DG146" i="1" s="1"/>
  <c r="DG118" i="1"/>
  <c r="DD156" i="1"/>
  <c r="DG156" i="1" s="1"/>
  <c r="DF118" i="1"/>
  <c r="DG13" i="1"/>
  <c r="DD59" i="1"/>
  <c r="DG59" i="1" s="1"/>
  <c r="DG25" i="1"/>
  <c r="DD63" i="1"/>
  <c r="DG63" i="1" s="1"/>
  <c r="DG35" i="1"/>
  <c r="DD73" i="1"/>
  <c r="DG73" i="1" s="1"/>
  <c r="DF36" i="1"/>
  <c r="DF64" i="1"/>
  <c r="DG64" i="1"/>
  <c r="DG94" i="1"/>
  <c r="DF94" i="1"/>
  <c r="DD145" i="1"/>
  <c r="DG97" i="1"/>
  <c r="DF97" i="1"/>
  <c r="DG101" i="1"/>
  <c r="DF101" i="1"/>
  <c r="DG105" i="1"/>
  <c r="DF105" i="1"/>
  <c r="DD149" i="1"/>
  <c r="DG111" i="1"/>
  <c r="DF111" i="1"/>
  <c r="DD157" i="1"/>
  <c r="DG121" i="1"/>
  <c r="DF121" i="1"/>
  <c r="DD161" i="1"/>
  <c r="DD164" i="1"/>
  <c r="DG164" i="1" s="1"/>
  <c r="DD172" i="1"/>
  <c r="DD163" i="1"/>
  <c r="DG163" i="1" s="1"/>
  <c r="CZ17" i="1"/>
  <c r="CW61" i="1"/>
  <c r="CZ96" i="1"/>
  <c r="CW144" i="1"/>
  <c r="CZ104" i="1"/>
  <c r="CW148" i="1"/>
  <c r="CZ148" i="1" s="1"/>
  <c r="AI39" i="5" s="1"/>
  <c r="CZ118" i="1"/>
  <c r="CW156" i="1"/>
  <c r="CZ156" i="1" s="1"/>
  <c r="AI47" i="5" s="1"/>
  <c r="CZ122" i="1"/>
  <c r="CW160" i="1"/>
  <c r="DA69" i="1"/>
  <c r="CZ35" i="1"/>
  <c r="CW73" i="1"/>
  <c r="CZ73" i="1" s="1"/>
  <c r="AH51" i="5" s="1"/>
  <c r="DA77" i="1"/>
  <c r="CW59" i="1"/>
  <c r="CW60" i="1"/>
  <c r="CW63" i="1"/>
  <c r="DA70" i="1"/>
  <c r="CW145" i="1"/>
  <c r="CZ145" i="1" s="1"/>
  <c r="AI36" i="5" s="1"/>
  <c r="CZ97" i="1"/>
  <c r="CW157" i="1"/>
  <c r="CZ119" i="1"/>
  <c r="CW161" i="1"/>
  <c r="CZ161" i="1" s="1"/>
  <c r="AI52" i="5" s="1"/>
  <c r="AI138" i="5" s="1"/>
  <c r="CZ123" i="1"/>
  <c r="CZ127" i="1"/>
  <c r="CW164" i="1"/>
  <c r="CW143" i="1"/>
  <c r="CW146" i="1"/>
  <c r="CW173" i="1"/>
  <c r="CZ57" i="1"/>
  <c r="AH35" i="5" s="1"/>
  <c r="CZ6" i="1"/>
  <c r="CZ7" i="1"/>
  <c r="CZ9" i="1"/>
  <c r="CZ10" i="1"/>
  <c r="CZ11" i="1"/>
  <c r="CW62" i="1"/>
  <c r="CZ22" i="1"/>
  <c r="CW85" i="1"/>
  <c r="CZ50" i="1"/>
  <c r="CX58" i="1"/>
  <c r="DA58" i="1" s="1"/>
  <c r="CW71" i="1"/>
  <c r="CW72" i="1"/>
  <c r="CW75" i="1"/>
  <c r="CW76" i="1"/>
  <c r="CW86" i="1"/>
  <c r="DA148" i="1"/>
  <c r="CW149" i="1"/>
  <c r="CZ108" i="1"/>
  <c r="CZ113" i="1"/>
  <c r="CW151" i="1"/>
  <c r="CZ121" i="1"/>
  <c r="CW159" i="1"/>
  <c r="CZ125" i="1"/>
  <c r="CW163" i="1"/>
  <c r="CW172" i="1"/>
  <c r="DA6" i="1"/>
  <c r="DA9" i="1"/>
  <c r="CZ31" i="1"/>
  <c r="CW69" i="1"/>
  <c r="CZ69" i="1" s="1"/>
  <c r="AH47" i="5" s="1"/>
  <c r="CW74" i="1"/>
  <c r="CZ36" i="1"/>
  <c r="CZ41" i="1"/>
  <c r="CW77" i="1"/>
  <c r="CZ77" i="1" s="1"/>
  <c r="AH55" i="5" s="1"/>
  <c r="CW162" i="1"/>
  <c r="CZ162" i="1" s="1"/>
  <c r="AI53" i="5" s="1"/>
  <c r="CU64" i="1"/>
  <c r="CN75" i="1"/>
  <c r="AD53" i="5" s="1"/>
  <c r="CN74" i="1"/>
  <c r="AD52" i="5" s="1"/>
  <c r="AD138" i="5" s="1"/>
  <c r="CO74" i="1"/>
  <c r="CO64" i="1"/>
  <c r="CO70" i="1"/>
  <c r="CN64" i="1"/>
  <c r="CI64" i="1"/>
  <c r="CI70" i="1"/>
  <c r="CO75" i="1"/>
  <c r="CN70" i="1"/>
  <c r="CU70" i="1"/>
  <c r="CQ59" i="1"/>
  <c r="CQ60" i="1"/>
  <c r="CR56" i="1"/>
  <c r="CU56" i="1" s="1"/>
  <c r="CR60" i="1"/>
  <c r="CU60" i="1" s="1"/>
  <c r="CT64" i="1"/>
  <c r="CR145" i="1"/>
  <c r="CR149" i="1"/>
  <c r="CU149" i="1" s="1"/>
  <c r="CR157" i="1"/>
  <c r="CU157" i="1" s="1"/>
  <c r="CR161" i="1"/>
  <c r="CU161" i="1" s="1"/>
  <c r="CR164" i="1"/>
  <c r="CU164" i="1" s="1"/>
  <c r="CR172" i="1"/>
  <c r="CU172" i="1" s="1"/>
  <c r="CU147" i="1"/>
  <c r="CR151" i="1"/>
  <c r="CU151" i="1" s="1"/>
  <c r="CR159" i="1"/>
  <c r="CU159" i="1" s="1"/>
  <c r="CR163" i="1"/>
  <c r="CU163" i="1" s="1"/>
  <c r="CR63" i="1"/>
  <c r="CU63" i="1" s="1"/>
  <c r="CR71" i="1"/>
  <c r="CU71" i="1" s="1"/>
  <c r="CR73" i="1"/>
  <c r="CU73" i="1" s="1"/>
  <c r="CR75" i="1"/>
  <c r="CU75" i="1" s="1"/>
  <c r="CR85" i="1"/>
  <c r="CT57" i="1"/>
  <c r="CR144" i="1"/>
  <c r="CU144" i="1" s="1"/>
  <c r="CR146" i="1"/>
  <c r="CU146" i="1" s="1"/>
  <c r="CR148" i="1"/>
  <c r="CU148" i="1" s="1"/>
  <c r="CR150" i="1"/>
  <c r="CU150" i="1" s="1"/>
  <c r="CR156" i="1"/>
  <c r="CU156" i="1" s="1"/>
  <c r="CR158" i="1"/>
  <c r="CU158" i="1" s="1"/>
  <c r="CR160" i="1"/>
  <c r="CU160" i="1" s="1"/>
  <c r="CR162" i="1"/>
  <c r="CU162" i="1" s="1"/>
  <c r="CR173" i="1"/>
  <c r="CU173" i="1" s="1"/>
  <c r="CR59" i="1"/>
  <c r="CU59" i="1" s="1"/>
  <c r="CR62" i="1"/>
  <c r="CR61" i="1"/>
  <c r="CU61" i="1" s="1"/>
  <c r="CR69" i="1"/>
  <c r="CU69" i="1" s="1"/>
  <c r="CR74" i="1"/>
  <c r="CR77" i="1"/>
  <c r="CU77" i="1" s="1"/>
  <c r="CR86" i="1"/>
  <c r="CU86" i="1" s="1"/>
  <c r="CR72" i="1"/>
  <c r="CU72" i="1" s="1"/>
  <c r="CR76" i="1"/>
  <c r="CU76" i="1" s="1"/>
  <c r="CQ72" i="1"/>
  <c r="CQ76" i="1"/>
  <c r="CQ143" i="1"/>
  <c r="CQ151" i="1"/>
  <c r="CQ159" i="1"/>
  <c r="CQ163" i="1"/>
  <c r="CN6" i="1"/>
  <c r="CK58" i="1"/>
  <c r="CN13" i="1"/>
  <c r="CL60" i="1"/>
  <c r="CO60" i="1" s="1"/>
  <c r="CL58" i="1"/>
  <c r="CO58" i="1" s="1"/>
  <c r="CO10" i="1"/>
  <c r="CO9" i="1"/>
  <c r="CL57" i="1"/>
  <c r="CO57" i="1" s="1"/>
  <c r="CN10" i="1"/>
  <c r="CO17" i="1"/>
  <c r="CL61" i="1"/>
  <c r="CO61" i="1" s="1"/>
  <c r="CN145" i="1"/>
  <c r="AE36" i="5" s="1"/>
  <c r="CN157" i="1"/>
  <c r="CN161" i="1"/>
  <c r="AE52" i="5" s="1"/>
  <c r="AE138" i="5" s="1"/>
  <c r="CN172" i="1"/>
  <c r="AE40" i="5" s="1"/>
  <c r="CN9" i="1"/>
  <c r="CO13" i="1"/>
  <c r="CL59" i="1"/>
  <c r="CO59" i="1" s="1"/>
  <c r="CL63" i="1"/>
  <c r="CO63" i="1" s="1"/>
  <c r="CL71" i="1"/>
  <c r="CO71" i="1" s="1"/>
  <c r="CK72" i="1"/>
  <c r="CK143" i="1"/>
  <c r="CL146" i="1"/>
  <c r="CO146" i="1" s="1"/>
  <c r="CL150" i="1"/>
  <c r="CO150" i="1" s="1"/>
  <c r="CK151" i="1"/>
  <c r="CL158" i="1"/>
  <c r="CO158" i="1" s="1"/>
  <c r="CK159" i="1"/>
  <c r="CL162" i="1"/>
  <c r="CO162" i="1" s="1"/>
  <c r="CK163" i="1"/>
  <c r="CL173" i="1"/>
  <c r="CO173" i="1" s="1"/>
  <c r="CK61" i="1"/>
  <c r="CK69" i="1"/>
  <c r="CL72" i="1"/>
  <c r="CO72" i="1" s="1"/>
  <c r="CK73" i="1"/>
  <c r="CL143" i="1"/>
  <c r="CO143" i="1" s="1"/>
  <c r="CK144" i="1"/>
  <c r="CK148" i="1"/>
  <c r="CL151" i="1"/>
  <c r="CO151" i="1" s="1"/>
  <c r="CK156" i="1"/>
  <c r="CL159" i="1"/>
  <c r="CO159" i="1" s="1"/>
  <c r="CK160" i="1"/>
  <c r="CL163" i="1"/>
  <c r="CO163" i="1" s="1"/>
  <c r="CK164" i="1"/>
  <c r="CN18" i="1"/>
  <c r="CN22" i="1"/>
  <c r="CN25" i="1"/>
  <c r="CN36" i="1"/>
  <c r="CL69" i="1"/>
  <c r="CO69" i="1" s="1"/>
  <c r="CL73" i="1"/>
  <c r="CO73" i="1" s="1"/>
  <c r="CL77" i="1"/>
  <c r="CO77" i="1" s="1"/>
  <c r="CN97" i="1"/>
  <c r="CN100" i="1"/>
  <c r="CN112" i="1"/>
  <c r="CN123" i="1"/>
  <c r="CN124" i="1"/>
  <c r="CL144" i="1"/>
  <c r="CO144" i="1" s="1"/>
  <c r="CL148" i="1"/>
  <c r="CO148" i="1" s="1"/>
  <c r="CL156" i="1"/>
  <c r="CO156" i="1" s="1"/>
  <c r="CL160" i="1"/>
  <c r="CO160" i="1" s="1"/>
  <c r="CL164" i="1"/>
  <c r="CO164" i="1" s="1"/>
  <c r="CO22" i="1"/>
  <c r="CO36" i="1"/>
  <c r="CO50" i="1"/>
  <c r="CO97" i="1"/>
  <c r="CO123" i="1"/>
  <c r="CI17" i="1"/>
  <c r="CF61" i="1"/>
  <c r="CI61" i="1" s="1"/>
  <c r="CF62" i="1"/>
  <c r="CI22" i="1"/>
  <c r="CH22" i="1"/>
  <c r="CI25" i="1"/>
  <c r="CH25" i="1"/>
  <c r="CF63" i="1"/>
  <c r="CI63" i="1" s="1"/>
  <c r="CI33" i="1"/>
  <c r="CH33" i="1"/>
  <c r="CF71" i="1"/>
  <c r="CI71" i="1" s="1"/>
  <c r="CI35" i="1"/>
  <c r="CF73" i="1"/>
  <c r="CI73" i="1" s="1"/>
  <c r="CH35" i="1"/>
  <c r="CF75" i="1"/>
  <c r="CI75" i="1" s="1"/>
  <c r="CF85" i="1"/>
  <c r="CI50" i="1"/>
  <c r="CH50" i="1"/>
  <c r="CF145" i="1"/>
  <c r="CF149" i="1"/>
  <c r="CI149" i="1" s="1"/>
  <c r="CF157" i="1"/>
  <c r="CI157" i="1" s="1"/>
  <c r="CF161" i="1"/>
  <c r="CI161" i="1" s="1"/>
  <c r="CF164" i="1"/>
  <c r="CI164" i="1" s="1"/>
  <c r="CF172" i="1"/>
  <c r="CI172" i="1" s="1"/>
  <c r="CF151" i="1"/>
  <c r="CI151" i="1" s="1"/>
  <c r="CF159" i="1"/>
  <c r="CI159" i="1" s="1"/>
  <c r="CF163" i="1"/>
  <c r="CI163" i="1" s="1"/>
  <c r="CI20" i="1"/>
  <c r="CH20" i="1"/>
  <c r="CI24" i="1"/>
  <c r="CH24" i="1"/>
  <c r="CF69" i="1"/>
  <c r="CI69" i="1" s="1"/>
  <c r="CI34" i="1"/>
  <c r="CH34" i="1"/>
  <c r="CF74" i="1"/>
  <c r="CI74" i="1" s="1"/>
  <c r="CI36" i="1"/>
  <c r="CH36" i="1"/>
  <c r="CI41" i="1"/>
  <c r="CF77" i="1"/>
  <c r="CI77" i="1" s="1"/>
  <c r="CH41" i="1"/>
  <c r="CF86" i="1"/>
  <c r="CI86" i="1" s="1"/>
  <c r="CF144" i="1"/>
  <c r="CI144" i="1" s="1"/>
  <c r="CF146" i="1"/>
  <c r="CI146" i="1" s="1"/>
  <c r="CF148" i="1"/>
  <c r="CI148" i="1" s="1"/>
  <c r="CF150" i="1"/>
  <c r="CI150" i="1" s="1"/>
  <c r="CF156" i="1"/>
  <c r="CI156" i="1" s="1"/>
  <c r="CF158" i="1"/>
  <c r="CI158" i="1" s="1"/>
  <c r="CF160" i="1"/>
  <c r="CI160" i="1" s="1"/>
  <c r="CF162" i="1"/>
  <c r="CI162" i="1" s="1"/>
  <c r="CF173" i="1"/>
  <c r="CI173" i="1" s="1"/>
  <c r="CI13" i="1"/>
  <c r="CF59" i="1"/>
  <c r="CI59" i="1" s="1"/>
  <c r="CF60" i="1"/>
  <c r="CI60" i="1" s="1"/>
  <c r="CH64" i="1"/>
  <c r="AB44" i="5" s="1"/>
  <c r="CF72" i="1"/>
  <c r="CI72" i="1" s="1"/>
  <c r="CF76" i="1"/>
  <c r="CI76" i="1" s="1"/>
  <c r="CF143" i="1"/>
  <c r="CI143" i="1" s="1"/>
  <c r="CH147" i="1"/>
  <c r="CB162" i="1"/>
  <c r="AA53" i="5" s="1"/>
  <c r="CB74" i="1"/>
  <c r="Z52" i="5" s="1"/>
  <c r="Z138" i="5" s="1"/>
  <c r="AG172" i="1"/>
  <c r="AY85" i="1"/>
  <c r="CC85" i="1"/>
  <c r="CB159" i="1"/>
  <c r="AA50" i="5" s="1"/>
  <c r="CB70" i="1"/>
  <c r="CC147" i="1"/>
  <c r="CC159" i="1"/>
  <c r="CC162" i="1"/>
  <c r="CC70" i="1"/>
  <c r="CB85" i="1"/>
  <c r="Z40" i="5" s="1"/>
  <c r="BZ60" i="1"/>
  <c r="CC60" i="1" s="1"/>
  <c r="BZ76" i="1"/>
  <c r="CC76" i="1" s="1"/>
  <c r="BZ59" i="1"/>
  <c r="CC59" i="1" s="1"/>
  <c r="BZ63" i="1"/>
  <c r="CC63" i="1" s="1"/>
  <c r="BZ71" i="1"/>
  <c r="CC71" i="1" s="1"/>
  <c r="BZ75" i="1"/>
  <c r="CC75" i="1" s="1"/>
  <c r="BZ86" i="1"/>
  <c r="CC86" i="1" s="1"/>
  <c r="BZ56" i="1"/>
  <c r="CC56" i="1" s="1"/>
  <c r="BZ72" i="1"/>
  <c r="CC72" i="1" s="1"/>
  <c r="CB6" i="1"/>
  <c r="CB7" i="1"/>
  <c r="CB9" i="1"/>
  <c r="CB10" i="1"/>
  <c r="CB13" i="1"/>
  <c r="CB14" i="1"/>
  <c r="CB17" i="1"/>
  <c r="CB20" i="1"/>
  <c r="CB22" i="1"/>
  <c r="CB24" i="1"/>
  <c r="CB25" i="1"/>
  <c r="CB31" i="1"/>
  <c r="CB33" i="1"/>
  <c r="CB34" i="1"/>
  <c r="CB35" i="1"/>
  <c r="CB36" i="1"/>
  <c r="CB37" i="1"/>
  <c r="CB38" i="1"/>
  <c r="CB41" i="1"/>
  <c r="CB50" i="1"/>
  <c r="CB51" i="1"/>
  <c r="BZ57" i="1"/>
  <c r="CC57" i="1" s="1"/>
  <c r="BZ61" i="1"/>
  <c r="CC61" i="1" s="1"/>
  <c r="BZ69" i="1"/>
  <c r="CC69" i="1" s="1"/>
  <c r="BZ73" i="1"/>
  <c r="CC73" i="1" s="1"/>
  <c r="BZ77" i="1"/>
  <c r="CC77" i="1" s="1"/>
  <c r="BZ64" i="1"/>
  <c r="CC64" i="1" s="1"/>
  <c r="CC10" i="1"/>
  <c r="CC22" i="1"/>
  <c r="CC36" i="1"/>
  <c r="CC50" i="1"/>
  <c r="BW162" i="1"/>
  <c r="I157" i="1"/>
  <c r="BW74" i="1"/>
  <c r="I161" i="1"/>
  <c r="BV156" i="1"/>
  <c r="BW157" i="1"/>
  <c r="BW156" i="1"/>
  <c r="AY74" i="1"/>
  <c r="BW161" i="1"/>
  <c r="BV159" i="1"/>
  <c r="BW148" i="1"/>
  <c r="BW160" i="1"/>
  <c r="BV157" i="1"/>
  <c r="BW158" i="1"/>
  <c r="BW159" i="1"/>
  <c r="BW16" i="1"/>
  <c r="BT71" i="1"/>
  <c r="BW71" i="1" s="1"/>
  <c r="H98" i="1"/>
  <c r="AM112" i="1"/>
  <c r="AJ150" i="1"/>
  <c r="AL150" i="1" s="1"/>
  <c r="M43" i="5" s="1"/>
  <c r="AL112" i="1"/>
  <c r="AM118" i="1"/>
  <c r="AL118" i="1"/>
  <c r="AO77" i="1"/>
  <c r="AR41" i="1"/>
  <c r="I33" i="1"/>
  <c r="I104" i="1"/>
  <c r="I126" i="1"/>
  <c r="E58" i="1"/>
  <c r="H13" i="1"/>
  <c r="H39" i="1"/>
  <c r="I21" i="1"/>
  <c r="I95" i="1"/>
  <c r="I98" i="1"/>
  <c r="L59" i="1"/>
  <c r="O59" i="1" s="1"/>
  <c r="O42" i="1"/>
  <c r="N51" i="1"/>
  <c r="N163" i="1"/>
  <c r="O144" i="1"/>
  <c r="L148" i="1"/>
  <c r="O148" i="1" s="1"/>
  <c r="O9" i="1"/>
  <c r="K146" i="1"/>
  <c r="K149" i="1"/>
  <c r="L149" i="1"/>
  <c r="O149" i="1" s="1"/>
  <c r="L164" i="1"/>
  <c r="O164" i="1" s="1"/>
  <c r="U61" i="1"/>
  <c r="W57" i="1"/>
  <c r="Z9" i="1"/>
  <c r="Z23" i="1"/>
  <c r="W62" i="1"/>
  <c r="Z35" i="1"/>
  <c r="W73" i="1"/>
  <c r="X144" i="1"/>
  <c r="Z144" i="1" s="1"/>
  <c r="I35" i="5" s="1"/>
  <c r="AA96" i="1"/>
  <c r="AA124" i="1"/>
  <c r="X162" i="1"/>
  <c r="Z162" i="1" s="1"/>
  <c r="I53" i="5" s="1"/>
  <c r="AG10" i="1"/>
  <c r="AD76" i="1"/>
  <c r="AG76" i="1" s="1"/>
  <c r="AC143" i="1"/>
  <c r="AY103" i="1"/>
  <c r="BT147" i="1"/>
  <c r="BW147" i="1" s="1"/>
  <c r="H95" i="1"/>
  <c r="AM110" i="1"/>
  <c r="AL110" i="1"/>
  <c r="AO61" i="1"/>
  <c r="AR18" i="1"/>
  <c r="AO71" i="1"/>
  <c r="AR71" i="1" s="1"/>
  <c r="N49" i="5" s="1"/>
  <c r="AR33" i="1"/>
  <c r="BT151" i="1"/>
  <c r="BW151" i="1" s="1"/>
  <c r="F150" i="1"/>
  <c r="I150" i="1" s="1"/>
  <c r="H26" i="1"/>
  <c r="I42" i="1"/>
  <c r="I99" i="1"/>
  <c r="L63" i="1"/>
  <c r="O63" i="1" s="1"/>
  <c r="O35" i="1"/>
  <c r="O76" i="1"/>
  <c r="L57" i="1"/>
  <c r="N57" i="1" s="1"/>
  <c r="D35" i="5" s="1"/>
  <c r="N104" i="1"/>
  <c r="O143" i="1"/>
  <c r="O147" i="1"/>
  <c r="N6" i="1"/>
  <c r="O11" i="1"/>
  <c r="U58" i="1"/>
  <c r="U60" i="1"/>
  <c r="T62" i="1"/>
  <c r="AC144" i="1"/>
  <c r="AC147" i="1"/>
  <c r="AF147" i="1" s="1"/>
  <c r="K38" i="5" s="1"/>
  <c r="K124" i="5" s="1"/>
  <c r="AD56" i="1"/>
  <c r="AG56" i="1" s="1"/>
  <c r="AG7" i="1"/>
  <c r="AG14" i="1"/>
  <c r="AD59" i="1"/>
  <c r="AG59" i="1" s="1"/>
  <c r="AD74" i="1"/>
  <c r="AG74" i="1" s="1"/>
  <c r="AG36" i="1"/>
  <c r="AD85" i="1"/>
  <c r="AG85" i="1" s="1"/>
  <c r="AG50" i="1"/>
  <c r="AY22" i="1"/>
  <c r="AV62" i="1"/>
  <c r="AY62" i="1" s="1"/>
  <c r="AY96" i="1"/>
  <c r="AV144" i="1"/>
  <c r="AY144" i="1" s="1"/>
  <c r="AY113" i="1"/>
  <c r="AV151" i="1"/>
  <c r="AY123" i="1"/>
  <c r="BA144" i="1"/>
  <c r="BD95" i="1"/>
  <c r="BD98" i="1"/>
  <c r="BA145" i="1"/>
  <c r="BT163" i="1"/>
  <c r="BW163" i="1" s="1"/>
  <c r="BS57" i="1"/>
  <c r="BV9" i="1"/>
  <c r="F63" i="1"/>
  <c r="I63" i="1" s="1"/>
  <c r="I122" i="1"/>
  <c r="F58" i="1"/>
  <c r="I58" i="1" s="1"/>
  <c r="H12" i="1"/>
  <c r="N35" i="1"/>
  <c r="N77" i="1"/>
  <c r="D55" i="5" s="1"/>
  <c r="O100" i="1"/>
  <c r="L56" i="1"/>
  <c r="O56" i="1" s="1"/>
  <c r="L58" i="1"/>
  <c r="O58" i="1" s="1"/>
  <c r="AR150" i="1"/>
  <c r="AS161" i="1"/>
  <c r="BS56" i="1"/>
  <c r="BV7" i="1"/>
  <c r="BS58" i="1"/>
  <c r="BV10" i="1"/>
  <c r="BT145" i="1"/>
  <c r="BW145" i="1" s="1"/>
  <c r="U76" i="1"/>
  <c r="U144" i="1"/>
  <c r="AA76" i="1"/>
  <c r="AA143" i="1"/>
  <c r="AA147" i="1"/>
  <c r="T113" i="1"/>
  <c r="AA34" i="1"/>
  <c r="AF10" i="1"/>
  <c r="AF16" i="1"/>
  <c r="AF36" i="1"/>
  <c r="AG164" i="1"/>
  <c r="AM60" i="1"/>
  <c r="AR62" i="1"/>
  <c r="N42" i="5" s="1"/>
  <c r="BQ56" i="1"/>
  <c r="BQ149" i="1"/>
  <c r="BQ148" i="1"/>
  <c r="BQ164" i="1"/>
  <c r="BW7" i="1"/>
  <c r="BW9" i="1"/>
  <c r="BW10" i="1"/>
  <c r="BW85" i="1"/>
  <c r="BT59" i="1"/>
  <c r="BW59" i="1" s="1"/>
  <c r="BT86" i="1"/>
  <c r="BW86" i="1" s="1"/>
  <c r="BS143" i="1"/>
  <c r="BV143" i="1" s="1"/>
  <c r="BV158" i="1"/>
  <c r="U77" i="1"/>
  <c r="AF39" i="1"/>
  <c r="AD143" i="1"/>
  <c r="AG143" i="1" s="1"/>
  <c r="AD145" i="1"/>
  <c r="AG145" i="1" s="1"/>
  <c r="AR146" i="1"/>
  <c r="AS61" i="1"/>
  <c r="AY7" i="1"/>
  <c r="AY20" i="1"/>
  <c r="BE57" i="1"/>
  <c r="BE59" i="1"/>
  <c r="BD108" i="1"/>
  <c r="BW70" i="1"/>
  <c r="BT150" i="1"/>
  <c r="BW150" i="1" s="1"/>
  <c r="BT173" i="1"/>
  <c r="BW173" i="1" s="1"/>
  <c r="U149" i="1"/>
  <c r="AA145" i="1"/>
  <c r="AA163" i="1"/>
  <c r="AG123" i="1"/>
  <c r="AS18" i="1"/>
  <c r="AS41" i="1"/>
  <c r="AX16" i="1"/>
  <c r="AV143" i="1"/>
  <c r="AX143" i="1" s="1"/>
  <c r="Q34" i="5" s="1"/>
  <c r="AY145" i="1"/>
  <c r="AV146" i="1"/>
  <c r="AY146" i="1" s="1"/>
  <c r="AV148" i="1"/>
  <c r="AY148" i="1" s="1"/>
  <c r="AV149" i="1"/>
  <c r="AY149" i="1" s="1"/>
  <c r="AV163" i="1"/>
  <c r="AY163" i="1" s="1"/>
  <c r="AV164" i="1"/>
  <c r="AY164" i="1" s="1"/>
  <c r="AY101" i="1"/>
  <c r="AY104" i="1"/>
  <c r="AY118" i="1"/>
  <c r="AY120" i="1"/>
  <c r="AY122" i="1"/>
  <c r="AY124" i="1"/>
  <c r="AY126" i="1"/>
  <c r="AY128" i="1"/>
  <c r="BA146" i="1"/>
  <c r="BT75" i="1"/>
  <c r="BW75" i="1" s="1"/>
  <c r="BW149" i="1"/>
  <c r="BS62" i="1"/>
  <c r="BV22" i="1"/>
  <c r="BS151" i="1"/>
  <c r="BS148" i="1"/>
  <c r="BV148" i="1" s="1"/>
  <c r="BS160" i="1"/>
  <c r="BV160" i="1" s="1"/>
  <c r="BS164" i="1"/>
  <c r="BV164" i="1" s="1"/>
  <c r="BW172" i="1"/>
  <c r="BS144" i="1"/>
  <c r="BV144" i="1" s="1"/>
  <c r="BS150" i="1"/>
  <c r="BS162" i="1"/>
  <c r="BV162" i="1" s="1"/>
  <c r="BS173" i="1"/>
  <c r="BV17" i="1"/>
  <c r="BS61" i="1"/>
  <c r="BS70" i="1"/>
  <c r="BV70" i="1" s="1"/>
  <c r="X48" i="5" s="1"/>
  <c r="X134" i="5" s="1"/>
  <c r="BV32" i="1"/>
  <c r="BS74" i="1"/>
  <c r="BV74" i="1" s="1"/>
  <c r="X52" i="5" s="1"/>
  <c r="X138" i="5" s="1"/>
  <c r="BV36" i="1"/>
  <c r="BS77" i="1"/>
  <c r="BS86" i="1"/>
  <c r="BV51" i="1"/>
  <c r="BS145" i="1"/>
  <c r="BS163" i="1"/>
  <c r="BS147" i="1"/>
  <c r="BS59" i="1"/>
  <c r="BV13" i="1"/>
  <c r="BS63" i="1"/>
  <c r="BV25" i="1"/>
  <c r="BV31" i="1"/>
  <c r="BS69" i="1"/>
  <c r="BS71" i="1"/>
  <c r="BV33" i="1"/>
  <c r="BV35" i="1"/>
  <c r="BS73" i="1"/>
  <c r="BS75" i="1"/>
  <c r="BV37" i="1"/>
  <c r="BS85" i="1"/>
  <c r="BV85" i="1" s="1"/>
  <c r="X40" i="5" s="1"/>
  <c r="BV50" i="1"/>
  <c r="BS60" i="1"/>
  <c r="BS64" i="1"/>
  <c r="BS72" i="1"/>
  <c r="BS76" i="1"/>
  <c r="BS146" i="1"/>
  <c r="BV146" i="1" s="1"/>
  <c r="BS149" i="1"/>
  <c r="BV149" i="1" s="1"/>
  <c r="BS161" i="1"/>
  <c r="BV161" i="1" s="1"/>
  <c r="BS172" i="1"/>
  <c r="BV172" i="1" s="1"/>
  <c r="BT60" i="1"/>
  <c r="BW60" i="1" s="1"/>
  <c r="BT64" i="1"/>
  <c r="BW64" i="1" s="1"/>
  <c r="BT72" i="1"/>
  <c r="BW72" i="1" s="1"/>
  <c r="BT76" i="1"/>
  <c r="BW76" i="1" s="1"/>
  <c r="BT61" i="1"/>
  <c r="BW61" i="1" s="1"/>
  <c r="BT69" i="1"/>
  <c r="BW69" i="1" s="1"/>
  <c r="BT73" i="1"/>
  <c r="BW73" i="1" s="1"/>
  <c r="BT77" i="1"/>
  <c r="BW77" i="1" s="1"/>
  <c r="BW22" i="1"/>
  <c r="BW32" i="1"/>
  <c r="BW36" i="1"/>
  <c r="BW50" i="1"/>
  <c r="BP157" i="1"/>
  <c r="BQ158" i="1"/>
  <c r="BQ157" i="1"/>
  <c r="BQ85" i="1"/>
  <c r="BP159" i="1"/>
  <c r="BQ173" i="1"/>
  <c r="BJ157" i="1"/>
  <c r="BQ70" i="1"/>
  <c r="BQ63" i="1"/>
  <c r="BQ161" i="1"/>
  <c r="BP156" i="1"/>
  <c r="BQ160" i="1"/>
  <c r="BQ159" i="1"/>
  <c r="BQ150" i="1"/>
  <c r="BQ156" i="1"/>
  <c r="BQ162" i="1"/>
  <c r="BQ62" i="1"/>
  <c r="BQ75" i="1"/>
  <c r="BQ86" i="1"/>
  <c r="BQ74" i="1"/>
  <c r="BQ71" i="1"/>
  <c r="BM144" i="1"/>
  <c r="BP144" i="1" s="1"/>
  <c r="BM150" i="1"/>
  <c r="BP150" i="1" s="1"/>
  <c r="BM162" i="1"/>
  <c r="BP162" i="1" s="1"/>
  <c r="BM173" i="1"/>
  <c r="BP173" i="1" s="1"/>
  <c r="BM148" i="1"/>
  <c r="BP148" i="1" s="1"/>
  <c r="BM160" i="1"/>
  <c r="BP160" i="1" s="1"/>
  <c r="BM164" i="1"/>
  <c r="BP164" i="1" s="1"/>
  <c r="BQ172" i="1"/>
  <c r="BP58" i="1"/>
  <c r="BM61" i="1"/>
  <c r="BM62" i="1"/>
  <c r="BP62" i="1" s="1"/>
  <c r="BM70" i="1"/>
  <c r="BP70" i="1" s="1"/>
  <c r="BM74" i="1"/>
  <c r="BP74" i="1" s="1"/>
  <c r="BM77" i="1"/>
  <c r="BM86" i="1"/>
  <c r="BP86" i="1" s="1"/>
  <c r="BM145" i="1"/>
  <c r="BP145" i="1" s="1"/>
  <c r="BM147" i="1"/>
  <c r="BP147" i="1" s="1"/>
  <c r="BM151" i="1"/>
  <c r="BP151" i="1" s="1"/>
  <c r="BM163" i="1"/>
  <c r="BP163" i="1" s="1"/>
  <c r="BM143" i="1"/>
  <c r="BP143" i="1" s="1"/>
  <c r="BM59" i="1"/>
  <c r="BP59" i="1" s="1"/>
  <c r="BM63" i="1"/>
  <c r="BP63" i="1" s="1"/>
  <c r="BM69" i="1"/>
  <c r="BM71" i="1"/>
  <c r="BP71" i="1" s="1"/>
  <c r="BM73" i="1"/>
  <c r="BM75" i="1"/>
  <c r="BP75" i="1" s="1"/>
  <c r="BM85" i="1"/>
  <c r="BP85" i="1" s="1"/>
  <c r="BP56" i="1"/>
  <c r="BP57" i="1"/>
  <c r="BM60" i="1"/>
  <c r="BM76" i="1"/>
  <c r="BM146" i="1"/>
  <c r="BP146" i="1" s="1"/>
  <c r="BM149" i="1"/>
  <c r="BP149" i="1" s="1"/>
  <c r="BM161" i="1"/>
  <c r="BP161" i="1" s="1"/>
  <c r="BM172" i="1"/>
  <c r="BP172" i="1" s="1"/>
  <c r="BN60" i="1"/>
  <c r="BQ60" i="1" s="1"/>
  <c r="BN64" i="1"/>
  <c r="BQ64" i="1" s="1"/>
  <c r="BN72" i="1"/>
  <c r="BQ72" i="1" s="1"/>
  <c r="BN76" i="1"/>
  <c r="BQ76" i="1" s="1"/>
  <c r="BN61" i="1"/>
  <c r="BQ61" i="1" s="1"/>
  <c r="BN69" i="1"/>
  <c r="BQ69" i="1" s="1"/>
  <c r="BN73" i="1"/>
  <c r="BQ73" i="1" s="1"/>
  <c r="BN77" i="1"/>
  <c r="BQ77" i="1" s="1"/>
  <c r="BP158" i="1"/>
  <c r="BJ156" i="1"/>
  <c r="BK156" i="1"/>
  <c r="BK161" i="1"/>
  <c r="BK157" i="1"/>
  <c r="BJ159" i="1"/>
  <c r="BK172" i="1"/>
  <c r="BK158" i="1"/>
  <c r="BK159" i="1"/>
  <c r="BJ158" i="1"/>
  <c r="BK56" i="1"/>
  <c r="BK58" i="1"/>
  <c r="BJ57" i="1"/>
  <c r="BK64" i="1"/>
  <c r="BH61" i="1"/>
  <c r="BK61" i="1" s="1"/>
  <c r="BH62" i="1"/>
  <c r="BK62" i="1" s="1"/>
  <c r="BH70" i="1"/>
  <c r="BK70" i="1" s="1"/>
  <c r="BH72" i="1"/>
  <c r="BK72" i="1" s="1"/>
  <c r="BH74" i="1"/>
  <c r="BK74" i="1" s="1"/>
  <c r="BH76" i="1"/>
  <c r="BK76" i="1" s="1"/>
  <c r="BH77" i="1"/>
  <c r="BK77" i="1" s="1"/>
  <c r="BH86" i="1"/>
  <c r="BK86" i="1" s="1"/>
  <c r="BJ56" i="1"/>
  <c r="BH59" i="1"/>
  <c r="BK59" i="1" s="1"/>
  <c r="BH63" i="1"/>
  <c r="BK63" i="1" s="1"/>
  <c r="BH69" i="1"/>
  <c r="BK69" i="1" s="1"/>
  <c r="BH71" i="1"/>
  <c r="BK71" i="1" s="1"/>
  <c r="BH73" i="1"/>
  <c r="BK73" i="1" s="1"/>
  <c r="BH75" i="1"/>
  <c r="BK75" i="1" s="1"/>
  <c r="BH85" i="1"/>
  <c r="BK85" i="1" s="1"/>
  <c r="BJ64" i="1"/>
  <c r="BJ76" i="1"/>
  <c r="BJ77" i="1"/>
  <c r="BJ145" i="1"/>
  <c r="BJ149" i="1"/>
  <c r="BJ161" i="1"/>
  <c r="BJ172" i="1"/>
  <c r="BH151" i="1"/>
  <c r="BK151" i="1" s="1"/>
  <c r="BH163" i="1"/>
  <c r="BK163" i="1" s="1"/>
  <c r="BH146" i="1"/>
  <c r="BK146" i="1" s="1"/>
  <c r="BH150" i="1"/>
  <c r="BK150" i="1" s="1"/>
  <c r="BH162" i="1"/>
  <c r="BK162" i="1" s="1"/>
  <c r="BH173" i="1"/>
  <c r="BK173" i="1" s="1"/>
  <c r="BH143" i="1"/>
  <c r="BK143" i="1" s="1"/>
  <c r="BH147" i="1"/>
  <c r="BK147" i="1" s="1"/>
  <c r="BH144" i="1"/>
  <c r="BK144" i="1" s="1"/>
  <c r="BH148" i="1"/>
  <c r="BK148" i="1" s="1"/>
  <c r="BH160" i="1"/>
  <c r="BK160" i="1" s="1"/>
  <c r="BH164" i="1"/>
  <c r="BK164" i="1" s="1"/>
  <c r="BE72" i="1"/>
  <c r="BD159" i="1"/>
  <c r="BD151" i="1"/>
  <c r="S44" i="5" s="1"/>
  <c r="BD105" i="1"/>
  <c r="BE147" i="1"/>
  <c r="BE159" i="1"/>
  <c r="BE143" i="1"/>
  <c r="BE148" i="1"/>
  <c r="BE151" i="1"/>
  <c r="BA60" i="1"/>
  <c r="BD58" i="1"/>
  <c r="R36" i="5" s="1"/>
  <c r="BB56" i="1"/>
  <c r="BE56" i="1" s="1"/>
  <c r="BE94" i="1"/>
  <c r="BD94" i="1"/>
  <c r="BE112" i="1"/>
  <c r="BD112" i="1"/>
  <c r="BB150" i="1"/>
  <c r="BE150" i="1" s="1"/>
  <c r="BB156" i="1"/>
  <c r="BE156" i="1" s="1"/>
  <c r="BB158" i="1"/>
  <c r="BE158" i="1" s="1"/>
  <c r="BE122" i="1"/>
  <c r="BB160" i="1"/>
  <c r="BE160" i="1" s="1"/>
  <c r="BD122" i="1"/>
  <c r="BE124" i="1"/>
  <c r="BD124" i="1"/>
  <c r="BB162" i="1"/>
  <c r="BE162" i="1" s="1"/>
  <c r="BB172" i="1"/>
  <c r="BE18" i="1"/>
  <c r="BD18" i="1"/>
  <c r="BB62" i="1"/>
  <c r="BE62" i="1" s="1"/>
  <c r="BE22" i="1"/>
  <c r="BE25" i="1"/>
  <c r="BD25" i="1"/>
  <c r="BB63" i="1"/>
  <c r="BE63" i="1" s="1"/>
  <c r="BB70" i="1"/>
  <c r="BE32" i="1"/>
  <c r="BD32" i="1"/>
  <c r="BE34" i="1"/>
  <c r="BD34" i="1"/>
  <c r="BB74" i="1"/>
  <c r="BE36" i="1"/>
  <c r="BD36" i="1"/>
  <c r="BE38" i="1"/>
  <c r="BD38" i="1"/>
  <c r="BE40" i="1"/>
  <c r="BB77" i="1"/>
  <c r="BE77" i="1" s="1"/>
  <c r="BD40" i="1"/>
  <c r="BE42" i="1"/>
  <c r="BD42" i="1"/>
  <c r="BE51" i="1"/>
  <c r="BD51" i="1"/>
  <c r="BB86" i="1"/>
  <c r="BE86" i="1" s="1"/>
  <c r="BB163" i="1"/>
  <c r="BE163" i="1" s="1"/>
  <c r="BD7" i="1"/>
  <c r="BD9" i="1"/>
  <c r="BD10" i="1"/>
  <c r="BD11" i="1"/>
  <c r="BD13" i="1"/>
  <c r="BD14" i="1"/>
  <c r="BE17" i="1"/>
  <c r="BB61" i="1"/>
  <c r="BE61" i="1" s="1"/>
  <c r="BD17" i="1"/>
  <c r="BE31" i="1"/>
  <c r="BB69" i="1"/>
  <c r="BE69" i="1" s="1"/>
  <c r="BD31" i="1"/>
  <c r="BE33" i="1"/>
  <c r="BD33" i="1"/>
  <c r="BB71" i="1"/>
  <c r="BE71" i="1" s="1"/>
  <c r="BE35" i="1"/>
  <c r="BB73" i="1"/>
  <c r="BE73" i="1" s="1"/>
  <c r="BD35" i="1"/>
  <c r="BE37" i="1"/>
  <c r="BD37" i="1"/>
  <c r="BB75" i="1"/>
  <c r="BE75" i="1" s="1"/>
  <c r="BE39" i="1"/>
  <c r="BD39" i="1"/>
  <c r="BE41" i="1"/>
  <c r="BD41" i="1"/>
  <c r="BB85" i="1"/>
  <c r="BE85" i="1" s="1"/>
  <c r="BE50" i="1"/>
  <c r="BD50" i="1"/>
  <c r="BB76" i="1"/>
  <c r="BE76" i="1" s="1"/>
  <c r="BD143" i="1"/>
  <c r="S34" i="5" s="1"/>
  <c r="BD148" i="1"/>
  <c r="S39" i="5" s="1"/>
  <c r="BB145" i="1"/>
  <c r="BE97" i="1"/>
  <c r="BD97" i="1"/>
  <c r="BE9" i="1"/>
  <c r="BE10" i="1"/>
  <c r="BE13" i="1"/>
  <c r="BD72" i="1"/>
  <c r="R50" i="5" s="1"/>
  <c r="BB144" i="1"/>
  <c r="BE144" i="1" s="1"/>
  <c r="BB149" i="1"/>
  <c r="BE149" i="1" s="1"/>
  <c r="BE113" i="1"/>
  <c r="BD113" i="1"/>
  <c r="BB157" i="1"/>
  <c r="BE157" i="1" s="1"/>
  <c r="BB161" i="1"/>
  <c r="BE161" i="1" s="1"/>
  <c r="BE123" i="1"/>
  <c r="BD123" i="1"/>
  <c r="BE125" i="1"/>
  <c r="BD125" i="1"/>
  <c r="BB164" i="1"/>
  <c r="BE164" i="1" s="1"/>
  <c r="BB173" i="1"/>
  <c r="BE173" i="1" s="1"/>
  <c r="BD100" i="1"/>
  <c r="BD103" i="1"/>
  <c r="BD22" i="1"/>
  <c r="AY161" i="1"/>
  <c r="AY173" i="1"/>
  <c r="AR63" i="1"/>
  <c r="N43" i="5" s="1"/>
  <c r="AX161" i="1"/>
  <c r="Q52" i="5" s="1"/>
  <c r="Q138" i="5" s="1"/>
  <c r="AR158" i="1"/>
  <c r="AG86" i="1"/>
  <c r="AY156" i="1"/>
  <c r="AY160" i="1"/>
  <c r="AY172" i="1"/>
  <c r="AY150" i="1"/>
  <c r="AY158" i="1"/>
  <c r="AY162" i="1"/>
  <c r="AX156" i="1"/>
  <c r="Q47" i="5" s="1"/>
  <c r="AY70" i="1"/>
  <c r="AX70" i="1"/>
  <c r="P48" i="5" s="1"/>
  <c r="P134" i="5" s="1"/>
  <c r="AX74" i="1"/>
  <c r="P52" i="5" s="1"/>
  <c r="P138" i="5" s="1"/>
  <c r="AX85" i="1"/>
  <c r="P40" i="5" s="1"/>
  <c r="AV56" i="1"/>
  <c r="AY56" i="1" s="1"/>
  <c r="AV59" i="1"/>
  <c r="AY59" i="1" s="1"/>
  <c r="AV63" i="1"/>
  <c r="AY63" i="1" s="1"/>
  <c r="AV71" i="1"/>
  <c r="AY71" i="1" s="1"/>
  <c r="AV75" i="1"/>
  <c r="AY75" i="1" s="1"/>
  <c r="AV86" i="1"/>
  <c r="AY86" i="1" s="1"/>
  <c r="AY147" i="1"/>
  <c r="AY159" i="1"/>
  <c r="AV60" i="1"/>
  <c r="AY60" i="1" s="1"/>
  <c r="AV72" i="1"/>
  <c r="AY72" i="1" s="1"/>
  <c r="AX6" i="1"/>
  <c r="AX9" i="1"/>
  <c r="AX10" i="1"/>
  <c r="AX13" i="1"/>
  <c r="AX14" i="1"/>
  <c r="AX15" i="1"/>
  <c r="AX17" i="1"/>
  <c r="AX18" i="1"/>
  <c r="AX24" i="1"/>
  <c r="AX25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50" i="1"/>
  <c r="AX51" i="1"/>
  <c r="AV57" i="1"/>
  <c r="AY57" i="1" s="1"/>
  <c r="AV61" i="1"/>
  <c r="AY61" i="1" s="1"/>
  <c r="AV69" i="1"/>
  <c r="AY69" i="1" s="1"/>
  <c r="AV73" i="1"/>
  <c r="AY73" i="1" s="1"/>
  <c r="AV77" i="1"/>
  <c r="AY77" i="1" s="1"/>
  <c r="AV64" i="1"/>
  <c r="AY64" i="1" s="1"/>
  <c r="AV76" i="1"/>
  <c r="AY76" i="1" s="1"/>
  <c r="AY10" i="1"/>
  <c r="AY24" i="1"/>
  <c r="AY32" i="1"/>
  <c r="AY36" i="1"/>
  <c r="AY50" i="1"/>
  <c r="AR64" i="1"/>
  <c r="N44" i="5" s="1"/>
  <c r="AS72" i="1"/>
  <c r="AS64" i="1"/>
  <c r="AS71" i="1"/>
  <c r="AS173" i="1"/>
  <c r="AS157" i="1"/>
  <c r="AS162" i="1"/>
  <c r="AS63" i="1"/>
  <c r="AS172" i="1"/>
  <c r="AR162" i="1"/>
  <c r="AR173" i="1"/>
  <c r="AS146" i="1"/>
  <c r="AS150" i="1"/>
  <c r="AS158" i="1"/>
  <c r="AO85" i="1"/>
  <c r="AS56" i="1"/>
  <c r="AO76" i="1"/>
  <c r="AP85" i="1"/>
  <c r="AS85" i="1" s="1"/>
  <c r="AR13" i="1"/>
  <c r="AR15" i="1"/>
  <c r="AR72" i="1"/>
  <c r="N50" i="5" s="1"/>
  <c r="AP76" i="1"/>
  <c r="AS76" i="1" s="1"/>
  <c r="AR144" i="1"/>
  <c r="AR145" i="1"/>
  <c r="AR149" i="1"/>
  <c r="AR161" i="1"/>
  <c r="AR172" i="1"/>
  <c r="AO148" i="1"/>
  <c r="AP151" i="1"/>
  <c r="AS151" i="1" s="1"/>
  <c r="AO156" i="1"/>
  <c r="AR157" i="1"/>
  <c r="AP159" i="1"/>
  <c r="AS159" i="1" s="1"/>
  <c r="AO160" i="1"/>
  <c r="AP163" i="1"/>
  <c r="AS163" i="1" s="1"/>
  <c r="AO164" i="1"/>
  <c r="AP148" i="1"/>
  <c r="AS148" i="1" s="1"/>
  <c r="AP156" i="1"/>
  <c r="AS156" i="1" s="1"/>
  <c r="AP160" i="1"/>
  <c r="AS160" i="1" s="1"/>
  <c r="AP164" i="1"/>
  <c r="AS164" i="1" s="1"/>
  <c r="AM72" i="1"/>
  <c r="AL63" i="1"/>
  <c r="AM64" i="1"/>
  <c r="AM70" i="1"/>
  <c r="AL72" i="1"/>
  <c r="AL64" i="1"/>
  <c r="AL70" i="1"/>
  <c r="AM71" i="1"/>
  <c r="AM74" i="1"/>
  <c r="AM75" i="1"/>
  <c r="AL69" i="1"/>
  <c r="AL73" i="1"/>
  <c r="AM63" i="1"/>
  <c r="AM85" i="1"/>
  <c r="AL161" i="1"/>
  <c r="M52" i="5" s="1"/>
  <c r="M138" i="5" s="1"/>
  <c r="AM86" i="1"/>
  <c r="AL71" i="1"/>
  <c r="AM161" i="1"/>
  <c r="AM157" i="1"/>
  <c r="AL144" i="1"/>
  <c r="M35" i="5" s="1"/>
  <c r="AL96" i="1"/>
  <c r="AJ149" i="1"/>
  <c r="AM149" i="1" s="1"/>
  <c r="AJ156" i="1"/>
  <c r="AM156" i="1" s="1"/>
  <c r="AM104" i="1"/>
  <c r="AM96" i="1"/>
  <c r="AL158" i="1"/>
  <c r="AL104" i="1"/>
  <c r="AL145" i="1"/>
  <c r="M36" i="5" s="1"/>
  <c r="AM143" i="1"/>
  <c r="AL148" i="1"/>
  <c r="M39" i="5" s="1"/>
  <c r="AM151" i="1"/>
  <c r="AM158" i="1"/>
  <c r="AL157" i="1"/>
  <c r="AM172" i="1"/>
  <c r="AL75" i="1"/>
  <c r="AL59" i="1"/>
  <c r="AL172" i="1"/>
  <c r="M40" i="5" s="1"/>
  <c r="AL86" i="1"/>
  <c r="AL97" i="1"/>
  <c r="AJ146" i="1"/>
  <c r="AM146" i="1" s="1"/>
  <c r="AJ162" i="1"/>
  <c r="AM162" i="1" s="1"/>
  <c r="AJ173" i="1"/>
  <c r="AM173" i="1" s="1"/>
  <c r="AJ147" i="1"/>
  <c r="AM147" i="1" s="1"/>
  <c r="AL100" i="1"/>
  <c r="AL101" i="1"/>
  <c r="AL121" i="1"/>
  <c r="AL122" i="1"/>
  <c r="AL123" i="1"/>
  <c r="AL124" i="1"/>
  <c r="AL126" i="1"/>
  <c r="AJ160" i="1"/>
  <c r="AM160" i="1" s="1"/>
  <c r="AJ164" i="1"/>
  <c r="AM164" i="1" s="1"/>
  <c r="AJ159" i="1"/>
  <c r="AM159" i="1" s="1"/>
  <c r="AJ163" i="1"/>
  <c r="AM163" i="1" s="1"/>
  <c r="AM123" i="1"/>
  <c r="AG69" i="1"/>
  <c r="AF69" i="1"/>
  <c r="J47" i="5" s="1"/>
  <c r="AG157" i="1"/>
  <c r="AF71" i="1"/>
  <c r="AG71" i="1"/>
  <c r="AG150" i="1"/>
  <c r="AG63" i="1"/>
  <c r="AF64" i="1"/>
  <c r="AG156" i="1"/>
  <c r="AG159" i="1"/>
  <c r="AG161" i="1"/>
  <c r="AG96" i="1"/>
  <c r="AG101" i="1"/>
  <c r="AF151" i="1"/>
  <c r="AF157" i="1"/>
  <c r="AF164" i="1"/>
  <c r="K55" i="5" s="1"/>
  <c r="AG158" i="1"/>
  <c r="AG148" i="1"/>
  <c r="AF159" i="1"/>
  <c r="K50" i="5" s="1"/>
  <c r="AF156" i="1"/>
  <c r="AF158" i="1"/>
  <c r="AF7" i="1"/>
  <c r="AC60" i="1"/>
  <c r="AG64" i="1"/>
  <c r="AF34" i="1"/>
  <c r="AC59" i="1"/>
  <c r="AG77" i="1"/>
  <c r="AF58" i="1"/>
  <c r="J36" i="5" s="1"/>
  <c r="AG72" i="1"/>
  <c r="AF70" i="1"/>
  <c r="AF72" i="1"/>
  <c r="J50" i="5" s="1"/>
  <c r="AF86" i="1"/>
  <c r="J45" i="5" s="1"/>
  <c r="J41" i="5" s="1"/>
  <c r="AF149" i="1"/>
  <c r="AF148" i="1"/>
  <c r="AF63" i="1"/>
  <c r="AF150" i="1"/>
  <c r="AF172" i="1"/>
  <c r="K40" i="5" s="1"/>
  <c r="AD163" i="1"/>
  <c r="AG163" i="1" s="1"/>
  <c r="AF37" i="1"/>
  <c r="AF50" i="1"/>
  <c r="AD57" i="1"/>
  <c r="AG57" i="1" s="1"/>
  <c r="AD61" i="1"/>
  <c r="AG61" i="1" s="1"/>
  <c r="AG70" i="1"/>
  <c r="AD73" i="1"/>
  <c r="AG73" i="1" s="1"/>
  <c r="AF94" i="1"/>
  <c r="AF97" i="1"/>
  <c r="AF100" i="1"/>
  <c r="AF121" i="1"/>
  <c r="AG147" i="1"/>
  <c r="AG151" i="1"/>
  <c r="AD162" i="1"/>
  <c r="AG162" i="1" s="1"/>
  <c r="AC163" i="1"/>
  <c r="AD173" i="1"/>
  <c r="AG173" i="1" s="1"/>
  <c r="AG13" i="1"/>
  <c r="AG16" i="1"/>
  <c r="AG34" i="1"/>
  <c r="AF124" i="1"/>
  <c r="Z70" i="1"/>
  <c r="AA151" i="1"/>
  <c r="Z71" i="1"/>
  <c r="Z151" i="1"/>
  <c r="AA173" i="1"/>
  <c r="AA172" i="1"/>
  <c r="AA70" i="1"/>
  <c r="AA158" i="1"/>
  <c r="Z161" i="1"/>
  <c r="AA69" i="1"/>
  <c r="Z156" i="1"/>
  <c r="AA157" i="1"/>
  <c r="AA71" i="1"/>
  <c r="AA74" i="1"/>
  <c r="AA156" i="1"/>
  <c r="AA72" i="1"/>
  <c r="Z173" i="1"/>
  <c r="I45" i="5" s="1"/>
  <c r="AA149" i="1"/>
  <c r="Z147" i="1"/>
  <c r="AA161" i="1"/>
  <c r="Z157" i="1"/>
  <c r="Z158" i="1"/>
  <c r="Z10" i="1"/>
  <c r="Z14" i="1"/>
  <c r="Z25" i="1"/>
  <c r="Z76" i="1"/>
  <c r="X58" i="1"/>
  <c r="AA58" i="1" s="1"/>
  <c r="AA14" i="1"/>
  <c r="X63" i="1"/>
  <c r="AA63" i="1" s="1"/>
  <c r="Z86" i="1"/>
  <c r="H45" i="5" s="1"/>
  <c r="Z74" i="1"/>
  <c r="Z56" i="1"/>
  <c r="H34" i="5" s="1"/>
  <c r="AA75" i="1"/>
  <c r="AA86" i="1"/>
  <c r="Z69" i="1"/>
  <c r="U145" i="1"/>
  <c r="U146" i="1"/>
  <c r="T147" i="1"/>
  <c r="G38" i="5" s="1"/>
  <c r="G124" i="5" s="1"/>
  <c r="T163" i="1"/>
  <c r="G54" i="5" s="1"/>
  <c r="T143" i="1"/>
  <c r="G34" i="5" s="1"/>
  <c r="U59" i="1"/>
  <c r="T86" i="1"/>
  <c r="F45" i="5" s="1"/>
  <c r="U57" i="1"/>
  <c r="T60" i="1"/>
  <c r="F38" i="5" s="1"/>
  <c r="F124" i="5" s="1"/>
  <c r="U69" i="1"/>
  <c r="U63" i="1"/>
  <c r="T77" i="1"/>
  <c r="F55" i="5" s="1"/>
  <c r="Z85" i="1"/>
  <c r="H40" i="5" s="1"/>
  <c r="AA85" i="1"/>
  <c r="Z145" i="1"/>
  <c r="I36" i="5" s="1"/>
  <c r="Z172" i="1"/>
  <c r="I40" i="5" s="1"/>
  <c r="Z75" i="1"/>
  <c r="H53" i="5" s="1"/>
  <c r="Z148" i="1"/>
  <c r="I39" i="5" s="1"/>
  <c r="AA148" i="1"/>
  <c r="Z37" i="1"/>
  <c r="Z50" i="1"/>
  <c r="Z51" i="1"/>
  <c r="W58" i="1"/>
  <c r="X77" i="1"/>
  <c r="AA77" i="1" s="1"/>
  <c r="Z97" i="1"/>
  <c r="Z100" i="1"/>
  <c r="Z101" i="1"/>
  <c r="Z104" i="1"/>
  <c r="X159" i="1"/>
  <c r="AA159" i="1" s="1"/>
  <c r="W160" i="1"/>
  <c r="W164" i="1"/>
  <c r="X146" i="1"/>
  <c r="AA146" i="1" s="1"/>
  <c r="W159" i="1"/>
  <c r="AA37" i="1"/>
  <c r="AA50" i="1"/>
  <c r="AA51" i="1"/>
  <c r="W59" i="1"/>
  <c r="W63" i="1"/>
  <c r="AA97" i="1"/>
  <c r="AA104" i="1"/>
  <c r="Z112" i="1"/>
  <c r="Z124" i="1"/>
  <c r="X160" i="1"/>
  <c r="AA160" i="1" s="1"/>
  <c r="X164" i="1"/>
  <c r="AA164" i="1" s="1"/>
  <c r="Z26" i="1"/>
  <c r="AA109" i="1"/>
  <c r="U85" i="1"/>
  <c r="T157" i="1"/>
  <c r="G48" i="5" s="1"/>
  <c r="G134" i="5" s="1"/>
  <c r="T69" i="1"/>
  <c r="F47" i="5" s="1"/>
  <c r="U70" i="1"/>
  <c r="T161" i="1"/>
  <c r="G52" i="5" s="1"/>
  <c r="G138" i="5" s="1"/>
  <c r="U172" i="1"/>
  <c r="U157" i="1"/>
  <c r="U72" i="1"/>
  <c r="O70" i="1"/>
  <c r="O73" i="1"/>
  <c r="T70" i="1"/>
  <c r="U71" i="1"/>
  <c r="U74" i="1"/>
  <c r="O151" i="1"/>
  <c r="N162" i="1"/>
  <c r="E53" i="5" s="1"/>
  <c r="T71" i="1"/>
  <c r="U73" i="1"/>
  <c r="T156" i="1"/>
  <c r="G47" i="5" s="1"/>
  <c r="T158" i="1"/>
  <c r="U156" i="1"/>
  <c r="U75" i="1"/>
  <c r="T72" i="1"/>
  <c r="F50" i="5" s="1"/>
  <c r="U161" i="1"/>
  <c r="U86" i="1"/>
  <c r="T74" i="1"/>
  <c r="F52" i="5" s="1"/>
  <c r="F138" i="5" s="1"/>
  <c r="T75" i="1"/>
  <c r="F53" i="5" s="1"/>
  <c r="U158" i="1"/>
  <c r="U64" i="1"/>
  <c r="T149" i="1"/>
  <c r="G42" i="5" s="1"/>
  <c r="T172" i="1"/>
  <c r="G40" i="5" s="1"/>
  <c r="T148" i="1"/>
  <c r="G39" i="5" s="1"/>
  <c r="T85" i="1"/>
  <c r="F40" i="5" s="1"/>
  <c r="R159" i="1"/>
  <c r="U159" i="1" s="1"/>
  <c r="Q57" i="1"/>
  <c r="T57" i="1" s="1"/>
  <c r="F35" i="5" s="1"/>
  <c r="Q61" i="1"/>
  <c r="T61" i="1" s="1"/>
  <c r="Q73" i="1"/>
  <c r="T73" i="1" s="1"/>
  <c r="F51" i="5" s="1"/>
  <c r="U143" i="1"/>
  <c r="U147" i="1"/>
  <c r="R150" i="1"/>
  <c r="U150" i="1" s="1"/>
  <c r="U151" i="1"/>
  <c r="R162" i="1"/>
  <c r="U162" i="1" s="1"/>
  <c r="U163" i="1"/>
  <c r="R173" i="1"/>
  <c r="U173" i="1" s="1"/>
  <c r="Q58" i="1"/>
  <c r="T58" i="1" s="1"/>
  <c r="F36" i="5" s="1"/>
  <c r="U37" i="1"/>
  <c r="U50" i="1"/>
  <c r="U51" i="1"/>
  <c r="Q59" i="1"/>
  <c r="T59" i="1" s="1"/>
  <c r="F37" i="5" s="1"/>
  <c r="Q63" i="1"/>
  <c r="T63" i="1" s="1"/>
  <c r="T110" i="1"/>
  <c r="T121" i="1"/>
  <c r="T122" i="1"/>
  <c r="T128" i="1"/>
  <c r="R160" i="1"/>
  <c r="U160" i="1" s="1"/>
  <c r="R164" i="1"/>
  <c r="U164" i="1" s="1"/>
  <c r="T26" i="1"/>
  <c r="O71" i="1"/>
  <c r="O69" i="1"/>
  <c r="O161" i="1"/>
  <c r="N156" i="1"/>
  <c r="O86" i="1"/>
  <c r="N70" i="1"/>
  <c r="O74" i="1"/>
  <c r="O156" i="1"/>
  <c r="O72" i="1"/>
  <c r="O158" i="1"/>
  <c r="N73" i="1"/>
  <c r="D51" i="5" s="1"/>
  <c r="N74" i="1"/>
  <c r="D52" i="5" s="1"/>
  <c r="D138" i="5" s="1"/>
  <c r="O162" i="1"/>
  <c r="O150" i="1"/>
  <c r="O160" i="1"/>
  <c r="O172" i="1"/>
  <c r="O145" i="1"/>
  <c r="N100" i="1"/>
  <c r="N122" i="1"/>
  <c r="O163" i="1"/>
  <c r="N147" i="1"/>
  <c r="O157" i="1"/>
  <c r="N150" i="1"/>
  <c r="E43" i="5" s="1"/>
  <c r="N161" i="1"/>
  <c r="N157" i="1"/>
  <c r="O112" i="1"/>
  <c r="N158" i="1"/>
  <c r="N71" i="1"/>
  <c r="N76" i="1"/>
  <c r="N86" i="1"/>
  <c r="D45" i="5" s="1"/>
  <c r="L61" i="1"/>
  <c r="O61" i="1" s="1"/>
  <c r="O17" i="1"/>
  <c r="L64" i="1"/>
  <c r="O64" i="1" s="1"/>
  <c r="L75" i="1"/>
  <c r="O75" i="1" s="1"/>
  <c r="L85" i="1"/>
  <c r="O85" i="1" s="1"/>
  <c r="N72" i="1"/>
  <c r="N62" i="1"/>
  <c r="N172" i="1"/>
  <c r="E40" i="5" s="1"/>
  <c r="N7" i="1"/>
  <c r="O10" i="1"/>
  <c r="O13" i="1"/>
  <c r="O25" i="1"/>
  <c r="O26" i="1"/>
  <c r="O37" i="1"/>
  <c r="O50" i="1"/>
  <c r="O51" i="1"/>
  <c r="O97" i="1"/>
  <c r="K148" i="1"/>
  <c r="K160" i="1"/>
  <c r="N160" i="1" s="1"/>
  <c r="E51" i="5" s="1"/>
  <c r="K151" i="1"/>
  <c r="N151" i="1" s="1"/>
  <c r="O7" i="1"/>
  <c r="N69" i="1"/>
  <c r="N108" i="1"/>
  <c r="N112" i="1"/>
  <c r="N121" i="1"/>
  <c r="N124" i="1"/>
  <c r="I151" i="1"/>
  <c r="I74" i="1"/>
  <c r="I158" i="1"/>
  <c r="I160" i="1"/>
  <c r="I173" i="1"/>
  <c r="I86" i="1"/>
  <c r="I156" i="1"/>
  <c r="I120" i="1"/>
  <c r="F172" i="1"/>
  <c r="I172" i="1" s="1"/>
  <c r="H151" i="1"/>
  <c r="C44" i="5" s="1"/>
  <c r="I71" i="1"/>
  <c r="E56" i="1"/>
  <c r="E59" i="1"/>
  <c r="I85" i="1"/>
  <c r="H10" i="1"/>
  <c r="H57" i="1"/>
  <c r="B35" i="5" s="1"/>
  <c r="H34" i="1"/>
  <c r="I56" i="1"/>
  <c r="H14" i="1"/>
  <c r="F75" i="1"/>
  <c r="I75" i="1" s="1"/>
  <c r="I57" i="1"/>
  <c r="I70" i="1"/>
  <c r="E144" i="1"/>
  <c r="H144" i="1" s="1"/>
  <c r="C35" i="5" s="1"/>
  <c r="I10" i="1"/>
  <c r="F60" i="1"/>
  <c r="I60" i="1" s="1"/>
  <c r="E62" i="1"/>
  <c r="H62" i="1" s="1"/>
  <c r="B42" i="5" s="1"/>
  <c r="E63" i="1"/>
  <c r="H25" i="1"/>
  <c r="E69" i="1"/>
  <c r="E71" i="1"/>
  <c r="H71" i="1" s="1"/>
  <c r="B49" i="5" s="1"/>
  <c r="DX135" i="5" s="1"/>
  <c r="H33" i="1"/>
  <c r="H35" i="1"/>
  <c r="E73" i="1"/>
  <c r="E75" i="1"/>
  <c r="H37" i="1"/>
  <c r="E85" i="1"/>
  <c r="H85" i="1" s="1"/>
  <c r="B40" i="5" s="1"/>
  <c r="H50" i="1"/>
  <c r="E60" i="1"/>
  <c r="E64" i="1"/>
  <c r="E72" i="1"/>
  <c r="E76" i="1"/>
  <c r="E149" i="1"/>
  <c r="H149" i="1" s="1"/>
  <c r="C42" i="5" s="1"/>
  <c r="H108" i="1"/>
  <c r="E172" i="1"/>
  <c r="I17" i="1"/>
  <c r="F61" i="1"/>
  <c r="I61" i="1" s="1"/>
  <c r="H104" i="1"/>
  <c r="E148" i="1"/>
  <c r="H148" i="1" s="1"/>
  <c r="C39" i="5" s="1"/>
  <c r="E156" i="1"/>
  <c r="H156" i="1" s="1"/>
  <c r="H122" i="1"/>
  <c r="E160" i="1"/>
  <c r="H160" i="1" s="1"/>
  <c r="C51" i="5" s="1"/>
  <c r="E163" i="1"/>
  <c r="H163" i="1" s="1"/>
  <c r="C54" i="5" s="1"/>
  <c r="E146" i="1"/>
  <c r="H100" i="1"/>
  <c r="E150" i="1"/>
  <c r="H112" i="1"/>
  <c r="E158" i="1"/>
  <c r="H158" i="1" s="1"/>
  <c r="C49" i="5" s="1"/>
  <c r="H120" i="1"/>
  <c r="E162" i="1"/>
  <c r="H124" i="1"/>
  <c r="E173" i="1"/>
  <c r="H173" i="1" s="1"/>
  <c r="C45" i="5" s="1"/>
  <c r="H17" i="1"/>
  <c r="E61" i="1"/>
  <c r="E70" i="1"/>
  <c r="H70" i="1" s="1"/>
  <c r="E74" i="1"/>
  <c r="H74" i="1" s="1"/>
  <c r="E77" i="1"/>
  <c r="E86" i="1"/>
  <c r="H86" i="1" s="1"/>
  <c r="B45" i="5" s="1"/>
  <c r="H51" i="1"/>
  <c r="F59" i="1"/>
  <c r="I59" i="1" s="1"/>
  <c r="E145" i="1"/>
  <c r="H97" i="1"/>
  <c r="E157" i="1"/>
  <c r="H157" i="1" s="1"/>
  <c r="E161" i="1"/>
  <c r="H161" i="1" s="1"/>
  <c r="C52" i="5" s="1"/>
  <c r="C138" i="5" s="1"/>
  <c r="H123" i="1"/>
  <c r="E164" i="1"/>
  <c r="H164" i="1" s="1"/>
  <c r="F64" i="1"/>
  <c r="I64" i="1" s="1"/>
  <c r="F72" i="1"/>
  <c r="I72" i="1" s="1"/>
  <c r="F76" i="1"/>
  <c r="I76" i="1" s="1"/>
  <c r="F69" i="1"/>
  <c r="I69" i="1" s="1"/>
  <c r="F73" i="1"/>
  <c r="I73" i="1" s="1"/>
  <c r="F77" i="1"/>
  <c r="I77" i="1" s="1"/>
  <c r="I50" i="1"/>
  <c r="CB40" i="4"/>
  <c r="T23" i="5" s="1"/>
  <c r="CB8" i="4"/>
  <c r="T7" i="5" s="1"/>
  <c r="CB45" i="4"/>
  <c r="T24" i="5" s="1"/>
  <c r="CB55" i="4"/>
  <c r="T28" i="5" s="1"/>
  <c r="CB13" i="4"/>
  <c r="T9" i="5" s="1"/>
  <c r="CB21" i="4"/>
  <c r="T12" i="5" s="1"/>
  <c r="CB25" i="4"/>
  <c r="T15" i="5" s="1"/>
  <c r="T14" i="5" s="1"/>
  <c r="CB31" i="4"/>
  <c r="T20" i="5" s="1"/>
  <c r="CB35" i="4"/>
  <c r="T21" i="5" s="1"/>
  <c r="ND99" i="4"/>
  <c r="CO17" i="5" s="1"/>
  <c r="NC99" i="4"/>
  <c r="ND98" i="4"/>
  <c r="CO16" i="5" s="1"/>
  <c r="NC98" i="4"/>
  <c r="NC97" i="4"/>
  <c r="NC96" i="4"/>
  <c r="NC95" i="4"/>
  <c r="NC94" i="4"/>
  <c r="NC93" i="4"/>
  <c r="NC92" i="4"/>
  <c r="NC91" i="4"/>
  <c r="NC90" i="4"/>
  <c r="NC89" i="4"/>
  <c r="NC88" i="4"/>
  <c r="NC87" i="4"/>
  <c r="NC86" i="4"/>
  <c r="NC85" i="4"/>
  <c r="NC84" i="4"/>
  <c r="NC83" i="4"/>
  <c r="NC82" i="4"/>
  <c r="NC81" i="4"/>
  <c r="NC80" i="4"/>
  <c r="NC79" i="4"/>
  <c r="NC58" i="4"/>
  <c r="ND61" i="4" s="1"/>
  <c r="CN26" i="5" s="1"/>
  <c r="NC57" i="4"/>
  <c r="NC56" i="4"/>
  <c r="NC55" i="4"/>
  <c r="NC54" i="4"/>
  <c r="NC53" i="4"/>
  <c r="NC52" i="4"/>
  <c r="NC51" i="4"/>
  <c r="ND51" i="4" s="1"/>
  <c r="NC50" i="4"/>
  <c r="ND50" i="4" s="1"/>
  <c r="NC49" i="4"/>
  <c r="ND49" i="4" s="1"/>
  <c r="NC48" i="4"/>
  <c r="ND48" i="4" s="1"/>
  <c r="NC47" i="4"/>
  <c r="ND47" i="4" s="1"/>
  <c r="NC46" i="4"/>
  <c r="ND46" i="4" s="1"/>
  <c r="NC45" i="4"/>
  <c r="ND45" i="4" s="1"/>
  <c r="NC44" i="4"/>
  <c r="NC43" i="4"/>
  <c r="NC42" i="4"/>
  <c r="NC41" i="4"/>
  <c r="ND27" i="4"/>
  <c r="CN17" i="5" s="1"/>
  <c r="NC27" i="4"/>
  <c r="CN16" i="5"/>
  <c r="NC25" i="4"/>
  <c r="NC24" i="4"/>
  <c r="NC23" i="4"/>
  <c r="NC22" i="4"/>
  <c r="NC21" i="4"/>
  <c r="NC20" i="4"/>
  <c r="NC19" i="4"/>
  <c r="NC18" i="4"/>
  <c r="NC17" i="4"/>
  <c r="NC16" i="4"/>
  <c r="NC15" i="4"/>
  <c r="NC14" i="4"/>
  <c r="NC13" i="4"/>
  <c r="NC12" i="4"/>
  <c r="NC11" i="4"/>
  <c r="NC10" i="4"/>
  <c r="NC9" i="4"/>
  <c r="NC8" i="4"/>
  <c r="NC7" i="4"/>
  <c r="MV119" i="4"/>
  <c r="CM18" i="5" s="1"/>
  <c r="MU119" i="4"/>
  <c r="MU118" i="4"/>
  <c r="MU117" i="4"/>
  <c r="MU116" i="4"/>
  <c r="MU115" i="4"/>
  <c r="MU114" i="4"/>
  <c r="MU113" i="4"/>
  <c r="MU112" i="4"/>
  <c r="MU111" i="4"/>
  <c r="MU110" i="4"/>
  <c r="MU109" i="4"/>
  <c r="MU108" i="4"/>
  <c r="MV107" i="4"/>
  <c r="CM25" i="5" s="1"/>
  <c r="CM80" i="5" s="1"/>
  <c r="MU107" i="4"/>
  <c r="MU106" i="4"/>
  <c r="MU105" i="4"/>
  <c r="MU104" i="4"/>
  <c r="MU103" i="4"/>
  <c r="MU102" i="4"/>
  <c r="MU101" i="4"/>
  <c r="MU100" i="4"/>
  <c r="MU99" i="4"/>
  <c r="MU98" i="4"/>
  <c r="MV97" i="4"/>
  <c r="CM22" i="5" s="1"/>
  <c r="CM77" i="5" s="1"/>
  <c r="MU97" i="4"/>
  <c r="MU96" i="4"/>
  <c r="MU95" i="4"/>
  <c r="MU94" i="4"/>
  <c r="MU93" i="4"/>
  <c r="MU92" i="4"/>
  <c r="MU91" i="4"/>
  <c r="MU90" i="4"/>
  <c r="MU89" i="4"/>
  <c r="MV88" i="4"/>
  <c r="CM17" i="5" s="1"/>
  <c r="MU88" i="4"/>
  <c r="MV87" i="4"/>
  <c r="CM16" i="5" s="1"/>
  <c r="CM71" i="5" s="1"/>
  <c r="MU87" i="4"/>
  <c r="MU86" i="4"/>
  <c r="MU85" i="4"/>
  <c r="MU84" i="4"/>
  <c r="MU83" i="4"/>
  <c r="MU82" i="4"/>
  <c r="MU81" i="4"/>
  <c r="MU80" i="4"/>
  <c r="MU79" i="4"/>
  <c r="MU78" i="4"/>
  <c r="MU77" i="4"/>
  <c r="MU76" i="4"/>
  <c r="MU75" i="4"/>
  <c r="MU74" i="4"/>
  <c r="MU73" i="4"/>
  <c r="MU72" i="4"/>
  <c r="MU71" i="4"/>
  <c r="MU70" i="4"/>
  <c r="MU69" i="4"/>
  <c r="MU68" i="4"/>
  <c r="CL18" i="5"/>
  <c r="MU57" i="4"/>
  <c r="MU56" i="4"/>
  <c r="MU55" i="4"/>
  <c r="MU54" i="4"/>
  <c r="MU53" i="4"/>
  <c r="MU52" i="4"/>
  <c r="MU51" i="4"/>
  <c r="MU50" i="4"/>
  <c r="MU49" i="4"/>
  <c r="MU48" i="4"/>
  <c r="MU47" i="4"/>
  <c r="MV46" i="4"/>
  <c r="CL25" i="5" s="1"/>
  <c r="MU46" i="4"/>
  <c r="MU45" i="4"/>
  <c r="MU44" i="4"/>
  <c r="MU43" i="4"/>
  <c r="MU42" i="4"/>
  <c r="MU41" i="4"/>
  <c r="MU40" i="4"/>
  <c r="MU39" i="4"/>
  <c r="MU38" i="4"/>
  <c r="MU37" i="4"/>
  <c r="MV36" i="4"/>
  <c r="CL22" i="5" s="1"/>
  <c r="MU36" i="4"/>
  <c r="MU35" i="4"/>
  <c r="MU34" i="4"/>
  <c r="MU33" i="4"/>
  <c r="MU32" i="4"/>
  <c r="MU31" i="4"/>
  <c r="MU30" i="4"/>
  <c r="MU29" i="4"/>
  <c r="MU28" i="4"/>
  <c r="MV27" i="4"/>
  <c r="CL17" i="5" s="1"/>
  <c r="MU27" i="4"/>
  <c r="MV26" i="4"/>
  <c r="CL16" i="5" s="1"/>
  <c r="MU26" i="4"/>
  <c r="MU25" i="4"/>
  <c r="MU24" i="4"/>
  <c r="MU23" i="4"/>
  <c r="MU22" i="4"/>
  <c r="MU21" i="4"/>
  <c r="MU20" i="4"/>
  <c r="MU19" i="4"/>
  <c r="MU18" i="4"/>
  <c r="MU17" i="4"/>
  <c r="MU16" i="4"/>
  <c r="MU15" i="4"/>
  <c r="MU14" i="4"/>
  <c r="MU13" i="4"/>
  <c r="MU12" i="4"/>
  <c r="MU11" i="4"/>
  <c r="MU10" i="4"/>
  <c r="MU9" i="4"/>
  <c r="MU8" i="4"/>
  <c r="MU7" i="4"/>
  <c r="MN119" i="4"/>
  <c r="CK18" i="5" s="1"/>
  <c r="MM119" i="4"/>
  <c r="MM118" i="4"/>
  <c r="MM117" i="4"/>
  <c r="MM116" i="4"/>
  <c r="MM115" i="4"/>
  <c r="MM114" i="4"/>
  <c r="MM113" i="4"/>
  <c r="MM112" i="4"/>
  <c r="MM111" i="4"/>
  <c r="MM110" i="4"/>
  <c r="MM109" i="4"/>
  <c r="MM108" i="4"/>
  <c r="MN107" i="4"/>
  <c r="CK25" i="5" s="1"/>
  <c r="MM107" i="4"/>
  <c r="MM106" i="4"/>
  <c r="MM105" i="4"/>
  <c r="MM104" i="4"/>
  <c r="MM103" i="4"/>
  <c r="MM102" i="4"/>
  <c r="MM101" i="4"/>
  <c r="MM100" i="4"/>
  <c r="MM99" i="4"/>
  <c r="MM98" i="4"/>
  <c r="MN97" i="4"/>
  <c r="CK22" i="5" s="1"/>
  <c r="MM97" i="4"/>
  <c r="MM96" i="4"/>
  <c r="MM95" i="4"/>
  <c r="MM94" i="4"/>
  <c r="MM93" i="4"/>
  <c r="MM92" i="4"/>
  <c r="MM91" i="4"/>
  <c r="MM90" i="4"/>
  <c r="MM89" i="4"/>
  <c r="MN88" i="4"/>
  <c r="CK17" i="5" s="1"/>
  <c r="MM88" i="4"/>
  <c r="MN87" i="4"/>
  <c r="CK16" i="5" s="1"/>
  <c r="MM87" i="4"/>
  <c r="MM86" i="4"/>
  <c r="MM85" i="4"/>
  <c r="MM84" i="4"/>
  <c r="MM83" i="4"/>
  <c r="MM82" i="4"/>
  <c r="MM81" i="4"/>
  <c r="MM80" i="4"/>
  <c r="MM79" i="4"/>
  <c r="MM78" i="4"/>
  <c r="MM77" i="4"/>
  <c r="MM76" i="4"/>
  <c r="MM75" i="4"/>
  <c r="MM74" i="4"/>
  <c r="MM73" i="4"/>
  <c r="MM72" i="4"/>
  <c r="MM71" i="4"/>
  <c r="MM70" i="4"/>
  <c r="MM69" i="4"/>
  <c r="MM68" i="4"/>
  <c r="MN58" i="4"/>
  <c r="CJ18" i="5" s="1"/>
  <c r="MM58" i="4"/>
  <c r="MM57" i="4"/>
  <c r="MM56" i="4"/>
  <c r="MM55" i="4"/>
  <c r="MM54" i="4"/>
  <c r="MM53" i="4"/>
  <c r="MM52" i="4"/>
  <c r="MM51" i="4"/>
  <c r="MM50" i="4"/>
  <c r="MM49" i="4"/>
  <c r="MM48" i="4"/>
  <c r="MM47" i="4"/>
  <c r="MN46" i="4"/>
  <c r="CJ25" i="5" s="1"/>
  <c r="MM46" i="4"/>
  <c r="MM45" i="4"/>
  <c r="MM44" i="4"/>
  <c r="MM43" i="4"/>
  <c r="MM42" i="4"/>
  <c r="MM41" i="4"/>
  <c r="MM40" i="4"/>
  <c r="MM39" i="4"/>
  <c r="MM38" i="4"/>
  <c r="MM37" i="4"/>
  <c r="MN36" i="4"/>
  <c r="CJ22" i="5" s="1"/>
  <c r="MM36" i="4"/>
  <c r="MM35" i="4"/>
  <c r="MM34" i="4"/>
  <c r="MM33" i="4"/>
  <c r="MM32" i="4"/>
  <c r="MM31" i="4"/>
  <c r="MM30" i="4"/>
  <c r="MM29" i="4"/>
  <c r="MM28" i="4"/>
  <c r="MN27" i="4"/>
  <c r="CJ17" i="5" s="1"/>
  <c r="MM27" i="4"/>
  <c r="MN26" i="4"/>
  <c r="CJ16" i="5" s="1"/>
  <c r="MM26" i="4"/>
  <c r="MM25" i="4"/>
  <c r="MM24" i="4"/>
  <c r="MM23" i="4"/>
  <c r="MM22" i="4"/>
  <c r="MM21" i="4"/>
  <c r="MM20" i="4"/>
  <c r="MM19" i="4"/>
  <c r="MM18" i="4"/>
  <c r="MM17" i="4"/>
  <c r="MM16" i="4"/>
  <c r="MM15" i="4"/>
  <c r="MM14" i="4"/>
  <c r="MM13" i="4"/>
  <c r="MM12" i="4"/>
  <c r="MM11" i="4"/>
  <c r="MM10" i="4"/>
  <c r="MM9" i="4"/>
  <c r="MM8" i="4"/>
  <c r="MM7" i="4"/>
  <c r="MF119" i="4"/>
  <c r="CI18" i="5" s="1"/>
  <c r="ME119" i="4"/>
  <c r="ME118" i="4"/>
  <c r="ME117" i="4"/>
  <c r="ME116" i="4"/>
  <c r="ME115" i="4"/>
  <c r="ME114" i="4"/>
  <c r="ME113" i="4"/>
  <c r="ME112" i="4"/>
  <c r="ME111" i="4"/>
  <c r="ME110" i="4"/>
  <c r="ME109" i="4"/>
  <c r="ME108" i="4"/>
  <c r="MF107" i="4"/>
  <c r="CI25" i="5" s="1"/>
  <c r="ME107" i="4"/>
  <c r="ME106" i="4"/>
  <c r="ME105" i="4"/>
  <c r="ME104" i="4"/>
  <c r="ME103" i="4"/>
  <c r="ME102" i="4"/>
  <c r="ME101" i="4"/>
  <c r="ME100" i="4"/>
  <c r="ME99" i="4"/>
  <c r="ME98" i="4"/>
  <c r="MF97" i="4"/>
  <c r="CI22" i="5" s="1"/>
  <c r="ME97" i="4"/>
  <c r="ME96" i="4"/>
  <c r="ME95" i="4"/>
  <c r="ME94" i="4"/>
  <c r="ME93" i="4"/>
  <c r="ME92" i="4"/>
  <c r="ME91" i="4"/>
  <c r="ME90" i="4"/>
  <c r="ME89" i="4"/>
  <c r="MF88" i="4"/>
  <c r="CI17" i="5" s="1"/>
  <c r="ME88" i="4"/>
  <c r="MF87" i="4"/>
  <c r="CI16" i="5" s="1"/>
  <c r="ME87" i="4"/>
  <c r="ME86" i="4"/>
  <c r="ME85" i="4"/>
  <c r="ME84" i="4"/>
  <c r="ME83" i="4"/>
  <c r="ME82" i="4"/>
  <c r="ME81" i="4"/>
  <c r="ME80" i="4"/>
  <c r="ME79" i="4"/>
  <c r="ME78" i="4"/>
  <c r="ME77" i="4"/>
  <c r="ME76" i="4"/>
  <c r="ME75" i="4"/>
  <c r="ME74" i="4"/>
  <c r="ME73" i="4"/>
  <c r="ME72" i="4"/>
  <c r="ME71" i="4"/>
  <c r="ME70" i="4"/>
  <c r="ME69" i="4"/>
  <c r="ME68" i="4"/>
  <c r="MF58" i="4"/>
  <c r="CH18" i="5" s="1"/>
  <c r="ME58" i="4"/>
  <c r="ME57" i="4"/>
  <c r="ME56" i="4"/>
  <c r="ME55" i="4"/>
  <c r="ME54" i="4"/>
  <c r="ME53" i="4"/>
  <c r="ME52" i="4"/>
  <c r="ME51" i="4"/>
  <c r="ME50" i="4"/>
  <c r="ME49" i="4"/>
  <c r="ME48" i="4"/>
  <c r="ME47" i="4"/>
  <c r="MF46" i="4"/>
  <c r="CH25" i="5" s="1"/>
  <c r="ME46" i="4"/>
  <c r="ME45" i="4"/>
  <c r="ME44" i="4"/>
  <c r="ME43" i="4"/>
  <c r="ME42" i="4"/>
  <c r="ME41" i="4"/>
  <c r="ME40" i="4"/>
  <c r="ME39" i="4"/>
  <c r="ME38" i="4"/>
  <c r="ME37" i="4"/>
  <c r="MF36" i="4"/>
  <c r="CH22" i="5" s="1"/>
  <c r="ME36" i="4"/>
  <c r="ME35" i="4"/>
  <c r="ME34" i="4"/>
  <c r="ME33" i="4"/>
  <c r="ME32" i="4"/>
  <c r="ME31" i="4"/>
  <c r="ME30" i="4"/>
  <c r="ME29" i="4"/>
  <c r="ME28" i="4"/>
  <c r="MF27" i="4"/>
  <c r="CH17" i="5" s="1"/>
  <c r="ME27" i="4"/>
  <c r="MF26" i="4"/>
  <c r="CH16" i="5" s="1"/>
  <c r="ME26" i="4"/>
  <c r="ME25" i="4"/>
  <c r="ME24" i="4"/>
  <c r="ME23" i="4"/>
  <c r="ME22" i="4"/>
  <c r="ME21" i="4"/>
  <c r="ME20" i="4"/>
  <c r="ME19" i="4"/>
  <c r="ME18" i="4"/>
  <c r="ME17" i="4"/>
  <c r="ME16" i="4"/>
  <c r="ME15" i="4"/>
  <c r="ME14" i="4"/>
  <c r="ME13" i="4"/>
  <c r="ME12" i="4"/>
  <c r="ME11" i="4"/>
  <c r="ME10" i="4"/>
  <c r="ME9" i="4"/>
  <c r="ME8" i="4"/>
  <c r="ME7" i="4"/>
  <c r="LX119" i="4"/>
  <c r="CG18" i="5" s="1"/>
  <c r="LW119" i="4"/>
  <c r="LW118" i="4"/>
  <c r="LW117" i="4"/>
  <c r="LW116" i="4"/>
  <c r="LW115" i="4"/>
  <c r="LW114" i="4"/>
  <c r="LW113" i="4"/>
  <c r="LW112" i="4"/>
  <c r="LW111" i="4"/>
  <c r="LW110" i="4"/>
  <c r="LW109" i="4"/>
  <c r="LW108" i="4"/>
  <c r="LX107" i="4"/>
  <c r="CG25" i="5" s="1"/>
  <c r="LW107" i="4"/>
  <c r="LW106" i="4"/>
  <c r="LW105" i="4"/>
  <c r="LW104" i="4"/>
  <c r="LW103" i="4"/>
  <c r="LW102" i="4"/>
  <c r="LW101" i="4"/>
  <c r="LW100" i="4"/>
  <c r="LW99" i="4"/>
  <c r="LW98" i="4"/>
  <c r="LX97" i="4"/>
  <c r="CG22" i="5" s="1"/>
  <c r="LW97" i="4"/>
  <c r="LW96" i="4"/>
  <c r="LW95" i="4"/>
  <c r="LW94" i="4"/>
  <c r="LW93" i="4"/>
  <c r="LW92" i="4"/>
  <c r="LW91" i="4"/>
  <c r="LW90" i="4"/>
  <c r="LW89" i="4"/>
  <c r="LX88" i="4"/>
  <c r="CG17" i="5" s="1"/>
  <c r="LW88" i="4"/>
  <c r="LX87" i="4"/>
  <c r="CG16" i="5" s="1"/>
  <c r="LW87" i="4"/>
  <c r="LW86" i="4"/>
  <c r="LW85" i="4"/>
  <c r="LW84" i="4"/>
  <c r="LW83" i="4"/>
  <c r="LW82" i="4"/>
  <c r="LW81" i="4"/>
  <c r="LW80" i="4"/>
  <c r="LW79" i="4"/>
  <c r="LW78" i="4"/>
  <c r="LW77" i="4"/>
  <c r="LW76" i="4"/>
  <c r="LW75" i="4"/>
  <c r="LW74" i="4"/>
  <c r="LW73" i="4"/>
  <c r="LW72" i="4"/>
  <c r="LW71" i="4"/>
  <c r="LW70" i="4"/>
  <c r="LW69" i="4"/>
  <c r="LW68" i="4"/>
  <c r="LX58" i="4"/>
  <c r="CF18" i="5" s="1"/>
  <c r="LW58" i="4"/>
  <c r="LW57" i="4"/>
  <c r="LW56" i="4"/>
  <c r="LW55" i="4"/>
  <c r="LW54" i="4"/>
  <c r="LW53" i="4"/>
  <c r="LW52" i="4"/>
  <c r="LW51" i="4"/>
  <c r="LW50" i="4"/>
  <c r="LW49" i="4"/>
  <c r="LW48" i="4"/>
  <c r="LW47" i="4"/>
  <c r="LX46" i="4"/>
  <c r="CF25" i="5" s="1"/>
  <c r="V83" i="36" s="1"/>
  <c r="LW46" i="4"/>
  <c r="LW45" i="4"/>
  <c r="LW44" i="4"/>
  <c r="LW43" i="4"/>
  <c r="LW42" i="4"/>
  <c r="LW41" i="4"/>
  <c r="LW40" i="4"/>
  <c r="LW39" i="4"/>
  <c r="LW38" i="4"/>
  <c r="LW37" i="4"/>
  <c r="LX36" i="4"/>
  <c r="CF22" i="5" s="1"/>
  <c r="V80" i="36" s="1"/>
  <c r="LW36" i="4"/>
  <c r="LW35" i="4"/>
  <c r="LW34" i="4"/>
  <c r="LW33" i="4"/>
  <c r="LW32" i="4"/>
  <c r="LW31" i="4"/>
  <c r="LW30" i="4"/>
  <c r="LW29" i="4"/>
  <c r="LW28" i="4"/>
  <c r="LX27" i="4"/>
  <c r="CF17" i="5" s="1"/>
  <c r="V75" i="36" s="1"/>
  <c r="LW27" i="4"/>
  <c r="LX26" i="4"/>
  <c r="CF16" i="5" s="1"/>
  <c r="V74" i="36" s="1"/>
  <c r="LW26" i="4"/>
  <c r="LW25" i="4"/>
  <c r="LW24" i="4"/>
  <c r="LW23" i="4"/>
  <c r="LW22" i="4"/>
  <c r="LW21" i="4"/>
  <c r="LW20" i="4"/>
  <c r="LW19" i="4"/>
  <c r="LW18" i="4"/>
  <c r="LW17" i="4"/>
  <c r="LW16" i="4"/>
  <c r="LW15" i="4"/>
  <c r="LW14" i="4"/>
  <c r="LW13" i="4"/>
  <c r="LW12" i="4"/>
  <c r="LW11" i="4"/>
  <c r="LW10" i="4"/>
  <c r="LW9" i="4"/>
  <c r="LW8" i="4"/>
  <c r="LW7" i="4"/>
  <c r="GJ119" i="4"/>
  <c r="AW18" i="5" s="1"/>
  <c r="GI119" i="4"/>
  <c r="GI118" i="4"/>
  <c r="GI117" i="4"/>
  <c r="GI116" i="4"/>
  <c r="GI115" i="4"/>
  <c r="GI114" i="4"/>
  <c r="GI113" i="4"/>
  <c r="GI112" i="4"/>
  <c r="GI111" i="4"/>
  <c r="GI110" i="4"/>
  <c r="GI109" i="4"/>
  <c r="GI108" i="4"/>
  <c r="GJ107" i="4"/>
  <c r="AW25" i="5" s="1"/>
  <c r="GI107" i="4"/>
  <c r="GI106" i="4"/>
  <c r="GI105" i="4"/>
  <c r="GI104" i="4"/>
  <c r="GI103" i="4"/>
  <c r="GI102" i="4"/>
  <c r="GI101" i="4"/>
  <c r="GI100" i="4"/>
  <c r="GI99" i="4"/>
  <c r="GI98" i="4"/>
  <c r="GJ97" i="4"/>
  <c r="AW22" i="5" s="1"/>
  <c r="GI97" i="4"/>
  <c r="GI96" i="4"/>
  <c r="GI95" i="4"/>
  <c r="GI94" i="4"/>
  <c r="GI93" i="4"/>
  <c r="GI92" i="4"/>
  <c r="GI91" i="4"/>
  <c r="GI90" i="4"/>
  <c r="GI89" i="4"/>
  <c r="GJ88" i="4"/>
  <c r="AW17" i="5" s="1"/>
  <c r="GI88" i="4"/>
  <c r="GJ87" i="4"/>
  <c r="AW16" i="5" s="1"/>
  <c r="GI87" i="4"/>
  <c r="GI86" i="4"/>
  <c r="GI85" i="4"/>
  <c r="GI84" i="4"/>
  <c r="GI83" i="4"/>
  <c r="GI82" i="4"/>
  <c r="GI81" i="4"/>
  <c r="GI80" i="4"/>
  <c r="GI79" i="4"/>
  <c r="GI78" i="4"/>
  <c r="GI77" i="4"/>
  <c r="GI76" i="4"/>
  <c r="GI75" i="4"/>
  <c r="GI74" i="4"/>
  <c r="GI73" i="4"/>
  <c r="GI72" i="4"/>
  <c r="GI71" i="4"/>
  <c r="GI70" i="4"/>
  <c r="GI69" i="4"/>
  <c r="GI68" i="4"/>
  <c r="GJ58" i="4"/>
  <c r="AV18" i="5" s="1"/>
  <c r="GI58" i="4"/>
  <c r="GI57" i="4"/>
  <c r="GI56" i="4"/>
  <c r="GI55" i="4"/>
  <c r="GI54" i="4"/>
  <c r="GI53" i="4"/>
  <c r="GI52" i="4"/>
  <c r="GI51" i="4"/>
  <c r="GI50" i="4"/>
  <c r="GI49" i="4"/>
  <c r="GI48" i="4"/>
  <c r="GI47" i="4"/>
  <c r="GJ46" i="4"/>
  <c r="AV25" i="5" s="1"/>
  <c r="GI46" i="4"/>
  <c r="GI45" i="4"/>
  <c r="GI44" i="4"/>
  <c r="GI43" i="4"/>
  <c r="GI42" i="4"/>
  <c r="GI41" i="4"/>
  <c r="GI40" i="4"/>
  <c r="GI39" i="4"/>
  <c r="GI38" i="4"/>
  <c r="GI37" i="4"/>
  <c r="GJ36" i="4"/>
  <c r="AV22" i="5" s="1"/>
  <c r="GI36" i="4"/>
  <c r="GI35" i="4"/>
  <c r="GI34" i="4"/>
  <c r="GI33" i="4"/>
  <c r="GI32" i="4"/>
  <c r="GI31" i="4"/>
  <c r="GI30" i="4"/>
  <c r="GI29" i="4"/>
  <c r="GI28" i="4"/>
  <c r="GJ27" i="4"/>
  <c r="AV17" i="5" s="1"/>
  <c r="GI27" i="4"/>
  <c r="GJ26" i="4"/>
  <c r="AV16" i="5" s="1"/>
  <c r="GI26" i="4"/>
  <c r="GI25" i="4"/>
  <c r="GI24" i="4"/>
  <c r="GI23" i="4"/>
  <c r="GI22" i="4"/>
  <c r="GI21" i="4"/>
  <c r="GI20" i="4"/>
  <c r="GI19" i="4"/>
  <c r="GI18" i="4"/>
  <c r="GI17" i="4"/>
  <c r="GI16" i="4"/>
  <c r="GJ17" i="4" s="1"/>
  <c r="AV11" i="5" s="1"/>
  <c r="GI15" i="4"/>
  <c r="GI14" i="4"/>
  <c r="GI13" i="4"/>
  <c r="GI12" i="4"/>
  <c r="GI11" i="4"/>
  <c r="GI10" i="4"/>
  <c r="GI9" i="4"/>
  <c r="GI8" i="4"/>
  <c r="GI7" i="4"/>
  <c r="GB119" i="4"/>
  <c r="AU18" i="5" s="1"/>
  <c r="GA119" i="4"/>
  <c r="GA118" i="4"/>
  <c r="GA117" i="4"/>
  <c r="GA116" i="4"/>
  <c r="GA115" i="4"/>
  <c r="GA114" i="4"/>
  <c r="GA113" i="4"/>
  <c r="GA112" i="4"/>
  <c r="GA111" i="4"/>
  <c r="GA110" i="4"/>
  <c r="GA109" i="4"/>
  <c r="GA108" i="4"/>
  <c r="GB107" i="4"/>
  <c r="AU25" i="5" s="1"/>
  <c r="GA107" i="4"/>
  <c r="GA106" i="4"/>
  <c r="GA105" i="4"/>
  <c r="GA104" i="4"/>
  <c r="GA103" i="4"/>
  <c r="GA102" i="4"/>
  <c r="GA101" i="4"/>
  <c r="GA100" i="4"/>
  <c r="GA99" i="4"/>
  <c r="GA98" i="4"/>
  <c r="GB97" i="4"/>
  <c r="AU22" i="5" s="1"/>
  <c r="GA97" i="4"/>
  <c r="GA96" i="4"/>
  <c r="GA95" i="4"/>
  <c r="GA94" i="4"/>
  <c r="GA93" i="4"/>
  <c r="GA92" i="4"/>
  <c r="GA91" i="4"/>
  <c r="GA90" i="4"/>
  <c r="GA89" i="4"/>
  <c r="GB88" i="4"/>
  <c r="AU17" i="5" s="1"/>
  <c r="GA88" i="4"/>
  <c r="GB87" i="4"/>
  <c r="AU16" i="5" s="1"/>
  <c r="GA87" i="4"/>
  <c r="GA86" i="4"/>
  <c r="GA85" i="4"/>
  <c r="GA84" i="4"/>
  <c r="GA83" i="4"/>
  <c r="GA82" i="4"/>
  <c r="GA81" i="4"/>
  <c r="GA80" i="4"/>
  <c r="GA79" i="4"/>
  <c r="GA78" i="4"/>
  <c r="GA77" i="4"/>
  <c r="GA76" i="4"/>
  <c r="GA75" i="4"/>
  <c r="GA74" i="4"/>
  <c r="GA73" i="4"/>
  <c r="GA72" i="4"/>
  <c r="GA71" i="4"/>
  <c r="GA70" i="4"/>
  <c r="GA69" i="4"/>
  <c r="GA68" i="4"/>
  <c r="GB58" i="4"/>
  <c r="AT18" i="5" s="1"/>
  <c r="GA58" i="4"/>
  <c r="GA57" i="4"/>
  <c r="GA56" i="4"/>
  <c r="GA55" i="4"/>
  <c r="GA54" i="4"/>
  <c r="GA53" i="4"/>
  <c r="GA52" i="4"/>
  <c r="GA51" i="4"/>
  <c r="GA50" i="4"/>
  <c r="GA49" i="4"/>
  <c r="GA48" i="4"/>
  <c r="GA47" i="4"/>
  <c r="GB46" i="4"/>
  <c r="AT25" i="5" s="1"/>
  <c r="GA46" i="4"/>
  <c r="GA45" i="4"/>
  <c r="GA44" i="4"/>
  <c r="GA43" i="4"/>
  <c r="GA42" i="4"/>
  <c r="GA41" i="4"/>
  <c r="GA40" i="4"/>
  <c r="GA39" i="4"/>
  <c r="GA38" i="4"/>
  <c r="GA37" i="4"/>
  <c r="GB36" i="4"/>
  <c r="AT22" i="5" s="1"/>
  <c r="GA36" i="4"/>
  <c r="GA35" i="4"/>
  <c r="GA34" i="4"/>
  <c r="GA33" i="4"/>
  <c r="GA32" i="4"/>
  <c r="GA31" i="4"/>
  <c r="GA30" i="4"/>
  <c r="GA29" i="4"/>
  <c r="GA28" i="4"/>
  <c r="GB27" i="4"/>
  <c r="AT17" i="5" s="1"/>
  <c r="GA27" i="4"/>
  <c r="GB26" i="4"/>
  <c r="AT16" i="5" s="1"/>
  <c r="GA26" i="4"/>
  <c r="GA25" i="4"/>
  <c r="GA24" i="4"/>
  <c r="GA23" i="4"/>
  <c r="GA22" i="4"/>
  <c r="GA21" i="4"/>
  <c r="GA20" i="4"/>
  <c r="GA19" i="4"/>
  <c r="GA18" i="4"/>
  <c r="GA17" i="4"/>
  <c r="GA16" i="4"/>
  <c r="GA15" i="4"/>
  <c r="GA14" i="4"/>
  <c r="GA13" i="4"/>
  <c r="GA12" i="4"/>
  <c r="GA11" i="4"/>
  <c r="GA10" i="4"/>
  <c r="GA9" i="4"/>
  <c r="GA8" i="4"/>
  <c r="GA7" i="4"/>
  <c r="FT119" i="4"/>
  <c r="AS18" i="5" s="1"/>
  <c r="FS119" i="4"/>
  <c r="FS118" i="4"/>
  <c r="FS117" i="4"/>
  <c r="FS116" i="4"/>
  <c r="FS115" i="4"/>
  <c r="FS114" i="4"/>
  <c r="FS113" i="4"/>
  <c r="FS112" i="4"/>
  <c r="FS111" i="4"/>
  <c r="FS110" i="4"/>
  <c r="FS109" i="4"/>
  <c r="FS108" i="4"/>
  <c r="FT107" i="4"/>
  <c r="AS25" i="5" s="1"/>
  <c r="FS107" i="4"/>
  <c r="FS106" i="4"/>
  <c r="FS105" i="4"/>
  <c r="FS104" i="4"/>
  <c r="FS103" i="4"/>
  <c r="FS102" i="4"/>
  <c r="FS101" i="4"/>
  <c r="FS100" i="4"/>
  <c r="FS99" i="4"/>
  <c r="FS98" i="4"/>
  <c r="FT97" i="4"/>
  <c r="AS22" i="5" s="1"/>
  <c r="FS97" i="4"/>
  <c r="FS96" i="4"/>
  <c r="FS95" i="4"/>
  <c r="FS94" i="4"/>
  <c r="FS93" i="4"/>
  <c r="FS92" i="4"/>
  <c r="FS91" i="4"/>
  <c r="FS90" i="4"/>
  <c r="FS89" i="4"/>
  <c r="FT88" i="4"/>
  <c r="AS17" i="5" s="1"/>
  <c r="FS88" i="4"/>
  <c r="FT87" i="4"/>
  <c r="AS16" i="5" s="1"/>
  <c r="FS87" i="4"/>
  <c r="FS86" i="4"/>
  <c r="FS85" i="4"/>
  <c r="FS84" i="4"/>
  <c r="FS83" i="4"/>
  <c r="FS82" i="4"/>
  <c r="FS81" i="4"/>
  <c r="FS80" i="4"/>
  <c r="FS79" i="4"/>
  <c r="FS78" i="4"/>
  <c r="FS77" i="4"/>
  <c r="FS76" i="4"/>
  <c r="FS75" i="4"/>
  <c r="FS74" i="4"/>
  <c r="FS73" i="4"/>
  <c r="FS72" i="4"/>
  <c r="FS71" i="4"/>
  <c r="FS70" i="4"/>
  <c r="FS69" i="4"/>
  <c r="FS68" i="4"/>
  <c r="FT58" i="4"/>
  <c r="AR18" i="5" s="1"/>
  <c r="FS58" i="4"/>
  <c r="FS57" i="4"/>
  <c r="FS56" i="4"/>
  <c r="FS55" i="4"/>
  <c r="FS54" i="4"/>
  <c r="FS53" i="4"/>
  <c r="FS52" i="4"/>
  <c r="FS51" i="4"/>
  <c r="FS50" i="4"/>
  <c r="FS49" i="4"/>
  <c r="FS48" i="4"/>
  <c r="FS47" i="4"/>
  <c r="FT46" i="4"/>
  <c r="AR25" i="5" s="1"/>
  <c r="FS46" i="4"/>
  <c r="FS45" i="4"/>
  <c r="FS44" i="4"/>
  <c r="FS43" i="4"/>
  <c r="FS42" i="4"/>
  <c r="FS41" i="4"/>
  <c r="FS40" i="4"/>
  <c r="FS39" i="4"/>
  <c r="FS38" i="4"/>
  <c r="FS37" i="4"/>
  <c r="FT36" i="4"/>
  <c r="AR22" i="5" s="1"/>
  <c r="FS36" i="4"/>
  <c r="FS35" i="4"/>
  <c r="FS34" i="4"/>
  <c r="FS33" i="4"/>
  <c r="FS32" i="4"/>
  <c r="FS31" i="4"/>
  <c r="FS30" i="4"/>
  <c r="FS29" i="4"/>
  <c r="FS28" i="4"/>
  <c r="FT27" i="4"/>
  <c r="AR17" i="5" s="1"/>
  <c r="FS27" i="4"/>
  <c r="FT26" i="4"/>
  <c r="AR16" i="5" s="1"/>
  <c r="FS26" i="4"/>
  <c r="FS25" i="4"/>
  <c r="FS24" i="4"/>
  <c r="FS23" i="4"/>
  <c r="FS22" i="4"/>
  <c r="FS21" i="4"/>
  <c r="FS20" i="4"/>
  <c r="FS19" i="4"/>
  <c r="FS18" i="4"/>
  <c r="FS17" i="4"/>
  <c r="FS16" i="4"/>
  <c r="FS15" i="4"/>
  <c r="FS14" i="4"/>
  <c r="FS13" i="4"/>
  <c r="FS12" i="4"/>
  <c r="FS11" i="4"/>
  <c r="FS10" i="4"/>
  <c r="FS9" i="4"/>
  <c r="FS8" i="4"/>
  <c r="FS7" i="4"/>
  <c r="FL119" i="4"/>
  <c r="AQ18" i="5" s="1"/>
  <c r="FK119" i="4"/>
  <c r="FK118" i="4"/>
  <c r="FK117" i="4"/>
  <c r="FK116" i="4"/>
  <c r="FK115" i="4"/>
  <c r="FK114" i="4"/>
  <c r="FK113" i="4"/>
  <c r="FK112" i="4"/>
  <c r="FK111" i="4"/>
  <c r="FK110" i="4"/>
  <c r="FK109" i="4"/>
  <c r="FK108" i="4"/>
  <c r="FL107" i="4"/>
  <c r="AQ25" i="5" s="1"/>
  <c r="FK107" i="4"/>
  <c r="FK106" i="4"/>
  <c r="FK105" i="4"/>
  <c r="FK104" i="4"/>
  <c r="FK103" i="4"/>
  <c r="FK102" i="4"/>
  <c r="FK101" i="4"/>
  <c r="FK100" i="4"/>
  <c r="FK99" i="4"/>
  <c r="FK98" i="4"/>
  <c r="FL97" i="4"/>
  <c r="AQ22" i="5" s="1"/>
  <c r="FK97" i="4"/>
  <c r="FK96" i="4"/>
  <c r="FK95" i="4"/>
  <c r="FK94" i="4"/>
  <c r="FK93" i="4"/>
  <c r="FK92" i="4"/>
  <c r="FK91" i="4"/>
  <c r="FK90" i="4"/>
  <c r="FK89" i="4"/>
  <c r="FL88" i="4"/>
  <c r="AQ17" i="5" s="1"/>
  <c r="FK88" i="4"/>
  <c r="FL87" i="4"/>
  <c r="AQ16" i="5" s="1"/>
  <c r="FK87" i="4"/>
  <c r="FK86" i="4"/>
  <c r="FK85" i="4"/>
  <c r="FK84" i="4"/>
  <c r="FK83" i="4"/>
  <c r="FK82" i="4"/>
  <c r="FK81" i="4"/>
  <c r="FK80" i="4"/>
  <c r="FK79" i="4"/>
  <c r="FK78" i="4"/>
  <c r="FK77" i="4"/>
  <c r="FK76" i="4"/>
  <c r="FK75" i="4"/>
  <c r="FK74" i="4"/>
  <c r="FK73" i="4"/>
  <c r="FK72" i="4"/>
  <c r="FK71" i="4"/>
  <c r="FK70" i="4"/>
  <c r="FK69" i="4"/>
  <c r="FK68" i="4"/>
  <c r="FL58" i="4"/>
  <c r="AP18" i="5" s="1"/>
  <c r="FK58" i="4"/>
  <c r="FK57" i="4"/>
  <c r="FK56" i="4"/>
  <c r="FK55" i="4"/>
  <c r="FK54" i="4"/>
  <c r="FK53" i="4"/>
  <c r="FK52" i="4"/>
  <c r="FK51" i="4"/>
  <c r="FK50" i="4"/>
  <c r="FK49" i="4"/>
  <c r="FK48" i="4"/>
  <c r="FK47" i="4"/>
  <c r="FL46" i="4"/>
  <c r="AP25" i="5" s="1"/>
  <c r="FK46" i="4"/>
  <c r="FK45" i="4"/>
  <c r="FK44" i="4"/>
  <c r="FK43" i="4"/>
  <c r="FK42" i="4"/>
  <c r="FK41" i="4"/>
  <c r="FK40" i="4"/>
  <c r="FK39" i="4"/>
  <c r="FK38" i="4"/>
  <c r="FK37" i="4"/>
  <c r="FL36" i="4"/>
  <c r="AP22" i="5" s="1"/>
  <c r="FK36" i="4"/>
  <c r="FK35" i="4"/>
  <c r="FK34" i="4"/>
  <c r="FK33" i="4"/>
  <c r="FK32" i="4"/>
  <c r="FK31" i="4"/>
  <c r="FK30" i="4"/>
  <c r="FK29" i="4"/>
  <c r="FK28" i="4"/>
  <c r="FL27" i="4"/>
  <c r="AP17" i="5" s="1"/>
  <c r="FK27" i="4"/>
  <c r="FL26" i="4"/>
  <c r="AP16" i="5" s="1"/>
  <c r="FK26" i="4"/>
  <c r="FK25" i="4"/>
  <c r="FK24" i="4"/>
  <c r="FK23" i="4"/>
  <c r="FK22" i="4"/>
  <c r="FK21" i="4"/>
  <c r="FK20" i="4"/>
  <c r="FK19" i="4"/>
  <c r="FK18" i="4"/>
  <c r="FK17" i="4"/>
  <c r="FK16" i="4"/>
  <c r="FK15" i="4"/>
  <c r="FK14" i="4"/>
  <c r="FK13" i="4"/>
  <c r="FK12" i="4"/>
  <c r="FK11" i="4"/>
  <c r="FK10" i="4"/>
  <c r="FK9" i="4"/>
  <c r="FK8" i="4"/>
  <c r="FK7" i="4"/>
  <c r="FD119" i="4"/>
  <c r="AO18" i="5" s="1"/>
  <c r="FC119" i="4"/>
  <c r="FC118" i="4"/>
  <c r="FC117" i="4"/>
  <c r="FC116" i="4"/>
  <c r="FC115" i="4"/>
  <c r="FC114" i="4"/>
  <c r="FC113" i="4"/>
  <c r="FC112" i="4"/>
  <c r="FC111" i="4"/>
  <c r="FC110" i="4"/>
  <c r="FC109" i="4"/>
  <c r="FC108" i="4"/>
  <c r="FD107" i="4"/>
  <c r="AO25" i="5" s="1"/>
  <c r="FC107" i="4"/>
  <c r="FC106" i="4"/>
  <c r="FC105" i="4"/>
  <c r="FC104" i="4"/>
  <c r="FC103" i="4"/>
  <c r="FC102" i="4"/>
  <c r="FC101" i="4"/>
  <c r="FC100" i="4"/>
  <c r="FC99" i="4"/>
  <c r="FC98" i="4"/>
  <c r="FD97" i="4"/>
  <c r="AO22" i="5" s="1"/>
  <c r="FC97" i="4"/>
  <c r="FC96" i="4"/>
  <c r="FC95" i="4"/>
  <c r="FC94" i="4"/>
  <c r="FC93" i="4"/>
  <c r="FC92" i="4"/>
  <c r="FC91" i="4"/>
  <c r="FC90" i="4"/>
  <c r="FC89" i="4"/>
  <c r="FD88" i="4"/>
  <c r="AO17" i="5" s="1"/>
  <c r="FC88" i="4"/>
  <c r="FD87" i="4"/>
  <c r="AO16" i="5" s="1"/>
  <c r="FC87" i="4"/>
  <c r="FC86" i="4"/>
  <c r="FC85" i="4"/>
  <c r="FC84" i="4"/>
  <c r="FC83" i="4"/>
  <c r="FC82" i="4"/>
  <c r="FC81" i="4"/>
  <c r="FC80" i="4"/>
  <c r="FC79" i="4"/>
  <c r="FC78" i="4"/>
  <c r="FC77" i="4"/>
  <c r="FC76" i="4"/>
  <c r="FC75" i="4"/>
  <c r="FC74" i="4"/>
  <c r="FC73" i="4"/>
  <c r="FC72" i="4"/>
  <c r="FC71" i="4"/>
  <c r="FC70" i="4"/>
  <c r="FC69" i="4"/>
  <c r="FC68" i="4"/>
  <c r="FD58" i="4"/>
  <c r="AN18" i="5" s="1"/>
  <c r="FC58" i="4"/>
  <c r="FC57" i="4"/>
  <c r="FC56" i="4"/>
  <c r="FC55" i="4"/>
  <c r="FC54" i="4"/>
  <c r="FC53" i="4"/>
  <c r="FC52" i="4"/>
  <c r="FC51" i="4"/>
  <c r="FC50" i="4"/>
  <c r="FC49" i="4"/>
  <c r="FC48" i="4"/>
  <c r="FC47" i="4"/>
  <c r="FD46" i="4"/>
  <c r="AN25" i="5" s="1"/>
  <c r="FC46" i="4"/>
  <c r="FC45" i="4"/>
  <c r="FC44" i="4"/>
  <c r="FC43" i="4"/>
  <c r="FC42" i="4"/>
  <c r="FC41" i="4"/>
  <c r="FC40" i="4"/>
  <c r="FC39" i="4"/>
  <c r="FC38" i="4"/>
  <c r="FC37" i="4"/>
  <c r="FD36" i="4"/>
  <c r="AN22" i="5" s="1"/>
  <c r="FC36" i="4"/>
  <c r="FC35" i="4"/>
  <c r="FC34" i="4"/>
  <c r="FC33" i="4"/>
  <c r="FC32" i="4"/>
  <c r="FC31" i="4"/>
  <c r="FC30" i="4"/>
  <c r="FC29" i="4"/>
  <c r="FC28" i="4"/>
  <c r="FD27" i="4"/>
  <c r="AN17" i="5" s="1"/>
  <c r="FC27" i="4"/>
  <c r="FD26" i="4"/>
  <c r="AN16" i="5" s="1"/>
  <c r="FC26" i="4"/>
  <c r="FC25" i="4"/>
  <c r="FC24" i="4"/>
  <c r="FC23" i="4"/>
  <c r="FC22" i="4"/>
  <c r="FC21" i="4"/>
  <c r="FC20" i="4"/>
  <c r="FC19" i="4"/>
  <c r="FC18" i="4"/>
  <c r="FC17" i="4"/>
  <c r="FC16" i="4"/>
  <c r="FC15" i="4"/>
  <c r="FC14" i="4"/>
  <c r="FC13" i="4"/>
  <c r="FC12" i="4"/>
  <c r="FC11" i="4"/>
  <c r="FC10" i="4"/>
  <c r="FC9" i="4"/>
  <c r="FC8" i="4"/>
  <c r="FC7" i="4"/>
  <c r="EV119" i="4"/>
  <c r="AM18" i="5" s="1"/>
  <c r="EU119" i="4"/>
  <c r="EU118" i="4"/>
  <c r="EU117" i="4"/>
  <c r="EU116" i="4"/>
  <c r="EU115" i="4"/>
  <c r="EU114" i="4"/>
  <c r="EU113" i="4"/>
  <c r="EU112" i="4"/>
  <c r="EU111" i="4"/>
  <c r="EU110" i="4"/>
  <c r="EU109" i="4"/>
  <c r="EU108" i="4"/>
  <c r="EV107" i="4"/>
  <c r="AM25" i="5" s="1"/>
  <c r="EU107" i="4"/>
  <c r="EU106" i="4"/>
  <c r="EU105" i="4"/>
  <c r="EU104" i="4"/>
  <c r="EU103" i="4"/>
  <c r="EU102" i="4"/>
  <c r="EU101" i="4"/>
  <c r="EU100" i="4"/>
  <c r="EU99" i="4"/>
  <c r="EU98" i="4"/>
  <c r="EV97" i="4"/>
  <c r="AM22" i="5" s="1"/>
  <c r="EU97" i="4"/>
  <c r="EU96" i="4"/>
  <c r="EU95" i="4"/>
  <c r="EU94" i="4"/>
  <c r="EU93" i="4"/>
  <c r="EU92" i="4"/>
  <c r="EU91" i="4"/>
  <c r="EU90" i="4"/>
  <c r="EU89" i="4"/>
  <c r="EV88" i="4"/>
  <c r="AM17" i="5" s="1"/>
  <c r="EU88" i="4"/>
  <c r="EV87" i="4"/>
  <c r="AM16" i="5" s="1"/>
  <c r="EU87" i="4"/>
  <c r="EU86" i="4"/>
  <c r="EU85" i="4"/>
  <c r="EU84" i="4"/>
  <c r="EU83" i="4"/>
  <c r="EU82" i="4"/>
  <c r="EU81" i="4"/>
  <c r="EU80" i="4"/>
  <c r="EU79" i="4"/>
  <c r="EU78" i="4"/>
  <c r="EU77" i="4"/>
  <c r="EU76" i="4"/>
  <c r="EU75" i="4"/>
  <c r="EU74" i="4"/>
  <c r="EU73" i="4"/>
  <c r="EU72" i="4"/>
  <c r="EU71" i="4"/>
  <c r="EU70" i="4"/>
  <c r="EU69" i="4"/>
  <c r="EU68" i="4"/>
  <c r="EV58" i="4"/>
  <c r="AL18" i="5" s="1"/>
  <c r="EU58" i="4"/>
  <c r="EU57" i="4"/>
  <c r="EU56" i="4"/>
  <c r="EU55" i="4"/>
  <c r="EU54" i="4"/>
  <c r="EU53" i="4"/>
  <c r="EU52" i="4"/>
  <c r="EU51" i="4"/>
  <c r="EU50" i="4"/>
  <c r="EU49" i="4"/>
  <c r="EU48" i="4"/>
  <c r="EU47" i="4"/>
  <c r="EV46" i="4"/>
  <c r="AL25" i="5" s="1"/>
  <c r="EU46" i="4"/>
  <c r="EU45" i="4"/>
  <c r="EU44" i="4"/>
  <c r="EU43" i="4"/>
  <c r="EU42" i="4"/>
  <c r="EU41" i="4"/>
  <c r="EU40" i="4"/>
  <c r="EU39" i="4"/>
  <c r="EU38" i="4"/>
  <c r="EU37" i="4"/>
  <c r="EV36" i="4"/>
  <c r="AL22" i="5" s="1"/>
  <c r="EU36" i="4"/>
  <c r="EU35" i="4"/>
  <c r="EU34" i="4"/>
  <c r="EU33" i="4"/>
  <c r="EU32" i="4"/>
  <c r="EU31" i="4"/>
  <c r="EU30" i="4"/>
  <c r="EU29" i="4"/>
  <c r="EU28" i="4"/>
  <c r="EV27" i="4"/>
  <c r="AL17" i="5" s="1"/>
  <c r="EU27" i="4"/>
  <c r="EV26" i="4"/>
  <c r="AL16" i="5" s="1"/>
  <c r="EU26" i="4"/>
  <c r="EU25" i="4"/>
  <c r="EU24" i="4"/>
  <c r="EU23" i="4"/>
  <c r="EU22" i="4"/>
  <c r="EU21" i="4"/>
  <c r="EU20" i="4"/>
  <c r="EU19" i="4"/>
  <c r="EU18" i="4"/>
  <c r="EU17" i="4"/>
  <c r="EU16" i="4"/>
  <c r="EU15" i="4"/>
  <c r="EU14" i="4"/>
  <c r="EU13" i="4"/>
  <c r="EU12" i="4"/>
  <c r="EU11" i="4"/>
  <c r="EU10" i="4"/>
  <c r="EU9" i="4"/>
  <c r="EU8" i="4"/>
  <c r="EU7" i="4"/>
  <c r="EN119" i="4"/>
  <c r="AK18" i="5" s="1"/>
  <c r="EM119" i="4"/>
  <c r="EM118" i="4"/>
  <c r="EM117" i="4"/>
  <c r="EM116" i="4"/>
  <c r="EM115" i="4"/>
  <c r="EM114" i="4"/>
  <c r="EM113" i="4"/>
  <c r="EM112" i="4"/>
  <c r="EM111" i="4"/>
  <c r="EM110" i="4"/>
  <c r="EM109" i="4"/>
  <c r="EM108" i="4"/>
  <c r="EN107" i="4"/>
  <c r="AK25" i="5" s="1"/>
  <c r="EM107" i="4"/>
  <c r="EM106" i="4"/>
  <c r="EM105" i="4"/>
  <c r="EM104" i="4"/>
  <c r="EM103" i="4"/>
  <c r="EM102" i="4"/>
  <c r="EM101" i="4"/>
  <c r="EM100" i="4"/>
  <c r="EM99" i="4"/>
  <c r="EM98" i="4"/>
  <c r="EN97" i="4"/>
  <c r="AK22" i="5" s="1"/>
  <c r="EM97" i="4"/>
  <c r="EM96" i="4"/>
  <c r="EM95" i="4"/>
  <c r="EM94" i="4"/>
  <c r="EM93" i="4"/>
  <c r="EM92" i="4"/>
  <c r="EM91" i="4"/>
  <c r="EM90" i="4"/>
  <c r="EM89" i="4"/>
  <c r="EN88" i="4"/>
  <c r="AK17" i="5" s="1"/>
  <c r="EM88" i="4"/>
  <c r="EN87" i="4"/>
  <c r="AK16" i="5" s="1"/>
  <c r="EM87" i="4"/>
  <c r="EM86" i="4"/>
  <c r="EM85" i="4"/>
  <c r="EM84" i="4"/>
  <c r="EM83" i="4"/>
  <c r="EM82" i="4"/>
  <c r="EM81" i="4"/>
  <c r="EM80" i="4"/>
  <c r="EM79" i="4"/>
  <c r="EM78" i="4"/>
  <c r="EM77" i="4"/>
  <c r="EM76" i="4"/>
  <c r="EM75" i="4"/>
  <c r="EM74" i="4"/>
  <c r="EM73" i="4"/>
  <c r="EM72" i="4"/>
  <c r="EM71" i="4"/>
  <c r="EM70" i="4"/>
  <c r="EM69" i="4"/>
  <c r="EM68" i="4"/>
  <c r="EN58" i="4"/>
  <c r="AJ18" i="5" s="1"/>
  <c r="EM58" i="4"/>
  <c r="EM57" i="4"/>
  <c r="EM56" i="4"/>
  <c r="EM55" i="4"/>
  <c r="EM54" i="4"/>
  <c r="EM53" i="4"/>
  <c r="EM52" i="4"/>
  <c r="EM51" i="4"/>
  <c r="EM50" i="4"/>
  <c r="EM49" i="4"/>
  <c r="EM48" i="4"/>
  <c r="EM47" i="4"/>
  <c r="EN46" i="4"/>
  <c r="AJ25" i="5" s="1"/>
  <c r="EM46" i="4"/>
  <c r="EM45" i="4"/>
  <c r="EM44" i="4"/>
  <c r="EM43" i="4"/>
  <c r="EM42" i="4"/>
  <c r="EM41" i="4"/>
  <c r="EM40" i="4"/>
  <c r="EM39" i="4"/>
  <c r="EM38" i="4"/>
  <c r="EM37" i="4"/>
  <c r="EN36" i="4"/>
  <c r="AJ22" i="5" s="1"/>
  <c r="EM36" i="4"/>
  <c r="EM35" i="4"/>
  <c r="EM34" i="4"/>
  <c r="EM33" i="4"/>
  <c r="EM32" i="4"/>
  <c r="EM31" i="4"/>
  <c r="EM30" i="4"/>
  <c r="EM29" i="4"/>
  <c r="EM28" i="4"/>
  <c r="EN27" i="4"/>
  <c r="AJ17" i="5" s="1"/>
  <c r="EM27" i="4"/>
  <c r="EN26" i="4"/>
  <c r="AJ16" i="5" s="1"/>
  <c r="EM26" i="4"/>
  <c r="EM25" i="4"/>
  <c r="EM24" i="4"/>
  <c r="EM23" i="4"/>
  <c r="EM22" i="4"/>
  <c r="EM21" i="4"/>
  <c r="EM20" i="4"/>
  <c r="EM19" i="4"/>
  <c r="EM18" i="4"/>
  <c r="EM17" i="4"/>
  <c r="EM16" i="4"/>
  <c r="EM15" i="4"/>
  <c r="EM14" i="4"/>
  <c r="EM13" i="4"/>
  <c r="EM12" i="4"/>
  <c r="EM11" i="4"/>
  <c r="EM10" i="4"/>
  <c r="EM9" i="4"/>
  <c r="EM8" i="4"/>
  <c r="EM7" i="4"/>
  <c r="EF119" i="4"/>
  <c r="AI18" i="5" s="1"/>
  <c r="EE119" i="4"/>
  <c r="EE118" i="4"/>
  <c r="EE117" i="4"/>
  <c r="EE116" i="4"/>
  <c r="EE115" i="4"/>
  <c r="EE114" i="4"/>
  <c r="EE113" i="4"/>
  <c r="EE112" i="4"/>
  <c r="EE111" i="4"/>
  <c r="EE110" i="4"/>
  <c r="EE109" i="4"/>
  <c r="EE108" i="4"/>
  <c r="EF107" i="4"/>
  <c r="AI25" i="5" s="1"/>
  <c r="EE107" i="4"/>
  <c r="EE106" i="4"/>
  <c r="EE105" i="4"/>
  <c r="EE104" i="4"/>
  <c r="EE103" i="4"/>
  <c r="EE102" i="4"/>
  <c r="EE101" i="4"/>
  <c r="EE100" i="4"/>
  <c r="EE99" i="4"/>
  <c r="EE98" i="4"/>
  <c r="EF97" i="4"/>
  <c r="AI22" i="5" s="1"/>
  <c r="EE97" i="4"/>
  <c r="EE96" i="4"/>
  <c r="EE95" i="4"/>
  <c r="EE94" i="4"/>
  <c r="EE93" i="4"/>
  <c r="EE92" i="4"/>
  <c r="EE91" i="4"/>
  <c r="EE90" i="4"/>
  <c r="EE89" i="4"/>
  <c r="EF88" i="4"/>
  <c r="AI17" i="5" s="1"/>
  <c r="EE88" i="4"/>
  <c r="EF87" i="4"/>
  <c r="AI16" i="5" s="1"/>
  <c r="EE87" i="4"/>
  <c r="EE86" i="4"/>
  <c r="EE85" i="4"/>
  <c r="EE84" i="4"/>
  <c r="EE83" i="4"/>
  <c r="EE82" i="4"/>
  <c r="EE81" i="4"/>
  <c r="EE80" i="4"/>
  <c r="EE79" i="4"/>
  <c r="EE78" i="4"/>
  <c r="EE77" i="4"/>
  <c r="EE76" i="4"/>
  <c r="EE75" i="4"/>
  <c r="EE74" i="4"/>
  <c r="EE73" i="4"/>
  <c r="EE72" i="4"/>
  <c r="EE71" i="4"/>
  <c r="EE70" i="4"/>
  <c r="EE69" i="4"/>
  <c r="EE68" i="4"/>
  <c r="EF58" i="4"/>
  <c r="AH18" i="5" s="1"/>
  <c r="EE58" i="4"/>
  <c r="EE57" i="4"/>
  <c r="EE56" i="4"/>
  <c r="EE55" i="4"/>
  <c r="EE54" i="4"/>
  <c r="EE53" i="4"/>
  <c r="EE52" i="4"/>
  <c r="EE51" i="4"/>
  <c r="EE50" i="4"/>
  <c r="EE49" i="4"/>
  <c r="EE48" i="4"/>
  <c r="EE47" i="4"/>
  <c r="EF46" i="4"/>
  <c r="AH25" i="5" s="1"/>
  <c r="EE46" i="4"/>
  <c r="EE45" i="4"/>
  <c r="EE44" i="4"/>
  <c r="EE43" i="4"/>
  <c r="EE42" i="4"/>
  <c r="EE41" i="4"/>
  <c r="EE40" i="4"/>
  <c r="EE39" i="4"/>
  <c r="EE38" i="4"/>
  <c r="EE37" i="4"/>
  <c r="EF36" i="4"/>
  <c r="AH22" i="5" s="1"/>
  <c r="EE36" i="4"/>
  <c r="EE35" i="4"/>
  <c r="EE34" i="4"/>
  <c r="EE33" i="4"/>
  <c r="EE32" i="4"/>
  <c r="EE31" i="4"/>
  <c r="EE30" i="4"/>
  <c r="EE29" i="4"/>
  <c r="EE28" i="4"/>
  <c r="EF27" i="4"/>
  <c r="AH17" i="5" s="1"/>
  <c r="EE27" i="4"/>
  <c r="EF26" i="4"/>
  <c r="AH16" i="5" s="1"/>
  <c r="EE26" i="4"/>
  <c r="EE25" i="4"/>
  <c r="EE24" i="4"/>
  <c r="EE23" i="4"/>
  <c r="EE22" i="4"/>
  <c r="EE21" i="4"/>
  <c r="EE20" i="4"/>
  <c r="EE19" i="4"/>
  <c r="EE18" i="4"/>
  <c r="EE17" i="4"/>
  <c r="EE16" i="4"/>
  <c r="EE15" i="4"/>
  <c r="EE14" i="4"/>
  <c r="EE13" i="4"/>
  <c r="EE12" i="4"/>
  <c r="EE11" i="4"/>
  <c r="EE10" i="4"/>
  <c r="EE9" i="4"/>
  <c r="EE8" i="4"/>
  <c r="EE7" i="4"/>
  <c r="DX119" i="4"/>
  <c r="AG18" i="5" s="1"/>
  <c r="DW119" i="4"/>
  <c r="DW118" i="4"/>
  <c r="DW117" i="4"/>
  <c r="DW116" i="4"/>
  <c r="DW115" i="4"/>
  <c r="DW114" i="4"/>
  <c r="DW113" i="4"/>
  <c r="DW112" i="4"/>
  <c r="DW111" i="4"/>
  <c r="DW110" i="4"/>
  <c r="DW109" i="4"/>
  <c r="DW108" i="4"/>
  <c r="DX107" i="4"/>
  <c r="AG25" i="5" s="1"/>
  <c r="DW107" i="4"/>
  <c r="DW106" i="4"/>
  <c r="DW105" i="4"/>
  <c r="DW104" i="4"/>
  <c r="DW103" i="4"/>
  <c r="DW102" i="4"/>
  <c r="DW101" i="4"/>
  <c r="DW100" i="4"/>
  <c r="DW99" i="4"/>
  <c r="DW98" i="4"/>
  <c r="DX97" i="4"/>
  <c r="AG22" i="5" s="1"/>
  <c r="DW97" i="4"/>
  <c r="DW96" i="4"/>
  <c r="DW95" i="4"/>
  <c r="DW94" i="4"/>
  <c r="DW93" i="4"/>
  <c r="DW92" i="4"/>
  <c r="DW91" i="4"/>
  <c r="DW90" i="4"/>
  <c r="DW89" i="4"/>
  <c r="DX88" i="4"/>
  <c r="AG17" i="5" s="1"/>
  <c r="DW88" i="4"/>
  <c r="DX87" i="4"/>
  <c r="AG16" i="5" s="1"/>
  <c r="DW87" i="4"/>
  <c r="DW86" i="4"/>
  <c r="DW85" i="4"/>
  <c r="DW84" i="4"/>
  <c r="DW83" i="4"/>
  <c r="DW82" i="4"/>
  <c r="DW81" i="4"/>
  <c r="DW80" i="4"/>
  <c r="DW79" i="4"/>
  <c r="DW78" i="4"/>
  <c r="DW77" i="4"/>
  <c r="DW76" i="4"/>
  <c r="DW75" i="4"/>
  <c r="DW74" i="4"/>
  <c r="DW73" i="4"/>
  <c r="DW72" i="4"/>
  <c r="DW71" i="4"/>
  <c r="DW70" i="4"/>
  <c r="DW69" i="4"/>
  <c r="DW68" i="4"/>
  <c r="DX58" i="4"/>
  <c r="AF18" i="5" s="1"/>
  <c r="DW58" i="4"/>
  <c r="DW57" i="4"/>
  <c r="DW56" i="4"/>
  <c r="DW55" i="4"/>
  <c r="DW54" i="4"/>
  <c r="DW53" i="4"/>
  <c r="DW52" i="4"/>
  <c r="DW51" i="4"/>
  <c r="DW50" i="4"/>
  <c r="DW49" i="4"/>
  <c r="DW48" i="4"/>
  <c r="DW47" i="4"/>
  <c r="DX46" i="4"/>
  <c r="AF25" i="5" s="1"/>
  <c r="DW46" i="4"/>
  <c r="DW45" i="4"/>
  <c r="DW44" i="4"/>
  <c r="DW43" i="4"/>
  <c r="DW42" i="4"/>
  <c r="DW41" i="4"/>
  <c r="DW40" i="4"/>
  <c r="DW39" i="4"/>
  <c r="DW38" i="4"/>
  <c r="DW37" i="4"/>
  <c r="DX36" i="4"/>
  <c r="AF22" i="5" s="1"/>
  <c r="DW36" i="4"/>
  <c r="DW35" i="4"/>
  <c r="DW34" i="4"/>
  <c r="DW33" i="4"/>
  <c r="DW32" i="4"/>
  <c r="DW31" i="4"/>
  <c r="DW30" i="4"/>
  <c r="DW29" i="4"/>
  <c r="DW28" i="4"/>
  <c r="DX27" i="4"/>
  <c r="AF17" i="5" s="1"/>
  <c r="DW27" i="4"/>
  <c r="DX26" i="4"/>
  <c r="AF16" i="5" s="1"/>
  <c r="DW26" i="4"/>
  <c r="DW25" i="4"/>
  <c r="DW24" i="4"/>
  <c r="DW23" i="4"/>
  <c r="DW22" i="4"/>
  <c r="DW21" i="4"/>
  <c r="DW20" i="4"/>
  <c r="DW19" i="4"/>
  <c r="DW18" i="4"/>
  <c r="DW17" i="4"/>
  <c r="DW16" i="4"/>
  <c r="DW15" i="4"/>
  <c r="DW14" i="4"/>
  <c r="DW13" i="4"/>
  <c r="DW12" i="4"/>
  <c r="DW11" i="4"/>
  <c r="DW10" i="4"/>
  <c r="DW9" i="4"/>
  <c r="DW8" i="4"/>
  <c r="DW7" i="4"/>
  <c r="GQ7" i="4"/>
  <c r="GQ8" i="4"/>
  <c r="GQ9" i="4"/>
  <c r="GQ10" i="4"/>
  <c r="GQ11" i="4"/>
  <c r="GQ12" i="4"/>
  <c r="GQ13" i="4"/>
  <c r="GQ14" i="4"/>
  <c r="GQ15" i="4"/>
  <c r="GQ16" i="4"/>
  <c r="GQ17" i="4"/>
  <c r="GQ18" i="4"/>
  <c r="GQ19" i="4"/>
  <c r="GQ20" i="4"/>
  <c r="GQ21" i="4"/>
  <c r="GO22" i="4"/>
  <c r="GQ22" i="4" s="1"/>
  <c r="GQ23" i="4"/>
  <c r="GQ24" i="4"/>
  <c r="GQ25" i="4"/>
  <c r="GQ26" i="4"/>
  <c r="GQ27" i="4"/>
  <c r="GQ28" i="4"/>
  <c r="GQ29" i="4"/>
  <c r="GQ30" i="4"/>
  <c r="GQ31" i="4"/>
  <c r="GQ32" i="4"/>
  <c r="GQ33" i="4"/>
  <c r="GQ34" i="4"/>
  <c r="GQ35" i="4"/>
  <c r="GQ36" i="4"/>
  <c r="GQ37" i="4"/>
  <c r="GQ38" i="4"/>
  <c r="GQ39" i="4"/>
  <c r="GQ40" i="4"/>
  <c r="GQ41" i="4"/>
  <c r="GQ42" i="4"/>
  <c r="GQ43" i="4"/>
  <c r="GQ44" i="4"/>
  <c r="GQ45" i="4"/>
  <c r="GQ46" i="4"/>
  <c r="GQ47" i="4"/>
  <c r="GQ48" i="4"/>
  <c r="GQ49" i="4"/>
  <c r="GQ50" i="4"/>
  <c r="GQ51" i="4"/>
  <c r="GQ52" i="4"/>
  <c r="GQ53" i="4"/>
  <c r="GQ54" i="4"/>
  <c r="GQ55" i="4"/>
  <c r="GQ56" i="4"/>
  <c r="GQ57" i="4"/>
  <c r="GQ58" i="4"/>
  <c r="GO68" i="4"/>
  <c r="GQ68" i="4" s="1"/>
  <c r="GO69" i="4"/>
  <c r="GQ69" i="4" s="1"/>
  <c r="GO70" i="4"/>
  <c r="GQ70" i="4" s="1"/>
  <c r="GO71" i="4"/>
  <c r="GQ71" i="4" s="1"/>
  <c r="GO72" i="4"/>
  <c r="GQ72" i="4" s="1"/>
  <c r="GO73" i="4"/>
  <c r="GQ73" i="4" s="1"/>
  <c r="GO74" i="4"/>
  <c r="GQ74" i="4" s="1"/>
  <c r="GO75" i="4"/>
  <c r="GQ75" i="4" s="1"/>
  <c r="GO76" i="4"/>
  <c r="GQ76" i="4" s="1"/>
  <c r="GO77" i="4"/>
  <c r="GQ77" i="4" s="1"/>
  <c r="GO78" i="4"/>
  <c r="GQ78" i="4" s="1"/>
  <c r="GO79" i="4"/>
  <c r="GQ79" i="4" s="1"/>
  <c r="GO80" i="4"/>
  <c r="GQ80" i="4" s="1"/>
  <c r="GO81" i="4"/>
  <c r="GQ81" i="4" s="1"/>
  <c r="GO82" i="4"/>
  <c r="GQ82" i="4" s="1"/>
  <c r="GO83" i="4"/>
  <c r="GQ83" i="4" s="1"/>
  <c r="GO84" i="4"/>
  <c r="GQ84" i="4" s="1"/>
  <c r="GO85" i="4"/>
  <c r="GQ85" i="4" s="1"/>
  <c r="GO86" i="4"/>
  <c r="GQ86" i="4" s="1"/>
  <c r="GO87" i="4"/>
  <c r="GQ87" i="4" s="1"/>
  <c r="GO88" i="4"/>
  <c r="GQ88" i="4" s="1"/>
  <c r="GO89" i="4"/>
  <c r="GQ89" i="4" s="1"/>
  <c r="GO90" i="4"/>
  <c r="GQ90" i="4" s="1"/>
  <c r="GO91" i="4"/>
  <c r="GQ91" i="4" s="1"/>
  <c r="GO92" i="4"/>
  <c r="GQ92" i="4" s="1"/>
  <c r="GO93" i="4"/>
  <c r="GQ93" i="4" s="1"/>
  <c r="GO94" i="4"/>
  <c r="GQ94" i="4" s="1"/>
  <c r="GO95" i="4"/>
  <c r="GQ95" i="4" s="1"/>
  <c r="GO96" i="4"/>
  <c r="GQ96" i="4" s="1"/>
  <c r="GO97" i="4"/>
  <c r="GQ97" i="4" s="1"/>
  <c r="GO98" i="4"/>
  <c r="GQ98" i="4" s="1"/>
  <c r="GO99" i="4"/>
  <c r="GQ99" i="4" s="1"/>
  <c r="GO100" i="4"/>
  <c r="GQ100" i="4" s="1"/>
  <c r="GO101" i="4"/>
  <c r="GQ101" i="4" s="1"/>
  <c r="GO102" i="4"/>
  <c r="GQ102" i="4" s="1"/>
  <c r="GO103" i="4"/>
  <c r="GQ103" i="4" s="1"/>
  <c r="GO104" i="4"/>
  <c r="GQ104" i="4" s="1"/>
  <c r="GO105" i="4"/>
  <c r="GQ105" i="4" s="1"/>
  <c r="GO106" i="4"/>
  <c r="GQ106" i="4" s="1"/>
  <c r="GO107" i="4"/>
  <c r="GQ107" i="4" s="1"/>
  <c r="GO108" i="4"/>
  <c r="GQ108" i="4" s="1"/>
  <c r="GO109" i="4"/>
  <c r="GQ109" i="4" s="1"/>
  <c r="GO110" i="4"/>
  <c r="GQ110" i="4" s="1"/>
  <c r="GO111" i="4"/>
  <c r="GQ111" i="4" s="1"/>
  <c r="GO112" i="4"/>
  <c r="GQ112" i="4" s="1"/>
  <c r="GO113" i="4"/>
  <c r="GQ113" i="4" s="1"/>
  <c r="GO114" i="4"/>
  <c r="GQ114" i="4" s="1"/>
  <c r="GO115" i="4"/>
  <c r="GQ115" i="4" s="1"/>
  <c r="GO116" i="4"/>
  <c r="GQ116" i="4" s="1"/>
  <c r="GO117" i="4"/>
  <c r="GQ117" i="4" s="1"/>
  <c r="GO118" i="4"/>
  <c r="GQ118" i="4" s="1"/>
  <c r="GO119" i="4"/>
  <c r="GQ119" i="4" s="1"/>
  <c r="DP119" i="4"/>
  <c r="AE18" i="5" s="1"/>
  <c r="DO119" i="4"/>
  <c r="DH119" i="4"/>
  <c r="AC18" i="5" s="1"/>
  <c r="DG119" i="4"/>
  <c r="CZ119" i="4"/>
  <c r="AA18" i="5" s="1"/>
  <c r="CY119" i="4"/>
  <c r="CR119" i="4"/>
  <c r="Y18" i="5" s="1"/>
  <c r="CQ119" i="4"/>
  <c r="BT119" i="4"/>
  <c r="S18" i="5" s="1"/>
  <c r="BS119" i="4"/>
  <c r="BL119" i="4"/>
  <c r="Q18" i="5" s="1"/>
  <c r="BK119" i="4"/>
  <c r="BD119" i="4"/>
  <c r="O18" i="5" s="1"/>
  <c r="BC119" i="4"/>
  <c r="AV119" i="4"/>
  <c r="M18" i="5" s="1"/>
  <c r="AU119" i="4"/>
  <c r="AN119" i="4"/>
  <c r="K18" i="5" s="1"/>
  <c r="AM119" i="4"/>
  <c r="AF119" i="4"/>
  <c r="I18" i="5" s="1"/>
  <c r="AE119" i="4"/>
  <c r="X119" i="4"/>
  <c r="G18" i="5" s="1"/>
  <c r="W119" i="4"/>
  <c r="P119" i="4"/>
  <c r="E18" i="5" s="1"/>
  <c r="O119" i="4"/>
  <c r="H119" i="4"/>
  <c r="C18" i="5" s="1"/>
  <c r="G119" i="4"/>
  <c r="DO118" i="4"/>
  <c r="DG118" i="4"/>
  <c r="CY118" i="4"/>
  <c r="CQ118" i="4"/>
  <c r="BS118" i="4"/>
  <c r="BK118" i="4"/>
  <c r="BC118" i="4"/>
  <c r="AU118" i="4"/>
  <c r="AM118" i="4"/>
  <c r="AE118" i="4"/>
  <c r="W118" i="4"/>
  <c r="O118" i="4"/>
  <c r="G118" i="4"/>
  <c r="DO117" i="4"/>
  <c r="DG117" i="4"/>
  <c r="CY117" i="4"/>
  <c r="CQ117" i="4"/>
  <c r="CR118" i="4" s="1"/>
  <c r="Y13" i="5" s="1"/>
  <c r="BS117" i="4"/>
  <c r="BK117" i="4"/>
  <c r="BC117" i="4"/>
  <c r="AU117" i="4"/>
  <c r="AM117" i="4"/>
  <c r="AE117" i="4"/>
  <c r="AF118" i="4" s="1"/>
  <c r="I13" i="5" s="1"/>
  <c r="W117" i="4"/>
  <c r="O117" i="4"/>
  <c r="P118" i="4" s="1"/>
  <c r="E13" i="5" s="1"/>
  <c r="G117" i="4"/>
  <c r="DO116" i="4"/>
  <c r="DG116" i="4"/>
  <c r="CY116" i="4"/>
  <c r="CQ116" i="4"/>
  <c r="BS116" i="4"/>
  <c r="BK116" i="4"/>
  <c r="BC116" i="4"/>
  <c r="AU116" i="4"/>
  <c r="AM116" i="4"/>
  <c r="AE116" i="4"/>
  <c r="W116" i="4"/>
  <c r="O116" i="4"/>
  <c r="G116" i="4"/>
  <c r="DO115" i="4"/>
  <c r="DG115" i="4"/>
  <c r="CY115" i="4"/>
  <c r="CQ115" i="4"/>
  <c r="BS115" i="4"/>
  <c r="BK115" i="4"/>
  <c r="BC115" i="4"/>
  <c r="AU115" i="4"/>
  <c r="AM115" i="4"/>
  <c r="AE115" i="4"/>
  <c r="W115" i="4"/>
  <c r="O115" i="4"/>
  <c r="G115" i="4"/>
  <c r="DO114" i="4"/>
  <c r="DG114" i="4"/>
  <c r="CY114" i="4"/>
  <c r="CQ114" i="4"/>
  <c r="BS114" i="4"/>
  <c r="BK114" i="4"/>
  <c r="BC114" i="4"/>
  <c r="AU114" i="4"/>
  <c r="AM114" i="4"/>
  <c r="AE114" i="4"/>
  <c r="W114" i="4"/>
  <c r="O114" i="4"/>
  <c r="G114" i="4"/>
  <c r="DO113" i="4"/>
  <c r="DG113" i="4"/>
  <c r="CY113" i="4"/>
  <c r="CQ113" i="4"/>
  <c r="BS113" i="4"/>
  <c r="BK113" i="4"/>
  <c r="BC113" i="4"/>
  <c r="AU113" i="4"/>
  <c r="AM113" i="4"/>
  <c r="AE113" i="4"/>
  <c r="W113" i="4"/>
  <c r="O113" i="4"/>
  <c r="G113" i="4"/>
  <c r="DO112" i="4"/>
  <c r="DG112" i="4"/>
  <c r="CY112" i="4"/>
  <c r="CQ112" i="4"/>
  <c r="BS112" i="4"/>
  <c r="BK112" i="4"/>
  <c r="BC112" i="4"/>
  <c r="AU112" i="4"/>
  <c r="AM112" i="4"/>
  <c r="AE112" i="4"/>
  <c r="W112" i="4"/>
  <c r="O112" i="4"/>
  <c r="G112" i="4"/>
  <c r="DO111" i="4"/>
  <c r="DG111" i="4"/>
  <c r="CY111" i="4"/>
  <c r="CQ111" i="4"/>
  <c r="BS111" i="4"/>
  <c r="BK111" i="4"/>
  <c r="BC111" i="4"/>
  <c r="AU111" i="4"/>
  <c r="AM111" i="4"/>
  <c r="AE111" i="4"/>
  <c r="W111" i="4"/>
  <c r="O111" i="4"/>
  <c r="G111" i="4"/>
  <c r="DO110" i="4"/>
  <c r="DG110" i="4"/>
  <c r="CY110" i="4"/>
  <c r="CQ110" i="4"/>
  <c r="BS110" i="4"/>
  <c r="BK110" i="4"/>
  <c r="BC110" i="4"/>
  <c r="AU110" i="4"/>
  <c r="AM110" i="4"/>
  <c r="AE110" i="4"/>
  <c r="W110" i="4"/>
  <c r="O110" i="4"/>
  <c r="G110" i="4"/>
  <c r="DO109" i="4"/>
  <c r="DG109" i="4"/>
  <c r="CY109" i="4"/>
  <c r="CQ109" i="4"/>
  <c r="BS109" i="4"/>
  <c r="BK109" i="4"/>
  <c r="BC109" i="4"/>
  <c r="AU109" i="4"/>
  <c r="AM109" i="4"/>
  <c r="AE109" i="4"/>
  <c r="W109" i="4"/>
  <c r="O109" i="4"/>
  <c r="G109" i="4"/>
  <c r="DO108" i="4"/>
  <c r="DG108" i="4"/>
  <c r="CY108" i="4"/>
  <c r="CQ108" i="4"/>
  <c r="BS108" i="4"/>
  <c r="BK108" i="4"/>
  <c r="BC108" i="4"/>
  <c r="AU108" i="4"/>
  <c r="AM108" i="4"/>
  <c r="AE108" i="4"/>
  <c r="W108" i="4"/>
  <c r="O108" i="4"/>
  <c r="G108" i="4"/>
  <c r="DP107" i="4"/>
  <c r="AE25" i="5" s="1"/>
  <c r="DO107" i="4"/>
  <c r="DH107" i="4"/>
  <c r="AC25" i="5" s="1"/>
  <c r="DG107" i="4"/>
  <c r="CZ107" i="4"/>
  <c r="AA25" i="5" s="1"/>
  <c r="CY107" i="4"/>
  <c r="CR107" i="4"/>
  <c r="Y25" i="5" s="1"/>
  <c r="CQ107" i="4"/>
  <c r="BT107" i="4"/>
  <c r="S25" i="5" s="1"/>
  <c r="BS107" i="4"/>
  <c r="BL107" i="4"/>
  <c r="Q25" i="5" s="1"/>
  <c r="BK107" i="4"/>
  <c r="BD107" i="4"/>
  <c r="O25" i="5" s="1"/>
  <c r="BC107" i="4"/>
  <c r="AV107" i="4"/>
  <c r="M25" i="5" s="1"/>
  <c r="AU107" i="4"/>
  <c r="AN107" i="4"/>
  <c r="K25" i="5" s="1"/>
  <c r="AM107" i="4"/>
  <c r="AF107" i="4"/>
  <c r="I25" i="5" s="1"/>
  <c r="AE107" i="4"/>
  <c r="X107" i="4"/>
  <c r="G25" i="5" s="1"/>
  <c r="W107" i="4"/>
  <c r="P107" i="4"/>
  <c r="E25" i="5" s="1"/>
  <c r="O107" i="4"/>
  <c r="H107" i="4"/>
  <c r="C25" i="5" s="1"/>
  <c r="G107" i="4"/>
  <c r="DO106" i="4"/>
  <c r="DG106" i="4"/>
  <c r="CY106" i="4"/>
  <c r="CQ106" i="4"/>
  <c r="BS106" i="4"/>
  <c r="BK106" i="4"/>
  <c r="BC106" i="4"/>
  <c r="AU106" i="4"/>
  <c r="AM106" i="4"/>
  <c r="AE106" i="4"/>
  <c r="W106" i="4"/>
  <c r="O106" i="4"/>
  <c r="G106" i="4"/>
  <c r="DO105" i="4"/>
  <c r="DG105" i="4"/>
  <c r="CY105" i="4"/>
  <c r="CQ105" i="4"/>
  <c r="BS105" i="4"/>
  <c r="BK105" i="4"/>
  <c r="BC105" i="4"/>
  <c r="AU105" i="4"/>
  <c r="AM105" i="4"/>
  <c r="AE105" i="4"/>
  <c r="W105" i="4"/>
  <c r="O105" i="4"/>
  <c r="G105" i="4"/>
  <c r="DO104" i="4"/>
  <c r="DG104" i="4"/>
  <c r="CY104" i="4"/>
  <c r="CQ104" i="4"/>
  <c r="BS104" i="4"/>
  <c r="BK104" i="4"/>
  <c r="BC104" i="4"/>
  <c r="AU104" i="4"/>
  <c r="AM104" i="4"/>
  <c r="AE104" i="4"/>
  <c r="W104" i="4"/>
  <c r="O104" i="4"/>
  <c r="G104" i="4"/>
  <c r="DO103" i="4"/>
  <c r="DG103" i="4"/>
  <c r="CY103" i="4"/>
  <c r="CQ103" i="4"/>
  <c r="BS103" i="4"/>
  <c r="BK103" i="4"/>
  <c r="BC103" i="4"/>
  <c r="AU103" i="4"/>
  <c r="AM103" i="4"/>
  <c r="AE103" i="4"/>
  <c r="W103" i="4"/>
  <c r="O103" i="4"/>
  <c r="G103" i="4"/>
  <c r="DO102" i="4"/>
  <c r="DG102" i="4"/>
  <c r="CY102" i="4"/>
  <c r="CQ102" i="4"/>
  <c r="BS102" i="4"/>
  <c r="BK102" i="4"/>
  <c r="BC102" i="4"/>
  <c r="AU102" i="4"/>
  <c r="AM102" i="4"/>
  <c r="AE102" i="4"/>
  <c r="W102" i="4"/>
  <c r="O102" i="4"/>
  <c r="G102" i="4"/>
  <c r="DO101" i="4"/>
  <c r="DG101" i="4"/>
  <c r="CY101" i="4"/>
  <c r="CQ101" i="4"/>
  <c r="BS101" i="4"/>
  <c r="BK101" i="4"/>
  <c r="BC101" i="4"/>
  <c r="AU101" i="4"/>
  <c r="AM101" i="4"/>
  <c r="AE101" i="4"/>
  <c r="W101" i="4"/>
  <c r="O101" i="4"/>
  <c r="G101" i="4"/>
  <c r="DO100" i="4"/>
  <c r="DG100" i="4"/>
  <c r="CY100" i="4"/>
  <c r="CQ100" i="4"/>
  <c r="BS100" i="4"/>
  <c r="BK100" i="4"/>
  <c r="BC100" i="4"/>
  <c r="AU100" i="4"/>
  <c r="AM100" i="4"/>
  <c r="AE100" i="4"/>
  <c r="W100" i="4"/>
  <c r="O100" i="4"/>
  <c r="G100" i="4"/>
  <c r="DO99" i="4"/>
  <c r="DG99" i="4"/>
  <c r="CY99" i="4"/>
  <c r="CQ99" i="4"/>
  <c r="BS99" i="4"/>
  <c r="BK99" i="4"/>
  <c r="BC99" i="4"/>
  <c r="AU99" i="4"/>
  <c r="AM99" i="4"/>
  <c r="AE99" i="4"/>
  <c r="W99" i="4"/>
  <c r="O99" i="4"/>
  <c r="G99" i="4"/>
  <c r="DO98" i="4"/>
  <c r="DG98" i="4"/>
  <c r="CY98" i="4"/>
  <c r="CQ98" i="4"/>
  <c r="BS98" i="4"/>
  <c r="BK98" i="4"/>
  <c r="BC98" i="4"/>
  <c r="AU98" i="4"/>
  <c r="AM98" i="4"/>
  <c r="AE98" i="4"/>
  <c r="W98" i="4"/>
  <c r="O98" i="4"/>
  <c r="G98" i="4"/>
  <c r="DP97" i="4"/>
  <c r="AE22" i="5" s="1"/>
  <c r="DO97" i="4"/>
  <c r="DH97" i="4"/>
  <c r="AC22" i="5" s="1"/>
  <c r="DG97" i="4"/>
  <c r="CZ97" i="4"/>
  <c r="AA22" i="5" s="1"/>
  <c r="CY97" i="4"/>
  <c r="CR97" i="4"/>
  <c r="Y22" i="5" s="1"/>
  <c r="CQ97" i="4"/>
  <c r="BT97" i="4"/>
  <c r="S22" i="5" s="1"/>
  <c r="BS97" i="4"/>
  <c r="BL97" i="4"/>
  <c r="Q22" i="5" s="1"/>
  <c r="BK97" i="4"/>
  <c r="BD97" i="4"/>
  <c r="O22" i="5" s="1"/>
  <c r="BC97" i="4"/>
  <c r="AV97" i="4"/>
  <c r="M22" i="5" s="1"/>
  <c r="AU97" i="4"/>
  <c r="AN97" i="4"/>
  <c r="K22" i="5" s="1"/>
  <c r="AM97" i="4"/>
  <c r="AF97" i="4"/>
  <c r="I22" i="5" s="1"/>
  <c r="AE97" i="4"/>
  <c r="X97" i="4"/>
  <c r="G22" i="5" s="1"/>
  <c r="W97" i="4"/>
  <c r="P97" i="4"/>
  <c r="E22" i="5" s="1"/>
  <c r="O97" i="4"/>
  <c r="H97" i="4"/>
  <c r="C22" i="5" s="1"/>
  <c r="G97" i="4"/>
  <c r="DO96" i="4"/>
  <c r="DG96" i="4"/>
  <c r="CY96" i="4"/>
  <c r="CQ96" i="4"/>
  <c r="BS96" i="4"/>
  <c r="BK96" i="4"/>
  <c r="BC96" i="4"/>
  <c r="AU96" i="4"/>
  <c r="AM96" i="4"/>
  <c r="AE96" i="4"/>
  <c r="W96" i="4"/>
  <c r="O96" i="4"/>
  <c r="G96" i="4"/>
  <c r="DO95" i="4"/>
  <c r="DG95" i="4"/>
  <c r="CY95" i="4"/>
  <c r="CQ95" i="4"/>
  <c r="BS95" i="4"/>
  <c r="BK95" i="4"/>
  <c r="BC95" i="4"/>
  <c r="AU95" i="4"/>
  <c r="AM95" i="4"/>
  <c r="AE95" i="4"/>
  <c r="W95" i="4"/>
  <c r="O95" i="4"/>
  <c r="G95" i="4"/>
  <c r="DO94" i="4"/>
  <c r="DG94" i="4"/>
  <c r="CY94" i="4"/>
  <c r="CQ94" i="4"/>
  <c r="BS94" i="4"/>
  <c r="BK94" i="4"/>
  <c r="BC94" i="4"/>
  <c r="AU94" i="4"/>
  <c r="AM94" i="4"/>
  <c r="AE94" i="4"/>
  <c r="W94" i="4"/>
  <c r="O94" i="4"/>
  <c r="G94" i="4"/>
  <c r="DO93" i="4"/>
  <c r="DG93" i="4"/>
  <c r="CY93" i="4"/>
  <c r="CQ93" i="4"/>
  <c r="BS93" i="4"/>
  <c r="BK93" i="4"/>
  <c r="BC93" i="4"/>
  <c r="AU93" i="4"/>
  <c r="AM93" i="4"/>
  <c r="AE93" i="4"/>
  <c r="W93" i="4"/>
  <c r="O93" i="4"/>
  <c r="G93" i="4"/>
  <c r="DO92" i="4"/>
  <c r="DG92" i="4"/>
  <c r="CY92" i="4"/>
  <c r="CQ92" i="4"/>
  <c r="BS92" i="4"/>
  <c r="BK92" i="4"/>
  <c r="BC92" i="4"/>
  <c r="AU92" i="4"/>
  <c r="AM92" i="4"/>
  <c r="AE92" i="4"/>
  <c r="W92" i="4"/>
  <c r="O92" i="4"/>
  <c r="G92" i="4"/>
  <c r="DO91" i="4"/>
  <c r="DG91" i="4"/>
  <c r="CY91" i="4"/>
  <c r="CQ91" i="4"/>
  <c r="BS91" i="4"/>
  <c r="BK91" i="4"/>
  <c r="BC91" i="4"/>
  <c r="AU91" i="4"/>
  <c r="AM91" i="4"/>
  <c r="AE91" i="4"/>
  <c r="W91" i="4"/>
  <c r="O91" i="4"/>
  <c r="G91" i="4"/>
  <c r="DO90" i="4"/>
  <c r="DG90" i="4"/>
  <c r="CY90" i="4"/>
  <c r="CQ90" i="4"/>
  <c r="BS90" i="4"/>
  <c r="BK90" i="4"/>
  <c r="BC90" i="4"/>
  <c r="AU90" i="4"/>
  <c r="AM90" i="4"/>
  <c r="AE90" i="4"/>
  <c r="W90" i="4"/>
  <c r="O90" i="4"/>
  <c r="G90" i="4"/>
  <c r="DO89" i="4"/>
  <c r="DG89" i="4"/>
  <c r="CY89" i="4"/>
  <c r="CQ89" i="4"/>
  <c r="BS89" i="4"/>
  <c r="BK89" i="4"/>
  <c r="BC89" i="4"/>
  <c r="AU89" i="4"/>
  <c r="AM89" i="4"/>
  <c r="AE89" i="4"/>
  <c r="W89" i="4"/>
  <c r="O89" i="4"/>
  <c r="G89" i="4"/>
  <c r="DP88" i="4"/>
  <c r="AE17" i="5" s="1"/>
  <c r="DO88" i="4"/>
  <c r="DH88" i="4"/>
  <c r="AC17" i="5" s="1"/>
  <c r="DG88" i="4"/>
  <c r="CZ88" i="4"/>
  <c r="AA17" i="5" s="1"/>
  <c r="CY88" i="4"/>
  <c r="CR88" i="4"/>
  <c r="Y17" i="5" s="1"/>
  <c r="CQ88" i="4"/>
  <c r="BT88" i="4"/>
  <c r="S17" i="5" s="1"/>
  <c r="BS88" i="4"/>
  <c r="BL88" i="4"/>
  <c r="Q17" i="5" s="1"/>
  <c r="BK88" i="4"/>
  <c r="BD88" i="4"/>
  <c r="O17" i="5" s="1"/>
  <c r="BC88" i="4"/>
  <c r="AV88" i="4"/>
  <c r="M17" i="5" s="1"/>
  <c r="AU88" i="4"/>
  <c r="AN88" i="4"/>
  <c r="K17" i="5" s="1"/>
  <c r="AM88" i="4"/>
  <c r="AF88" i="4"/>
  <c r="I17" i="5" s="1"/>
  <c r="AE88" i="4"/>
  <c r="X88" i="4"/>
  <c r="G17" i="5" s="1"/>
  <c r="W88" i="4"/>
  <c r="P88" i="4"/>
  <c r="E17" i="5" s="1"/>
  <c r="O88" i="4"/>
  <c r="H88" i="4"/>
  <c r="C17" i="5" s="1"/>
  <c r="G88" i="4"/>
  <c r="DP87" i="4"/>
  <c r="AE16" i="5" s="1"/>
  <c r="DO87" i="4"/>
  <c r="DH87" i="4"/>
  <c r="AC16" i="5" s="1"/>
  <c r="DG87" i="4"/>
  <c r="CZ87" i="4"/>
  <c r="AA16" i="5" s="1"/>
  <c r="CY87" i="4"/>
  <c r="CR87" i="4"/>
  <c r="Y16" i="5" s="1"/>
  <c r="CQ87" i="4"/>
  <c r="BT87" i="4"/>
  <c r="S16" i="5" s="1"/>
  <c r="BS87" i="4"/>
  <c r="BK87" i="4"/>
  <c r="BD87" i="4"/>
  <c r="O16" i="5" s="1"/>
  <c r="BC87" i="4"/>
  <c r="AV87" i="4"/>
  <c r="M16" i="5" s="1"/>
  <c r="AU87" i="4"/>
  <c r="AN87" i="4"/>
  <c r="K16" i="5" s="1"/>
  <c r="AM87" i="4"/>
  <c r="AF87" i="4"/>
  <c r="I16" i="5" s="1"/>
  <c r="AE87" i="4"/>
  <c r="X87" i="4"/>
  <c r="G16" i="5" s="1"/>
  <c r="W87" i="4"/>
  <c r="P87" i="4"/>
  <c r="E16" i="5" s="1"/>
  <c r="O87" i="4"/>
  <c r="H87" i="4"/>
  <c r="C16" i="5" s="1"/>
  <c r="G87" i="4"/>
  <c r="DO86" i="4"/>
  <c r="DG86" i="4"/>
  <c r="CY86" i="4"/>
  <c r="CQ86" i="4"/>
  <c r="BS86" i="4"/>
  <c r="BK86" i="4"/>
  <c r="BC86" i="4"/>
  <c r="AU86" i="4"/>
  <c r="AM86" i="4"/>
  <c r="AE86" i="4"/>
  <c r="W86" i="4"/>
  <c r="O86" i="4"/>
  <c r="G86" i="4"/>
  <c r="DO85" i="4"/>
  <c r="DG85" i="4"/>
  <c r="CY85" i="4"/>
  <c r="CQ85" i="4"/>
  <c r="BS85" i="4"/>
  <c r="BK85" i="4"/>
  <c r="BC85" i="4"/>
  <c r="AU85" i="4"/>
  <c r="AM85" i="4"/>
  <c r="AE85" i="4"/>
  <c r="W85" i="4"/>
  <c r="O85" i="4"/>
  <c r="G85" i="4"/>
  <c r="DO84" i="4"/>
  <c r="DG84" i="4"/>
  <c r="CY84" i="4"/>
  <c r="CQ84" i="4"/>
  <c r="BS84" i="4"/>
  <c r="BK84" i="4"/>
  <c r="BC84" i="4"/>
  <c r="AU84" i="4"/>
  <c r="AM84" i="4"/>
  <c r="AE84" i="4"/>
  <c r="W84" i="4"/>
  <c r="O84" i="4"/>
  <c r="G84" i="4"/>
  <c r="DO83" i="4"/>
  <c r="DG83" i="4"/>
  <c r="CY83" i="4"/>
  <c r="CQ83" i="4"/>
  <c r="BS83" i="4"/>
  <c r="BK83" i="4"/>
  <c r="BC83" i="4"/>
  <c r="AU83" i="4"/>
  <c r="AM83" i="4"/>
  <c r="AE83" i="4"/>
  <c r="W83" i="4"/>
  <c r="O83" i="4"/>
  <c r="G83" i="4"/>
  <c r="DO82" i="4"/>
  <c r="DG82" i="4"/>
  <c r="CY82" i="4"/>
  <c r="CQ82" i="4"/>
  <c r="BS82" i="4"/>
  <c r="BK82" i="4"/>
  <c r="BC82" i="4"/>
  <c r="AU82" i="4"/>
  <c r="AM82" i="4"/>
  <c r="AE82" i="4"/>
  <c r="W82" i="4"/>
  <c r="O82" i="4"/>
  <c r="G82" i="4"/>
  <c r="DO81" i="4"/>
  <c r="DG81" i="4"/>
  <c r="CY81" i="4"/>
  <c r="CQ81" i="4"/>
  <c r="BS81" i="4"/>
  <c r="BK81" i="4"/>
  <c r="BC81" i="4"/>
  <c r="AU81" i="4"/>
  <c r="AM81" i="4"/>
  <c r="AE81" i="4"/>
  <c r="W81" i="4"/>
  <c r="O81" i="4"/>
  <c r="G81" i="4"/>
  <c r="DO80" i="4"/>
  <c r="DG80" i="4"/>
  <c r="CY80" i="4"/>
  <c r="CQ80" i="4"/>
  <c r="BS80" i="4"/>
  <c r="BK80" i="4"/>
  <c r="BC80" i="4"/>
  <c r="AU80" i="4"/>
  <c r="AM80" i="4"/>
  <c r="AE80" i="4"/>
  <c r="W80" i="4"/>
  <c r="O80" i="4"/>
  <c r="G80" i="4"/>
  <c r="DO79" i="4"/>
  <c r="DG79" i="4"/>
  <c r="CY79" i="4"/>
  <c r="CQ79" i="4"/>
  <c r="BS79" i="4"/>
  <c r="BK79" i="4"/>
  <c r="BC79" i="4"/>
  <c r="AU79" i="4"/>
  <c r="AM79" i="4"/>
  <c r="AE79" i="4"/>
  <c r="W79" i="4"/>
  <c r="O79" i="4"/>
  <c r="G79" i="4"/>
  <c r="DO78" i="4"/>
  <c r="DG78" i="4"/>
  <c r="CY78" i="4"/>
  <c r="CQ78" i="4"/>
  <c r="BS78" i="4"/>
  <c r="BK78" i="4"/>
  <c r="BC78" i="4"/>
  <c r="AU78" i="4"/>
  <c r="AM78" i="4"/>
  <c r="AE78" i="4"/>
  <c r="W78" i="4"/>
  <c r="O78" i="4"/>
  <c r="G78" i="4"/>
  <c r="DO77" i="4"/>
  <c r="DG77" i="4"/>
  <c r="CY77" i="4"/>
  <c r="CQ77" i="4"/>
  <c r="BS77" i="4"/>
  <c r="BK77" i="4"/>
  <c r="BC77" i="4"/>
  <c r="AU77" i="4"/>
  <c r="AM77" i="4"/>
  <c r="AE77" i="4"/>
  <c r="W77" i="4"/>
  <c r="O77" i="4"/>
  <c r="G77" i="4"/>
  <c r="DO76" i="4"/>
  <c r="DG76" i="4"/>
  <c r="CY76" i="4"/>
  <c r="CQ76" i="4"/>
  <c r="BS76" i="4"/>
  <c r="BK76" i="4"/>
  <c r="BC76" i="4"/>
  <c r="AU76" i="4"/>
  <c r="AM76" i="4"/>
  <c r="AE76" i="4"/>
  <c r="W76" i="4"/>
  <c r="O76" i="4"/>
  <c r="G76" i="4"/>
  <c r="DO75" i="4"/>
  <c r="DG75" i="4"/>
  <c r="CY75" i="4"/>
  <c r="CQ75" i="4"/>
  <c r="BS75" i="4"/>
  <c r="BK75" i="4"/>
  <c r="BC75" i="4"/>
  <c r="AU75" i="4"/>
  <c r="AM75" i="4"/>
  <c r="AE75" i="4"/>
  <c r="W75" i="4"/>
  <c r="O75" i="4"/>
  <c r="G75" i="4"/>
  <c r="DO74" i="4"/>
  <c r="DG74" i="4"/>
  <c r="CY74" i="4"/>
  <c r="CQ74" i="4"/>
  <c r="BS74" i="4"/>
  <c r="BK74" i="4"/>
  <c r="BC74" i="4"/>
  <c r="AU74" i="4"/>
  <c r="AM74" i="4"/>
  <c r="AE74" i="4"/>
  <c r="W74" i="4"/>
  <c r="O74" i="4"/>
  <c r="G74" i="4"/>
  <c r="DO73" i="4"/>
  <c r="DG73" i="4"/>
  <c r="CY73" i="4"/>
  <c r="CQ73" i="4"/>
  <c r="BS73" i="4"/>
  <c r="BK73" i="4"/>
  <c r="BC73" i="4"/>
  <c r="AU73" i="4"/>
  <c r="AM73" i="4"/>
  <c r="AE73" i="4"/>
  <c r="W73" i="4"/>
  <c r="O73" i="4"/>
  <c r="G73" i="4"/>
  <c r="DO72" i="4"/>
  <c r="DG72" i="4"/>
  <c r="CY72" i="4"/>
  <c r="CQ72" i="4"/>
  <c r="BS72" i="4"/>
  <c r="BK72" i="4"/>
  <c r="BC72" i="4"/>
  <c r="AU72" i="4"/>
  <c r="AM72" i="4"/>
  <c r="AE72" i="4"/>
  <c r="W72" i="4"/>
  <c r="O72" i="4"/>
  <c r="G72" i="4"/>
  <c r="DO71" i="4"/>
  <c r="DG71" i="4"/>
  <c r="CY71" i="4"/>
  <c r="CQ71" i="4"/>
  <c r="BS71" i="4"/>
  <c r="BK71" i="4"/>
  <c r="BC71" i="4"/>
  <c r="AU71" i="4"/>
  <c r="AM71" i="4"/>
  <c r="AE71" i="4"/>
  <c r="W71" i="4"/>
  <c r="O71" i="4"/>
  <c r="G71" i="4"/>
  <c r="DO70" i="4"/>
  <c r="DG70" i="4"/>
  <c r="CY70" i="4"/>
  <c r="CQ70" i="4"/>
  <c r="BS70" i="4"/>
  <c r="BK70" i="4"/>
  <c r="BC70" i="4"/>
  <c r="AU70" i="4"/>
  <c r="AM70" i="4"/>
  <c r="AE70" i="4"/>
  <c r="W70" i="4"/>
  <c r="O70" i="4"/>
  <c r="G70" i="4"/>
  <c r="DO69" i="4"/>
  <c r="DG69" i="4"/>
  <c r="CY69" i="4"/>
  <c r="CQ69" i="4"/>
  <c r="BS69" i="4"/>
  <c r="BK69" i="4"/>
  <c r="BC69" i="4"/>
  <c r="AU69" i="4"/>
  <c r="AM69" i="4"/>
  <c r="AE69" i="4"/>
  <c r="W69" i="4"/>
  <c r="O69" i="4"/>
  <c r="G69" i="4"/>
  <c r="DO68" i="4"/>
  <c r="DG68" i="4"/>
  <c r="CY68" i="4"/>
  <c r="CQ68" i="4"/>
  <c r="BS68" i="4"/>
  <c r="BK68" i="4"/>
  <c r="BC68" i="4"/>
  <c r="AU68" i="4"/>
  <c r="AM68" i="4"/>
  <c r="AE68" i="4"/>
  <c r="W68" i="4"/>
  <c r="O68" i="4"/>
  <c r="G68" i="4"/>
  <c r="DP58" i="4"/>
  <c r="AD18" i="5" s="1"/>
  <c r="DO58" i="4"/>
  <c r="DH58" i="4"/>
  <c r="AB18" i="5" s="1"/>
  <c r="DG58" i="4"/>
  <c r="CZ58" i="4"/>
  <c r="Z18" i="5" s="1"/>
  <c r="CY58" i="4"/>
  <c r="CR58" i="4"/>
  <c r="X18" i="5" s="1"/>
  <c r="CQ58" i="4"/>
  <c r="BT58" i="4"/>
  <c r="R18" i="5" s="1"/>
  <c r="BS58" i="4"/>
  <c r="BL58" i="4"/>
  <c r="P18" i="5" s="1"/>
  <c r="BK58" i="4"/>
  <c r="BD58" i="4"/>
  <c r="N18" i="5" s="1"/>
  <c r="BC58" i="4"/>
  <c r="AV58" i="4"/>
  <c r="L18" i="5" s="1"/>
  <c r="AU58" i="4"/>
  <c r="AN58" i="4"/>
  <c r="J18" i="5" s="1"/>
  <c r="AM58" i="4"/>
  <c r="AF58" i="4"/>
  <c r="H18" i="5" s="1"/>
  <c r="AE58" i="4"/>
  <c r="X58" i="4"/>
  <c r="F18" i="5" s="1"/>
  <c r="W58" i="4"/>
  <c r="P58" i="4"/>
  <c r="D18" i="5" s="1"/>
  <c r="O58" i="4"/>
  <c r="H58" i="4"/>
  <c r="B18" i="5" s="1"/>
  <c r="G58" i="4"/>
  <c r="DO57" i="4"/>
  <c r="DG57" i="4"/>
  <c r="CY57" i="4"/>
  <c r="CQ57" i="4"/>
  <c r="BS57" i="4"/>
  <c r="BK57" i="4"/>
  <c r="BC57" i="4"/>
  <c r="AU57" i="4"/>
  <c r="AM57" i="4"/>
  <c r="AE57" i="4"/>
  <c r="W57" i="4"/>
  <c r="O57" i="4"/>
  <c r="G57" i="4"/>
  <c r="DO56" i="4"/>
  <c r="DG56" i="4"/>
  <c r="CY56" i="4"/>
  <c r="CQ56" i="4"/>
  <c r="BS56" i="4"/>
  <c r="BK56" i="4"/>
  <c r="BC56" i="4"/>
  <c r="AU56" i="4"/>
  <c r="AM56" i="4"/>
  <c r="AE56" i="4"/>
  <c r="W56" i="4"/>
  <c r="O56" i="4"/>
  <c r="G56" i="4"/>
  <c r="DO55" i="4"/>
  <c r="DG55" i="4"/>
  <c r="CY55" i="4"/>
  <c r="CQ55" i="4"/>
  <c r="BS55" i="4"/>
  <c r="BK55" i="4"/>
  <c r="BC55" i="4"/>
  <c r="AU55" i="4"/>
  <c r="AM55" i="4"/>
  <c r="AE55" i="4"/>
  <c r="W55" i="4"/>
  <c r="O55" i="4"/>
  <c r="G55" i="4"/>
  <c r="DO54" i="4"/>
  <c r="DG54" i="4"/>
  <c r="CY54" i="4"/>
  <c r="CQ54" i="4"/>
  <c r="BS54" i="4"/>
  <c r="BK54" i="4"/>
  <c r="BC54" i="4"/>
  <c r="AU54" i="4"/>
  <c r="AM54" i="4"/>
  <c r="AE54" i="4"/>
  <c r="W54" i="4"/>
  <c r="O54" i="4"/>
  <c r="G54" i="4"/>
  <c r="DO53" i="4"/>
  <c r="DG53" i="4"/>
  <c r="CY53" i="4"/>
  <c r="CQ53" i="4"/>
  <c r="BS53" i="4"/>
  <c r="BK53" i="4"/>
  <c r="BC53" i="4"/>
  <c r="AU53" i="4"/>
  <c r="AM53" i="4"/>
  <c r="AE53" i="4"/>
  <c r="W53" i="4"/>
  <c r="O53" i="4"/>
  <c r="G53" i="4"/>
  <c r="DO52" i="4"/>
  <c r="DG52" i="4"/>
  <c r="CY52" i="4"/>
  <c r="CQ52" i="4"/>
  <c r="BS52" i="4"/>
  <c r="BK52" i="4"/>
  <c r="BC52" i="4"/>
  <c r="AU52" i="4"/>
  <c r="AM52" i="4"/>
  <c r="AE52" i="4"/>
  <c r="W52" i="4"/>
  <c r="O52" i="4"/>
  <c r="G52" i="4"/>
  <c r="DO51" i="4"/>
  <c r="DG51" i="4"/>
  <c r="CY51" i="4"/>
  <c r="CQ51" i="4"/>
  <c r="BS51" i="4"/>
  <c r="BK51" i="4"/>
  <c r="BC51" i="4"/>
  <c r="AU51" i="4"/>
  <c r="AM51" i="4"/>
  <c r="AE51" i="4"/>
  <c r="W51" i="4"/>
  <c r="O51" i="4"/>
  <c r="G51" i="4"/>
  <c r="DO50" i="4"/>
  <c r="DG50" i="4"/>
  <c r="CY50" i="4"/>
  <c r="CQ50" i="4"/>
  <c r="BS50" i="4"/>
  <c r="BK50" i="4"/>
  <c r="BC50" i="4"/>
  <c r="AU50" i="4"/>
  <c r="AM50" i="4"/>
  <c r="AE50" i="4"/>
  <c r="W50" i="4"/>
  <c r="O50" i="4"/>
  <c r="G50" i="4"/>
  <c r="DO49" i="4"/>
  <c r="DG49" i="4"/>
  <c r="CY49" i="4"/>
  <c r="CQ49" i="4"/>
  <c r="BS49" i="4"/>
  <c r="BK49" i="4"/>
  <c r="BC49" i="4"/>
  <c r="AU49" i="4"/>
  <c r="AM49" i="4"/>
  <c r="AE49" i="4"/>
  <c r="W49" i="4"/>
  <c r="O49" i="4"/>
  <c r="G49" i="4"/>
  <c r="DO48" i="4"/>
  <c r="DG48" i="4"/>
  <c r="CY48" i="4"/>
  <c r="CQ48" i="4"/>
  <c r="BS48" i="4"/>
  <c r="BK48" i="4"/>
  <c r="BC48" i="4"/>
  <c r="AU48" i="4"/>
  <c r="AM48" i="4"/>
  <c r="AE48" i="4"/>
  <c r="W48" i="4"/>
  <c r="O48" i="4"/>
  <c r="G48" i="4"/>
  <c r="DO47" i="4"/>
  <c r="DG47" i="4"/>
  <c r="CY47" i="4"/>
  <c r="CQ47" i="4"/>
  <c r="BS47" i="4"/>
  <c r="BK47" i="4"/>
  <c r="BC47" i="4"/>
  <c r="AU47" i="4"/>
  <c r="AM47" i="4"/>
  <c r="AE47" i="4"/>
  <c r="W47" i="4"/>
  <c r="O47" i="4"/>
  <c r="G47" i="4"/>
  <c r="DP46" i="4"/>
  <c r="AD25" i="5" s="1"/>
  <c r="DO46" i="4"/>
  <c r="DH46" i="4"/>
  <c r="AB25" i="5" s="1"/>
  <c r="DG46" i="4"/>
  <c r="CZ46" i="4"/>
  <c r="Z25" i="5" s="1"/>
  <c r="CY46" i="4"/>
  <c r="CR46" i="4"/>
  <c r="X25" i="5" s="1"/>
  <c r="CQ46" i="4"/>
  <c r="BT46" i="4"/>
  <c r="R25" i="5" s="1"/>
  <c r="BS46" i="4"/>
  <c r="BL46" i="4"/>
  <c r="P25" i="5" s="1"/>
  <c r="BK46" i="4"/>
  <c r="BD46" i="4"/>
  <c r="N25" i="5" s="1"/>
  <c r="BC46" i="4"/>
  <c r="AV46" i="4"/>
  <c r="L25" i="5" s="1"/>
  <c r="AU46" i="4"/>
  <c r="AN46" i="4"/>
  <c r="J25" i="5" s="1"/>
  <c r="AM46" i="4"/>
  <c r="AF46" i="4"/>
  <c r="H25" i="5" s="1"/>
  <c r="AE46" i="4"/>
  <c r="X46" i="4"/>
  <c r="F25" i="5" s="1"/>
  <c r="W46" i="4"/>
  <c r="P46" i="4"/>
  <c r="D25" i="5" s="1"/>
  <c r="O46" i="4"/>
  <c r="H46" i="4"/>
  <c r="B25" i="5" s="1"/>
  <c r="G46" i="4"/>
  <c r="DO45" i="4"/>
  <c r="DG45" i="4"/>
  <c r="CY45" i="4"/>
  <c r="CQ45" i="4"/>
  <c r="BS45" i="4"/>
  <c r="BK45" i="4"/>
  <c r="BC45" i="4"/>
  <c r="AU45" i="4"/>
  <c r="AM45" i="4"/>
  <c r="AE45" i="4"/>
  <c r="W45" i="4"/>
  <c r="O45" i="4"/>
  <c r="G45" i="4"/>
  <c r="DO44" i="4"/>
  <c r="DG44" i="4"/>
  <c r="CY44" i="4"/>
  <c r="CQ44" i="4"/>
  <c r="BS44" i="4"/>
  <c r="BK44" i="4"/>
  <c r="BC44" i="4"/>
  <c r="AU44" i="4"/>
  <c r="AM44" i="4"/>
  <c r="AE44" i="4"/>
  <c r="W44" i="4"/>
  <c r="O44" i="4"/>
  <c r="G44" i="4"/>
  <c r="DO43" i="4"/>
  <c r="DG43" i="4"/>
  <c r="CY43" i="4"/>
  <c r="CQ43" i="4"/>
  <c r="BS43" i="4"/>
  <c r="BK43" i="4"/>
  <c r="BC43" i="4"/>
  <c r="AU43" i="4"/>
  <c r="AM43" i="4"/>
  <c r="AE43" i="4"/>
  <c r="W43" i="4"/>
  <c r="O43" i="4"/>
  <c r="G43" i="4"/>
  <c r="DO42" i="4"/>
  <c r="DG42" i="4"/>
  <c r="CY42" i="4"/>
  <c r="CQ42" i="4"/>
  <c r="BS42" i="4"/>
  <c r="BK42" i="4"/>
  <c r="BC42" i="4"/>
  <c r="AU42" i="4"/>
  <c r="AM42" i="4"/>
  <c r="AE42" i="4"/>
  <c r="W42" i="4"/>
  <c r="O42" i="4"/>
  <c r="G42" i="4"/>
  <c r="DO41" i="4"/>
  <c r="DG41" i="4"/>
  <c r="CY41" i="4"/>
  <c r="CQ41" i="4"/>
  <c r="BS41" i="4"/>
  <c r="BK41" i="4"/>
  <c r="BC41" i="4"/>
  <c r="AU41" i="4"/>
  <c r="AM41" i="4"/>
  <c r="AE41" i="4"/>
  <c r="W41" i="4"/>
  <c r="O41" i="4"/>
  <c r="G41" i="4"/>
  <c r="DO40" i="4"/>
  <c r="DG40" i="4"/>
  <c r="CY40" i="4"/>
  <c r="CQ40" i="4"/>
  <c r="BS40" i="4"/>
  <c r="BK40" i="4"/>
  <c r="BC40" i="4"/>
  <c r="AU40" i="4"/>
  <c r="AM40" i="4"/>
  <c r="AE40" i="4"/>
  <c r="W40" i="4"/>
  <c r="O40" i="4"/>
  <c r="G40" i="4"/>
  <c r="DO39" i="4"/>
  <c r="DG39" i="4"/>
  <c r="CY39" i="4"/>
  <c r="CQ39" i="4"/>
  <c r="BS39" i="4"/>
  <c r="BK39" i="4"/>
  <c r="BC39" i="4"/>
  <c r="AU39" i="4"/>
  <c r="AM39" i="4"/>
  <c r="AE39" i="4"/>
  <c r="W39" i="4"/>
  <c r="O39" i="4"/>
  <c r="G39" i="4"/>
  <c r="DO38" i="4"/>
  <c r="DG38" i="4"/>
  <c r="CY38" i="4"/>
  <c r="CQ38" i="4"/>
  <c r="BS38" i="4"/>
  <c r="BK38" i="4"/>
  <c r="BC38" i="4"/>
  <c r="AU38" i="4"/>
  <c r="AM38" i="4"/>
  <c r="AE38" i="4"/>
  <c r="W38" i="4"/>
  <c r="O38" i="4"/>
  <c r="G38" i="4"/>
  <c r="DO37" i="4"/>
  <c r="DG37" i="4"/>
  <c r="CY37" i="4"/>
  <c r="CQ37" i="4"/>
  <c r="BS37" i="4"/>
  <c r="BK37" i="4"/>
  <c r="BC37" i="4"/>
  <c r="AU37" i="4"/>
  <c r="AM37" i="4"/>
  <c r="AE37" i="4"/>
  <c r="W37" i="4"/>
  <c r="O37" i="4"/>
  <c r="G37" i="4"/>
  <c r="DP36" i="4"/>
  <c r="AD22" i="5" s="1"/>
  <c r="DO36" i="4"/>
  <c r="DH36" i="4"/>
  <c r="AB22" i="5" s="1"/>
  <c r="DG36" i="4"/>
  <c r="CZ36" i="4"/>
  <c r="Z22" i="5" s="1"/>
  <c r="CY36" i="4"/>
  <c r="CR36" i="4"/>
  <c r="X22" i="5" s="1"/>
  <c r="CQ36" i="4"/>
  <c r="BT36" i="4"/>
  <c r="R22" i="5" s="1"/>
  <c r="BS36" i="4"/>
  <c r="BL36" i="4"/>
  <c r="P22" i="5" s="1"/>
  <c r="BK36" i="4"/>
  <c r="BD36" i="4"/>
  <c r="N22" i="5" s="1"/>
  <c r="BC36" i="4"/>
  <c r="AV36" i="4"/>
  <c r="L22" i="5" s="1"/>
  <c r="AU36" i="4"/>
  <c r="AN36" i="4"/>
  <c r="J22" i="5" s="1"/>
  <c r="AM36" i="4"/>
  <c r="AF36" i="4"/>
  <c r="H22" i="5" s="1"/>
  <c r="AE36" i="4"/>
  <c r="X36" i="4"/>
  <c r="F22" i="5" s="1"/>
  <c r="W36" i="4"/>
  <c r="P36" i="4"/>
  <c r="D22" i="5" s="1"/>
  <c r="O36" i="4"/>
  <c r="H36" i="4"/>
  <c r="B22" i="5" s="1"/>
  <c r="G36" i="4"/>
  <c r="DO35" i="4"/>
  <c r="DG35" i="4"/>
  <c r="CY35" i="4"/>
  <c r="CQ35" i="4"/>
  <c r="BS35" i="4"/>
  <c r="BK35" i="4"/>
  <c r="BC35" i="4"/>
  <c r="AU35" i="4"/>
  <c r="AM35" i="4"/>
  <c r="AE35" i="4"/>
  <c r="W35" i="4"/>
  <c r="O35" i="4"/>
  <c r="G35" i="4"/>
  <c r="DO34" i="4"/>
  <c r="DG34" i="4"/>
  <c r="CY34" i="4"/>
  <c r="CQ34" i="4"/>
  <c r="BS34" i="4"/>
  <c r="BK34" i="4"/>
  <c r="BC34" i="4"/>
  <c r="AU34" i="4"/>
  <c r="AM34" i="4"/>
  <c r="AE34" i="4"/>
  <c r="W34" i="4"/>
  <c r="O34" i="4"/>
  <c r="G34" i="4"/>
  <c r="DO33" i="4"/>
  <c r="DG33" i="4"/>
  <c r="CY33" i="4"/>
  <c r="CQ33" i="4"/>
  <c r="BS33" i="4"/>
  <c r="BK33" i="4"/>
  <c r="BC33" i="4"/>
  <c r="AU33" i="4"/>
  <c r="AM33" i="4"/>
  <c r="AE33" i="4"/>
  <c r="W33" i="4"/>
  <c r="O33" i="4"/>
  <c r="G33" i="4"/>
  <c r="DO32" i="4"/>
  <c r="DG32" i="4"/>
  <c r="CY32" i="4"/>
  <c r="CQ32" i="4"/>
  <c r="BS32" i="4"/>
  <c r="BK32" i="4"/>
  <c r="BC32" i="4"/>
  <c r="AU32" i="4"/>
  <c r="AM32" i="4"/>
  <c r="AE32" i="4"/>
  <c r="W32" i="4"/>
  <c r="O32" i="4"/>
  <c r="G32" i="4"/>
  <c r="DO31" i="4"/>
  <c r="DG31" i="4"/>
  <c r="CY31" i="4"/>
  <c r="CQ31" i="4"/>
  <c r="BS31" i="4"/>
  <c r="BK31" i="4"/>
  <c r="BC31" i="4"/>
  <c r="AU31" i="4"/>
  <c r="AM31" i="4"/>
  <c r="AE31" i="4"/>
  <c r="W31" i="4"/>
  <c r="O31" i="4"/>
  <c r="G31" i="4"/>
  <c r="DO30" i="4"/>
  <c r="DG30" i="4"/>
  <c r="CY30" i="4"/>
  <c r="CQ30" i="4"/>
  <c r="BS30" i="4"/>
  <c r="BK30" i="4"/>
  <c r="BC30" i="4"/>
  <c r="AU30" i="4"/>
  <c r="AM30" i="4"/>
  <c r="AE30" i="4"/>
  <c r="W30" i="4"/>
  <c r="O30" i="4"/>
  <c r="G30" i="4"/>
  <c r="DO29" i="4"/>
  <c r="DG29" i="4"/>
  <c r="CY29" i="4"/>
  <c r="CQ29" i="4"/>
  <c r="BS29" i="4"/>
  <c r="BK29" i="4"/>
  <c r="BC29" i="4"/>
  <c r="AU29" i="4"/>
  <c r="AM29" i="4"/>
  <c r="AE29" i="4"/>
  <c r="W29" i="4"/>
  <c r="O29" i="4"/>
  <c r="G29" i="4"/>
  <c r="DO28" i="4"/>
  <c r="DG28" i="4"/>
  <c r="CY28" i="4"/>
  <c r="CQ28" i="4"/>
  <c r="BS28" i="4"/>
  <c r="BK28" i="4"/>
  <c r="BC28" i="4"/>
  <c r="AU28" i="4"/>
  <c r="AM28" i="4"/>
  <c r="AE28" i="4"/>
  <c r="W28" i="4"/>
  <c r="O28" i="4"/>
  <c r="G28" i="4"/>
  <c r="DP27" i="4"/>
  <c r="AD17" i="5" s="1"/>
  <c r="DO27" i="4"/>
  <c r="DH27" i="4"/>
  <c r="AB17" i="5" s="1"/>
  <c r="DG27" i="4"/>
  <c r="CZ27" i="4"/>
  <c r="Z17" i="5" s="1"/>
  <c r="CY27" i="4"/>
  <c r="CR27" i="4"/>
  <c r="X17" i="5" s="1"/>
  <c r="CQ27" i="4"/>
  <c r="BT27" i="4"/>
  <c r="R17" i="5" s="1"/>
  <c r="BS27" i="4"/>
  <c r="BL27" i="4"/>
  <c r="P17" i="5" s="1"/>
  <c r="BK27" i="4"/>
  <c r="BD27" i="4"/>
  <c r="N17" i="5" s="1"/>
  <c r="BC27" i="4"/>
  <c r="AV27" i="4"/>
  <c r="L17" i="5" s="1"/>
  <c r="AU27" i="4"/>
  <c r="AN27" i="4"/>
  <c r="J17" i="5" s="1"/>
  <c r="AM27" i="4"/>
  <c r="AF27" i="4"/>
  <c r="H17" i="5" s="1"/>
  <c r="AE27" i="4"/>
  <c r="X27" i="4"/>
  <c r="F17" i="5" s="1"/>
  <c r="W27" i="4"/>
  <c r="P27" i="4"/>
  <c r="D17" i="5" s="1"/>
  <c r="O27" i="4"/>
  <c r="H27" i="4"/>
  <c r="B17" i="5" s="1"/>
  <c r="G27" i="4"/>
  <c r="DP26" i="4"/>
  <c r="AD16" i="5" s="1"/>
  <c r="DO26" i="4"/>
  <c r="DH26" i="4"/>
  <c r="AB16" i="5" s="1"/>
  <c r="DG26" i="4"/>
  <c r="CZ26" i="4"/>
  <c r="Z16" i="5" s="1"/>
  <c r="CY26" i="4"/>
  <c r="CR26" i="4"/>
  <c r="X16" i="5" s="1"/>
  <c r="CQ26" i="4"/>
  <c r="BT26" i="4"/>
  <c r="R16" i="5" s="1"/>
  <c r="BS26" i="4"/>
  <c r="BL26" i="4"/>
  <c r="P16" i="5" s="1"/>
  <c r="BK26" i="4"/>
  <c r="BD26" i="4"/>
  <c r="N16" i="5" s="1"/>
  <c r="BC26" i="4"/>
  <c r="AV26" i="4"/>
  <c r="L16" i="5" s="1"/>
  <c r="AU26" i="4"/>
  <c r="AN26" i="4"/>
  <c r="J16" i="5" s="1"/>
  <c r="AM26" i="4"/>
  <c r="AF26" i="4"/>
  <c r="H16" i="5" s="1"/>
  <c r="AE26" i="4"/>
  <c r="X26" i="4"/>
  <c r="F16" i="5" s="1"/>
  <c r="W26" i="4"/>
  <c r="P26" i="4"/>
  <c r="D16" i="5" s="1"/>
  <c r="O26" i="4"/>
  <c r="H26" i="4"/>
  <c r="B16" i="5" s="1"/>
  <c r="G26" i="4"/>
  <c r="DO25" i="4"/>
  <c r="DG25" i="4"/>
  <c r="CY25" i="4"/>
  <c r="CQ25" i="4"/>
  <c r="BS25" i="4"/>
  <c r="BK25" i="4"/>
  <c r="BC25" i="4"/>
  <c r="AU25" i="4"/>
  <c r="AM25" i="4"/>
  <c r="AE25" i="4"/>
  <c r="W25" i="4"/>
  <c r="O25" i="4"/>
  <c r="G25" i="4"/>
  <c r="DO24" i="4"/>
  <c r="DG24" i="4"/>
  <c r="CY24" i="4"/>
  <c r="CQ24" i="4"/>
  <c r="BS24" i="4"/>
  <c r="BK24" i="4"/>
  <c r="BC24" i="4"/>
  <c r="AU24" i="4"/>
  <c r="AM24" i="4"/>
  <c r="AE24" i="4"/>
  <c r="W24" i="4"/>
  <c r="O24" i="4"/>
  <c r="G24" i="4"/>
  <c r="DO23" i="4"/>
  <c r="DG23" i="4"/>
  <c r="CY23" i="4"/>
  <c r="CQ23" i="4"/>
  <c r="BS23" i="4"/>
  <c r="BK23" i="4"/>
  <c r="BC23" i="4"/>
  <c r="AU23" i="4"/>
  <c r="AM23" i="4"/>
  <c r="AE23" i="4"/>
  <c r="W23" i="4"/>
  <c r="O23" i="4"/>
  <c r="G23" i="4"/>
  <c r="DO22" i="4"/>
  <c r="DG22" i="4"/>
  <c r="CY22" i="4"/>
  <c r="CQ22" i="4"/>
  <c r="BS22" i="4"/>
  <c r="BK22" i="4"/>
  <c r="BC22" i="4"/>
  <c r="AU22" i="4"/>
  <c r="AM22" i="4"/>
  <c r="AE22" i="4"/>
  <c r="W22" i="4"/>
  <c r="O22" i="4"/>
  <c r="G22" i="4"/>
  <c r="DO21" i="4"/>
  <c r="DG21" i="4"/>
  <c r="CY21" i="4"/>
  <c r="CQ21" i="4"/>
  <c r="BS21" i="4"/>
  <c r="BK21" i="4"/>
  <c r="BC21" i="4"/>
  <c r="AU21" i="4"/>
  <c r="AM21" i="4"/>
  <c r="AE21" i="4"/>
  <c r="W21" i="4"/>
  <c r="O21" i="4"/>
  <c r="G21" i="4"/>
  <c r="DO20" i="4"/>
  <c r="DG20" i="4"/>
  <c r="CY20" i="4"/>
  <c r="CQ20" i="4"/>
  <c r="BS20" i="4"/>
  <c r="BK20" i="4"/>
  <c r="BC20" i="4"/>
  <c r="AU20" i="4"/>
  <c r="AM20" i="4"/>
  <c r="AE20" i="4"/>
  <c r="W20" i="4"/>
  <c r="O20" i="4"/>
  <c r="G20" i="4"/>
  <c r="DO19" i="4"/>
  <c r="DG19" i="4"/>
  <c r="CY19" i="4"/>
  <c r="CQ19" i="4"/>
  <c r="BS19" i="4"/>
  <c r="BK19" i="4"/>
  <c r="BC19" i="4"/>
  <c r="AU19" i="4"/>
  <c r="AM19" i="4"/>
  <c r="AE19" i="4"/>
  <c r="W19" i="4"/>
  <c r="O19" i="4"/>
  <c r="G19" i="4"/>
  <c r="DO18" i="4"/>
  <c r="DG18" i="4"/>
  <c r="CY18" i="4"/>
  <c r="CQ18" i="4"/>
  <c r="BS18" i="4"/>
  <c r="BK18" i="4"/>
  <c r="BC18" i="4"/>
  <c r="AU18" i="4"/>
  <c r="AM18" i="4"/>
  <c r="AE18" i="4"/>
  <c r="W18" i="4"/>
  <c r="O18" i="4"/>
  <c r="G18" i="4"/>
  <c r="DO17" i="4"/>
  <c r="DG17" i="4"/>
  <c r="CY17" i="4"/>
  <c r="CQ17" i="4"/>
  <c r="BS17" i="4"/>
  <c r="BK17" i="4"/>
  <c r="BC17" i="4"/>
  <c r="AU17" i="4"/>
  <c r="AM17" i="4"/>
  <c r="AE17" i="4"/>
  <c r="W17" i="4"/>
  <c r="O17" i="4"/>
  <c r="G17" i="4"/>
  <c r="DO16" i="4"/>
  <c r="DG16" i="4"/>
  <c r="CY16" i="4"/>
  <c r="CQ16" i="4"/>
  <c r="BS16" i="4"/>
  <c r="BK16" i="4"/>
  <c r="BC16" i="4"/>
  <c r="AU16" i="4"/>
  <c r="AM16" i="4"/>
  <c r="AE16" i="4"/>
  <c r="W16" i="4"/>
  <c r="O16" i="4"/>
  <c r="G16" i="4"/>
  <c r="DO15" i="4"/>
  <c r="DG15" i="4"/>
  <c r="CY15" i="4"/>
  <c r="CQ15" i="4"/>
  <c r="BS15" i="4"/>
  <c r="BK15" i="4"/>
  <c r="BC15" i="4"/>
  <c r="AU15" i="4"/>
  <c r="AM15" i="4"/>
  <c r="AE15" i="4"/>
  <c r="W15" i="4"/>
  <c r="O15" i="4"/>
  <c r="G15" i="4"/>
  <c r="DO14" i="4"/>
  <c r="DG14" i="4"/>
  <c r="CY14" i="4"/>
  <c r="CQ14" i="4"/>
  <c r="BS14" i="4"/>
  <c r="BK14" i="4"/>
  <c r="BC14" i="4"/>
  <c r="AU14" i="4"/>
  <c r="AM14" i="4"/>
  <c r="AE14" i="4"/>
  <c r="W14" i="4"/>
  <c r="O14" i="4"/>
  <c r="G14" i="4"/>
  <c r="DO13" i="4"/>
  <c r="DG13" i="4"/>
  <c r="CY13" i="4"/>
  <c r="CQ13" i="4"/>
  <c r="BS13" i="4"/>
  <c r="BK13" i="4"/>
  <c r="BC13" i="4"/>
  <c r="AU13" i="4"/>
  <c r="AM13" i="4"/>
  <c r="AE13" i="4"/>
  <c r="W13" i="4"/>
  <c r="O13" i="4"/>
  <c r="G13" i="4"/>
  <c r="DO12" i="4"/>
  <c r="DG12" i="4"/>
  <c r="CY12" i="4"/>
  <c r="CQ12" i="4"/>
  <c r="BS12" i="4"/>
  <c r="BK12" i="4"/>
  <c r="BC12" i="4"/>
  <c r="AU12" i="4"/>
  <c r="AM12" i="4"/>
  <c r="AE12" i="4"/>
  <c r="W12" i="4"/>
  <c r="O12" i="4"/>
  <c r="G12" i="4"/>
  <c r="DO11" i="4"/>
  <c r="DG11" i="4"/>
  <c r="CY11" i="4"/>
  <c r="CQ11" i="4"/>
  <c r="BS11" i="4"/>
  <c r="BK11" i="4"/>
  <c r="BC11" i="4"/>
  <c r="AU11" i="4"/>
  <c r="AM11" i="4"/>
  <c r="AE11" i="4"/>
  <c r="W11" i="4"/>
  <c r="O11" i="4"/>
  <c r="G11" i="4"/>
  <c r="DO10" i="4"/>
  <c r="DG10" i="4"/>
  <c r="CY10" i="4"/>
  <c r="CQ10" i="4"/>
  <c r="BS10" i="4"/>
  <c r="BK10" i="4"/>
  <c r="BC10" i="4"/>
  <c r="AU10" i="4"/>
  <c r="AM10" i="4"/>
  <c r="AE10" i="4"/>
  <c r="W10" i="4"/>
  <c r="O10" i="4"/>
  <c r="G10" i="4"/>
  <c r="DO9" i="4"/>
  <c r="DG9" i="4"/>
  <c r="CY9" i="4"/>
  <c r="CQ9" i="4"/>
  <c r="BS9" i="4"/>
  <c r="BK9" i="4"/>
  <c r="BC9" i="4"/>
  <c r="AU9" i="4"/>
  <c r="AM9" i="4"/>
  <c r="AE9" i="4"/>
  <c r="W9" i="4"/>
  <c r="O9" i="4"/>
  <c r="G9" i="4"/>
  <c r="DO8" i="4"/>
  <c r="DG8" i="4"/>
  <c r="CY8" i="4"/>
  <c r="CQ8" i="4"/>
  <c r="BS8" i="4"/>
  <c r="BK8" i="4"/>
  <c r="BC8" i="4"/>
  <c r="AU8" i="4"/>
  <c r="AM8" i="4"/>
  <c r="AE8" i="4"/>
  <c r="W8" i="4"/>
  <c r="O8" i="4"/>
  <c r="G8" i="4"/>
  <c r="DO7" i="4"/>
  <c r="DG7" i="4"/>
  <c r="CY7" i="4"/>
  <c r="CQ7" i="4"/>
  <c r="BS7" i="4"/>
  <c r="BK7" i="4"/>
  <c r="BC7" i="4"/>
  <c r="AU7" i="4"/>
  <c r="AM7" i="4"/>
  <c r="AE7" i="4"/>
  <c r="W7" i="4"/>
  <c r="O7" i="4"/>
  <c r="G7" i="4"/>
  <c r="H8" i="4" s="1"/>
  <c r="GY7" i="4"/>
  <c r="HG7" i="4"/>
  <c r="HO7" i="4"/>
  <c r="HW7" i="4"/>
  <c r="IE7" i="4"/>
  <c r="IM7" i="4"/>
  <c r="IU7" i="4"/>
  <c r="JC7" i="4"/>
  <c r="JK7" i="4"/>
  <c r="JS7" i="4"/>
  <c r="GY8" i="4"/>
  <c r="HG8" i="4"/>
  <c r="HO8" i="4"/>
  <c r="HW8" i="4"/>
  <c r="IE8" i="4"/>
  <c r="IM8" i="4"/>
  <c r="IU8" i="4"/>
  <c r="JC8" i="4"/>
  <c r="JK8" i="4"/>
  <c r="JS8" i="4"/>
  <c r="GY9" i="4"/>
  <c r="HG9" i="4"/>
  <c r="HO9" i="4"/>
  <c r="HW9" i="4"/>
  <c r="IE9" i="4"/>
  <c r="IM9" i="4"/>
  <c r="IU9" i="4"/>
  <c r="JC9" i="4"/>
  <c r="JK9" i="4"/>
  <c r="JS9" i="4"/>
  <c r="GY10" i="4"/>
  <c r="HG10" i="4"/>
  <c r="HO10" i="4"/>
  <c r="HW10" i="4"/>
  <c r="IE10" i="4"/>
  <c r="IM10" i="4"/>
  <c r="IU10" i="4"/>
  <c r="JC10" i="4"/>
  <c r="JK10" i="4"/>
  <c r="JS10" i="4"/>
  <c r="GY11" i="4"/>
  <c r="HG11" i="4"/>
  <c r="HO11" i="4"/>
  <c r="HW11" i="4"/>
  <c r="IE11" i="4"/>
  <c r="IM11" i="4"/>
  <c r="IU11" i="4"/>
  <c r="JC11" i="4"/>
  <c r="JK11" i="4"/>
  <c r="JS11" i="4"/>
  <c r="GY12" i="4"/>
  <c r="HG12" i="4"/>
  <c r="HO12" i="4"/>
  <c r="HW12" i="4"/>
  <c r="IE12" i="4"/>
  <c r="IM12" i="4"/>
  <c r="IU12" i="4"/>
  <c r="JC12" i="4"/>
  <c r="JK12" i="4"/>
  <c r="JS12" i="4"/>
  <c r="GY13" i="4"/>
  <c r="HG13" i="4"/>
  <c r="HO13" i="4"/>
  <c r="HW13" i="4"/>
  <c r="IE13" i="4"/>
  <c r="IM13" i="4"/>
  <c r="IU13" i="4"/>
  <c r="JC13" i="4"/>
  <c r="JK13" i="4"/>
  <c r="JS13" i="4"/>
  <c r="GY14" i="4"/>
  <c r="HG14" i="4"/>
  <c r="HO14" i="4"/>
  <c r="HW14" i="4"/>
  <c r="IE14" i="4"/>
  <c r="IM14" i="4"/>
  <c r="IU14" i="4"/>
  <c r="JC14" i="4"/>
  <c r="JK14" i="4"/>
  <c r="JS14" i="4"/>
  <c r="GY15" i="4"/>
  <c r="HG15" i="4"/>
  <c r="HO15" i="4"/>
  <c r="HW15" i="4"/>
  <c r="IE15" i="4"/>
  <c r="IM15" i="4"/>
  <c r="IU15" i="4"/>
  <c r="JC15" i="4"/>
  <c r="JK15" i="4"/>
  <c r="JS15" i="4"/>
  <c r="GY16" i="4"/>
  <c r="HG16" i="4"/>
  <c r="HO16" i="4"/>
  <c r="HW16" i="4"/>
  <c r="IE16" i="4"/>
  <c r="IM16" i="4"/>
  <c r="IU16" i="4"/>
  <c r="JC16" i="4"/>
  <c r="JK16" i="4"/>
  <c r="JS16" i="4"/>
  <c r="GY17" i="4"/>
  <c r="HG17" i="4"/>
  <c r="HO17" i="4"/>
  <c r="HW17" i="4"/>
  <c r="IE17" i="4"/>
  <c r="IM17" i="4"/>
  <c r="IU17" i="4"/>
  <c r="JC17" i="4"/>
  <c r="JK17" i="4"/>
  <c r="JS17" i="4"/>
  <c r="GY18" i="4"/>
  <c r="HG18" i="4"/>
  <c r="HO18" i="4"/>
  <c r="HW18" i="4"/>
  <c r="IE18" i="4"/>
  <c r="IM18" i="4"/>
  <c r="IU18" i="4"/>
  <c r="JC18" i="4"/>
  <c r="JK18" i="4"/>
  <c r="JS18" i="4"/>
  <c r="GY19" i="4"/>
  <c r="HG19" i="4"/>
  <c r="HO19" i="4"/>
  <c r="HW19" i="4"/>
  <c r="IE19" i="4"/>
  <c r="IM19" i="4"/>
  <c r="IU19" i="4"/>
  <c r="JC19" i="4"/>
  <c r="JK19" i="4"/>
  <c r="JS19" i="4"/>
  <c r="GY20" i="4"/>
  <c r="HG20" i="4"/>
  <c r="HO20" i="4"/>
  <c r="HW20" i="4"/>
  <c r="IE20" i="4"/>
  <c r="IM20" i="4"/>
  <c r="IU20" i="4"/>
  <c r="JC20" i="4"/>
  <c r="JK20" i="4"/>
  <c r="JS20" i="4"/>
  <c r="GY21" i="4"/>
  <c r="HG21" i="4"/>
  <c r="HO21" i="4"/>
  <c r="HW21" i="4"/>
  <c r="IE21" i="4"/>
  <c r="IM21" i="4"/>
  <c r="IU21" i="4"/>
  <c r="JC21" i="4"/>
  <c r="JK21" i="4"/>
  <c r="JS21" i="4"/>
  <c r="GY22" i="4"/>
  <c r="HG22" i="4"/>
  <c r="HO22" i="4"/>
  <c r="HW22" i="4"/>
  <c r="IE22" i="4"/>
  <c r="IM22" i="4"/>
  <c r="IU22" i="4"/>
  <c r="JC22" i="4"/>
  <c r="JK22" i="4"/>
  <c r="JS22" i="4"/>
  <c r="GY23" i="4"/>
  <c r="HG23" i="4"/>
  <c r="HO23" i="4"/>
  <c r="HW23" i="4"/>
  <c r="IE23" i="4"/>
  <c r="IM23" i="4"/>
  <c r="IU23" i="4"/>
  <c r="JC23" i="4"/>
  <c r="JK23" i="4"/>
  <c r="JS23" i="4"/>
  <c r="GY24" i="4"/>
  <c r="HG24" i="4"/>
  <c r="HO24" i="4"/>
  <c r="HW24" i="4"/>
  <c r="IE24" i="4"/>
  <c r="IM24" i="4"/>
  <c r="IU24" i="4"/>
  <c r="JC24" i="4"/>
  <c r="JK24" i="4"/>
  <c r="JS24" i="4"/>
  <c r="GY25" i="4"/>
  <c r="HG25" i="4"/>
  <c r="HO25" i="4"/>
  <c r="HW25" i="4"/>
  <c r="IE25" i="4"/>
  <c r="IM25" i="4"/>
  <c r="IU25" i="4"/>
  <c r="JC25" i="4"/>
  <c r="JK25" i="4"/>
  <c r="JS25" i="4"/>
  <c r="GR26" i="4"/>
  <c r="AX16" i="5" s="1"/>
  <c r="GY26" i="4"/>
  <c r="GZ26" i="4"/>
  <c r="HG26" i="4"/>
  <c r="HH26" i="4"/>
  <c r="HO26" i="4"/>
  <c r="HP26" i="4"/>
  <c r="HW26" i="4"/>
  <c r="HX26" i="4"/>
  <c r="IE26" i="4"/>
  <c r="IF26" i="4"/>
  <c r="IM26" i="4"/>
  <c r="IN26" i="4"/>
  <c r="IU26" i="4"/>
  <c r="IV26" i="4"/>
  <c r="JC26" i="4"/>
  <c r="JD26" i="4"/>
  <c r="JK26" i="4"/>
  <c r="JL26" i="4"/>
  <c r="JS26" i="4"/>
  <c r="JT26" i="4"/>
  <c r="GR27" i="4"/>
  <c r="AX17" i="5" s="1"/>
  <c r="GY27" i="4"/>
  <c r="GZ27" i="4"/>
  <c r="HG27" i="4"/>
  <c r="HH27" i="4"/>
  <c r="HO27" i="4"/>
  <c r="HP27" i="4"/>
  <c r="HW27" i="4"/>
  <c r="HX27" i="4"/>
  <c r="IE27" i="4"/>
  <c r="IF27" i="4"/>
  <c r="IM27" i="4"/>
  <c r="IN27" i="4"/>
  <c r="IU27" i="4"/>
  <c r="IV27" i="4"/>
  <c r="JC27" i="4"/>
  <c r="JD27" i="4"/>
  <c r="JK27" i="4"/>
  <c r="JL27" i="4"/>
  <c r="JS27" i="4"/>
  <c r="JT27" i="4"/>
  <c r="GY28" i="4"/>
  <c r="HG28" i="4"/>
  <c r="HO28" i="4"/>
  <c r="HW28" i="4"/>
  <c r="IE28" i="4"/>
  <c r="IM28" i="4"/>
  <c r="IU28" i="4"/>
  <c r="JC28" i="4"/>
  <c r="JK28" i="4"/>
  <c r="JS28" i="4"/>
  <c r="GY29" i="4"/>
  <c r="HG29" i="4"/>
  <c r="HO29" i="4"/>
  <c r="HW29" i="4"/>
  <c r="IE29" i="4"/>
  <c r="IM29" i="4"/>
  <c r="IU29" i="4"/>
  <c r="JC29" i="4"/>
  <c r="JK29" i="4"/>
  <c r="JS29" i="4"/>
  <c r="GY30" i="4"/>
  <c r="HG30" i="4"/>
  <c r="HO30" i="4"/>
  <c r="HW30" i="4"/>
  <c r="IE30" i="4"/>
  <c r="IM30" i="4"/>
  <c r="IU30" i="4"/>
  <c r="JC30" i="4"/>
  <c r="JK30" i="4"/>
  <c r="JS30" i="4"/>
  <c r="GY31" i="4"/>
  <c r="HG31" i="4"/>
  <c r="HO31" i="4"/>
  <c r="HW31" i="4"/>
  <c r="IE31" i="4"/>
  <c r="IM31" i="4"/>
  <c r="IU31" i="4"/>
  <c r="JC31" i="4"/>
  <c r="JK31" i="4"/>
  <c r="JS31" i="4"/>
  <c r="GY32" i="4"/>
  <c r="HG32" i="4"/>
  <c r="HO32" i="4"/>
  <c r="HW32" i="4"/>
  <c r="IE32" i="4"/>
  <c r="IM32" i="4"/>
  <c r="IU32" i="4"/>
  <c r="JC32" i="4"/>
  <c r="JK32" i="4"/>
  <c r="JS32" i="4"/>
  <c r="GY33" i="4"/>
  <c r="HG33" i="4"/>
  <c r="HO33" i="4"/>
  <c r="HW33" i="4"/>
  <c r="IE33" i="4"/>
  <c r="IM33" i="4"/>
  <c r="IU33" i="4"/>
  <c r="JC33" i="4"/>
  <c r="JK33" i="4"/>
  <c r="JS33" i="4"/>
  <c r="GY34" i="4"/>
  <c r="HG34" i="4"/>
  <c r="HO34" i="4"/>
  <c r="HW34" i="4"/>
  <c r="IE34" i="4"/>
  <c r="IM34" i="4"/>
  <c r="IU34" i="4"/>
  <c r="JC34" i="4"/>
  <c r="JK34" i="4"/>
  <c r="JS34" i="4"/>
  <c r="GY35" i="4"/>
  <c r="HG35" i="4"/>
  <c r="HO35" i="4"/>
  <c r="HW35" i="4"/>
  <c r="IE35" i="4"/>
  <c r="IM35" i="4"/>
  <c r="IU35" i="4"/>
  <c r="JC35" i="4"/>
  <c r="JK35" i="4"/>
  <c r="JS35" i="4"/>
  <c r="GR36" i="4"/>
  <c r="AX22" i="5" s="1"/>
  <c r="GY36" i="4"/>
  <c r="GZ36" i="4"/>
  <c r="HG36" i="4"/>
  <c r="HH36" i="4"/>
  <c r="HO36" i="4"/>
  <c r="HP36" i="4"/>
  <c r="HW36" i="4"/>
  <c r="HX36" i="4"/>
  <c r="IE36" i="4"/>
  <c r="IF36" i="4"/>
  <c r="IM36" i="4"/>
  <c r="IN36" i="4"/>
  <c r="IU36" i="4"/>
  <c r="IV36" i="4"/>
  <c r="JC36" i="4"/>
  <c r="JD36" i="4"/>
  <c r="JK36" i="4"/>
  <c r="JL36" i="4"/>
  <c r="JS36" i="4"/>
  <c r="JT36" i="4"/>
  <c r="GY37" i="4"/>
  <c r="HG37" i="4"/>
  <c r="HO37" i="4"/>
  <c r="HW37" i="4"/>
  <c r="IE37" i="4"/>
  <c r="IM37" i="4"/>
  <c r="IU37" i="4"/>
  <c r="JC37" i="4"/>
  <c r="JK37" i="4"/>
  <c r="JS37" i="4"/>
  <c r="GY38" i="4"/>
  <c r="HG38" i="4"/>
  <c r="HO38" i="4"/>
  <c r="HW38" i="4"/>
  <c r="IE38" i="4"/>
  <c r="IM38" i="4"/>
  <c r="IU38" i="4"/>
  <c r="JC38" i="4"/>
  <c r="JK38" i="4"/>
  <c r="JS38" i="4"/>
  <c r="GY39" i="4"/>
  <c r="HG39" i="4"/>
  <c r="HO39" i="4"/>
  <c r="HW39" i="4"/>
  <c r="IE39" i="4"/>
  <c r="IM39" i="4"/>
  <c r="IU39" i="4"/>
  <c r="JC39" i="4"/>
  <c r="JK39" i="4"/>
  <c r="JS39" i="4"/>
  <c r="GY40" i="4"/>
  <c r="HG40" i="4"/>
  <c r="HO40" i="4"/>
  <c r="HW40" i="4"/>
  <c r="IE40" i="4"/>
  <c r="IM40" i="4"/>
  <c r="IU40" i="4"/>
  <c r="JC40" i="4"/>
  <c r="JK40" i="4"/>
  <c r="JS40" i="4"/>
  <c r="GY41" i="4"/>
  <c r="HG41" i="4"/>
  <c r="HO41" i="4"/>
  <c r="HW41" i="4"/>
  <c r="IE41" i="4"/>
  <c r="IM41" i="4"/>
  <c r="IU41" i="4"/>
  <c r="JC41" i="4"/>
  <c r="JK41" i="4"/>
  <c r="JS41" i="4"/>
  <c r="GY42" i="4"/>
  <c r="HG42" i="4"/>
  <c r="HO42" i="4"/>
  <c r="HW42" i="4"/>
  <c r="IE42" i="4"/>
  <c r="IM42" i="4"/>
  <c r="IU42" i="4"/>
  <c r="JC42" i="4"/>
  <c r="JK42" i="4"/>
  <c r="JS42" i="4"/>
  <c r="GY43" i="4"/>
  <c r="HG43" i="4"/>
  <c r="HO43" i="4"/>
  <c r="HW43" i="4"/>
  <c r="IE43" i="4"/>
  <c r="IM43" i="4"/>
  <c r="IU43" i="4"/>
  <c r="JC43" i="4"/>
  <c r="JK43" i="4"/>
  <c r="JS43" i="4"/>
  <c r="GY44" i="4"/>
  <c r="HG44" i="4"/>
  <c r="HO44" i="4"/>
  <c r="HW44" i="4"/>
  <c r="IE44" i="4"/>
  <c r="IM44" i="4"/>
  <c r="IU44" i="4"/>
  <c r="JC44" i="4"/>
  <c r="JK44" i="4"/>
  <c r="JS44" i="4"/>
  <c r="GY45" i="4"/>
  <c r="HG45" i="4"/>
  <c r="HO45" i="4"/>
  <c r="HW45" i="4"/>
  <c r="IE45" i="4"/>
  <c r="IM45" i="4"/>
  <c r="IU45" i="4"/>
  <c r="JC45" i="4"/>
  <c r="JK45" i="4"/>
  <c r="JS45" i="4"/>
  <c r="GR46" i="4"/>
  <c r="AX25" i="5" s="1"/>
  <c r="GY46" i="4"/>
  <c r="GZ46" i="4"/>
  <c r="HG46" i="4"/>
  <c r="HH46" i="4"/>
  <c r="HO46" i="4"/>
  <c r="HP46" i="4"/>
  <c r="HW46" i="4"/>
  <c r="HX46" i="4"/>
  <c r="IE46" i="4"/>
  <c r="IF46" i="4"/>
  <c r="IM46" i="4"/>
  <c r="IN46" i="4"/>
  <c r="IU46" i="4"/>
  <c r="IV46" i="4"/>
  <c r="JC46" i="4"/>
  <c r="JD46" i="4"/>
  <c r="JK46" i="4"/>
  <c r="JL46" i="4"/>
  <c r="JS46" i="4"/>
  <c r="JT46" i="4"/>
  <c r="GY47" i="4"/>
  <c r="HG47" i="4"/>
  <c r="HO47" i="4"/>
  <c r="HW47" i="4"/>
  <c r="IE47" i="4"/>
  <c r="IM47" i="4"/>
  <c r="IU47" i="4"/>
  <c r="JC47" i="4"/>
  <c r="JK47" i="4"/>
  <c r="JS47" i="4"/>
  <c r="GY48" i="4"/>
  <c r="HG48" i="4"/>
  <c r="HO48" i="4"/>
  <c r="HW48" i="4"/>
  <c r="IE48" i="4"/>
  <c r="IM48" i="4"/>
  <c r="IU48" i="4"/>
  <c r="JC48" i="4"/>
  <c r="JK48" i="4"/>
  <c r="JS48" i="4"/>
  <c r="GY49" i="4"/>
  <c r="HG49" i="4"/>
  <c r="HO49" i="4"/>
  <c r="HW49" i="4"/>
  <c r="IE49" i="4"/>
  <c r="IM49" i="4"/>
  <c r="IU49" i="4"/>
  <c r="JC49" i="4"/>
  <c r="JK49" i="4"/>
  <c r="JS49" i="4"/>
  <c r="GY50" i="4"/>
  <c r="HG50" i="4"/>
  <c r="HO50" i="4"/>
  <c r="HW50" i="4"/>
  <c r="IE50" i="4"/>
  <c r="IM50" i="4"/>
  <c r="IU50" i="4"/>
  <c r="JC50" i="4"/>
  <c r="JK50" i="4"/>
  <c r="JS50" i="4"/>
  <c r="GY51" i="4"/>
  <c r="HG51" i="4"/>
  <c r="HO51" i="4"/>
  <c r="HW51" i="4"/>
  <c r="IE51" i="4"/>
  <c r="IM51" i="4"/>
  <c r="IU51" i="4"/>
  <c r="JC51" i="4"/>
  <c r="JK51" i="4"/>
  <c r="JS51" i="4"/>
  <c r="GY52" i="4"/>
  <c r="HG52" i="4"/>
  <c r="HO52" i="4"/>
  <c r="HW52" i="4"/>
  <c r="IE52" i="4"/>
  <c r="IM52" i="4"/>
  <c r="IU52" i="4"/>
  <c r="JC52" i="4"/>
  <c r="JK52" i="4"/>
  <c r="JS52" i="4"/>
  <c r="GY53" i="4"/>
  <c r="HG53" i="4"/>
  <c r="HO53" i="4"/>
  <c r="HW53" i="4"/>
  <c r="IE53" i="4"/>
  <c r="IM53" i="4"/>
  <c r="IU53" i="4"/>
  <c r="JC53" i="4"/>
  <c r="JK53" i="4"/>
  <c r="JS53" i="4"/>
  <c r="GY54" i="4"/>
  <c r="HG54" i="4"/>
  <c r="HO54" i="4"/>
  <c r="HW54" i="4"/>
  <c r="IE54" i="4"/>
  <c r="IM54" i="4"/>
  <c r="IU54" i="4"/>
  <c r="JC54" i="4"/>
  <c r="JK54" i="4"/>
  <c r="JS54" i="4"/>
  <c r="GY55" i="4"/>
  <c r="HG55" i="4"/>
  <c r="HO55" i="4"/>
  <c r="HW55" i="4"/>
  <c r="IE55" i="4"/>
  <c r="IM55" i="4"/>
  <c r="IU55" i="4"/>
  <c r="JC55" i="4"/>
  <c r="JK55" i="4"/>
  <c r="JS55" i="4"/>
  <c r="GY56" i="4"/>
  <c r="HG56" i="4"/>
  <c r="HO56" i="4"/>
  <c r="HW56" i="4"/>
  <c r="IE56" i="4"/>
  <c r="IM56" i="4"/>
  <c r="IU56" i="4"/>
  <c r="JC56" i="4"/>
  <c r="JK56" i="4"/>
  <c r="JS56" i="4"/>
  <c r="GY57" i="4"/>
  <c r="HG57" i="4"/>
  <c r="HO57" i="4"/>
  <c r="HW57" i="4"/>
  <c r="IE57" i="4"/>
  <c r="IM57" i="4"/>
  <c r="IU57" i="4"/>
  <c r="JC57" i="4"/>
  <c r="JK57" i="4"/>
  <c r="JS57" i="4"/>
  <c r="GR58" i="4"/>
  <c r="AX18" i="5" s="1"/>
  <c r="GY58" i="4"/>
  <c r="GZ58" i="4"/>
  <c r="HG58" i="4"/>
  <c r="HH58" i="4"/>
  <c r="HO58" i="4"/>
  <c r="HP58" i="4"/>
  <c r="HW58" i="4"/>
  <c r="HX58" i="4"/>
  <c r="IE58" i="4"/>
  <c r="IF58" i="4"/>
  <c r="IM58" i="4"/>
  <c r="IN58" i="4"/>
  <c r="IU58" i="4"/>
  <c r="IV58" i="4"/>
  <c r="JC58" i="4"/>
  <c r="JD58" i="4"/>
  <c r="JK58" i="4"/>
  <c r="JL58" i="4"/>
  <c r="JS58" i="4"/>
  <c r="JT58" i="4"/>
  <c r="GY68" i="4"/>
  <c r="HG68" i="4"/>
  <c r="HO68" i="4"/>
  <c r="HW68" i="4"/>
  <c r="IE68" i="4"/>
  <c r="IM68" i="4"/>
  <c r="IU68" i="4"/>
  <c r="JC68" i="4"/>
  <c r="JK68" i="4"/>
  <c r="JS68" i="4"/>
  <c r="GY69" i="4"/>
  <c r="HG69" i="4"/>
  <c r="HO69" i="4"/>
  <c r="HW69" i="4"/>
  <c r="IE69" i="4"/>
  <c r="IM69" i="4"/>
  <c r="IU69" i="4"/>
  <c r="JC69" i="4"/>
  <c r="JK69" i="4"/>
  <c r="JS69" i="4"/>
  <c r="GY70" i="4"/>
  <c r="HG70" i="4"/>
  <c r="HO70" i="4"/>
  <c r="HW70" i="4"/>
  <c r="IE70" i="4"/>
  <c r="IM70" i="4"/>
  <c r="IU70" i="4"/>
  <c r="JC70" i="4"/>
  <c r="JK70" i="4"/>
  <c r="JS70" i="4"/>
  <c r="GY71" i="4"/>
  <c r="HG71" i="4"/>
  <c r="HO71" i="4"/>
  <c r="HW71" i="4"/>
  <c r="IE71" i="4"/>
  <c r="IM71" i="4"/>
  <c r="IU71" i="4"/>
  <c r="JC71" i="4"/>
  <c r="JK71" i="4"/>
  <c r="JS71" i="4"/>
  <c r="GY72" i="4"/>
  <c r="HG72" i="4"/>
  <c r="HO72" i="4"/>
  <c r="HW72" i="4"/>
  <c r="IE72" i="4"/>
  <c r="IM72" i="4"/>
  <c r="IU72" i="4"/>
  <c r="JC72" i="4"/>
  <c r="JK72" i="4"/>
  <c r="JS72" i="4"/>
  <c r="GY73" i="4"/>
  <c r="HG73" i="4"/>
  <c r="HO73" i="4"/>
  <c r="HW73" i="4"/>
  <c r="IE73" i="4"/>
  <c r="IM73" i="4"/>
  <c r="IU73" i="4"/>
  <c r="JC73" i="4"/>
  <c r="JK73" i="4"/>
  <c r="JS73" i="4"/>
  <c r="GY74" i="4"/>
  <c r="HG74" i="4"/>
  <c r="HO74" i="4"/>
  <c r="HW74" i="4"/>
  <c r="IE74" i="4"/>
  <c r="IM74" i="4"/>
  <c r="IU74" i="4"/>
  <c r="JC74" i="4"/>
  <c r="JK74" i="4"/>
  <c r="JS74" i="4"/>
  <c r="GY75" i="4"/>
  <c r="HG75" i="4"/>
  <c r="HO75" i="4"/>
  <c r="HW75" i="4"/>
  <c r="IE75" i="4"/>
  <c r="IM75" i="4"/>
  <c r="IU75" i="4"/>
  <c r="JC75" i="4"/>
  <c r="JK75" i="4"/>
  <c r="JS75" i="4"/>
  <c r="GY76" i="4"/>
  <c r="HG76" i="4"/>
  <c r="HO76" i="4"/>
  <c r="HW76" i="4"/>
  <c r="IE76" i="4"/>
  <c r="IF76" i="4" s="1"/>
  <c r="IM76" i="4"/>
  <c r="IU76" i="4"/>
  <c r="JC76" i="4"/>
  <c r="JK76" i="4"/>
  <c r="JS76" i="4"/>
  <c r="GY77" i="4"/>
  <c r="HG77" i="4"/>
  <c r="HO77" i="4"/>
  <c r="HW77" i="4"/>
  <c r="IE77" i="4"/>
  <c r="IM77" i="4"/>
  <c r="IU77" i="4"/>
  <c r="JC77" i="4"/>
  <c r="JK77" i="4"/>
  <c r="JS77" i="4"/>
  <c r="GY78" i="4"/>
  <c r="HG78" i="4"/>
  <c r="HO78" i="4"/>
  <c r="HW78" i="4"/>
  <c r="IE78" i="4"/>
  <c r="IM78" i="4"/>
  <c r="IU78" i="4"/>
  <c r="JC78" i="4"/>
  <c r="JK78" i="4"/>
  <c r="JS78" i="4"/>
  <c r="GY79" i="4"/>
  <c r="HG79" i="4"/>
  <c r="HO79" i="4"/>
  <c r="HW79" i="4"/>
  <c r="IE79" i="4"/>
  <c r="IM79" i="4"/>
  <c r="IU79" i="4"/>
  <c r="JC79" i="4"/>
  <c r="JK79" i="4"/>
  <c r="JS79" i="4"/>
  <c r="GY80" i="4"/>
  <c r="HG80" i="4"/>
  <c r="HO80" i="4"/>
  <c r="HW80" i="4"/>
  <c r="IE80" i="4"/>
  <c r="IM80" i="4"/>
  <c r="IU80" i="4"/>
  <c r="JC80" i="4"/>
  <c r="JK80" i="4"/>
  <c r="JS80" i="4"/>
  <c r="GY81" i="4"/>
  <c r="HG81" i="4"/>
  <c r="HO81" i="4"/>
  <c r="HW81" i="4"/>
  <c r="IE81" i="4"/>
  <c r="IM81" i="4"/>
  <c r="IU81" i="4"/>
  <c r="JC81" i="4"/>
  <c r="JK81" i="4"/>
  <c r="JS81" i="4"/>
  <c r="GY82" i="4"/>
  <c r="HG82" i="4"/>
  <c r="HO82" i="4"/>
  <c r="HW82" i="4"/>
  <c r="IE82" i="4"/>
  <c r="IM82" i="4"/>
  <c r="IU82" i="4"/>
  <c r="JC82" i="4"/>
  <c r="JK82" i="4"/>
  <c r="JS82" i="4"/>
  <c r="GY83" i="4"/>
  <c r="HG83" i="4"/>
  <c r="HO83" i="4"/>
  <c r="HW83" i="4"/>
  <c r="IE83" i="4"/>
  <c r="IM83" i="4"/>
  <c r="IU83" i="4"/>
  <c r="JC83" i="4"/>
  <c r="JK83" i="4"/>
  <c r="JS83" i="4"/>
  <c r="GY84" i="4"/>
  <c r="HG84" i="4"/>
  <c r="HO84" i="4"/>
  <c r="HW84" i="4"/>
  <c r="IE84" i="4"/>
  <c r="IM84" i="4"/>
  <c r="IU84" i="4"/>
  <c r="JC84" i="4"/>
  <c r="JK84" i="4"/>
  <c r="JS84" i="4"/>
  <c r="GY85" i="4"/>
  <c r="HG85" i="4"/>
  <c r="HO85" i="4"/>
  <c r="HW85" i="4"/>
  <c r="IE85" i="4"/>
  <c r="IM85" i="4"/>
  <c r="IU85" i="4"/>
  <c r="JC85" i="4"/>
  <c r="JK85" i="4"/>
  <c r="JS85" i="4"/>
  <c r="GY86" i="4"/>
  <c r="HG86" i="4"/>
  <c r="HO86" i="4"/>
  <c r="HW86" i="4"/>
  <c r="IE86" i="4"/>
  <c r="IM86" i="4"/>
  <c r="IU86" i="4"/>
  <c r="JC86" i="4"/>
  <c r="JK86" i="4"/>
  <c r="JS86" i="4"/>
  <c r="GY87" i="4"/>
  <c r="GZ87" i="4"/>
  <c r="HG87" i="4"/>
  <c r="HH87" i="4"/>
  <c r="HO87" i="4"/>
  <c r="HP87" i="4"/>
  <c r="HW87" i="4"/>
  <c r="HX87" i="4"/>
  <c r="IE87" i="4"/>
  <c r="IF87" i="4"/>
  <c r="IM87" i="4"/>
  <c r="IN87" i="4"/>
  <c r="IU87" i="4"/>
  <c r="IV87" i="4"/>
  <c r="JC87" i="4"/>
  <c r="JD87" i="4"/>
  <c r="JK87" i="4"/>
  <c r="JL87" i="4"/>
  <c r="JS87" i="4"/>
  <c r="JT87" i="4"/>
  <c r="GY88" i="4"/>
  <c r="GZ88" i="4"/>
  <c r="HG88" i="4"/>
  <c r="HH88" i="4"/>
  <c r="HO88" i="4"/>
  <c r="HP88" i="4"/>
  <c r="HW88" i="4"/>
  <c r="HX88" i="4"/>
  <c r="IE88" i="4"/>
  <c r="IF88" i="4"/>
  <c r="IM88" i="4"/>
  <c r="IN88" i="4"/>
  <c r="IU88" i="4"/>
  <c r="IV88" i="4"/>
  <c r="JC88" i="4"/>
  <c r="JD88" i="4"/>
  <c r="JK88" i="4"/>
  <c r="JL88" i="4"/>
  <c r="JS88" i="4"/>
  <c r="JT88" i="4"/>
  <c r="GY89" i="4"/>
  <c r="HG89" i="4"/>
  <c r="HO89" i="4"/>
  <c r="HW89" i="4"/>
  <c r="IE89" i="4"/>
  <c r="IM89" i="4"/>
  <c r="IU89" i="4"/>
  <c r="JC89" i="4"/>
  <c r="JK89" i="4"/>
  <c r="JS89" i="4"/>
  <c r="GY90" i="4"/>
  <c r="HG90" i="4"/>
  <c r="HO90" i="4"/>
  <c r="HW90" i="4"/>
  <c r="IE90" i="4"/>
  <c r="IM90" i="4"/>
  <c r="IU90" i="4"/>
  <c r="JC90" i="4"/>
  <c r="JK90" i="4"/>
  <c r="JS90" i="4"/>
  <c r="GY91" i="4"/>
  <c r="HG91" i="4"/>
  <c r="HO91" i="4"/>
  <c r="HW91" i="4"/>
  <c r="IE91" i="4"/>
  <c r="IM91" i="4"/>
  <c r="IU91" i="4"/>
  <c r="JC91" i="4"/>
  <c r="JK91" i="4"/>
  <c r="JS91" i="4"/>
  <c r="GY92" i="4"/>
  <c r="HG92" i="4"/>
  <c r="HO92" i="4"/>
  <c r="HW92" i="4"/>
  <c r="IE92" i="4"/>
  <c r="IM92" i="4"/>
  <c r="IU92" i="4"/>
  <c r="JC92" i="4"/>
  <c r="JK92" i="4"/>
  <c r="JS92" i="4"/>
  <c r="GY93" i="4"/>
  <c r="HG93" i="4"/>
  <c r="HO93" i="4"/>
  <c r="HW93" i="4"/>
  <c r="IE93" i="4"/>
  <c r="IM93" i="4"/>
  <c r="IU93" i="4"/>
  <c r="JC93" i="4"/>
  <c r="JK93" i="4"/>
  <c r="JS93" i="4"/>
  <c r="GY94" i="4"/>
  <c r="HG94" i="4"/>
  <c r="HO94" i="4"/>
  <c r="HW94" i="4"/>
  <c r="IE94" i="4"/>
  <c r="IM94" i="4"/>
  <c r="IU94" i="4"/>
  <c r="JC94" i="4"/>
  <c r="JK94" i="4"/>
  <c r="JS94" i="4"/>
  <c r="GY95" i="4"/>
  <c r="HG95" i="4"/>
  <c r="HO95" i="4"/>
  <c r="HW95" i="4"/>
  <c r="IE95" i="4"/>
  <c r="IM95" i="4"/>
  <c r="IU95" i="4"/>
  <c r="JC95" i="4"/>
  <c r="JK95" i="4"/>
  <c r="JS95" i="4"/>
  <c r="GY96" i="4"/>
  <c r="HG96" i="4"/>
  <c r="HO96" i="4"/>
  <c r="HW96" i="4"/>
  <c r="IE96" i="4"/>
  <c r="IM96" i="4"/>
  <c r="IU96" i="4"/>
  <c r="JC96" i="4"/>
  <c r="JK96" i="4"/>
  <c r="JS96" i="4"/>
  <c r="GY97" i="4"/>
  <c r="GZ97" i="4"/>
  <c r="HG97" i="4"/>
  <c r="HH97" i="4"/>
  <c r="HO97" i="4"/>
  <c r="HP97" i="4"/>
  <c r="HW97" i="4"/>
  <c r="HX97" i="4"/>
  <c r="IE97" i="4"/>
  <c r="IF97" i="4"/>
  <c r="IM97" i="4"/>
  <c r="IN97" i="4"/>
  <c r="IU97" i="4"/>
  <c r="IV97" i="4"/>
  <c r="JC97" i="4"/>
  <c r="JD97" i="4"/>
  <c r="JK97" i="4"/>
  <c r="JL97" i="4"/>
  <c r="JS97" i="4"/>
  <c r="JT97" i="4"/>
  <c r="GY98" i="4"/>
  <c r="HG98" i="4"/>
  <c r="HO98" i="4"/>
  <c r="HW98" i="4"/>
  <c r="IE98" i="4"/>
  <c r="IM98" i="4"/>
  <c r="IU98" i="4"/>
  <c r="JC98" i="4"/>
  <c r="JK98" i="4"/>
  <c r="JS98" i="4"/>
  <c r="GY99" i="4"/>
  <c r="HG99" i="4"/>
  <c r="HO99" i="4"/>
  <c r="HW99" i="4"/>
  <c r="IE99" i="4"/>
  <c r="IM99" i="4"/>
  <c r="IU99" i="4"/>
  <c r="JC99" i="4"/>
  <c r="JK99" i="4"/>
  <c r="JS99" i="4"/>
  <c r="GY100" i="4"/>
  <c r="HG100" i="4"/>
  <c r="HO100" i="4"/>
  <c r="HW100" i="4"/>
  <c r="IE100" i="4"/>
  <c r="IM100" i="4"/>
  <c r="IU100" i="4"/>
  <c r="JC100" i="4"/>
  <c r="JK100" i="4"/>
  <c r="JS100" i="4"/>
  <c r="GY101" i="4"/>
  <c r="HG101" i="4"/>
  <c r="HO101" i="4"/>
  <c r="HW101" i="4"/>
  <c r="IE101" i="4"/>
  <c r="IM101" i="4"/>
  <c r="IU101" i="4"/>
  <c r="JC101" i="4"/>
  <c r="JK101" i="4"/>
  <c r="JS101" i="4"/>
  <c r="GY102" i="4"/>
  <c r="HG102" i="4"/>
  <c r="HO102" i="4"/>
  <c r="HW102" i="4"/>
  <c r="IE102" i="4"/>
  <c r="IM102" i="4"/>
  <c r="IU102" i="4"/>
  <c r="JC102" i="4"/>
  <c r="JK102" i="4"/>
  <c r="JS102" i="4"/>
  <c r="GY103" i="4"/>
  <c r="HG103" i="4"/>
  <c r="HO103" i="4"/>
  <c r="HW103" i="4"/>
  <c r="IE103" i="4"/>
  <c r="IM103" i="4"/>
  <c r="IU103" i="4"/>
  <c r="JC103" i="4"/>
  <c r="JK103" i="4"/>
  <c r="JS103" i="4"/>
  <c r="GY104" i="4"/>
  <c r="HG104" i="4"/>
  <c r="HO104" i="4"/>
  <c r="HW104" i="4"/>
  <c r="IE104" i="4"/>
  <c r="IM104" i="4"/>
  <c r="IU104" i="4"/>
  <c r="JC104" i="4"/>
  <c r="JK104" i="4"/>
  <c r="JS104" i="4"/>
  <c r="GY105" i="4"/>
  <c r="HG105" i="4"/>
  <c r="HO105" i="4"/>
  <c r="HW105" i="4"/>
  <c r="IE105" i="4"/>
  <c r="IM105" i="4"/>
  <c r="IU105" i="4"/>
  <c r="JC105" i="4"/>
  <c r="JK105" i="4"/>
  <c r="JS105" i="4"/>
  <c r="GY106" i="4"/>
  <c r="HG106" i="4"/>
  <c r="HO106" i="4"/>
  <c r="HW106" i="4"/>
  <c r="IE106" i="4"/>
  <c r="IM106" i="4"/>
  <c r="IU106" i="4"/>
  <c r="JC106" i="4"/>
  <c r="JK106" i="4"/>
  <c r="JS106" i="4"/>
  <c r="GY107" i="4"/>
  <c r="GZ107" i="4"/>
  <c r="HG107" i="4"/>
  <c r="HH107" i="4"/>
  <c r="HO107" i="4"/>
  <c r="HP107" i="4"/>
  <c r="HW107" i="4"/>
  <c r="HX107" i="4"/>
  <c r="IE107" i="4"/>
  <c r="IF107" i="4"/>
  <c r="IM107" i="4"/>
  <c r="IN107" i="4"/>
  <c r="IU107" i="4"/>
  <c r="IV107" i="4"/>
  <c r="JC107" i="4"/>
  <c r="JD107" i="4"/>
  <c r="JK107" i="4"/>
  <c r="JL107" i="4"/>
  <c r="JS107" i="4"/>
  <c r="JT107" i="4"/>
  <c r="GY108" i="4"/>
  <c r="HG108" i="4"/>
  <c r="HO108" i="4"/>
  <c r="HW108" i="4"/>
  <c r="IE108" i="4"/>
  <c r="IM108" i="4"/>
  <c r="IU108" i="4"/>
  <c r="JC108" i="4"/>
  <c r="JK108" i="4"/>
  <c r="JS108" i="4"/>
  <c r="GY109" i="4"/>
  <c r="HG109" i="4"/>
  <c r="HO109" i="4"/>
  <c r="HW109" i="4"/>
  <c r="IE109" i="4"/>
  <c r="IM109" i="4"/>
  <c r="IU109" i="4"/>
  <c r="JC109" i="4"/>
  <c r="JK109" i="4"/>
  <c r="JS109" i="4"/>
  <c r="GY110" i="4"/>
  <c r="HG110" i="4"/>
  <c r="HO110" i="4"/>
  <c r="HW110" i="4"/>
  <c r="IE110" i="4"/>
  <c r="IM110" i="4"/>
  <c r="IU110" i="4"/>
  <c r="JC110" i="4"/>
  <c r="JK110" i="4"/>
  <c r="JS110" i="4"/>
  <c r="GY111" i="4"/>
  <c r="HG111" i="4"/>
  <c r="HO111" i="4"/>
  <c r="HW111" i="4"/>
  <c r="IE111" i="4"/>
  <c r="IM111" i="4"/>
  <c r="IU111" i="4"/>
  <c r="JC111" i="4"/>
  <c r="JK111" i="4"/>
  <c r="JS111" i="4"/>
  <c r="GY112" i="4"/>
  <c r="HG112" i="4"/>
  <c r="HO112" i="4"/>
  <c r="HW112" i="4"/>
  <c r="IE112" i="4"/>
  <c r="IM112" i="4"/>
  <c r="IU112" i="4"/>
  <c r="JC112" i="4"/>
  <c r="JK112" i="4"/>
  <c r="JS112" i="4"/>
  <c r="GY113" i="4"/>
  <c r="HG113" i="4"/>
  <c r="HO113" i="4"/>
  <c r="HW113" i="4"/>
  <c r="IE113" i="4"/>
  <c r="IM113" i="4"/>
  <c r="IU113" i="4"/>
  <c r="JC113" i="4"/>
  <c r="JK113" i="4"/>
  <c r="JS113" i="4"/>
  <c r="GY114" i="4"/>
  <c r="HG114" i="4"/>
  <c r="HO114" i="4"/>
  <c r="HW114" i="4"/>
  <c r="IE114" i="4"/>
  <c r="IM114" i="4"/>
  <c r="IU114" i="4"/>
  <c r="JC114" i="4"/>
  <c r="JK114" i="4"/>
  <c r="JS114" i="4"/>
  <c r="GY115" i="4"/>
  <c r="HG115" i="4"/>
  <c r="HO115" i="4"/>
  <c r="HW115" i="4"/>
  <c r="IE115" i="4"/>
  <c r="IM115" i="4"/>
  <c r="IU115" i="4"/>
  <c r="JC115" i="4"/>
  <c r="JK115" i="4"/>
  <c r="JS115" i="4"/>
  <c r="GY116" i="4"/>
  <c r="HG116" i="4"/>
  <c r="HO116" i="4"/>
  <c r="HW116" i="4"/>
  <c r="IE116" i="4"/>
  <c r="IM116" i="4"/>
  <c r="IU116" i="4"/>
  <c r="JC116" i="4"/>
  <c r="JK116" i="4"/>
  <c r="JS116" i="4"/>
  <c r="GY117" i="4"/>
  <c r="HG117" i="4"/>
  <c r="HO117" i="4"/>
  <c r="HW117" i="4"/>
  <c r="IE117" i="4"/>
  <c r="IM117" i="4"/>
  <c r="IU117" i="4"/>
  <c r="JC117" i="4"/>
  <c r="JK117" i="4"/>
  <c r="JS117" i="4"/>
  <c r="GY118" i="4"/>
  <c r="HG118" i="4"/>
  <c r="HO118" i="4"/>
  <c r="HW118" i="4"/>
  <c r="IE118" i="4"/>
  <c r="IM118" i="4"/>
  <c r="IU118" i="4"/>
  <c r="JC118" i="4"/>
  <c r="JK118" i="4"/>
  <c r="JS118" i="4"/>
  <c r="GY119" i="4"/>
  <c r="GZ119" i="4"/>
  <c r="HG119" i="4"/>
  <c r="HH119" i="4"/>
  <c r="HO119" i="4"/>
  <c r="HP119" i="4"/>
  <c r="HW119" i="4"/>
  <c r="HX119" i="4"/>
  <c r="IE119" i="4"/>
  <c r="IF119" i="4"/>
  <c r="IM119" i="4"/>
  <c r="IN119" i="4"/>
  <c r="IU119" i="4"/>
  <c r="IV119" i="4"/>
  <c r="JC119" i="4"/>
  <c r="JD119" i="4"/>
  <c r="JK119" i="4"/>
  <c r="JL119" i="4"/>
  <c r="JS119" i="4"/>
  <c r="JT119" i="4"/>
  <c r="DY131" i="5" l="1"/>
  <c r="DX131" i="5"/>
  <c r="DZ131" i="5"/>
  <c r="EB131" i="5"/>
  <c r="EA131" i="5"/>
  <c r="EC131" i="5"/>
  <c r="AV69" i="4"/>
  <c r="M7" i="5" s="1"/>
  <c r="M62" i="5" s="1"/>
  <c r="EC128" i="5"/>
  <c r="DX128" i="5"/>
  <c r="EB128" i="5"/>
  <c r="EA128" i="5"/>
  <c r="DY128" i="5"/>
  <c r="DZ128" i="5"/>
  <c r="EA101" i="5"/>
  <c r="DY101" i="5"/>
  <c r="DZ101" i="5"/>
  <c r="EC101" i="5"/>
  <c r="EB101" i="5"/>
  <c r="DX101" i="5"/>
  <c r="DY109" i="5"/>
  <c r="DZ109" i="5"/>
  <c r="EB109" i="5"/>
  <c r="EC109" i="5"/>
  <c r="EA109" i="5"/>
  <c r="DX109" i="5"/>
  <c r="EA106" i="5"/>
  <c r="EB106" i="5"/>
  <c r="DZ106" i="5"/>
  <c r="EC106" i="5"/>
  <c r="DY106" i="5"/>
  <c r="DX106" i="5"/>
  <c r="EA102" i="5"/>
  <c r="DX102" i="5"/>
  <c r="DZ102" i="5"/>
  <c r="EC102" i="5"/>
  <c r="DY102" i="5"/>
  <c r="EB102" i="5"/>
  <c r="AN76" i="4"/>
  <c r="K10" i="5" s="1"/>
  <c r="X78" i="4"/>
  <c r="G11" i="5" s="1"/>
  <c r="G66" i="5" s="1"/>
  <c r="H113" i="4"/>
  <c r="C27" i="5" s="1"/>
  <c r="BT113" i="4"/>
  <c r="S27" i="5" s="1"/>
  <c r="BL118" i="4"/>
  <c r="Q13" i="5" s="1"/>
  <c r="DZ121" i="5"/>
  <c r="EB121" i="5"/>
  <c r="EA121" i="5"/>
  <c r="DX121" i="5"/>
  <c r="DY123" i="5"/>
  <c r="EC121" i="5"/>
  <c r="DY121" i="5"/>
  <c r="O173" i="1"/>
  <c r="AS74" i="1"/>
  <c r="CH46" i="5"/>
  <c r="CG41" i="5"/>
  <c r="CC172" i="1"/>
  <c r="EA100" i="5"/>
  <c r="EC100" i="5"/>
  <c r="EB100" i="5"/>
  <c r="DY100" i="5"/>
  <c r="DZ100" i="5"/>
  <c r="DX100" i="5"/>
  <c r="GB113" i="4"/>
  <c r="AU27" i="5" s="1"/>
  <c r="DX126" i="5"/>
  <c r="EB126" i="5"/>
  <c r="DZ126" i="5"/>
  <c r="EC126" i="5"/>
  <c r="EA126" i="5"/>
  <c r="DY126" i="5"/>
  <c r="H56" i="1"/>
  <c r="B34" i="5" s="1"/>
  <c r="CJ46" i="5"/>
  <c r="CH33" i="5"/>
  <c r="CG33" i="5"/>
  <c r="CM33" i="5"/>
  <c r="J133" i="5"/>
  <c r="C131" i="5"/>
  <c r="G33" i="5"/>
  <c r="AS86" i="1"/>
  <c r="AI133" i="5"/>
  <c r="V19" i="5"/>
  <c r="W70" i="5"/>
  <c r="W69" i="5" s="1"/>
  <c r="W14" i="5"/>
  <c r="BL69" i="4"/>
  <c r="Q7" i="5" s="1"/>
  <c r="CZ78" i="4"/>
  <c r="AA11" i="5" s="1"/>
  <c r="GR15" i="4"/>
  <c r="AX10" i="5" s="1"/>
  <c r="T19" i="5"/>
  <c r="T6" i="5"/>
  <c r="DR135" i="5"/>
  <c r="B120" i="5"/>
  <c r="G133" i="5"/>
  <c r="CM46" i="5"/>
  <c r="CI133" i="5"/>
  <c r="CI46" i="5"/>
  <c r="W75" i="5"/>
  <c r="W19" i="5"/>
  <c r="U75" i="5"/>
  <c r="U19" i="5"/>
  <c r="AA133" i="5"/>
  <c r="F33" i="5"/>
  <c r="AX58" i="1"/>
  <c r="P36" i="5" s="1"/>
  <c r="V6" i="5"/>
  <c r="F41" i="5"/>
  <c r="HH57" i="4"/>
  <c r="H145" i="1"/>
  <c r="C36" i="5" s="1"/>
  <c r="Q133" i="5"/>
  <c r="AH133" i="5"/>
  <c r="I41" i="5"/>
  <c r="U6" i="5"/>
  <c r="CJ33" i="5"/>
  <c r="CI33" i="5"/>
  <c r="W62" i="5"/>
  <c r="W6" i="5"/>
  <c r="F133" i="5"/>
  <c r="F46" i="5"/>
  <c r="N41" i="5"/>
  <c r="CL33" i="5"/>
  <c r="U70" i="5"/>
  <c r="U69" i="5" s="1"/>
  <c r="U14" i="5"/>
  <c r="CF33" i="5"/>
  <c r="B73" i="5"/>
  <c r="N11" i="6"/>
  <c r="N61" i="6" s="1"/>
  <c r="V76" i="36"/>
  <c r="CM73" i="5"/>
  <c r="U68" i="5"/>
  <c r="W68" i="5"/>
  <c r="N8" i="6"/>
  <c r="N58" i="6" s="1"/>
  <c r="N25" i="6"/>
  <c r="N75" i="6" s="1"/>
  <c r="N20" i="6"/>
  <c r="M11" i="6"/>
  <c r="M61" i="6" s="1"/>
  <c r="DU131" i="5"/>
  <c r="DW131" i="5"/>
  <c r="DS131" i="5"/>
  <c r="DV131" i="5"/>
  <c r="DT131" i="5"/>
  <c r="DR131" i="5"/>
  <c r="DW101" i="5"/>
  <c r="DT101" i="5"/>
  <c r="DS101" i="5"/>
  <c r="DU101" i="5"/>
  <c r="DV101" i="5"/>
  <c r="DR101" i="5"/>
  <c r="DW126" i="5"/>
  <c r="DU126" i="5"/>
  <c r="DS126" i="5"/>
  <c r="DR126" i="5"/>
  <c r="DV126" i="5"/>
  <c r="DT126" i="5"/>
  <c r="DW120" i="5"/>
  <c r="DV120" i="5"/>
  <c r="DU120" i="5"/>
  <c r="DR120" i="5"/>
  <c r="DT120" i="5"/>
  <c r="DS120" i="5"/>
  <c r="M24" i="6"/>
  <c r="M74" i="6" s="1"/>
  <c r="DU121" i="5"/>
  <c r="DS123" i="5"/>
  <c r="DV121" i="5"/>
  <c r="DR121" i="5"/>
  <c r="DW121" i="5"/>
  <c r="DS121" i="5"/>
  <c r="DT121" i="5"/>
  <c r="DR109" i="5"/>
  <c r="DT109" i="5"/>
  <c r="DS109" i="5"/>
  <c r="DW109" i="5"/>
  <c r="DU109" i="5"/>
  <c r="DV109" i="5"/>
  <c r="DS100" i="5"/>
  <c r="DU100" i="5"/>
  <c r="DW100" i="5"/>
  <c r="DT100" i="5"/>
  <c r="DV100" i="5"/>
  <c r="DR100" i="5"/>
  <c r="DR106" i="5"/>
  <c r="DU106" i="5"/>
  <c r="DT106" i="5"/>
  <c r="DW106" i="5"/>
  <c r="DS106" i="5"/>
  <c r="DV106" i="5"/>
  <c r="DW102" i="5"/>
  <c r="DU102" i="5"/>
  <c r="DR102" i="5"/>
  <c r="DS102" i="5"/>
  <c r="DV102" i="5"/>
  <c r="DT102" i="5"/>
  <c r="DW128" i="5"/>
  <c r="DS128" i="5"/>
  <c r="DT128" i="5"/>
  <c r="DV128" i="5"/>
  <c r="DU128" i="5"/>
  <c r="DR128" i="5"/>
  <c r="DF109" i="5"/>
  <c r="DM109" i="5"/>
  <c r="DI109" i="5"/>
  <c r="DH109" i="5"/>
  <c r="DL109" i="5"/>
  <c r="DJ109" i="5"/>
  <c r="DG109" i="5"/>
  <c r="DK109" i="5"/>
  <c r="DN109" i="5"/>
  <c r="DE109" i="5"/>
  <c r="DO109" i="5"/>
  <c r="DD109" i="5"/>
  <c r="DC109" i="5"/>
  <c r="DB109" i="5"/>
  <c r="DA109" i="5"/>
  <c r="DP109" i="5"/>
  <c r="DQ109" i="5"/>
  <c r="DI121" i="5"/>
  <c r="DG121" i="5"/>
  <c r="DA121" i="5"/>
  <c r="DE121" i="5"/>
  <c r="CZ121" i="5"/>
  <c r="DD121" i="5"/>
  <c r="DB121" i="5"/>
  <c r="DF121" i="5"/>
  <c r="DH121" i="5"/>
  <c r="DM121" i="5"/>
  <c r="DK121" i="5"/>
  <c r="DJ121" i="5"/>
  <c r="DN121" i="5"/>
  <c r="DL121" i="5"/>
  <c r="DM123" i="5"/>
  <c r="DO121" i="5"/>
  <c r="DP121" i="5"/>
  <c r="DQ121" i="5"/>
  <c r="DC121" i="5"/>
  <c r="DG100" i="5"/>
  <c r="DK100" i="5"/>
  <c r="DH100" i="5"/>
  <c r="DF100" i="5"/>
  <c r="DL100" i="5"/>
  <c r="DI100" i="5"/>
  <c r="DM100" i="5"/>
  <c r="DJ100" i="5"/>
  <c r="DO100" i="5"/>
  <c r="DN100" i="5"/>
  <c r="DP100" i="5"/>
  <c r="DQ100" i="5"/>
  <c r="DA100" i="5"/>
  <c r="DD100" i="5"/>
  <c r="DB100" i="5"/>
  <c r="DE100" i="5"/>
  <c r="DC100" i="5"/>
  <c r="DI106" i="5"/>
  <c r="DF106" i="5"/>
  <c r="DG106" i="5"/>
  <c r="DK106" i="5"/>
  <c r="DJ106" i="5"/>
  <c r="DM106" i="5"/>
  <c r="DH106" i="5"/>
  <c r="DL106" i="5"/>
  <c r="DN106" i="5"/>
  <c r="DO106" i="5"/>
  <c r="DE106" i="5"/>
  <c r="DA106" i="5"/>
  <c r="DD106" i="5"/>
  <c r="DC106" i="5"/>
  <c r="DP106" i="5"/>
  <c r="DB106" i="5"/>
  <c r="DQ106" i="5"/>
  <c r="DF102" i="5"/>
  <c r="DH102" i="5"/>
  <c r="DK102" i="5"/>
  <c r="DI102" i="5"/>
  <c r="DL102" i="5"/>
  <c r="DG102" i="5"/>
  <c r="DM102" i="5"/>
  <c r="DJ102" i="5"/>
  <c r="DN102" i="5"/>
  <c r="DO102" i="5"/>
  <c r="DE102" i="5"/>
  <c r="DC102" i="5"/>
  <c r="DA102" i="5"/>
  <c r="DD102" i="5"/>
  <c r="DB102" i="5"/>
  <c r="DP102" i="5"/>
  <c r="DQ102" i="5"/>
  <c r="CL80" i="5"/>
  <c r="CL73" i="5"/>
  <c r="DF128" i="5"/>
  <c r="DG128" i="5"/>
  <c r="DA128" i="5"/>
  <c r="CZ128" i="5"/>
  <c r="DE128" i="5"/>
  <c r="DB128" i="5"/>
  <c r="DL128" i="5"/>
  <c r="DI128" i="5"/>
  <c r="DJ128" i="5"/>
  <c r="DH128" i="5"/>
  <c r="DK128" i="5"/>
  <c r="DM128" i="5"/>
  <c r="DP128" i="5"/>
  <c r="DN128" i="5"/>
  <c r="DO128" i="5"/>
  <c r="DQ128" i="5"/>
  <c r="DC128" i="5"/>
  <c r="DD128" i="5"/>
  <c r="BV58" i="1"/>
  <c r="X36" i="5" s="1"/>
  <c r="V62" i="5"/>
  <c r="W74" i="36"/>
  <c r="W80" i="36"/>
  <c r="DF131" i="5"/>
  <c r="DD131" i="5"/>
  <c r="DB131" i="5"/>
  <c r="DA131" i="5"/>
  <c r="CZ131" i="5"/>
  <c r="DE131" i="5"/>
  <c r="DI131" i="5"/>
  <c r="DL131" i="5"/>
  <c r="DK131" i="5"/>
  <c r="DG131" i="5"/>
  <c r="DM131" i="5"/>
  <c r="DJ131" i="5"/>
  <c r="DH131" i="5"/>
  <c r="DO131" i="5"/>
  <c r="DN131" i="5"/>
  <c r="DP131" i="5"/>
  <c r="DC131" i="5"/>
  <c r="DQ131" i="5"/>
  <c r="DJ101" i="5"/>
  <c r="DG101" i="5"/>
  <c r="DL101" i="5"/>
  <c r="DK101" i="5"/>
  <c r="DM101" i="5"/>
  <c r="DH101" i="5"/>
  <c r="DI101" i="5"/>
  <c r="DF101" i="5"/>
  <c r="DN101" i="5"/>
  <c r="DA101" i="5"/>
  <c r="DC101" i="5"/>
  <c r="DD101" i="5"/>
  <c r="DO101" i="5"/>
  <c r="DB101" i="5"/>
  <c r="DE101" i="5"/>
  <c r="DP101" i="5"/>
  <c r="DQ101" i="5"/>
  <c r="GR10" i="4"/>
  <c r="AX8" i="5" s="1"/>
  <c r="DX17" i="4"/>
  <c r="AF11" i="5" s="1"/>
  <c r="AF66" i="5" s="1"/>
  <c r="EN69" i="4"/>
  <c r="AK7" i="5" s="1"/>
  <c r="DF126" i="5"/>
  <c r="CZ126" i="5"/>
  <c r="DA126" i="5"/>
  <c r="DB126" i="5"/>
  <c r="DJ126" i="5"/>
  <c r="DM126" i="5"/>
  <c r="DI126" i="5"/>
  <c r="DK126" i="5"/>
  <c r="DG126" i="5"/>
  <c r="DL126" i="5"/>
  <c r="DH126" i="5"/>
  <c r="DO126" i="5"/>
  <c r="DN126" i="5"/>
  <c r="DE126" i="5"/>
  <c r="DD126" i="5"/>
  <c r="DP126" i="5"/>
  <c r="DC126" i="5"/>
  <c r="DQ126" i="5"/>
  <c r="DF135" i="5"/>
  <c r="DG135" i="5"/>
  <c r="DB135" i="5"/>
  <c r="CZ135" i="5"/>
  <c r="DA135" i="5"/>
  <c r="DE135" i="5"/>
  <c r="DD135" i="5"/>
  <c r="DJ135" i="5"/>
  <c r="DM135" i="5"/>
  <c r="DI135" i="5"/>
  <c r="DH135" i="5"/>
  <c r="DL135" i="5"/>
  <c r="DK135" i="5"/>
  <c r="DN135" i="5"/>
  <c r="DO135" i="5"/>
  <c r="DC135" i="5"/>
  <c r="DP135" i="5"/>
  <c r="DQ135" i="5"/>
  <c r="DF120" i="5"/>
  <c r="DA120" i="5"/>
  <c r="DD120" i="5"/>
  <c r="CZ120" i="5"/>
  <c r="DB120" i="5"/>
  <c r="DI120" i="5"/>
  <c r="DK120" i="5"/>
  <c r="DJ120" i="5"/>
  <c r="DL120" i="5"/>
  <c r="DM120" i="5"/>
  <c r="DH120" i="5"/>
  <c r="DG120" i="5"/>
  <c r="DO120" i="5"/>
  <c r="DN120" i="5"/>
  <c r="DE120" i="5"/>
  <c r="DQ120" i="5"/>
  <c r="DP120" i="5"/>
  <c r="DC120" i="5"/>
  <c r="W75" i="36"/>
  <c r="CB161" i="1"/>
  <c r="AA52" i="5" s="1"/>
  <c r="AA138" i="5" s="1"/>
  <c r="EN78" i="4"/>
  <c r="AK11" i="5" s="1"/>
  <c r="AK66" i="5" s="1"/>
  <c r="FD8" i="4"/>
  <c r="AN7" i="5" s="1"/>
  <c r="AA64" i="1"/>
  <c r="CZ61" i="1"/>
  <c r="AH39" i="5" s="1"/>
  <c r="DX58" i="1"/>
  <c r="CT147" i="1"/>
  <c r="AG38" i="5" s="1"/>
  <c r="AG124" i="5" s="1"/>
  <c r="AF75" i="1"/>
  <c r="J53" i="5" s="1"/>
  <c r="AR69" i="1"/>
  <c r="N47" i="5" s="1"/>
  <c r="AF144" i="1"/>
  <c r="K35" i="5" s="1"/>
  <c r="K121" i="5" s="1"/>
  <c r="AF160" i="1"/>
  <c r="K51" i="5" s="1"/>
  <c r="IV118" i="4"/>
  <c r="BT76" i="4"/>
  <c r="S10" i="5" s="1"/>
  <c r="BD78" i="4"/>
  <c r="O11" i="5" s="1"/>
  <c r="O66" i="5" s="1"/>
  <c r="AN113" i="4"/>
  <c r="K27" i="5" s="1"/>
  <c r="CZ113" i="4"/>
  <c r="AA27" i="5" s="1"/>
  <c r="AV118" i="4"/>
  <c r="M13" i="5" s="1"/>
  <c r="DH118" i="4"/>
  <c r="AC13" i="5" s="1"/>
  <c r="EN57" i="4"/>
  <c r="AJ13" i="5" s="1"/>
  <c r="GJ57" i="4"/>
  <c r="AV13" i="5" s="1"/>
  <c r="LX71" i="4"/>
  <c r="CG8" i="5" s="1"/>
  <c r="CG63" i="5" s="1"/>
  <c r="C128" i="5"/>
  <c r="Z57" i="1"/>
  <c r="H35" i="5" s="1"/>
  <c r="H121" i="5" s="1"/>
  <c r="ND80" i="4"/>
  <c r="CO7" i="5" s="1"/>
  <c r="GR17" i="4"/>
  <c r="AX11" i="5" s="1"/>
  <c r="HX118" i="4"/>
  <c r="JD76" i="4"/>
  <c r="JD118" i="4"/>
  <c r="HH96" i="4"/>
  <c r="CN135" i="5"/>
  <c r="CY135" i="5"/>
  <c r="CX135" i="5"/>
  <c r="CW135" i="5"/>
  <c r="CV135" i="5"/>
  <c r="CU135" i="5"/>
  <c r="CT135" i="5"/>
  <c r="CP135" i="5"/>
  <c r="CR135" i="5"/>
  <c r="CS135" i="5"/>
  <c r="CQ135" i="5"/>
  <c r="CW109" i="5"/>
  <c r="CV109" i="5"/>
  <c r="CY109" i="5"/>
  <c r="CX109" i="5"/>
  <c r="CT109" i="5"/>
  <c r="CU109" i="5"/>
  <c r="CR109" i="5"/>
  <c r="CS109" i="5"/>
  <c r="CQ109" i="5"/>
  <c r="CP109" i="5"/>
  <c r="S45" i="36"/>
  <c r="S18" i="36"/>
  <c r="AR75" i="1"/>
  <c r="N53" i="5" s="1"/>
  <c r="Z73" i="1"/>
  <c r="H51" i="5" s="1"/>
  <c r="H46" i="5" s="1"/>
  <c r="CV106" i="5"/>
  <c r="CW106" i="5"/>
  <c r="CY106" i="5"/>
  <c r="CX106" i="5"/>
  <c r="CT106" i="5"/>
  <c r="CU106" i="5"/>
  <c r="CR106" i="5"/>
  <c r="CS106" i="5"/>
  <c r="CP106" i="5"/>
  <c r="CQ106" i="5"/>
  <c r="CX102" i="5"/>
  <c r="CY102" i="5"/>
  <c r="CW102" i="5"/>
  <c r="CV102" i="5"/>
  <c r="CT102" i="5"/>
  <c r="CU102" i="5"/>
  <c r="CS102" i="5"/>
  <c r="CR102" i="5"/>
  <c r="CP102" i="5"/>
  <c r="CQ102" i="5"/>
  <c r="MN15" i="4"/>
  <c r="CJ10" i="5" s="1"/>
  <c r="CJ65" i="5" s="1"/>
  <c r="CV121" i="5"/>
  <c r="CW121" i="5"/>
  <c r="CY121" i="5"/>
  <c r="CX121" i="5"/>
  <c r="CU121" i="5"/>
  <c r="CT121" i="5"/>
  <c r="CR121" i="5"/>
  <c r="CS121" i="5"/>
  <c r="CP121" i="5"/>
  <c r="CQ121" i="5"/>
  <c r="O57" i="1"/>
  <c r="CC150" i="1"/>
  <c r="CW126" i="5"/>
  <c r="CY126" i="5"/>
  <c r="CX126" i="5"/>
  <c r="CV126" i="5"/>
  <c r="CU126" i="5"/>
  <c r="CT126" i="5"/>
  <c r="CS126" i="5"/>
  <c r="CQ126" i="5"/>
  <c r="CR126" i="5"/>
  <c r="CP126" i="5"/>
  <c r="CY100" i="5"/>
  <c r="CW100" i="5"/>
  <c r="CX100" i="5"/>
  <c r="CV100" i="5"/>
  <c r="CT100" i="5"/>
  <c r="CU100" i="5"/>
  <c r="CS100" i="5"/>
  <c r="CR100" i="5"/>
  <c r="CP100" i="5"/>
  <c r="CQ100" i="5"/>
  <c r="S19" i="36"/>
  <c r="S46" i="36"/>
  <c r="CZ59" i="1"/>
  <c r="AH37" i="5" s="1"/>
  <c r="CX101" i="5"/>
  <c r="CV101" i="5"/>
  <c r="CW101" i="5"/>
  <c r="CY101" i="5"/>
  <c r="CT101" i="5"/>
  <c r="CU101" i="5"/>
  <c r="CR101" i="5"/>
  <c r="CS101" i="5"/>
  <c r="CP101" i="5"/>
  <c r="CQ101" i="5"/>
  <c r="GR52" i="4"/>
  <c r="AX27" i="5" s="1"/>
  <c r="S51" i="36"/>
  <c r="S24" i="36"/>
  <c r="S27" i="36"/>
  <c r="S54" i="36"/>
  <c r="CY128" i="5"/>
  <c r="CX128" i="5"/>
  <c r="CV128" i="5"/>
  <c r="CW128" i="5"/>
  <c r="CT128" i="5"/>
  <c r="CU128" i="5"/>
  <c r="CS128" i="5"/>
  <c r="CR128" i="5"/>
  <c r="CQ128" i="5"/>
  <c r="CP128" i="5"/>
  <c r="CF120" i="5"/>
  <c r="CX120" i="5"/>
  <c r="CV120" i="5"/>
  <c r="CY120" i="5"/>
  <c r="CW120" i="5"/>
  <c r="CU120" i="5"/>
  <c r="CT120" i="5"/>
  <c r="CS120" i="5"/>
  <c r="CP120" i="5"/>
  <c r="CR120" i="5"/>
  <c r="CQ120" i="5"/>
  <c r="IF15" i="4"/>
  <c r="HP8" i="4"/>
  <c r="DH8" i="4"/>
  <c r="AB7" i="5" s="1"/>
  <c r="AN15" i="4"/>
  <c r="J10" i="5" s="1"/>
  <c r="H11" i="6" s="1"/>
  <c r="X17" i="4"/>
  <c r="F11" i="5" s="1"/>
  <c r="F66" i="5" s="1"/>
  <c r="BL76" i="4"/>
  <c r="Q10" i="5" s="1"/>
  <c r="AF113" i="4"/>
  <c r="I27" i="5" s="1"/>
  <c r="I82" i="5" s="1"/>
  <c r="LX76" i="4"/>
  <c r="CG10" i="5" s="1"/>
  <c r="CG65" i="5" s="1"/>
  <c r="S20" i="36"/>
  <c r="S47" i="36"/>
  <c r="CF131" i="5"/>
  <c r="CV131" i="5"/>
  <c r="CW131" i="5"/>
  <c r="CX131" i="5"/>
  <c r="CY131" i="5"/>
  <c r="CU131" i="5"/>
  <c r="CT131" i="5"/>
  <c r="CR131" i="5"/>
  <c r="CS131" i="5"/>
  <c r="CP131" i="5"/>
  <c r="CQ131" i="5"/>
  <c r="AF145" i="1"/>
  <c r="K36" i="5" s="1"/>
  <c r="BV57" i="1"/>
  <c r="X35" i="5" s="1"/>
  <c r="X121" i="5" s="1"/>
  <c r="AU40" i="6"/>
  <c r="LX17" i="4"/>
  <c r="CF11" i="5" s="1"/>
  <c r="V69" i="36" s="1"/>
  <c r="Z59" i="1"/>
  <c r="H37" i="5" s="1"/>
  <c r="JD69" i="4"/>
  <c r="CG121" i="5"/>
  <c r="Z62" i="1"/>
  <c r="H42" i="5" s="1"/>
  <c r="DR76" i="1"/>
  <c r="AN54" i="5" s="1"/>
  <c r="Z143" i="1"/>
  <c r="I34" i="5" s="1"/>
  <c r="N12" i="6"/>
  <c r="N62" i="6" s="1"/>
  <c r="IV78" i="4"/>
  <c r="GZ78" i="4"/>
  <c r="IN57" i="4"/>
  <c r="AV40" i="6"/>
  <c r="EJ143" i="1"/>
  <c r="H146" i="1"/>
  <c r="C37" i="5" s="1"/>
  <c r="IN15" i="4"/>
  <c r="GJ8" i="4"/>
  <c r="AV7" i="5" s="1"/>
  <c r="AU46" i="6"/>
  <c r="N146" i="1"/>
  <c r="E37" i="5" s="1"/>
  <c r="CZ143" i="1"/>
  <c r="AI34" i="5" s="1"/>
  <c r="ED77" i="1"/>
  <c r="HP118" i="4"/>
  <c r="IF113" i="4"/>
  <c r="HP113" i="4"/>
  <c r="JL92" i="4"/>
  <c r="GZ82" i="4"/>
  <c r="IF78" i="4"/>
  <c r="GZ15" i="4"/>
  <c r="BT15" i="4"/>
  <c r="R10" i="5" s="1"/>
  <c r="BD17" i="4"/>
  <c r="N11" i="5" s="1"/>
  <c r="BL113" i="4"/>
  <c r="Q27" i="5" s="1"/>
  <c r="AV116" i="4"/>
  <c r="M28" i="5" s="1"/>
  <c r="GJ10" i="4"/>
  <c r="AV8" i="5" s="1"/>
  <c r="AV63" i="5" s="1"/>
  <c r="LX118" i="4"/>
  <c r="CG13" i="5" s="1"/>
  <c r="MF118" i="4"/>
  <c r="CI13" i="5" s="1"/>
  <c r="MN118" i="4"/>
  <c r="CK13" i="5" s="1"/>
  <c r="AV43" i="6"/>
  <c r="MV113" i="4"/>
  <c r="CM27" i="5" s="1"/>
  <c r="CM82" i="5" s="1"/>
  <c r="ND25" i="4"/>
  <c r="AF60" i="1"/>
  <c r="J38" i="5" s="1"/>
  <c r="J124" i="5" s="1"/>
  <c r="AR60" i="1"/>
  <c r="N38" i="5" s="1"/>
  <c r="N124" i="5" s="1"/>
  <c r="CZ164" i="1"/>
  <c r="AI55" i="5" s="1"/>
  <c r="CN60" i="1"/>
  <c r="AD38" i="5" s="1"/>
  <c r="AD124" i="5" s="1"/>
  <c r="CB148" i="1"/>
  <c r="AA39" i="5" s="1"/>
  <c r="AA33" i="5" s="1"/>
  <c r="CZ72" i="1"/>
  <c r="AH50" i="5" s="1"/>
  <c r="CB163" i="1"/>
  <c r="AA54" i="5" s="1"/>
  <c r="AA60" i="1"/>
  <c r="AR56" i="1"/>
  <c r="N34" i="5" s="1"/>
  <c r="CN149" i="1"/>
  <c r="AE42" i="5" s="1"/>
  <c r="BV173" i="1"/>
  <c r="CG126" i="5"/>
  <c r="CH148" i="1"/>
  <c r="CT163" i="1"/>
  <c r="AA144" i="1"/>
  <c r="CG128" i="5"/>
  <c r="DR72" i="1"/>
  <c r="AN50" i="5" s="1"/>
  <c r="EP86" i="1"/>
  <c r="CF121" i="5"/>
  <c r="F131" i="5"/>
  <c r="CM128" i="5"/>
  <c r="F121" i="5"/>
  <c r="I128" i="5"/>
  <c r="R121" i="5"/>
  <c r="HP96" i="4"/>
  <c r="JT78" i="4"/>
  <c r="HX78" i="4"/>
  <c r="IV74" i="4"/>
  <c r="JL21" i="4"/>
  <c r="BL8" i="4"/>
  <c r="P7" i="5" s="1"/>
  <c r="DP15" i="4"/>
  <c r="AD10" i="5" s="1"/>
  <c r="CZ69" i="4"/>
  <c r="AA7" i="5" s="1"/>
  <c r="DH113" i="4"/>
  <c r="AC27" i="5" s="1"/>
  <c r="AC82" i="5" s="1"/>
  <c r="GJ78" i="4"/>
  <c r="AW11" i="5" s="1"/>
  <c r="AA12" i="6" s="1"/>
  <c r="LX101" i="4"/>
  <c r="CG23" i="5" s="1"/>
  <c r="CG78" i="5" s="1"/>
  <c r="MN57" i="4"/>
  <c r="CJ13" i="5" s="1"/>
  <c r="MN71" i="4"/>
  <c r="CK8" i="5" s="1"/>
  <c r="CK63" i="5" s="1"/>
  <c r="AU51" i="6"/>
  <c r="MV57" i="4"/>
  <c r="CL13" i="5" s="1"/>
  <c r="D131" i="5"/>
  <c r="G128" i="5"/>
  <c r="H120" i="5"/>
  <c r="CC157" i="1"/>
  <c r="AH121" i="5"/>
  <c r="F120" i="5"/>
  <c r="AQ126" i="5"/>
  <c r="AV126" i="5"/>
  <c r="B126" i="5"/>
  <c r="AT126" i="5"/>
  <c r="T126" i="5"/>
  <c r="AC126" i="5"/>
  <c r="L126" i="5"/>
  <c r="AW126" i="5"/>
  <c r="O126" i="5"/>
  <c r="U126" i="5"/>
  <c r="AU126" i="5"/>
  <c r="AS126" i="5"/>
  <c r="W126" i="5"/>
  <c r="AR126" i="5"/>
  <c r="Y126" i="5"/>
  <c r="AP126" i="5"/>
  <c r="AF126" i="5"/>
  <c r="V126" i="5"/>
  <c r="CO126" i="5"/>
  <c r="J135" i="5"/>
  <c r="BF135" i="5"/>
  <c r="S135" i="5"/>
  <c r="BG135" i="5"/>
  <c r="T135" i="5"/>
  <c r="BD135" i="5"/>
  <c r="M135" i="5"/>
  <c r="AW135" i="5"/>
  <c r="BZ135" i="5"/>
  <c r="CA135" i="5"/>
  <c r="U135" i="5"/>
  <c r="AD135" i="5"/>
  <c r="CD135" i="5"/>
  <c r="AE135" i="5"/>
  <c r="CE135" i="5"/>
  <c r="AJ135" i="5"/>
  <c r="BX135" i="5"/>
  <c r="Y135" i="5"/>
  <c r="BE135" i="5"/>
  <c r="AP135" i="5"/>
  <c r="G135" i="5"/>
  <c r="AQ135" i="5"/>
  <c r="D135" i="5"/>
  <c r="AR135" i="5"/>
  <c r="CF135" i="5"/>
  <c r="AC135" i="5"/>
  <c r="BY135" i="5"/>
  <c r="F135" i="5"/>
  <c r="BB135" i="5"/>
  <c r="O135" i="5"/>
  <c r="BC135" i="5"/>
  <c r="L135" i="5"/>
  <c r="AZ135" i="5"/>
  <c r="I135" i="5"/>
  <c r="AS135" i="5"/>
  <c r="B135" i="5"/>
  <c r="V135" i="5"/>
  <c r="W135" i="5"/>
  <c r="AF135" i="5"/>
  <c r="BA135" i="5"/>
  <c r="K135" i="5"/>
  <c r="AG135" i="5"/>
  <c r="AU135" i="5"/>
  <c r="CC135" i="5"/>
  <c r="H135" i="5"/>
  <c r="AV135" i="5"/>
  <c r="BH135" i="5"/>
  <c r="AT135" i="5"/>
  <c r="E135" i="5"/>
  <c r="CH135" i="5"/>
  <c r="CO135" i="5"/>
  <c r="CK135" i="5"/>
  <c r="O120" i="5"/>
  <c r="AE120" i="5"/>
  <c r="AR120" i="5"/>
  <c r="BA120" i="5"/>
  <c r="AQ120" i="5"/>
  <c r="BY120" i="5"/>
  <c r="E120" i="5"/>
  <c r="AU120" i="5"/>
  <c r="V120" i="5"/>
  <c r="L120" i="5"/>
  <c r="M120" i="5"/>
  <c r="BW120" i="5"/>
  <c r="AC120" i="5"/>
  <c r="AP120" i="5"/>
  <c r="C120" i="5"/>
  <c r="Y120" i="5"/>
  <c r="AF120" i="5"/>
  <c r="AW120" i="5"/>
  <c r="W120" i="5"/>
  <c r="AV120" i="5"/>
  <c r="U120" i="5"/>
  <c r="T120" i="5"/>
  <c r="AS120" i="5"/>
  <c r="AT120" i="5"/>
  <c r="CN120" i="5"/>
  <c r="H126" i="5"/>
  <c r="X126" i="5"/>
  <c r="Q120" i="5"/>
  <c r="Q71" i="5"/>
  <c r="CL135" i="5"/>
  <c r="CM126" i="5"/>
  <c r="JD78" i="4"/>
  <c r="HH78" i="4"/>
  <c r="C121" i="5"/>
  <c r="H131" i="5"/>
  <c r="AA126" i="5"/>
  <c r="CZ159" i="1"/>
  <c r="AI50" i="5" s="1"/>
  <c r="CZ60" i="1"/>
  <c r="AH38" i="5" s="1"/>
  <c r="AH124" i="5" s="1"/>
  <c r="Q126" i="5"/>
  <c r="AR59" i="1"/>
  <c r="N37" i="5" s="1"/>
  <c r="G121" i="5"/>
  <c r="CH128" i="5"/>
  <c r="CJ135" i="5"/>
  <c r="CK128" i="5"/>
  <c r="CK120" i="5"/>
  <c r="CL131" i="5"/>
  <c r="CM131" i="5"/>
  <c r="CF128" i="5"/>
  <c r="CO120" i="5"/>
  <c r="CI131" i="5"/>
  <c r="JL78" i="4"/>
  <c r="HP78" i="4"/>
  <c r="JT74" i="4"/>
  <c r="HX69" i="4"/>
  <c r="HH25" i="4"/>
  <c r="HX8" i="4"/>
  <c r="FL69" i="4"/>
  <c r="AQ7" i="5" s="1"/>
  <c r="C135" i="5"/>
  <c r="CH121" i="5"/>
  <c r="O121" i="5"/>
  <c r="AF121" i="5"/>
  <c r="AT121" i="5"/>
  <c r="AW121" i="5"/>
  <c r="AU121" i="5"/>
  <c r="E121" i="5"/>
  <c r="AC121" i="5"/>
  <c r="T121" i="5"/>
  <c r="AP121" i="5"/>
  <c r="BY121" i="5"/>
  <c r="L121" i="5"/>
  <c r="AS121" i="5"/>
  <c r="AV121" i="5"/>
  <c r="V121" i="5"/>
  <c r="AQ121" i="5"/>
  <c r="B121" i="5"/>
  <c r="AR121" i="5"/>
  <c r="U121" i="5"/>
  <c r="W121" i="5"/>
  <c r="Y121" i="5"/>
  <c r="CN121" i="5"/>
  <c r="CO121" i="5"/>
  <c r="CK121" i="5"/>
  <c r="E126" i="5"/>
  <c r="F126" i="5"/>
  <c r="G120" i="5"/>
  <c r="M126" i="5"/>
  <c r="M121" i="5"/>
  <c r="BD146" i="1"/>
  <c r="S37" i="5" s="1"/>
  <c r="N135" i="5"/>
  <c r="Z126" i="5"/>
  <c r="AI120" i="5"/>
  <c r="DR143" i="1"/>
  <c r="AO34" i="5" s="1"/>
  <c r="EJ159" i="1"/>
  <c r="AK120" i="5"/>
  <c r="AA120" i="5"/>
  <c r="CJ120" i="5"/>
  <c r="CK126" i="5"/>
  <c r="CL128" i="5"/>
  <c r="CM135" i="5"/>
  <c r="CO128" i="5"/>
  <c r="CI135" i="5"/>
  <c r="CF126" i="5"/>
  <c r="IN78" i="4"/>
  <c r="GJ113" i="4"/>
  <c r="AW27" i="5" s="1"/>
  <c r="AW82" i="5" s="1"/>
  <c r="MF76" i="4"/>
  <c r="CI10" i="5" s="1"/>
  <c r="CI65" i="5" s="1"/>
  <c r="MN40" i="4"/>
  <c r="CJ23" i="5" s="1"/>
  <c r="CJ78" i="5" s="1"/>
  <c r="L131" i="5"/>
  <c r="U131" i="5"/>
  <c r="AP131" i="5"/>
  <c r="AM131" i="5"/>
  <c r="AF131" i="5"/>
  <c r="AS131" i="5"/>
  <c r="AU131" i="5"/>
  <c r="AC131" i="5"/>
  <c r="O131" i="5"/>
  <c r="AR131" i="5"/>
  <c r="AT131" i="5"/>
  <c r="AQ131" i="5"/>
  <c r="Y131" i="5"/>
  <c r="AV131" i="5"/>
  <c r="V131" i="5"/>
  <c r="W131" i="5"/>
  <c r="B131" i="5"/>
  <c r="AB131" i="5"/>
  <c r="AW131" i="5"/>
  <c r="T131" i="5"/>
  <c r="CK131" i="5"/>
  <c r="CN131" i="5"/>
  <c r="E131" i="5"/>
  <c r="I126" i="5"/>
  <c r="I131" i="5"/>
  <c r="K126" i="5"/>
  <c r="J131" i="5"/>
  <c r="S120" i="5"/>
  <c r="N131" i="5"/>
  <c r="N128" i="5"/>
  <c r="D121" i="5"/>
  <c r="AL121" i="5"/>
  <c r="ED144" i="1"/>
  <c r="AA121" i="5"/>
  <c r="AD126" i="5"/>
  <c r="CT58" i="1"/>
  <c r="AF146" i="1"/>
  <c r="K37" i="5" s="1"/>
  <c r="K65" i="5" s="1"/>
  <c r="N121" i="5"/>
  <c r="CH126" i="5"/>
  <c r="CH131" i="5"/>
  <c r="CI120" i="5"/>
  <c r="CO131" i="5"/>
  <c r="CH120" i="5"/>
  <c r="CG135" i="5"/>
  <c r="HH118" i="4"/>
  <c r="HH106" i="4"/>
  <c r="HX96" i="4"/>
  <c r="HH13" i="4"/>
  <c r="CR113" i="4"/>
  <c r="Y27" i="5" s="1"/>
  <c r="Y82" i="5" s="1"/>
  <c r="DX13" i="4"/>
  <c r="AF9" i="5" s="1"/>
  <c r="AF64" i="5" s="1"/>
  <c r="DX57" i="4"/>
  <c r="AF13" i="5" s="1"/>
  <c r="FD71" i="4"/>
  <c r="AO8" i="5" s="1"/>
  <c r="ND44" i="4"/>
  <c r="CN23" i="5" s="1"/>
  <c r="CN19" i="5" s="1"/>
  <c r="ND56" i="4"/>
  <c r="CN24" i="5" s="1"/>
  <c r="L128" i="5"/>
  <c r="AR128" i="5"/>
  <c r="D128" i="5"/>
  <c r="Y128" i="5"/>
  <c r="V128" i="5"/>
  <c r="W128" i="5"/>
  <c r="AV128" i="5"/>
  <c r="AW128" i="5"/>
  <c r="BB128" i="5"/>
  <c r="AU128" i="5"/>
  <c r="U128" i="5"/>
  <c r="J128" i="5"/>
  <c r="O128" i="5"/>
  <c r="B128" i="5"/>
  <c r="BX128" i="5"/>
  <c r="K128" i="5"/>
  <c r="AC128" i="5"/>
  <c r="AS128" i="5"/>
  <c r="AQ128" i="5"/>
  <c r="F128" i="5"/>
  <c r="BC128" i="5"/>
  <c r="AF128" i="5"/>
  <c r="AT128" i="5"/>
  <c r="AM128" i="5"/>
  <c r="T128" i="5"/>
  <c r="AP128" i="5"/>
  <c r="CN128" i="5"/>
  <c r="G126" i="5"/>
  <c r="P126" i="5"/>
  <c r="Q135" i="5"/>
  <c r="Q131" i="5"/>
  <c r="I121" i="5"/>
  <c r="AE126" i="5"/>
  <c r="EP143" i="1"/>
  <c r="EJ156" i="1"/>
  <c r="AA135" i="5"/>
  <c r="AN121" i="5"/>
  <c r="CI121" i="5"/>
  <c r="CJ121" i="5"/>
  <c r="CJ131" i="5"/>
  <c r="CL121" i="5"/>
  <c r="CM120" i="5"/>
  <c r="CG120" i="5"/>
  <c r="CG131" i="5"/>
  <c r="CN126" i="5"/>
  <c r="CI126" i="5"/>
  <c r="CI128" i="5"/>
  <c r="D46" i="6"/>
  <c r="D22" i="6"/>
  <c r="D54" i="36"/>
  <c r="D27" i="36"/>
  <c r="B109" i="5"/>
  <c r="B80" i="5"/>
  <c r="T109" i="5"/>
  <c r="V109" i="5"/>
  <c r="W109" i="5"/>
  <c r="J46" i="6"/>
  <c r="N80" i="5"/>
  <c r="J22" i="6"/>
  <c r="F27" i="36"/>
  <c r="N109" i="5"/>
  <c r="AD80" i="5"/>
  <c r="R46" i="6"/>
  <c r="R22" i="6"/>
  <c r="AD109" i="5"/>
  <c r="JD111" i="4"/>
  <c r="HP82" i="4"/>
  <c r="AX100" i="5"/>
  <c r="H10" i="4"/>
  <c r="B8" i="5" s="1"/>
  <c r="AN10" i="4"/>
  <c r="J8" i="5" s="1"/>
  <c r="AF15" i="4"/>
  <c r="H10" i="5" s="1"/>
  <c r="DH15" i="4"/>
  <c r="AB10" i="5" s="1"/>
  <c r="D100" i="5"/>
  <c r="E15" i="6"/>
  <c r="E18" i="36"/>
  <c r="G15" i="6"/>
  <c r="H100" i="5"/>
  <c r="I39" i="6"/>
  <c r="I15" i="6"/>
  <c r="L71" i="5"/>
  <c r="L100" i="5"/>
  <c r="K15" i="6"/>
  <c r="P100" i="5"/>
  <c r="O15" i="6"/>
  <c r="X100" i="5"/>
  <c r="G18" i="36"/>
  <c r="Q15" i="6"/>
  <c r="AB100" i="5"/>
  <c r="D16" i="6"/>
  <c r="B101" i="5"/>
  <c r="D19" i="36"/>
  <c r="T101" i="5"/>
  <c r="U101" i="5"/>
  <c r="W101" i="5"/>
  <c r="F40" i="6"/>
  <c r="F16" i="6"/>
  <c r="F72" i="5"/>
  <c r="F101" i="5"/>
  <c r="J72" i="5"/>
  <c r="H16" i="6"/>
  <c r="J101" i="5"/>
  <c r="F19" i="36"/>
  <c r="J16" i="6"/>
  <c r="J40" i="6"/>
  <c r="N72" i="5"/>
  <c r="N101" i="5"/>
  <c r="L16" i="6"/>
  <c r="R101" i="5"/>
  <c r="P16" i="6"/>
  <c r="H19" i="36"/>
  <c r="P40" i="6"/>
  <c r="Z72" i="5"/>
  <c r="Z101" i="5"/>
  <c r="R16" i="6"/>
  <c r="AD72" i="5"/>
  <c r="AD101" i="5"/>
  <c r="E19" i="6"/>
  <c r="D106" i="5"/>
  <c r="E43" i="6"/>
  <c r="D77" i="5"/>
  <c r="G19" i="6"/>
  <c r="E24" i="36"/>
  <c r="H106" i="5"/>
  <c r="H77" i="5"/>
  <c r="L77" i="5"/>
  <c r="I19" i="6"/>
  <c r="L106" i="5"/>
  <c r="K19" i="6"/>
  <c r="P106" i="5"/>
  <c r="O19" i="6"/>
  <c r="X106" i="5"/>
  <c r="G24" i="36"/>
  <c r="Q19" i="6"/>
  <c r="AB106" i="5"/>
  <c r="X52" i="4"/>
  <c r="F27" i="5" s="1"/>
  <c r="BD52" i="4"/>
  <c r="N27" i="5" s="1"/>
  <c r="CZ52" i="4"/>
  <c r="Z27" i="5" s="1"/>
  <c r="E27" i="6"/>
  <c r="D102" i="5"/>
  <c r="E51" i="6"/>
  <c r="D73" i="5"/>
  <c r="G51" i="6"/>
  <c r="G27" i="6"/>
  <c r="H73" i="5"/>
  <c r="E20" i="36"/>
  <c r="H102" i="5"/>
  <c r="L73" i="5"/>
  <c r="I27" i="6"/>
  <c r="L102" i="5"/>
  <c r="K27" i="6"/>
  <c r="P102" i="5"/>
  <c r="O27" i="6"/>
  <c r="X102" i="5"/>
  <c r="G20" i="36"/>
  <c r="Q51" i="6"/>
  <c r="Q27" i="6"/>
  <c r="AB73" i="5"/>
  <c r="AB102" i="5"/>
  <c r="Y71" i="5"/>
  <c r="Y100" i="5"/>
  <c r="AC71" i="5"/>
  <c r="AC100" i="5"/>
  <c r="C101" i="5"/>
  <c r="C72" i="5"/>
  <c r="G72" i="5"/>
  <c r="G101" i="5"/>
  <c r="K72" i="5"/>
  <c r="K101" i="5"/>
  <c r="O72" i="5"/>
  <c r="O101" i="5"/>
  <c r="S72" i="5"/>
  <c r="S101" i="5"/>
  <c r="AA72" i="5"/>
  <c r="AA101" i="5"/>
  <c r="AE101" i="5"/>
  <c r="E106" i="5"/>
  <c r="E77" i="5"/>
  <c r="I106" i="5"/>
  <c r="I77" i="5"/>
  <c r="M77" i="5"/>
  <c r="M106" i="5"/>
  <c r="Q77" i="5"/>
  <c r="Q106" i="5"/>
  <c r="Y77" i="5"/>
  <c r="Y106" i="5"/>
  <c r="AC77" i="5"/>
  <c r="AC106" i="5"/>
  <c r="E68" i="5"/>
  <c r="Y68" i="5"/>
  <c r="E73" i="5"/>
  <c r="E102" i="5"/>
  <c r="I102" i="5"/>
  <c r="I73" i="5"/>
  <c r="M102" i="5"/>
  <c r="Q73" i="5"/>
  <c r="Q102" i="5"/>
  <c r="Y73" i="5"/>
  <c r="Y102" i="5"/>
  <c r="AC73" i="5"/>
  <c r="AC102" i="5"/>
  <c r="AG100" i="5"/>
  <c r="AG77" i="5"/>
  <c r="AG106" i="5"/>
  <c r="AG102" i="5"/>
  <c r="T22" i="6"/>
  <c r="AH109" i="5"/>
  <c r="AI101" i="5"/>
  <c r="AK100" i="5"/>
  <c r="AK106" i="5"/>
  <c r="AK102" i="5"/>
  <c r="V22" i="6"/>
  <c r="J27" i="36"/>
  <c r="AL109" i="5"/>
  <c r="AM72" i="5"/>
  <c r="AM101" i="5"/>
  <c r="AO100" i="5"/>
  <c r="AO106" i="5"/>
  <c r="AO102" i="5"/>
  <c r="X22" i="6"/>
  <c r="AP80" i="5"/>
  <c r="AP109" i="5"/>
  <c r="AQ72" i="5"/>
  <c r="AQ101" i="5"/>
  <c r="AS71" i="5"/>
  <c r="AS100" i="5"/>
  <c r="AS77" i="5"/>
  <c r="AS106" i="5"/>
  <c r="AS73" i="5"/>
  <c r="AS102" i="5"/>
  <c r="Z22" i="6"/>
  <c r="AT80" i="5"/>
  <c r="AT109" i="5"/>
  <c r="AU72" i="5"/>
  <c r="AU101" i="5"/>
  <c r="AV66" i="5"/>
  <c r="N18" i="6"/>
  <c r="V76" i="5"/>
  <c r="M72" i="6"/>
  <c r="W79" i="5"/>
  <c r="H22" i="6"/>
  <c r="J109" i="5"/>
  <c r="H27" i="36"/>
  <c r="P22" i="6"/>
  <c r="Z80" i="5"/>
  <c r="Z109" i="5"/>
  <c r="W64" i="5"/>
  <c r="N10" i="6"/>
  <c r="N60" i="6" s="1"/>
  <c r="T81" i="5"/>
  <c r="M23" i="6"/>
  <c r="T68" i="5"/>
  <c r="M26" i="6"/>
  <c r="JT96" i="4"/>
  <c r="IN96" i="4"/>
  <c r="JL82" i="4"/>
  <c r="IF82" i="4"/>
  <c r="IV71" i="4"/>
  <c r="HP71" i="4"/>
  <c r="JL69" i="4"/>
  <c r="IN52" i="4"/>
  <c r="AX106" i="5"/>
  <c r="JT17" i="4"/>
  <c r="JT15" i="4"/>
  <c r="JD8" i="4"/>
  <c r="B7" i="5"/>
  <c r="AN8" i="4"/>
  <c r="J7" i="5" s="1"/>
  <c r="BT8" i="4"/>
  <c r="R7" i="5" s="1"/>
  <c r="D15" i="6"/>
  <c r="B100" i="5"/>
  <c r="Q100" i="5"/>
  <c r="D18" i="36"/>
  <c r="U100" i="5"/>
  <c r="T100" i="5"/>
  <c r="W100" i="5"/>
  <c r="F39" i="6"/>
  <c r="F15" i="6"/>
  <c r="F100" i="5"/>
  <c r="F71" i="5"/>
  <c r="J71" i="5"/>
  <c r="H39" i="6"/>
  <c r="H15" i="6"/>
  <c r="J100" i="5"/>
  <c r="F18" i="36"/>
  <c r="N71" i="5"/>
  <c r="J39" i="6"/>
  <c r="J15" i="6"/>
  <c r="N100" i="5"/>
  <c r="L15" i="6"/>
  <c r="R100" i="5"/>
  <c r="H18" i="36"/>
  <c r="P15" i="6"/>
  <c r="Z100" i="5"/>
  <c r="R15" i="6"/>
  <c r="AD100" i="5"/>
  <c r="E16" i="6"/>
  <c r="D101" i="5"/>
  <c r="E46" i="36"/>
  <c r="E19" i="36"/>
  <c r="H72" i="5"/>
  <c r="G16" i="6"/>
  <c r="H101" i="5"/>
  <c r="I16" i="6"/>
  <c r="L72" i="5"/>
  <c r="I40" i="6"/>
  <c r="L101" i="5"/>
  <c r="K16" i="6"/>
  <c r="P72" i="5"/>
  <c r="P101" i="5"/>
  <c r="O16" i="6"/>
  <c r="X101" i="5"/>
  <c r="G19" i="36"/>
  <c r="Q16" i="6"/>
  <c r="AB72" i="5"/>
  <c r="Q40" i="6"/>
  <c r="AB101" i="5"/>
  <c r="D51" i="36"/>
  <c r="D24" i="36"/>
  <c r="D43" i="6"/>
  <c r="D19" i="6"/>
  <c r="B106" i="5"/>
  <c r="B77" i="5"/>
  <c r="V106" i="5"/>
  <c r="T106" i="5"/>
  <c r="W106" i="5"/>
  <c r="F43" i="6"/>
  <c r="F19" i="6"/>
  <c r="F106" i="5"/>
  <c r="F77" i="5"/>
  <c r="J77" i="5"/>
  <c r="H19" i="6"/>
  <c r="J106" i="5"/>
  <c r="J19" i="6"/>
  <c r="J43" i="6"/>
  <c r="N77" i="5"/>
  <c r="F24" i="36"/>
  <c r="N106" i="5"/>
  <c r="L19" i="6"/>
  <c r="R106" i="5"/>
  <c r="H24" i="36"/>
  <c r="P19" i="6"/>
  <c r="Z106" i="5"/>
  <c r="R19" i="6"/>
  <c r="AD77" i="5"/>
  <c r="AD106" i="5"/>
  <c r="D27" i="6"/>
  <c r="B102" i="5"/>
  <c r="D20" i="36"/>
  <c r="D51" i="6"/>
  <c r="W102" i="5"/>
  <c r="T102" i="5"/>
  <c r="F27" i="6"/>
  <c r="F102" i="5"/>
  <c r="F73" i="5"/>
  <c r="V100" i="5"/>
  <c r="U79" i="5"/>
  <c r="N70" i="6"/>
  <c r="F80" i="5"/>
  <c r="F46" i="6"/>
  <c r="F22" i="6"/>
  <c r="F109" i="5"/>
  <c r="L22" i="6"/>
  <c r="R109" i="5"/>
  <c r="M77" i="6"/>
  <c r="IV116" i="4"/>
  <c r="JL101" i="4"/>
  <c r="HX86" i="4"/>
  <c r="HH86" i="4"/>
  <c r="AX102" i="5"/>
  <c r="GZ57" i="4"/>
  <c r="IV55" i="4"/>
  <c r="HP55" i="4"/>
  <c r="AX109" i="5"/>
  <c r="AX101" i="5"/>
  <c r="GZ21" i="4"/>
  <c r="JL17" i="4"/>
  <c r="IF17" i="4"/>
  <c r="JT13" i="4"/>
  <c r="IN13" i="4"/>
  <c r="IF8" i="4"/>
  <c r="GZ8" i="4"/>
  <c r="AV8" i="4"/>
  <c r="L7" i="5" s="1"/>
  <c r="CR8" i="4"/>
  <c r="X7" i="5" s="1"/>
  <c r="H17" i="4"/>
  <c r="B11" i="5" s="1"/>
  <c r="BT17" i="4"/>
  <c r="R11" i="5" s="1"/>
  <c r="D80" i="5"/>
  <c r="E46" i="6"/>
  <c r="E22" i="6"/>
  <c r="D109" i="5"/>
  <c r="G22" i="6"/>
  <c r="H109" i="5"/>
  <c r="H80" i="5"/>
  <c r="E27" i="36"/>
  <c r="I46" i="6"/>
  <c r="I22" i="6"/>
  <c r="L80" i="5"/>
  <c r="L109" i="5"/>
  <c r="P80" i="5"/>
  <c r="K46" i="6"/>
  <c r="K22" i="6"/>
  <c r="P109" i="5"/>
  <c r="O22" i="6"/>
  <c r="X80" i="5"/>
  <c r="O46" i="6"/>
  <c r="X109" i="5"/>
  <c r="G27" i="36"/>
  <c r="G54" i="36"/>
  <c r="Q22" i="6"/>
  <c r="AB109" i="5"/>
  <c r="AV52" i="4"/>
  <c r="L27" i="5" s="1"/>
  <c r="CR52" i="4"/>
  <c r="X27" i="5" s="1"/>
  <c r="AF55" i="4"/>
  <c r="H28" i="5" s="1"/>
  <c r="BL55" i="4"/>
  <c r="P28" i="5" s="1"/>
  <c r="DH55" i="4"/>
  <c r="AB28" i="5" s="1"/>
  <c r="AW80" i="5"/>
  <c r="AW109" i="5"/>
  <c r="AS40" i="6"/>
  <c r="AS16" i="6"/>
  <c r="CF101" i="5"/>
  <c r="CF72" i="5"/>
  <c r="R45" i="36"/>
  <c r="AT39" i="6"/>
  <c r="R18" i="36"/>
  <c r="AT15" i="6"/>
  <c r="CH71" i="5"/>
  <c r="CH100" i="5"/>
  <c r="R24" i="36"/>
  <c r="AT19" i="6"/>
  <c r="R51" i="36"/>
  <c r="AT43" i="6"/>
  <c r="CH77" i="5"/>
  <c r="CH106" i="5"/>
  <c r="R20" i="36"/>
  <c r="R47" i="36"/>
  <c r="AT51" i="6"/>
  <c r="AT27" i="6"/>
  <c r="CH102" i="5"/>
  <c r="CH73" i="5"/>
  <c r="CI109" i="5"/>
  <c r="CI80" i="5"/>
  <c r="CK71" i="5"/>
  <c r="CK100" i="5"/>
  <c r="CK77" i="5"/>
  <c r="CK106" i="5"/>
  <c r="CK73" i="5"/>
  <c r="CK102" i="5"/>
  <c r="AV22" i="6"/>
  <c r="CL109" i="5"/>
  <c r="AV46" i="6"/>
  <c r="CM101" i="5"/>
  <c r="CM72" i="5"/>
  <c r="M14" i="6"/>
  <c r="T70" i="5"/>
  <c r="T69" i="5" s="1"/>
  <c r="M21" i="6"/>
  <c r="T79" i="5"/>
  <c r="U109" i="5"/>
  <c r="V101" i="5"/>
  <c r="U102" i="5"/>
  <c r="U106" i="5"/>
  <c r="V102" i="5"/>
  <c r="N23" i="6"/>
  <c r="V81" i="5"/>
  <c r="H69" i="4"/>
  <c r="C7" i="5" s="1"/>
  <c r="BT69" i="4"/>
  <c r="S7" i="5" s="1"/>
  <c r="DP69" i="4"/>
  <c r="AE7" i="5" s="1"/>
  <c r="C100" i="5"/>
  <c r="G71" i="5"/>
  <c r="G100" i="5"/>
  <c r="K71" i="5"/>
  <c r="K100" i="5"/>
  <c r="O71" i="5"/>
  <c r="O100" i="5"/>
  <c r="E109" i="5"/>
  <c r="E80" i="5"/>
  <c r="I80" i="5"/>
  <c r="I109" i="5"/>
  <c r="M80" i="5"/>
  <c r="M109" i="5"/>
  <c r="Q80" i="5"/>
  <c r="Q109" i="5"/>
  <c r="Y80" i="5"/>
  <c r="Y109" i="5"/>
  <c r="AC80" i="5"/>
  <c r="AC109" i="5"/>
  <c r="AF71" i="5"/>
  <c r="S15" i="6"/>
  <c r="I18" i="36"/>
  <c r="AF100" i="5"/>
  <c r="I24" i="36"/>
  <c r="AF77" i="5"/>
  <c r="S19" i="6"/>
  <c r="AF106" i="5"/>
  <c r="I20" i="36"/>
  <c r="AF73" i="5"/>
  <c r="S27" i="6"/>
  <c r="AF102" i="5"/>
  <c r="AG109" i="5"/>
  <c r="T16" i="6"/>
  <c r="AH72" i="5"/>
  <c r="AH101" i="5"/>
  <c r="U15" i="6"/>
  <c r="AJ100" i="5"/>
  <c r="U19" i="6"/>
  <c r="AJ77" i="5"/>
  <c r="AJ106" i="5"/>
  <c r="U27" i="6"/>
  <c r="AJ102" i="5"/>
  <c r="AK80" i="5"/>
  <c r="AK109" i="5"/>
  <c r="EV10" i="4"/>
  <c r="AL8" i="5" s="1"/>
  <c r="J19" i="36"/>
  <c r="V16" i="6"/>
  <c r="AL72" i="5"/>
  <c r="AL101" i="5"/>
  <c r="W15" i="6"/>
  <c r="AN100" i="5"/>
  <c r="W19" i="6"/>
  <c r="AN106" i="5"/>
  <c r="W27" i="6"/>
  <c r="AN102" i="5"/>
  <c r="AO109" i="5"/>
  <c r="X16" i="6"/>
  <c r="AP72" i="5"/>
  <c r="AP101" i="5"/>
  <c r="K18" i="36"/>
  <c r="AR71" i="5"/>
  <c r="Y15" i="6"/>
  <c r="AR100" i="5"/>
  <c r="K24" i="36"/>
  <c r="AR77" i="5"/>
  <c r="Y19" i="6"/>
  <c r="AR106" i="5"/>
  <c r="FT52" i="4"/>
  <c r="AR27" i="5" s="1"/>
  <c r="K20" i="36"/>
  <c r="AR73" i="5"/>
  <c r="Y27" i="6"/>
  <c r="AR102" i="5"/>
  <c r="FT76" i="4"/>
  <c r="AS10" i="5" s="1"/>
  <c r="AS80" i="5"/>
  <c r="AS109" i="5"/>
  <c r="Z16" i="6"/>
  <c r="AT72" i="5"/>
  <c r="AT101" i="5"/>
  <c r="AV71" i="5"/>
  <c r="AA15" i="6"/>
  <c r="AV100" i="5"/>
  <c r="AV77" i="5"/>
  <c r="AA19" i="6"/>
  <c r="AV106" i="5"/>
  <c r="AV73" i="5"/>
  <c r="AA27" i="6"/>
  <c r="AV102" i="5"/>
  <c r="AW72" i="5"/>
  <c r="AW101" i="5"/>
  <c r="CG100" i="5"/>
  <c r="CG71" i="5"/>
  <c r="CG106" i="5"/>
  <c r="CG77" i="5"/>
  <c r="CG102" i="5"/>
  <c r="CG73" i="5"/>
  <c r="R54" i="36"/>
  <c r="AT46" i="6"/>
  <c r="AT22" i="6"/>
  <c r="R27" i="36"/>
  <c r="CH109" i="5"/>
  <c r="CH80" i="5"/>
  <c r="CI101" i="5"/>
  <c r="MN13" i="4"/>
  <c r="CJ9" i="5" s="1"/>
  <c r="CJ64" i="5" s="1"/>
  <c r="AU15" i="6"/>
  <c r="CJ100" i="5"/>
  <c r="AU19" i="6"/>
  <c r="CJ106" i="5"/>
  <c r="AU27" i="6"/>
  <c r="CJ102" i="5"/>
  <c r="MN92" i="4"/>
  <c r="CK20" i="5" s="1"/>
  <c r="MN96" i="4"/>
  <c r="CK21" i="5" s="1"/>
  <c r="CK80" i="5"/>
  <c r="CK109" i="5"/>
  <c r="AV16" i="6"/>
  <c r="CL101" i="5"/>
  <c r="T75" i="5"/>
  <c r="M17" i="6"/>
  <c r="T83" i="5"/>
  <c r="M25" i="6"/>
  <c r="CJ71" i="5"/>
  <c r="AU43" i="6"/>
  <c r="CJ73" i="5"/>
  <c r="N13" i="6"/>
  <c r="V67" i="5"/>
  <c r="N26" i="6"/>
  <c r="V68" i="5"/>
  <c r="N21" i="6"/>
  <c r="V79" i="5"/>
  <c r="V63" i="5"/>
  <c r="N9" i="6"/>
  <c r="U81" i="5"/>
  <c r="W83" i="5"/>
  <c r="W63" i="5"/>
  <c r="V82" i="5"/>
  <c r="N24" i="6"/>
  <c r="U83" i="5"/>
  <c r="U62" i="5"/>
  <c r="E71" i="5"/>
  <c r="E100" i="5"/>
  <c r="I71" i="5"/>
  <c r="I100" i="5"/>
  <c r="M71" i="5"/>
  <c r="M100" i="5"/>
  <c r="C80" i="5"/>
  <c r="C109" i="5"/>
  <c r="G109" i="5"/>
  <c r="G80" i="5"/>
  <c r="K80" i="5"/>
  <c r="K109" i="5"/>
  <c r="O80" i="5"/>
  <c r="O109" i="5"/>
  <c r="S109" i="5"/>
  <c r="AA109" i="5"/>
  <c r="AE80" i="5"/>
  <c r="AE109" i="5"/>
  <c r="I19" i="36"/>
  <c r="AF72" i="5"/>
  <c r="S16" i="6"/>
  <c r="AF101" i="5"/>
  <c r="T15" i="6"/>
  <c r="AH100" i="5"/>
  <c r="T19" i="6"/>
  <c r="AH106" i="5"/>
  <c r="T27" i="6"/>
  <c r="AH102" i="5"/>
  <c r="AI80" i="5"/>
  <c r="AI109" i="5"/>
  <c r="AJ72" i="5"/>
  <c r="U16" i="6"/>
  <c r="AJ101" i="5"/>
  <c r="J18" i="36"/>
  <c r="V15" i="6"/>
  <c r="AL100" i="5"/>
  <c r="V19" i="6"/>
  <c r="J24" i="36"/>
  <c r="AL106" i="5"/>
  <c r="V27" i="6"/>
  <c r="J20" i="36"/>
  <c r="AL102" i="5"/>
  <c r="AM109" i="5"/>
  <c r="AN72" i="5"/>
  <c r="W16" i="6"/>
  <c r="AN101" i="5"/>
  <c r="X15" i="6"/>
  <c r="AP71" i="5"/>
  <c r="AP100" i="5"/>
  <c r="X19" i="6"/>
  <c r="AP77" i="5"/>
  <c r="AP106" i="5"/>
  <c r="X27" i="6"/>
  <c r="AP73" i="5"/>
  <c r="AP102" i="5"/>
  <c r="AQ80" i="5"/>
  <c r="AQ109" i="5"/>
  <c r="K19" i="36"/>
  <c r="Y16" i="6"/>
  <c r="AR72" i="5"/>
  <c r="AR101" i="5"/>
  <c r="Z15" i="6"/>
  <c r="AT71" i="5"/>
  <c r="AT100" i="5"/>
  <c r="Z19" i="6"/>
  <c r="AT77" i="5"/>
  <c r="AT106" i="5"/>
  <c r="AT73" i="5"/>
  <c r="Z27" i="6"/>
  <c r="AT102" i="5"/>
  <c r="AU80" i="5"/>
  <c r="AU109" i="5"/>
  <c r="AV72" i="5"/>
  <c r="AA16" i="6"/>
  <c r="AV101" i="5"/>
  <c r="AW71" i="5"/>
  <c r="AW100" i="5"/>
  <c r="AW77" i="5"/>
  <c r="AW106" i="5"/>
  <c r="AW73" i="5"/>
  <c r="AW102" i="5"/>
  <c r="AS46" i="6"/>
  <c r="AS22" i="6"/>
  <c r="CF80" i="5"/>
  <c r="CF109" i="5"/>
  <c r="CG101" i="5"/>
  <c r="CI100" i="5"/>
  <c r="CI71" i="5"/>
  <c r="CI106" i="5"/>
  <c r="CI77" i="5"/>
  <c r="AU16" i="6"/>
  <c r="CJ101" i="5"/>
  <c r="AV15" i="6"/>
  <c r="CL100" i="5"/>
  <c r="AV19" i="6"/>
  <c r="CL106" i="5"/>
  <c r="MV50" i="4"/>
  <c r="CL26" i="5" s="1"/>
  <c r="AV27" i="6"/>
  <c r="CL102" i="5"/>
  <c r="CM109" i="5"/>
  <c r="ND17" i="4"/>
  <c r="CN11" i="5" s="1"/>
  <c r="CN66" i="5" s="1"/>
  <c r="M13" i="6"/>
  <c r="T67" i="5"/>
  <c r="T62" i="5"/>
  <c r="M8" i="6"/>
  <c r="AU39" i="6"/>
  <c r="CJ77" i="5"/>
  <c r="AV51" i="6"/>
  <c r="W78" i="5"/>
  <c r="N17" i="6"/>
  <c r="V75" i="5"/>
  <c r="U78" i="5"/>
  <c r="T66" i="5"/>
  <c r="M12" i="6"/>
  <c r="J73" i="5"/>
  <c r="H27" i="6"/>
  <c r="J102" i="5"/>
  <c r="J27" i="6"/>
  <c r="J51" i="6"/>
  <c r="F20" i="36"/>
  <c r="N73" i="5"/>
  <c r="N102" i="5"/>
  <c r="L27" i="6"/>
  <c r="R102" i="5"/>
  <c r="H20" i="36"/>
  <c r="P27" i="6"/>
  <c r="Z102" i="5"/>
  <c r="R27" i="6"/>
  <c r="AD102" i="5"/>
  <c r="Q62" i="5"/>
  <c r="AA66" i="5"/>
  <c r="S100" i="5"/>
  <c r="AA71" i="5"/>
  <c r="AA100" i="5"/>
  <c r="AE100" i="5"/>
  <c r="E72" i="5"/>
  <c r="E101" i="5"/>
  <c r="I101" i="5"/>
  <c r="I72" i="5"/>
  <c r="M72" i="5"/>
  <c r="M101" i="5"/>
  <c r="Q101" i="5"/>
  <c r="Y72" i="5"/>
  <c r="Y101" i="5"/>
  <c r="AC72" i="5"/>
  <c r="AC101" i="5"/>
  <c r="C106" i="5"/>
  <c r="C77" i="5"/>
  <c r="G106" i="5"/>
  <c r="G77" i="5"/>
  <c r="K77" i="5"/>
  <c r="K106" i="5"/>
  <c r="O77" i="5"/>
  <c r="O106" i="5"/>
  <c r="S77" i="5"/>
  <c r="S106" i="5"/>
  <c r="AA77" i="5"/>
  <c r="AA106" i="5"/>
  <c r="AE77" i="5"/>
  <c r="AE106" i="5"/>
  <c r="C82" i="5"/>
  <c r="I68" i="5"/>
  <c r="Q68" i="5"/>
  <c r="C102" i="5"/>
  <c r="C73" i="5"/>
  <c r="G102" i="5"/>
  <c r="K102" i="5"/>
  <c r="O73" i="5"/>
  <c r="O102" i="5"/>
  <c r="S102" i="5"/>
  <c r="AA102" i="5"/>
  <c r="AE102" i="5"/>
  <c r="GR31" i="4"/>
  <c r="AX20" i="5" s="1"/>
  <c r="GR8" i="4"/>
  <c r="AX7" i="5" s="1"/>
  <c r="S22" i="6"/>
  <c r="I27" i="36"/>
  <c r="AF80" i="5"/>
  <c r="AF109" i="5"/>
  <c r="AG72" i="5"/>
  <c r="AG101" i="5"/>
  <c r="AI100" i="5"/>
  <c r="AI106" i="5"/>
  <c r="AI102" i="5"/>
  <c r="U22" i="6"/>
  <c r="AJ109" i="5"/>
  <c r="AK72" i="5"/>
  <c r="AK101" i="5"/>
  <c r="AM71" i="5"/>
  <c r="AM100" i="5"/>
  <c r="AM106" i="5"/>
  <c r="AM73" i="5"/>
  <c r="AM102" i="5"/>
  <c r="W22" i="6"/>
  <c r="AN109" i="5"/>
  <c r="AO101" i="5"/>
  <c r="AQ71" i="5"/>
  <c r="AQ100" i="5"/>
  <c r="AQ77" i="5"/>
  <c r="AQ106" i="5"/>
  <c r="AQ73" i="5"/>
  <c r="AQ102" i="5"/>
  <c r="K27" i="36"/>
  <c r="AR80" i="5"/>
  <c r="Y22" i="6"/>
  <c r="AR109" i="5"/>
  <c r="AS72" i="5"/>
  <c r="AS101" i="5"/>
  <c r="AU71" i="5"/>
  <c r="AU100" i="5"/>
  <c r="AU77" i="5"/>
  <c r="AU106" i="5"/>
  <c r="GB111" i="4"/>
  <c r="AU26" i="5" s="1"/>
  <c r="AU82" i="5"/>
  <c r="AU73" i="5"/>
  <c r="AU102" i="5"/>
  <c r="AA22" i="6"/>
  <c r="AV80" i="5"/>
  <c r="AV109" i="5"/>
  <c r="AS15" i="6"/>
  <c r="AS39" i="6"/>
  <c r="CF100" i="5"/>
  <c r="CF71" i="5"/>
  <c r="AS43" i="6"/>
  <c r="AS19" i="6"/>
  <c r="CF106" i="5"/>
  <c r="CF77" i="5"/>
  <c r="AS51" i="6"/>
  <c r="AS27" i="6"/>
  <c r="CF73" i="5"/>
  <c r="CF102" i="5"/>
  <c r="CG109" i="5"/>
  <c r="CG80" i="5"/>
  <c r="R46" i="36"/>
  <c r="R19" i="36"/>
  <c r="AT16" i="6"/>
  <c r="CH101" i="5"/>
  <c r="MF101" i="4"/>
  <c r="CI23" i="5" s="1"/>
  <c r="MF106" i="4"/>
  <c r="CI24" i="5" s="1"/>
  <c r="CI102" i="5"/>
  <c r="CI73" i="5"/>
  <c r="AU22" i="6"/>
  <c r="CJ109" i="5"/>
  <c r="CK72" i="5"/>
  <c r="CK101" i="5"/>
  <c r="MV40" i="4"/>
  <c r="CL23" i="5" s="1"/>
  <c r="MV45" i="4"/>
  <c r="CL24" i="5" s="1"/>
  <c r="CM100" i="5"/>
  <c r="CM106" i="5"/>
  <c r="CM102" i="5"/>
  <c r="T76" i="5"/>
  <c r="M18" i="6"/>
  <c r="T64" i="5"/>
  <c r="M10" i="6"/>
  <c r="M20" i="6"/>
  <c r="T78" i="5"/>
  <c r="CJ72" i="5"/>
  <c r="CJ80" i="5"/>
  <c r="CL72" i="5"/>
  <c r="CL77" i="5"/>
  <c r="N14" i="6"/>
  <c r="V70" i="5"/>
  <c r="V69" i="5" s="1"/>
  <c r="W81" i="5"/>
  <c r="U82" i="5"/>
  <c r="T63" i="5"/>
  <c r="M9" i="6"/>
  <c r="AW51" i="6"/>
  <c r="CM133" i="5"/>
  <c r="CM121" i="5"/>
  <c r="CM124" i="5"/>
  <c r="CL124" i="5"/>
  <c r="CL120" i="5"/>
  <c r="AV39" i="6"/>
  <c r="CL71" i="5"/>
  <c r="CL126" i="5"/>
  <c r="CJ126" i="5"/>
  <c r="CJ133" i="5"/>
  <c r="CJ128" i="5"/>
  <c r="CJ124" i="5"/>
  <c r="CO73" i="5"/>
  <c r="CO102" i="5"/>
  <c r="CO82" i="5"/>
  <c r="CO80" i="5"/>
  <c r="CO109" i="5"/>
  <c r="CO77" i="5"/>
  <c r="CO106" i="5"/>
  <c r="CO72" i="5"/>
  <c r="CO101" i="5"/>
  <c r="CO71" i="5"/>
  <c r="CO100" i="5"/>
  <c r="ND89" i="4"/>
  <c r="ND87" i="4"/>
  <c r="ND85" i="4"/>
  <c r="AW27" i="6"/>
  <c r="CN73" i="5"/>
  <c r="CN102" i="5"/>
  <c r="AW22" i="6"/>
  <c r="AW46" i="6"/>
  <c r="CN80" i="5"/>
  <c r="CN109" i="5"/>
  <c r="AW43" i="6"/>
  <c r="AW19" i="6"/>
  <c r="CN77" i="5"/>
  <c r="CN106" i="5"/>
  <c r="CN72" i="5"/>
  <c r="AW40" i="6"/>
  <c r="AW16" i="6"/>
  <c r="CN101" i="5"/>
  <c r="AW39" i="6"/>
  <c r="AW15" i="6"/>
  <c r="CN71" i="5"/>
  <c r="CN100" i="5"/>
  <c r="ND15" i="4"/>
  <c r="CN10" i="5" s="1"/>
  <c r="MV106" i="4"/>
  <c r="CM24" i="5" s="1"/>
  <c r="CM79" i="5" s="1"/>
  <c r="MV78" i="4"/>
  <c r="CM11" i="5" s="1"/>
  <c r="MV76" i="4"/>
  <c r="CM10" i="5" s="1"/>
  <c r="MV52" i="4"/>
  <c r="CL27" i="5" s="1"/>
  <c r="MV17" i="4"/>
  <c r="CL11" i="5" s="1"/>
  <c r="MV15" i="4"/>
  <c r="CL10" i="5" s="1"/>
  <c r="MV10" i="4"/>
  <c r="CL8" i="5" s="1"/>
  <c r="MN116" i="4"/>
  <c r="CK28" i="5" s="1"/>
  <c r="MN113" i="4"/>
  <c r="CK27" i="5" s="1"/>
  <c r="MN86" i="4"/>
  <c r="CK15" i="5" s="1"/>
  <c r="CK14" i="5" s="1"/>
  <c r="MN82" i="4"/>
  <c r="CK12" i="5" s="1"/>
  <c r="MN78" i="4"/>
  <c r="CK11" i="5" s="1"/>
  <c r="MN76" i="4"/>
  <c r="CK10" i="5" s="1"/>
  <c r="MN74" i="4"/>
  <c r="CK9" i="5" s="1"/>
  <c r="MN69" i="4"/>
  <c r="CK7" i="5" s="1"/>
  <c r="MN55" i="4"/>
  <c r="CJ28" i="5" s="1"/>
  <c r="MN17" i="4"/>
  <c r="CJ11" i="5" s="1"/>
  <c r="MN10" i="4"/>
  <c r="CJ8" i="5" s="1"/>
  <c r="MN8" i="4"/>
  <c r="CJ7" i="5" s="1"/>
  <c r="MF116" i="4"/>
  <c r="CI28" i="5" s="1"/>
  <c r="MF113" i="4"/>
  <c r="CI27" i="5" s="1"/>
  <c r="MF78" i="4"/>
  <c r="CI11" i="5" s="1"/>
  <c r="MF71" i="4"/>
  <c r="CI8" i="5" s="1"/>
  <c r="MF69" i="4"/>
  <c r="CI7" i="5" s="1"/>
  <c r="MF57" i="4"/>
  <c r="CH13" i="5" s="1"/>
  <c r="MF55" i="4"/>
  <c r="CH28" i="5" s="1"/>
  <c r="MF52" i="4"/>
  <c r="CH27" i="5" s="1"/>
  <c r="MF10" i="4"/>
  <c r="CH8" i="5" s="1"/>
  <c r="MF8" i="4"/>
  <c r="CH7" i="5" s="1"/>
  <c r="LX45" i="4"/>
  <c r="CF24" i="5" s="1"/>
  <c r="V82" i="36" s="1"/>
  <c r="LX15" i="4"/>
  <c r="CF10" i="5" s="1"/>
  <c r="V68" i="36" s="1"/>
  <c r="LX13" i="4"/>
  <c r="CF9" i="5" s="1"/>
  <c r="V67" i="36" s="1"/>
  <c r="LX8" i="4"/>
  <c r="CF7" i="5" s="1"/>
  <c r="EP56" i="1"/>
  <c r="DR56" i="1"/>
  <c r="AN34" i="5" s="1"/>
  <c r="EN52" i="4"/>
  <c r="AJ27" i="5" s="1"/>
  <c r="EN17" i="4"/>
  <c r="AJ11" i="5" s="1"/>
  <c r="DL148" i="1"/>
  <c r="EF113" i="4"/>
  <c r="AI27" i="5" s="1"/>
  <c r="CT159" i="1"/>
  <c r="AG50" i="5" s="1"/>
  <c r="CT143" i="1"/>
  <c r="AG34" i="5" s="1"/>
  <c r="CN56" i="1"/>
  <c r="AD34" i="5" s="1"/>
  <c r="H159" i="1"/>
  <c r="C50" i="5" s="1"/>
  <c r="AR61" i="1"/>
  <c r="N39" i="5" s="1"/>
  <c r="N164" i="1"/>
  <c r="E55" i="5" s="1"/>
  <c r="E46" i="5" s="1"/>
  <c r="CC151" i="1"/>
  <c r="CZ163" i="1"/>
  <c r="AI54" i="5" s="1"/>
  <c r="CZ85" i="1"/>
  <c r="AH40" i="5" s="1"/>
  <c r="AH126" i="5" s="1"/>
  <c r="CZ144" i="1"/>
  <c r="AI35" i="5" s="1"/>
  <c r="AI121" i="5" s="1"/>
  <c r="DL60" i="1"/>
  <c r="AL38" i="5" s="1"/>
  <c r="AL124" i="5" s="1"/>
  <c r="DX164" i="1"/>
  <c r="EJ151" i="1"/>
  <c r="CH56" i="1"/>
  <c r="AB34" i="5" s="1"/>
  <c r="CH61" i="1"/>
  <c r="AB39" i="5" s="1"/>
  <c r="BD60" i="1"/>
  <c r="R38" i="5" s="1"/>
  <c r="R124" i="5" s="1"/>
  <c r="BV62" i="1"/>
  <c r="X42" i="5" s="1"/>
  <c r="DR60" i="1"/>
  <c r="AN38" i="5" s="1"/>
  <c r="AN124" i="5" s="1"/>
  <c r="EE143" i="1"/>
  <c r="DF57" i="1"/>
  <c r="AJ35" i="5" s="1"/>
  <c r="AJ121" i="5" s="1"/>
  <c r="AL149" i="1"/>
  <c r="M42" i="5" s="1"/>
  <c r="AX146" i="1"/>
  <c r="Q37" i="5" s="1"/>
  <c r="CB58" i="1"/>
  <c r="Z36" i="5" s="1"/>
  <c r="CC143" i="1"/>
  <c r="CZ150" i="1"/>
  <c r="AI43" i="5" s="1"/>
  <c r="AR70" i="1"/>
  <c r="N48" i="5" s="1"/>
  <c r="N134" i="5" s="1"/>
  <c r="CB160" i="1"/>
  <c r="AA51" i="5" s="1"/>
  <c r="AX159" i="1"/>
  <c r="Q50" i="5" s="1"/>
  <c r="H162" i="1"/>
  <c r="C53" i="5" s="1"/>
  <c r="BV63" i="1"/>
  <c r="X43" i="5" s="1"/>
  <c r="G45" i="36" s="1"/>
  <c r="CB173" i="1"/>
  <c r="AA45" i="5" s="1"/>
  <c r="AA131" i="5" s="1"/>
  <c r="CZ151" i="1"/>
  <c r="AI44" i="5" s="1"/>
  <c r="AI72" i="5" s="1"/>
  <c r="BV56" i="1"/>
  <c r="X34" i="5" s="1"/>
  <c r="AR77" i="1"/>
  <c r="N55" i="5" s="1"/>
  <c r="CC146" i="1"/>
  <c r="CZ75" i="1"/>
  <c r="AH53" i="5" s="1"/>
  <c r="ED146" i="1"/>
  <c r="EJ72" i="1"/>
  <c r="EJ146" i="1"/>
  <c r="CN59" i="1"/>
  <c r="AD37" i="5" s="1"/>
  <c r="EJ148" i="1"/>
  <c r="EP58" i="1"/>
  <c r="DL58" i="1"/>
  <c r="AL36" i="5" s="1"/>
  <c r="CH76" i="1"/>
  <c r="BD59" i="1"/>
  <c r="R37" i="5" s="1"/>
  <c r="EJ59" i="1"/>
  <c r="CB164" i="1"/>
  <c r="AA55" i="5" s="1"/>
  <c r="N59" i="1"/>
  <c r="D37" i="5" s="1"/>
  <c r="AX62" i="1"/>
  <c r="P42" i="5" s="1"/>
  <c r="H58" i="1"/>
  <c r="B36" i="5" s="1"/>
  <c r="CB62" i="1"/>
  <c r="Z42" i="5" s="1"/>
  <c r="EJ69" i="1"/>
  <c r="EP63" i="1"/>
  <c r="O159" i="1"/>
  <c r="CT151" i="1"/>
  <c r="CN86" i="1"/>
  <c r="AD45" i="5" s="1"/>
  <c r="AD131" i="5" s="1"/>
  <c r="AX157" i="1"/>
  <c r="Q48" i="5" s="1"/>
  <c r="Q134" i="5" s="1"/>
  <c r="DF72" i="1"/>
  <c r="AJ50" i="5" s="1"/>
  <c r="ED73" i="1"/>
  <c r="ED151" i="1"/>
  <c r="AS73" i="1"/>
  <c r="AX151" i="1"/>
  <c r="Q44" i="5" s="1"/>
  <c r="K40" i="6" s="1"/>
  <c r="CC158" i="1"/>
  <c r="CZ71" i="1"/>
  <c r="AH49" i="5" s="1"/>
  <c r="AH135" i="5" s="1"/>
  <c r="CZ173" i="1"/>
  <c r="AI45" i="5" s="1"/>
  <c r="AI131" i="5" s="1"/>
  <c r="CZ157" i="1"/>
  <c r="AI48" i="5" s="1"/>
  <c r="AI134" i="5" s="1"/>
  <c r="DF156" i="1"/>
  <c r="AK47" i="5" s="1"/>
  <c r="DL73" i="1"/>
  <c r="AL51" i="5" s="1"/>
  <c r="CZ158" i="1"/>
  <c r="AI49" i="5" s="1"/>
  <c r="AI135" i="5" s="1"/>
  <c r="CZ63" i="1"/>
  <c r="AH43" i="5" s="1"/>
  <c r="DF56" i="1"/>
  <c r="AJ34" i="5" s="1"/>
  <c r="DR144" i="1"/>
  <c r="AO35" i="5" s="1"/>
  <c r="AO121" i="5" s="1"/>
  <c r="ED86" i="1"/>
  <c r="EJ163" i="1"/>
  <c r="EP172" i="1"/>
  <c r="EP157" i="1"/>
  <c r="EP76" i="1"/>
  <c r="EP150" i="1"/>
  <c r="EP61" i="1"/>
  <c r="CN62" i="1"/>
  <c r="AD42" i="5" s="1"/>
  <c r="AA150" i="1"/>
  <c r="CZ74" i="1"/>
  <c r="AH52" i="5" s="1"/>
  <c r="AH138" i="5" s="1"/>
  <c r="DF148" i="1"/>
  <c r="AK39" i="5" s="1"/>
  <c r="DR164" i="1"/>
  <c r="AO55" i="5" s="1"/>
  <c r="EE60" i="1"/>
  <c r="ED156" i="1"/>
  <c r="EP69" i="1"/>
  <c r="CH149" i="1"/>
  <c r="ED160" i="1"/>
  <c r="N58" i="1"/>
  <c r="D36" i="5" s="1"/>
  <c r="AF59" i="1"/>
  <c r="J37" i="5" s="1"/>
  <c r="AX148" i="1"/>
  <c r="Q39" i="5" s="1"/>
  <c r="BV147" i="1"/>
  <c r="AX163" i="1"/>
  <c r="Q54" i="5" s="1"/>
  <c r="AX144" i="1"/>
  <c r="Q35" i="5" s="1"/>
  <c r="Q121" i="5" s="1"/>
  <c r="CC156" i="1"/>
  <c r="CN61" i="1"/>
  <c r="AD39" i="5" s="1"/>
  <c r="CZ76" i="1"/>
  <c r="AH54" i="5" s="1"/>
  <c r="CZ62" i="1"/>
  <c r="AH42" i="5" s="1"/>
  <c r="CZ146" i="1"/>
  <c r="AI37" i="5" s="1"/>
  <c r="DF76" i="1"/>
  <c r="AJ54" i="5" s="1"/>
  <c r="DL56" i="1"/>
  <c r="AL34" i="5" s="1"/>
  <c r="EJ160" i="1"/>
  <c r="ED58" i="1"/>
  <c r="BD56" i="1"/>
  <c r="R34" i="5" s="1"/>
  <c r="BD64" i="1"/>
  <c r="R44" i="5" s="1"/>
  <c r="R72" i="5" s="1"/>
  <c r="BV77" i="1"/>
  <c r="X55" i="5" s="1"/>
  <c r="AF56" i="1"/>
  <c r="J34" i="5" s="1"/>
  <c r="AF143" i="1"/>
  <c r="K34" i="5" s="1"/>
  <c r="CH144" i="1"/>
  <c r="CN164" i="1"/>
  <c r="CT144" i="1"/>
  <c r="AG35" i="5" s="1"/>
  <c r="AG121" i="5" s="1"/>
  <c r="CZ86" i="1"/>
  <c r="AH45" i="5" s="1"/>
  <c r="AH131" i="5" s="1"/>
  <c r="DL144" i="1"/>
  <c r="AM35" i="5" s="1"/>
  <c r="AM121" i="5" s="1"/>
  <c r="DR149" i="1"/>
  <c r="AO42" i="5" s="1"/>
  <c r="CH57" i="1"/>
  <c r="AB35" i="5" s="1"/>
  <c r="AB121" i="5" s="1"/>
  <c r="EP159" i="1"/>
  <c r="CZ56" i="1"/>
  <c r="AH34" i="5" s="1"/>
  <c r="BD76" i="1"/>
  <c r="R54" i="5" s="1"/>
  <c r="BV59" i="1"/>
  <c r="X37" i="5" s="1"/>
  <c r="CH164" i="1"/>
  <c r="CN163" i="1"/>
  <c r="CT61" i="1"/>
  <c r="CZ172" i="1"/>
  <c r="AI40" i="5" s="1"/>
  <c r="AI126" i="5" s="1"/>
  <c r="CZ149" i="1"/>
  <c r="AI42" i="5" s="1"/>
  <c r="CZ160" i="1"/>
  <c r="AI51" i="5" s="1"/>
  <c r="DF61" i="1"/>
  <c r="AJ39" i="5" s="1"/>
  <c r="DL61" i="1"/>
  <c r="AL39" i="5" s="1"/>
  <c r="DL149" i="1"/>
  <c r="DR148" i="1"/>
  <c r="AO39" i="5" s="1"/>
  <c r="DX76" i="1"/>
  <c r="EE151" i="1"/>
  <c r="EJ173" i="1"/>
  <c r="EP59" i="1"/>
  <c r="CH58" i="1"/>
  <c r="AB36" i="5" s="1"/>
  <c r="CT76" i="1"/>
  <c r="CT148" i="1"/>
  <c r="AG39" i="5" s="1"/>
  <c r="DF146" i="1"/>
  <c r="AK37" i="5" s="1"/>
  <c r="DF62" i="1"/>
  <c r="AJ42" i="5" s="1"/>
  <c r="DR62" i="1"/>
  <c r="AN42" i="5" s="1"/>
  <c r="EJ73" i="1"/>
  <c r="EJ58" i="1"/>
  <c r="EJ75" i="1"/>
  <c r="EP160" i="1"/>
  <c r="CB149" i="1"/>
  <c r="AA42" i="5" s="1"/>
  <c r="EP161" i="1"/>
  <c r="EP149" i="1"/>
  <c r="EP173" i="1"/>
  <c r="EP162" i="1"/>
  <c r="EP75" i="1"/>
  <c r="EP156" i="1"/>
  <c r="EP164" i="1"/>
  <c r="EP77" i="1"/>
  <c r="EP85" i="1"/>
  <c r="EP163" i="1"/>
  <c r="EP145" i="1"/>
  <c r="EP73" i="1"/>
  <c r="EP148" i="1"/>
  <c r="EP72" i="1"/>
  <c r="EP158" i="1"/>
  <c r="EP146" i="1"/>
  <c r="EP60" i="1"/>
  <c r="EP71" i="1"/>
  <c r="EP62" i="1"/>
  <c r="EP151" i="1"/>
  <c r="EP74" i="1"/>
  <c r="EP144" i="1"/>
  <c r="EK85" i="1"/>
  <c r="EJ85" i="1"/>
  <c r="EJ77" i="1"/>
  <c r="EK172" i="1"/>
  <c r="EJ172" i="1"/>
  <c r="EJ71" i="1"/>
  <c r="EJ144" i="1"/>
  <c r="EJ86" i="1"/>
  <c r="EK62" i="1"/>
  <c r="EJ62" i="1"/>
  <c r="EK74" i="1"/>
  <c r="EJ74" i="1"/>
  <c r="EJ61" i="1"/>
  <c r="EJ162" i="1"/>
  <c r="EK157" i="1"/>
  <c r="EJ157" i="1"/>
  <c r="EK145" i="1"/>
  <c r="EJ145" i="1"/>
  <c r="EJ63" i="1"/>
  <c r="EJ76" i="1"/>
  <c r="EJ164" i="1"/>
  <c r="EJ150" i="1"/>
  <c r="EK161" i="1"/>
  <c r="EJ161" i="1"/>
  <c r="EK149" i="1"/>
  <c r="EJ149" i="1"/>
  <c r="EJ60" i="1"/>
  <c r="EJ56" i="1"/>
  <c r="EJ158" i="1"/>
  <c r="EE149" i="1"/>
  <c r="ED149" i="1"/>
  <c r="EE162" i="1"/>
  <c r="ED162" i="1"/>
  <c r="EE150" i="1"/>
  <c r="ED150" i="1"/>
  <c r="ED164" i="1"/>
  <c r="ED69" i="1"/>
  <c r="ED85" i="1"/>
  <c r="EE85" i="1"/>
  <c r="ED163" i="1"/>
  <c r="EE157" i="1"/>
  <c r="ED157" i="1"/>
  <c r="ED62" i="1"/>
  <c r="ED75" i="1"/>
  <c r="ED76" i="1"/>
  <c r="EE158" i="1"/>
  <c r="ED158" i="1"/>
  <c r="EE74" i="1"/>
  <c r="ED74" i="1"/>
  <c r="ED61" i="1"/>
  <c r="EE161" i="1"/>
  <c r="ED161" i="1"/>
  <c r="ED72" i="1"/>
  <c r="ED59" i="1"/>
  <c r="ED71" i="1"/>
  <c r="ED148" i="1"/>
  <c r="EE172" i="1"/>
  <c r="ED172" i="1"/>
  <c r="ED173" i="1"/>
  <c r="ED145" i="1"/>
  <c r="ED63" i="1"/>
  <c r="DX72" i="1"/>
  <c r="DR159" i="1"/>
  <c r="AO50" i="5" s="1"/>
  <c r="DR160" i="1"/>
  <c r="AO51" i="5" s="1"/>
  <c r="DF158" i="1"/>
  <c r="AK49" i="5" s="1"/>
  <c r="AK135" i="5" s="1"/>
  <c r="DX156" i="1"/>
  <c r="DF75" i="1"/>
  <c r="AJ53" i="5" s="1"/>
  <c r="DL156" i="1"/>
  <c r="DR156" i="1"/>
  <c r="AO47" i="5" s="1"/>
  <c r="DR63" i="1"/>
  <c r="AN43" i="5" s="1"/>
  <c r="DX73" i="1"/>
  <c r="DF86" i="1"/>
  <c r="AJ45" i="5" s="1"/>
  <c r="AJ131" i="5" s="1"/>
  <c r="DF173" i="1"/>
  <c r="AK45" i="5" s="1"/>
  <c r="AK131" i="5" s="1"/>
  <c r="DL158" i="1"/>
  <c r="AM49" i="5" s="1"/>
  <c r="DL172" i="1"/>
  <c r="AM40" i="5" s="1"/>
  <c r="AM126" i="5" s="1"/>
  <c r="DR173" i="1"/>
  <c r="AO45" i="5" s="1"/>
  <c r="AO131" i="5" s="1"/>
  <c r="DL159" i="1"/>
  <c r="AM50" i="5" s="1"/>
  <c r="DR75" i="1"/>
  <c r="AN53" i="5" s="1"/>
  <c r="DX151" i="1"/>
  <c r="DX158" i="1"/>
  <c r="DF63" i="1"/>
  <c r="AJ43" i="5" s="1"/>
  <c r="DL160" i="1"/>
  <c r="AM51" i="5" s="1"/>
  <c r="DL72" i="1"/>
  <c r="AL50" i="5" s="1"/>
  <c r="DL86" i="1"/>
  <c r="AL45" i="5" s="1"/>
  <c r="AL131" i="5" s="1"/>
  <c r="DL157" i="1"/>
  <c r="DX159" i="1"/>
  <c r="DX63" i="1"/>
  <c r="DL173" i="1"/>
  <c r="DX162" i="1"/>
  <c r="DR71" i="1"/>
  <c r="AN49" i="5" s="1"/>
  <c r="AN135" i="5" s="1"/>
  <c r="DR73" i="1"/>
  <c r="AN51" i="5" s="1"/>
  <c r="DR172" i="1"/>
  <c r="AO40" i="5" s="1"/>
  <c r="AO126" i="5" s="1"/>
  <c r="DX160" i="1"/>
  <c r="DX59" i="1"/>
  <c r="DY74" i="1"/>
  <c r="DX74" i="1"/>
  <c r="DX146" i="1"/>
  <c r="DY62" i="1"/>
  <c r="DX62" i="1"/>
  <c r="DX173" i="1"/>
  <c r="DY149" i="1"/>
  <c r="DX149" i="1"/>
  <c r="DX71" i="1"/>
  <c r="DX150" i="1"/>
  <c r="DY157" i="1"/>
  <c r="DX157" i="1"/>
  <c r="DX163" i="1"/>
  <c r="DX60" i="1"/>
  <c r="DX69" i="1"/>
  <c r="DX148" i="1"/>
  <c r="DX86" i="1"/>
  <c r="DX77" i="1"/>
  <c r="DY172" i="1"/>
  <c r="DX172" i="1"/>
  <c r="DX75" i="1"/>
  <c r="DX56" i="1"/>
  <c r="DX144" i="1"/>
  <c r="DX61" i="1"/>
  <c r="DY161" i="1"/>
  <c r="DX161" i="1"/>
  <c r="DY145" i="1"/>
  <c r="DX145" i="1"/>
  <c r="DY85" i="1"/>
  <c r="DX85" i="1"/>
  <c r="DR151" i="1"/>
  <c r="AO44" i="5" s="1"/>
  <c r="DR69" i="1"/>
  <c r="AN47" i="5" s="1"/>
  <c r="DR158" i="1"/>
  <c r="AO49" i="5" s="1"/>
  <c r="AO135" i="5" s="1"/>
  <c r="DR77" i="1"/>
  <c r="AN55" i="5" s="1"/>
  <c r="DR85" i="1"/>
  <c r="AN40" i="5" s="1"/>
  <c r="AN126" i="5" s="1"/>
  <c r="DR157" i="1"/>
  <c r="AO48" i="5" s="1"/>
  <c r="AO134" i="5" s="1"/>
  <c r="DR163" i="1"/>
  <c r="AO54" i="5" s="1"/>
  <c r="DR61" i="1"/>
  <c r="AN39" i="5" s="1"/>
  <c r="DR162" i="1"/>
  <c r="AO53" i="5" s="1"/>
  <c r="DR150" i="1"/>
  <c r="AO43" i="5" s="1"/>
  <c r="DR146" i="1"/>
  <c r="AO37" i="5" s="1"/>
  <c r="DR145" i="1"/>
  <c r="AO36" i="5" s="1"/>
  <c r="DR86" i="1"/>
  <c r="AN45" i="5" s="1"/>
  <c r="AN131" i="5" s="1"/>
  <c r="DR161" i="1"/>
  <c r="AO52" i="5" s="1"/>
  <c r="AO138" i="5" s="1"/>
  <c r="DR74" i="1"/>
  <c r="AN52" i="5" s="1"/>
  <c r="AN138" i="5" s="1"/>
  <c r="DL163" i="1"/>
  <c r="AM54" i="5" s="1"/>
  <c r="DL164" i="1"/>
  <c r="AM55" i="5" s="1"/>
  <c r="DL71" i="1"/>
  <c r="AL49" i="5" s="1"/>
  <c r="AL135" i="5" s="1"/>
  <c r="DL62" i="1"/>
  <c r="AL42" i="5" s="1"/>
  <c r="DL59" i="1"/>
  <c r="AL37" i="5" s="1"/>
  <c r="DL161" i="1"/>
  <c r="AM52" i="5" s="1"/>
  <c r="AM138" i="5" s="1"/>
  <c r="DL151" i="1"/>
  <c r="DL146" i="1"/>
  <c r="AM37" i="5" s="1"/>
  <c r="DL74" i="1"/>
  <c r="AL52" i="5" s="1"/>
  <c r="AL138" i="5" s="1"/>
  <c r="DM145" i="1"/>
  <c r="DL145" i="1"/>
  <c r="AM36" i="5" s="1"/>
  <c r="DL85" i="1"/>
  <c r="AL40" i="5" s="1"/>
  <c r="AL126" i="5" s="1"/>
  <c r="DL63" i="1"/>
  <c r="AL43" i="5" s="1"/>
  <c r="DL150" i="1"/>
  <c r="DL75" i="1"/>
  <c r="AL53" i="5" s="1"/>
  <c r="DL162" i="1"/>
  <c r="AM53" i="5" s="1"/>
  <c r="DL143" i="1"/>
  <c r="AM34" i="5" s="1"/>
  <c r="DL76" i="1"/>
  <c r="AL54" i="5" s="1"/>
  <c r="DL77" i="1"/>
  <c r="AL55" i="5" s="1"/>
  <c r="DL69" i="1"/>
  <c r="AL47" i="5" s="1"/>
  <c r="DF160" i="1"/>
  <c r="AK51" i="5" s="1"/>
  <c r="DG145" i="1"/>
  <c r="DF145" i="1"/>
  <c r="AK36" i="5" s="1"/>
  <c r="DF163" i="1"/>
  <c r="AK54" i="5" s="1"/>
  <c r="DF162" i="1"/>
  <c r="AK53" i="5" s="1"/>
  <c r="DF77" i="1"/>
  <c r="AJ55" i="5" s="1"/>
  <c r="DF74" i="1"/>
  <c r="AJ52" i="5" s="1"/>
  <c r="AJ138" i="5" s="1"/>
  <c r="DG172" i="1"/>
  <c r="DF172" i="1"/>
  <c r="AK40" i="5" s="1"/>
  <c r="AK126" i="5" s="1"/>
  <c r="DG161" i="1"/>
  <c r="DF161" i="1"/>
  <c r="DG149" i="1"/>
  <c r="DF149" i="1"/>
  <c r="AK42" i="5" s="1"/>
  <c r="DF73" i="1"/>
  <c r="AJ51" i="5" s="1"/>
  <c r="DG157" i="1"/>
  <c r="DF157" i="1"/>
  <c r="DF164" i="1"/>
  <c r="DF59" i="1"/>
  <c r="AJ37" i="5" s="1"/>
  <c r="DF69" i="1"/>
  <c r="AJ47" i="5" s="1"/>
  <c r="DF144" i="1"/>
  <c r="AK35" i="5" s="1"/>
  <c r="AK121" i="5" s="1"/>
  <c r="DF150" i="1"/>
  <c r="AK43" i="5" s="1"/>
  <c r="DF71" i="1"/>
  <c r="DF60" i="1"/>
  <c r="AJ38" i="5" s="1"/>
  <c r="AJ124" i="5" s="1"/>
  <c r="DF85" i="1"/>
  <c r="AJ40" i="5" s="1"/>
  <c r="AJ126" i="5" s="1"/>
  <c r="CZ58" i="1"/>
  <c r="AH36" i="5" s="1"/>
  <c r="CH75" i="1"/>
  <c r="CH71" i="1"/>
  <c r="AB49" i="5" s="1"/>
  <c r="CH63" i="1"/>
  <c r="AB43" i="5" s="1"/>
  <c r="CH159" i="1"/>
  <c r="CH161" i="1"/>
  <c r="CT156" i="1"/>
  <c r="CT71" i="1"/>
  <c r="CH69" i="1"/>
  <c r="CN151" i="1"/>
  <c r="AE44" i="5" s="1"/>
  <c r="CT173" i="1"/>
  <c r="AG45" i="5" s="1"/>
  <c r="AG131" i="5" s="1"/>
  <c r="CH74" i="1"/>
  <c r="AB52" i="5" s="1"/>
  <c r="AB138" i="5" s="1"/>
  <c r="CT172" i="1"/>
  <c r="AG40" i="5" s="1"/>
  <c r="AG126" i="5" s="1"/>
  <c r="CT161" i="1"/>
  <c r="AG52" i="5" s="1"/>
  <c r="AG138" i="5" s="1"/>
  <c r="CN156" i="1"/>
  <c r="CN159" i="1"/>
  <c r="AE50" i="5" s="1"/>
  <c r="CT63" i="1"/>
  <c r="CH73" i="1"/>
  <c r="AB51" i="5" s="1"/>
  <c r="CN71" i="1"/>
  <c r="CN173" i="1"/>
  <c r="AE45" i="5" s="1"/>
  <c r="AE131" i="5" s="1"/>
  <c r="CT160" i="1"/>
  <c r="AG51" i="5" s="1"/>
  <c r="CT86" i="1"/>
  <c r="CT162" i="1"/>
  <c r="AG53" i="5" s="1"/>
  <c r="CT77" i="1"/>
  <c r="CU145" i="1"/>
  <c r="CT145" i="1"/>
  <c r="AG36" i="5" s="1"/>
  <c r="CT72" i="1"/>
  <c r="CT164" i="1"/>
  <c r="CT158" i="1"/>
  <c r="CT73" i="1"/>
  <c r="CT75" i="1"/>
  <c r="CT59" i="1"/>
  <c r="CT157" i="1"/>
  <c r="CT146" i="1"/>
  <c r="AG37" i="5" s="1"/>
  <c r="CU85" i="1"/>
  <c r="CT85" i="1"/>
  <c r="CT69" i="1"/>
  <c r="CU74" i="1"/>
  <c r="CT74" i="1"/>
  <c r="CU62" i="1"/>
  <c r="CT62" i="1"/>
  <c r="CT150" i="1"/>
  <c r="AG43" i="5" s="1"/>
  <c r="AG71" i="5" s="1"/>
  <c r="CT60" i="1"/>
  <c r="CT56" i="1"/>
  <c r="CT149" i="1"/>
  <c r="AG42" i="5" s="1"/>
  <c r="CN144" i="1"/>
  <c r="AE35" i="5" s="1"/>
  <c r="CN69" i="1"/>
  <c r="CN63" i="1"/>
  <c r="AD43" i="5" s="1"/>
  <c r="CN57" i="1"/>
  <c r="AD35" i="5" s="1"/>
  <c r="AD121" i="5" s="1"/>
  <c r="CN150" i="1"/>
  <c r="AE43" i="5" s="1"/>
  <c r="CN73" i="1"/>
  <c r="AD51" i="5" s="1"/>
  <c r="CN143" i="1"/>
  <c r="CN77" i="1"/>
  <c r="AD55" i="5" s="1"/>
  <c r="CN162" i="1"/>
  <c r="AE53" i="5" s="1"/>
  <c r="CN58" i="1"/>
  <c r="AD36" i="5" s="1"/>
  <c r="CN146" i="1"/>
  <c r="AE37" i="5" s="1"/>
  <c r="CN160" i="1"/>
  <c r="AE51" i="5" s="1"/>
  <c r="CN148" i="1"/>
  <c r="AE39" i="5" s="1"/>
  <c r="CN72" i="1"/>
  <c r="AD50" i="5" s="1"/>
  <c r="CN158" i="1"/>
  <c r="CI62" i="1"/>
  <c r="CH62" i="1"/>
  <c r="AB42" i="5" s="1"/>
  <c r="CH163" i="1"/>
  <c r="CH77" i="1"/>
  <c r="AB55" i="5" s="1"/>
  <c r="CH156" i="1"/>
  <c r="CI85" i="1"/>
  <c r="CH85" i="1"/>
  <c r="AB40" i="5" s="1"/>
  <c r="AB126" i="5" s="1"/>
  <c r="CH60" i="1"/>
  <c r="AB38" i="5" s="1"/>
  <c r="AB124" i="5" s="1"/>
  <c r="CH146" i="1"/>
  <c r="CH172" i="1"/>
  <c r="CH151" i="1"/>
  <c r="CH162" i="1"/>
  <c r="CH72" i="1"/>
  <c r="AB50" i="5" s="1"/>
  <c r="CH173" i="1"/>
  <c r="CH86" i="1"/>
  <c r="CH157" i="1"/>
  <c r="CH143" i="1"/>
  <c r="CH150" i="1"/>
  <c r="CH160" i="1"/>
  <c r="CH59" i="1"/>
  <c r="AB37" i="5" s="1"/>
  <c r="CI145" i="1"/>
  <c r="CH145" i="1"/>
  <c r="CH158" i="1"/>
  <c r="AA162" i="1"/>
  <c r="CB72" i="1"/>
  <c r="Z50" i="5" s="1"/>
  <c r="BV71" i="1"/>
  <c r="X49" i="5" s="1"/>
  <c r="X135" i="5" s="1"/>
  <c r="CB71" i="1"/>
  <c r="Z49" i="5" s="1"/>
  <c r="Z135" i="5" s="1"/>
  <c r="CB77" i="1"/>
  <c r="Z55" i="5" s="1"/>
  <c r="CB73" i="1"/>
  <c r="Z51" i="5" s="1"/>
  <c r="CB86" i="1"/>
  <c r="Z45" i="5" s="1"/>
  <c r="Z131" i="5" s="1"/>
  <c r="CB60" i="1"/>
  <c r="Z38" i="5" s="1"/>
  <c r="Z124" i="5" s="1"/>
  <c r="CB75" i="1"/>
  <c r="Z53" i="5" s="1"/>
  <c r="CB76" i="1"/>
  <c r="Z54" i="5" s="1"/>
  <c r="CB63" i="1"/>
  <c r="Z43" i="5" s="1"/>
  <c r="CB61" i="1"/>
  <c r="Z39" i="5" s="1"/>
  <c r="CB69" i="1"/>
  <c r="Z47" i="5" s="1"/>
  <c r="CB59" i="1"/>
  <c r="Z37" i="5" s="1"/>
  <c r="CB57" i="1"/>
  <c r="Z35" i="5" s="1"/>
  <c r="Z121" i="5" s="1"/>
  <c r="CB56" i="1"/>
  <c r="Z34" i="5" s="1"/>
  <c r="CB64" i="1"/>
  <c r="AY151" i="1"/>
  <c r="AM150" i="1"/>
  <c r="BV75" i="1"/>
  <c r="X53" i="5" s="1"/>
  <c r="AF74" i="1"/>
  <c r="J52" i="5" s="1"/>
  <c r="J138" i="5" s="1"/>
  <c r="H150" i="1"/>
  <c r="C43" i="5" s="1"/>
  <c r="C41" i="5" s="1"/>
  <c r="N63" i="1"/>
  <c r="D43" i="5" s="1"/>
  <c r="H63" i="1"/>
  <c r="B43" i="5" s="1"/>
  <c r="N56" i="1"/>
  <c r="D34" i="5" s="1"/>
  <c r="AY143" i="1"/>
  <c r="AX57" i="1"/>
  <c r="P35" i="5" s="1"/>
  <c r="P121" i="5" s="1"/>
  <c r="AX164" i="1"/>
  <c r="Q55" i="5" s="1"/>
  <c r="BD163" i="1"/>
  <c r="S54" i="5" s="1"/>
  <c r="BV145" i="1"/>
  <c r="BV150" i="1"/>
  <c r="AF76" i="1"/>
  <c r="J54" i="5" s="1"/>
  <c r="N149" i="1"/>
  <c r="E42" i="5" s="1"/>
  <c r="Z58" i="1"/>
  <c r="H36" i="5" s="1"/>
  <c r="BD149" i="1"/>
  <c r="S42" i="5" s="1"/>
  <c r="BV163" i="1"/>
  <c r="N148" i="1"/>
  <c r="E39" i="5" s="1"/>
  <c r="AF85" i="1"/>
  <c r="J40" i="5" s="1"/>
  <c r="J126" i="5" s="1"/>
  <c r="AX149" i="1"/>
  <c r="Q42" i="5" s="1"/>
  <c r="BP77" i="1"/>
  <c r="BV86" i="1"/>
  <c r="X45" i="5" s="1"/>
  <c r="X131" i="5" s="1"/>
  <c r="BV151" i="1"/>
  <c r="BV64" i="1"/>
  <c r="X44" i="5" s="1"/>
  <c r="G46" i="36" s="1"/>
  <c r="BV72" i="1"/>
  <c r="X50" i="5" s="1"/>
  <c r="BV73" i="1"/>
  <c r="X51" i="5" s="1"/>
  <c r="BV69" i="1"/>
  <c r="X47" i="5" s="1"/>
  <c r="BV60" i="1"/>
  <c r="X38" i="5" s="1"/>
  <c r="X124" i="5" s="1"/>
  <c r="BV76" i="1"/>
  <c r="X54" i="5" s="1"/>
  <c r="BV61" i="1"/>
  <c r="X39" i="5" s="1"/>
  <c r="BP73" i="1"/>
  <c r="BP64" i="1"/>
  <c r="BP72" i="1"/>
  <c r="BP69" i="1"/>
  <c r="BP60" i="1"/>
  <c r="BP61" i="1"/>
  <c r="BP76" i="1"/>
  <c r="Z159" i="1"/>
  <c r="I50" i="5" s="1"/>
  <c r="BJ151" i="1"/>
  <c r="BJ69" i="1"/>
  <c r="BJ72" i="1"/>
  <c r="BJ160" i="1"/>
  <c r="BJ150" i="1"/>
  <c r="BJ73" i="1"/>
  <c r="BJ162" i="1"/>
  <c r="BJ144" i="1"/>
  <c r="BJ75" i="1"/>
  <c r="BJ61" i="1"/>
  <c r="BJ71" i="1"/>
  <c r="BJ63" i="1"/>
  <c r="BJ164" i="1"/>
  <c r="BJ143" i="1"/>
  <c r="BJ86" i="1"/>
  <c r="BJ148" i="1"/>
  <c r="BJ85" i="1"/>
  <c r="BJ59" i="1"/>
  <c r="BJ163" i="1"/>
  <c r="BJ147" i="1"/>
  <c r="BJ173" i="1"/>
  <c r="BJ70" i="1"/>
  <c r="BJ146" i="1"/>
  <c r="BJ74" i="1"/>
  <c r="BJ62" i="1"/>
  <c r="BD160" i="1"/>
  <c r="S51" i="5" s="1"/>
  <c r="BD63" i="1"/>
  <c r="R43" i="5" s="1"/>
  <c r="BD75" i="1"/>
  <c r="R53" i="5" s="1"/>
  <c r="BD73" i="1"/>
  <c r="R51" i="5" s="1"/>
  <c r="BD150" i="1"/>
  <c r="S43" i="5" s="1"/>
  <c r="BD156" i="1"/>
  <c r="BD157" i="1"/>
  <c r="BD61" i="1"/>
  <c r="R39" i="5" s="1"/>
  <c r="BE145" i="1"/>
  <c r="BD145" i="1"/>
  <c r="S36" i="5" s="1"/>
  <c r="BD69" i="1"/>
  <c r="R47" i="5" s="1"/>
  <c r="BD86" i="1"/>
  <c r="R45" i="5" s="1"/>
  <c r="R131" i="5" s="1"/>
  <c r="BD164" i="1"/>
  <c r="S55" i="5" s="1"/>
  <c r="BD144" i="1"/>
  <c r="S35" i="5" s="1"/>
  <c r="S121" i="5" s="1"/>
  <c r="BD162" i="1"/>
  <c r="S53" i="5" s="1"/>
  <c r="BD77" i="1"/>
  <c r="R55" i="5" s="1"/>
  <c r="BE70" i="1"/>
  <c r="BD70" i="1"/>
  <c r="R48" i="5" s="1"/>
  <c r="R134" i="5" s="1"/>
  <c r="BE172" i="1"/>
  <c r="BD172" i="1"/>
  <c r="S40" i="5" s="1"/>
  <c r="S126" i="5" s="1"/>
  <c r="BD85" i="1"/>
  <c r="R40" i="5" s="1"/>
  <c r="R126" i="5" s="1"/>
  <c r="BD71" i="1"/>
  <c r="R49" i="5" s="1"/>
  <c r="R135" i="5" s="1"/>
  <c r="BE74" i="1"/>
  <c r="BD74" i="1"/>
  <c r="R52" i="5" s="1"/>
  <c r="R138" i="5" s="1"/>
  <c r="BD173" i="1"/>
  <c r="S45" i="5" s="1"/>
  <c r="S131" i="5" s="1"/>
  <c r="BD158" i="1"/>
  <c r="BD161" i="1"/>
  <c r="S52" i="5" s="1"/>
  <c r="S138" i="5" s="1"/>
  <c r="BD62" i="1"/>
  <c r="R42" i="5" s="1"/>
  <c r="AX73" i="1"/>
  <c r="P51" i="5" s="1"/>
  <c r="AX63" i="1"/>
  <c r="P43" i="5" s="1"/>
  <c r="AX72" i="1"/>
  <c r="P50" i="5" s="1"/>
  <c r="AX60" i="1"/>
  <c r="P38" i="5" s="1"/>
  <c r="P124" i="5" s="1"/>
  <c r="AX86" i="1"/>
  <c r="P45" i="5" s="1"/>
  <c r="P131" i="5" s="1"/>
  <c r="AX56" i="1"/>
  <c r="P34" i="5" s="1"/>
  <c r="AX75" i="1"/>
  <c r="P53" i="5" s="1"/>
  <c r="AX59" i="1"/>
  <c r="P37" i="5" s="1"/>
  <c r="AX76" i="1"/>
  <c r="P54" i="5" s="1"/>
  <c r="AX64" i="1"/>
  <c r="AX77" i="1"/>
  <c r="P55" i="5" s="1"/>
  <c r="AX61" i="1"/>
  <c r="P39" i="5" s="1"/>
  <c r="AX71" i="1"/>
  <c r="P49" i="5" s="1"/>
  <c r="P135" i="5" s="1"/>
  <c r="AX69" i="1"/>
  <c r="P47" i="5" s="1"/>
  <c r="AR160" i="1"/>
  <c r="AR76" i="1"/>
  <c r="N54" i="5" s="1"/>
  <c r="AR85" i="1"/>
  <c r="N40" i="5" s="1"/>
  <c r="N126" i="5" s="1"/>
  <c r="AR164" i="1"/>
  <c r="AR151" i="1"/>
  <c r="AR156" i="1"/>
  <c r="AR163" i="1"/>
  <c r="AR148" i="1"/>
  <c r="AR159" i="1"/>
  <c r="AL156" i="1"/>
  <c r="M47" i="5" s="1"/>
  <c r="AL147" i="1"/>
  <c r="M38" i="5" s="1"/>
  <c r="M124" i="5" s="1"/>
  <c r="AL163" i="1"/>
  <c r="M54" i="5" s="1"/>
  <c r="AL159" i="1"/>
  <c r="M50" i="5" s="1"/>
  <c r="AL162" i="1"/>
  <c r="M53" i="5" s="1"/>
  <c r="AL173" i="1"/>
  <c r="M45" i="5" s="1"/>
  <c r="M131" i="5" s="1"/>
  <c r="AL160" i="1"/>
  <c r="M51" i="5" s="1"/>
  <c r="AL164" i="1"/>
  <c r="M55" i="5" s="1"/>
  <c r="AL146" i="1"/>
  <c r="M37" i="5" s="1"/>
  <c r="AF57" i="1"/>
  <c r="J35" i="5" s="1"/>
  <c r="J121" i="5" s="1"/>
  <c r="AF162" i="1"/>
  <c r="K53" i="5" s="1"/>
  <c r="AF73" i="1"/>
  <c r="J51" i="5" s="1"/>
  <c r="AF61" i="1"/>
  <c r="AF163" i="1"/>
  <c r="K54" i="5" s="1"/>
  <c r="AF173" i="1"/>
  <c r="K45" i="5" s="1"/>
  <c r="Z63" i="1"/>
  <c r="H43" i="5" s="1"/>
  <c r="Z146" i="1"/>
  <c r="I37" i="5" s="1"/>
  <c r="Z77" i="1"/>
  <c r="Z164" i="1"/>
  <c r="Z160" i="1"/>
  <c r="I51" i="5" s="1"/>
  <c r="T160" i="1"/>
  <c r="G51" i="5" s="1"/>
  <c r="T162" i="1"/>
  <c r="T173" i="1"/>
  <c r="G45" i="5" s="1"/>
  <c r="G131" i="5" s="1"/>
  <c r="T159" i="1"/>
  <c r="G50" i="5" s="1"/>
  <c r="T150" i="1"/>
  <c r="T164" i="1"/>
  <c r="G55" i="5" s="1"/>
  <c r="N64" i="1"/>
  <c r="D44" i="5" s="1"/>
  <c r="N85" i="1"/>
  <c r="D40" i="5" s="1"/>
  <c r="D126" i="5" s="1"/>
  <c r="N75" i="1"/>
  <c r="D53" i="5" s="1"/>
  <c r="D46" i="5" s="1"/>
  <c r="N61" i="1"/>
  <c r="D39" i="5" s="1"/>
  <c r="H64" i="1"/>
  <c r="B44" i="5" s="1"/>
  <c r="H75" i="1"/>
  <c r="B53" i="5" s="1"/>
  <c r="H172" i="1"/>
  <c r="C40" i="5" s="1"/>
  <c r="C126" i="5" s="1"/>
  <c r="H76" i="1"/>
  <c r="B54" i="5" s="1"/>
  <c r="H61" i="1"/>
  <c r="B39" i="5" s="1"/>
  <c r="H59" i="1"/>
  <c r="B37" i="5" s="1"/>
  <c r="H72" i="1"/>
  <c r="B50" i="5" s="1"/>
  <c r="H77" i="1"/>
  <c r="B55" i="5" s="1"/>
  <c r="H60" i="1"/>
  <c r="H73" i="1"/>
  <c r="B51" i="5" s="1"/>
  <c r="H69" i="1"/>
  <c r="ND82" i="4"/>
  <c r="CO8" i="5" s="1"/>
  <c r="ND93" i="4"/>
  <c r="CO12" i="5" s="1"/>
  <c r="ND97" i="4"/>
  <c r="CO15" i="5" s="1"/>
  <c r="CO14" i="5" s="1"/>
  <c r="ND8" i="4"/>
  <c r="CN7" i="5" s="1"/>
  <c r="ND13" i="4"/>
  <c r="CN9" i="5" s="1"/>
  <c r="ND21" i="4"/>
  <c r="CN12" i="5" s="1"/>
  <c r="CN15" i="5"/>
  <c r="CN14" i="5" s="1"/>
  <c r="ND10" i="4"/>
  <c r="CN8" i="5" s="1"/>
  <c r="MV71" i="4"/>
  <c r="CM8" i="5" s="1"/>
  <c r="MV101" i="4"/>
  <c r="CM23" i="5" s="1"/>
  <c r="MV118" i="4"/>
  <c r="CM13" i="5" s="1"/>
  <c r="MV69" i="4"/>
  <c r="CM7" i="5" s="1"/>
  <c r="MV74" i="4"/>
  <c r="CM9" i="5" s="1"/>
  <c r="MV82" i="4"/>
  <c r="CM12" i="5" s="1"/>
  <c r="MV86" i="4"/>
  <c r="CM15" i="5" s="1"/>
  <c r="CM14" i="5" s="1"/>
  <c r="MV92" i="4"/>
  <c r="CM20" i="5" s="1"/>
  <c r="MV96" i="4"/>
  <c r="CM21" i="5" s="1"/>
  <c r="MV116" i="4"/>
  <c r="CM28" i="5" s="1"/>
  <c r="MV111" i="4"/>
  <c r="CM26" i="5" s="1"/>
  <c r="MV55" i="4"/>
  <c r="CL28" i="5" s="1"/>
  <c r="MV8" i="4"/>
  <c r="CL7" i="5" s="1"/>
  <c r="MV13" i="4"/>
  <c r="CL9" i="5" s="1"/>
  <c r="MV21" i="4"/>
  <c r="CL12" i="5" s="1"/>
  <c r="MV25" i="4"/>
  <c r="CL15" i="5" s="1"/>
  <c r="CL14" i="5" s="1"/>
  <c r="MV31" i="4"/>
  <c r="CL20" i="5" s="1"/>
  <c r="MV35" i="4"/>
  <c r="CL21" i="5" s="1"/>
  <c r="MN111" i="4"/>
  <c r="CK26" i="5" s="1"/>
  <c r="MN101" i="4"/>
  <c r="CK23" i="5" s="1"/>
  <c r="MN106" i="4"/>
  <c r="CK24" i="5" s="1"/>
  <c r="MN50" i="4"/>
  <c r="CJ26" i="5" s="1"/>
  <c r="MN52" i="4"/>
  <c r="CJ27" i="5" s="1"/>
  <c r="MN45" i="4"/>
  <c r="CJ24" i="5" s="1"/>
  <c r="CJ79" i="5" s="1"/>
  <c r="MN21" i="4"/>
  <c r="CJ12" i="5" s="1"/>
  <c r="MN25" i="4"/>
  <c r="CJ15" i="5" s="1"/>
  <c r="CJ14" i="5" s="1"/>
  <c r="MN31" i="4"/>
  <c r="CJ20" i="5" s="1"/>
  <c r="MN35" i="4"/>
  <c r="CJ21" i="5" s="1"/>
  <c r="MF17" i="4"/>
  <c r="CH11" i="5" s="1"/>
  <c r="MF40" i="4"/>
  <c r="CH23" i="5" s="1"/>
  <c r="MF45" i="4"/>
  <c r="CH24" i="5" s="1"/>
  <c r="MF15" i="4"/>
  <c r="CH10" i="5" s="1"/>
  <c r="MF21" i="4"/>
  <c r="CH12" i="5" s="1"/>
  <c r="MF25" i="4"/>
  <c r="CH15" i="5" s="1"/>
  <c r="CH14" i="5" s="1"/>
  <c r="MF31" i="4"/>
  <c r="CH20" i="5" s="1"/>
  <c r="MF35" i="4"/>
  <c r="CH21" i="5" s="1"/>
  <c r="MF13" i="4"/>
  <c r="CH9" i="5" s="1"/>
  <c r="MF50" i="4"/>
  <c r="CH26" i="5" s="1"/>
  <c r="MF82" i="4"/>
  <c r="CI12" i="5" s="1"/>
  <c r="MF86" i="4"/>
  <c r="CI15" i="5" s="1"/>
  <c r="CI14" i="5" s="1"/>
  <c r="MF92" i="4"/>
  <c r="CI20" i="5" s="1"/>
  <c r="MF96" i="4"/>
  <c r="CI21" i="5" s="1"/>
  <c r="MF74" i="4"/>
  <c r="CI9" i="5" s="1"/>
  <c r="MF111" i="4"/>
  <c r="CI26" i="5" s="1"/>
  <c r="LX111" i="4"/>
  <c r="CG26" i="5" s="1"/>
  <c r="LX113" i="4"/>
  <c r="CG27" i="5" s="1"/>
  <c r="LX78" i="4"/>
  <c r="CG11" i="5" s="1"/>
  <c r="LX106" i="4"/>
  <c r="CG24" i="5" s="1"/>
  <c r="LX69" i="4"/>
  <c r="CG7" i="5" s="1"/>
  <c r="LX74" i="4"/>
  <c r="CG9" i="5" s="1"/>
  <c r="LX82" i="4"/>
  <c r="CG12" i="5" s="1"/>
  <c r="LX86" i="4"/>
  <c r="CG15" i="5" s="1"/>
  <c r="CG14" i="5" s="1"/>
  <c r="LX92" i="4"/>
  <c r="CG20" i="5" s="1"/>
  <c r="LX96" i="4"/>
  <c r="CG21" i="5" s="1"/>
  <c r="LX116" i="4"/>
  <c r="CG28" i="5" s="1"/>
  <c r="LX21" i="4"/>
  <c r="CF12" i="5" s="1"/>
  <c r="V70" i="36" s="1"/>
  <c r="LX25" i="4"/>
  <c r="CF15" i="5" s="1"/>
  <c r="LX31" i="4"/>
  <c r="CF20" i="5" s="1"/>
  <c r="LX35" i="4"/>
  <c r="CF21" i="5" s="1"/>
  <c r="V79" i="36" s="1"/>
  <c r="LX55" i="4"/>
  <c r="CF28" i="5" s="1"/>
  <c r="V86" i="36" s="1"/>
  <c r="LX50" i="4"/>
  <c r="CF26" i="5" s="1"/>
  <c r="V84" i="36" s="1"/>
  <c r="LX52" i="4"/>
  <c r="CF27" i="5" s="1"/>
  <c r="V85" i="36" s="1"/>
  <c r="LX10" i="4"/>
  <c r="CF8" i="5" s="1"/>
  <c r="V66" i="36" s="1"/>
  <c r="LX40" i="4"/>
  <c r="CF23" i="5" s="1"/>
  <c r="V81" i="36" s="1"/>
  <c r="LX57" i="4"/>
  <c r="CF13" i="5" s="1"/>
  <c r="DP8" i="4"/>
  <c r="AD7" i="5" s="1"/>
  <c r="DP17" i="4"/>
  <c r="AD11" i="5" s="1"/>
  <c r="DP10" i="4"/>
  <c r="AD8" i="5" s="1"/>
  <c r="EN116" i="4"/>
  <c r="AK28" i="5" s="1"/>
  <c r="FD57" i="4"/>
  <c r="AN13" i="5" s="1"/>
  <c r="FL57" i="4"/>
  <c r="AP13" i="5" s="1"/>
  <c r="FT15" i="4"/>
  <c r="AR10" i="5" s="1"/>
  <c r="GJ69" i="4"/>
  <c r="AW7" i="5" s="1"/>
  <c r="GJ82" i="4"/>
  <c r="AW12" i="5" s="1"/>
  <c r="GJ86" i="4"/>
  <c r="AW15" i="5" s="1"/>
  <c r="AW14" i="5" s="1"/>
  <c r="GJ92" i="4"/>
  <c r="AW20" i="5" s="1"/>
  <c r="GJ96" i="4"/>
  <c r="GJ40" i="4"/>
  <c r="AV23" i="5" s="1"/>
  <c r="GJ45" i="4"/>
  <c r="AV24" i="5" s="1"/>
  <c r="IV50" i="4"/>
  <c r="JT71" i="4"/>
  <c r="IN71" i="4"/>
  <c r="HH71" i="4"/>
  <c r="JT69" i="4"/>
  <c r="JT57" i="4"/>
  <c r="BD8" i="4"/>
  <c r="N7" i="5" s="1"/>
  <c r="AV15" i="4"/>
  <c r="L10" i="5" s="1"/>
  <c r="AV40" i="4"/>
  <c r="L23" i="5" s="1"/>
  <c r="BD45" i="4"/>
  <c r="N24" i="5" s="1"/>
  <c r="AV55" i="4"/>
  <c r="L28" i="5" s="1"/>
  <c r="CR55" i="4"/>
  <c r="X28" i="5" s="1"/>
  <c r="DH101" i="4"/>
  <c r="AC23" i="5" s="1"/>
  <c r="GR55" i="4"/>
  <c r="AX28" i="5" s="1"/>
  <c r="GR40" i="4"/>
  <c r="AX23" i="5" s="1"/>
  <c r="GR35" i="4"/>
  <c r="AX21" i="5" s="1"/>
  <c r="GR21" i="4"/>
  <c r="AX12" i="5" s="1"/>
  <c r="GR13" i="4"/>
  <c r="AX9" i="5" s="1"/>
  <c r="DX69" i="4"/>
  <c r="AG7" i="5" s="1"/>
  <c r="DX113" i="4"/>
  <c r="AG27" i="5" s="1"/>
  <c r="FD69" i="4"/>
  <c r="AO7" i="5" s="1"/>
  <c r="FD113" i="4"/>
  <c r="AO27" i="5" s="1"/>
  <c r="FL15" i="4"/>
  <c r="AP10" i="5" s="1"/>
  <c r="FL71" i="4"/>
  <c r="AQ8" i="5" s="1"/>
  <c r="FL78" i="4"/>
  <c r="AQ11" i="5" s="1"/>
  <c r="GB71" i="4"/>
  <c r="AU8" i="5" s="1"/>
  <c r="GJ13" i="4"/>
  <c r="AV9" i="5" s="1"/>
  <c r="GJ21" i="4"/>
  <c r="AV12" i="5" s="1"/>
  <c r="GJ25" i="4"/>
  <c r="AV15" i="5" s="1"/>
  <c r="AV14" i="5" s="1"/>
  <c r="GJ31" i="4"/>
  <c r="AV20" i="5" s="1"/>
  <c r="GJ35" i="4"/>
  <c r="AV21" i="5" s="1"/>
  <c r="GJ71" i="4"/>
  <c r="AW8" i="5" s="1"/>
  <c r="GJ101" i="4"/>
  <c r="AW23" i="5" s="1"/>
  <c r="GJ106" i="4"/>
  <c r="AW24" i="5" s="1"/>
  <c r="GJ118" i="4"/>
  <c r="AW13" i="5" s="1"/>
  <c r="JT86" i="4"/>
  <c r="JD96" i="4"/>
  <c r="IV40" i="4"/>
  <c r="JT25" i="4"/>
  <c r="AF8" i="4"/>
  <c r="H7" i="5" s="1"/>
  <c r="BL10" i="4"/>
  <c r="P8" i="5" s="1"/>
  <c r="DH10" i="4"/>
  <c r="AB8" i="5" s="1"/>
  <c r="BL17" i="4"/>
  <c r="P11" i="5" s="1"/>
  <c r="DH17" i="4"/>
  <c r="AB11" i="5" s="1"/>
  <c r="X69" i="4"/>
  <c r="G7" i="5" s="1"/>
  <c r="BD69" i="4"/>
  <c r="O7" i="5" s="1"/>
  <c r="P69" i="4"/>
  <c r="E7" i="5" s="1"/>
  <c r="X76" i="4"/>
  <c r="G10" i="5" s="1"/>
  <c r="H78" i="4"/>
  <c r="C11" i="5" s="1"/>
  <c r="AN78" i="4"/>
  <c r="K11" i="5" s="1"/>
  <c r="BT78" i="4"/>
  <c r="S11" i="5" s="1"/>
  <c r="DP78" i="4"/>
  <c r="AE11" i="5" s="1"/>
  <c r="X92" i="4"/>
  <c r="G20" i="5" s="1"/>
  <c r="BD92" i="4"/>
  <c r="O20" i="5" s="1"/>
  <c r="CZ92" i="4"/>
  <c r="AA20" i="5" s="1"/>
  <c r="P92" i="4"/>
  <c r="E20" i="5" s="1"/>
  <c r="AV92" i="4"/>
  <c r="M20" i="5" s="1"/>
  <c r="AF116" i="4"/>
  <c r="I28" i="5" s="1"/>
  <c r="BL116" i="4"/>
  <c r="Q28" i="5" s="1"/>
  <c r="DH116" i="4"/>
  <c r="AC28" i="5" s="1"/>
  <c r="DX10" i="4"/>
  <c r="AF8" i="5" s="1"/>
  <c r="DX78" i="4"/>
  <c r="AG11" i="5" s="1"/>
  <c r="EF8" i="4"/>
  <c r="AH7" i="5" s="1"/>
  <c r="EF13" i="4"/>
  <c r="AH9" i="5" s="1"/>
  <c r="EF52" i="4"/>
  <c r="AH27" i="5" s="1"/>
  <c r="EF76" i="4"/>
  <c r="AI10" i="5" s="1"/>
  <c r="EN118" i="4"/>
  <c r="AK13" i="5" s="1"/>
  <c r="EV8" i="4"/>
  <c r="AL7" i="5" s="1"/>
  <c r="EV52" i="4"/>
  <c r="AL27" i="5" s="1"/>
  <c r="FD10" i="4"/>
  <c r="AN8" i="5" s="1"/>
  <c r="FL8" i="4"/>
  <c r="AP7" i="5" s="1"/>
  <c r="FL76" i="4"/>
  <c r="AQ10" i="5" s="1"/>
  <c r="GB8" i="4"/>
  <c r="AT7" i="5" s="1"/>
  <c r="GJ50" i="4"/>
  <c r="AV26" i="5" s="1"/>
  <c r="GJ52" i="4"/>
  <c r="AV27" i="5" s="1"/>
  <c r="GJ76" i="4"/>
  <c r="AW10" i="5" s="1"/>
  <c r="GJ116" i="4"/>
  <c r="AW28" i="5" s="1"/>
  <c r="JL118" i="4"/>
  <c r="GZ118" i="4"/>
  <c r="HH113" i="4"/>
  <c r="IN101" i="4"/>
  <c r="HP86" i="4"/>
  <c r="GZ71" i="4"/>
  <c r="IF69" i="4"/>
  <c r="GZ69" i="4"/>
  <c r="HX57" i="4"/>
  <c r="IV52" i="4"/>
  <c r="HP52" i="4"/>
  <c r="IF21" i="4"/>
  <c r="HH15" i="4"/>
  <c r="AF69" i="4"/>
  <c r="I7" i="5" s="1"/>
  <c r="P78" i="4"/>
  <c r="E11" i="5" s="1"/>
  <c r="AV78" i="4"/>
  <c r="M11" i="5" s="1"/>
  <c r="CR78" i="4"/>
  <c r="Y11" i="5" s="1"/>
  <c r="EV17" i="4"/>
  <c r="AL11" i="5" s="1"/>
  <c r="EV78" i="4"/>
  <c r="AM11" i="5" s="1"/>
  <c r="EV118" i="4"/>
  <c r="AM13" i="5" s="1"/>
  <c r="FD55" i="4"/>
  <c r="AN28" i="5" s="1"/>
  <c r="FD76" i="4"/>
  <c r="AO10" i="5" s="1"/>
  <c r="GB17" i="4"/>
  <c r="AT11" i="5" s="1"/>
  <c r="GB55" i="4"/>
  <c r="AT28" i="5" s="1"/>
  <c r="GB78" i="4"/>
  <c r="AU11" i="5" s="1"/>
  <c r="GB118" i="4"/>
  <c r="AU13" i="5" s="1"/>
  <c r="GJ15" i="4"/>
  <c r="AV10" i="5" s="1"/>
  <c r="GJ55" i="4"/>
  <c r="AV28" i="5" s="1"/>
  <c r="GJ74" i="4"/>
  <c r="AW9" i="5" s="1"/>
  <c r="GJ111" i="4"/>
  <c r="AW26" i="5" s="1"/>
  <c r="JT113" i="4"/>
  <c r="IF92" i="4"/>
  <c r="HP15" i="4"/>
  <c r="DH21" i="4"/>
  <c r="AB12" i="5" s="1"/>
  <c r="HX101" i="4"/>
  <c r="GZ50" i="4"/>
  <c r="AN106" i="4"/>
  <c r="K24" i="5" s="1"/>
  <c r="HH74" i="4"/>
  <c r="IF106" i="4"/>
  <c r="IV106" i="4"/>
  <c r="JT31" i="4"/>
  <c r="BL15" i="4"/>
  <c r="P10" i="5" s="1"/>
  <c r="DH69" i="4"/>
  <c r="AC7" i="5" s="1"/>
  <c r="JT118" i="4"/>
  <c r="IN118" i="4"/>
  <c r="HP116" i="4"/>
  <c r="JL116" i="4"/>
  <c r="IV113" i="4"/>
  <c r="JL111" i="4"/>
  <c r="HX111" i="4"/>
  <c r="IV92" i="4"/>
  <c r="JL71" i="4"/>
  <c r="JT52" i="4"/>
  <c r="JL35" i="4"/>
  <c r="IF35" i="4"/>
  <c r="GZ35" i="4"/>
  <c r="JD15" i="4"/>
  <c r="JD13" i="4"/>
  <c r="AF10" i="4"/>
  <c r="H8" i="5" s="1"/>
  <c r="X13" i="4"/>
  <c r="F9" i="5" s="1"/>
  <c r="BD13" i="4"/>
  <c r="N9" i="5" s="1"/>
  <c r="CZ13" i="4"/>
  <c r="Z9" i="5" s="1"/>
  <c r="H15" i="4"/>
  <c r="B10" i="5" s="1"/>
  <c r="CR15" i="4"/>
  <c r="X10" i="5" s="1"/>
  <c r="AF17" i="4"/>
  <c r="H11" i="5" s="1"/>
  <c r="P45" i="4"/>
  <c r="D24" i="5" s="1"/>
  <c r="AV45" i="4"/>
  <c r="L24" i="5" s="1"/>
  <c r="CR45" i="4"/>
  <c r="X24" i="5" s="1"/>
  <c r="H45" i="4"/>
  <c r="B24" i="5" s="1"/>
  <c r="BT45" i="4"/>
  <c r="R24" i="5" s="1"/>
  <c r="DP45" i="4"/>
  <c r="AD24" i="5" s="1"/>
  <c r="P50" i="4"/>
  <c r="D26" i="5" s="1"/>
  <c r="AV50" i="4"/>
  <c r="L26" i="5" s="1"/>
  <c r="CR50" i="4"/>
  <c r="X26" i="5" s="1"/>
  <c r="P52" i="4"/>
  <c r="D27" i="5" s="1"/>
  <c r="DH76" i="4"/>
  <c r="AC10" i="5" s="1"/>
  <c r="DP76" i="4"/>
  <c r="AE10" i="5" s="1"/>
  <c r="AF101" i="4"/>
  <c r="I23" i="5" s="1"/>
  <c r="BL101" i="4"/>
  <c r="Q23" i="5" s="1"/>
  <c r="X106" i="4"/>
  <c r="G24" i="5" s="1"/>
  <c r="BD106" i="4"/>
  <c r="O24" i="5" s="1"/>
  <c r="CZ106" i="4"/>
  <c r="AA24" i="5" s="1"/>
  <c r="X111" i="4"/>
  <c r="G26" i="5" s="1"/>
  <c r="BD111" i="4"/>
  <c r="O26" i="5" s="1"/>
  <c r="CZ111" i="4"/>
  <c r="AA26" i="5" s="1"/>
  <c r="X113" i="4"/>
  <c r="G27" i="5" s="1"/>
  <c r="P113" i="4"/>
  <c r="E27" i="5" s="1"/>
  <c r="X116" i="4"/>
  <c r="G28" i="5" s="1"/>
  <c r="CZ116" i="4"/>
  <c r="AA28" i="5" s="1"/>
  <c r="DX50" i="4"/>
  <c r="AF26" i="5" s="1"/>
  <c r="DX52" i="4"/>
  <c r="AF27" i="5" s="1"/>
  <c r="DX116" i="4"/>
  <c r="AG28" i="5" s="1"/>
  <c r="EF15" i="4"/>
  <c r="AH10" i="5" s="1"/>
  <c r="EF78" i="4"/>
  <c r="AI11" i="5" s="1"/>
  <c r="EN10" i="4"/>
  <c r="AJ8" i="5" s="1"/>
  <c r="EV57" i="4"/>
  <c r="AL13" i="5" s="1"/>
  <c r="EV69" i="4"/>
  <c r="AM7" i="5" s="1"/>
  <c r="FD15" i="4"/>
  <c r="AN10" i="5" s="1"/>
  <c r="FD101" i="4"/>
  <c r="AO23" i="5" s="1"/>
  <c r="FL10" i="4"/>
  <c r="AP8" i="5" s="1"/>
  <c r="FL17" i="4"/>
  <c r="AP11" i="5" s="1"/>
  <c r="FL101" i="4"/>
  <c r="AQ23" i="5" s="1"/>
  <c r="FL106" i="4"/>
  <c r="AQ24" i="5" s="1"/>
  <c r="FL113" i="4"/>
  <c r="AQ27" i="5" s="1"/>
  <c r="FL118" i="4"/>
  <c r="AQ13" i="5" s="1"/>
  <c r="FT17" i="4"/>
  <c r="AR11" i="5" s="1"/>
  <c r="FT57" i="4"/>
  <c r="AR13" i="5" s="1"/>
  <c r="FT69" i="4"/>
  <c r="AS7" i="5" s="1"/>
  <c r="FT74" i="4"/>
  <c r="AS9" i="5" s="1"/>
  <c r="FT113" i="4"/>
  <c r="AS27" i="5" s="1"/>
  <c r="GB52" i="4"/>
  <c r="AT27" i="5" s="1"/>
  <c r="JL113" i="4"/>
  <c r="GZ113" i="4"/>
  <c r="GZ101" i="4"/>
  <c r="HH92" i="4"/>
  <c r="HX76" i="4"/>
  <c r="IN76" i="4"/>
  <c r="HH76" i="4"/>
  <c r="JT55" i="4"/>
  <c r="IN55" i="4"/>
  <c r="JD52" i="4"/>
  <c r="JT50" i="4"/>
  <c r="IN50" i="4"/>
  <c r="HH50" i="4"/>
  <c r="IV45" i="4"/>
  <c r="HP45" i="4"/>
  <c r="HP35" i="4"/>
  <c r="JL31" i="4"/>
  <c r="IF31" i="4"/>
  <c r="GZ31" i="4"/>
  <c r="HX17" i="4"/>
  <c r="JL15" i="4"/>
  <c r="JD10" i="4"/>
  <c r="HX10" i="4"/>
  <c r="JT10" i="4"/>
  <c r="JT8" i="4"/>
  <c r="IN8" i="4"/>
  <c r="AV10" i="4"/>
  <c r="L8" i="5" s="1"/>
  <c r="CR10" i="4"/>
  <c r="X8" i="5" s="1"/>
  <c r="P13" i="4"/>
  <c r="D9" i="5" s="1"/>
  <c r="AV13" i="4"/>
  <c r="L9" i="5" s="1"/>
  <c r="CR13" i="4"/>
  <c r="X9" i="5" s="1"/>
  <c r="X15" i="4"/>
  <c r="F10" i="5" s="1"/>
  <c r="CZ15" i="4"/>
  <c r="Z10" i="5" s="1"/>
  <c r="P15" i="4"/>
  <c r="D10" i="5" s="1"/>
  <c r="AF52" i="4"/>
  <c r="H27" i="5" s="1"/>
  <c r="BL52" i="4"/>
  <c r="P27" i="5" s="1"/>
  <c r="DH52" i="4"/>
  <c r="AB27" i="5" s="1"/>
  <c r="P76" i="4"/>
  <c r="E10" i="5" s="1"/>
  <c r="AV76" i="4"/>
  <c r="M10" i="5" s="1"/>
  <c r="CR76" i="4"/>
  <c r="Y10" i="5" s="1"/>
  <c r="H76" i="4"/>
  <c r="C10" i="5" s="1"/>
  <c r="BL92" i="4"/>
  <c r="Q20" i="5" s="1"/>
  <c r="DH92" i="4"/>
  <c r="AC20" i="5" s="1"/>
  <c r="DP113" i="4"/>
  <c r="AE27" i="5" s="1"/>
  <c r="EN50" i="4"/>
  <c r="AJ26" i="5" s="1"/>
  <c r="EV35" i="4"/>
  <c r="AL21" i="5" s="1"/>
  <c r="FD40" i="4"/>
  <c r="AN23" i="5" s="1"/>
  <c r="FD45" i="4"/>
  <c r="AN24" i="5" s="1"/>
  <c r="FD52" i="4"/>
  <c r="AN27" i="5" s="1"/>
  <c r="FD116" i="4"/>
  <c r="AO28" i="5" s="1"/>
  <c r="FT106" i="4"/>
  <c r="AS24" i="5" s="1"/>
  <c r="FT118" i="4"/>
  <c r="AS13" i="5" s="1"/>
  <c r="GB74" i="4"/>
  <c r="AU9" i="5" s="1"/>
  <c r="HH116" i="4"/>
  <c r="HP111" i="4"/>
  <c r="GZ106" i="4"/>
  <c r="JL106" i="4"/>
  <c r="JT101" i="4"/>
  <c r="HH101" i="4"/>
  <c r="JD101" i="4"/>
  <c r="GZ92" i="4"/>
  <c r="IN74" i="4"/>
  <c r="JD74" i="4"/>
  <c r="HX74" i="4"/>
  <c r="IV69" i="4"/>
  <c r="HP69" i="4"/>
  <c r="JT40" i="4"/>
  <c r="IN40" i="4"/>
  <c r="JD21" i="4"/>
  <c r="HX21" i="4"/>
  <c r="IN21" i="4"/>
  <c r="HH21" i="4"/>
  <c r="IV10" i="4"/>
  <c r="HP10" i="4"/>
  <c r="IV8" i="4"/>
  <c r="JL8" i="4"/>
  <c r="P8" i="4"/>
  <c r="D7" i="5" s="1"/>
  <c r="CZ10" i="4"/>
  <c r="Z8" i="5" s="1"/>
  <c r="CZ17" i="4"/>
  <c r="Z11" i="5" s="1"/>
  <c r="AF21" i="4"/>
  <c r="H12" i="5" s="1"/>
  <c r="BL21" i="4"/>
  <c r="P12" i="5" s="1"/>
  <c r="P31" i="4"/>
  <c r="D20" i="5" s="1"/>
  <c r="X35" i="4"/>
  <c r="F21" i="5" s="1"/>
  <c r="BD35" i="4"/>
  <c r="N21" i="5" s="1"/>
  <c r="CZ35" i="4"/>
  <c r="Z21" i="5" s="1"/>
  <c r="BL40" i="4"/>
  <c r="P23" i="5" s="1"/>
  <c r="DH40" i="4"/>
  <c r="AB23" i="5" s="1"/>
  <c r="P55" i="4"/>
  <c r="D28" i="5" s="1"/>
  <c r="AN69" i="4"/>
  <c r="K7" i="5" s="1"/>
  <c r="CR69" i="4"/>
  <c r="Y7" i="5" s="1"/>
  <c r="H82" i="4"/>
  <c r="C12" i="5" s="1"/>
  <c r="AN82" i="4"/>
  <c r="K12" i="5" s="1"/>
  <c r="BT82" i="4"/>
  <c r="S12" i="5" s="1"/>
  <c r="DP82" i="4"/>
  <c r="AE12" i="5" s="1"/>
  <c r="X82" i="4"/>
  <c r="G12" i="5" s="1"/>
  <c r="CZ82" i="4"/>
  <c r="AA12" i="5" s="1"/>
  <c r="H86" i="4"/>
  <c r="C15" i="5" s="1"/>
  <c r="C14" i="5" s="1"/>
  <c r="AN86" i="4"/>
  <c r="K15" i="5" s="1"/>
  <c r="K14" i="5" s="1"/>
  <c r="BT86" i="4"/>
  <c r="S15" i="5" s="1"/>
  <c r="S14" i="5" s="1"/>
  <c r="DP86" i="4"/>
  <c r="AE15" i="5" s="1"/>
  <c r="AE14" i="5" s="1"/>
  <c r="BD101" i="4"/>
  <c r="O23" i="5" s="1"/>
  <c r="CZ101" i="4"/>
  <c r="AA23" i="5" s="1"/>
  <c r="AV113" i="4"/>
  <c r="M27" i="5" s="1"/>
  <c r="EF45" i="4"/>
  <c r="AH24" i="5" s="1"/>
  <c r="EF55" i="4"/>
  <c r="AH28" i="5" s="1"/>
  <c r="EF57" i="4"/>
  <c r="AH13" i="5" s="1"/>
  <c r="EF111" i="4"/>
  <c r="AI26" i="5" s="1"/>
  <c r="EN13" i="4"/>
  <c r="AJ9" i="5" s="1"/>
  <c r="EV50" i="4"/>
  <c r="AL26" i="5" s="1"/>
  <c r="EV116" i="4"/>
  <c r="AM28" i="5" s="1"/>
  <c r="FD111" i="4"/>
  <c r="AO26" i="5" s="1"/>
  <c r="FL40" i="4"/>
  <c r="AP23" i="5" s="1"/>
  <c r="FL45" i="4"/>
  <c r="AP24" i="5" s="1"/>
  <c r="FL52" i="4"/>
  <c r="AP27" i="5" s="1"/>
  <c r="FT50" i="4"/>
  <c r="AR26" i="5" s="1"/>
  <c r="FT71" i="4"/>
  <c r="AS8" i="5" s="1"/>
  <c r="IN116" i="4"/>
  <c r="JD113" i="4"/>
  <c r="HX113" i="4"/>
  <c r="IV111" i="4"/>
  <c r="IN106" i="4"/>
  <c r="JD86" i="4"/>
  <c r="IN86" i="4"/>
  <c r="HP74" i="4"/>
  <c r="IF71" i="4"/>
  <c r="HH8" i="4"/>
  <c r="BD15" i="4"/>
  <c r="N10" i="5" s="1"/>
  <c r="AF40" i="4"/>
  <c r="H23" i="5" s="1"/>
  <c r="X45" i="4"/>
  <c r="F24" i="5" s="1"/>
  <c r="CZ45" i="4"/>
  <c r="Z24" i="5" s="1"/>
  <c r="IF101" i="4"/>
  <c r="IF118" i="4"/>
  <c r="IF116" i="4"/>
  <c r="GZ116" i="4"/>
  <c r="IN113" i="4"/>
  <c r="IF111" i="4"/>
  <c r="JT106" i="4"/>
  <c r="IV82" i="4"/>
  <c r="IF57" i="4"/>
  <c r="JD57" i="4"/>
  <c r="HH55" i="4"/>
  <c r="HX15" i="4"/>
  <c r="IV13" i="4"/>
  <c r="IV96" i="4"/>
  <c r="JT116" i="4"/>
  <c r="JD116" i="4"/>
  <c r="HX116" i="4"/>
  <c r="GZ111" i="4"/>
  <c r="IV86" i="4"/>
  <c r="HP50" i="4"/>
  <c r="JL50" i="4"/>
  <c r="HH40" i="4"/>
  <c r="IV35" i="4"/>
  <c r="JD25" i="4"/>
  <c r="BT10" i="4"/>
  <c r="R8" i="5" s="1"/>
  <c r="AN45" i="4"/>
  <c r="J24" i="5" s="1"/>
  <c r="BD76" i="4"/>
  <c r="O10" i="5" s="1"/>
  <c r="HP106" i="4"/>
  <c r="IV101" i="4"/>
  <c r="HP101" i="4"/>
  <c r="IN92" i="4"/>
  <c r="HP92" i="4"/>
  <c r="JT82" i="4"/>
  <c r="HH82" i="4"/>
  <c r="JL76" i="4"/>
  <c r="HP57" i="4"/>
  <c r="GZ55" i="4"/>
  <c r="HX52" i="4"/>
  <c r="IF50" i="4"/>
  <c r="JT45" i="4"/>
  <c r="IN45" i="4"/>
  <c r="HH45" i="4"/>
  <c r="JL40" i="4"/>
  <c r="GZ40" i="4"/>
  <c r="JD35" i="4"/>
  <c r="HX35" i="4"/>
  <c r="HH31" i="4"/>
  <c r="JD31" i="4"/>
  <c r="HX31" i="4"/>
  <c r="IV31" i="4"/>
  <c r="HP31" i="4"/>
  <c r="HX25" i="4"/>
  <c r="IV21" i="4"/>
  <c r="HP21" i="4"/>
  <c r="JD17" i="4"/>
  <c r="GZ17" i="4"/>
  <c r="IV17" i="4"/>
  <c r="HP17" i="4"/>
  <c r="IV15" i="4"/>
  <c r="X10" i="4"/>
  <c r="F8" i="5" s="1"/>
  <c r="BD10" i="4"/>
  <c r="N8" i="5" s="1"/>
  <c r="H13" i="4"/>
  <c r="B9" i="5" s="1"/>
  <c r="AN13" i="4"/>
  <c r="J9" i="5" s="1"/>
  <c r="BT13" i="4"/>
  <c r="R9" i="5" s="1"/>
  <c r="DP13" i="4"/>
  <c r="AD9" i="5" s="1"/>
  <c r="P17" i="4"/>
  <c r="D11" i="5" s="1"/>
  <c r="AV17" i="4"/>
  <c r="L11" i="5" s="1"/>
  <c r="CR17" i="4"/>
  <c r="X11" i="5" s="1"/>
  <c r="H21" i="4"/>
  <c r="B12" i="5" s="1"/>
  <c r="AN21" i="4"/>
  <c r="J12" i="5" s="1"/>
  <c r="BT21" i="4"/>
  <c r="R12" i="5" s="1"/>
  <c r="DP21" i="4"/>
  <c r="AD12" i="5" s="1"/>
  <c r="P25" i="4"/>
  <c r="D15" i="5" s="1"/>
  <c r="D14" i="5" s="1"/>
  <c r="AV25" i="4"/>
  <c r="L15" i="5" s="1"/>
  <c r="L14" i="5" s="1"/>
  <c r="CR25" i="4"/>
  <c r="X15" i="5" s="1"/>
  <c r="X14" i="5" s="1"/>
  <c r="AV31" i="4"/>
  <c r="L20" i="5" s="1"/>
  <c r="H52" i="4"/>
  <c r="B27" i="5" s="1"/>
  <c r="AN52" i="4"/>
  <c r="J27" i="5" s="1"/>
  <c r="BT52" i="4"/>
  <c r="R27" i="5" s="1"/>
  <c r="DP52" i="4"/>
  <c r="AD27" i="5" s="1"/>
  <c r="P57" i="4"/>
  <c r="D13" i="5" s="1"/>
  <c r="AV57" i="4"/>
  <c r="L13" i="5" s="1"/>
  <c r="CR57" i="4"/>
  <c r="X13" i="5" s="1"/>
  <c r="P71" i="4"/>
  <c r="E8" i="5" s="1"/>
  <c r="AV71" i="4"/>
  <c r="M8" i="5" s="1"/>
  <c r="M6" i="5" s="1"/>
  <c r="CR71" i="4"/>
  <c r="Y8" i="5" s="1"/>
  <c r="H71" i="4"/>
  <c r="C8" i="5" s="1"/>
  <c r="AN71" i="4"/>
  <c r="K8" i="5" s="1"/>
  <c r="BT71" i="4"/>
  <c r="S8" i="5" s="1"/>
  <c r="DP71" i="4"/>
  <c r="AE8" i="5" s="1"/>
  <c r="AF74" i="4"/>
  <c r="I9" i="5" s="1"/>
  <c r="BL74" i="4"/>
  <c r="Q9" i="5" s="1"/>
  <c r="DH74" i="4"/>
  <c r="AC9" i="5" s="1"/>
  <c r="AF86" i="4"/>
  <c r="I15" i="5" s="1"/>
  <c r="I14" i="5" s="1"/>
  <c r="BL86" i="4"/>
  <c r="Q15" i="5" s="1"/>
  <c r="Q14" i="5" s="1"/>
  <c r="DH86" i="4"/>
  <c r="AC15" i="5" s="1"/>
  <c r="AC14" i="5" s="1"/>
  <c r="AF92" i="4"/>
  <c r="I20" i="5" s="1"/>
  <c r="DP106" i="4"/>
  <c r="AE24" i="5" s="1"/>
  <c r="EV111" i="4"/>
  <c r="AM26" i="5" s="1"/>
  <c r="JT92" i="4"/>
  <c r="IN82" i="4"/>
  <c r="JT76" i="4"/>
  <c r="HX71" i="4"/>
  <c r="IN69" i="4"/>
  <c r="HH69" i="4"/>
  <c r="IV57" i="4"/>
  <c r="HH52" i="4"/>
  <c r="JT35" i="4"/>
  <c r="IN35" i="4"/>
  <c r="HH35" i="4"/>
  <c r="IN31" i="4"/>
  <c r="IN25" i="4"/>
  <c r="IN17" i="4"/>
  <c r="HP13" i="4"/>
  <c r="HX13" i="4"/>
  <c r="X21" i="4"/>
  <c r="F12" i="5" s="1"/>
  <c r="BD21" i="4"/>
  <c r="N12" i="5" s="1"/>
  <c r="CZ21" i="4"/>
  <c r="Z12" i="5" s="1"/>
  <c r="P21" i="4"/>
  <c r="D12" i="5" s="1"/>
  <c r="AV21" i="4"/>
  <c r="L12" i="5" s="1"/>
  <c r="CR21" i="4"/>
  <c r="X12" i="5" s="1"/>
  <c r="AF25" i="4"/>
  <c r="H15" i="5" s="1"/>
  <c r="H14" i="5" s="1"/>
  <c r="BL25" i="4"/>
  <c r="P15" i="5" s="1"/>
  <c r="P14" i="5" s="1"/>
  <c r="DH25" i="4"/>
  <c r="AB15" i="5" s="1"/>
  <c r="AB14" i="5" s="1"/>
  <c r="AF31" i="4"/>
  <c r="H20" i="5" s="1"/>
  <c r="DH31" i="4"/>
  <c r="AB20" i="5" s="1"/>
  <c r="CR31" i="4"/>
  <c r="X20" i="5" s="1"/>
  <c r="AF35" i="4"/>
  <c r="H21" i="5" s="1"/>
  <c r="BL35" i="4"/>
  <c r="P21" i="5" s="1"/>
  <c r="DH35" i="4"/>
  <c r="AB21" i="5" s="1"/>
  <c r="X50" i="4"/>
  <c r="F26" i="5" s="1"/>
  <c r="BD50" i="4"/>
  <c r="N26" i="5" s="1"/>
  <c r="CZ50" i="4"/>
  <c r="Z26" i="5" s="1"/>
  <c r="X55" i="4"/>
  <c r="F28" i="5" s="1"/>
  <c r="BD55" i="4"/>
  <c r="N28" i="5" s="1"/>
  <c r="CZ55" i="4"/>
  <c r="Z28" i="5" s="1"/>
  <c r="AF57" i="4"/>
  <c r="H13" i="5" s="1"/>
  <c r="BL57" i="4"/>
  <c r="P13" i="5" s="1"/>
  <c r="DH57" i="4"/>
  <c r="AB13" i="5" s="1"/>
  <c r="AF71" i="4"/>
  <c r="I8" i="5" s="1"/>
  <c r="BL71" i="4"/>
  <c r="Q8" i="5" s="1"/>
  <c r="DH71" i="4"/>
  <c r="AC8" i="5" s="1"/>
  <c r="CZ76" i="4"/>
  <c r="AA10" i="5" s="1"/>
  <c r="AF78" i="4"/>
  <c r="I11" i="5" s="1"/>
  <c r="BL78" i="4"/>
  <c r="Q11" i="5" s="1"/>
  <c r="DH78" i="4"/>
  <c r="AC11" i="5" s="1"/>
  <c r="P82" i="4"/>
  <c r="E12" i="5" s="1"/>
  <c r="AV82" i="4"/>
  <c r="M12" i="5" s="1"/>
  <c r="CR82" i="4"/>
  <c r="Y12" i="5" s="1"/>
  <c r="IV76" i="4"/>
  <c r="HP76" i="4"/>
  <c r="JL57" i="4"/>
  <c r="JD55" i="4"/>
  <c r="HX55" i="4"/>
  <c r="JD50" i="4"/>
  <c r="HX50" i="4"/>
  <c r="JL45" i="4"/>
  <c r="IF45" i="4"/>
  <c r="GZ45" i="4"/>
  <c r="JD40" i="4"/>
  <c r="HX40" i="4"/>
  <c r="HP40" i="4"/>
  <c r="JL25" i="4"/>
  <c r="IF25" i="4"/>
  <c r="GZ25" i="4"/>
  <c r="IV25" i="4"/>
  <c r="HP25" i="4"/>
  <c r="JT21" i="4"/>
  <c r="HH17" i="4"/>
  <c r="GZ13" i="4"/>
  <c r="IN10" i="4"/>
  <c r="HH10" i="4"/>
  <c r="X8" i="4"/>
  <c r="F7" i="5" s="1"/>
  <c r="CZ8" i="4"/>
  <c r="Z7" i="5" s="1"/>
  <c r="P10" i="4"/>
  <c r="D8" i="5" s="1"/>
  <c r="AF13" i="4"/>
  <c r="H9" i="5" s="1"/>
  <c r="BL13" i="4"/>
  <c r="P9" i="5" s="1"/>
  <c r="DH13" i="4"/>
  <c r="AB9" i="5" s="1"/>
  <c r="AN17" i="4"/>
  <c r="J11" i="5" s="1"/>
  <c r="H25" i="4"/>
  <c r="B15" i="5" s="1"/>
  <c r="AN25" i="4"/>
  <c r="J15" i="5" s="1"/>
  <c r="J14" i="5" s="1"/>
  <c r="BT25" i="4"/>
  <c r="R15" i="5" s="1"/>
  <c r="R14" i="5" s="1"/>
  <c r="DP25" i="4"/>
  <c r="AD15" i="5" s="1"/>
  <c r="AD14" i="5" s="1"/>
  <c r="X25" i="4"/>
  <c r="F15" i="5" s="1"/>
  <c r="F14" i="5" s="1"/>
  <c r="BD25" i="4"/>
  <c r="N15" i="5" s="1"/>
  <c r="N14" i="5" s="1"/>
  <c r="CZ25" i="4"/>
  <c r="Z15" i="5" s="1"/>
  <c r="Z14" i="5" s="1"/>
  <c r="H31" i="4"/>
  <c r="B20" i="5" s="1"/>
  <c r="AN31" i="4"/>
  <c r="J20" i="5" s="1"/>
  <c r="BT31" i="4"/>
  <c r="R20" i="5" s="1"/>
  <c r="DP31" i="4"/>
  <c r="AD20" i="5" s="1"/>
  <c r="BL31" i="4"/>
  <c r="P20" i="5" s="1"/>
  <c r="X31" i="4"/>
  <c r="F20" i="5" s="1"/>
  <c r="H35" i="4"/>
  <c r="B21" i="5" s="1"/>
  <c r="AN35" i="4"/>
  <c r="J21" i="5" s="1"/>
  <c r="BT35" i="4"/>
  <c r="R21" i="5" s="1"/>
  <c r="DP35" i="4"/>
  <c r="AD21" i="5" s="1"/>
  <c r="X40" i="4"/>
  <c r="F23" i="5" s="1"/>
  <c r="BD40" i="4"/>
  <c r="N23" i="5" s="1"/>
  <c r="CZ40" i="4"/>
  <c r="Z23" i="5" s="1"/>
  <c r="P40" i="4"/>
  <c r="D23" i="5" s="1"/>
  <c r="CR40" i="4"/>
  <c r="X23" i="5" s="1"/>
  <c r="AF45" i="4"/>
  <c r="H24" i="5" s="1"/>
  <c r="BL45" i="4"/>
  <c r="P24" i="5" s="1"/>
  <c r="DH45" i="4"/>
  <c r="AB24" i="5" s="1"/>
  <c r="X74" i="4"/>
  <c r="G9" i="5" s="1"/>
  <c r="BD74" i="4"/>
  <c r="O9" i="5" s="1"/>
  <c r="CZ74" i="4"/>
  <c r="AA9" i="5" s="1"/>
  <c r="H74" i="4"/>
  <c r="C9" i="5" s="1"/>
  <c r="AN74" i="4"/>
  <c r="K9" i="5" s="1"/>
  <c r="BT74" i="4"/>
  <c r="S9" i="5" s="1"/>
  <c r="DP74" i="4"/>
  <c r="AE9" i="5" s="1"/>
  <c r="AF76" i="4"/>
  <c r="I10" i="5" s="1"/>
  <c r="BD82" i="4"/>
  <c r="O12" i="5" s="1"/>
  <c r="CR92" i="4"/>
  <c r="Y20" i="5" s="1"/>
  <c r="BD113" i="4"/>
  <c r="O27" i="5" s="1"/>
  <c r="BD116" i="4"/>
  <c r="O28" i="5" s="1"/>
  <c r="EN111" i="4"/>
  <c r="AK26" i="5" s="1"/>
  <c r="P86" i="4"/>
  <c r="E15" i="5" s="1"/>
  <c r="E14" i="5" s="1"/>
  <c r="AV86" i="4"/>
  <c r="M15" i="5" s="1"/>
  <c r="M14" i="5" s="1"/>
  <c r="CR86" i="4"/>
  <c r="Y15" i="5" s="1"/>
  <c r="Y14" i="5" s="1"/>
  <c r="X96" i="4"/>
  <c r="G21" i="5" s="1"/>
  <c r="BD96" i="4"/>
  <c r="O21" i="5" s="1"/>
  <c r="CZ96" i="4"/>
  <c r="AA21" i="5" s="1"/>
  <c r="P106" i="4"/>
  <c r="E24" i="5" s="1"/>
  <c r="AV106" i="4"/>
  <c r="M24" i="5" s="1"/>
  <c r="CR106" i="4"/>
  <c r="Y24" i="5" s="1"/>
  <c r="H106" i="4"/>
  <c r="C24" i="5" s="1"/>
  <c r="BT106" i="4"/>
  <c r="S24" i="5" s="1"/>
  <c r="P111" i="4"/>
  <c r="E26" i="5" s="1"/>
  <c r="AV111" i="4"/>
  <c r="M26" i="5" s="1"/>
  <c r="CR111" i="4"/>
  <c r="Y26" i="5" s="1"/>
  <c r="P116" i="4"/>
  <c r="E28" i="5" s="1"/>
  <c r="CR116" i="4"/>
  <c r="Y28" i="5" s="1"/>
  <c r="GR25" i="4"/>
  <c r="AX15" i="5" s="1"/>
  <c r="DX8" i="4"/>
  <c r="AF7" i="5" s="1"/>
  <c r="DX15" i="4"/>
  <c r="AF10" i="5" s="1"/>
  <c r="DX21" i="4"/>
  <c r="AF12" i="5" s="1"/>
  <c r="DX25" i="4"/>
  <c r="AF15" i="5" s="1"/>
  <c r="AF14" i="5" s="1"/>
  <c r="DX31" i="4"/>
  <c r="AF20" i="5" s="1"/>
  <c r="DX35" i="4"/>
  <c r="AF21" i="5" s="1"/>
  <c r="DX71" i="4"/>
  <c r="AG8" i="5" s="1"/>
  <c r="DX101" i="4"/>
  <c r="AG23" i="5" s="1"/>
  <c r="DX106" i="4"/>
  <c r="AG24" i="5" s="1"/>
  <c r="DX118" i="4"/>
  <c r="AG13" i="5" s="1"/>
  <c r="EF10" i="4"/>
  <c r="AH8" i="5" s="1"/>
  <c r="EF17" i="4"/>
  <c r="AH11" i="5" s="1"/>
  <c r="EF40" i="4"/>
  <c r="AH23" i="5" s="1"/>
  <c r="EF69" i="4"/>
  <c r="AI7" i="5" s="1"/>
  <c r="EF82" i="4"/>
  <c r="AI12" i="5" s="1"/>
  <c r="EF86" i="4"/>
  <c r="AI15" i="5" s="1"/>
  <c r="AI14" i="5" s="1"/>
  <c r="EF92" i="4"/>
  <c r="AI20" i="5" s="1"/>
  <c r="EF96" i="4"/>
  <c r="AI21" i="5" s="1"/>
  <c r="EF116" i="4"/>
  <c r="AI28" i="5" s="1"/>
  <c r="EN8" i="4"/>
  <c r="AJ7" i="5" s="1"/>
  <c r="EN15" i="4"/>
  <c r="AJ10" i="5" s="1"/>
  <c r="EN21" i="4"/>
  <c r="AJ12" i="5" s="1"/>
  <c r="EN25" i="4"/>
  <c r="AJ15" i="5" s="1"/>
  <c r="AJ14" i="5" s="1"/>
  <c r="EN31" i="4"/>
  <c r="AJ20" i="5" s="1"/>
  <c r="EN35" i="4"/>
  <c r="AJ21" i="5" s="1"/>
  <c r="EN71" i="4"/>
  <c r="AK8" i="5" s="1"/>
  <c r="EN101" i="4"/>
  <c r="AK23" i="5" s="1"/>
  <c r="EN106" i="4"/>
  <c r="AK24" i="5" s="1"/>
  <c r="EN113" i="4"/>
  <c r="AK27" i="5" s="1"/>
  <c r="EV13" i="4"/>
  <c r="AL9" i="5" s="1"/>
  <c r="EV71" i="4"/>
  <c r="AM8" i="5" s="1"/>
  <c r="EV101" i="4"/>
  <c r="AM23" i="5" s="1"/>
  <c r="EV106" i="4"/>
  <c r="AM24" i="5" s="1"/>
  <c r="EV113" i="4"/>
  <c r="AM27" i="5" s="1"/>
  <c r="FD13" i="4"/>
  <c r="AN9" i="5" s="1"/>
  <c r="FD50" i="4"/>
  <c r="AN26" i="5" s="1"/>
  <c r="FD74" i="4"/>
  <c r="AO9" i="5" s="1"/>
  <c r="FD118" i="4"/>
  <c r="AO13" i="5" s="1"/>
  <c r="FL50" i="4"/>
  <c r="AP26" i="5" s="1"/>
  <c r="FL111" i="4"/>
  <c r="AQ26" i="5" s="1"/>
  <c r="FT8" i="4"/>
  <c r="AR7" i="5" s="1"/>
  <c r="FT13" i="4"/>
  <c r="AR9" i="5" s="1"/>
  <c r="FT21" i="4"/>
  <c r="AR12" i="5" s="1"/>
  <c r="FT25" i="4"/>
  <c r="AR15" i="5" s="1"/>
  <c r="AR14" i="5" s="1"/>
  <c r="FT31" i="4"/>
  <c r="AR20" i="5" s="1"/>
  <c r="FT35" i="4"/>
  <c r="AR21" i="5" s="1"/>
  <c r="FT78" i="4"/>
  <c r="AS11" i="5" s="1"/>
  <c r="FT101" i="4"/>
  <c r="AS23" i="5" s="1"/>
  <c r="GB10" i="4"/>
  <c r="AT8" i="5" s="1"/>
  <c r="GB40" i="4"/>
  <c r="AT23" i="5" s="1"/>
  <c r="GB45" i="4"/>
  <c r="AT24" i="5" s="1"/>
  <c r="GB57" i="4"/>
  <c r="AT13" i="5" s="1"/>
  <c r="GB69" i="4"/>
  <c r="AU7" i="5" s="1"/>
  <c r="GB76" i="4"/>
  <c r="AU10" i="5" s="1"/>
  <c r="GB82" i="4"/>
  <c r="AU12" i="5" s="1"/>
  <c r="GB86" i="4"/>
  <c r="AU15" i="5" s="1"/>
  <c r="AU14" i="5" s="1"/>
  <c r="GB92" i="4"/>
  <c r="AU20" i="5" s="1"/>
  <c r="GB96" i="4"/>
  <c r="AU21" i="5" s="1"/>
  <c r="H96" i="4"/>
  <c r="C21" i="5" s="1"/>
  <c r="AN96" i="4"/>
  <c r="K21" i="5" s="1"/>
  <c r="BT96" i="4"/>
  <c r="S21" i="5" s="1"/>
  <c r="DP96" i="4"/>
  <c r="AE21" i="5" s="1"/>
  <c r="X101" i="4"/>
  <c r="G23" i="5" s="1"/>
  <c r="P101" i="4"/>
  <c r="E23" i="5" s="1"/>
  <c r="AV101" i="4"/>
  <c r="M23" i="5" s="1"/>
  <c r="CR101" i="4"/>
  <c r="Y23" i="5" s="1"/>
  <c r="AF106" i="4"/>
  <c r="I24" i="5" s="1"/>
  <c r="BL106" i="4"/>
  <c r="Q24" i="5" s="1"/>
  <c r="DH106" i="4"/>
  <c r="AC24" i="5" s="1"/>
  <c r="GR57" i="4"/>
  <c r="AX13" i="5" s="1"/>
  <c r="GR50" i="4"/>
  <c r="AX26" i="5" s="1"/>
  <c r="DX40" i="4"/>
  <c r="AF23" i="5" s="1"/>
  <c r="DX45" i="4"/>
  <c r="AF24" i="5" s="1"/>
  <c r="DX76" i="4"/>
  <c r="AG10" i="5" s="1"/>
  <c r="DX82" i="4"/>
  <c r="AG12" i="5" s="1"/>
  <c r="DX86" i="4"/>
  <c r="AG15" i="5" s="1"/>
  <c r="AG14" i="5" s="1"/>
  <c r="DX92" i="4"/>
  <c r="AG20" i="5" s="1"/>
  <c r="DX96" i="4"/>
  <c r="AG21" i="5" s="1"/>
  <c r="EF21" i="4"/>
  <c r="AH12" i="5" s="1"/>
  <c r="EF25" i="4"/>
  <c r="AH15" i="5" s="1"/>
  <c r="AH14" i="5" s="1"/>
  <c r="EF31" i="4"/>
  <c r="AH20" i="5" s="1"/>
  <c r="EF35" i="4"/>
  <c r="AH21" i="5" s="1"/>
  <c r="EF74" i="4"/>
  <c r="AI9" i="5" s="1"/>
  <c r="EF101" i="4"/>
  <c r="AI23" i="5" s="1"/>
  <c r="EN40" i="4"/>
  <c r="AJ23" i="5" s="1"/>
  <c r="EN45" i="4"/>
  <c r="AJ24" i="5" s="1"/>
  <c r="EN76" i="4"/>
  <c r="AK10" i="5" s="1"/>
  <c r="EN82" i="4"/>
  <c r="AK12" i="5" s="1"/>
  <c r="EN86" i="4"/>
  <c r="AK15" i="5" s="1"/>
  <c r="AK14" i="5" s="1"/>
  <c r="EN92" i="4"/>
  <c r="AK20" i="5" s="1"/>
  <c r="EN96" i="4"/>
  <c r="AK21" i="5" s="1"/>
  <c r="EV40" i="4"/>
  <c r="AL23" i="5" s="1"/>
  <c r="EV45" i="4"/>
  <c r="AL24" i="5" s="1"/>
  <c r="EV76" i="4"/>
  <c r="AM10" i="5" s="1"/>
  <c r="EV82" i="4"/>
  <c r="AM12" i="5" s="1"/>
  <c r="EV86" i="4"/>
  <c r="AM15" i="5" s="1"/>
  <c r="AM14" i="5" s="1"/>
  <c r="EV92" i="4"/>
  <c r="AM20" i="5" s="1"/>
  <c r="EV96" i="4"/>
  <c r="AM21" i="5" s="1"/>
  <c r="FD17" i="4"/>
  <c r="AN11" i="5" s="1"/>
  <c r="FD78" i="4"/>
  <c r="AO11" i="5" s="1"/>
  <c r="FD106" i="4"/>
  <c r="AO24" i="5" s="1"/>
  <c r="FT40" i="4"/>
  <c r="AR23" i="5" s="1"/>
  <c r="FT82" i="4"/>
  <c r="AS12" i="5" s="1"/>
  <c r="FT86" i="4"/>
  <c r="AS15" i="5" s="1"/>
  <c r="AS14" i="5" s="1"/>
  <c r="FT92" i="4"/>
  <c r="AS20" i="5" s="1"/>
  <c r="FT96" i="4"/>
  <c r="AS21" i="5" s="1"/>
  <c r="FT116" i="4"/>
  <c r="AS28" i="5" s="1"/>
  <c r="GB15" i="4"/>
  <c r="AT10" i="5" s="1"/>
  <c r="GB21" i="4"/>
  <c r="AT12" i="5" s="1"/>
  <c r="GB25" i="4"/>
  <c r="AT15" i="5" s="1"/>
  <c r="AT14" i="5" s="1"/>
  <c r="GB31" i="4"/>
  <c r="AT20" i="5" s="1"/>
  <c r="GB35" i="4"/>
  <c r="AT21" i="5" s="1"/>
  <c r="GB101" i="4"/>
  <c r="AU23" i="5" s="1"/>
  <c r="GB106" i="4"/>
  <c r="AU24" i="5" s="1"/>
  <c r="H118" i="4"/>
  <c r="C13" i="5" s="1"/>
  <c r="AN118" i="4"/>
  <c r="K13" i="5" s="1"/>
  <c r="BT118" i="4"/>
  <c r="S13" i="5" s="1"/>
  <c r="DP118" i="4"/>
  <c r="AE13" i="5" s="1"/>
  <c r="DX55" i="4"/>
  <c r="AF28" i="5" s="1"/>
  <c r="DX74" i="4"/>
  <c r="AG9" i="5" s="1"/>
  <c r="DX111" i="4"/>
  <c r="AG26" i="5" s="1"/>
  <c r="EF50" i="4"/>
  <c r="AH26" i="5" s="1"/>
  <c r="EF71" i="4"/>
  <c r="AI8" i="5" s="1"/>
  <c r="EF106" i="4"/>
  <c r="AI24" i="5" s="1"/>
  <c r="EF118" i="4"/>
  <c r="AI13" i="5" s="1"/>
  <c r="EN55" i="4"/>
  <c r="AJ28" i="5" s="1"/>
  <c r="EN74" i="4"/>
  <c r="AK9" i="5" s="1"/>
  <c r="EV15" i="4"/>
  <c r="AL10" i="5" s="1"/>
  <c r="EV21" i="4"/>
  <c r="AL12" i="5" s="1"/>
  <c r="EV25" i="4"/>
  <c r="AL15" i="5" s="1"/>
  <c r="AL14" i="5" s="1"/>
  <c r="EV31" i="4"/>
  <c r="AL20" i="5" s="1"/>
  <c r="EV55" i="4"/>
  <c r="AL28" i="5" s="1"/>
  <c r="EV74" i="4"/>
  <c r="AM9" i="5" s="1"/>
  <c r="FD21" i="4"/>
  <c r="AN12" i="5" s="1"/>
  <c r="FD25" i="4"/>
  <c r="AN15" i="5" s="1"/>
  <c r="AN14" i="5" s="1"/>
  <c r="FD31" i="4"/>
  <c r="AN20" i="5" s="1"/>
  <c r="FD35" i="4"/>
  <c r="AN21" i="5" s="1"/>
  <c r="FD82" i="4"/>
  <c r="AO12" i="5" s="1"/>
  <c r="FD86" i="4"/>
  <c r="AO15" i="5" s="1"/>
  <c r="AO14" i="5" s="1"/>
  <c r="FD92" i="4"/>
  <c r="AO20" i="5" s="1"/>
  <c r="FD96" i="4"/>
  <c r="AO21" i="5" s="1"/>
  <c r="FL13" i="4"/>
  <c r="AP9" i="5" s="1"/>
  <c r="FL21" i="4"/>
  <c r="AP12" i="5" s="1"/>
  <c r="FL25" i="4"/>
  <c r="AP15" i="5" s="1"/>
  <c r="AP14" i="5" s="1"/>
  <c r="FL31" i="4"/>
  <c r="AP20" i="5" s="1"/>
  <c r="FL35" i="4"/>
  <c r="AP21" i="5" s="1"/>
  <c r="FL55" i="4"/>
  <c r="AP28" i="5" s="1"/>
  <c r="FL74" i="4"/>
  <c r="AQ9" i="5" s="1"/>
  <c r="FL82" i="4"/>
  <c r="AQ12" i="5" s="1"/>
  <c r="FL86" i="4"/>
  <c r="AQ15" i="5" s="1"/>
  <c r="AQ14" i="5" s="1"/>
  <c r="FL92" i="4"/>
  <c r="AQ20" i="5" s="1"/>
  <c r="FL96" i="4"/>
  <c r="AQ21" i="5" s="1"/>
  <c r="FL116" i="4"/>
  <c r="AQ28" i="5" s="1"/>
  <c r="FT10" i="4"/>
  <c r="AR8" i="5" s="1"/>
  <c r="FT45" i="4"/>
  <c r="AR24" i="5" s="1"/>
  <c r="FT55" i="4"/>
  <c r="AR28" i="5" s="1"/>
  <c r="FT111" i="4"/>
  <c r="AS26" i="5" s="1"/>
  <c r="GB13" i="4"/>
  <c r="AT9" i="5" s="1"/>
  <c r="GB50" i="4"/>
  <c r="AT26" i="5" s="1"/>
  <c r="GB116" i="4"/>
  <c r="AU28" i="5" s="1"/>
  <c r="GR97" i="4"/>
  <c r="GR107" i="4"/>
  <c r="H57" i="4"/>
  <c r="B13" i="5" s="1"/>
  <c r="AN57" i="4"/>
  <c r="J13" i="5" s="1"/>
  <c r="BT57" i="4"/>
  <c r="R13" i="5" s="1"/>
  <c r="DP57" i="4"/>
  <c r="AD13" i="5" s="1"/>
  <c r="AF111" i="4"/>
  <c r="I26" i="5" s="1"/>
  <c r="BL111" i="4"/>
  <c r="Q26" i="5" s="1"/>
  <c r="DH111" i="4"/>
  <c r="AC26" i="5" s="1"/>
  <c r="P35" i="4"/>
  <c r="D21" i="5" s="1"/>
  <c r="AV35" i="4"/>
  <c r="L21" i="5" s="1"/>
  <c r="CR35" i="4"/>
  <c r="X21" i="5" s="1"/>
  <c r="AF50" i="4"/>
  <c r="H26" i="5" s="1"/>
  <c r="BL50" i="4"/>
  <c r="P26" i="5" s="1"/>
  <c r="DH50" i="4"/>
  <c r="AB26" i="5" s="1"/>
  <c r="X57" i="4"/>
  <c r="F13" i="5" s="1"/>
  <c r="BD57" i="4"/>
  <c r="N13" i="5" s="1"/>
  <c r="CZ57" i="4"/>
  <c r="Z13" i="5" s="1"/>
  <c r="X71" i="4"/>
  <c r="G8" i="5" s="1"/>
  <c r="BD71" i="4"/>
  <c r="O8" i="5" s="1"/>
  <c r="CZ71" i="4"/>
  <c r="AA8" i="5" s="1"/>
  <c r="X86" i="4"/>
  <c r="G15" i="5" s="1"/>
  <c r="G14" i="5" s="1"/>
  <c r="BD86" i="4"/>
  <c r="O15" i="5" s="1"/>
  <c r="O14" i="5" s="1"/>
  <c r="CZ86" i="4"/>
  <c r="AA15" i="5" s="1"/>
  <c r="AA14" i="5" s="1"/>
  <c r="P96" i="4"/>
  <c r="E21" i="5" s="1"/>
  <c r="AV96" i="4"/>
  <c r="M21" i="5" s="1"/>
  <c r="CR96" i="4"/>
  <c r="Y21" i="5" s="1"/>
  <c r="AF96" i="4"/>
  <c r="I21" i="5" s="1"/>
  <c r="BL96" i="4"/>
  <c r="Q21" i="5" s="1"/>
  <c r="DH96" i="4"/>
  <c r="AC21" i="5" s="1"/>
  <c r="X118" i="4"/>
  <c r="G13" i="5" s="1"/>
  <c r="BD118" i="4"/>
  <c r="O13" i="5" s="1"/>
  <c r="CZ118" i="4"/>
  <c r="AA13" i="5" s="1"/>
  <c r="BD31" i="4"/>
  <c r="N20" i="5" s="1"/>
  <c r="CZ31" i="4"/>
  <c r="Z20" i="5" s="1"/>
  <c r="H40" i="4"/>
  <c r="B23" i="5" s="1"/>
  <c r="AN40" i="4"/>
  <c r="J23" i="5" s="1"/>
  <c r="BT40" i="4"/>
  <c r="R23" i="5" s="1"/>
  <c r="DP40" i="4"/>
  <c r="AD23" i="5" s="1"/>
  <c r="H50" i="4"/>
  <c r="B26" i="5" s="1"/>
  <c r="AN50" i="4"/>
  <c r="J26" i="5" s="1"/>
  <c r="BT50" i="4"/>
  <c r="R26" i="5" s="1"/>
  <c r="DP50" i="4"/>
  <c r="AD26" i="5" s="1"/>
  <c r="H55" i="4"/>
  <c r="B28" i="5" s="1"/>
  <c r="AN55" i="4"/>
  <c r="J28" i="5" s="1"/>
  <c r="BT55" i="4"/>
  <c r="R28" i="5" s="1"/>
  <c r="DP55" i="4"/>
  <c r="AD28" i="5" s="1"/>
  <c r="P74" i="4"/>
  <c r="E9" i="5" s="1"/>
  <c r="AV74" i="4"/>
  <c r="M9" i="5" s="1"/>
  <c r="CR74" i="4"/>
  <c r="Y9" i="5" s="1"/>
  <c r="AF82" i="4"/>
  <c r="I12" i="5" s="1"/>
  <c r="BL82" i="4"/>
  <c r="Q12" i="5" s="1"/>
  <c r="DH82" i="4"/>
  <c r="AC12" i="5" s="1"/>
  <c r="H92" i="4"/>
  <c r="C20" i="5" s="1"/>
  <c r="AN92" i="4"/>
  <c r="K20" i="5" s="1"/>
  <c r="BT92" i="4"/>
  <c r="S20" i="5" s="1"/>
  <c r="DP92" i="4"/>
  <c r="AE20" i="5" s="1"/>
  <c r="H101" i="4"/>
  <c r="C23" i="5" s="1"/>
  <c r="AN101" i="4"/>
  <c r="K23" i="5" s="1"/>
  <c r="BT101" i="4"/>
  <c r="S23" i="5" s="1"/>
  <c r="DP101" i="4"/>
  <c r="AE23" i="5" s="1"/>
  <c r="H111" i="4"/>
  <c r="C26" i="5" s="1"/>
  <c r="AN111" i="4"/>
  <c r="K26" i="5" s="1"/>
  <c r="BT111" i="4"/>
  <c r="S26" i="5" s="1"/>
  <c r="DP111" i="4"/>
  <c r="AE26" i="5" s="1"/>
  <c r="H116" i="4"/>
  <c r="C28" i="5" s="1"/>
  <c r="AN116" i="4"/>
  <c r="K28" i="5" s="1"/>
  <c r="BT116" i="4"/>
  <c r="S28" i="5" s="1"/>
  <c r="DP116" i="4"/>
  <c r="AE28" i="5" s="1"/>
  <c r="GR118" i="4"/>
  <c r="GR87" i="4"/>
  <c r="GR86" i="4"/>
  <c r="GR116" i="4"/>
  <c r="GR78" i="4"/>
  <c r="GR101" i="4"/>
  <c r="GR111" i="4"/>
  <c r="GR74" i="4"/>
  <c r="GR96" i="4"/>
  <c r="GR76" i="4"/>
  <c r="GR113" i="4"/>
  <c r="GR88" i="4"/>
  <c r="GR71" i="4"/>
  <c r="HX45" i="4"/>
  <c r="IF40" i="4"/>
  <c r="JL96" i="4"/>
  <c r="IF96" i="4"/>
  <c r="GZ96" i="4"/>
  <c r="JD82" i="4"/>
  <c r="HX82" i="4"/>
  <c r="GR82" i="4"/>
  <c r="GZ76" i="4"/>
  <c r="JL74" i="4"/>
  <c r="IF74" i="4"/>
  <c r="GZ74" i="4"/>
  <c r="JL10" i="4"/>
  <c r="IF10" i="4"/>
  <c r="GZ10" i="4"/>
  <c r="JD45" i="4"/>
  <c r="GR119" i="4"/>
  <c r="JD106" i="4"/>
  <c r="HX106" i="4"/>
  <c r="GR106" i="4"/>
  <c r="JL86" i="4"/>
  <c r="IF86" i="4"/>
  <c r="GZ86" i="4"/>
  <c r="JL55" i="4"/>
  <c r="IF55" i="4"/>
  <c r="JL52" i="4"/>
  <c r="IF52" i="4"/>
  <c r="GZ52" i="4"/>
  <c r="JL13" i="4"/>
  <c r="IF13" i="4"/>
  <c r="JD71" i="4"/>
  <c r="GR45" i="4"/>
  <c r="AX24" i="5" s="1"/>
  <c r="JT111" i="4"/>
  <c r="IN111" i="4"/>
  <c r="HH111" i="4"/>
  <c r="JD92" i="4"/>
  <c r="HX92" i="4"/>
  <c r="GR92" i="4"/>
  <c r="GR69" i="4"/>
  <c r="EC112" i="5" l="1"/>
  <c r="EB112" i="5"/>
  <c r="DX112" i="5"/>
  <c r="DY112" i="5"/>
  <c r="DZ112" i="5"/>
  <c r="EA112" i="5"/>
  <c r="DZ107" i="5"/>
  <c r="EB107" i="5"/>
  <c r="EC107" i="5"/>
  <c r="DX107" i="5"/>
  <c r="EA107" i="5"/>
  <c r="DY107" i="5"/>
  <c r="Z6" i="5"/>
  <c r="EC93" i="5"/>
  <c r="EA93" i="5"/>
  <c r="EB93" i="5"/>
  <c r="DZ93" i="5"/>
  <c r="DX93" i="5"/>
  <c r="DY93" i="5"/>
  <c r="EA94" i="5"/>
  <c r="DZ94" i="5"/>
  <c r="DX94" i="5"/>
  <c r="EC94" i="5"/>
  <c r="EB94" i="5"/>
  <c r="DY94" i="5"/>
  <c r="EA123" i="5"/>
  <c r="DZ123" i="5"/>
  <c r="EC123" i="5"/>
  <c r="EB123" i="5"/>
  <c r="DX123" i="5"/>
  <c r="DZ122" i="5"/>
  <c r="EA122" i="5"/>
  <c r="EB122" i="5"/>
  <c r="EC122" i="5"/>
  <c r="DX122" i="5"/>
  <c r="DY122" i="5"/>
  <c r="R6" i="5"/>
  <c r="AK19" i="5"/>
  <c r="B14" i="5"/>
  <c r="EC99" i="5"/>
  <c r="DY99" i="5"/>
  <c r="DZ99" i="5"/>
  <c r="EB99" i="5"/>
  <c r="DX99" i="5"/>
  <c r="EA99" i="5"/>
  <c r="EC108" i="5"/>
  <c r="EB108" i="5"/>
  <c r="EA108" i="5"/>
  <c r="DZ108" i="5"/>
  <c r="DX108" i="5"/>
  <c r="DY108" i="5"/>
  <c r="AW6" i="5"/>
  <c r="CG6" i="5"/>
  <c r="CI19" i="5"/>
  <c r="CL19" i="5"/>
  <c r="DY140" i="5"/>
  <c r="DX140" i="5"/>
  <c r="EC91" i="5"/>
  <c r="DX91" i="5"/>
  <c r="EB91" i="5"/>
  <c r="DY91" i="5"/>
  <c r="EA91" i="5"/>
  <c r="DZ91" i="5"/>
  <c r="AM19" i="5"/>
  <c r="DZ104" i="5"/>
  <c r="EA104" i="5"/>
  <c r="EB104" i="5"/>
  <c r="EC104" i="5"/>
  <c r="DX104" i="5"/>
  <c r="DY104" i="5"/>
  <c r="V74" i="5"/>
  <c r="EC125" i="5"/>
  <c r="EB125" i="5"/>
  <c r="EA125" i="5"/>
  <c r="DZ125" i="5"/>
  <c r="DY125" i="5"/>
  <c r="DX125" i="5"/>
  <c r="DZ129" i="5"/>
  <c r="EC129" i="5"/>
  <c r="EA129" i="5"/>
  <c r="EB129" i="5"/>
  <c r="DX129" i="5"/>
  <c r="DY129" i="5"/>
  <c r="EB110" i="5"/>
  <c r="EC110" i="5"/>
  <c r="DY110" i="5"/>
  <c r="DZ110" i="5"/>
  <c r="DX110" i="5"/>
  <c r="EA110" i="5"/>
  <c r="AP98" i="5"/>
  <c r="AM98" i="5"/>
  <c r="AC6" i="5"/>
  <c r="EA137" i="5"/>
  <c r="EC137" i="5"/>
  <c r="DZ137" i="5"/>
  <c r="DX137" i="5"/>
  <c r="EB137" i="5"/>
  <c r="DY137" i="5"/>
  <c r="EC139" i="5"/>
  <c r="EA139" i="5"/>
  <c r="DX139" i="5"/>
  <c r="EB139" i="5"/>
  <c r="DZ139" i="5"/>
  <c r="DY139" i="5"/>
  <c r="EB95" i="5"/>
  <c r="DZ95" i="5"/>
  <c r="DX95" i="5"/>
  <c r="DY95" i="5"/>
  <c r="EC95" i="5"/>
  <c r="EA95" i="5"/>
  <c r="DZ120" i="5"/>
  <c r="EC120" i="5"/>
  <c r="EB120" i="5"/>
  <c r="EA120" i="5"/>
  <c r="DX120" i="5"/>
  <c r="DY120" i="5"/>
  <c r="DX97" i="5"/>
  <c r="EC97" i="5"/>
  <c r="DY97" i="5"/>
  <c r="DZ97" i="5"/>
  <c r="EB97" i="5"/>
  <c r="EA97" i="5"/>
  <c r="DZ96" i="5"/>
  <c r="EB96" i="5"/>
  <c r="EA96" i="5"/>
  <c r="DY96" i="5"/>
  <c r="DX96" i="5"/>
  <c r="EC96" i="5"/>
  <c r="DZ111" i="5"/>
  <c r="DX111" i="5"/>
  <c r="DY111" i="5"/>
  <c r="EA111" i="5"/>
  <c r="EC111" i="5"/>
  <c r="EB111" i="5"/>
  <c r="EA130" i="5"/>
  <c r="DZ130" i="5"/>
  <c r="DY130" i="5"/>
  <c r="DX130" i="5"/>
  <c r="AQ98" i="5"/>
  <c r="F19" i="5"/>
  <c r="AM6" i="5"/>
  <c r="AV19" i="5"/>
  <c r="CL6" i="5"/>
  <c r="DY141" i="5"/>
  <c r="DX141" i="5"/>
  <c r="EC141" i="5"/>
  <c r="EB141" i="5"/>
  <c r="DY92" i="5"/>
  <c r="EA92" i="5"/>
  <c r="DX92" i="5"/>
  <c r="EC92" i="5"/>
  <c r="EB92" i="5"/>
  <c r="DZ92" i="5"/>
  <c r="DZ105" i="5"/>
  <c r="EB105" i="5"/>
  <c r="EC105" i="5"/>
  <c r="EA105" i="5"/>
  <c r="DY105" i="5"/>
  <c r="DX105" i="5"/>
  <c r="CN6" i="5"/>
  <c r="EA136" i="5"/>
  <c r="DX136" i="5"/>
  <c r="EB136" i="5"/>
  <c r="EC136" i="5"/>
  <c r="J46" i="5"/>
  <c r="C46" i="5"/>
  <c r="AA46" i="5"/>
  <c r="G46" i="5"/>
  <c r="B33" i="5"/>
  <c r="AU119" i="5" s="1"/>
  <c r="K46" i="5"/>
  <c r="B41" i="5"/>
  <c r="AD46" i="5"/>
  <c r="C33" i="5"/>
  <c r="M33" i="5"/>
  <c r="E33" i="5"/>
  <c r="G41" i="5"/>
  <c r="Q33" i="5"/>
  <c r="B46" i="5"/>
  <c r="DA119" i="5"/>
  <c r="L119" i="5"/>
  <c r="AW119" i="5"/>
  <c r="DW119" i="5"/>
  <c r="DU119" i="5"/>
  <c r="DI119" i="5"/>
  <c r="DN119" i="5"/>
  <c r="DD119" i="5"/>
  <c r="DP119" i="5"/>
  <c r="DC119" i="5"/>
  <c r="CW119" i="5"/>
  <c r="CU119" i="5"/>
  <c r="CS119" i="5"/>
  <c r="CR119" i="5"/>
  <c r="CQ119" i="5"/>
  <c r="CP119" i="5"/>
  <c r="CN119" i="5"/>
  <c r="CM119" i="5"/>
  <c r="CO119" i="5"/>
  <c r="CK119" i="5"/>
  <c r="CG119" i="5"/>
  <c r="AW127" i="5"/>
  <c r="Y127" i="5"/>
  <c r="AS127" i="5"/>
  <c r="U127" i="5"/>
  <c r="CZ127" i="5"/>
  <c r="AP127" i="5"/>
  <c r="W127" i="5"/>
  <c r="DB127" i="5"/>
  <c r="AU127" i="5"/>
  <c r="AF127" i="5"/>
  <c r="L127" i="5"/>
  <c r="AT127" i="5"/>
  <c r="DA127" i="5"/>
  <c r="AV127" i="5"/>
  <c r="O127" i="5"/>
  <c r="DF127" i="5"/>
  <c r="T127" i="5"/>
  <c r="AQ127" i="5"/>
  <c r="AR127" i="5"/>
  <c r="AC127" i="5"/>
  <c r="DR127" i="5"/>
  <c r="DV127" i="5"/>
  <c r="DT127" i="5"/>
  <c r="DS127" i="5"/>
  <c r="DW127" i="5"/>
  <c r="DU127" i="5"/>
  <c r="DK127" i="5"/>
  <c r="DI127" i="5"/>
  <c r="DG127" i="5"/>
  <c r="DH127" i="5"/>
  <c r="DL127" i="5"/>
  <c r="DM127" i="5"/>
  <c r="DJ127" i="5"/>
  <c r="DD127" i="5"/>
  <c r="DC127" i="5"/>
  <c r="DO127" i="5"/>
  <c r="DN127" i="5"/>
  <c r="DP127" i="5"/>
  <c r="DQ127" i="5"/>
  <c r="CX127" i="5"/>
  <c r="CY127" i="5"/>
  <c r="CV127" i="5"/>
  <c r="CW127" i="5"/>
  <c r="CU127" i="5"/>
  <c r="CT127" i="5"/>
  <c r="CS127" i="5"/>
  <c r="CQ127" i="5"/>
  <c r="CR127" i="5"/>
  <c r="CP127" i="5"/>
  <c r="CN127" i="5"/>
  <c r="CK127" i="5"/>
  <c r="CL127" i="5"/>
  <c r="CG127" i="5"/>
  <c r="CF127" i="5"/>
  <c r="CH127" i="5"/>
  <c r="CI127" i="5"/>
  <c r="CM127" i="5"/>
  <c r="J127" i="5"/>
  <c r="CO127" i="5"/>
  <c r="CJ127" i="5"/>
  <c r="AA119" i="5"/>
  <c r="C119" i="5"/>
  <c r="V61" i="5"/>
  <c r="V84" i="5"/>
  <c r="K19" i="5"/>
  <c r="AL19" i="5"/>
  <c r="AK98" i="5"/>
  <c r="AG19" i="5"/>
  <c r="AU6" i="5"/>
  <c r="AR6" i="5"/>
  <c r="AJ98" i="5"/>
  <c r="AI19" i="5"/>
  <c r="AF19" i="5"/>
  <c r="P19" i="5"/>
  <c r="N98" i="5"/>
  <c r="F6" i="5"/>
  <c r="H19" i="5"/>
  <c r="Q98" i="5"/>
  <c r="S98" i="5"/>
  <c r="AS6" i="5"/>
  <c r="AP6" i="5"/>
  <c r="G19" i="5"/>
  <c r="E6" i="5"/>
  <c r="AV98" i="5"/>
  <c r="AD6" i="5"/>
  <c r="M133" i="5"/>
  <c r="M46" i="5"/>
  <c r="P120" i="5"/>
  <c r="P33" i="5"/>
  <c r="P119" i="5" s="1"/>
  <c r="R128" i="5"/>
  <c r="R41" i="5"/>
  <c r="R127" i="5" s="1"/>
  <c r="AJ133" i="5"/>
  <c r="AJ46" i="5"/>
  <c r="AK128" i="5"/>
  <c r="AK41" i="5"/>
  <c r="AK127" i="5" s="1"/>
  <c r="R120" i="5"/>
  <c r="R33" i="5"/>
  <c r="R119" i="5" s="1"/>
  <c r="AH128" i="5"/>
  <c r="AH41" i="5"/>
  <c r="AH127" i="5" s="1"/>
  <c r="Z128" i="5"/>
  <c r="Z41" i="5"/>
  <c r="Z127" i="5" s="1"/>
  <c r="X120" i="5"/>
  <c r="X33" i="5"/>
  <c r="X119" i="5" s="1"/>
  <c r="M128" i="5"/>
  <c r="M41" i="5"/>
  <c r="M127" i="5" s="1"/>
  <c r="AD120" i="5"/>
  <c r="AD33" i="5"/>
  <c r="AD119" i="5" s="1"/>
  <c r="CI6" i="5"/>
  <c r="AX6" i="5"/>
  <c r="AE6" i="5"/>
  <c r="J6" i="5"/>
  <c r="AA62" i="5"/>
  <c r="AA6" i="5"/>
  <c r="AV62" i="5"/>
  <c r="AV6" i="5"/>
  <c r="CO62" i="5"/>
  <c r="S33" i="5"/>
  <c r="S119" i="5" s="1"/>
  <c r="S19" i="5"/>
  <c r="AJ19" i="5"/>
  <c r="Z98" i="5"/>
  <c r="AB19" i="5"/>
  <c r="R133" i="5"/>
  <c r="R46" i="5"/>
  <c r="E128" i="5"/>
  <c r="E41" i="5"/>
  <c r="E127" i="5" s="1"/>
  <c r="T61" i="5"/>
  <c r="T84" i="5"/>
  <c r="C19" i="5"/>
  <c r="AA98" i="5"/>
  <c r="AN19" i="5"/>
  <c r="AL98" i="5"/>
  <c r="AG98" i="5"/>
  <c r="AI98" i="5"/>
  <c r="AF98" i="5"/>
  <c r="Y98" i="5"/>
  <c r="Y19" i="5"/>
  <c r="AD19" i="5"/>
  <c r="F98" i="5"/>
  <c r="AB98" i="5"/>
  <c r="I98" i="5"/>
  <c r="L19" i="5"/>
  <c r="K98" i="5"/>
  <c r="H92" i="5"/>
  <c r="O6" i="5"/>
  <c r="H6" i="5"/>
  <c r="CG19" i="5"/>
  <c r="CH19" i="5"/>
  <c r="CN98" i="5"/>
  <c r="D120" i="5"/>
  <c r="D33" i="5"/>
  <c r="D119" i="5" s="1"/>
  <c r="Z133" i="5"/>
  <c r="Z46" i="5"/>
  <c r="AL133" i="5"/>
  <c r="AL46" i="5"/>
  <c r="AO133" i="5"/>
  <c r="AO46" i="5"/>
  <c r="AN128" i="5"/>
  <c r="AN41" i="5"/>
  <c r="AN127" i="5" s="1"/>
  <c r="AD128" i="5"/>
  <c r="AD41" i="5"/>
  <c r="AD127" i="5" s="1"/>
  <c r="AB120" i="5"/>
  <c r="AB33" i="5"/>
  <c r="AB119" i="5" s="1"/>
  <c r="AG120" i="5"/>
  <c r="AG33" i="5"/>
  <c r="AG119" i="5" s="1"/>
  <c r="AN120" i="5"/>
  <c r="AN33" i="5"/>
  <c r="AN119" i="5" s="1"/>
  <c r="CH6" i="5"/>
  <c r="AX19" i="5"/>
  <c r="U61" i="5"/>
  <c r="U84" i="5"/>
  <c r="S6" i="5"/>
  <c r="B6" i="5"/>
  <c r="B91" i="5"/>
  <c r="DV91" i="5"/>
  <c r="AB6" i="5"/>
  <c r="AB90" i="5" s="1"/>
  <c r="AK62" i="5"/>
  <c r="AK6" i="5"/>
  <c r="N127" i="5"/>
  <c r="I127" i="5"/>
  <c r="F127" i="5"/>
  <c r="F119" i="5"/>
  <c r="W74" i="5"/>
  <c r="B98" i="5"/>
  <c r="DR98" i="5"/>
  <c r="DU98" i="5"/>
  <c r="DT98" i="5"/>
  <c r="DS98" i="5"/>
  <c r="DW98" i="5"/>
  <c r="DV98" i="5"/>
  <c r="DM98" i="5"/>
  <c r="DK98" i="5"/>
  <c r="DH98" i="5"/>
  <c r="DG98" i="5"/>
  <c r="DF98" i="5"/>
  <c r="DI98" i="5"/>
  <c r="DL98" i="5"/>
  <c r="DJ98" i="5"/>
  <c r="DN98" i="5"/>
  <c r="DE98" i="5"/>
  <c r="DD98" i="5"/>
  <c r="DB98" i="5"/>
  <c r="CZ98" i="5"/>
  <c r="DA98" i="5"/>
  <c r="DC98" i="5"/>
  <c r="DO98" i="5"/>
  <c r="DP98" i="5"/>
  <c r="DQ98" i="5"/>
  <c r="CW98" i="5"/>
  <c r="CY98" i="5"/>
  <c r="CV98" i="5"/>
  <c r="CX98" i="5"/>
  <c r="CU98" i="5"/>
  <c r="CT98" i="5"/>
  <c r="CS98" i="5"/>
  <c r="CR98" i="5"/>
  <c r="CP98" i="5"/>
  <c r="CQ98" i="5"/>
  <c r="CM98" i="5"/>
  <c r="Q128" i="5"/>
  <c r="Q41" i="5"/>
  <c r="Q127" i="5" s="1"/>
  <c r="AL128" i="5"/>
  <c r="AL41" i="5"/>
  <c r="AL127" i="5" s="1"/>
  <c r="CJ6" i="5"/>
  <c r="CJ90" i="5" s="1"/>
  <c r="L6" i="5"/>
  <c r="L90" i="5" s="1"/>
  <c r="H128" i="5"/>
  <c r="H41" i="5"/>
  <c r="H127" i="5" s="1"/>
  <c r="CL119" i="5"/>
  <c r="G127" i="5"/>
  <c r="W98" i="5"/>
  <c r="Z19" i="5"/>
  <c r="O98" i="5"/>
  <c r="AN98" i="5"/>
  <c r="AT19" i="5"/>
  <c r="AS19" i="5"/>
  <c r="AH19" i="5"/>
  <c r="AU19" i="5"/>
  <c r="AR19" i="5"/>
  <c r="M98" i="5"/>
  <c r="R19" i="5"/>
  <c r="AD98" i="5"/>
  <c r="P98" i="5"/>
  <c r="X98" i="5"/>
  <c r="C98" i="5"/>
  <c r="AC19" i="5"/>
  <c r="AH6" i="5"/>
  <c r="AH90" i="5" s="1"/>
  <c r="M19" i="5"/>
  <c r="G6" i="5"/>
  <c r="G90" i="5" s="1"/>
  <c r="AO6" i="5"/>
  <c r="AO90" i="5" s="1"/>
  <c r="AW19" i="5"/>
  <c r="V78" i="36"/>
  <c r="V77" i="36" s="1"/>
  <c r="CF19" i="5"/>
  <c r="CG98" i="5"/>
  <c r="CI98" i="5"/>
  <c r="CH98" i="5"/>
  <c r="CL98" i="5"/>
  <c r="CM6" i="5"/>
  <c r="AM135" i="5"/>
  <c r="AM46" i="5"/>
  <c r="AA128" i="5"/>
  <c r="AA41" i="5"/>
  <c r="AA127" i="5" s="1"/>
  <c r="AJ128" i="5"/>
  <c r="AJ41" i="5"/>
  <c r="AJ127" i="5" s="1"/>
  <c r="AO128" i="5"/>
  <c r="AO41" i="5"/>
  <c r="AO127" i="5" s="1"/>
  <c r="K120" i="5"/>
  <c r="K33" i="5"/>
  <c r="K119" i="5" s="1"/>
  <c r="AK133" i="5"/>
  <c r="AK46" i="5"/>
  <c r="P128" i="5"/>
  <c r="P41" i="5"/>
  <c r="P127" i="5" s="1"/>
  <c r="AG46" i="5"/>
  <c r="CK98" i="5"/>
  <c r="C6" i="5"/>
  <c r="C91" i="5"/>
  <c r="K8" i="6"/>
  <c r="P6" i="5"/>
  <c r="P90" i="5" s="1"/>
  <c r="CF119" i="5"/>
  <c r="F132" i="5"/>
  <c r="AH46" i="5"/>
  <c r="V98" i="5"/>
  <c r="Q6" i="5"/>
  <c r="Q90" i="5" s="1"/>
  <c r="AC98" i="5"/>
  <c r="D19" i="5"/>
  <c r="CO98" i="5"/>
  <c r="I46" i="5"/>
  <c r="N120" i="5"/>
  <c r="N33" i="5"/>
  <c r="N119" i="5" s="1"/>
  <c r="N19" i="5"/>
  <c r="G98" i="5"/>
  <c r="AO19" i="5"/>
  <c r="AT98" i="5"/>
  <c r="AS98" i="5"/>
  <c r="AH98" i="5"/>
  <c r="AU98" i="5"/>
  <c r="AR98" i="5"/>
  <c r="AJ6" i="5"/>
  <c r="AI6" i="5"/>
  <c r="E98" i="5"/>
  <c r="J19" i="5"/>
  <c r="R98" i="5"/>
  <c r="H98" i="5"/>
  <c r="L98" i="5"/>
  <c r="Y6" i="5"/>
  <c r="Q19" i="5"/>
  <c r="AL6" i="5"/>
  <c r="E19" i="5"/>
  <c r="AW98" i="5"/>
  <c r="V73" i="36"/>
  <c r="V72" i="36" s="1"/>
  <c r="CF14" i="5"/>
  <c r="CF98" i="5" s="1"/>
  <c r="CJ19" i="5"/>
  <c r="S46" i="5"/>
  <c r="S128" i="5"/>
  <c r="S41" i="5"/>
  <c r="S127" i="5" s="1"/>
  <c r="D41" i="5"/>
  <c r="D127" i="5" s="1"/>
  <c r="AE121" i="5"/>
  <c r="AE33" i="5"/>
  <c r="AE119" i="5" s="1"/>
  <c r="AE46" i="5"/>
  <c r="J120" i="5"/>
  <c r="J33" i="5"/>
  <c r="J119" i="5" s="1"/>
  <c r="AL120" i="5"/>
  <c r="AL33" i="5"/>
  <c r="AL119" i="5" s="1"/>
  <c r="V65" i="36"/>
  <c r="CF6" i="5"/>
  <c r="CK6" i="5"/>
  <c r="CK90" i="5" s="1"/>
  <c r="AA95" i="5"/>
  <c r="B95" i="5"/>
  <c r="AQ62" i="5"/>
  <c r="AQ6" i="5"/>
  <c r="AQ90" i="5" s="1"/>
  <c r="AI33" i="5"/>
  <c r="AI119" i="5" s="1"/>
  <c r="I120" i="5"/>
  <c r="I33" i="5"/>
  <c r="I119" i="5" s="1"/>
  <c r="N133" i="5"/>
  <c r="N46" i="5"/>
  <c r="AN6" i="5"/>
  <c r="AN90" i="5" s="1"/>
  <c r="U98" i="5"/>
  <c r="W61" i="5"/>
  <c r="W84" i="5"/>
  <c r="U74" i="5"/>
  <c r="AK33" i="5"/>
  <c r="AK119" i="5" s="1"/>
  <c r="G119" i="5"/>
  <c r="AE98" i="5"/>
  <c r="AM90" i="5"/>
  <c r="O19" i="5"/>
  <c r="AB128" i="5"/>
  <c r="AB41" i="5"/>
  <c r="AB127" i="5" s="1"/>
  <c r="AH120" i="5"/>
  <c r="AH33" i="5"/>
  <c r="AH119" i="5" s="1"/>
  <c r="CJ119" i="5"/>
  <c r="AE19" i="5"/>
  <c r="AQ19" i="5"/>
  <c r="AP19" i="5"/>
  <c r="AO98" i="5"/>
  <c r="AF6" i="5"/>
  <c r="B19" i="5"/>
  <c r="J98" i="5"/>
  <c r="X19" i="5"/>
  <c r="I19" i="5"/>
  <c r="D98" i="5"/>
  <c r="K6" i="5"/>
  <c r="D6" i="5"/>
  <c r="D90" i="5" s="1"/>
  <c r="D91" i="5"/>
  <c r="I6" i="5"/>
  <c r="AT6" i="5"/>
  <c r="AA19" i="5"/>
  <c r="AG6" i="5"/>
  <c r="N6" i="5"/>
  <c r="N90" i="5" s="1"/>
  <c r="CJ98" i="5"/>
  <c r="CM19" i="5"/>
  <c r="K131" i="5"/>
  <c r="K41" i="5"/>
  <c r="K127" i="5" s="1"/>
  <c r="P133" i="5"/>
  <c r="P46" i="5"/>
  <c r="X133" i="5"/>
  <c r="X46" i="5"/>
  <c r="Z120" i="5"/>
  <c r="Z33" i="5"/>
  <c r="Z119" i="5" s="1"/>
  <c r="AG128" i="5"/>
  <c r="AG41" i="5"/>
  <c r="AG127" i="5" s="1"/>
  <c r="AB135" i="5"/>
  <c r="AB46" i="5"/>
  <c r="AM120" i="5"/>
  <c r="AM33" i="5"/>
  <c r="AM119" i="5" s="1"/>
  <c r="AN133" i="5"/>
  <c r="AN46" i="5"/>
  <c r="AI128" i="5"/>
  <c r="AI41" i="5"/>
  <c r="AI127" i="5" s="1"/>
  <c r="AJ120" i="5"/>
  <c r="AJ33" i="5"/>
  <c r="AJ119" i="5" s="1"/>
  <c r="X128" i="5"/>
  <c r="X41" i="5"/>
  <c r="X127" i="5" s="1"/>
  <c r="T74" i="5"/>
  <c r="CK19" i="5"/>
  <c r="X6" i="5"/>
  <c r="X90" i="5" s="1"/>
  <c r="AO120" i="5"/>
  <c r="AO33" i="5"/>
  <c r="AO119" i="5" s="1"/>
  <c r="AE128" i="5"/>
  <c r="AE41" i="5"/>
  <c r="AE127" i="5" s="1"/>
  <c r="CI119" i="5"/>
  <c r="Q46" i="5"/>
  <c r="H33" i="5"/>
  <c r="H119" i="5" s="1"/>
  <c r="B62" i="5"/>
  <c r="AI46" i="5"/>
  <c r="AX14" i="5"/>
  <c r="AX98" i="5" s="1"/>
  <c r="C24" i="36"/>
  <c r="Y111" i="36" s="1"/>
  <c r="C27" i="36"/>
  <c r="Y114" i="36" s="1"/>
  <c r="R129" i="5"/>
  <c r="W8" i="6"/>
  <c r="AW66" i="5"/>
  <c r="AA80" i="5"/>
  <c r="P46" i="6"/>
  <c r="P72" i="6" s="1"/>
  <c r="CF66" i="5"/>
  <c r="S12" i="6"/>
  <c r="AA9" i="6"/>
  <c r="M68" i="5"/>
  <c r="CG68" i="5"/>
  <c r="CM95" i="5"/>
  <c r="O95" i="5"/>
  <c r="G95" i="5"/>
  <c r="T95" i="5"/>
  <c r="AF68" i="5"/>
  <c r="AV68" i="5"/>
  <c r="G42" i="36"/>
  <c r="CK68" i="5"/>
  <c r="V71" i="36"/>
  <c r="CI68" i="5"/>
  <c r="AC68" i="5"/>
  <c r="G9" i="36"/>
  <c r="AU44" i="6"/>
  <c r="AU41" i="6"/>
  <c r="AA8" i="6"/>
  <c r="CN95" i="5"/>
  <c r="L11" i="6"/>
  <c r="J12" i="6"/>
  <c r="Q82" i="5"/>
  <c r="AK95" i="5"/>
  <c r="AU66" i="6"/>
  <c r="AV66" i="6"/>
  <c r="AA26" i="6"/>
  <c r="AA82" i="5"/>
  <c r="DW110" i="5"/>
  <c r="DT110" i="5"/>
  <c r="DV110" i="5"/>
  <c r="DS110" i="5"/>
  <c r="DU110" i="5"/>
  <c r="DR110" i="5"/>
  <c r="DU108" i="5"/>
  <c r="DR108" i="5"/>
  <c r="DW108" i="5"/>
  <c r="DS108" i="5"/>
  <c r="DV108" i="5"/>
  <c r="DT108" i="5"/>
  <c r="DS140" i="5"/>
  <c r="DR140" i="5"/>
  <c r="DW141" i="5"/>
  <c r="DV141" i="5"/>
  <c r="DR141" i="5"/>
  <c r="DS141" i="5"/>
  <c r="DW139" i="5"/>
  <c r="DU139" i="5"/>
  <c r="DT139" i="5"/>
  <c r="DS139" i="5"/>
  <c r="DV139" i="5"/>
  <c r="DR139" i="5"/>
  <c r="DV94" i="5"/>
  <c r="DW94" i="5"/>
  <c r="DT94" i="5"/>
  <c r="DR94" i="5"/>
  <c r="DU94" i="5"/>
  <c r="DS94" i="5"/>
  <c r="DS111" i="5"/>
  <c r="DR111" i="5"/>
  <c r="DW111" i="5"/>
  <c r="DU111" i="5"/>
  <c r="DV111" i="5"/>
  <c r="DT111" i="5"/>
  <c r="DU136" i="5"/>
  <c r="DW136" i="5"/>
  <c r="DR136" i="5"/>
  <c r="DV136" i="5"/>
  <c r="DS130" i="5"/>
  <c r="DR130" i="5"/>
  <c r="DU130" i="5"/>
  <c r="DT130" i="5"/>
  <c r="DS93" i="5"/>
  <c r="DT93" i="5"/>
  <c r="DR93" i="5"/>
  <c r="DV93" i="5"/>
  <c r="DW93" i="5"/>
  <c r="DU93" i="5"/>
  <c r="DR123" i="5"/>
  <c r="DT123" i="5"/>
  <c r="DV123" i="5"/>
  <c r="DW123" i="5"/>
  <c r="DU123" i="5"/>
  <c r="DW122" i="5"/>
  <c r="DR122" i="5"/>
  <c r="DU122" i="5"/>
  <c r="DV122" i="5"/>
  <c r="DT122" i="5"/>
  <c r="DS122" i="5"/>
  <c r="DS137" i="5"/>
  <c r="DU137" i="5"/>
  <c r="DV137" i="5"/>
  <c r="DT137" i="5"/>
  <c r="DR137" i="5"/>
  <c r="DW137" i="5"/>
  <c r="DW112" i="5"/>
  <c r="DS112" i="5"/>
  <c r="DT112" i="5"/>
  <c r="DU112" i="5"/>
  <c r="DV112" i="5"/>
  <c r="DR112" i="5"/>
  <c r="DW99" i="5"/>
  <c r="DR99" i="5"/>
  <c r="DU99" i="5"/>
  <c r="DS99" i="5"/>
  <c r="DT99" i="5"/>
  <c r="DV99" i="5"/>
  <c r="DT107" i="5"/>
  <c r="DS107" i="5"/>
  <c r="DW107" i="5"/>
  <c r="DV107" i="5"/>
  <c r="DU107" i="5"/>
  <c r="DR107" i="5"/>
  <c r="DT96" i="5"/>
  <c r="DW96" i="5"/>
  <c r="DV96" i="5"/>
  <c r="DR96" i="5"/>
  <c r="DU96" i="5"/>
  <c r="DS96" i="5"/>
  <c r="DS125" i="5"/>
  <c r="DV125" i="5"/>
  <c r="DR125" i="5"/>
  <c r="DW125" i="5"/>
  <c r="DT125" i="5"/>
  <c r="DU125" i="5"/>
  <c r="DS129" i="5"/>
  <c r="DU129" i="5"/>
  <c r="DV129" i="5"/>
  <c r="DT129" i="5"/>
  <c r="DR129" i="5"/>
  <c r="DW129" i="5"/>
  <c r="DV95" i="5"/>
  <c r="DR95" i="5"/>
  <c r="DS95" i="5"/>
  <c r="DW95" i="5"/>
  <c r="DT95" i="5"/>
  <c r="DU95" i="5"/>
  <c r="DT91" i="5"/>
  <c r="DW91" i="5"/>
  <c r="DU91" i="5"/>
  <c r="DS91" i="5"/>
  <c r="DR91" i="5"/>
  <c r="DR97" i="5"/>
  <c r="DU97" i="5"/>
  <c r="DW97" i="5"/>
  <c r="DS97" i="5"/>
  <c r="DT97" i="5"/>
  <c r="DV97" i="5"/>
  <c r="DT105" i="5"/>
  <c r="DU105" i="5"/>
  <c r="DV105" i="5"/>
  <c r="DS105" i="5"/>
  <c r="DW105" i="5"/>
  <c r="DR105" i="5"/>
  <c r="DU104" i="5"/>
  <c r="DR104" i="5"/>
  <c r="DT104" i="5"/>
  <c r="DW104" i="5"/>
  <c r="DS104" i="5"/>
  <c r="DV104" i="5"/>
  <c r="DW92" i="5"/>
  <c r="DR92" i="5"/>
  <c r="DS92" i="5"/>
  <c r="DT92" i="5"/>
  <c r="DU92" i="5"/>
  <c r="DV92" i="5"/>
  <c r="CL68" i="5"/>
  <c r="W65" i="36"/>
  <c r="DC141" i="5"/>
  <c r="DA141" i="5"/>
  <c r="DB141" i="5"/>
  <c r="CZ141" i="5"/>
  <c r="DD141" i="5"/>
  <c r="DE141" i="5"/>
  <c r="DH141" i="5"/>
  <c r="DK141" i="5"/>
  <c r="DJ141" i="5"/>
  <c r="DG141" i="5"/>
  <c r="DF141" i="5"/>
  <c r="DI141" i="5"/>
  <c r="DL141" i="5"/>
  <c r="DM141" i="5"/>
  <c r="DN141" i="5"/>
  <c r="DO141" i="5"/>
  <c r="DP141" i="5"/>
  <c r="DQ141" i="5"/>
  <c r="W66" i="36"/>
  <c r="W82" i="36"/>
  <c r="AX92" i="5"/>
  <c r="DG92" i="5"/>
  <c r="DI92" i="5"/>
  <c r="DK92" i="5"/>
  <c r="DL92" i="5"/>
  <c r="DM92" i="5"/>
  <c r="DJ92" i="5"/>
  <c r="DH92" i="5"/>
  <c r="DN92" i="5"/>
  <c r="DA92" i="5"/>
  <c r="DC92" i="5"/>
  <c r="DE92" i="5"/>
  <c r="DB92" i="5"/>
  <c r="DO92" i="5"/>
  <c r="DD92" i="5"/>
  <c r="DP92" i="5"/>
  <c r="DQ92" i="5"/>
  <c r="AO92" i="5"/>
  <c r="DI112" i="5"/>
  <c r="DK112" i="5"/>
  <c r="DH112" i="5"/>
  <c r="DG112" i="5"/>
  <c r="DL112" i="5"/>
  <c r="DJ112" i="5"/>
  <c r="DF112" i="5"/>
  <c r="DM112" i="5"/>
  <c r="DP112" i="5"/>
  <c r="DO112" i="5"/>
  <c r="DN112" i="5"/>
  <c r="DQ112" i="5"/>
  <c r="DC112" i="5"/>
  <c r="DE112" i="5"/>
  <c r="DA112" i="5"/>
  <c r="DB112" i="5"/>
  <c r="DD112" i="5"/>
  <c r="DI99" i="5"/>
  <c r="DG99" i="5"/>
  <c r="DJ99" i="5"/>
  <c r="DK99" i="5"/>
  <c r="DF99" i="5"/>
  <c r="DM99" i="5"/>
  <c r="DH99" i="5"/>
  <c r="DL99" i="5"/>
  <c r="DO99" i="5"/>
  <c r="DN99" i="5"/>
  <c r="DQ99" i="5"/>
  <c r="DB99" i="5"/>
  <c r="DP99" i="5"/>
  <c r="DD99" i="5"/>
  <c r="DA99" i="5"/>
  <c r="DE99" i="5"/>
  <c r="DC99" i="5"/>
  <c r="DH111" i="5"/>
  <c r="DJ111" i="5"/>
  <c r="DM111" i="5"/>
  <c r="DI111" i="5"/>
  <c r="DK111" i="5"/>
  <c r="DF111" i="5"/>
  <c r="DG111" i="5"/>
  <c r="DL111" i="5"/>
  <c r="DB111" i="5"/>
  <c r="DN111" i="5"/>
  <c r="DO111" i="5"/>
  <c r="DA111" i="5"/>
  <c r="DC111" i="5"/>
  <c r="DD111" i="5"/>
  <c r="DE111" i="5"/>
  <c r="DP111" i="5"/>
  <c r="DQ111" i="5"/>
  <c r="W79" i="36"/>
  <c r="W86" i="36"/>
  <c r="DA136" i="5"/>
  <c r="CZ136" i="5"/>
  <c r="DB136" i="5"/>
  <c r="DM136" i="5"/>
  <c r="DJ136" i="5"/>
  <c r="DF136" i="5"/>
  <c r="DL136" i="5"/>
  <c r="DI136" i="5"/>
  <c r="DK136" i="5"/>
  <c r="DH136" i="5"/>
  <c r="DG136" i="5"/>
  <c r="DN136" i="5"/>
  <c r="DO136" i="5"/>
  <c r="DE136" i="5"/>
  <c r="DC136" i="5"/>
  <c r="DP136" i="5"/>
  <c r="DD136" i="5"/>
  <c r="DQ136" i="5"/>
  <c r="DI130" i="5"/>
  <c r="DG130" i="5"/>
  <c r="DJ130" i="5"/>
  <c r="DF130" i="5"/>
  <c r="DK130" i="5"/>
  <c r="DB130" i="5"/>
  <c r="DA130" i="5"/>
  <c r="DE130" i="5"/>
  <c r="CZ130" i="5"/>
  <c r="DD130" i="5"/>
  <c r="DH130" i="5"/>
  <c r="DM130" i="5"/>
  <c r="DL130" i="5"/>
  <c r="DC130" i="5"/>
  <c r="DO130" i="5"/>
  <c r="DN130" i="5"/>
  <c r="DP130" i="5"/>
  <c r="DQ130" i="5"/>
  <c r="R65" i="5"/>
  <c r="W68" i="36"/>
  <c r="W81" i="36"/>
  <c r="AV92" i="5"/>
  <c r="W83" i="36"/>
  <c r="DA139" i="5"/>
  <c r="CZ139" i="5"/>
  <c r="DB139" i="5"/>
  <c r="DM139" i="5"/>
  <c r="DG139" i="5"/>
  <c r="DK139" i="5"/>
  <c r="DJ139" i="5"/>
  <c r="DL139" i="5"/>
  <c r="DH139" i="5"/>
  <c r="DF139" i="5"/>
  <c r="DI139" i="5"/>
  <c r="DN139" i="5"/>
  <c r="DO139" i="5"/>
  <c r="DP139" i="5"/>
  <c r="DD139" i="5"/>
  <c r="DQ139" i="5"/>
  <c r="DE139" i="5"/>
  <c r="DC139" i="5"/>
  <c r="DF107" i="5"/>
  <c r="DI107" i="5"/>
  <c r="DK107" i="5"/>
  <c r="DM107" i="5"/>
  <c r="DL107" i="5"/>
  <c r="DG107" i="5"/>
  <c r="DH107" i="5"/>
  <c r="DJ107" i="5"/>
  <c r="DN107" i="5"/>
  <c r="DO107" i="5"/>
  <c r="DB107" i="5"/>
  <c r="DC107" i="5"/>
  <c r="DD107" i="5"/>
  <c r="DE107" i="5"/>
  <c r="DA107" i="5"/>
  <c r="DP107" i="5"/>
  <c r="DQ107" i="5"/>
  <c r="W78" i="36"/>
  <c r="DG123" i="5"/>
  <c r="DF123" i="5"/>
  <c r="DA123" i="5"/>
  <c r="CZ123" i="5"/>
  <c r="DB123" i="5"/>
  <c r="DH123" i="5"/>
  <c r="DK123" i="5"/>
  <c r="DJ123" i="5"/>
  <c r="DI123" i="5"/>
  <c r="DL123" i="5"/>
  <c r="DN123" i="5"/>
  <c r="DD123" i="5"/>
  <c r="DE123" i="5"/>
  <c r="DC123" i="5"/>
  <c r="DO123" i="5"/>
  <c r="DP123" i="5"/>
  <c r="DQ123" i="5"/>
  <c r="DA122" i="5"/>
  <c r="CZ122" i="5"/>
  <c r="DB122" i="5"/>
  <c r="DH122" i="5"/>
  <c r="DF122" i="5"/>
  <c r="DI122" i="5"/>
  <c r="DJ122" i="5"/>
  <c r="DK122" i="5"/>
  <c r="DM122" i="5"/>
  <c r="DL122" i="5"/>
  <c r="DG122" i="5"/>
  <c r="DO122" i="5"/>
  <c r="DN122" i="5"/>
  <c r="DE122" i="5"/>
  <c r="DQ122" i="5"/>
  <c r="DD122" i="5"/>
  <c r="DP122" i="5"/>
  <c r="DC122" i="5"/>
  <c r="CL66" i="5"/>
  <c r="DM96" i="5"/>
  <c r="DF96" i="5"/>
  <c r="DJ96" i="5"/>
  <c r="DG96" i="5"/>
  <c r="DK96" i="5"/>
  <c r="DI96" i="5"/>
  <c r="DL96" i="5"/>
  <c r="DH96" i="5"/>
  <c r="DN96" i="5"/>
  <c r="DB96" i="5"/>
  <c r="DO96" i="5"/>
  <c r="DC96" i="5"/>
  <c r="DE96" i="5"/>
  <c r="DD96" i="5"/>
  <c r="DA96" i="5"/>
  <c r="DP96" i="5"/>
  <c r="DQ96" i="5"/>
  <c r="W73" i="36"/>
  <c r="DA125" i="5"/>
  <c r="CZ125" i="5"/>
  <c r="DB125" i="5"/>
  <c r="DI125" i="5"/>
  <c r="DJ125" i="5"/>
  <c r="DH125" i="5"/>
  <c r="DG125" i="5"/>
  <c r="DL125" i="5"/>
  <c r="DK125" i="5"/>
  <c r="DF125" i="5"/>
  <c r="DM125" i="5"/>
  <c r="DO125" i="5"/>
  <c r="DN125" i="5"/>
  <c r="DE125" i="5"/>
  <c r="DP125" i="5"/>
  <c r="DC125" i="5"/>
  <c r="DD125" i="5"/>
  <c r="DQ125" i="5"/>
  <c r="DF129" i="5"/>
  <c r="DB129" i="5"/>
  <c r="CZ129" i="5"/>
  <c r="DE129" i="5"/>
  <c r="DA129" i="5"/>
  <c r="DH129" i="5"/>
  <c r="DM129" i="5"/>
  <c r="DL129" i="5"/>
  <c r="DK129" i="5"/>
  <c r="DG129" i="5"/>
  <c r="DJ129" i="5"/>
  <c r="DI129" i="5"/>
  <c r="DN129" i="5"/>
  <c r="DO129" i="5"/>
  <c r="DD129" i="5"/>
  <c r="DP129" i="5"/>
  <c r="DC129" i="5"/>
  <c r="DQ129" i="5"/>
  <c r="W85" i="36"/>
  <c r="DH95" i="5"/>
  <c r="DG95" i="5"/>
  <c r="DL95" i="5"/>
  <c r="DF95" i="5"/>
  <c r="DM95" i="5"/>
  <c r="DK95" i="5"/>
  <c r="DJ95" i="5"/>
  <c r="DI95" i="5"/>
  <c r="DN95" i="5"/>
  <c r="DE95" i="5"/>
  <c r="DB95" i="5"/>
  <c r="DD95" i="5"/>
  <c r="DA95" i="5"/>
  <c r="DC95" i="5"/>
  <c r="DO95" i="5"/>
  <c r="DQ95" i="5"/>
  <c r="DP95" i="5"/>
  <c r="DH91" i="5"/>
  <c r="DL91" i="5"/>
  <c r="DJ91" i="5"/>
  <c r="DG91" i="5"/>
  <c r="DF92" i="5"/>
  <c r="DI91" i="5"/>
  <c r="DM91" i="5"/>
  <c r="DF91" i="5"/>
  <c r="DK91" i="5"/>
  <c r="CZ102" i="5"/>
  <c r="DN91" i="5"/>
  <c r="CZ109" i="5"/>
  <c r="CZ106" i="5"/>
  <c r="CZ100" i="5"/>
  <c r="CZ101" i="5"/>
  <c r="CZ94" i="5"/>
  <c r="CZ96" i="5"/>
  <c r="DA91" i="5"/>
  <c r="CZ108" i="5"/>
  <c r="DE91" i="5"/>
  <c r="CZ91" i="5"/>
  <c r="CZ99" i="5"/>
  <c r="DQ91" i="5"/>
  <c r="CZ111" i="5"/>
  <c r="CZ105" i="5"/>
  <c r="CZ107" i="5"/>
  <c r="CZ112" i="5"/>
  <c r="CZ110" i="5"/>
  <c r="DP91" i="5"/>
  <c r="CZ93" i="5"/>
  <c r="CZ95" i="5"/>
  <c r="CZ104" i="5"/>
  <c r="DO91" i="5"/>
  <c r="DD91" i="5"/>
  <c r="DC91" i="5"/>
  <c r="CZ97" i="5"/>
  <c r="CZ92" i="5"/>
  <c r="DB91" i="5"/>
  <c r="DF110" i="5"/>
  <c r="DI110" i="5"/>
  <c r="DM110" i="5"/>
  <c r="DH110" i="5"/>
  <c r="DK110" i="5"/>
  <c r="DG110" i="5"/>
  <c r="DL110" i="5"/>
  <c r="DJ110" i="5"/>
  <c r="DN110" i="5"/>
  <c r="DD110" i="5"/>
  <c r="DE110" i="5"/>
  <c r="DB110" i="5"/>
  <c r="DA110" i="5"/>
  <c r="DC110" i="5"/>
  <c r="DO110" i="5"/>
  <c r="DP110" i="5"/>
  <c r="DQ110" i="5"/>
  <c r="DK93" i="5"/>
  <c r="DJ93" i="5"/>
  <c r="DH93" i="5"/>
  <c r="DG93" i="5"/>
  <c r="DM93" i="5"/>
  <c r="DI93" i="5"/>
  <c r="DL93" i="5"/>
  <c r="DF93" i="5"/>
  <c r="DN93" i="5"/>
  <c r="DB93" i="5"/>
  <c r="DC93" i="5"/>
  <c r="DO93" i="5"/>
  <c r="DD93" i="5"/>
  <c r="DA93" i="5"/>
  <c r="DE93" i="5"/>
  <c r="DQ93" i="5"/>
  <c r="DP93" i="5"/>
  <c r="DK108" i="5"/>
  <c r="DJ108" i="5"/>
  <c r="DM108" i="5"/>
  <c r="DI108" i="5"/>
  <c r="DF108" i="5"/>
  <c r="DG108" i="5"/>
  <c r="DH108" i="5"/>
  <c r="DL108" i="5"/>
  <c r="DN108" i="5"/>
  <c r="DC108" i="5"/>
  <c r="DA108" i="5"/>
  <c r="DD108" i="5"/>
  <c r="DE108" i="5"/>
  <c r="DB108" i="5"/>
  <c r="DO108" i="5"/>
  <c r="DP108" i="5"/>
  <c r="DQ108" i="5"/>
  <c r="DF94" i="5"/>
  <c r="DM94" i="5"/>
  <c r="DI94" i="5"/>
  <c r="DK94" i="5"/>
  <c r="DL94" i="5"/>
  <c r="DH94" i="5"/>
  <c r="DJ94" i="5"/>
  <c r="DG94" i="5"/>
  <c r="DO94" i="5"/>
  <c r="DN94" i="5"/>
  <c r="DP94" i="5"/>
  <c r="DB94" i="5"/>
  <c r="DE94" i="5"/>
  <c r="DC94" i="5"/>
  <c r="DA94" i="5"/>
  <c r="DD94" i="5"/>
  <c r="DQ94" i="5"/>
  <c r="W70" i="36"/>
  <c r="DA137" i="5"/>
  <c r="CZ137" i="5"/>
  <c r="DB137" i="5"/>
  <c r="DL137" i="5"/>
  <c r="DK137" i="5"/>
  <c r="DF137" i="5"/>
  <c r="DJ137" i="5"/>
  <c r="DH137" i="5"/>
  <c r="DG137" i="5"/>
  <c r="DM137" i="5"/>
  <c r="DI137" i="5"/>
  <c r="DD137" i="5"/>
  <c r="DO137" i="5"/>
  <c r="DN137" i="5"/>
  <c r="DE137" i="5"/>
  <c r="DP137" i="5"/>
  <c r="DC137" i="5"/>
  <c r="DQ137" i="5"/>
  <c r="DC140" i="5"/>
  <c r="DB140" i="5"/>
  <c r="DA140" i="5"/>
  <c r="CZ140" i="5"/>
  <c r="DJ140" i="5"/>
  <c r="DM140" i="5"/>
  <c r="DG140" i="5"/>
  <c r="DH140" i="5"/>
  <c r="DK140" i="5"/>
  <c r="DL140" i="5"/>
  <c r="DF140" i="5"/>
  <c r="DI140" i="5"/>
  <c r="DP140" i="5"/>
  <c r="DN140" i="5"/>
  <c r="DO140" i="5"/>
  <c r="DD140" i="5"/>
  <c r="DQ140" i="5"/>
  <c r="DE140" i="5"/>
  <c r="DG97" i="5"/>
  <c r="DI97" i="5"/>
  <c r="DJ97" i="5"/>
  <c r="DH97" i="5"/>
  <c r="DL97" i="5"/>
  <c r="DK97" i="5"/>
  <c r="DM97" i="5"/>
  <c r="DF97" i="5"/>
  <c r="DN97" i="5"/>
  <c r="DE97" i="5"/>
  <c r="DD97" i="5"/>
  <c r="DO97" i="5"/>
  <c r="DP97" i="5"/>
  <c r="DA97" i="5"/>
  <c r="DB97" i="5"/>
  <c r="DC97" i="5"/>
  <c r="DQ97" i="5"/>
  <c r="DF105" i="5"/>
  <c r="DI105" i="5"/>
  <c r="DG105" i="5"/>
  <c r="DM105" i="5"/>
  <c r="DL105" i="5"/>
  <c r="DH105" i="5"/>
  <c r="DK105" i="5"/>
  <c r="DJ105" i="5"/>
  <c r="DN105" i="5"/>
  <c r="DO105" i="5"/>
  <c r="DP105" i="5"/>
  <c r="DD105" i="5"/>
  <c r="DA105" i="5"/>
  <c r="DE105" i="5"/>
  <c r="DC105" i="5"/>
  <c r="DB105" i="5"/>
  <c r="DQ105" i="5"/>
  <c r="DL104" i="5"/>
  <c r="DH104" i="5"/>
  <c r="DF104" i="5"/>
  <c r="DJ104" i="5"/>
  <c r="DK104" i="5"/>
  <c r="DM104" i="5"/>
  <c r="DG104" i="5"/>
  <c r="DI104" i="5"/>
  <c r="DO104" i="5"/>
  <c r="DN104" i="5"/>
  <c r="DP104" i="5"/>
  <c r="DQ104" i="5"/>
  <c r="DC104" i="5"/>
  <c r="DA104" i="5"/>
  <c r="DE104" i="5"/>
  <c r="DD104" i="5"/>
  <c r="DB104" i="5"/>
  <c r="W67" i="36"/>
  <c r="W84" i="36"/>
  <c r="S65" i="5"/>
  <c r="W76" i="36"/>
  <c r="CM92" i="5"/>
  <c r="AD65" i="5"/>
  <c r="T92" i="5"/>
  <c r="CG92" i="5"/>
  <c r="W92" i="5"/>
  <c r="V92" i="5"/>
  <c r="F12" i="6"/>
  <c r="F36" i="6"/>
  <c r="J36" i="6"/>
  <c r="AV32" i="6"/>
  <c r="AV49" i="6"/>
  <c r="AU38" i="6"/>
  <c r="S50" i="36"/>
  <c r="S23" i="36"/>
  <c r="F141" i="5"/>
  <c r="CX141" i="5"/>
  <c r="CT141" i="5"/>
  <c r="CY141" i="5"/>
  <c r="CW141" i="5"/>
  <c r="CV141" i="5"/>
  <c r="CU141" i="5"/>
  <c r="CS141" i="5"/>
  <c r="CR141" i="5"/>
  <c r="CQ141" i="5"/>
  <c r="CP141" i="5"/>
  <c r="CJ139" i="5"/>
  <c r="CX139" i="5"/>
  <c r="CV139" i="5"/>
  <c r="CY139" i="5"/>
  <c r="CW139" i="5"/>
  <c r="CT139" i="5"/>
  <c r="CU139" i="5"/>
  <c r="CS139" i="5"/>
  <c r="CR139" i="5"/>
  <c r="CQ139" i="5"/>
  <c r="CP139" i="5"/>
  <c r="S83" i="36"/>
  <c r="CY111" i="5"/>
  <c r="CW111" i="5"/>
  <c r="CX111" i="5"/>
  <c r="CV111" i="5"/>
  <c r="CT111" i="5"/>
  <c r="CU111" i="5"/>
  <c r="CS111" i="5"/>
  <c r="CR111" i="5"/>
  <c r="CQ111" i="5"/>
  <c r="CP111" i="5"/>
  <c r="S53" i="36"/>
  <c r="S26" i="36"/>
  <c r="S22" i="36"/>
  <c r="S49" i="36"/>
  <c r="F136" i="5"/>
  <c r="CY136" i="5"/>
  <c r="CX136" i="5"/>
  <c r="CW136" i="5"/>
  <c r="CV136" i="5"/>
  <c r="CU136" i="5"/>
  <c r="CT136" i="5"/>
  <c r="CS136" i="5"/>
  <c r="CR136" i="5"/>
  <c r="CQ136" i="5"/>
  <c r="CP136" i="5"/>
  <c r="S130" i="5"/>
  <c r="CX130" i="5"/>
  <c r="CV130" i="5"/>
  <c r="CY130" i="5"/>
  <c r="CW130" i="5"/>
  <c r="CT130" i="5"/>
  <c r="CU130" i="5"/>
  <c r="CP130" i="5"/>
  <c r="CR130" i="5"/>
  <c r="CS130" i="5"/>
  <c r="CQ130" i="5"/>
  <c r="AU36" i="6"/>
  <c r="CN65" i="5"/>
  <c r="CO9" i="5"/>
  <c r="CO64" i="5" s="1"/>
  <c r="CN81" i="5"/>
  <c r="S28" i="36"/>
  <c r="S55" i="36"/>
  <c r="CX99" i="5"/>
  <c r="CY99" i="5"/>
  <c r="CV99" i="5"/>
  <c r="CW99" i="5"/>
  <c r="CT99" i="5"/>
  <c r="CU99" i="5"/>
  <c r="CS99" i="5"/>
  <c r="CR99" i="5"/>
  <c r="CQ99" i="5"/>
  <c r="CP99" i="5"/>
  <c r="U107" i="5"/>
  <c r="CW107" i="5"/>
  <c r="CV107" i="5"/>
  <c r="CX107" i="5"/>
  <c r="CY107" i="5"/>
  <c r="CT107" i="5"/>
  <c r="CU107" i="5"/>
  <c r="CS107" i="5"/>
  <c r="CR107" i="5"/>
  <c r="CQ107" i="5"/>
  <c r="CP107" i="5"/>
  <c r="S42" i="36"/>
  <c r="S15" i="36"/>
  <c r="S44" i="36"/>
  <c r="S43" i="36" s="1"/>
  <c r="S17" i="36"/>
  <c r="S16" i="36" s="1"/>
  <c r="C123" i="5"/>
  <c r="CW123" i="5"/>
  <c r="CX123" i="5"/>
  <c r="CY123" i="5"/>
  <c r="CV123" i="5"/>
  <c r="CU123" i="5"/>
  <c r="CT123" i="5"/>
  <c r="CS123" i="5"/>
  <c r="CR123" i="5"/>
  <c r="CP123" i="5"/>
  <c r="CQ123" i="5"/>
  <c r="AJ122" i="5"/>
  <c r="CW122" i="5"/>
  <c r="CV122" i="5"/>
  <c r="CY122" i="5"/>
  <c r="CX122" i="5"/>
  <c r="CT122" i="5"/>
  <c r="CU122" i="5"/>
  <c r="CR122" i="5"/>
  <c r="CS122" i="5"/>
  <c r="CP122" i="5"/>
  <c r="CQ122" i="5"/>
  <c r="R36" i="36"/>
  <c r="CN82" i="5"/>
  <c r="S56" i="36"/>
  <c r="S29" i="36"/>
  <c r="CO10" i="5"/>
  <c r="S12" i="36" s="1"/>
  <c r="AV95" i="5"/>
  <c r="CV95" i="5"/>
  <c r="CX95" i="5"/>
  <c r="CW95" i="5"/>
  <c r="CY95" i="5"/>
  <c r="CU95" i="5"/>
  <c r="CT95" i="5"/>
  <c r="CS95" i="5"/>
  <c r="CR95" i="5"/>
  <c r="CQ95" i="5"/>
  <c r="CP95" i="5"/>
  <c r="S74" i="36"/>
  <c r="T96" i="5"/>
  <c r="CX96" i="5"/>
  <c r="CW96" i="5"/>
  <c r="CV96" i="5"/>
  <c r="CY96" i="5"/>
  <c r="CU96" i="5"/>
  <c r="CT96" i="5"/>
  <c r="CS96" i="5"/>
  <c r="CR96" i="5"/>
  <c r="CQ96" i="5"/>
  <c r="CP96" i="5"/>
  <c r="S52" i="36"/>
  <c r="S25" i="36"/>
  <c r="S41" i="36"/>
  <c r="S14" i="36"/>
  <c r="CX125" i="5"/>
  <c r="CY125" i="5"/>
  <c r="CW125" i="5"/>
  <c r="CV125" i="5"/>
  <c r="CU125" i="5"/>
  <c r="CT125" i="5"/>
  <c r="CS125" i="5"/>
  <c r="CR125" i="5"/>
  <c r="CQ125" i="5"/>
  <c r="CP125" i="5"/>
  <c r="CW129" i="5"/>
  <c r="CY129" i="5"/>
  <c r="CV129" i="5"/>
  <c r="CX129" i="5"/>
  <c r="CT129" i="5"/>
  <c r="CU129" i="5"/>
  <c r="CS129" i="5"/>
  <c r="CP129" i="5"/>
  <c r="CQ129" i="5"/>
  <c r="CR129" i="5"/>
  <c r="CO11" i="5"/>
  <c r="S40" i="36" s="1"/>
  <c r="S80" i="36"/>
  <c r="W110" i="5"/>
  <c r="CY110" i="5"/>
  <c r="CX110" i="5"/>
  <c r="CV110" i="5"/>
  <c r="CW110" i="5"/>
  <c r="CU110" i="5"/>
  <c r="CT110" i="5"/>
  <c r="CS110" i="5"/>
  <c r="CR110" i="5"/>
  <c r="CQ110" i="5"/>
  <c r="CP110" i="5"/>
  <c r="T93" i="5"/>
  <c r="CW93" i="5"/>
  <c r="CY93" i="5"/>
  <c r="CV93" i="5"/>
  <c r="CX93" i="5"/>
  <c r="CU93" i="5"/>
  <c r="CT93" i="5"/>
  <c r="CR93" i="5"/>
  <c r="CS93" i="5"/>
  <c r="CQ93" i="5"/>
  <c r="CP93" i="5"/>
  <c r="V108" i="5"/>
  <c r="CW108" i="5"/>
  <c r="CX108" i="5"/>
  <c r="CV108" i="5"/>
  <c r="CY108" i="5"/>
  <c r="CT108" i="5"/>
  <c r="CU108" i="5"/>
  <c r="CR108" i="5"/>
  <c r="CS108" i="5"/>
  <c r="CQ108" i="5"/>
  <c r="CP108" i="5"/>
  <c r="J94" i="5"/>
  <c r="CW94" i="5"/>
  <c r="CV94" i="5"/>
  <c r="CX94" i="5"/>
  <c r="CY94" i="5"/>
  <c r="CT94" i="5"/>
  <c r="CU94" i="5"/>
  <c r="CS94" i="5"/>
  <c r="CR94" i="5"/>
  <c r="CQ94" i="5"/>
  <c r="CP94" i="5"/>
  <c r="S37" i="36"/>
  <c r="S11" i="36"/>
  <c r="K137" i="5"/>
  <c r="CX137" i="5"/>
  <c r="CW137" i="5"/>
  <c r="CV137" i="5"/>
  <c r="CY137" i="5"/>
  <c r="CU137" i="5"/>
  <c r="CT137" i="5"/>
  <c r="CP137" i="5"/>
  <c r="CQ137" i="5"/>
  <c r="CS137" i="5"/>
  <c r="CR137" i="5"/>
  <c r="C140" i="5"/>
  <c r="CY140" i="5"/>
  <c r="CX140" i="5"/>
  <c r="CW140" i="5"/>
  <c r="CV140" i="5"/>
  <c r="CU140" i="5"/>
  <c r="CT140" i="5"/>
  <c r="CS140" i="5"/>
  <c r="CR140" i="5"/>
  <c r="CQ140" i="5"/>
  <c r="CP140" i="5"/>
  <c r="D122" i="5"/>
  <c r="CY92" i="5"/>
  <c r="CW92" i="5"/>
  <c r="CX92" i="5"/>
  <c r="CV92" i="5"/>
  <c r="CT92" i="5"/>
  <c r="CU92" i="5"/>
  <c r="CR92" i="5"/>
  <c r="CS92" i="5"/>
  <c r="CP92" i="5"/>
  <c r="CQ92" i="5"/>
  <c r="S75" i="36"/>
  <c r="W112" i="5"/>
  <c r="CX112" i="5"/>
  <c r="CV112" i="5"/>
  <c r="CY112" i="5"/>
  <c r="CW112" i="5"/>
  <c r="CT112" i="5"/>
  <c r="CU112" i="5"/>
  <c r="CS112" i="5"/>
  <c r="CR112" i="5"/>
  <c r="CQ112" i="5"/>
  <c r="CP112" i="5"/>
  <c r="CX97" i="5"/>
  <c r="CY97" i="5"/>
  <c r="CW97" i="5"/>
  <c r="CV97" i="5"/>
  <c r="CU97" i="5"/>
  <c r="CT97" i="5"/>
  <c r="CR97" i="5"/>
  <c r="CS97" i="5"/>
  <c r="CQ97" i="5"/>
  <c r="CP97" i="5"/>
  <c r="V105" i="5"/>
  <c r="CV105" i="5"/>
  <c r="CY105" i="5"/>
  <c r="CX105" i="5"/>
  <c r="CW105" i="5"/>
  <c r="CT105" i="5"/>
  <c r="CU105" i="5"/>
  <c r="CS105" i="5"/>
  <c r="CR105" i="5"/>
  <c r="CQ105" i="5"/>
  <c r="CP105" i="5"/>
  <c r="V104" i="5"/>
  <c r="CX104" i="5"/>
  <c r="CY104" i="5"/>
  <c r="CW104" i="5"/>
  <c r="CV104" i="5"/>
  <c r="CU104" i="5"/>
  <c r="CT104" i="5"/>
  <c r="CR104" i="5"/>
  <c r="CS104" i="5"/>
  <c r="CP104" i="5"/>
  <c r="CQ104" i="5"/>
  <c r="S57" i="36"/>
  <c r="S30" i="36"/>
  <c r="S36" i="36"/>
  <c r="S9" i="36"/>
  <c r="AQ91" i="5"/>
  <c r="CX91" i="5"/>
  <c r="CW91" i="5"/>
  <c r="CY91" i="5"/>
  <c r="CV91" i="5"/>
  <c r="CT91" i="5"/>
  <c r="CU91" i="5"/>
  <c r="CR91" i="5"/>
  <c r="CS91" i="5"/>
  <c r="CQ91" i="5"/>
  <c r="CP91" i="5"/>
  <c r="S76" i="36"/>
  <c r="AU69" i="6"/>
  <c r="P129" i="5"/>
  <c r="CK92" i="5"/>
  <c r="G37" i="36"/>
  <c r="AU50" i="6"/>
  <c r="R11" i="6"/>
  <c r="AV77" i="6"/>
  <c r="AU26" i="6"/>
  <c r="AU49" i="6"/>
  <c r="CJ68" i="5"/>
  <c r="N66" i="5"/>
  <c r="G22" i="36"/>
  <c r="AV34" i="6"/>
  <c r="AV72" i="6"/>
  <c r="G41" i="36"/>
  <c r="S122" i="5"/>
  <c r="AD122" i="5"/>
  <c r="AK122" i="5"/>
  <c r="AM122" i="5"/>
  <c r="AG122" i="5"/>
  <c r="H122" i="5"/>
  <c r="AH122" i="5"/>
  <c r="AO122" i="5"/>
  <c r="AB122" i="5"/>
  <c r="H129" i="5"/>
  <c r="T39" i="6"/>
  <c r="T65" i="6" s="1"/>
  <c r="D125" i="5"/>
  <c r="S129" i="5"/>
  <c r="D129" i="5"/>
  <c r="Z129" i="5"/>
  <c r="P125" i="5"/>
  <c r="C129" i="5"/>
  <c r="U50" i="6"/>
  <c r="D130" i="5"/>
  <c r="U39" i="6"/>
  <c r="U65" i="6" s="1"/>
  <c r="G136" i="5"/>
  <c r="M136" i="5"/>
  <c r="AD129" i="5"/>
  <c r="G44" i="36"/>
  <c r="CM112" i="5"/>
  <c r="CH125" i="5"/>
  <c r="K125" i="5"/>
  <c r="L125" i="5"/>
  <c r="Y125" i="5"/>
  <c r="J125" i="5"/>
  <c r="O125" i="5"/>
  <c r="AC125" i="5"/>
  <c r="W125" i="5"/>
  <c r="AF125" i="5"/>
  <c r="AS125" i="5"/>
  <c r="AP125" i="5"/>
  <c r="AM125" i="5"/>
  <c r="AR125" i="5"/>
  <c r="AW125" i="5"/>
  <c r="AT125" i="5"/>
  <c r="AU125" i="5"/>
  <c r="U125" i="5"/>
  <c r="F125" i="5"/>
  <c r="B125" i="5"/>
  <c r="T125" i="5"/>
  <c r="V125" i="5"/>
  <c r="AQ125" i="5"/>
  <c r="AV125" i="5"/>
  <c r="BA125" i="5"/>
  <c r="BB125" i="5"/>
  <c r="CK125" i="5"/>
  <c r="CN125" i="5"/>
  <c r="CF125" i="5"/>
  <c r="CO125" i="5"/>
  <c r="CL125" i="5"/>
  <c r="CJ125" i="5"/>
  <c r="D139" i="5"/>
  <c r="I123" i="5"/>
  <c r="K139" i="5"/>
  <c r="M139" i="5"/>
  <c r="N140" i="5"/>
  <c r="R125" i="5"/>
  <c r="X140" i="5"/>
  <c r="CF129" i="5"/>
  <c r="F129" i="5"/>
  <c r="BR129" i="5"/>
  <c r="AQ129" i="5"/>
  <c r="AF129" i="5"/>
  <c r="AC129" i="5"/>
  <c r="AP129" i="5"/>
  <c r="O129" i="5"/>
  <c r="BS129" i="5"/>
  <c r="B129" i="5"/>
  <c r="V129" i="5"/>
  <c r="AM129" i="5"/>
  <c r="AV129" i="5"/>
  <c r="AS129" i="5"/>
  <c r="G129" i="5"/>
  <c r="L129" i="5"/>
  <c r="J129" i="5"/>
  <c r="W129" i="5"/>
  <c r="AR129" i="5"/>
  <c r="AW129" i="5"/>
  <c r="T129" i="5"/>
  <c r="BB129" i="5"/>
  <c r="K129" i="5"/>
  <c r="Y129" i="5"/>
  <c r="BC129" i="5"/>
  <c r="AT129" i="5"/>
  <c r="U129" i="5"/>
  <c r="AU129" i="5"/>
  <c r="CM129" i="5"/>
  <c r="CH129" i="5"/>
  <c r="CI129" i="5"/>
  <c r="CN129" i="5"/>
  <c r="CG129" i="5"/>
  <c r="CO129" i="5"/>
  <c r="CK129" i="5"/>
  <c r="CJ129" i="5"/>
  <c r="Z125" i="5"/>
  <c r="Z137" i="5"/>
  <c r="AD136" i="5"/>
  <c r="AD141" i="5"/>
  <c r="AG139" i="5"/>
  <c r="AK139" i="5"/>
  <c r="AL141" i="5"/>
  <c r="AL129" i="5"/>
  <c r="AM140" i="5"/>
  <c r="AO129" i="5"/>
  <c r="AN141" i="5"/>
  <c r="AJ125" i="5"/>
  <c r="AD125" i="5"/>
  <c r="J123" i="5"/>
  <c r="AL122" i="5"/>
  <c r="AI129" i="5"/>
  <c r="AG136" i="5"/>
  <c r="CJ137" i="5"/>
  <c r="CL122" i="5"/>
  <c r="AV45" i="6"/>
  <c r="CJ94" i="5"/>
  <c r="AM77" i="5"/>
  <c r="AI73" i="5"/>
  <c r="AD73" i="5"/>
  <c r="H47" i="36"/>
  <c r="H76" i="36" s="1"/>
  <c r="V51" i="6"/>
  <c r="V43" i="6"/>
  <c r="T104" i="5"/>
  <c r="AN73" i="5"/>
  <c r="AG80" i="5"/>
  <c r="R80" i="5"/>
  <c r="J65" i="5"/>
  <c r="H51" i="36"/>
  <c r="H80" i="36" s="1"/>
  <c r="R77" i="5"/>
  <c r="F51" i="36"/>
  <c r="F80" i="36" s="1"/>
  <c r="D72" i="5"/>
  <c r="R39" i="6"/>
  <c r="R65" i="6" s="1"/>
  <c r="F45" i="36"/>
  <c r="F74" i="36" s="1"/>
  <c r="H54" i="36"/>
  <c r="H83" i="36" s="1"/>
  <c r="J80" i="5"/>
  <c r="AN62" i="5"/>
  <c r="AK77" i="5"/>
  <c r="AG73" i="5"/>
  <c r="I51" i="6"/>
  <c r="I77" i="6" s="1"/>
  <c r="K43" i="6"/>
  <c r="K69" i="6" s="1"/>
  <c r="D46" i="36"/>
  <c r="D75" i="36" s="1"/>
  <c r="E39" i="6"/>
  <c r="F54" i="36"/>
  <c r="F83" i="36" s="1"/>
  <c r="AN136" i="5"/>
  <c r="AA139" i="5"/>
  <c r="J136" i="5"/>
  <c r="AN123" i="5"/>
  <c r="E123" i="5"/>
  <c r="Q139" i="5"/>
  <c r="F130" i="5"/>
  <c r="M129" i="5"/>
  <c r="K141" i="5"/>
  <c r="F139" i="5"/>
  <c r="AN130" i="5"/>
  <c r="J122" i="5"/>
  <c r="CI136" i="5"/>
  <c r="AI139" i="5"/>
  <c r="CI125" i="5"/>
  <c r="CH137" i="5"/>
  <c r="U137" i="5"/>
  <c r="AP137" i="5"/>
  <c r="B137" i="5"/>
  <c r="AF137" i="5"/>
  <c r="AS137" i="5"/>
  <c r="W137" i="5"/>
  <c r="AC137" i="5"/>
  <c r="AU137" i="5"/>
  <c r="AR137" i="5"/>
  <c r="AT137" i="5"/>
  <c r="Y137" i="5"/>
  <c r="AQ137" i="5"/>
  <c r="AV137" i="5"/>
  <c r="V137" i="5"/>
  <c r="O137" i="5"/>
  <c r="T137" i="5"/>
  <c r="AW137" i="5"/>
  <c r="L137" i="5"/>
  <c r="CK137" i="5"/>
  <c r="CG137" i="5"/>
  <c r="CN137" i="5"/>
  <c r="CF137" i="5"/>
  <c r="CO137" i="5"/>
  <c r="CF140" i="5"/>
  <c r="W140" i="5"/>
  <c r="L140" i="5"/>
  <c r="AZ140" i="5"/>
  <c r="AC140" i="5"/>
  <c r="AD140" i="5"/>
  <c r="BD140" i="5"/>
  <c r="AP140" i="5"/>
  <c r="AQ140" i="5"/>
  <c r="AB140" i="5"/>
  <c r="BX140" i="5"/>
  <c r="AS140" i="5"/>
  <c r="AT140" i="5"/>
  <c r="AU140" i="5"/>
  <c r="AF140" i="5"/>
  <c r="E140" i="5"/>
  <c r="AW140" i="5"/>
  <c r="BZ140" i="5"/>
  <c r="O140" i="5"/>
  <c r="H140" i="5"/>
  <c r="AV140" i="5"/>
  <c r="Y140" i="5"/>
  <c r="V140" i="5"/>
  <c r="AE140" i="5"/>
  <c r="T140" i="5"/>
  <c r="AG140" i="5"/>
  <c r="D140" i="5"/>
  <c r="AR140" i="5"/>
  <c r="U140" i="5"/>
  <c r="BY140" i="5"/>
  <c r="B140" i="5"/>
  <c r="CN140" i="5"/>
  <c r="CK140" i="5"/>
  <c r="CJ140" i="5"/>
  <c r="CG140" i="5"/>
  <c r="CO140" i="5"/>
  <c r="CH140" i="5"/>
  <c r="CL140" i="5"/>
  <c r="P140" i="5"/>
  <c r="P136" i="5"/>
  <c r="S141" i="5"/>
  <c r="S137" i="5"/>
  <c r="S140" i="5"/>
  <c r="Z141" i="5"/>
  <c r="AB141" i="5"/>
  <c r="AE125" i="5"/>
  <c r="AG123" i="5"/>
  <c r="AE136" i="5"/>
  <c r="AE130" i="5"/>
  <c r="AB129" i="5"/>
  <c r="AK140" i="5"/>
  <c r="AL140" i="5"/>
  <c r="AO139" i="5"/>
  <c r="AN137" i="5"/>
  <c r="AJ139" i="5"/>
  <c r="AK123" i="5"/>
  <c r="AI137" i="5"/>
  <c r="X123" i="5"/>
  <c r="AO141" i="5"/>
  <c r="D123" i="5"/>
  <c r="AH139" i="5"/>
  <c r="X129" i="5"/>
  <c r="E141" i="5"/>
  <c r="AU45" i="6"/>
  <c r="CM141" i="5"/>
  <c r="AN80" i="5"/>
  <c r="AA73" i="5"/>
  <c r="K73" i="5"/>
  <c r="Q72" i="5"/>
  <c r="S71" i="5"/>
  <c r="P51" i="6"/>
  <c r="P77" i="6" s="1"/>
  <c r="AM80" i="5"/>
  <c r="T43" i="6"/>
  <c r="T69" i="6" s="1"/>
  <c r="C71" i="5"/>
  <c r="E54" i="36"/>
  <c r="E83" i="36" s="1"/>
  <c r="L46" i="6"/>
  <c r="L72" i="6" s="1"/>
  <c r="F95" i="5"/>
  <c r="G51" i="36"/>
  <c r="G80" i="36" s="1"/>
  <c r="AO73" i="5"/>
  <c r="J54" i="36"/>
  <c r="J83" i="36" s="1"/>
  <c r="AF95" i="5"/>
  <c r="AE72" i="5"/>
  <c r="K51" i="6"/>
  <c r="K77" i="6" s="1"/>
  <c r="E47" i="36"/>
  <c r="E76" i="36" s="1"/>
  <c r="O43" i="6"/>
  <c r="O69" i="6" s="1"/>
  <c r="P77" i="5"/>
  <c r="H46" i="36"/>
  <c r="H75" i="36" s="1"/>
  <c r="B72" i="5"/>
  <c r="AB71" i="5"/>
  <c r="O39" i="6"/>
  <c r="O65" i="6" s="1"/>
  <c r="G39" i="6"/>
  <c r="G65" i="6" s="1"/>
  <c r="E136" i="5"/>
  <c r="AH125" i="5"/>
  <c r="AA129" i="5"/>
  <c r="H130" i="5"/>
  <c r="Q122" i="5"/>
  <c r="AN140" i="5"/>
  <c r="G130" i="5"/>
  <c r="N137" i="5"/>
  <c r="K122" i="5"/>
  <c r="H136" i="5"/>
  <c r="I139" i="5"/>
  <c r="H123" i="5"/>
  <c r="I140" i="5"/>
  <c r="AH136" i="5"/>
  <c r="K136" i="5"/>
  <c r="G26" i="36"/>
  <c r="CM107" i="5"/>
  <c r="G137" i="5"/>
  <c r="M123" i="5"/>
  <c r="M140" i="5"/>
  <c r="P123" i="5"/>
  <c r="Q141" i="5"/>
  <c r="Z140" i="5"/>
  <c r="AE137" i="5"/>
  <c r="AD137" i="5"/>
  <c r="AG137" i="5"/>
  <c r="AK129" i="5"/>
  <c r="AL123" i="5"/>
  <c r="AN125" i="5"/>
  <c r="AN139" i="5"/>
  <c r="AG125" i="5"/>
  <c r="R140" i="5"/>
  <c r="X141" i="5"/>
  <c r="AJ140" i="5"/>
  <c r="AK125" i="5"/>
  <c r="AA141" i="5"/>
  <c r="C139" i="5"/>
  <c r="Z122" i="5"/>
  <c r="N125" i="5"/>
  <c r="CL129" i="5"/>
  <c r="CM140" i="5"/>
  <c r="AI77" i="5"/>
  <c r="I54" i="36"/>
  <c r="I83" i="36" s="1"/>
  <c r="G73" i="5"/>
  <c r="R51" i="6"/>
  <c r="R77" i="6" s="1"/>
  <c r="Z73" i="5"/>
  <c r="AH77" i="5"/>
  <c r="S80" i="5"/>
  <c r="AN77" i="5"/>
  <c r="S51" i="6"/>
  <c r="S77" i="6" s="1"/>
  <c r="I51" i="36"/>
  <c r="I80" i="36" s="1"/>
  <c r="Q46" i="6"/>
  <c r="Q72" i="6" s="1"/>
  <c r="H35" i="6"/>
  <c r="H61" i="6" s="1"/>
  <c r="F51" i="6"/>
  <c r="F77" i="6" s="1"/>
  <c r="Z77" i="5"/>
  <c r="X72" i="5"/>
  <c r="E40" i="6"/>
  <c r="E66" i="6" s="1"/>
  <c r="H45" i="36"/>
  <c r="H74" i="36" s="1"/>
  <c r="R71" i="5"/>
  <c r="D39" i="6"/>
  <c r="D65" i="6" s="1"/>
  <c r="AL80" i="5"/>
  <c r="AK71" i="5"/>
  <c r="M73" i="5"/>
  <c r="X73" i="5"/>
  <c r="P73" i="5"/>
  <c r="X77" i="5"/>
  <c r="R40" i="6"/>
  <c r="R66" i="6" s="1"/>
  <c r="X71" i="5"/>
  <c r="E45" i="36"/>
  <c r="D71" i="5"/>
  <c r="N122" i="5"/>
  <c r="AH137" i="5"/>
  <c r="N136" i="5"/>
  <c r="I122" i="5"/>
  <c r="X122" i="5"/>
  <c r="G125" i="5"/>
  <c r="G123" i="5"/>
  <c r="AH123" i="5"/>
  <c r="S123" i="5"/>
  <c r="H125" i="5"/>
  <c r="F122" i="5"/>
  <c r="AI136" i="5"/>
  <c r="R136" i="5"/>
  <c r="Q129" i="5"/>
  <c r="CH141" i="5"/>
  <c r="AG141" i="5"/>
  <c r="AP141" i="5"/>
  <c r="W141" i="5"/>
  <c r="L141" i="5"/>
  <c r="CA141" i="5"/>
  <c r="U141" i="5"/>
  <c r="AW141" i="5"/>
  <c r="BZ141" i="5"/>
  <c r="AU141" i="5"/>
  <c r="AR141" i="5"/>
  <c r="AS141" i="5"/>
  <c r="O141" i="5"/>
  <c r="AF141" i="5"/>
  <c r="Y141" i="5"/>
  <c r="AT141" i="5"/>
  <c r="BC141" i="5"/>
  <c r="B141" i="5"/>
  <c r="AK141" i="5"/>
  <c r="C141" i="5"/>
  <c r="T141" i="5"/>
  <c r="AC141" i="5"/>
  <c r="H141" i="5"/>
  <c r="V141" i="5"/>
  <c r="BD141" i="5"/>
  <c r="BB141" i="5"/>
  <c r="I141" i="5"/>
  <c r="AQ141" i="5"/>
  <c r="BI141" i="5"/>
  <c r="AV141" i="5"/>
  <c r="AE141" i="5"/>
  <c r="CO141" i="5"/>
  <c r="CF141" i="5"/>
  <c r="CN141" i="5"/>
  <c r="CG141" i="5"/>
  <c r="CK141" i="5"/>
  <c r="G139" i="5"/>
  <c r="T139" i="5"/>
  <c r="Y139" i="5"/>
  <c r="V139" i="5"/>
  <c r="AQ139" i="5"/>
  <c r="AR139" i="5"/>
  <c r="AW139" i="5"/>
  <c r="AT139" i="5"/>
  <c r="AF139" i="5"/>
  <c r="AU139" i="5"/>
  <c r="AC139" i="5"/>
  <c r="AP139" i="5"/>
  <c r="AB139" i="5"/>
  <c r="B139" i="5"/>
  <c r="L139" i="5"/>
  <c r="U139" i="5"/>
  <c r="AS139" i="5"/>
  <c r="W139" i="5"/>
  <c r="AV139" i="5"/>
  <c r="O139" i="5"/>
  <c r="CO139" i="5"/>
  <c r="CL139" i="5"/>
  <c r="CI139" i="5"/>
  <c r="CN139" i="5"/>
  <c r="CM139" i="5"/>
  <c r="CG139" i="5"/>
  <c r="CH139" i="5"/>
  <c r="CF139" i="5"/>
  <c r="CK139" i="5"/>
  <c r="G141" i="5"/>
  <c r="I137" i="5"/>
  <c r="K140" i="5"/>
  <c r="M141" i="5"/>
  <c r="P139" i="5"/>
  <c r="P137" i="5"/>
  <c r="I136" i="5"/>
  <c r="X137" i="5"/>
  <c r="Z139" i="5"/>
  <c r="AB123" i="5"/>
  <c r="AE123" i="5"/>
  <c r="AE129" i="5"/>
  <c r="AJ137" i="5"/>
  <c r="AM139" i="5"/>
  <c r="AO140" i="5"/>
  <c r="AO130" i="5"/>
  <c r="AL136" i="5"/>
  <c r="AM136" i="5"/>
  <c r="AO125" i="5"/>
  <c r="R130" i="5"/>
  <c r="AI123" i="5"/>
  <c r="Q140" i="5"/>
  <c r="AH129" i="5"/>
  <c r="AJ136" i="5"/>
  <c r="AD123" i="5"/>
  <c r="N141" i="5"/>
  <c r="Q136" i="5"/>
  <c r="Q123" i="5"/>
  <c r="C136" i="5"/>
  <c r="CJ122" i="5"/>
  <c r="CM137" i="5"/>
  <c r="AO72" i="5"/>
  <c r="U46" i="6"/>
  <c r="U72" i="6" s="1"/>
  <c r="S73" i="5"/>
  <c r="S82" i="5"/>
  <c r="AE71" i="5"/>
  <c r="AL73" i="5"/>
  <c r="V39" i="6"/>
  <c r="AH73" i="5"/>
  <c r="AO80" i="5"/>
  <c r="AJ73" i="5"/>
  <c r="U43" i="6"/>
  <c r="U69" i="6" s="1"/>
  <c r="I47" i="36"/>
  <c r="I76" i="36" s="1"/>
  <c r="S39" i="6"/>
  <c r="S65" i="6" s="1"/>
  <c r="D47" i="36"/>
  <c r="D76" i="36" s="1"/>
  <c r="O40" i="6"/>
  <c r="O66" i="6" s="1"/>
  <c r="L39" i="6"/>
  <c r="L65" i="6" s="1"/>
  <c r="K32" i="6"/>
  <c r="K58" i="6" s="1"/>
  <c r="AO77" i="5"/>
  <c r="AH80" i="5"/>
  <c r="O51" i="6"/>
  <c r="O77" i="6" s="1"/>
  <c r="AB77" i="5"/>
  <c r="D40" i="6"/>
  <c r="D66" i="6" s="1"/>
  <c r="Q39" i="6"/>
  <c r="Q65" i="6" s="1"/>
  <c r="H71" i="5"/>
  <c r="AB62" i="5"/>
  <c r="M130" i="5"/>
  <c r="AI122" i="5"/>
  <c r="M125" i="5"/>
  <c r="K123" i="5"/>
  <c r="AA140" i="5"/>
  <c r="AI141" i="5"/>
  <c r="CG123" i="5"/>
  <c r="AA123" i="5"/>
  <c r="S125" i="5"/>
  <c r="CG125" i="5"/>
  <c r="AH141" i="5"/>
  <c r="N129" i="5"/>
  <c r="I125" i="5"/>
  <c r="AA122" i="5"/>
  <c r="AN122" i="5"/>
  <c r="H137" i="5"/>
  <c r="CF136" i="5"/>
  <c r="AU136" i="5"/>
  <c r="AV136" i="5"/>
  <c r="AW136" i="5"/>
  <c r="S136" i="5"/>
  <c r="T136" i="5"/>
  <c r="Y136" i="5"/>
  <c r="AT136" i="5"/>
  <c r="AQ136" i="5"/>
  <c r="U136" i="5"/>
  <c r="AF136" i="5"/>
  <c r="V136" i="5"/>
  <c r="W136" i="5"/>
  <c r="BX136" i="5"/>
  <c r="B136" i="5"/>
  <c r="AR136" i="5"/>
  <c r="AS136" i="5"/>
  <c r="O136" i="5"/>
  <c r="AP136" i="5"/>
  <c r="L136" i="5"/>
  <c r="AC136" i="5"/>
  <c r="D136" i="5"/>
  <c r="CO136" i="5"/>
  <c r="CN136" i="5"/>
  <c r="CH136" i="5"/>
  <c r="CL136" i="5"/>
  <c r="CK136" i="5"/>
  <c r="CJ136" i="5"/>
  <c r="CG136" i="5"/>
  <c r="P130" i="5"/>
  <c r="BD130" i="5"/>
  <c r="AC130" i="5"/>
  <c r="J130" i="5"/>
  <c r="AP130" i="5"/>
  <c r="BG130" i="5"/>
  <c r="CI130" i="5"/>
  <c r="CG130" i="5"/>
  <c r="AJ130" i="5"/>
  <c r="I130" i="5"/>
  <c r="AS130" i="5"/>
  <c r="AD130" i="5"/>
  <c r="BN130" i="5"/>
  <c r="AU130" i="5"/>
  <c r="AM130" i="5"/>
  <c r="L130" i="5"/>
  <c r="E130" i="5"/>
  <c r="BI130" i="5"/>
  <c r="BJ130" i="5"/>
  <c r="CE130" i="5"/>
  <c r="AR130" i="5"/>
  <c r="AG130" i="5"/>
  <c r="AH130" i="5"/>
  <c r="CH130" i="5"/>
  <c r="BO130" i="5"/>
  <c r="BH130" i="5"/>
  <c r="AW130" i="5"/>
  <c r="AT130" i="5"/>
  <c r="CA130" i="5"/>
  <c r="B130" i="5"/>
  <c r="AV130" i="5"/>
  <c r="AL130" i="5"/>
  <c r="BY130" i="5"/>
  <c r="Y130" i="5"/>
  <c r="AQ130" i="5"/>
  <c r="AK130" i="5"/>
  <c r="O130" i="5"/>
  <c r="AF130" i="5"/>
  <c r="Z130" i="5"/>
  <c r="W130" i="5"/>
  <c r="U130" i="5"/>
  <c r="K130" i="5"/>
  <c r="T130" i="5"/>
  <c r="V130" i="5"/>
  <c r="BM130" i="5"/>
  <c r="CN130" i="5"/>
  <c r="CK130" i="5"/>
  <c r="CJ130" i="5"/>
  <c r="CM130" i="5"/>
  <c r="CO130" i="5"/>
  <c r="CF130" i="5"/>
  <c r="CL130" i="5"/>
  <c r="M137" i="5"/>
  <c r="R141" i="5"/>
  <c r="R137" i="5"/>
  <c r="X136" i="5"/>
  <c r="J140" i="5"/>
  <c r="X139" i="5"/>
  <c r="Z123" i="5"/>
  <c r="Z136" i="5"/>
  <c r="AB136" i="5"/>
  <c r="AK137" i="5"/>
  <c r="AL139" i="5"/>
  <c r="AM137" i="5"/>
  <c r="AN129" i="5"/>
  <c r="AO137" i="5"/>
  <c r="R123" i="5"/>
  <c r="AA137" i="5"/>
  <c r="AB125" i="5"/>
  <c r="CJ141" i="5"/>
  <c r="CL141" i="5"/>
  <c r="AJ80" i="5"/>
  <c r="AI71" i="5"/>
  <c r="S46" i="6"/>
  <c r="S72" i="6" s="1"/>
  <c r="K82" i="5"/>
  <c r="R73" i="5"/>
  <c r="F47" i="36"/>
  <c r="F76" i="36" s="1"/>
  <c r="H51" i="6"/>
  <c r="H77" i="6" s="1"/>
  <c r="AL77" i="5"/>
  <c r="J45" i="36"/>
  <c r="J74" i="36" s="1"/>
  <c r="T51" i="6"/>
  <c r="T77" i="6" s="1"/>
  <c r="I45" i="36"/>
  <c r="I74" i="36" s="1"/>
  <c r="CI94" i="5"/>
  <c r="AB80" i="5"/>
  <c r="AD71" i="5"/>
  <c r="Z71" i="5"/>
  <c r="D45" i="36"/>
  <c r="D74" i="36" s="1"/>
  <c r="P62" i="5"/>
  <c r="V46" i="6"/>
  <c r="AK73" i="5"/>
  <c r="AJ68" i="5"/>
  <c r="T46" i="6"/>
  <c r="T72" i="6" s="1"/>
  <c r="P71" i="5"/>
  <c r="F140" i="5"/>
  <c r="AD139" i="5"/>
  <c r="R122" i="5"/>
  <c r="J139" i="5"/>
  <c r="F137" i="5"/>
  <c r="E122" i="5"/>
  <c r="AB130" i="5"/>
  <c r="G140" i="5"/>
  <c r="D137" i="5"/>
  <c r="CH122" i="5"/>
  <c r="AA130" i="5"/>
  <c r="AE122" i="5"/>
  <c r="H139" i="5"/>
  <c r="C130" i="5"/>
  <c r="N123" i="5"/>
  <c r="P122" i="5"/>
  <c r="E129" i="5"/>
  <c r="N139" i="5"/>
  <c r="Q137" i="5"/>
  <c r="I15" i="36"/>
  <c r="AV41" i="6"/>
  <c r="AW123" i="5"/>
  <c r="AQ123" i="5"/>
  <c r="AV123" i="5"/>
  <c r="Y123" i="5"/>
  <c r="AT123" i="5"/>
  <c r="T123" i="5"/>
  <c r="U123" i="5"/>
  <c r="W123" i="5"/>
  <c r="V123" i="5"/>
  <c r="AF123" i="5"/>
  <c r="O123" i="5"/>
  <c r="B123" i="5"/>
  <c r="AR123" i="5"/>
  <c r="AS123" i="5"/>
  <c r="AP123" i="5"/>
  <c r="L123" i="5"/>
  <c r="AC123" i="5"/>
  <c r="AU123" i="5"/>
  <c r="CF123" i="5"/>
  <c r="CN123" i="5"/>
  <c r="CO123" i="5"/>
  <c r="CK123" i="5"/>
  <c r="CI123" i="5"/>
  <c r="CH123" i="5"/>
  <c r="CJ123" i="5"/>
  <c r="CM123" i="5"/>
  <c r="CL123" i="5"/>
  <c r="J137" i="5"/>
  <c r="P141" i="5"/>
  <c r="S139" i="5"/>
  <c r="R139" i="5"/>
  <c r="X125" i="5"/>
  <c r="X130" i="5"/>
  <c r="E125" i="5"/>
  <c r="AE139" i="5"/>
  <c r="AG129" i="5"/>
  <c r="AB137" i="5"/>
  <c r="AJ123" i="5"/>
  <c r="AJ141" i="5"/>
  <c r="AM123" i="5"/>
  <c r="AM141" i="5"/>
  <c r="AO123" i="5"/>
  <c r="AJ129" i="5"/>
  <c r="AO136" i="5"/>
  <c r="AL125" i="5"/>
  <c r="AH140" i="5"/>
  <c r="Q125" i="5"/>
  <c r="AL137" i="5"/>
  <c r="Q130" i="5"/>
  <c r="AF122" i="5"/>
  <c r="AS122" i="5"/>
  <c r="W122" i="5"/>
  <c r="U122" i="5"/>
  <c r="AP122" i="5"/>
  <c r="B122" i="5"/>
  <c r="AC122" i="5"/>
  <c r="AU122" i="5"/>
  <c r="AR122" i="5"/>
  <c r="AT122" i="5"/>
  <c r="Y122" i="5"/>
  <c r="AQ122" i="5"/>
  <c r="O122" i="5"/>
  <c r="T122" i="5"/>
  <c r="AV122" i="5"/>
  <c r="V122" i="5"/>
  <c r="L122" i="5"/>
  <c r="AW122" i="5"/>
  <c r="CN122" i="5"/>
  <c r="CO122" i="5"/>
  <c r="CG122" i="5"/>
  <c r="CK122" i="5"/>
  <c r="CM122" i="5"/>
  <c r="CF122" i="5"/>
  <c r="CI122" i="5"/>
  <c r="AI130" i="5"/>
  <c r="AI140" i="5"/>
  <c r="CL137" i="5"/>
  <c r="CM125" i="5"/>
  <c r="CM136" i="5"/>
  <c r="AO63" i="5"/>
  <c r="AE73" i="5"/>
  <c r="L51" i="6"/>
  <c r="J47" i="36"/>
  <c r="J76" i="36" s="1"/>
  <c r="J51" i="36"/>
  <c r="J80" i="36" s="1"/>
  <c r="AL71" i="5"/>
  <c r="AH71" i="5"/>
  <c r="M83" i="5"/>
  <c r="Q65" i="5"/>
  <c r="AN71" i="5"/>
  <c r="U51" i="6"/>
  <c r="U77" i="6" s="1"/>
  <c r="AJ71" i="5"/>
  <c r="P43" i="6"/>
  <c r="P69" i="6" s="1"/>
  <c r="L43" i="6"/>
  <c r="L69" i="6" s="1"/>
  <c r="P39" i="6"/>
  <c r="P65" i="6" s="1"/>
  <c r="B71" i="5"/>
  <c r="H46" i="6"/>
  <c r="L35" i="6"/>
  <c r="AO71" i="5"/>
  <c r="S26" i="6"/>
  <c r="G47" i="36"/>
  <c r="G76" i="36" s="1"/>
  <c r="F46" i="36"/>
  <c r="F75" i="36" s="1"/>
  <c r="K39" i="6"/>
  <c r="K65" i="6" s="1"/>
  <c r="I129" i="5"/>
  <c r="J141" i="5"/>
  <c r="F123" i="5"/>
  <c r="G122" i="5"/>
  <c r="AK136" i="5"/>
  <c r="AA136" i="5"/>
  <c r="E137" i="5"/>
  <c r="CI141" i="5"/>
  <c r="E139" i="5"/>
  <c r="C137" i="5"/>
  <c r="CI140" i="5"/>
  <c r="N130" i="5"/>
  <c r="CI137" i="5"/>
  <c r="AI125" i="5"/>
  <c r="M122" i="5"/>
  <c r="C122" i="5"/>
  <c r="AA125" i="5"/>
  <c r="D141" i="5"/>
  <c r="C125" i="5"/>
  <c r="CN110" i="5"/>
  <c r="K81" i="5"/>
  <c r="K110" i="5"/>
  <c r="K78" i="5"/>
  <c r="K107" i="5"/>
  <c r="R49" i="6"/>
  <c r="R25" i="6"/>
  <c r="AD83" i="5"/>
  <c r="AD112" i="5"/>
  <c r="H22" i="36"/>
  <c r="P41" i="6"/>
  <c r="Z75" i="5"/>
  <c r="H49" i="36"/>
  <c r="P17" i="6"/>
  <c r="Z104" i="5"/>
  <c r="O70" i="5"/>
  <c r="O69" i="5" s="1"/>
  <c r="O99" i="5"/>
  <c r="G92" i="5"/>
  <c r="G63" i="5"/>
  <c r="I18" i="6"/>
  <c r="L76" i="5"/>
  <c r="L105" i="5"/>
  <c r="D15" i="36"/>
  <c r="B97" i="5"/>
  <c r="D42" i="36"/>
  <c r="D50" i="6"/>
  <c r="B68" i="5"/>
  <c r="D26" i="6"/>
  <c r="W97" i="5"/>
  <c r="U97" i="5"/>
  <c r="AQ75" i="5"/>
  <c r="AQ104" i="5"/>
  <c r="X13" i="6"/>
  <c r="AP67" i="5"/>
  <c r="AP96" i="5"/>
  <c r="J22" i="36"/>
  <c r="J49" i="36"/>
  <c r="AL75" i="5"/>
  <c r="V17" i="6"/>
  <c r="V41" i="6"/>
  <c r="AL104" i="5"/>
  <c r="AI63" i="5"/>
  <c r="AI92" i="5"/>
  <c r="Z17" i="6"/>
  <c r="AT75" i="5"/>
  <c r="AT104" i="5"/>
  <c r="AN66" i="5"/>
  <c r="W12" i="6"/>
  <c r="W62" i="6" s="1"/>
  <c r="AN95" i="5"/>
  <c r="AK76" i="5"/>
  <c r="AK105" i="5"/>
  <c r="T37" i="6"/>
  <c r="T13" i="6"/>
  <c r="AH67" i="5"/>
  <c r="AH96" i="5"/>
  <c r="AX110" i="5"/>
  <c r="C76" i="5"/>
  <c r="C105" i="5"/>
  <c r="AS66" i="5"/>
  <c r="AS95" i="5"/>
  <c r="W10" i="6"/>
  <c r="AN64" i="5"/>
  <c r="AN93" i="5"/>
  <c r="AK78" i="5"/>
  <c r="AK107" i="5"/>
  <c r="AI67" i="5"/>
  <c r="AI96" i="5"/>
  <c r="I14" i="36"/>
  <c r="S13" i="6"/>
  <c r="I41" i="36"/>
  <c r="AF67" i="5"/>
  <c r="S37" i="6"/>
  <c r="AF96" i="5"/>
  <c r="E81" i="5"/>
  <c r="E110" i="5"/>
  <c r="AK81" i="5"/>
  <c r="AK110" i="5"/>
  <c r="G64" i="5"/>
  <c r="G93" i="5"/>
  <c r="F107" i="5"/>
  <c r="F44" i="6"/>
  <c r="F20" i="6"/>
  <c r="F78" i="5"/>
  <c r="J38" i="6"/>
  <c r="N70" i="5"/>
  <c r="N69" i="5" s="1"/>
  <c r="F44" i="36"/>
  <c r="J14" i="6"/>
  <c r="F17" i="36"/>
  <c r="F16" i="36" s="1"/>
  <c r="N99" i="5"/>
  <c r="K34" i="6"/>
  <c r="P64" i="5"/>
  <c r="K10" i="6"/>
  <c r="P93" i="5"/>
  <c r="Q63" i="5"/>
  <c r="Q92" i="5"/>
  <c r="K42" i="6"/>
  <c r="P76" i="5"/>
  <c r="K18" i="6"/>
  <c r="P105" i="5"/>
  <c r="J13" i="6"/>
  <c r="J37" i="6"/>
  <c r="F14" i="36"/>
  <c r="F41" i="36"/>
  <c r="N67" i="5"/>
  <c r="N96" i="5"/>
  <c r="S63" i="5"/>
  <c r="S92" i="5"/>
  <c r="D56" i="36"/>
  <c r="B111" i="5"/>
  <c r="D29" i="36"/>
  <c r="D48" i="6"/>
  <c r="B82" i="5"/>
  <c r="D24" i="6"/>
  <c r="T111" i="5"/>
  <c r="W111" i="5"/>
  <c r="R10" i="6"/>
  <c r="AD64" i="5"/>
  <c r="R34" i="6"/>
  <c r="AD93" i="5"/>
  <c r="R63" i="5"/>
  <c r="L33" i="6"/>
  <c r="L9" i="6"/>
  <c r="R92" i="5"/>
  <c r="J11" i="6"/>
  <c r="F12" i="36"/>
  <c r="F39" i="36"/>
  <c r="N65" i="5"/>
  <c r="J35" i="6"/>
  <c r="N94" i="5"/>
  <c r="AO81" i="5"/>
  <c r="AO110" i="5"/>
  <c r="S70" i="5"/>
  <c r="S69" i="5" s="1"/>
  <c r="S99" i="5"/>
  <c r="AB78" i="5"/>
  <c r="Q44" i="6"/>
  <c r="Q20" i="6"/>
  <c r="AB107" i="5"/>
  <c r="AS79" i="5"/>
  <c r="AS108" i="5"/>
  <c r="M65" i="5"/>
  <c r="M94" i="5"/>
  <c r="O34" i="6"/>
  <c r="X64" i="5"/>
  <c r="O10" i="6"/>
  <c r="X93" i="5"/>
  <c r="AQ78" i="5"/>
  <c r="AQ107" i="5"/>
  <c r="AI66" i="5"/>
  <c r="AI95" i="5"/>
  <c r="G111" i="5"/>
  <c r="G82" i="5"/>
  <c r="O47" i="6"/>
  <c r="X81" i="5"/>
  <c r="O23" i="6"/>
  <c r="X110" i="5"/>
  <c r="P34" i="6"/>
  <c r="H38" i="36"/>
  <c r="Z64" i="5"/>
  <c r="H11" i="36"/>
  <c r="P10" i="6"/>
  <c r="Z93" i="5"/>
  <c r="AW81" i="5"/>
  <c r="AW110" i="5"/>
  <c r="J13" i="36"/>
  <c r="AL66" i="5"/>
  <c r="V36" i="6"/>
  <c r="J40" i="36"/>
  <c r="V12" i="6"/>
  <c r="AL95" i="5"/>
  <c r="X8" i="6"/>
  <c r="AP62" i="5"/>
  <c r="AP91" i="5"/>
  <c r="T32" i="6"/>
  <c r="AH62" i="5"/>
  <c r="T8" i="6"/>
  <c r="AH91" i="5"/>
  <c r="AA75" i="5"/>
  <c r="AA104" i="5"/>
  <c r="K12" i="6"/>
  <c r="P66" i="5"/>
  <c r="K36" i="6"/>
  <c r="P95" i="5"/>
  <c r="AV76" i="5"/>
  <c r="AA18" i="6"/>
  <c r="AV105" i="5"/>
  <c r="AX107" i="5"/>
  <c r="AA20" i="6"/>
  <c r="AV78" i="5"/>
  <c r="AV107" i="5"/>
  <c r="R8" i="6"/>
  <c r="R32" i="6"/>
  <c r="AD62" i="5"/>
  <c r="AD91" i="5"/>
  <c r="CG105" i="5"/>
  <c r="CG76" i="5"/>
  <c r="CI76" i="5"/>
  <c r="CI105" i="5"/>
  <c r="AT44" i="6"/>
  <c r="R52" i="36"/>
  <c r="AT20" i="6"/>
  <c r="R25" i="36"/>
  <c r="CH78" i="5"/>
  <c r="CH107" i="5"/>
  <c r="AV18" i="6"/>
  <c r="CL105" i="5"/>
  <c r="AV42" i="6"/>
  <c r="CL76" i="5"/>
  <c r="CM96" i="5"/>
  <c r="U24" i="6"/>
  <c r="U48" i="6"/>
  <c r="AJ82" i="5"/>
  <c r="AJ111" i="5"/>
  <c r="AT33" i="6"/>
  <c r="R37" i="36"/>
  <c r="AT9" i="6"/>
  <c r="R10" i="36"/>
  <c r="CH92" i="5"/>
  <c r="CH63" i="5"/>
  <c r="CI112" i="5"/>
  <c r="CI83" i="5"/>
  <c r="CK83" i="5"/>
  <c r="CK112" i="5"/>
  <c r="AV24" i="6"/>
  <c r="CL111" i="5"/>
  <c r="CL82" i="5"/>
  <c r="N64" i="6"/>
  <c r="AV21" i="6"/>
  <c r="CL108" i="5"/>
  <c r="AX104" i="5"/>
  <c r="N74" i="6"/>
  <c r="K29" i="36"/>
  <c r="AR82" i="5"/>
  <c r="Y24" i="6"/>
  <c r="AR111" i="5"/>
  <c r="D77" i="6"/>
  <c r="G66" i="6"/>
  <c r="D36" i="36"/>
  <c r="D9" i="36"/>
  <c r="D32" i="6"/>
  <c r="D8" i="6"/>
  <c r="W91" i="5"/>
  <c r="V91" i="5"/>
  <c r="F40" i="36"/>
  <c r="AK91" i="5"/>
  <c r="E97" i="5"/>
  <c r="M91" i="5"/>
  <c r="L66" i="6"/>
  <c r="C83" i="5"/>
  <c r="C112" i="5"/>
  <c r="C107" i="5"/>
  <c r="C78" i="5"/>
  <c r="Y64" i="5"/>
  <c r="Y93" i="5"/>
  <c r="AE83" i="5"/>
  <c r="AE112" i="5"/>
  <c r="AE78" i="5"/>
  <c r="AE107" i="5"/>
  <c r="AC67" i="5"/>
  <c r="AC96" i="5"/>
  <c r="M64" i="5"/>
  <c r="M93" i="5"/>
  <c r="H47" i="6"/>
  <c r="H23" i="6"/>
  <c r="J81" i="5"/>
  <c r="J110" i="5"/>
  <c r="H20" i="6"/>
  <c r="J78" i="5"/>
  <c r="H44" i="6"/>
  <c r="J107" i="5"/>
  <c r="Q76" i="5"/>
  <c r="Q105" i="5"/>
  <c r="AA63" i="5"/>
  <c r="AA92" i="5"/>
  <c r="AC81" i="5"/>
  <c r="AC110" i="5"/>
  <c r="S83" i="5"/>
  <c r="S112" i="5"/>
  <c r="S81" i="5"/>
  <c r="S110" i="5"/>
  <c r="S78" i="5"/>
  <c r="S107" i="5"/>
  <c r="S75" i="5"/>
  <c r="S104" i="5"/>
  <c r="Q67" i="5"/>
  <c r="Q96" i="5"/>
  <c r="E64" i="5"/>
  <c r="E93" i="5"/>
  <c r="D30" i="36"/>
  <c r="D25" i="6"/>
  <c r="D57" i="36"/>
  <c r="B112" i="5"/>
  <c r="B83" i="5"/>
  <c r="D49" i="6"/>
  <c r="V112" i="5"/>
  <c r="D28" i="36"/>
  <c r="D47" i="6"/>
  <c r="D23" i="6"/>
  <c r="B110" i="5"/>
  <c r="B81" i="5"/>
  <c r="D55" i="36"/>
  <c r="D52" i="36"/>
  <c r="D25" i="36"/>
  <c r="D20" i="6"/>
  <c r="B107" i="5"/>
  <c r="D44" i="6"/>
  <c r="B78" i="5"/>
  <c r="V107" i="5"/>
  <c r="O68" i="5"/>
  <c r="O97" i="5"/>
  <c r="I105" i="5"/>
  <c r="I76" i="5"/>
  <c r="AA70" i="5"/>
  <c r="AA69" i="5" s="1"/>
  <c r="AA99" i="5"/>
  <c r="O63" i="5"/>
  <c r="O92" i="5"/>
  <c r="F50" i="6"/>
  <c r="F68" i="5"/>
  <c r="F26" i="6"/>
  <c r="F97" i="5"/>
  <c r="O42" i="6"/>
  <c r="O18" i="6"/>
  <c r="X76" i="5"/>
  <c r="X105" i="5"/>
  <c r="Q81" i="5"/>
  <c r="Q110" i="5"/>
  <c r="J68" i="5"/>
  <c r="H26" i="6"/>
  <c r="H50" i="6"/>
  <c r="J97" i="5"/>
  <c r="AU83" i="5"/>
  <c r="AU112" i="5"/>
  <c r="K30" i="36"/>
  <c r="AR83" i="5"/>
  <c r="Y25" i="6"/>
  <c r="AR112" i="5"/>
  <c r="AQ76" i="5"/>
  <c r="AQ105" i="5"/>
  <c r="AQ64" i="5"/>
  <c r="AQ93" i="5"/>
  <c r="X14" i="6"/>
  <c r="AP70" i="5"/>
  <c r="AP69" i="5" s="1"/>
  <c r="AP99" i="5"/>
  <c r="AO75" i="5"/>
  <c r="AO104" i="5"/>
  <c r="W17" i="6"/>
  <c r="AN75" i="5"/>
  <c r="AN104" i="5"/>
  <c r="J30" i="36"/>
  <c r="AL83" i="5"/>
  <c r="V25" i="6"/>
  <c r="J57" i="36"/>
  <c r="V49" i="6"/>
  <c r="AL112" i="5"/>
  <c r="V11" i="6"/>
  <c r="J12" i="36"/>
  <c r="J39" i="36"/>
  <c r="V35" i="6"/>
  <c r="AL65" i="5"/>
  <c r="AL94" i="5"/>
  <c r="AI79" i="5"/>
  <c r="AI108" i="5"/>
  <c r="AG64" i="5"/>
  <c r="AG93" i="5"/>
  <c r="K68" i="5"/>
  <c r="K97" i="5"/>
  <c r="Z18" i="6"/>
  <c r="AT76" i="5"/>
  <c r="AT105" i="5"/>
  <c r="Z11" i="6"/>
  <c r="AT65" i="5"/>
  <c r="AT94" i="5"/>
  <c r="AS70" i="5"/>
  <c r="AS69" i="5" s="1"/>
  <c r="AS99" i="5"/>
  <c r="AO66" i="5"/>
  <c r="AO95" i="5"/>
  <c r="AM70" i="5"/>
  <c r="AM69" i="5" s="1"/>
  <c r="AM99" i="5"/>
  <c r="V44" i="6"/>
  <c r="J52" i="36"/>
  <c r="AL78" i="5"/>
  <c r="V20" i="6"/>
  <c r="J25" i="36"/>
  <c r="AL107" i="5"/>
  <c r="AK67" i="5"/>
  <c r="AK96" i="5"/>
  <c r="AI78" i="5"/>
  <c r="AI107" i="5"/>
  <c r="T38" i="6"/>
  <c r="AH70" i="5"/>
  <c r="AH69" i="5" s="1"/>
  <c r="T14" i="6"/>
  <c r="AH99" i="5"/>
  <c r="AG70" i="5"/>
  <c r="AG69" i="5" s="1"/>
  <c r="AG99" i="5"/>
  <c r="I25" i="36"/>
  <c r="S44" i="6"/>
  <c r="S20" i="6"/>
  <c r="AF78" i="5"/>
  <c r="I52" i="36"/>
  <c r="AF107" i="5"/>
  <c r="Q79" i="5"/>
  <c r="Q108" i="5"/>
  <c r="E107" i="5"/>
  <c r="E78" i="5"/>
  <c r="K76" i="5"/>
  <c r="K105" i="5"/>
  <c r="AU70" i="5"/>
  <c r="AU69" i="5" s="1"/>
  <c r="AU99" i="5"/>
  <c r="Z26" i="6"/>
  <c r="AT68" i="5"/>
  <c r="AT97" i="5"/>
  <c r="AS78" i="5"/>
  <c r="AS107" i="5"/>
  <c r="K17" i="36"/>
  <c r="K16" i="36" s="1"/>
  <c r="AR70" i="5"/>
  <c r="AR69" i="5" s="1"/>
  <c r="Y14" i="6"/>
  <c r="AR99" i="5"/>
  <c r="AQ81" i="5"/>
  <c r="AQ110" i="5"/>
  <c r="AN81" i="5"/>
  <c r="W23" i="6"/>
  <c r="AN110" i="5"/>
  <c r="AM78" i="5"/>
  <c r="AM107" i="5"/>
  <c r="AK79" i="5"/>
  <c r="AK108" i="5"/>
  <c r="U41" i="6"/>
  <c r="U17" i="6"/>
  <c r="AJ75" i="5"/>
  <c r="AJ104" i="5"/>
  <c r="U8" i="6"/>
  <c r="U32" i="6"/>
  <c r="AJ62" i="5"/>
  <c r="AJ91" i="5"/>
  <c r="AI70" i="5"/>
  <c r="AI99" i="5"/>
  <c r="T12" i="6"/>
  <c r="AH66" i="5"/>
  <c r="T36" i="6"/>
  <c r="AH95" i="5"/>
  <c r="AG78" i="5"/>
  <c r="AG107" i="5"/>
  <c r="AF70" i="5"/>
  <c r="AF69" i="5" s="1"/>
  <c r="I17" i="36"/>
  <c r="I16" i="36" s="1"/>
  <c r="S38" i="6"/>
  <c r="S14" i="6"/>
  <c r="I44" i="36"/>
  <c r="I43" i="36" s="1"/>
  <c r="AF99" i="5"/>
  <c r="M81" i="5"/>
  <c r="M110" i="5"/>
  <c r="Y79" i="5"/>
  <c r="Y108" i="5"/>
  <c r="O76" i="5"/>
  <c r="O105" i="5"/>
  <c r="E99" i="5"/>
  <c r="E70" i="5"/>
  <c r="E69" i="5" s="1"/>
  <c r="Y75" i="5"/>
  <c r="Y104" i="5"/>
  <c r="S64" i="5"/>
  <c r="S93" i="5"/>
  <c r="O64" i="5"/>
  <c r="O93" i="5"/>
  <c r="H79" i="5"/>
  <c r="H108" i="5"/>
  <c r="E53" i="36"/>
  <c r="E26" i="36"/>
  <c r="G45" i="6"/>
  <c r="G21" i="6"/>
  <c r="F25" i="36"/>
  <c r="J44" i="6"/>
  <c r="F52" i="36"/>
  <c r="J20" i="6"/>
  <c r="N78" i="5"/>
  <c r="N107" i="5"/>
  <c r="H18" i="6"/>
  <c r="J76" i="5"/>
  <c r="J105" i="5"/>
  <c r="R17" i="6"/>
  <c r="AD75" i="5"/>
  <c r="AD104" i="5"/>
  <c r="H44" i="36"/>
  <c r="H17" i="36"/>
  <c r="H16" i="36" s="1"/>
  <c r="P38" i="6"/>
  <c r="Z70" i="5"/>
  <c r="P14" i="6"/>
  <c r="Z99" i="5"/>
  <c r="L38" i="6"/>
  <c r="L14" i="6"/>
  <c r="R70" i="5"/>
  <c r="R99" i="5"/>
  <c r="Q10" i="6"/>
  <c r="AB64" i="5"/>
  <c r="Q34" i="6"/>
  <c r="AB93" i="5"/>
  <c r="P8" i="6"/>
  <c r="H36" i="36"/>
  <c r="Z62" i="5"/>
  <c r="H9" i="36"/>
  <c r="P32" i="6"/>
  <c r="Z91" i="5"/>
  <c r="AC66" i="5"/>
  <c r="AC95" i="5"/>
  <c r="AC63" i="5"/>
  <c r="AC92" i="5"/>
  <c r="K50" i="6"/>
  <c r="P68" i="5"/>
  <c r="K26" i="6"/>
  <c r="P97" i="5"/>
  <c r="F112" i="5"/>
  <c r="F83" i="5"/>
  <c r="F25" i="6"/>
  <c r="Q18" i="6"/>
  <c r="Q42" i="6"/>
  <c r="AB76" i="5"/>
  <c r="AB105" i="5"/>
  <c r="Q17" i="6"/>
  <c r="AB75" i="5"/>
  <c r="AB104" i="5"/>
  <c r="G14" i="6"/>
  <c r="H70" i="5"/>
  <c r="H69" i="5" s="1"/>
  <c r="E44" i="36"/>
  <c r="H99" i="5"/>
  <c r="E17" i="36"/>
  <c r="E16" i="36" s="1"/>
  <c r="G38" i="6"/>
  <c r="H41" i="36"/>
  <c r="P13" i="6"/>
  <c r="H14" i="36"/>
  <c r="P37" i="6"/>
  <c r="Z67" i="5"/>
  <c r="Z96" i="5"/>
  <c r="AE79" i="5"/>
  <c r="AE108" i="5"/>
  <c r="I99" i="5"/>
  <c r="I70" i="5"/>
  <c r="I69" i="5" s="1"/>
  <c r="AE63" i="5"/>
  <c r="AE92" i="5"/>
  <c r="Y63" i="5"/>
  <c r="Y92" i="5"/>
  <c r="I26" i="6"/>
  <c r="I50" i="6"/>
  <c r="L68" i="5"/>
  <c r="L97" i="5"/>
  <c r="H24" i="6"/>
  <c r="H48" i="6"/>
  <c r="J82" i="5"/>
  <c r="J111" i="5"/>
  <c r="I14" i="6"/>
  <c r="I38" i="6"/>
  <c r="L70" i="5"/>
  <c r="L69" i="5" s="1"/>
  <c r="L99" i="5"/>
  <c r="H13" i="6"/>
  <c r="J67" i="5"/>
  <c r="J96" i="5"/>
  <c r="D66" i="5"/>
  <c r="E36" i="6"/>
  <c r="D95" i="5"/>
  <c r="E12" i="6"/>
  <c r="D11" i="36"/>
  <c r="D10" i="6"/>
  <c r="B93" i="5"/>
  <c r="B64" i="5"/>
  <c r="D38" i="36"/>
  <c r="D34" i="6"/>
  <c r="U93" i="5"/>
  <c r="V93" i="5"/>
  <c r="H21" i="6"/>
  <c r="J79" i="5"/>
  <c r="H45" i="6"/>
  <c r="J108" i="5"/>
  <c r="H78" i="5"/>
  <c r="G20" i="6"/>
  <c r="H107" i="5"/>
  <c r="E25" i="36"/>
  <c r="E52" i="36"/>
  <c r="G44" i="6"/>
  <c r="AS63" i="5"/>
  <c r="AS92" i="5"/>
  <c r="X20" i="6"/>
  <c r="AP78" i="5"/>
  <c r="AP107" i="5"/>
  <c r="U34" i="6"/>
  <c r="AJ64" i="5"/>
  <c r="U10" i="6"/>
  <c r="AJ93" i="5"/>
  <c r="AH79" i="5"/>
  <c r="T21" i="6"/>
  <c r="T45" i="6"/>
  <c r="AH108" i="5"/>
  <c r="AE70" i="5"/>
  <c r="AE69" i="5" s="1"/>
  <c r="AE99" i="5"/>
  <c r="AA67" i="5"/>
  <c r="AA96" i="5"/>
  <c r="K67" i="5"/>
  <c r="K96" i="5"/>
  <c r="D83" i="5"/>
  <c r="D112" i="5"/>
  <c r="E49" i="6"/>
  <c r="E25" i="6"/>
  <c r="F23" i="36"/>
  <c r="F50" i="36"/>
  <c r="J42" i="6"/>
  <c r="N76" i="5"/>
  <c r="J18" i="6"/>
  <c r="N105" i="5"/>
  <c r="E41" i="36"/>
  <c r="E14" i="36"/>
  <c r="G13" i="6"/>
  <c r="H96" i="5"/>
  <c r="H67" i="5"/>
  <c r="G37" i="6"/>
  <c r="AS68" i="5"/>
  <c r="AS97" i="5"/>
  <c r="AN79" i="5"/>
  <c r="W21" i="6"/>
  <c r="AN108" i="5"/>
  <c r="AE82" i="5"/>
  <c r="AE111" i="5"/>
  <c r="Y65" i="5"/>
  <c r="Y94" i="5"/>
  <c r="K48" i="6"/>
  <c r="K24" i="6"/>
  <c r="P82" i="5"/>
  <c r="P111" i="5"/>
  <c r="F65" i="5"/>
  <c r="F35" i="6"/>
  <c r="F11" i="6"/>
  <c r="F94" i="5"/>
  <c r="X63" i="5"/>
  <c r="O33" i="6"/>
  <c r="O9" i="6"/>
  <c r="X92" i="5"/>
  <c r="Z24" i="6"/>
  <c r="AT82" i="5"/>
  <c r="AT111" i="5"/>
  <c r="K15" i="36"/>
  <c r="Y26" i="6"/>
  <c r="AR68" i="5"/>
  <c r="AR97" i="5"/>
  <c r="AQ79" i="5"/>
  <c r="AQ108" i="5"/>
  <c r="AO78" i="5"/>
  <c r="AO107" i="5"/>
  <c r="U33" i="6"/>
  <c r="AJ63" i="5"/>
  <c r="U9" i="6"/>
  <c r="AJ92" i="5"/>
  <c r="I29" i="36"/>
  <c r="S24" i="6"/>
  <c r="I56" i="36"/>
  <c r="AF82" i="5"/>
  <c r="AF111" i="5"/>
  <c r="E111" i="5"/>
  <c r="E82" i="5"/>
  <c r="G81" i="5"/>
  <c r="G110" i="5"/>
  <c r="Q78" i="5"/>
  <c r="Q107" i="5"/>
  <c r="E48" i="6"/>
  <c r="E24" i="6"/>
  <c r="D111" i="5"/>
  <c r="D82" i="5"/>
  <c r="AD79" i="5"/>
  <c r="R21" i="6"/>
  <c r="R45" i="6"/>
  <c r="AD108" i="5"/>
  <c r="I21" i="6"/>
  <c r="I45" i="6"/>
  <c r="L79" i="5"/>
  <c r="L108" i="5"/>
  <c r="D12" i="36"/>
  <c r="D35" i="6"/>
  <c r="D39" i="36"/>
  <c r="B65" i="5"/>
  <c r="B94" i="5"/>
  <c r="D11" i="6"/>
  <c r="T94" i="5"/>
  <c r="W94" i="5"/>
  <c r="V94" i="5"/>
  <c r="U94" i="5"/>
  <c r="H63" i="5"/>
  <c r="E37" i="36"/>
  <c r="G33" i="6"/>
  <c r="E10" i="36"/>
  <c r="G9" i="6"/>
  <c r="AC62" i="5"/>
  <c r="AC91" i="5"/>
  <c r="AA11" i="6"/>
  <c r="AV65" i="5"/>
  <c r="AV94" i="5"/>
  <c r="Z12" i="6"/>
  <c r="AT66" i="5"/>
  <c r="AT95" i="5"/>
  <c r="AM66" i="5"/>
  <c r="AM95" i="5"/>
  <c r="E95" i="5"/>
  <c r="E66" i="5"/>
  <c r="AW65" i="5"/>
  <c r="AW94" i="5"/>
  <c r="AQ65" i="5"/>
  <c r="AQ94" i="5"/>
  <c r="J9" i="36"/>
  <c r="V32" i="6"/>
  <c r="V8" i="6"/>
  <c r="J36" i="36"/>
  <c r="AL62" i="5"/>
  <c r="AL91" i="5"/>
  <c r="AH64" i="5"/>
  <c r="T34" i="6"/>
  <c r="T10" i="6"/>
  <c r="AH93" i="5"/>
  <c r="AC83" i="5"/>
  <c r="AC112" i="5"/>
  <c r="E75" i="5"/>
  <c r="E104" i="5"/>
  <c r="AE66" i="5"/>
  <c r="AE95" i="5"/>
  <c r="G65" i="5"/>
  <c r="G94" i="5"/>
  <c r="AB66" i="5"/>
  <c r="Q36" i="6"/>
  <c r="Q12" i="6"/>
  <c r="AB95" i="5"/>
  <c r="H62" i="5"/>
  <c r="G8" i="6"/>
  <c r="H91" i="5"/>
  <c r="E9" i="36"/>
  <c r="E36" i="36"/>
  <c r="G32" i="6"/>
  <c r="AW63" i="5"/>
  <c r="AW92" i="5"/>
  <c r="AV67" i="5"/>
  <c r="AA13" i="6"/>
  <c r="AV96" i="5"/>
  <c r="AQ63" i="5"/>
  <c r="AQ92" i="5"/>
  <c r="AG82" i="5"/>
  <c r="AG111" i="5"/>
  <c r="AX105" i="5"/>
  <c r="X83" i="5"/>
  <c r="O49" i="6"/>
  <c r="O25" i="6"/>
  <c r="X112" i="5"/>
  <c r="L65" i="5"/>
  <c r="I11" i="6"/>
  <c r="I35" i="6"/>
  <c r="L94" i="5"/>
  <c r="AV79" i="5"/>
  <c r="AA21" i="6"/>
  <c r="AV108" i="5"/>
  <c r="AW70" i="5"/>
  <c r="AW69" i="5" s="1"/>
  <c r="AW99" i="5"/>
  <c r="X26" i="6"/>
  <c r="AP68" i="5"/>
  <c r="AP97" i="5"/>
  <c r="R36" i="6"/>
  <c r="R12" i="6"/>
  <c r="AD66" i="5"/>
  <c r="AD95" i="5"/>
  <c r="AS33" i="6"/>
  <c r="AS9" i="6"/>
  <c r="CF92" i="5"/>
  <c r="CF63" i="5"/>
  <c r="AS18" i="6"/>
  <c r="CF76" i="5"/>
  <c r="CF105" i="5"/>
  <c r="CG112" i="5"/>
  <c r="CG83" i="5"/>
  <c r="CG67" i="5"/>
  <c r="CG96" i="5"/>
  <c r="CG95" i="5"/>
  <c r="CG66" i="5"/>
  <c r="CI93" i="5"/>
  <c r="CI64" i="5"/>
  <c r="CI96" i="5"/>
  <c r="CI67" i="5"/>
  <c r="R22" i="36"/>
  <c r="R49" i="36"/>
  <c r="AT17" i="6"/>
  <c r="AT41" i="6"/>
  <c r="CH75" i="5"/>
  <c r="CH104" i="5"/>
  <c r="R53" i="36"/>
  <c r="AT45" i="6"/>
  <c r="AT21" i="6"/>
  <c r="R26" i="36"/>
  <c r="CH79" i="5"/>
  <c r="CH108" i="5"/>
  <c r="AU17" i="6"/>
  <c r="CJ104" i="5"/>
  <c r="AU24" i="6"/>
  <c r="CJ111" i="5"/>
  <c r="AU48" i="6"/>
  <c r="CJ82" i="5"/>
  <c r="CK81" i="5"/>
  <c r="CK110" i="5"/>
  <c r="AV13" i="6"/>
  <c r="CL96" i="5"/>
  <c r="CL67" i="5"/>
  <c r="CM110" i="5"/>
  <c r="CM81" i="5"/>
  <c r="CM99" i="5"/>
  <c r="CM70" i="5"/>
  <c r="CM69" i="5" s="1"/>
  <c r="CM97" i="5"/>
  <c r="CM68" i="5"/>
  <c r="U12" i="6"/>
  <c r="AJ66" i="5"/>
  <c r="U36" i="6"/>
  <c r="AJ95" i="5"/>
  <c r="AS32" i="6"/>
  <c r="AS8" i="6"/>
  <c r="CF91" i="5"/>
  <c r="CF62" i="5"/>
  <c r="AT8" i="6"/>
  <c r="R9" i="36"/>
  <c r="AT32" i="6"/>
  <c r="CH62" i="5"/>
  <c r="CH91" i="5"/>
  <c r="R15" i="36"/>
  <c r="AT26" i="6"/>
  <c r="AT50" i="6"/>
  <c r="R42" i="36"/>
  <c r="CH68" i="5"/>
  <c r="CH97" i="5"/>
  <c r="CI111" i="5"/>
  <c r="CI82" i="5"/>
  <c r="AU12" i="6"/>
  <c r="CJ95" i="5"/>
  <c r="CK65" i="5"/>
  <c r="CK94" i="5"/>
  <c r="CK82" i="5"/>
  <c r="CK111" i="5"/>
  <c r="AV12" i="6"/>
  <c r="CL95" i="5"/>
  <c r="CM108" i="5"/>
  <c r="CJ66" i="5"/>
  <c r="CJ75" i="5"/>
  <c r="CL64" i="5"/>
  <c r="CL83" i="5"/>
  <c r="CM66" i="5"/>
  <c r="AV48" i="6"/>
  <c r="M59" i="6"/>
  <c r="T107" i="5"/>
  <c r="M70" i="6"/>
  <c r="G38" i="36"/>
  <c r="G50" i="36"/>
  <c r="CM111" i="5"/>
  <c r="AV26" i="6"/>
  <c r="AT66" i="6"/>
  <c r="AU81" i="5"/>
  <c r="AU110" i="5"/>
  <c r="AC97" i="5"/>
  <c r="I97" i="5"/>
  <c r="K111" i="5"/>
  <c r="K94" i="5"/>
  <c r="T91" i="5"/>
  <c r="K75" i="36"/>
  <c r="U66" i="6"/>
  <c r="M112" i="5"/>
  <c r="Q111" i="5"/>
  <c r="Q94" i="5"/>
  <c r="U91" i="5"/>
  <c r="V111" i="5"/>
  <c r="N63" i="6"/>
  <c r="T112" i="5"/>
  <c r="AT72" i="6"/>
  <c r="AS65" i="5"/>
  <c r="AS94" i="5"/>
  <c r="K76" i="36"/>
  <c r="J10" i="36"/>
  <c r="V9" i="6"/>
  <c r="J37" i="36"/>
  <c r="AL63" i="5"/>
  <c r="V33" i="6"/>
  <c r="AL92" i="5"/>
  <c r="S69" i="6"/>
  <c r="V110" i="5"/>
  <c r="CI97" i="5"/>
  <c r="CG97" i="5"/>
  <c r="CF95" i="5"/>
  <c r="E30" i="36"/>
  <c r="E57" i="36"/>
  <c r="H83" i="5"/>
  <c r="G49" i="6"/>
  <c r="H112" i="5"/>
  <c r="G25" i="6"/>
  <c r="I72" i="6"/>
  <c r="E72" i="6"/>
  <c r="O32" i="6"/>
  <c r="O8" i="6"/>
  <c r="X62" i="5"/>
  <c r="X91" i="5"/>
  <c r="AU72" i="6"/>
  <c r="C20" i="36"/>
  <c r="Y107" i="36" s="1"/>
  <c r="F69" i="6"/>
  <c r="E75" i="36"/>
  <c r="F65" i="6"/>
  <c r="H8" i="6"/>
  <c r="J62" i="5"/>
  <c r="H32" i="6"/>
  <c r="J91" i="5"/>
  <c r="T110" i="5"/>
  <c r="AW95" i="5"/>
  <c r="N95" i="5"/>
  <c r="F13" i="36"/>
  <c r="AN91" i="5"/>
  <c r="S50" i="6"/>
  <c r="S34" i="6"/>
  <c r="I11" i="36"/>
  <c r="E77" i="6"/>
  <c r="F29" i="36"/>
  <c r="J24" i="6"/>
  <c r="N82" i="5"/>
  <c r="F56" i="36"/>
  <c r="J48" i="6"/>
  <c r="N111" i="5"/>
  <c r="Q69" i="6"/>
  <c r="G69" i="6"/>
  <c r="P66" i="6"/>
  <c r="J66" i="6"/>
  <c r="C19" i="36"/>
  <c r="Y106" i="36" s="1"/>
  <c r="I65" i="6"/>
  <c r="E39" i="36"/>
  <c r="E12" i="36"/>
  <c r="H94" i="5"/>
  <c r="H65" i="5"/>
  <c r="G35" i="6"/>
  <c r="G11" i="6"/>
  <c r="AD94" i="5"/>
  <c r="AB91" i="5"/>
  <c r="K83" i="5"/>
  <c r="K112" i="5"/>
  <c r="I67" i="5"/>
  <c r="I96" i="5"/>
  <c r="AD78" i="5"/>
  <c r="R44" i="6"/>
  <c r="R20" i="6"/>
  <c r="AD107" i="5"/>
  <c r="Y76" i="5"/>
  <c r="Y105" i="5"/>
  <c r="AB81" i="5"/>
  <c r="Q23" i="6"/>
  <c r="Q47" i="6"/>
  <c r="AB110" i="5"/>
  <c r="Z23" i="6"/>
  <c r="AT81" i="5"/>
  <c r="AT110" i="5"/>
  <c r="X25" i="6"/>
  <c r="AP83" i="5"/>
  <c r="AP112" i="5"/>
  <c r="AN70" i="5"/>
  <c r="AN69" i="5" s="1"/>
  <c r="W14" i="6"/>
  <c r="AN99" i="5"/>
  <c r="I30" i="36"/>
  <c r="AF83" i="5"/>
  <c r="S25" i="6"/>
  <c r="I57" i="36"/>
  <c r="AF112" i="5"/>
  <c r="AS67" i="5"/>
  <c r="AS96" i="5"/>
  <c r="AK65" i="5"/>
  <c r="AK94" i="5"/>
  <c r="I79" i="5"/>
  <c r="I108" i="5"/>
  <c r="AU67" i="5"/>
  <c r="AU96" i="5"/>
  <c r="AP81" i="5"/>
  <c r="X23" i="6"/>
  <c r="AP110" i="5"/>
  <c r="AJ70" i="5"/>
  <c r="U38" i="6"/>
  <c r="U14" i="6"/>
  <c r="AJ99" i="5"/>
  <c r="AH63" i="5"/>
  <c r="T9" i="6"/>
  <c r="T33" i="6"/>
  <c r="AH92" i="5"/>
  <c r="Y83" i="5"/>
  <c r="Y112" i="5"/>
  <c r="G76" i="5"/>
  <c r="G105" i="5"/>
  <c r="K64" i="5"/>
  <c r="K93" i="5"/>
  <c r="B76" i="5"/>
  <c r="D42" i="6"/>
  <c r="AW105" i="5"/>
  <c r="D50" i="36"/>
  <c r="D23" i="36"/>
  <c r="B105" i="5"/>
  <c r="D18" i="6"/>
  <c r="U105" i="5"/>
  <c r="W105" i="5"/>
  <c r="J70" i="5"/>
  <c r="J69" i="5" s="1"/>
  <c r="H14" i="6"/>
  <c r="J99" i="5"/>
  <c r="Y67" i="5"/>
  <c r="Y96" i="5"/>
  <c r="E42" i="36"/>
  <c r="G50" i="6"/>
  <c r="E15" i="36"/>
  <c r="G26" i="6"/>
  <c r="H68" i="5"/>
  <c r="H97" i="5"/>
  <c r="E22" i="36"/>
  <c r="H104" i="5"/>
  <c r="E49" i="36"/>
  <c r="H75" i="5"/>
  <c r="G17" i="6"/>
  <c r="G41" i="6"/>
  <c r="AC64" i="5"/>
  <c r="AC93" i="5"/>
  <c r="E50" i="6"/>
  <c r="D68" i="5"/>
  <c r="D97" i="5"/>
  <c r="E26" i="6"/>
  <c r="D41" i="36"/>
  <c r="D14" i="36"/>
  <c r="D37" i="6"/>
  <c r="B67" i="5"/>
  <c r="D13" i="6"/>
  <c r="B96" i="5"/>
  <c r="W96" i="5"/>
  <c r="U96" i="5"/>
  <c r="AI81" i="5"/>
  <c r="AI110" i="5"/>
  <c r="G67" i="5"/>
  <c r="G96" i="5"/>
  <c r="F76" i="5"/>
  <c r="F42" i="6"/>
  <c r="F18" i="6"/>
  <c r="F105" i="5"/>
  <c r="W20" i="6"/>
  <c r="AN78" i="5"/>
  <c r="AN107" i="5"/>
  <c r="E56" i="36"/>
  <c r="E29" i="36"/>
  <c r="H82" i="5"/>
  <c r="G24" i="6"/>
  <c r="H111" i="5"/>
  <c r="AS82" i="5"/>
  <c r="AS111" i="5"/>
  <c r="AN65" i="5"/>
  <c r="W11" i="6"/>
  <c r="AN94" i="5"/>
  <c r="AA79" i="5"/>
  <c r="AA108" i="5"/>
  <c r="R79" i="5"/>
  <c r="L45" i="6"/>
  <c r="L21" i="6"/>
  <c r="R108" i="5"/>
  <c r="P65" i="5"/>
  <c r="K35" i="6"/>
  <c r="K11" i="6"/>
  <c r="P94" i="5"/>
  <c r="AU68" i="5"/>
  <c r="AU97" i="5"/>
  <c r="I91" i="5"/>
  <c r="I62" i="5"/>
  <c r="AV82" i="5"/>
  <c r="AA24" i="6"/>
  <c r="AV111" i="5"/>
  <c r="Q83" i="5"/>
  <c r="Q112" i="5"/>
  <c r="E91" i="5"/>
  <c r="E62" i="5"/>
  <c r="X11" i="6"/>
  <c r="AP65" i="5"/>
  <c r="AP94" i="5"/>
  <c r="L83" i="5"/>
  <c r="I49" i="6"/>
  <c r="I25" i="6"/>
  <c r="L112" i="5"/>
  <c r="AN68" i="5"/>
  <c r="W26" i="6"/>
  <c r="AN97" i="5"/>
  <c r="AS41" i="6"/>
  <c r="AS17" i="6"/>
  <c r="CF75" i="5"/>
  <c r="CF104" i="5"/>
  <c r="CG82" i="5"/>
  <c r="CG111" i="5"/>
  <c r="AT38" i="6"/>
  <c r="R44" i="36"/>
  <c r="R43" i="36" s="1"/>
  <c r="R17" i="36"/>
  <c r="R16" i="36" s="1"/>
  <c r="AT14" i="6"/>
  <c r="CH99" i="5"/>
  <c r="CH70" i="5"/>
  <c r="CH69" i="5" s="1"/>
  <c r="AU23" i="6"/>
  <c r="CJ110" i="5"/>
  <c r="AS34" i="6"/>
  <c r="AS10" i="6"/>
  <c r="CF64" i="5"/>
  <c r="CF93" i="5"/>
  <c r="AU25" i="6"/>
  <c r="CJ112" i="5"/>
  <c r="CO111" i="5"/>
  <c r="CJ81" i="5"/>
  <c r="G23" i="36"/>
  <c r="M62" i="6"/>
  <c r="M58" i="6"/>
  <c r="R83" i="36"/>
  <c r="K74" i="36"/>
  <c r="AT77" i="6"/>
  <c r="O48" i="6"/>
  <c r="X82" i="5"/>
  <c r="O24" i="6"/>
  <c r="X111" i="5"/>
  <c r="G29" i="36"/>
  <c r="G56" i="36"/>
  <c r="L62" i="5"/>
  <c r="I8" i="6"/>
  <c r="I32" i="6"/>
  <c r="L91" i="5"/>
  <c r="I66" i="6"/>
  <c r="U26" i="6"/>
  <c r="I40" i="36"/>
  <c r="AA111" i="5"/>
  <c r="F48" i="6"/>
  <c r="F24" i="6"/>
  <c r="F82" i="5"/>
  <c r="F111" i="5"/>
  <c r="H66" i="6"/>
  <c r="J63" i="5"/>
  <c r="H33" i="6"/>
  <c r="H9" i="6"/>
  <c r="J92" i="5"/>
  <c r="D83" i="36"/>
  <c r="C110" i="5"/>
  <c r="C81" i="5"/>
  <c r="R83" i="5"/>
  <c r="L49" i="6"/>
  <c r="L25" i="6"/>
  <c r="R112" i="5"/>
  <c r="L23" i="6"/>
  <c r="L47" i="6"/>
  <c r="R81" i="5"/>
  <c r="R110" i="5"/>
  <c r="R78" i="5"/>
  <c r="L44" i="6"/>
  <c r="L20" i="6"/>
  <c r="R107" i="5"/>
  <c r="F49" i="36"/>
  <c r="F22" i="36"/>
  <c r="N75" i="5"/>
  <c r="J41" i="6"/>
  <c r="J17" i="6"/>
  <c r="N104" i="5"/>
  <c r="AC76" i="5"/>
  <c r="AC105" i="5"/>
  <c r="M76" i="5"/>
  <c r="M105" i="5"/>
  <c r="G70" i="5"/>
  <c r="G69" i="5" s="1"/>
  <c r="G99" i="5"/>
  <c r="H15" i="36"/>
  <c r="H42" i="36"/>
  <c r="P26" i="6"/>
  <c r="Z68" i="5"/>
  <c r="P50" i="6"/>
  <c r="Z97" i="5"/>
  <c r="K23" i="6"/>
  <c r="P81" i="5"/>
  <c r="K47" i="6"/>
  <c r="P110" i="5"/>
  <c r="E18" i="6"/>
  <c r="D105" i="5"/>
  <c r="D76" i="5"/>
  <c r="R50" i="6"/>
  <c r="R26" i="6"/>
  <c r="AD68" i="5"/>
  <c r="AD97" i="5"/>
  <c r="Z10" i="6"/>
  <c r="AT64" i="5"/>
  <c r="AT93" i="5"/>
  <c r="K10" i="36"/>
  <c r="AR63" i="5"/>
  <c r="Y9" i="6"/>
  <c r="AR92" i="5"/>
  <c r="AQ70" i="5"/>
  <c r="AQ69" i="5" s="1"/>
  <c r="AQ99" i="5"/>
  <c r="X18" i="6"/>
  <c r="AP76" i="5"/>
  <c r="AP105" i="5"/>
  <c r="AP64" i="5"/>
  <c r="X10" i="6"/>
  <c r="AP93" i="5"/>
  <c r="AO67" i="5"/>
  <c r="AO96" i="5"/>
  <c r="AN67" i="5"/>
  <c r="W13" i="6"/>
  <c r="AN96" i="5"/>
  <c r="J17" i="36"/>
  <c r="J16" i="36" s="1"/>
  <c r="V14" i="6"/>
  <c r="AL70" i="5"/>
  <c r="J44" i="36"/>
  <c r="J43" i="36" s="1"/>
  <c r="V38" i="6"/>
  <c r="AL99" i="5"/>
  <c r="U49" i="6"/>
  <c r="AJ83" i="5"/>
  <c r="U25" i="6"/>
  <c r="AJ112" i="5"/>
  <c r="T47" i="6"/>
  <c r="T23" i="6"/>
  <c r="AH81" i="5"/>
  <c r="AH110" i="5"/>
  <c r="AE68" i="5"/>
  <c r="AE97" i="5"/>
  <c r="AU79" i="5"/>
  <c r="AU108" i="5"/>
  <c r="AT70" i="5"/>
  <c r="AT69" i="5" s="1"/>
  <c r="Z14" i="6"/>
  <c r="AT99" i="5"/>
  <c r="AS76" i="5"/>
  <c r="AS105" i="5"/>
  <c r="K25" i="36"/>
  <c r="AR78" i="5"/>
  <c r="Y20" i="6"/>
  <c r="AR107" i="5"/>
  <c r="AM76" i="5"/>
  <c r="AM105" i="5"/>
  <c r="AM65" i="5"/>
  <c r="AM94" i="5"/>
  <c r="AK75" i="5"/>
  <c r="AK104" i="5"/>
  <c r="AJ79" i="5"/>
  <c r="U45" i="6"/>
  <c r="U21" i="6"/>
  <c r="AJ108" i="5"/>
  <c r="T18" i="6"/>
  <c r="AH76" i="5"/>
  <c r="AH105" i="5"/>
  <c r="AG76" i="5"/>
  <c r="AG105" i="5"/>
  <c r="AG65" i="5"/>
  <c r="AG94" i="5"/>
  <c r="AX97" i="5"/>
  <c r="Y78" i="5"/>
  <c r="Y107" i="5"/>
  <c r="AE76" i="5"/>
  <c r="AE105" i="5"/>
  <c r="AU76" i="5"/>
  <c r="AU105" i="5"/>
  <c r="AU65" i="5"/>
  <c r="AU94" i="5"/>
  <c r="Z20" i="6"/>
  <c r="AT78" i="5"/>
  <c r="AT107" i="5"/>
  <c r="K23" i="36"/>
  <c r="Y18" i="6"/>
  <c r="AR76" i="5"/>
  <c r="AR105" i="5"/>
  <c r="K11" i="36"/>
  <c r="Y10" i="6"/>
  <c r="AR64" i="5"/>
  <c r="AR93" i="5"/>
  <c r="AO68" i="5"/>
  <c r="AO97" i="5"/>
  <c r="AM82" i="5"/>
  <c r="AM111" i="5"/>
  <c r="V34" i="6"/>
  <c r="J38" i="36"/>
  <c r="V10" i="6"/>
  <c r="J11" i="36"/>
  <c r="AL64" i="5"/>
  <c r="AL93" i="5"/>
  <c r="AK63" i="5"/>
  <c r="AK92" i="5"/>
  <c r="AJ67" i="5"/>
  <c r="U13" i="6"/>
  <c r="U37" i="6"/>
  <c r="AJ96" i="5"/>
  <c r="AI76" i="5"/>
  <c r="AI105" i="5"/>
  <c r="AI62" i="5"/>
  <c r="AI91" i="5"/>
  <c r="AG68" i="5"/>
  <c r="AG97" i="5"/>
  <c r="I23" i="36"/>
  <c r="S18" i="6"/>
  <c r="AF76" i="5"/>
  <c r="AF105" i="5"/>
  <c r="I12" i="36"/>
  <c r="S11" i="6"/>
  <c r="I39" i="36"/>
  <c r="AF65" i="5"/>
  <c r="S35" i="6"/>
  <c r="AF94" i="5"/>
  <c r="E112" i="5"/>
  <c r="E83" i="5"/>
  <c r="S79" i="5"/>
  <c r="S108" i="5"/>
  <c r="E79" i="5"/>
  <c r="E108" i="5"/>
  <c r="Y70" i="5"/>
  <c r="Y69" i="5" s="1"/>
  <c r="Y99" i="5"/>
  <c r="O83" i="5"/>
  <c r="O112" i="5"/>
  <c r="I65" i="5"/>
  <c r="I94" i="5"/>
  <c r="C64" i="5"/>
  <c r="C93" i="5"/>
  <c r="Q45" i="6"/>
  <c r="AB79" i="5"/>
  <c r="Q21" i="6"/>
  <c r="AB108" i="5"/>
  <c r="D78" i="5"/>
  <c r="E44" i="6"/>
  <c r="E20" i="6"/>
  <c r="D107" i="5"/>
  <c r="R18" i="6"/>
  <c r="R42" i="6"/>
  <c r="AD76" i="5"/>
  <c r="AD105" i="5"/>
  <c r="F41" i="6"/>
  <c r="F104" i="5"/>
  <c r="F17" i="6"/>
  <c r="F75" i="5"/>
  <c r="H17" i="6"/>
  <c r="J75" i="5"/>
  <c r="H41" i="6"/>
  <c r="J104" i="5"/>
  <c r="F99" i="5"/>
  <c r="F14" i="6"/>
  <c r="F70" i="5"/>
  <c r="F69" i="5" s="1"/>
  <c r="D17" i="36"/>
  <c r="D16" i="36" s="1"/>
  <c r="B99" i="5"/>
  <c r="D44" i="36"/>
  <c r="D14" i="6"/>
  <c r="B70" i="5"/>
  <c r="B69" i="5" s="1"/>
  <c r="D38" i="6"/>
  <c r="W99" i="5"/>
  <c r="U99" i="5"/>
  <c r="E11" i="36"/>
  <c r="G34" i="6"/>
  <c r="G10" i="6"/>
  <c r="H93" i="5"/>
  <c r="H64" i="5"/>
  <c r="E38" i="36"/>
  <c r="M67" i="5"/>
  <c r="M96" i="5"/>
  <c r="I95" i="5"/>
  <c r="I66" i="5"/>
  <c r="I63" i="5"/>
  <c r="I92" i="5"/>
  <c r="H30" i="36"/>
  <c r="Z83" i="5"/>
  <c r="P49" i="6"/>
  <c r="H57" i="36"/>
  <c r="P25" i="6"/>
  <c r="Z112" i="5"/>
  <c r="F28" i="36"/>
  <c r="N81" i="5"/>
  <c r="J23" i="6"/>
  <c r="F55" i="36"/>
  <c r="J47" i="6"/>
  <c r="N110" i="5"/>
  <c r="E23" i="36"/>
  <c r="H76" i="5"/>
  <c r="H105" i="5"/>
  <c r="G18" i="6"/>
  <c r="Q38" i="6"/>
  <c r="AB70" i="5"/>
  <c r="Q14" i="6"/>
  <c r="AB99" i="5"/>
  <c r="I37" i="6"/>
  <c r="L67" i="5"/>
  <c r="I13" i="6"/>
  <c r="L96" i="5"/>
  <c r="F67" i="5"/>
  <c r="F37" i="6"/>
  <c r="F13" i="6"/>
  <c r="F96" i="5"/>
  <c r="AC70" i="5"/>
  <c r="AC69" i="5" s="1"/>
  <c r="AC99" i="5"/>
  <c r="Q64" i="5"/>
  <c r="Q93" i="5"/>
  <c r="K63" i="5"/>
  <c r="K92" i="5"/>
  <c r="E92" i="5"/>
  <c r="E63" i="5"/>
  <c r="R48" i="6"/>
  <c r="AD82" i="5"/>
  <c r="R24" i="6"/>
  <c r="AD111" i="5"/>
  <c r="I41" i="6"/>
  <c r="I17" i="6"/>
  <c r="L75" i="5"/>
  <c r="L104" i="5"/>
  <c r="AD67" i="5"/>
  <c r="R13" i="6"/>
  <c r="AD96" i="5"/>
  <c r="O36" i="6"/>
  <c r="X66" i="5"/>
  <c r="O12" i="6"/>
  <c r="X95" i="5"/>
  <c r="L34" i="6"/>
  <c r="R64" i="5"/>
  <c r="L10" i="6"/>
  <c r="R93" i="5"/>
  <c r="F92" i="5"/>
  <c r="F63" i="5"/>
  <c r="F9" i="6"/>
  <c r="F33" i="6"/>
  <c r="H26" i="36"/>
  <c r="Z79" i="5"/>
  <c r="H53" i="36"/>
  <c r="P45" i="6"/>
  <c r="P21" i="6"/>
  <c r="Z108" i="5"/>
  <c r="X24" i="6"/>
  <c r="AP82" i="5"/>
  <c r="AP111" i="5"/>
  <c r="AM83" i="5"/>
  <c r="AM112" i="5"/>
  <c r="T26" i="6"/>
  <c r="AH68" i="5"/>
  <c r="T50" i="6"/>
  <c r="AH97" i="5"/>
  <c r="AA78" i="5"/>
  <c r="AA107" i="5"/>
  <c r="K70" i="5"/>
  <c r="K69" i="5" s="1"/>
  <c r="K99" i="5"/>
  <c r="AE67" i="5"/>
  <c r="AE96" i="5"/>
  <c r="Y62" i="5"/>
  <c r="Y91" i="5"/>
  <c r="K44" i="6"/>
  <c r="P78" i="5"/>
  <c r="K20" i="6"/>
  <c r="P107" i="5"/>
  <c r="E17" i="6"/>
  <c r="D104" i="5"/>
  <c r="D75" i="5"/>
  <c r="H37" i="36"/>
  <c r="P33" i="6"/>
  <c r="H10" i="36"/>
  <c r="Z63" i="5"/>
  <c r="P9" i="6"/>
  <c r="Z92" i="5"/>
  <c r="AO83" i="5"/>
  <c r="AO112" i="5"/>
  <c r="J23" i="36"/>
  <c r="V18" i="6"/>
  <c r="AL76" i="5"/>
  <c r="AL105" i="5"/>
  <c r="Q75" i="5"/>
  <c r="Q104" i="5"/>
  <c r="E65" i="5"/>
  <c r="E94" i="5"/>
  <c r="D94" i="5"/>
  <c r="E35" i="6"/>
  <c r="E11" i="6"/>
  <c r="D65" i="5"/>
  <c r="I34" i="6"/>
  <c r="I10" i="6"/>
  <c r="L64" i="5"/>
  <c r="L93" i="5"/>
  <c r="AS64" i="5"/>
  <c r="AS93" i="5"/>
  <c r="AQ68" i="5"/>
  <c r="AQ97" i="5"/>
  <c r="X12" i="6"/>
  <c r="AP66" i="5"/>
  <c r="AP95" i="5"/>
  <c r="AM62" i="5"/>
  <c r="AM91" i="5"/>
  <c r="T35" i="6"/>
  <c r="AH65" i="5"/>
  <c r="T11" i="6"/>
  <c r="AH94" i="5"/>
  <c r="AA83" i="5"/>
  <c r="AA112" i="5"/>
  <c r="AA81" i="5"/>
  <c r="AA110" i="5"/>
  <c r="O79" i="5"/>
  <c r="O108" i="5"/>
  <c r="AE65" i="5"/>
  <c r="AE94" i="5"/>
  <c r="I47" i="6"/>
  <c r="I23" i="6"/>
  <c r="L81" i="5"/>
  <c r="L110" i="5"/>
  <c r="D53" i="36"/>
  <c r="D26" i="36"/>
  <c r="D45" i="6"/>
  <c r="D21" i="6"/>
  <c r="B79" i="5"/>
  <c r="B108" i="5"/>
  <c r="H66" i="5"/>
  <c r="E40" i="36"/>
  <c r="E13" i="36"/>
  <c r="H95" i="5"/>
  <c r="G36" i="6"/>
  <c r="G12" i="6"/>
  <c r="F38" i="36"/>
  <c r="J10" i="6"/>
  <c r="F11" i="36"/>
  <c r="J34" i="6"/>
  <c r="N64" i="5"/>
  <c r="N93" i="5"/>
  <c r="K79" i="5"/>
  <c r="K108" i="5"/>
  <c r="AW64" i="5"/>
  <c r="AW93" i="5"/>
  <c r="AU66" i="5"/>
  <c r="AU95" i="5"/>
  <c r="AN83" i="5"/>
  <c r="W25" i="6"/>
  <c r="AN112" i="5"/>
  <c r="Y66" i="5"/>
  <c r="Y95" i="5"/>
  <c r="AV81" i="5"/>
  <c r="AA23" i="6"/>
  <c r="AV110" i="5"/>
  <c r="AN63" i="5"/>
  <c r="W9" i="6"/>
  <c r="AN92" i="5"/>
  <c r="AI65" i="5"/>
  <c r="AI94" i="5"/>
  <c r="AG66" i="5"/>
  <c r="AG95" i="5"/>
  <c r="I83" i="5"/>
  <c r="I112" i="5"/>
  <c r="O75" i="5"/>
  <c r="O104" i="5"/>
  <c r="K66" i="5"/>
  <c r="K95" i="5"/>
  <c r="O62" i="5"/>
  <c r="O91" i="5"/>
  <c r="AB63" i="5"/>
  <c r="Q33" i="6"/>
  <c r="Q9" i="6"/>
  <c r="AB92" i="5"/>
  <c r="AW79" i="5"/>
  <c r="AW108" i="5"/>
  <c r="AV75" i="5"/>
  <c r="AA17" i="6"/>
  <c r="AV104" i="5"/>
  <c r="AU63" i="5"/>
  <c r="AU92" i="5"/>
  <c r="AO82" i="5"/>
  <c r="AO111" i="5"/>
  <c r="AX93" i="5"/>
  <c r="AX112" i="5"/>
  <c r="F26" i="36"/>
  <c r="J21" i="6"/>
  <c r="F53" i="36"/>
  <c r="J45" i="6"/>
  <c r="N79" i="5"/>
  <c r="N108" i="5"/>
  <c r="AW62" i="5"/>
  <c r="AW91" i="5"/>
  <c r="AK83" i="5"/>
  <c r="AK112" i="5"/>
  <c r="AS50" i="6"/>
  <c r="AS26" i="6"/>
  <c r="CF68" i="5"/>
  <c r="CF97" i="5"/>
  <c r="AS47" i="6"/>
  <c r="AS23" i="6"/>
  <c r="CF110" i="5"/>
  <c r="CF81" i="5"/>
  <c r="AS38" i="6"/>
  <c r="AS14" i="6"/>
  <c r="CF99" i="5"/>
  <c r="CF70" i="5"/>
  <c r="CF69" i="5" s="1"/>
  <c r="CG104" i="5"/>
  <c r="CG75" i="5"/>
  <c r="CG62" i="5"/>
  <c r="CG91" i="5"/>
  <c r="CG81" i="5"/>
  <c r="CG110" i="5"/>
  <c r="CI104" i="5"/>
  <c r="CI75" i="5"/>
  <c r="AT34" i="6"/>
  <c r="R38" i="36"/>
  <c r="AT10" i="6"/>
  <c r="R11" i="36"/>
  <c r="CH93" i="5"/>
  <c r="CH64" i="5"/>
  <c r="AT37" i="6"/>
  <c r="R41" i="36"/>
  <c r="AT13" i="6"/>
  <c r="R14" i="36"/>
  <c r="CH67" i="5"/>
  <c r="CH96" i="5"/>
  <c r="AT12" i="6"/>
  <c r="R13" i="36"/>
  <c r="R40" i="36"/>
  <c r="AT36" i="6"/>
  <c r="CH95" i="5"/>
  <c r="CH66" i="5"/>
  <c r="AU13" i="6"/>
  <c r="CJ96" i="5"/>
  <c r="AU37" i="6"/>
  <c r="CJ67" i="5"/>
  <c r="CK79" i="5"/>
  <c r="CK108" i="5"/>
  <c r="AV17" i="6"/>
  <c r="CL104" i="5"/>
  <c r="CL75" i="5"/>
  <c r="AV8" i="6"/>
  <c r="CL91" i="5"/>
  <c r="CM105" i="5"/>
  <c r="CM76" i="5"/>
  <c r="CM93" i="5"/>
  <c r="CM64" i="5"/>
  <c r="AI82" i="5"/>
  <c r="AI111" i="5"/>
  <c r="AS35" i="6"/>
  <c r="AS11" i="6"/>
  <c r="CF94" i="5"/>
  <c r="CF65" i="5"/>
  <c r="R29" i="36"/>
  <c r="AT24" i="6"/>
  <c r="R56" i="36"/>
  <c r="AT48" i="6"/>
  <c r="CH82" i="5"/>
  <c r="CH111" i="5"/>
  <c r="CI63" i="5"/>
  <c r="CI92" i="5"/>
  <c r="AU8" i="6"/>
  <c r="CJ91" i="5"/>
  <c r="CJ62" i="5"/>
  <c r="AU32" i="6"/>
  <c r="CK91" i="5"/>
  <c r="CK62" i="5"/>
  <c r="CK67" i="5"/>
  <c r="CK96" i="5"/>
  <c r="AV9" i="6"/>
  <c r="CL92" i="5"/>
  <c r="CL63" i="5"/>
  <c r="CM94" i="5"/>
  <c r="CM65" i="5"/>
  <c r="AV36" i="6"/>
  <c r="AV33" i="6"/>
  <c r="CM67" i="5"/>
  <c r="CM83" i="5"/>
  <c r="AU35" i="6"/>
  <c r="G11" i="36"/>
  <c r="T105" i="5"/>
  <c r="AV20" i="6"/>
  <c r="CL107" i="5"/>
  <c r="CL78" i="5"/>
  <c r="AU11" i="6"/>
  <c r="CI78" i="5"/>
  <c r="CI107" i="5"/>
  <c r="R75" i="36"/>
  <c r="CG94" i="5"/>
  <c r="AU111" i="5"/>
  <c r="K83" i="36"/>
  <c r="AX91" i="5"/>
  <c r="Q97" i="5"/>
  <c r="S111" i="5"/>
  <c r="S94" i="5"/>
  <c r="Q91" i="5"/>
  <c r="J77" i="6"/>
  <c r="G13" i="36"/>
  <c r="N67" i="6"/>
  <c r="G36" i="36"/>
  <c r="AV23" i="6"/>
  <c r="CL110" i="5"/>
  <c r="CL81" i="5"/>
  <c r="AV47" i="6"/>
  <c r="AC111" i="5"/>
  <c r="AA91" i="5"/>
  <c r="U112" i="5"/>
  <c r="N59" i="6"/>
  <c r="N71" i="6"/>
  <c r="V96" i="5"/>
  <c r="G30" i="36"/>
  <c r="M67" i="6"/>
  <c r="CK76" i="5"/>
  <c r="CK105" i="5"/>
  <c r="AU10" i="6"/>
  <c r="CJ93" i="5"/>
  <c r="S62" i="5"/>
  <c r="S91" i="5"/>
  <c r="N73" i="6"/>
  <c r="T108" i="5"/>
  <c r="M64" i="6"/>
  <c r="CJ107" i="5"/>
  <c r="R76" i="36"/>
  <c r="AT69" i="6"/>
  <c r="AT65" i="6"/>
  <c r="CG107" i="5"/>
  <c r="AS36" i="6"/>
  <c r="Q25" i="6"/>
  <c r="AB83" i="5"/>
  <c r="Q49" i="6"/>
  <c r="AB112" i="5"/>
  <c r="I24" i="6"/>
  <c r="L82" i="5"/>
  <c r="I48" i="6"/>
  <c r="L111" i="5"/>
  <c r="O72" i="6"/>
  <c r="L12" i="6"/>
  <c r="L36" i="6"/>
  <c r="R66" i="5"/>
  <c r="R95" i="5"/>
  <c r="G74" i="36"/>
  <c r="C27" i="6"/>
  <c r="L105" i="6" s="1"/>
  <c r="C19" i="6"/>
  <c r="S97" i="6" s="1"/>
  <c r="G75" i="36"/>
  <c r="J65" i="6"/>
  <c r="C18" i="36"/>
  <c r="C15" i="6"/>
  <c r="AS93" i="6" s="1"/>
  <c r="G55" i="36"/>
  <c r="W93" i="5"/>
  <c r="R94" i="5"/>
  <c r="P91" i="5"/>
  <c r="W108" i="5"/>
  <c r="N68" i="6"/>
  <c r="I42" i="36"/>
  <c r="S36" i="6"/>
  <c r="I38" i="36"/>
  <c r="Q77" i="6"/>
  <c r="G77" i="6"/>
  <c r="E69" i="6"/>
  <c r="F66" i="6"/>
  <c r="D9" i="6"/>
  <c r="B63" i="5"/>
  <c r="B92" i="5"/>
  <c r="D10" i="36"/>
  <c r="D37" i="36"/>
  <c r="D33" i="6"/>
  <c r="U92" i="5"/>
  <c r="AX111" i="5"/>
  <c r="J72" i="6"/>
  <c r="C22" i="6"/>
  <c r="T100" i="6" s="1"/>
  <c r="Q32" i="6"/>
  <c r="K75" i="5"/>
  <c r="K104" i="5"/>
  <c r="R23" i="6"/>
  <c r="AD81" i="5"/>
  <c r="R47" i="6"/>
  <c r="AD110" i="5"/>
  <c r="G97" i="5"/>
  <c r="G68" i="5"/>
  <c r="I81" i="5"/>
  <c r="I110" i="5"/>
  <c r="K26" i="36"/>
  <c r="Y21" i="6"/>
  <c r="AR79" i="5"/>
  <c r="AR108" i="5"/>
  <c r="AO70" i="5"/>
  <c r="AO69" i="5" s="1"/>
  <c r="AO99" i="5"/>
  <c r="AK64" i="5"/>
  <c r="AK93" i="5"/>
  <c r="C68" i="5"/>
  <c r="C97" i="5"/>
  <c r="AS83" i="5"/>
  <c r="AS112" i="5"/>
  <c r="AM67" i="5"/>
  <c r="AM96" i="5"/>
  <c r="AI64" i="5"/>
  <c r="AI93" i="5"/>
  <c r="AG67" i="5"/>
  <c r="AG96" i="5"/>
  <c r="G107" i="5"/>
  <c r="G78" i="5"/>
  <c r="Z21" i="6"/>
  <c r="AT79" i="5"/>
  <c r="AT108" i="5"/>
  <c r="K14" i="36"/>
  <c r="AR67" i="5"/>
  <c r="Y13" i="6"/>
  <c r="AR96" i="5"/>
  <c r="AM63" i="5"/>
  <c r="AM92" i="5"/>
  <c r="AI83" i="5"/>
  <c r="AI112" i="5"/>
  <c r="AG63" i="5"/>
  <c r="AG92" i="5"/>
  <c r="M79" i="5"/>
  <c r="M108" i="5"/>
  <c r="O67" i="5"/>
  <c r="O96" i="5"/>
  <c r="O44" i="6"/>
  <c r="O20" i="6"/>
  <c r="X78" i="5"/>
  <c r="X107" i="5"/>
  <c r="R75" i="5"/>
  <c r="L41" i="6"/>
  <c r="L17" i="6"/>
  <c r="R104" i="5"/>
  <c r="F62" i="5"/>
  <c r="F32" i="6"/>
  <c r="F8" i="6"/>
  <c r="F91" i="5"/>
  <c r="Q66" i="5"/>
  <c r="Q95" i="5"/>
  <c r="H28" i="36"/>
  <c r="P47" i="6"/>
  <c r="P23" i="6"/>
  <c r="H55" i="36"/>
  <c r="Z81" i="5"/>
  <c r="Z110" i="5"/>
  <c r="X67" i="5"/>
  <c r="O13" i="6"/>
  <c r="O37" i="6"/>
  <c r="X96" i="5"/>
  <c r="I104" i="5"/>
  <c r="I75" i="5"/>
  <c r="M63" i="5"/>
  <c r="M92" i="5"/>
  <c r="E38" i="6"/>
  <c r="E14" i="6"/>
  <c r="D70" i="5"/>
  <c r="D99" i="5"/>
  <c r="F10" i="36"/>
  <c r="F37" i="36"/>
  <c r="N63" i="5"/>
  <c r="J33" i="6"/>
  <c r="J9" i="6"/>
  <c r="N92" i="5"/>
  <c r="K28" i="36"/>
  <c r="AR81" i="5"/>
  <c r="Y23" i="6"/>
  <c r="AR110" i="5"/>
  <c r="M82" i="5"/>
  <c r="M111" i="5"/>
  <c r="C67" i="5"/>
  <c r="C96" i="5"/>
  <c r="H40" i="36"/>
  <c r="P36" i="6"/>
  <c r="P12" i="6"/>
  <c r="H13" i="36"/>
  <c r="Z66" i="5"/>
  <c r="Z95" i="5"/>
  <c r="AC75" i="5"/>
  <c r="AC104" i="5"/>
  <c r="L63" i="5"/>
  <c r="I9" i="6"/>
  <c r="I33" i="6"/>
  <c r="L92" i="5"/>
  <c r="K13" i="36"/>
  <c r="AR66" i="5"/>
  <c r="Y12" i="6"/>
  <c r="AR95" i="5"/>
  <c r="S23" i="6"/>
  <c r="I55" i="36"/>
  <c r="I28" i="36"/>
  <c r="S47" i="6"/>
  <c r="AF81" i="5"/>
  <c r="AF110" i="5"/>
  <c r="I107" i="5"/>
  <c r="I78" i="5"/>
  <c r="D79" i="5"/>
  <c r="E21" i="6"/>
  <c r="D108" i="5"/>
  <c r="E45" i="6"/>
  <c r="Q37" i="6"/>
  <c r="AB67" i="5"/>
  <c r="Q13" i="6"/>
  <c r="AB96" i="5"/>
  <c r="AO65" i="5"/>
  <c r="AO94" i="5"/>
  <c r="AK68" i="5"/>
  <c r="AK97" i="5"/>
  <c r="S66" i="5"/>
  <c r="S95" i="5"/>
  <c r="AW68" i="5"/>
  <c r="AW97" i="5"/>
  <c r="AV64" i="5"/>
  <c r="AA10" i="6"/>
  <c r="AV93" i="5"/>
  <c r="AG62" i="5"/>
  <c r="AG91" i="5"/>
  <c r="F9" i="36"/>
  <c r="J8" i="6"/>
  <c r="J32" i="6"/>
  <c r="F36" i="36"/>
  <c r="N62" i="5"/>
  <c r="N91" i="5"/>
  <c r="AW67" i="5"/>
  <c r="AW96" i="5"/>
  <c r="AS48" i="6"/>
  <c r="AS24" i="6"/>
  <c r="CF111" i="5"/>
  <c r="CF82" i="5"/>
  <c r="CG93" i="5"/>
  <c r="CG64" i="5"/>
  <c r="AT47" i="6"/>
  <c r="R55" i="36"/>
  <c r="AT23" i="6"/>
  <c r="R28" i="36"/>
  <c r="CH110" i="5"/>
  <c r="CH81" i="5"/>
  <c r="AU14" i="6"/>
  <c r="CJ99" i="5"/>
  <c r="AV10" i="6"/>
  <c r="CL93" i="5"/>
  <c r="CI91" i="5"/>
  <c r="CI62" i="5"/>
  <c r="CK66" i="5"/>
  <c r="CK95" i="5"/>
  <c r="CM78" i="5"/>
  <c r="G25" i="36"/>
  <c r="CI108" i="5"/>
  <c r="CI79" i="5"/>
  <c r="AS69" i="6"/>
  <c r="G14" i="36"/>
  <c r="S66" i="6"/>
  <c r="N76" i="6"/>
  <c r="M75" i="6"/>
  <c r="K80" i="36"/>
  <c r="T66" i="6"/>
  <c r="AE62" i="5"/>
  <c r="AE91" i="5"/>
  <c r="M71" i="6"/>
  <c r="G72" i="6"/>
  <c r="R69" i="6"/>
  <c r="D80" i="36"/>
  <c r="M76" i="6"/>
  <c r="M73" i="6"/>
  <c r="AV97" i="5"/>
  <c r="Y97" i="5"/>
  <c r="AX108" i="5"/>
  <c r="C75" i="5"/>
  <c r="C104" i="5"/>
  <c r="AE81" i="5"/>
  <c r="AE110" i="5"/>
  <c r="AE75" i="5"/>
  <c r="AE104" i="5"/>
  <c r="H49" i="6"/>
  <c r="H25" i="6"/>
  <c r="J83" i="5"/>
  <c r="J112" i="5"/>
  <c r="AA68" i="5"/>
  <c r="AA97" i="5"/>
  <c r="E105" i="5"/>
  <c r="E76" i="5"/>
  <c r="F42" i="36"/>
  <c r="N68" i="5"/>
  <c r="J50" i="6"/>
  <c r="F15" i="36"/>
  <c r="J26" i="6"/>
  <c r="N97" i="5"/>
  <c r="E55" i="36"/>
  <c r="E28" i="36"/>
  <c r="G47" i="6"/>
  <c r="G23" i="6"/>
  <c r="H81" i="5"/>
  <c r="H110" i="5"/>
  <c r="L50" i="6"/>
  <c r="R68" i="5"/>
  <c r="L26" i="6"/>
  <c r="R97" i="5"/>
  <c r="AS81" i="5"/>
  <c r="AS110" i="5"/>
  <c r="AQ83" i="5"/>
  <c r="AQ112" i="5"/>
  <c r="AQ67" i="5"/>
  <c r="AQ96" i="5"/>
  <c r="X17" i="6"/>
  <c r="AP75" i="5"/>
  <c r="AP104" i="5"/>
  <c r="AO76" i="5"/>
  <c r="AO105" i="5"/>
  <c r="W18" i="6"/>
  <c r="AN76" i="5"/>
  <c r="AN105" i="5"/>
  <c r="AM64" i="5"/>
  <c r="AM93" i="5"/>
  <c r="J41" i="36"/>
  <c r="AL67" i="5"/>
  <c r="J14" i="36"/>
  <c r="V13" i="6"/>
  <c r="V37" i="6"/>
  <c r="AL96" i="5"/>
  <c r="AI68" i="5"/>
  <c r="AI97" i="5"/>
  <c r="AG81" i="5"/>
  <c r="AG110" i="5"/>
  <c r="S68" i="5"/>
  <c r="S97" i="5"/>
  <c r="AU78" i="5"/>
  <c r="AU107" i="5"/>
  <c r="Z13" i="6"/>
  <c r="AT67" i="5"/>
  <c r="AT96" i="5"/>
  <c r="AS75" i="5"/>
  <c r="AS104" i="5"/>
  <c r="AO79" i="5"/>
  <c r="AO108" i="5"/>
  <c r="AM75" i="5"/>
  <c r="AM104" i="5"/>
  <c r="J26" i="36"/>
  <c r="J53" i="36"/>
  <c r="AL79" i="5"/>
  <c r="V45" i="6"/>
  <c r="V21" i="6"/>
  <c r="AL108" i="5"/>
  <c r="AK70" i="5"/>
  <c r="AK99" i="5"/>
  <c r="AJ78" i="5"/>
  <c r="U44" i="6"/>
  <c r="U20" i="6"/>
  <c r="AJ107" i="5"/>
  <c r="T17" i="6"/>
  <c r="AH75" i="5"/>
  <c r="T41" i="6"/>
  <c r="AH104" i="5"/>
  <c r="AG75" i="5"/>
  <c r="AG104" i="5"/>
  <c r="I26" i="36"/>
  <c r="I53" i="36"/>
  <c r="S45" i="6"/>
  <c r="S21" i="6"/>
  <c r="AF79" i="5"/>
  <c r="AF108" i="5"/>
  <c r="AC79" i="5"/>
  <c r="AC108" i="5"/>
  <c r="M78" i="5"/>
  <c r="M107" i="5"/>
  <c r="S76" i="5"/>
  <c r="S105" i="5"/>
  <c r="AU75" i="5"/>
  <c r="AU104" i="5"/>
  <c r="AU62" i="5"/>
  <c r="AU91" i="5"/>
  <c r="Z9" i="6"/>
  <c r="AT63" i="5"/>
  <c r="AT92" i="5"/>
  <c r="K22" i="36"/>
  <c r="AR75" i="5"/>
  <c r="Y17" i="6"/>
  <c r="AR104" i="5"/>
  <c r="K9" i="36"/>
  <c r="Y8" i="6"/>
  <c r="AR62" i="5"/>
  <c r="AR91" i="5"/>
  <c r="AO64" i="5"/>
  <c r="AO93" i="5"/>
  <c r="AM79" i="5"/>
  <c r="AM108" i="5"/>
  <c r="AK82" i="5"/>
  <c r="AK111" i="5"/>
  <c r="U18" i="6"/>
  <c r="AJ76" i="5"/>
  <c r="AJ105" i="5"/>
  <c r="U35" i="6"/>
  <c r="AJ65" i="5"/>
  <c r="U11" i="6"/>
  <c r="AJ94" i="5"/>
  <c r="AI75" i="5"/>
  <c r="AI104" i="5"/>
  <c r="AH78" i="5"/>
  <c r="T20" i="6"/>
  <c r="T44" i="6"/>
  <c r="AH107" i="5"/>
  <c r="AG79" i="5"/>
  <c r="AG108" i="5"/>
  <c r="I49" i="36"/>
  <c r="I22" i="36"/>
  <c r="S17" i="6"/>
  <c r="AF75" i="5"/>
  <c r="AF104" i="5"/>
  <c r="I36" i="36"/>
  <c r="I9" i="36"/>
  <c r="AF62" i="5"/>
  <c r="S32" i="6"/>
  <c r="S8" i="6"/>
  <c r="AF91" i="5"/>
  <c r="Y81" i="5"/>
  <c r="Y110" i="5"/>
  <c r="C79" i="5"/>
  <c r="C108" i="5"/>
  <c r="AA76" i="5"/>
  <c r="AA105" i="5"/>
  <c r="M70" i="5"/>
  <c r="M69" i="5" s="1"/>
  <c r="M99" i="5"/>
  <c r="O82" i="5"/>
  <c r="O111" i="5"/>
  <c r="AE64" i="5"/>
  <c r="AE93" i="5"/>
  <c r="AA64" i="5"/>
  <c r="AA93" i="5"/>
  <c r="K45" i="6"/>
  <c r="P79" i="5"/>
  <c r="K21" i="6"/>
  <c r="P108" i="5"/>
  <c r="H52" i="36"/>
  <c r="P44" i="6"/>
  <c r="Z78" i="5"/>
  <c r="H25" i="36"/>
  <c r="P20" i="6"/>
  <c r="Z107" i="5"/>
  <c r="L42" i="6"/>
  <c r="R76" i="5"/>
  <c r="L18" i="6"/>
  <c r="R105" i="5"/>
  <c r="K17" i="6"/>
  <c r="P75" i="5"/>
  <c r="K41" i="6"/>
  <c r="P104" i="5"/>
  <c r="D49" i="36"/>
  <c r="D41" i="6"/>
  <c r="D17" i="6"/>
  <c r="D22" i="36"/>
  <c r="B75" i="5"/>
  <c r="B104" i="5"/>
  <c r="U104" i="5"/>
  <c r="W104" i="5"/>
  <c r="R14" i="6"/>
  <c r="R38" i="6"/>
  <c r="AD70" i="5"/>
  <c r="AD99" i="5"/>
  <c r="J66" i="5"/>
  <c r="H36" i="6"/>
  <c r="H12" i="6"/>
  <c r="J95" i="5"/>
  <c r="D92" i="5"/>
  <c r="D63" i="5"/>
  <c r="E33" i="6"/>
  <c r="E9" i="6"/>
  <c r="E96" i="5"/>
  <c r="E67" i="5"/>
  <c r="AA65" i="5"/>
  <c r="AA94" i="5"/>
  <c r="Q50" i="6"/>
  <c r="Q26" i="6"/>
  <c r="AB68" i="5"/>
  <c r="AB97" i="5"/>
  <c r="F30" i="36"/>
  <c r="F57" i="36"/>
  <c r="J49" i="6"/>
  <c r="N83" i="5"/>
  <c r="J25" i="6"/>
  <c r="N112" i="5"/>
  <c r="F81" i="5"/>
  <c r="F47" i="6"/>
  <c r="F23" i="6"/>
  <c r="F110" i="5"/>
  <c r="O41" i="6"/>
  <c r="X75" i="5"/>
  <c r="O17" i="6"/>
  <c r="X104" i="5"/>
  <c r="K14" i="6"/>
  <c r="K38" i="6"/>
  <c r="P70" i="5"/>
  <c r="P69" i="5" s="1"/>
  <c r="P99" i="5"/>
  <c r="E37" i="6"/>
  <c r="D67" i="5"/>
  <c r="E13" i="6"/>
  <c r="D96" i="5"/>
  <c r="AM81" i="5"/>
  <c r="AM110" i="5"/>
  <c r="Q70" i="5"/>
  <c r="Q69" i="5" s="1"/>
  <c r="Q99" i="5"/>
  <c r="I64" i="5"/>
  <c r="I93" i="5"/>
  <c r="C92" i="5"/>
  <c r="C63" i="5"/>
  <c r="O26" i="6"/>
  <c r="X68" i="5"/>
  <c r="O50" i="6"/>
  <c r="X97" i="5"/>
  <c r="L48" i="6"/>
  <c r="L24" i="6"/>
  <c r="R82" i="5"/>
  <c r="R111" i="5"/>
  <c r="O14" i="6"/>
  <c r="X70" i="5"/>
  <c r="O38" i="6"/>
  <c r="X99" i="5"/>
  <c r="L37" i="6"/>
  <c r="R67" i="5"/>
  <c r="L13" i="6"/>
  <c r="R96" i="5"/>
  <c r="I36" i="6"/>
  <c r="I12" i="6"/>
  <c r="L66" i="5"/>
  <c r="L95" i="5"/>
  <c r="H34" i="6"/>
  <c r="J64" i="5"/>
  <c r="H10" i="6"/>
  <c r="J93" i="5"/>
  <c r="O65" i="5"/>
  <c r="O94" i="5"/>
  <c r="F45" i="6"/>
  <c r="F21" i="6"/>
  <c r="F108" i="5"/>
  <c r="F79" i="5"/>
  <c r="AP79" i="5"/>
  <c r="X21" i="6"/>
  <c r="AP108" i="5"/>
  <c r="J28" i="36"/>
  <c r="J55" i="36"/>
  <c r="AL81" i="5"/>
  <c r="V23" i="6"/>
  <c r="V47" i="6"/>
  <c r="AL110" i="5"/>
  <c r="AH83" i="5"/>
  <c r="T25" i="6"/>
  <c r="AH112" i="5"/>
  <c r="O78" i="5"/>
  <c r="O107" i="5"/>
  <c r="C70" i="5"/>
  <c r="C69" i="5" s="1"/>
  <c r="C99" i="5"/>
  <c r="S67" i="5"/>
  <c r="S96" i="5"/>
  <c r="K62" i="5"/>
  <c r="K91" i="5"/>
  <c r="P42" i="6"/>
  <c r="H50" i="36"/>
  <c r="P18" i="6"/>
  <c r="H23" i="36"/>
  <c r="Z76" i="5"/>
  <c r="Z105" i="5"/>
  <c r="K37" i="6"/>
  <c r="P67" i="5"/>
  <c r="K13" i="6"/>
  <c r="P96" i="5"/>
  <c r="D62" i="5"/>
  <c r="E32" i="6"/>
  <c r="E8" i="6"/>
  <c r="AU64" i="5"/>
  <c r="AU93" i="5"/>
  <c r="AN82" i="5"/>
  <c r="W24" i="6"/>
  <c r="AN111" i="5"/>
  <c r="U23" i="6"/>
  <c r="AJ81" i="5"/>
  <c r="U47" i="6"/>
  <c r="AJ110" i="5"/>
  <c r="C65" i="5"/>
  <c r="C94" i="5"/>
  <c r="Q24" i="6"/>
  <c r="AB82" i="5"/>
  <c r="Q48" i="6"/>
  <c r="AB111" i="5"/>
  <c r="H39" i="36"/>
  <c r="P11" i="6"/>
  <c r="Z65" i="5"/>
  <c r="H12" i="36"/>
  <c r="P35" i="6"/>
  <c r="Z94" i="5"/>
  <c r="E34" i="6"/>
  <c r="E10" i="6"/>
  <c r="D93" i="5"/>
  <c r="D64" i="5"/>
  <c r="AS62" i="5"/>
  <c r="AS91" i="5"/>
  <c r="AQ82" i="5"/>
  <c r="AQ111" i="5"/>
  <c r="X9" i="6"/>
  <c r="AP63" i="5"/>
  <c r="AP92" i="5"/>
  <c r="J15" i="36"/>
  <c r="V50" i="6"/>
  <c r="J42" i="36"/>
  <c r="V26" i="6"/>
  <c r="AL68" i="5"/>
  <c r="AL97" i="5"/>
  <c r="AG83" i="5"/>
  <c r="AG112" i="5"/>
  <c r="G112" i="5"/>
  <c r="G83" i="5"/>
  <c r="O81" i="5"/>
  <c r="O110" i="5"/>
  <c r="G108" i="5"/>
  <c r="G79" i="5"/>
  <c r="AC65" i="5"/>
  <c r="AC94" i="5"/>
  <c r="E47" i="6"/>
  <c r="E23" i="6"/>
  <c r="D81" i="5"/>
  <c r="D110" i="5"/>
  <c r="X79" i="5"/>
  <c r="O21" i="6"/>
  <c r="O45" i="6"/>
  <c r="X108" i="5"/>
  <c r="O11" i="6"/>
  <c r="O35" i="6"/>
  <c r="X65" i="5"/>
  <c r="X94" i="5"/>
  <c r="G12" i="36"/>
  <c r="G39" i="36"/>
  <c r="F10" i="6"/>
  <c r="F93" i="5"/>
  <c r="F34" i="6"/>
  <c r="F64" i="5"/>
  <c r="AA25" i="6"/>
  <c r="AV83" i="5"/>
  <c r="AV112" i="5"/>
  <c r="AT83" i="5"/>
  <c r="Z25" i="6"/>
  <c r="AT112" i="5"/>
  <c r="AM68" i="5"/>
  <c r="AM97" i="5"/>
  <c r="M66" i="5"/>
  <c r="M95" i="5"/>
  <c r="AW83" i="5"/>
  <c r="AW112" i="5"/>
  <c r="Z8" i="6"/>
  <c r="AT62" i="5"/>
  <c r="AT91" i="5"/>
  <c r="J56" i="36"/>
  <c r="J29" i="36"/>
  <c r="V48" i="6"/>
  <c r="AL82" i="5"/>
  <c r="V24" i="6"/>
  <c r="AL111" i="5"/>
  <c r="AH82" i="5"/>
  <c r="T48" i="6"/>
  <c r="T24" i="6"/>
  <c r="AH111" i="5"/>
  <c r="I10" i="36"/>
  <c r="S33" i="6"/>
  <c r="I37" i="36"/>
  <c r="S9" i="6"/>
  <c r="AF63" i="5"/>
  <c r="AF92" i="5"/>
  <c r="M75" i="5"/>
  <c r="M104" i="5"/>
  <c r="G75" i="5"/>
  <c r="G104" i="5"/>
  <c r="C95" i="5"/>
  <c r="C66" i="5"/>
  <c r="G91" i="5"/>
  <c r="G62" i="5"/>
  <c r="P63" i="5"/>
  <c r="K33" i="6"/>
  <c r="K9" i="6"/>
  <c r="P92" i="5"/>
  <c r="AW78" i="5"/>
  <c r="AW107" i="5"/>
  <c r="AA14" i="6"/>
  <c r="AV70" i="5"/>
  <c r="AV69" i="5" s="1"/>
  <c r="AV99" i="5"/>
  <c r="AQ66" i="5"/>
  <c r="AQ95" i="5"/>
  <c r="AO62" i="5"/>
  <c r="AO91" i="5"/>
  <c r="AX96" i="5"/>
  <c r="AC78" i="5"/>
  <c r="AC107" i="5"/>
  <c r="L78" i="5"/>
  <c r="I44" i="6"/>
  <c r="I20" i="6"/>
  <c r="L107" i="5"/>
  <c r="AW75" i="5"/>
  <c r="AW74" i="5" s="1"/>
  <c r="AW104" i="5"/>
  <c r="K12" i="36"/>
  <c r="AR65" i="5"/>
  <c r="Y11" i="6"/>
  <c r="AR94" i="5"/>
  <c r="AD63" i="5"/>
  <c r="R9" i="6"/>
  <c r="R33" i="6"/>
  <c r="AD92" i="5"/>
  <c r="AS44" i="6"/>
  <c r="AS20" i="6"/>
  <c r="CF107" i="5"/>
  <c r="CF78" i="5"/>
  <c r="AS49" i="6"/>
  <c r="AS25" i="6"/>
  <c r="CF83" i="5"/>
  <c r="CF112" i="5"/>
  <c r="AS37" i="6"/>
  <c r="AS13" i="6"/>
  <c r="CF96" i="5"/>
  <c r="CF67" i="5"/>
  <c r="CG70" i="5"/>
  <c r="CG69" i="5" s="1"/>
  <c r="CG99" i="5"/>
  <c r="CG79" i="5"/>
  <c r="CG108" i="5"/>
  <c r="CI81" i="5"/>
  <c r="CI110" i="5"/>
  <c r="CI70" i="5"/>
  <c r="CI69" i="5" s="1"/>
  <c r="CI99" i="5"/>
  <c r="R23" i="36"/>
  <c r="AT18" i="6"/>
  <c r="R50" i="36"/>
  <c r="AT42" i="6"/>
  <c r="CH105" i="5"/>
  <c r="CH76" i="5"/>
  <c r="R12" i="36"/>
  <c r="AT11" i="6"/>
  <c r="AT35" i="6"/>
  <c r="R39" i="36"/>
  <c r="CH65" i="5"/>
  <c r="CH94" i="5"/>
  <c r="AU18" i="6"/>
  <c r="CJ105" i="5"/>
  <c r="CJ76" i="5"/>
  <c r="AU42" i="6"/>
  <c r="AU21" i="6"/>
  <c r="CJ108" i="5"/>
  <c r="CK78" i="5"/>
  <c r="CK107" i="5"/>
  <c r="AV14" i="6"/>
  <c r="CL99" i="5"/>
  <c r="AV38" i="6"/>
  <c r="CL70" i="5"/>
  <c r="CL69" i="5" s="1"/>
  <c r="AV25" i="6"/>
  <c r="CL112" i="5"/>
  <c r="CM104" i="5"/>
  <c r="CM91" i="5"/>
  <c r="CM62" i="5"/>
  <c r="AS45" i="6"/>
  <c r="AS21" i="6"/>
  <c r="CF79" i="5"/>
  <c r="CF108" i="5"/>
  <c r="R30" i="36"/>
  <c r="AT49" i="6"/>
  <c r="R57" i="36"/>
  <c r="AT25" i="6"/>
  <c r="CH83" i="5"/>
  <c r="CH112" i="5"/>
  <c r="CI95" i="5"/>
  <c r="CI66" i="5"/>
  <c r="AU9" i="6"/>
  <c r="CJ92" i="5"/>
  <c r="AU33" i="6"/>
  <c r="CJ63" i="5"/>
  <c r="CK93" i="5"/>
  <c r="CK64" i="5"/>
  <c r="CK70" i="5"/>
  <c r="CK69" i="5" s="1"/>
  <c r="CK99" i="5"/>
  <c r="AV11" i="6"/>
  <c r="CL94" i="5"/>
  <c r="AV35" i="6"/>
  <c r="CL65" i="5"/>
  <c r="CO91" i="5"/>
  <c r="AU34" i="6"/>
  <c r="CJ70" i="5"/>
  <c r="CJ69" i="5" s="1"/>
  <c r="CJ83" i="5"/>
  <c r="AU47" i="6"/>
  <c r="AV50" i="6"/>
  <c r="CL79" i="5"/>
  <c r="CL62" i="5"/>
  <c r="AV44" i="6"/>
  <c r="CM63" i="5"/>
  <c r="CM75" i="5"/>
  <c r="G10" i="36"/>
  <c r="U111" i="5"/>
  <c r="V99" i="5"/>
  <c r="AV37" i="6"/>
  <c r="G52" i="36"/>
  <c r="M60" i="6"/>
  <c r="M68" i="6"/>
  <c r="CL97" i="5"/>
  <c r="AW111" i="5"/>
  <c r="AX94" i="5"/>
  <c r="C111" i="5"/>
  <c r="G40" i="36"/>
  <c r="W107" i="5"/>
  <c r="AU65" i="6"/>
  <c r="M63" i="6"/>
  <c r="CK97" i="5"/>
  <c r="I75" i="36"/>
  <c r="I111" i="5"/>
  <c r="U110" i="5"/>
  <c r="V97" i="5"/>
  <c r="G57" i="36"/>
  <c r="G49" i="36"/>
  <c r="CK75" i="5"/>
  <c r="CK104" i="5"/>
  <c r="J75" i="36"/>
  <c r="C62" i="5"/>
  <c r="G53" i="36"/>
  <c r="T99" i="5"/>
  <c r="G17" i="36"/>
  <c r="G16" i="36" s="1"/>
  <c r="CJ97" i="5"/>
  <c r="AU20" i="6"/>
  <c r="R80" i="36"/>
  <c r="R74" i="36"/>
  <c r="AS12" i="6"/>
  <c r="P83" i="5"/>
  <c r="K49" i="6"/>
  <c r="K25" i="6"/>
  <c r="P112" i="5"/>
  <c r="G83" i="36"/>
  <c r="K72" i="6"/>
  <c r="D13" i="36"/>
  <c r="D12" i="6"/>
  <c r="D40" i="36"/>
  <c r="D36" i="6"/>
  <c r="B66" i="5"/>
  <c r="W95" i="5"/>
  <c r="U95" i="5"/>
  <c r="V95" i="5"/>
  <c r="F72" i="6"/>
  <c r="U108" i="5"/>
  <c r="J69" i="6"/>
  <c r="H69" i="6"/>
  <c r="D69" i="6"/>
  <c r="Q66" i="6"/>
  <c r="K66" i="6"/>
  <c r="H65" i="6"/>
  <c r="R62" i="5"/>
  <c r="L32" i="6"/>
  <c r="L8" i="6"/>
  <c r="R91" i="5"/>
  <c r="T97" i="5"/>
  <c r="G15" i="36"/>
  <c r="G28" i="36"/>
  <c r="AV69" i="6"/>
  <c r="AV91" i="5"/>
  <c r="AJ97" i="5"/>
  <c r="AF97" i="5"/>
  <c r="I13" i="36"/>
  <c r="AF93" i="5"/>
  <c r="S10" i="6"/>
  <c r="AX95" i="5"/>
  <c r="M97" i="5"/>
  <c r="Y111" i="5"/>
  <c r="P48" i="6"/>
  <c r="H29" i="36"/>
  <c r="Z82" i="5"/>
  <c r="H56" i="36"/>
  <c r="P24" i="6"/>
  <c r="Z111" i="5"/>
  <c r="I69" i="6"/>
  <c r="E80" i="36"/>
  <c r="C16" i="6"/>
  <c r="Q94" i="6" s="1"/>
  <c r="Q35" i="6"/>
  <c r="AB65" i="5"/>
  <c r="Q11" i="6"/>
  <c r="AB94" i="5"/>
  <c r="R72" i="6"/>
  <c r="D72" i="6"/>
  <c r="R35" i="6"/>
  <c r="Q8" i="6"/>
  <c r="AU77" i="6"/>
  <c r="CN94" i="5"/>
  <c r="AX39" i="6"/>
  <c r="CN111" i="5"/>
  <c r="AW24" i="6"/>
  <c r="AW48" i="6"/>
  <c r="AV65" i="6"/>
  <c r="CO68" i="5"/>
  <c r="CO97" i="5"/>
  <c r="CO83" i="5"/>
  <c r="CO112" i="5"/>
  <c r="CO81" i="5"/>
  <c r="CO110" i="5"/>
  <c r="AW47" i="6"/>
  <c r="AW23" i="6"/>
  <c r="CO79" i="5"/>
  <c r="CO108" i="5"/>
  <c r="CO78" i="5"/>
  <c r="CO107" i="5"/>
  <c r="CO76" i="5"/>
  <c r="CO105" i="5"/>
  <c r="CO75" i="5"/>
  <c r="CO104" i="5"/>
  <c r="CO70" i="5"/>
  <c r="CO69" i="5" s="1"/>
  <c r="CO99" i="5"/>
  <c r="CO67" i="5"/>
  <c r="CO96" i="5"/>
  <c r="CO63" i="5"/>
  <c r="CO92" i="5"/>
  <c r="AX27" i="6"/>
  <c r="AW77" i="6"/>
  <c r="AX51" i="6"/>
  <c r="AW50" i="6"/>
  <c r="AW26" i="6"/>
  <c r="CN68" i="5"/>
  <c r="CN97" i="5"/>
  <c r="AW25" i="6"/>
  <c r="CN83" i="5"/>
  <c r="AW49" i="6"/>
  <c r="CN112" i="5"/>
  <c r="AW72" i="6"/>
  <c r="AX46" i="6"/>
  <c r="AX22" i="6"/>
  <c r="AW45" i="6"/>
  <c r="AW21" i="6"/>
  <c r="CN79" i="5"/>
  <c r="CN108" i="5"/>
  <c r="AW44" i="6"/>
  <c r="AW20" i="6"/>
  <c r="CN78" i="5"/>
  <c r="CN107" i="5"/>
  <c r="AX19" i="6"/>
  <c r="AW69" i="6"/>
  <c r="AX43" i="6"/>
  <c r="AW42" i="6"/>
  <c r="AW18" i="6"/>
  <c r="CN76" i="5"/>
  <c r="CN105" i="5"/>
  <c r="AW17" i="6"/>
  <c r="AW41" i="6"/>
  <c r="CN75" i="5"/>
  <c r="CN104" i="5"/>
  <c r="AX16" i="6"/>
  <c r="AX40" i="6"/>
  <c r="AW66" i="6"/>
  <c r="AX15" i="6"/>
  <c r="AW65" i="6"/>
  <c r="AW14" i="6"/>
  <c r="CN70" i="5"/>
  <c r="CN69" i="5" s="1"/>
  <c r="AW38" i="6"/>
  <c r="CN99" i="5"/>
  <c r="AW13" i="6"/>
  <c r="AW37" i="6"/>
  <c r="CN67" i="5"/>
  <c r="CN96" i="5"/>
  <c r="CN64" i="5"/>
  <c r="CN93" i="5"/>
  <c r="AW9" i="6"/>
  <c r="AW33" i="6"/>
  <c r="CN63" i="5"/>
  <c r="CN92" i="5"/>
  <c r="CN91" i="5"/>
  <c r="CN62" i="5"/>
  <c r="AW8" i="6"/>
  <c r="AW32" i="6"/>
  <c r="AX99" i="5"/>
  <c r="IK164" i="1"/>
  <c r="IL126" i="1"/>
  <c r="IK126" i="1"/>
  <c r="IL125" i="1"/>
  <c r="IK125" i="1"/>
  <c r="IL124" i="1"/>
  <c r="IK124" i="1"/>
  <c r="IL123" i="1"/>
  <c r="IK123" i="1"/>
  <c r="IL122" i="1"/>
  <c r="IK122" i="1"/>
  <c r="IL121" i="1"/>
  <c r="IK121" i="1"/>
  <c r="IL118" i="1"/>
  <c r="IK118" i="1"/>
  <c r="IL112" i="1"/>
  <c r="IK112" i="1"/>
  <c r="IL111" i="1"/>
  <c r="IK111" i="1"/>
  <c r="IL109" i="1"/>
  <c r="IK109" i="1"/>
  <c r="IL107" i="1"/>
  <c r="IK107" i="1"/>
  <c r="IL105" i="1"/>
  <c r="IK105" i="1"/>
  <c r="IL104" i="1"/>
  <c r="IK104" i="1"/>
  <c r="IL103" i="1"/>
  <c r="IK103" i="1"/>
  <c r="IL102" i="1"/>
  <c r="IK102" i="1"/>
  <c r="IL101" i="1"/>
  <c r="IK101" i="1"/>
  <c r="IL100" i="1"/>
  <c r="IK100" i="1"/>
  <c r="IL97" i="1"/>
  <c r="IK97" i="1"/>
  <c r="IL96" i="1"/>
  <c r="IK96" i="1"/>
  <c r="IL94" i="1"/>
  <c r="IK94" i="1"/>
  <c r="IM93" i="1"/>
  <c r="IL93" i="1"/>
  <c r="IK93" i="1"/>
  <c r="IM51" i="1"/>
  <c r="IL51" i="1"/>
  <c r="IK51" i="1"/>
  <c r="IM50" i="1"/>
  <c r="IK50" i="1"/>
  <c r="IM42" i="1"/>
  <c r="IM41" i="1"/>
  <c r="IL41" i="1"/>
  <c r="IK41" i="1"/>
  <c r="IK77" i="1" s="1"/>
  <c r="IM39" i="1"/>
  <c r="IL39" i="1"/>
  <c r="IK39" i="1"/>
  <c r="IM37" i="1"/>
  <c r="IL37" i="1"/>
  <c r="IK37" i="1"/>
  <c r="IM36" i="1"/>
  <c r="IL36" i="1"/>
  <c r="IK36" i="1"/>
  <c r="IM35" i="1"/>
  <c r="IL35" i="1"/>
  <c r="IK35" i="1"/>
  <c r="IM34" i="1"/>
  <c r="IL34" i="1"/>
  <c r="IK34" i="1"/>
  <c r="IM31" i="1"/>
  <c r="IL31" i="1"/>
  <c r="IK31" i="1"/>
  <c r="IM26" i="1"/>
  <c r="IL26" i="1"/>
  <c r="IK26" i="1"/>
  <c r="IM25" i="1"/>
  <c r="IL25" i="1"/>
  <c r="IK25" i="1"/>
  <c r="IM24" i="1"/>
  <c r="IL24" i="1"/>
  <c r="IK24" i="1"/>
  <c r="IM23" i="1"/>
  <c r="IL23" i="1"/>
  <c r="IK23" i="1"/>
  <c r="IM22" i="1"/>
  <c r="IL22" i="1"/>
  <c r="IK22" i="1"/>
  <c r="IM21" i="1"/>
  <c r="IL21" i="1"/>
  <c r="IK21" i="1"/>
  <c r="IM20" i="1"/>
  <c r="IL20" i="1"/>
  <c r="IK20" i="1"/>
  <c r="IM18" i="1"/>
  <c r="IL18" i="1"/>
  <c r="IK18" i="1"/>
  <c r="IM17" i="1"/>
  <c r="IL17" i="1"/>
  <c r="IK17" i="1"/>
  <c r="IM16" i="1"/>
  <c r="IL16" i="1"/>
  <c r="IK16" i="1"/>
  <c r="IM15" i="1"/>
  <c r="IL15" i="1"/>
  <c r="IK15" i="1"/>
  <c r="IM14" i="1"/>
  <c r="IL14" i="1"/>
  <c r="IK14" i="1"/>
  <c r="IM13" i="1"/>
  <c r="IL13" i="1"/>
  <c r="IK13" i="1"/>
  <c r="IM12" i="1"/>
  <c r="IL12" i="1"/>
  <c r="IK12" i="1"/>
  <c r="IM10" i="1"/>
  <c r="IL10" i="1"/>
  <c r="IK10" i="1"/>
  <c r="IM9" i="1"/>
  <c r="IL9" i="1"/>
  <c r="IK9" i="1"/>
  <c r="IM8" i="1"/>
  <c r="IL8" i="1"/>
  <c r="IK8" i="1"/>
  <c r="IM7" i="1"/>
  <c r="IL7" i="1"/>
  <c r="IK7" i="1"/>
  <c r="IM6" i="1"/>
  <c r="IL6" i="1"/>
  <c r="IK6" i="1"/>
  <c r="M90" i="5" l="1"/>
  <c r="EC90" i="5"/>
  <c r="DY90" i="5"/>
  <c r="EB90" i="5"/>
  <c r="EA90" i="5"/>
  <c r="DX90" i="5"/>
  <c r="DZ90" i="5"/>
  <c r="U90" i="5"/>
  <c r="Z90" i="5"/>
  <c r="EC142" i="5"/>
  <c r="S90" i="5"/>
  <c r="F90" i="5"/>
  <c r="DL119" i="5"/>
  <c r="CZ119" i="5"/>
  <c r="E119" i="5"/>
  <c r="DZ142" i="5"/>
  <c r="DZ113" i="5"/>
  <c r="T98" i="5"/>
  <c r="EA98" i="5"/>
  <c r="DZ98" i="5"/>
  <c r="EB98" i="5"/>
  <c r="DY98" i="5"/>
  <c r="EC98" i="5"/>
  <c r="DX98" i="5"/>
  <c r="AK103" i="5"/>
  <c r="EC103" i="5"/>
  <c r="DY103" i="5"/>
  <c r="DZ103" i="5"/>
  <c r="EA103" i="5"/>
  <c r="DX103" i="5"/>
  <c r="EB103" i="5"/>
  <c r="CY119" i="5"/>
  <c r="DJ119" i="5"/>
  <c r="T119" i="5"/>
  <c r="EA113" i="5"/>
  <c r="AK90" i="5"/>
  <c r="CX119" i="5"/>
  <c r="DG119" i="5"/>
  <c r="Y119" i="5"/>
  <c r="DY113" i="5"/>
  <c r="DV119" i="5"/>
  <c r="DY142" i="5"/>
  <c r="EA142" i="5"/>
  <c r="EB113" i="5"/>
  <c r="AS90" i="5"/>
  <c r="C127" i="5"/>
  <c r="DX127" i="5"/>
  <c r="EC127" i="5"/>
  <c r="EB127" i="5"/>
  <c r="EA127" i="5"/>
  <c r="DZ127" i="5"/>
  <c r="DY127" i="5"/>
  <c r="DX142" i="5"/>
  <c r="DX113" i="5"/>
  <c r="U132" i="5"/>
  <c r="EA132" i="5"/>
  <c r="DZ132" i="5"/>
  <c r="EB132" i="5"/>
  <c r="DX132" i="5"/>
  <c r="EC132" i="5"/>
  <c r="DY132" i="5"/>
  <c r="EC113" i="5"/>
  <c r="AE90" i="5"/>
  <c r="AR90" i="5"/>
  <c r="R90" i="5"/>
  <c r="AQ119" i="5"/>
  <c r="EA119" i="5"/>
  <c r="DZ119" i="5"/>
  <c r="EC119" i="5"/>
  <c r="EB119" i="5"/>
  <c r="DY119" i="5"/>
  <c r="DX119" i="5"/>
  <c r="EB142" i="5"/>
  <c r="X105" i="36"/>
  <c r="Y105" i="36"/>
  <c r="D48" i="36"/>
  <c r="I21" i="36"/>
  <c r="K8" i="36"/>
  <c r="E8" i="36"/>
  <c r="D43" i="36"/>
  <c r="AD69" i="5"/>
  <c r="B74" i="5"/>
  <c r="K132" i="5"/>
  <c r="AI74" i="5"/>
  <c r="E43" i="36"/>
  <c r="M74" i="5"/>
  <c r="Q74" i="5"/>
  <c r="AL69" i="5"/>
  <c r="AA132" i="5"/>
  <c r="R69" i="5"/>
  <c r="AI69" i="5"/>
  <c r="CV119" i="5"/>
  <c r="DO119" i="5"/>
  <c r="DM119" i="5"/>
  <c r="DS119" i="5"/>
  <c r="V119" i="5"/>
  <c r="DN132" i="5"/>
  <c r="AD132" i="5"/>
  <c r="CH119" i="5"/>
  <c r="CT119" i="5"/>
  <c r="DQ119" i="5"/>
  <c r="DK119" i="5"/>
  <c r="DT119" i="5"/>
  <c r="AR119" i="5"/>
  <c r="AF119" i="5"/>
  <c r="AI132" i="5"/>
  <c r="AN132" i="5"/>
  <c r="P132" i="5"/>
  <c r="AG132" i="5"/>
  <c r="Z132" i="5"/>
  <c r="R132" i="5"/>
  <c r="E132" i="5"/>
  <c r="CO132" i="5"/>
  <c r="DE132" i="5"/>
  <c r="AM132" i="5"/>
  <c r="CM132" i="5"/>
  <c r="AJ132" i="5"/>
  <c r="M132" i="5"/>
  <c r="CP132" i="5"/>
  <c r="DJ132" i="5"/>
  <c r="AE132" i="5"/>
  <c r="S132" i="5"/>
  <c r="AO132" i="5"/>
  <c r="CQ132" i="5"/>
  <c r="DF132" i="5"/>
  <c r="Q132" i="5"/>
  <c r="AK132" i="5"/>
  <c r="CV132" i="5"/>
  <c r="DW132" i="5"/>
  <c r="AB132" i="5"/>
  <c r="X132" i="5"/>
  <c r="CI132" i="5"/>
  <c r="N132" i="5"/>
  <c r="I132" i="5"/>
  <c r="AH132" i="5"/>
  <c r="AL132" i="5"/>
  <c r="V127" i="5"/>
  <c r="AM127" i="5"/>
  <c r="DE127" i="5"/>
  <c r="B127" i="5"/>
  <c r="DF119" i="5"/>
  <c r="AP119" i="5"/>
  <c r="AS119" i="5"/>
  <c r="O119" i="5"/>
  <c r="CY132" i="5"/>
  <c r="B119" i="5"/>
  <c r="G132" i="5"/>
  <c r="AC132" i="5"/>
  <c r="AC119" i="5"/>
  <c r="DB119" i="5"/>
  <c r="U119" i="5"/>
  <c r="CG132" i="5"/>
  <c r="CX132" i="5"/>
  <c r="DK132" i="5"/>
  <c r="Q119" i="5"/>
  <c r="DE119" i="5"/>
  <c r="DH119" i="5"/>
  <c r="DR119" i="5"/>
  <c r="W119" i="5"/>
  <c r="AV119" i="5"/>
  <c r="AT119" i="5"/>
  <c r="CH132" i="5"/>
  <c r="DC132" i="5"/>
  <c r="DU132" i="5"/>
  <c r="T132" i="5"/>
  <c r="V132" i="5"/>
  <c r="AR132" i="5"/>
  <c r="CL132" i="5"/>
  <c r="CS132" i="5"/>
  <c r="CW132" i="5"/>
  <c r="DD132" i="5"/>
  <c r="DI132" i="5"/>
  <c r="L132" i="5"/>
  <c r="AU132" i="5"/>
  <c r="CK132" i="5"/>
  <c r="CR132" i="5"/>
  <c r="DQ132" i="5"/>
  <c r="DM132" i="5"/>
  <c r="DR132" i="5"/>
  <c r="W132" i="5"/>
  <c r="Y132" i="5"/>
  <c r="D132" i="5"/>
  <c r="H132" i="5"/>
  <c r="CF132" i="5"/>
  <c r="CU132" i="5"/>
  <c r="DO132" i="5"/>
  <c r="DL132" i="5"/>
  <c r="DS132" i="5"/>
  <c r="O132" i="5"/>
  <c r="AF132" i="5"/>
  <c r="M119" i="5"/>
  <c r="CN74" i="5"/>
  <c r="G74" i="5"/>
  <c r="CG74" i="5"/>
  <c r="DW142" i="5"/>
  <c r="AQ132" i="5"/>
  <c r="DA132" i="5"/>
  <c r="Q61" i="5"/>
  <c r="CZ132" i="5"/>
  <c r="M84" i="5"/>
  <c r="DV132" i="5"/>
  <c r="DB132" i="5"/>
  <c r="AV132" i="5"/>
  <c r="AS132" i="5"/>
  <c r="B132" i="5"/>
  <c r="J132" i="5"/>
  <c r="CJ132" i="5"/>
  <c r="CN132" i="5"/>
  <c r="CT132" i="5"/>
  <c r="DP132" i="5"/>
  <c r="DG132" i="5"/>
  <c r="DH132" i="5"/>
  <c r="DT132" i="5"/>
  <c r="AP132" i="5"/>
  <c r="AT132" i="5"/>
  <c r="AW132" i="5"/>
  <c r="C132" i="5"/>
  <c r="CM61" i="5"/>
  <c r="CM84" i="5"/>
  <c r="K84" i="5"/>
  <c r="K61" i="5"/>
  <c r="AG61" i="5"/>
  <c r="AG84" i="5"/>
  <c r="CL103" i="5"/>
  <c r="CM74" i="5"/>
  <c r="AO61" i="5"/>
  <c r="AO84" i="5"/>
  <c r="G84" i="5"/>
  <c r="G61" i="5"/>
  <c r="X74" i="5"/>
  <c r="D21" i="36"/>
  <c r="P74" i="5"/>
  <c r="AG74" i="5"/>
  <c r="AM74" i="5"/>
  <c r="AP74" i="5"/>
  <c r="AE61" i="5"/>
  <c r="AE84" i="5"/>
  <c r="F35" i="36"/>
  <c r="AC74" i="5"/>
  <c r="R74" i="5"/>
  <c r="CK84" i="5"/>
  <c r="CK61" i="5"/>
  <c r="AM61" i="5"/>
  <c r="AM84" i="5"/>
  <c r="L74" i="5"/>
  <c r="L84" i="5"/>
  <c r="L61" i="5"/>
  <c r="E74" i="5"/>
  <c r="J8" i="36"/>
  <c r="Z61" i="5"/>
  <c r="Z84" i="5"/>
  <c r="AD74" i="5"/>
  <c r="AN74" i="5"/>
  <c r="D8" i="36"/>
  <c r="H21" i="36"/>
  <c r="S21" i="36"/>
  <c r="V90" i="5"/>
  <c r="AG90" i="5"/>
  <c r="K90" i="5"/>
  <c r="AF90" i="5"/>
  <c r="T103" i="5"/>
  <c r="O103" i="5"/>
  <c r="CN103" i="5"/>
  <c r="CF90" i="5"/>
  <c r="AL90" i="5"/>
  <c r="J103" i="5"/>
  <c r="CG90" i="5"/>
  <c r="U103" i="5"/>
  <c r="M103" i="5"/>
  <c r="AS103" i="5"/>
  <c r="AK61" i="5"/>
  <c r="AK84" i="5"/>
  <c r="CH103" i="5"/>
  <c r="Y103" i="5"/>
  <c r="AN103" i="5"/>
  <c r="CO6" i="5"/>
  <c r="CO90" i="5" s="1"/>
  <c r="J90" i="5"/>
  <c r="AP90" i="5"/>
  <c r="AU90" i="5"/>
  <c r="CI74" i="5"/>
  <c r="B103" i="5"/>
  <c r="DS103" i="5"/>
  <c r="DT103" i="5"/>
  <c r="DR103" i="5"/>
  <c r="DW103" i="5"/>
  <c r="DU103" i="5"/>
  <c r="DV103" i="5"/>
  <c r="DK103" i="5"/>
  <c r="DJ103" i="5"/>
  <c r="DF103" i="5"/>
  <c r="DG103" i="5"/>
  <c r="DH103" i="5"/>
  <c r="DI103" i="5"/>
  <c r="DL103" i="5"/>
  <c r="DM103" i="5"/>
  <c r="DN103" i="5"/>
  <c r="CZ103" i="5"/>
  <c r="DB103" i="5"/>
  <c r="DC103" i="5"/>
  <c r="DD103" i="5"/>
  <c r="DO103" i="5"/>
  <c r="DA103" i="5"/>
  <c r="DE103" i="5"/>
  <c r="DP103" i="5"/>
  <c r="DQ103" i="5"/>
  <c r="CV103" i="5"/>
  <c r="CW103" i="5"/>
  <c r="CX103" i="5"/>
  <c r="CY103" i="5"/>
  <c r="CT103" i="5"/>
  <c r="CU103" i="5"/>
  <c r="CS103" i="5"/>
  <c r="CR103" i="5"/>
  <c r="CO103" i="5"/>
  <c r="CP103" i="5"/>
  <c r="CQ103" i="5"/>
  <c r="AQ61" i="5"/>
  <c r="AQ84" i="5"/>
  <c r="E103" i="5"/>
  <c r="CN84" i="5"/>
  <c r="CN61" i="5"/>
  <c r="CK74" i="5"/>
  <c r="AT61" i="5"/>
  <c r="AT84" i="5"/>
  <c r="AS61" i="5"/>
  <c r="AS84" i="5"/>
  <c r="AF74" i="5"/>
  <c r="C74" i="5"/>
  <c r="AV74" i="5"/>
  <c r="O74" i="5"/>
  <c r="AB69" i="5"/>
  <c r="H74" i="5"/>
  <c r="J84" i="5"/>
  <c r="J61" i="5"/>
  <c r="R8" i="36"/>
  <c r="Z69" i="5"/>
  <c r="AA74" i="5"/>
  <c r="AP84" i="5"/>
  <c r="AP61" i="5"/>
  <c r="AT74" i="5"/>
  <c r="P84" i="5"/>
  <c r="P61" i="5"/>
  <c r="G21" i="36"/>
  <c r="G8" i="36"/>
  <c r="AA103" i="5"/>
  <c r="AM103" i="5"/>
  <c r="V64" i="36"/>
  <c r="V87" i="36"/>
  <c r="CJ103" i="5"/>
  <c r="Q103" i="5"/>
  <c r="D103" i="5"/>
  <c r="CF103" i="5"/>
  <c r="R103" i="5"/>
  <c r="AT103" i="5"/>
  <c r="CI103" i="5"/>
  <c r="L103" i="5"/>
  <c r="AJ103" i="5"/>
  <c r="P103" i="5"/>
  <c r="AG103" i="5"/>
  <c r="D84" i="5"/>
  <c r="D61" i="5"/>
  <c r="AI61" i="5"/>
  <c r="AI84" i="5"/>
  <c r="CH84" i="5"/>
  <c r="CH61" i="5"/>
  <c r="CH74" i="5"/>
  <c r="N103" i="5"/>
  <c r="AH103" i="5"/>
  <c r="AB103" i="5"/>
  <c r="G103" i="5"/>
  <c r="CO74" i="5"/>
  <c r="X69" i="5"/>
  <c r="AR74" i="5"/>
  <c r="AU61" i="5"/>
  <c r="AU84" i="5"/>
  <c r="CI84" i="5"/>
  <c r="CI61" i="5"/>
  <c r="F61" i="5"/>
  <c r="F84" i="5"/>
  <c r="CL74" i="5"/>
  <c r="D74" i="5"/>
  <c r="J74" i="5"/>
  <c r="AK74" i="5"/>
  <c r="N74" i="5"/>
  <c r="CF74" i="5"/>
  <c r="AJ69" i="5"/>
  <c r="H84" i="5"/>
  <c r="H61" i="5"/>
  <c r="AL61" i="5"/>
  <c r="AL84" i="5"/>
  <c r="AJ74" i="5"/>
  <c r="F43" i="36"/>
  <c r="AL74" i="5"/>
  <c r="AB61" i="5"/>
  <c r="AB84" i="5"/>
  <c r="AN61" i="5"/>
  <c r="AN84" i="5"/>
  <c r="W72" i="36"/>
  <c r="W77" i="36"/>
  <c r="CK103" i="5"/>
  <c r="CN90" i="5"/>
  <c r="AT90" i="5"/>
  <c r="I103" i="5"/>
  <c r="Y90" i="5"/>
  <c r="AI90" i="5"/>
  <c r="M61" i="5"/>
  <c r="W90" i="5"/>
  <c r="C90" i="5"/>
  <c r="CM90" i="5"/>
  <c r="AC103" i="5"/>
  <c r="AX103" i="5"/>
  <c r="CG103" i="5"/>
  <c r="C103" i="5"/>
  <c r="S103" i="5"/>
  <c r="AV90" i="5"/>
  <c r="AX90" i="5"/>
  <c r="AD90" i="5"/>
  <c r="AF103" i="5"/>
  <c r="CL90" i="5"/>
  <c r="N84" i="5"/>
  <c r="N61" i="5"/>
  <c r="H8" i="36"/>
  <c r="AE103" i="5"/>
  <c r="AD103" i="5"/>
  <c r="AA61" i="5"/>
  <c r="AA84" i="5"/>
  <c r="R84" i="5"/>
  <c r="R61" i="5"/>
  <c r="CL61" i="5"/>
  <c r="CL84" i="5"/>
  <c r="AF61" i="5"/>
  <c r="AF84" i="5"/>
  <c r="AR61" i="5"/>
  <c r="AR84" i="5"/>
  <c r="K21" i="36"/>
  <c r="AH74" i="5"/>
  <c r="AE74" i="5"/>
  <c r="F8" i="36"/>
  <c r="I74" i="5"/>
  <c r="K74" i="5"/>
  <c r="CJ84" i="5"/>
  <c r="CJ61" i="5"/>
  <c r="O84" i="5"/>
  <c r="O61" i="5"/>
  <c r="F21" i="36"/>
  <c r="E84" i="5"/>
  <c r="E61" i="5"/>
  <c r="X84" i="5"/>
  <c r="X61" i="5"/>
  <c r="CJ74" i="5"/>
  <c r="CF84" i="5"/>
  <c r="CF61" i="5"/>
  <c r="R21" i="36"/>
  <c r="AO74" i="5"/>
  <c r="AQ74" i="5"/>
  <c r="T90" i="5"/>
  <c r="CM103" i="5"/>
  <c r="I90" i="5"/>
  <c r="X103" i="5"/>
  <c r="AP103" i="5"/>
  <c r="Q84" i="5"/>
  <c r="AJ90" i="5"/>
  <c r="AO103" i="5"/>
  <c r="F103" i="5"/>
  <c r="AW103" i="5"/>
  <c r="AR103" i="5"/>
  <c r="CH90" i="5"/>
  <c r="H90" i="5"/>
  <c r="AV84" i="5"/>
  <c r="AV61" i="5"/>
  <c r="CI90" i="5"/>
  <c r="AI103" i="5"/>
  <c r="AL103" i="5"/>
  <c r="AW90" i="5"/>
  <c r="C84" i="5"/>
  <c r="C61" i="5"/>
  <c r="I8" i="36"/>
  <c r="AU74" i="5"/>
  <c r="AK69" i="5"/>
  <c r="AS74" i="5"/>
  <c r="D69" i="5"/>
  <c r="S61" i="5"/>
  <c r="S84" i="5"/>
  <c r="AV67" i="6"/>
  <c r="CG84" i="5"/>
  <c r="CG61" i="5"/>
  <c r="AW61" i="5"/>
  <c r="AW84" i="5"/>
  <c r="Y61" i="5"/>
  <c r="Y84" i="5"/>
  <c r="F74" i="5"/>
  <c r="I84" i="5"/>
  <c r="I61" i="5"/>
  <c r="E21" i="36"/>
  <c r="AC84" i="5"/>
  <c r="AC61" i="5"/>
  <c r="AB74" i="5"/>
  <c r="H43" i="36"/>
  <c r="Y74" i="5"/>
  <c r="AJ84" i="5"/>
  <c r="AJ61" i="5"/>
  <c r="S74" i="5"/>
  <c r="AD84" i="5"/>
  <c r="AD61" i="5"/>
  <c r="AH61" i="5"/>
  <c r="AH84" i="5"/>
  <c r="J21" i="36"/>
  <c r="Z74" i="5"/>
  <c r="DW113" i="5"/>
  <c r="B61" i="5"/>
  <c r="B84" i="5"/>
  <c r="AQ103" i="5"/>
  <c r="AU103" i="5"/>
  <c r="Z103" i="5"/>
  <c r="V103" i="5"/>
  <c r="B90" i="5"/>
  <c r="DT90" i="5"/>
  <c r="DW90" i="5"/>
  <c r="DR90" i="5"/>
  <c r="DU90" i="5"/>
  <c r="DS90" i="5"/>
  <c r="DV90" i="5"/>
  <c r="DJ90" i="5"/>
  <c r="DI90" i="5"/>
  <c r="DG90" i="5"/>
  <c r="DK90" i="5"/>
  <c r="DL90" i="5"/>
  <c r="DF90" i="5"/>
  <c r="DM90" i="5"/>
  <c r="DH90" i="5"/>
  <c r="DN90" i="5"/>
  <c r="DE90" i="5"/>
  <c r="DO90" i="5"/>
  <c r="DA90" i="5"/>
  <c r="DD90" i="5"/>
  <c r="CZ90" i="5"/>
  <c r="DB90" i="5"/>
  <c r="DC90" i="5"/>
  <c r="DP90" i="5"/>
  <c r="DQ90" i="5"/>
  <c r="CW90" i="5"/>
  <c r="CX90" i="5"/>
  <c r="CY90" i="5"/>
  <c r="CV90" i="5"/>
  <c r="CT90" i="5"/>
  <c r="CU90" i="5"/>
  <c r="CS90" i="5"/>
  <c r="CR90" i="5"/>
  <c r="CQ90" i="5"/>
  <c r="CP90" i="5"/>
  <c r="O90" i="5"/>
  <c r="AV103" i="5"/>
  <c r="W103" i="5"/>
  <c r="AA90" i="5"/>
  <c r="E90" i="5"/>
  <c r="H103" i="5"/>
  <c r="K103" i="5"/>
  <c r="AC90" i="5"/>
  <c r="G35" i="36"/>
  <c r="J35" i="36"/>
  <c r="C28" i="36"/>
  <c r="J48" i="36"/>
  <c r="H48" i="36"/>
  <c r="I48" i="36"/>
  <c r="F48" i="36"/>
  <c r="E35" i="36"/>
  <c r="C30" i="36"/>
  <c r="G43" i="36"/>
  <c r="I35" i="36"/>
  <c r="C26" i="36"/>
  <c r="Y113" i="36" s="1"/>
  <c r="S48" i="36"/>
  <c r="C22" i="36"/>
  <c r="Y109" i="36" s="1"/>
  <c r="C9" i="36"/>
  <c r="H35" i="36"/>
  <c r="D35" i="36"/>
  <c r="R35" i="36"/>
  <c r="G48" i="36"/>
  <c r="E48" i="36"/>
  <c r="C23" i="36"/>
  <c r="Y110" i="36" s="1"/>
  <c r="R48" i="36"/>
  <c r="C25" i="36"/>
  <c r="C29" i="36"/>
  <c r="Y116" i="36" s="1"/>
  <c r="B113" i="5"/>
  <c r="L61" i="6"/>
  <c r="F62" i="6"/>
  <c r="G71" i="36"/>
  <c r="AU70" i="6"/>
  <c r="AU67" i="6"/>
  <c r="AX24" i="6"/>
  <c r="AW36" i="6"/>
  <c r="L97" i="6"/>
  <c r="CO66" i="5"/>
  <c r="AU62" i="6"/>
  <c r="AX9" i="6"/>
  <c r="AV70" i="6"/>
  <c r="AU75" i="6"/>
  <c r="I97" i="6"/>
  <c r="K97" i="6"/>
  <c r="S100" i="6"/>
  <c r="AV75" i="6"/>
  <c r="J62" i="6"/>
  <c r="CO95" i="5"/>
  <c r="DU142" i="5"/>
  <c r="AX66" i="6"/>
  <c r="U97" i="6"/>
  <c r="AV74" i="6"/>
  <c r="DV142" i="5"/>
  <c r="DR142" i="5"/>
  <c r="AX8" i="6"/>
  <c r="F97" i="6"/>
  <c r="AU97" i="6"/>
  <c r="AU60" i="6"/>
  <c r="AV60" i="6"/>
  <c r="AV62" i="6"/>
  <c r="AV58" i="6"/>
  <c r="DT142" i="5"/>
  <c r="R97" i="6"/>
  <c r="DT113" i="5"/>
  <c r="AW97" i="6"/>
  <c r="H97" i="6"/>
  <c r="AS97" i="6"/>
  <c r="DF142" i="5"/>
  <c r="DV113" i="5"/>
  <c r="DD142" i="5"/>
  <c r="DL142" i="5"/>
  <c r="DH142" i="5"/>
  <c r="DR113" i="5"/>
  <c r="DN142" i="5"/>
  <c r="DE142" i="5"/>
  <c r="CZ142" i="5"/>
  <c r="DQ142" i="5"/>
  <c r="DM142" i="5"/>
  <c r="DS113" i="5"/>
  <c r="C46" i="6"/>
  <c r="AT127" i="6" s="1"/>
  <c r="DU113" i="5"/>
  <c r="DS142" i="5"/>
  <c r="W106" i="36"/>
  <c r="X106" i="36"/>
  <c r="Z106" i="36" s="1"/>
  <c r="W107" i="36"/>
  <c r="X107" i="36"/>
  <c r="Z107" i="36" s="1"/>
  <c r="W114" i="36"/>
  <c r="X114" i="36"/>
  <c r="Z114" i="36" s="1"/>
  <c r="W111" i="36"/>
  <c r="X111" i="36"/>
  <c r="Z111" i="36" s="1"/>
  <c r="R114" i="36"/>
  <c r="K114" i="36"/>
  <c r="V105" i="36"/>
  <c r="W105" i="36"/>
  <c r="DP142" i="5"/>
  <c r="DQ113" i="5"/>
  <c r="CO93" i="5"/>
  <c r="H100" i="6"/>
  <c r="DB142" i="5"/>
  <c r="DI142" i="5"/>
  <c r="DJ113" i="5"/>
  <c r="DK142" i="5"/>
  <c r="DD113" i="5"/>
  <c r="DG113" i="5"/>
  <c r="DC113" i="5"/>
  <c r="AW100" i="6"/>
  <c r="E100" i="6"/>
  <c r="DG142" i="5"/>
  <c r="DO142" i="5"/>
  <c r="DO113" i="5"/>
  <c r="CZ113" i="5"/>
  <c r="DK113" i="5"/>
  <c r="W69" i="36"/>
  <c r="DN113" i="5"/>
  <c r="I100" i="6"/>
  <c r="AT100" i="6"/>
  <c r="AU76" i="6"/>
  <c r="DC142" i="5"/>
  <c r="DB113" i="5"/>
  <c r="DE113" i="5"/>
  <c r="DF113" i="5"/>
  <c r="DA142" i="5"/>
  <c r="DP113" i="5"/>
  <c r="AW34" i="6"/>
  <c r="AX34" i="6" s="1"/>
  <c r="AW10" i="6"/>
  <c r="CY113" i="5"/>
  <c r="DM113" i="5"/>
  <c r="DH113" i="5"/>
  <c r="DJ142" i="5"/>
  <c r="AX72" i="6"/>
  <c r="S38" i="36"/>
  <c r="DL113" i="5"/>
  <c r="DA113" i="5"/>
  <c r="DI113" i="5"/>
  <c r="W71" i="36"/>
  <c r="U107" i="36"/>
  <c r="AA107" i="36" s="1"/>
  <c r="V107" i="36"/>
  <c r="U114" i="36"/>
  <c r="AA114" i="36" s="1"/>
  <c r="V114" i="36"/>
  <c r="U111" i="36"/>
  <c r="V111" i="36"/>
  <c r="U106" i="36"/>
  <c r="V106" i="36"/>
  <c r="H111" i="36"/>
  <c r="E111" i="36"/>
  <c r="R111" i="36"/>
  <c r="K111" i="36"/>
  <c r="T105" i="36"/>
  <c r="U105" i="36"/>
  <c r="CV142" i="5"/>
  <c r="CP142" i="5"/>
  <c r="CS142" i="5"/>
  <c r="CY142" i="5"/>
  <c r="CO94" i="5"/>
  <c r="AW11" i="6"/>
  <c r="AX11" i="6" s="1"/>
  <c r="AW105" i="6"/>
  <c r="AU64" i="6"/>
  <c r="CQ142" i="5"/>
  <c r="CT142" i="5"/>
  <c r="AW35" i="6"/>
  <c r="AX35" i="6" s="1"/>
  <c r="CX142" i="5"/>
  <c r="CO65" i="5"/>
  <c r="CO84" i="5" s="1"/>
  <c r="CP113" i="5"/>
  <c r="CR113" i="5"/>
  <c r="CS113" i="5"/>
  <c r="CW113" i="5"/>
  <c r="S86" i="36"/>
  <c r="S71" i="36"/>
  <c r="S78" i="36"/>
  <c r="CX113" i="5"/>
  <c r="AW12" i="6"/>
  <c r="AX12" i="6" s="1"/>
  <c r="S81" i="36"/>
  <c r="CU113" i="5"/>
  <c r="S85" i="36"/>
  <c r="CR142" i="5"/>
  <c r="CT113" i="5"/>
  <c r="CU142" i="5"/>
  <c r="S13" i="36"/>
  <c r="S8" i="36" s="1"/>
  <c r="S82" i="36"/>
  <c r="Q105" i="6"/>
  <c r="CV113" i="5"/>
  <c r="S65" i="36"/>
  <c r="CW142" i="5"/>
  <c r="S73" i="36"/>
  <c r="S72" i="36" s="1"/>
  <c r="S39" i="36"/>
  <c r="S105" i="6"/>
  <c r="J105" i="6"/>
  <c r="S66" i="36"/>
  <c r="CQ113" i="5"/>
  <c r="S70" i="36"/>
  <c r="S84" i="36"/>
  <c r="S79" i="36"/>
  <c r="G106" i="36"/>
  <c r="T106" i="36"/>
  <c r="J107" i="36"/>
  <c r="T107" i="36"/>
  <c r="H114" i="36"/>
  <c r="T114" i="36"/>
  <c r="F111" i="36"/>
  <c r="T111" i="36"/>
  <c r="G66" i="36"/>
  <c r="R107" i="36"/>
  <c r="G70" i="36"/>
  <c r="E114" i="36"/>
  <c r="F114" i="36"/>
  <c r="J114" i="36"/>
  <c r="I111" i="36"/>
  <c r="E107" i="36"/>
  <c r="S107" i="36"/>
  <c r="E105" i="36"/>
  <c r="S105" i="36"/>
  <c r="R106" i="36"/>
  <c r="S106" i="36"/>
  <c r="I114" i="36"/>
  <c r="S114" i="36"/>
  <c r="D111" i="36"/>
  <c r="S111" i="36"/>
  <c r="I106" i="36"/>
  <c r="I105" i="6"/>
  <c r="H107" i="36"/>
  <c r="G100" i="6"/>
  <c r="S93" i="6"/>
  <c r="K105" i="6"/>
  <c r="Q100" i="6"/>
  <c r="D105" i="36"/>
  <c r="I107" i="36"/>
  <c r="E105" i="6"/>
  <c r="D97" i="6"/>
  <c r="G107" i="36"/>
  <c r="G73" i="6"/>
  <c r="F106" i="36"/>
  <c r="R93" i="6"/>
  <c r="AS58" i="6"/>
  <c r="AU71" i="6"/>
  <c r="AV71" i="6"/>
  <c r="J106" i="36"/>
  <c r="E106" i="36"/>
  <c r="AU73" i="6"/>
  <c r="H106" i="36"/>
  <c r="E78" i="36"/>
  <c r="AQ113" i="5"/>
  <c r="E81" i="36"/>
  <c r="H72" i="6"/>
  <c r="C72" i="6" s="1"/>
  <c r="AX47" i="6"/>
  <c r="AX48" i="6"/>
  <c r="C54" i="36"/>
  <c r="C46" i="36"/>
  <c r="Y136" i="36" s="1"/>
  <c r="C47" i="36"/>
  <c r="AW142" i="5"/>
  <c r="T142" i="5"/>
  <c r="AT142" i="5"/>
  <c r="AL142" i="5"/>
  <c r="AN142" i="5"/>
  <c r="G142" i="5"/>
  <c r="C51" i="6"/>
  <c r="F132" i="6" s="1"/>
  <c r="CG142" i="5"/>
  <c r="L142" i="5"/>
  <c r="O142" i="5"/>
  <c r="CF142" i="5"/>
  <c r="CO142" i="5"/>
  <c r="AQ142" i="5"/>
  <c r="AU142" i="5"/>
  <c r="U142" i="5"/>
  <c r="AK142" i="5"/>
  <c r="AV142" i="5"/>
  <c r="W142" i="5"/>
  <c r="AV76" i="6"/>
  <c r="CH142" i="5"/>
  <c r="E142" i="5"/>
  <c r="I142" i="5"/>
  <c r="Z142" i="5"/>
  <c r="C142" i="5"/>
  <c r="Q142" i="5"/>
  <c r="J142" i="5"/>
  <c r="AE142" i="5"/>
  <c r="C39" i="6"/>
  <c r="S120" i="6" s="1"/>
  <c r="CI142" i="5"/>
  <c r="R142" i="5"/>
  <c r="AA142" i="5"/>
  <c r="AI142" i="5"/>
  <c r="Y142" i="5"/>
  <c r="CJ142" i="5"/>
  <c r="CL142" i="5"/>
  <c r="P93" i="6"/>
  <c r="C43" i="6"/>
  <c r="U124" i="6" s="1"/>
  <c r="E74" i="36"/>
  <c r="C74" i="36" s="1"/>
  <c r="J61" i="6"/>
  <c r="B142" i="5"/>
  <c r="AX113" i="5"/>
  <c r="E93" i="6"/>
  <c r="C51" i="36"/>
  <c r="Y141" i="36" s="1"/>
  <c r="F100" i="6"/>
  <c r="K100" i="6"/>
  <c r="E67" i="36"/>
  <c r="C45" i="36"/>
  <c r="AG142" i="5"/>
  <c r="CM142" i="5"/>
  <c r="P142" i="5"/>
  <c r="AH142" i="5"/>
  <c r="AM142" i="5"/>
  <c r="V142" i="5"/>
  <c r="AD142" i="5"/>
  <c r="AW93" i="6"/>
  <c r="F93" i="6"/>
  <c r="C40" i="6"/>
  <c r="D121" i="6" s="1"/>
  <c r="L77" i="6"/>
  <c r="C77" i="6" s="1"/>
  <c r="M142" i="5"/>
  <c r="CK142" i="5"/>
  <c r="CN142" i="5"/>
  <c r="H142" i="5"/>
  <c r="AP142" i="5"/>
  <c r="AR142" i="5"/>
  <c r="K142" i="5"/>
  <c r="D100" i="6"/>
  <c r="G93" i="6"/>
  <c r="P100" i="6"/>
  <c r="E65" i="6"/>
  <c r="C65" i="6" s="1"/>
  <c r="K107" i="36"/>
  <c r="AF142" i="5"/>
  <c r="S142" i="5"/>
  <c r="AB142" i="5"/>
  <c r="D142" i="5"/>
  <c r="X142" i="5"/>
  <c r="F142" i="5"/>
  <c r="AO142" i="5"/>
  <c r="I93" i="6"/>
  <c r="AV113" i="5"/>
  <c r="R113" i="5"/>
  <c r="O93" i="6"/>
  <c r="AS142" i="5"/>
  <c r="AC142" i="5"/>
  <c r="N142" i="5"/>
  <c r="AJ142" i="5"/>
  <c r="AW94" i="6"/>
  <c r="AX69" i="6"/>
  <c r="R61" i="6"/>
  <c r="H85" i="36"/>
  <c r="I94" i="6"/>
  <c r="C69" i="6"/>
  <c r="C40" i="36"/>
  <c r="Y130" i="36" s="1"/>
  <c r="D69" i="36"/>
  <c r="G69" i="36"/>
  <c r="AV63" i="6"/>
  <c r="AV61" i="6"/>
  <c r="AU59" i="6"/>
  <c r="R86" i="36"/>
  <c r="CM113" i="5"/>
  <c r="AU68" i="6"/>
  <c r="AT61" i="6"/>
  <c r="AT68" i="6"/>
  <c r="I70" i="6"/>
  <c r="G113" i="5"/>
  <c r="P61" i="6"/>
  <c r="H68" i="36"/>
  <c r="U73" i="6"/>
  <c r="H79" i="36"/>
  <c r="F86" i="36"/>
  <c r="H62" i="6"/>
  <c r="R64" i="6"/>
  <c r="D67" i="6"/>
  <c r="C41" i="6"/>
  <c r="D122" i="6" s="1"/>
  <c r="S58" i="6"/>
  <c r="I78" i="36"/>
  <c r="T70" i="6"/>
  <c r="U61" i="6"/>
  <c r="T67" i="6"/>
  <c r="J93" i="6"/>
  <c r="AE113" i="5"/>
  <c r="AU105" i="6"/>
  <c r="R84" i="36"/>
  <c r="F65" i="36"/>
  <c r="AG113" i="5"/>
  <c r="Q63" i="6"/>
  <c r="K69" i="36"/>
  <c r="H69" i="36"/>
  <c r="K84" i="36"/>
  <c r="O63" i="6"/>
  <c r="K70" i="36"/>
  <c r="N100" i="6"/>
  <c r="M100" i="6"/>
  <c r="R100" i="6"/>
  <c r="C37" i="36"/>
  <c r="D66" i="36"/>
  <c r="C9" i="6"/>
  <c r="K87" i="6" s="1"/>
  <c r="C75" i="36"/>
  <c r="J94" i="6"/>
  <c r="I71" i="36"/>
  <c r="D93" i="6"/>
  <c r="H93" i="6"/>
  <c r="H105" i="36"/>
  <c r="D105" i="6"/>
  <c r="L62" i="6"/>
  <c r="U93" i="6"/>
  <c r="AV73" i="6"/>
  <c r="G65" i="36"/>
  <c r="Q113" i="5"/>
  <c r="AU58" i="6"/>
  <c r="AT74" i="6"/>
  <c r="R69" i="36"/>
  <c r="AT63" i="6"/>
  <c r="Q59" i="6"/>
  <c r="F67" i="36"/>
  <c r="C53" i="36"/>
  <c r="D82" i="36"/>
  <c r="I73" i="6"/>
  <c r="T61" i="6"/>
  <c r="E61" i="6"/>
  <c r="P59" i="6"/>
  <c r="E67" i="6"/>
  <c r="K70" i="6"/>
  <c r="P71" i="6"/>
  <c r="F59" i="6"/>
  <c r="J73" i="6"/>
  <c r="P75" i="6"/>
  <c r="C44" i="36"/>
  <c r="Y134" i="36" s="1"/>
  <c r="D73" i="36"/>
  <c r="D72" i="36" s="1"/>
  <c r="F64" i="6"/>
  <c r="R68" i="6"/>
  <c r="E70" i="6"/>
  <c r="S68" i="6"/>
  <c r="AI113" i="5"/>
  <c r="R76" i="6"/>
  <c r="H71" i="36"/>
  <c r="L70" i="6"/>
  <c r="L73" i="6"/>
  <c r="L75" i="6"/>
  <c r="E113" i="5"/>
  <c r="K61" i="6"/>
  <c r="L71" i="6"/>
  <c r="C13" i="6"/>
  <c r="F91" i="6" s="1"/>
  <c r="D70" i="36"/>
  <c r="C41" i="36"/>
  <c r="E76" i="6"/>
  <c r="T59" i="6"/>
  <c r="S75" i="6"/>
  <c r="R70" i="6"/>
  <c r="D114" i="36"/>
  <c r="G61" i="6"/>
  <c r="E68" i="36"/>
  <c r="G105" i="36"/>
  <c r="E97" i="6"/>
  <c r="J74" i="6"/>
  <c r="S60" i="6"/>
  <c r="AN113" i="5"/>
  <c r="F105" i="36"/>
  <c r="D107" i="36"/>
  <c r="L100" i="6"/>
  <c r="G75" i="6"/>
  <c r="AT105" i="6"/>
  <c r="U113" i="5"/>
  <c r="U94" i="6"/>
  <c r="AV97" i="6"/>
  <c r="AU100" i="6"/>
  <c r="G67" i="36"/>
  <c r="AT58" i="6"/>
  <c r="CF113" i="5"/>
  <c r="U62" i="6"/>
  <c r="AT71" i="6"/>
  <c r="AT67" i="6"/>
  <c r="AS68" i="6"/>
  <c r="R62" i="6"/>
  <c r="G58" i="6"/>
  <c r="Q62" i="6"/>
  <c r="T60" i="6"/>
  <c r="J65" i="36"/>
  <c r="E66" i="36"/>
  <c r="I85" i="36"/>
  <c r="O59" i="6"/>
  <c r="F61" i="6"/>
  <c r="E70" i="36"/>
  <c r="J68" i="6"/>
  <c r="E75" i="6"/>
  <c r="U60" i="6"/>
  <c r="H70" i="36"/>
  <c r="E73" i="36"/>
  <c r="Q68" i="6"/>
  <c r="K76" i="6"/>
  <c r="Q60" i="6"/>
  <c r="H73" i="36"/>
  <c r="H72" i="36" s="1"/>
  <c r="E82" i="36"/>
  <c r="S64" i="6"/>
  <c r="T64" i="6"/>
  <c r="J68" i="36"/>
  <c r="K86" i="36"/>
  <c r="H76" i="6"/>
  <c r="O68" i="6"/>
  <c r="F76" i="6"/>
  <c r="D84" i="36"/>
  <c r="C55" i="36"/>
  <c r="C47" i="6"/>
  <c r="AV128" i="6" s="1"/>
  <c r="D73" i="6"/>
  <c r="H70" i="6"/>
  <c r="G105" i="6"/>
  <c r="C8" i="6"/>
  <c r="I86" i="6" s="1"/>
  <c r="D65" i="36"/>
  <c r="C36" i="36"/>
  <c r="G94" i="6"/>
  <c r="U100" i="6"/>
  <c r="K62" i="6"/>
  <c r="T58" i="6"/>
  <c r="H67" i="36"/>
  <c r="L59" i="6"/>
  <c r="C24" i="6"/>
  <c r="AW102" i="6" s="1"/>
  <c r="J63" i="6"/>
  <c r="F70" i="6"/>
  <c r="D76" i="6"/>
  <c r="C50" i="6"/>
  <c r="D131" i="6" s="1"/>
  <c r="R75" i="6"/>
  <c r="C76" i="36"/>
  <c r="C12" i="6"/>
  <c r="AU90" i="6" s="1"/>
  <c r="C113" i="5"/>
  <c r="AV94" i="6"/>
  <c r="AT75" i="6"/>
  <c r="AV64" i="6"/>
  <c r="R79" i="36"/>
  <c r="R59" i="6"/>
  <c r="K59" i="6"/>
  <c r="O71" i="6"/>
  <c r="J71" i="36"/>
  <c r="AS113" i="5"/>
  <c r="E58" i="6"/>
  <c r="P68" i="6"/>
  <c r="J84" i="36"/>
  <c r="F71" i="6"/>
  <c r="O64" i="6"/>
  <c r="O76" i="6"/>
  <c r="Q76" i="6"/>
  <c r="D78" i="36"/>
  <c r="C49" i="36"/>
  <c r="Y139" i="36" s="1"/>
  <c r="L68" i="6"/>
  <c r="K65" i="36"/>
  <c r="K78" i="36"/>
  <c r="AU113" i="5"/>
  <c r="U70" i="6"/>
  <c r="J82" i="36"/>
  <c r="J70" i="36"/>
  <c r="L76" i="6"/>
  <c r="F71" i="36"/>
  <c r="H75" i="6"/>
  <c r="O94" i="6"/>
  <c r="S94" i="6"/>
  <c r="AT73" i="6"/>
  <c r="J58" i="6"/>
  <c r="E71" i="6"/>
  <c r="S73" i="6"/>
  <c r="F66" i="36"/>
  <c r="H84" i="36"/>
  <c r="F58" i="6"/>
  <c r="L67" i="6"/>
  <c r="R73" i="6"/>
  <c r="C10" i="36"/>
  <c r="P94" i="6"/>
  <c r="N93" i="6"/>
  <c r="M93" i="6"/>
  <c r="N105" i="6"/>
  <c r="M105" i="6"/>
  <c r="S113" i="5"/>
  <c r="N78" i="6"/>
  <c r="AU61" i="6"/>
  <c r="AV59" i="6"/>
  <c r="R85" i="36"/>
  <c r="R67" i="36"/>
  <c r="AW113" i="5"/>
  <c r="J71" i="6"/>
  <c r="J60" i="6"/>
  <c r="E69" i="36"/>
  <c r="C21" i="6"/>
  <c r="D99" i="6" s="1"/>
  <c r="AM113" i="5"/>
  <c r="I60" i="6"/>
  <c r="J79" i="36"/>
  <c r="H66" i="36"/>
  <c r="Y113" i="5"/>
  <c r="H82" i="36"/>
  <c r="R63" i="6"/>
  <c r="F63" i="6"/>
  <c r="F84" i="36"/>
  <c r="G60" i="6"/>
  <c r="D64" i="6"/>
  <c r="C38" i="6"/>
  <c r="T119" i="6" s="1"/>
  <c r="F67" i="6"/>
  <c r="Q71" i="6"/>
  <c r="S61" i="6"/>
  <c r="I79" i="36"/>
  <c r="U63" i="6"/>
  <c r="K81" i="36"/>
  <c r="J73" i="36"/>
  <c r="J72" i="36" s="1"/>
  <c r="K66" i="36"/>
  <c r="K73" i="6"/>
  <c r="P76" i="6"/>
  <c r="F78" i="36"/>
  <c r="C83" i="36"/>
  <c r="H59" i="6"/>
  <c r="C66" i="6"/>
  <c r="P97" i="6"/>
  <c r="M78" i="6"/>
  <c r="R73" i="36"/>
  <c r="R72" i="36" s="1"/>
  <c r="E85" i="36"/>
  <c r="G76" i="6"/>
  <c r="C50" i="36"/>
  <c r="D79" i="36"/>
  <c r="U64" i="6"/>
  <c r="Q73" i="6"/>
  <c r="D106" i="36"/>
  <c r="G97" i="6"/>
  <c r="Q97" i="6"/>
  <c r="F85" i="36"/>
  <c r="O105" i="6"/>
  <c r="S76" i="6"/>
  <c r="J113" i="5"/>
  <c r="O58" i="6"/>
  <c r="I105" i="36"/>
  <c r="K106" i="36"/>
  <c r="T113" i="5"/>
  <c r="R71" i="36"/>
  <c r="CH113" i="5"/>
  <c r="R82" i="36"/>
  <c r="E65" i="36"/>
  <c r="C39" i="36"/>
  <c r="D68" i="36"/>
  <c r="R71" i="6"/>
  <c r="S74" i="6"/>
  <c r="K74" i="6"/>
  <c r="F79" i="36"/>
  <c r="H71" i="6"/>
  <c r="I64" i="6"/>
  <c r="H74" i="6"/>
  <c r="I76" i="6"/>
  <c r="P63" i="6"/>
  <c r="G64" i="6"/>
  <c r="Q67" i="6"/>
  <c r="Z113" i="5"/>
  <c r="H65" i="36"/>
  <c r="U58" i="6"/>
  <c r="S70" i="6"/>
  <c r="J81" i="36"/>
  <c r="J86" i="36"/>
  <c r="C20" i="6"/>
  <c r="AT98" i="6" s="1"/>
  <c r="L94" i="6"/>
  <c r="M113" i="5"/>
  <c r="F69" i="36"/>
  <c r="C32" i="6"/>
  <c r="U113" i="6" s="1"/>
  <c r="D58" i="6"/>
  <c r="P105" i="6"/>
  <c r="AS105" i="6"/>
  <c r="R81" i="36"/>
  <c r="R58" i="6"/>
  <c r="AH113" i="5"/>
  <c r="AP113" i="5"/>
  <c r="P60" i="6"/>
  <c r="O73" i="6"/>
  <c r="C56" i="36"/>
  <c r="D85" i="36"/>
  <c r="K68" i="6"/>
  <c r="J64" i="6"/>
  <c r="S63" i="6"/>
  <c r="J78" i="36"/>
  <c r="C42" i="36"/>
  <c r="Y132" i="36" s="1"/>
  <c r="D71" i="36"/>
  <c r="H78" i="36"/>
  <c r="D94" i="6"/>
  <c r="E94" i="6"/>
  <c r="D62" i="6"/>
  <c r="C36" i="6"/>
  <c r="P117" i="6" s="1"/>
  <c r="C13" i="36"/>
  <c r="Y100" i="36" s="1"/>
  <c r="G78" i="36"/>
  <c r="R68" i="36"/>
  <c r="AO113" i="5"/>
  <c r="I66" i="36"/>
  <c r="J85" i="36"/>
  <c r="G68" i="36"/>
  <c r="O61" i="6"/>
  <c r="E60" i="6"/>
  <c r="Q74" i="6"/>
  <c r="D113" i="5"/>
  <c r="K113" i="5"/>
  <c r="K64" i="6"/>
  <c r="F73" i="6"/>
  <c r="P70" i="6"/>
  <c r="AF113" i="5"/>
  <c r="S67" i="6"/>
  <c r="AR113" i="5"/>
  <c r="S71" i="6"/>
  <c r="N113" i="5"/>
  <c r="I59" i="6"/>
  <c r="E64" i="6"/>
  <c r="O70" i="6"/>
  <c r="Q58" i="6"/>
  <c r="I67" i="36"/>
  <c r="P113" i="5"/>
  <c r="F105" i="6"/>
  <c r="AU94" i="6"/>
  <c r="CJ113" i="5"/>
  <c r="CL113" i="5"/>
  <c r="AU63" i="6"/>
  <c r="AT60" i="6"/>
  <c r="F82" i="36"/>
  <c r="O113" i="5"/>
  <c r="G62" i="6"/>
  <c r="D71" i="6"/>
  <c r="C45" i="6"/>
  <c r="P126" i="6" s="1"/>
  <c r="T76" i="6"/>
  <c r="I67" i="6"/>
  <c r="R74" i="6"/>
  <c r="I63" i="6"/>
  <c r="Q64" i="6"/>
  <c r="E79" i="36"/>
  <c r="C17" i="36"/>
  <c r="J67" i="36"/>
  <c r="U71" i="6"/>
  <c r="T73" i="6"/>
  <c r="U75" i="6"/>
  <c r="J67" i="6"/>
  <c r="F94" i="6"/>
  <c r="O97" i="6"/>
  <c r="F74" i="6"/>
  <c r="I69" i="36"/>
  <c r="L113" i="5"/>
  <c r="G85" i="36"/>
  <c r="K105" i="36"/>
  <c r="T105" i="6"/>
  <c r="AT64" i="6"/>
  <c r="I75" i="6"/>
  <c r="G74" i="6"/>
  <c r="D63" i="6"/>
  <c r="C37" i="6"/>
  <c r="F118" i="6" s="1"/>
  <c r="E71" i="36"/>
  <c r="H64" i="6"/>
  <c r="C18" i="6"/>
  <c r="AT96" i="6" s="1"/>
  <c r="AB113" i="5"/>
  <c r="J100" i="6"/>
  <c r="H58" i="6"/>
  <c r="X113" i="5"/>
  <c r="O100" i="6"/>
  <c r="E86" i="36"/>
  <c r="AT93" i="6"/>
  <c r="J111" i="36"/>
  <c r="F107" i="36"/>
  <c r="AT94" i="6"/>
  <c r="AT76" i="6"/>
  <c r="R78" i="36"/>
  <c r="I61" i="6"/>
  <c r="AL113" i="5"/>
  <c r="AC113" i="5"/>
  <c r="C11" i="6"/>
  <c r="AS89" i="6" s="1"/>
  <c r="C35" i="6"/>
  <c r="T116" i="6" s="1"/>
  <c r="D61" i="6"/>
  <c r="I71" i="6"/>
  <c r="U59" i="6"/>
  <c r="K71" i="36"/>
  <c r="T71" i="6"/>
  <c r="G70" i="6"/>
  <c r="C34" i="6"/>
  <c r="S115" i="6" s="1"/>
  <c r="D60" i="6"/>
  <c r="C10" i="6"/>
  <c r="G88" i="6" s="1"/>
  <c r="E62" i="6"/>
  <c r="H63" i="6"/>
  <c r="F75" i="6"/>
  <c r="P58" i="6"/>
  <c r="L64" i="6"/>
  <c r="P64" i="6"/>
  <c r="H68" i="6"/>
  <c r="F81" i="36"/>
  <c r="G71" i="6"/>
  <c r="I73" i="36"/>
  <c r="I72" i="36" s="1"/>
  <c r="T62" i="6"/>
  <c r="U67" i="6"/>
  <c r="I81" i="36"/>
  <c r="D86" i="36"/>
  <c r="C57" i="36"/>
  <c r="Y147" i="36" s="1"/>
  <c r="H73" i="6"/>
  <c r="V113" i="5"/>
  <c r="U105" i="6"/>
  <c r="K85" i="36"/>
  <c r="T93" i="6"/>
  <c r="R66" i="36"/>
  <c r="U74" i="6"/>
  <c r="AV68" i="6"/>
  <c r="AT70" i="6"/>
  <c r="J69" i="36"/>
  <c r="Q70" i="6"/>
  <c r="C48" i="6"/>
  <c r="AW129" i="6" s="1"/>
  <c r="D74" i="6"/>
  <c r="F70" i="36"/>
  <c r="T63" i="6"/>
  <c r="C26" i="6"/>
  <c r="Q104" i="6" s="1"/>
  <c r="I68" i="6"/>
  <c r="Q61" i="6"/>
  <c r="N94" i="6"/>
  <c r="M94" i="6"/>
  <c r="P74" i="6"/>
  <c r="L58" i="6"/>
  <c r="K75" i="6"/>
  <c r="G82" i="36"/>
  <c r="G86" i="36"/>
  <c r="G81" i="36"/>
  <c r="K68" i="36"/>
  <c r="S59" i="6"/>
  <c r="T74" i="6"/>
  <c r="AT113" i="5"/>
  <c r="F60" i="6"/>
  <c r="E73" i="6"/>
  <c r="K63" i="6"/>
  <c r="T75" i="6"/>
  <c r="H60" i="6"/>
  <c r="I62" i="6"/>
  <c r="L63" i="6"/>
  <c r="L74" i="6"/>
  <c r="E63" i="6"/>
  <c r="O67" i="6"/>
  <c r="J75" i="6"/>
  <c r="E59" i="6"/>
  <c r="C17" i="6"/>
  <c r="E95" i="6" s="1"/>
  <c r="K67" i="6"/>
  <c r="H81" i="36"/>
  <c r="K71" i="6"/>
  <c r="I65" i="36"/>
  <c r="U68" i="6"/>
  <c r="I82" i="36"/>
  <c r="E84" i="36"/>
  <c r="J76" i="6"/>
  <c r="C80" i="36"/>
  <c r="T94" i="6"/>
  <c r="CI113" i="5"/>
  <c r="I84" i="36"/>
  <c r="P62" i="6"/>
  <c r="J59" i="6"/>
  <c r="P73" i="6"/>
  <c r="F113" i="5"/>
  <c r="K82" i="36"/>
  <c r="C33" i="6"/>
  <c r="S114" i="6" s="1"/>
  <c r="D59" i="6"/>
  <c r="Q93" i="6"/>
  <c r="S62" i="6"/>
  <c r="G84" i="36"/>
  <c r="L93" i="6"/>
  <c r="K94" i="6"/>
  <c r="T97" i="6"/>
  <c r="N97" i="6"/>
  <c r="M97" i="6"/>
  <c r="I74" i="6"/>
  <c r="Q75" i="6"/>
  <c r="AS94" i="6"/>
  <c r="AA113" i="5"/>
  <c r="J105" i="36"/>
  <c r="AV93" i="6"/>
  <c r="R105" i="6"/>
  <c r="CK113" i="5"/>
  <c r="AT62" i="6"/>
  <c r="R70" i="36"/>
  <c r="CG113" i="5"/>
  <c r="X113" i="36"/>
  <c r="L60" i="6"/>
  <c r="O62" i="6"/>
  <c r="G68" i="6"/>
  <c r="H86" i="36"/>
  <c r="C14" i="6"/>
  <c r="F92" i="6" s="1"/>
  <c r="H67" i="6"/>
  <c r="I68" i="36"/>
  <c r="K67" i="36"/>
  <c r="K79" i="36"/>
  <c r="T68" i="6"/>
  <c r="E68" i="6"/>
  <c r="H94" i="6"/>
  <c r="I58" i="6"/>
  <c r="O74" i="6"/>
  <c r="AV105" i="6"/>
  <c r="I113" i="5"/>
  <c r="F68" i="6"/>
  <c r="C14" i="36"/>
  <c r="G67" i="6"/>
  <c r="D68" i="6"/>
  <c r="C42" i="6"/>
  <c r="O123" i="6" s="1"/>
  <c r="I86" i="36"/>
  <c r="K93" i="6"/>
  <c r="R94" i="6"/>
  <c r="G114" i="36"/>
  <c r="AT97" i="6"/>
  <c r="AV100" i="6"/>
  <c r="J66" i="36"/>
  <c r="AS100" i="6"/>
  <c r="G79" i="36"/>
  <c r="R65" i="36"/>
  <c r="AU74" i="6"/>
  <c r="O75" i="6"/>
  <c r="H113" i="5"/>
  <c r="G59" i="6"/>
  <c r="C12" i="36"/>
  <c r="E74" i="6"/>
  <c r="G63" i="6"/>
  <c r="D67" i="36"/>
  <c r="C38" i="36"/>
  <c r="C11" i="36"/>
  <c r="R67" i="6"/>
  <c r="J70" i="6"/>
  <c r="AJ113" i="5"/>
  <c r="K73" i="36"/>
  <c r="K72" i="36" s="1"/>
  <c r="C44" i="6"/>
  <c r="G125" i="6" s="1"/>
  <c r="D70" i="6"/>
  <c r="D81" i="36"/>
  <c r="C52" i="36"/>
  <c r="C23" i="6"/>
  <c r="AW101" i="6" s="1"/>
  <c r="D75" i="6"/>
  <c r="C49" i="6"/>
  <c r="P130" i="6" s="1"/>
  <c r="C25" i="6"/>
  <c r="Q103" i="6" s="1"/>
  <c r="G111" i="36"/>
  <c r="AK113" i="5"/>
  <c r="W113" i="5"/>
  <c r="J97" i="6"/>
  <c r="R105" i="36"/>
  <c r="AU93" i="6"/>
  <c r="H105" i="6"/>
  <c r="AT59" i="6"/>
  <c r="AD113" i="5"/>
  <c r="O60" i="6"/>
  <c r="F68" i="36"/>
  <c r="R60" i="6"/>
  <c r="X116" i="36"/>
  <c r="K60" i="6"/>
  <c r="F73" i="36"/>
  <c r="F72" i="36" s="1"/>
  <c r="I70" i="36"/>
  <c r="C15" i="36"/>
  <c r="P67" i="6"/>
  <c r="G73" i="36"/>
  <c r="G72" i="36" s="1"/>
  <c r="U76" i="6"/>
  <c r="AX23" i="6"/>
  <c r="AW74" i="6"/>
  <c r="AX77" i="6"/>
  <c r="AX65" i="6"/>
  <c r="AX36" i="6"/>
  <c r="AW73" i="6"/>
  <c r="AX26" i="6"/>
  <c r="AX50" i="6"/>
  <c r="AW76" i="6"/>
  <c r="AW75" i="6"/>
  <c r="AX49" i="6"/>
  <c r="AX25" i="6"/>
  <c r="AX21" i="6"/>
  <c r="AW71" i="6"/>
  <c r="AX45" i="6"/>
  <c r="AX20" i="6"/>
  <c r="AX44" i="6"/>
  <c r="AW70" i="6"/>
  <c r="AX42" i="6"/>
  <c r="AW68" i="6"/>
  <c r="AX18" i="6"/>
  <c r="AW67" i="6"/>
  <c r="AX67" i="6" s="1"/>
  <c r="AX41" i="6"/>
  <c r="AX17" i="6"/>
  <c r="AW64" i="6"/>
  <c r="AX38" i="6"/>
  <c r="AX14" i="6"/>
  <c r="AW63" i="6"/>
  <c r="AX37" i="6"/>
  <c r="AX13" i="6"/>
  <c r="AX33" i="6"/>
  <c r="AW59" i="6"/>
  <c r="CN113" i="5"/>
  <c r="AX32" i="6"/>
  <c r="AW58" i="6"/>
  <c r="IG125" i="1"/>
  <c r="II125" i="1" s="1"/>
  <c r="IG124" i="1"/>
  <c r="IG123" i="1"/>
  <c r="IG122" i="1"/>
  <c r="IG121" i="1"/>
  <c r="IG118" i="1"/>
  <c r="IG113" i="1"/>
  <c r="IG112" i="1"/>
  <c r="IG111" i="1"/>
  <c r="IG108" i="1"/>
  <c r="IG107" i="1"/>
  <c r="IG106" i="1"/>
  <c r="IG105" i="1"/>
  <c r="IG104" i="1"/>
  <c r="IG103" i="1"/>
  <c r="IG102" i="1"/>
  <c r="IG101" i="1"/>
  <c r="IG100" i="1"/>
  <c r="IG97" i="1"/>
  <c r="IG96" i="1"/>
  <c r="IG95" i="1"/>
  <c r="IG94" i="1"/>
  <c r="IF124" i="1"/>
  <c r="IF123" i="1"/>
  <c r="IF122" i="1"/>
  <c r="IF121" i="1"/>
  <c r="IF118" i="1"/>
  <c r="IF113" i="1"/>
  <c r="IF112" i="1"/>
  <c r="IF111" i="1"/>
  <c r="IF108" i="1"/>
  <c r="IF107" i="1"/>
  <c r="IF106" i="1"/>
  <c r="IF105" i="1"/>
  <c r="IF104" i="1"/>
  <c r="IF103" i="1"/>
  <c r="IF102" i="1"/>
  <c r="IF101" i="1"/>
  <c r="IF100" i="1"/>
  <c r="IF97" i="1"/>
  <c r="IF96" i="1"/>
  <c r="IF95" i="1"/>
  <c r="IF94" i="1"/>
  <c r="IE125" i="1"/>
  <c r="IH125" i="1" s="1"/>
  <c r="IE124" i="1"/>
  <c r="IE123" i="1"/>
  <c r="IE122" i="1"/>
  <c r="IE121" i="1"/>
  <c r="IE118" i="1"/>
  <c r="IE113" i="1"/>
  <c r="IE112" i="1"/>
  <c r="IE111" i="1"/>
  <c r="IE108" i="1"/>
  <c r="IE107" i="1"/>
  <c r="IE106" i="1"/>
  <c r="IE105" i="1"/>
  <c r="IE104" i="1"/>
  <c r="IE103" i="1"/>
  <c r="IE102" i="1"/>
  <c r="IE101" i="1"/>
  <c r="IE100" i="1"/>
  <c r="IE97" i="1"/>
  <c r="IE96" i="1"/>
  <c r="IE95" i="1"/>
  <c r="IE94" i="1"/>
  <c r="IF26" i="1"/>
  <c r="IG51" i="1"/>
  <c r="IF51" i="1"/>
  <c r="IE51" i="1"/>
  <c r="IG50" i="1"/>
  <c r="IF50" i="1"/>
  <c r="IE50" i="1"/>
  <c r="IG42" i="1"/>
  <c r="IF42" i="1"/>
  <c r="IE42" i="1"/>
  <c r="IG39" i="1"/>
  <c r="IF39" i="1"/>
  <c r="IE39" i="1"/>
  <c r="IF38" i="1"/>
  <c r="IE38" i="1"/>
  <c r="IG37" i="1"/>
  <c r="IF37" i="1"/>
  <c r="IE37" i="1"/>
  <c r="IG36" i="1"/>
  <c r="IF36" i="1"/>
  <c r="IE36" i="1"/>
  <c r="IG35" i="1"/>
  <c r="IF35" i="1"/>
  <c r="IE35" i="1"/>
  <c r="IG34" i="1"/>
  <c r="IF34" i="1"/>
  <c r="IE34" i="1"/>
  <c r="IG33" i="1"/>
  <c r="IF33" i="1"/>
  <c r="IE33" i="1"/>
  <c r="IG26" i="1"/>
  <c r="IE26" i="1"/>
  <c r="IG25" i="1"/>
  <c r="IF25" i="1"/>
  <c r="IE25" i="1"/>
  <c r="IG24" i="1"/>
  <c r="IF24" i="1"/>
  <c r="IE24" i="1"/>
  <c r="IG22" i="1"/>
  <c r="IF22" i="1"/>
  <c r="IE22" i="1"/>
  <c r="IG21" i="1"/>
  <c r="IF21" i="1"/>
  <c r="IE21" i="1"/>
  <c r="IG20" i="1"/>
  <c r="IF20" i="1"/>
  <c r="IE20" i="1"/>
  <c r="IG19" i="1"/>
  <c r="IF19" i="1"/>
  <c r="IE19" i="1"/>
  <c r="IG18" i="1"/>
  <c r="IF18" i="1"/>
  <c r="IE18" i="1"/>
  <c r="IG17" i="1"/>
  <c r="IF17" i="1"/>
  <c r="IE17" i="1"/>
  <c r="IG16" i="1"/>
  <c r="IF16" i="1"/>
  <c r="IE16" i="1"/>
  <c r="IG15" i="1"/>
  <c r="IF15" i="1"/>
  <c r="IE15" i="1"/>
  <c r="IG14" i="1"/>
  <c r="IF14" i="1"/>
  <c r="IE14" i="1"/>
  <c r="IG13" i="1"/>
  <c r="IF13" i="1"/>
  <c r="IE13" i="1"/>
  <c r="IG11" i="1"/>
  <c r="IF11" i="1"/>
  <c r="IE11" i="1"/>
  <c r="IG10" i="1"/>
  <c r="IF10" i="1"/>
  <c r="IE10" i="1"/>
  <c r="IG9" i="1"/>
  <c r="IF9" i="1"/>
  <c r="IE9" i="1"/>
  <c r="IG8" i="1"/>
  <c r="IF8" i="1"/>
  <c r="IE8" i="1"/>
  <c r="IG7" i="1"/>
  <c r="IF7" i="1"/>
  <c r="IE7" i="1"/>
  <c r="IG6" i="1"/>
  <c r="IF6" i="1"/>
  <c r="IE6" i="1"/>
  <c r="X99" i="36" l="1"/>
  <c r="Y99" i="36"/>
  <c r="Z99" i="36" s="1"/>
  <c r="C16" i="36"/>
  <c r="Y104" i="36"/>
  <c r="X97" i="36"/>
  <c r="Y97" i="36"/>
  <c r="X98" i="36"/>
  <c r="Y98" i="36"/>
  <c r="Z98" i="36" s="1"/>
  <c r="W126" i="36"/>
  <c r="Y126" i="36"/>
  <c r="X127" i="36"/>
  <c r="Y127" i="36"/>
  <c r="Z116" i="36"/>
  <c r="Z113" i="36"/>
  <c r="X101" i="36"/>
  <c r="Y101" i="36"/>
  <c r="Z101" i="36" s="1"/>
  <c r="X102" i="36"/>
  <c r="Y102" i="36"/>
  <c r="X128" i="36"/>
  <c r="Y128" i="36"/>
  <c r="X146" i="36"/>
  <c r="Y146" i="36"/>
  <c r="X145" i="36"/>
  <c r="Y145" i="36"/>
  <c r="X112" i="36"/>
  <c r="Y112" i="36"/>
  <c r="X137" i="36"/>
  <c r="Y137" i="36"/>
  <c r="Z137" i="36" s="1"/>
  <c r="X143" i="36"/>
  <c r="Y143" i="36"/>
  <c r="X135" i="36"/>
  <c r="Y135" i="36"/>
  <c r="D96" i="36"/>
  <c r="Y96" i="36"/>
  <c r="X117" i="36"/>
  <c r="Y117" i="36"/>
  <c r="X115" i="36"/>
  <c r="Y115" i="36"/>
  <c r="AA105" i="36"/>
  <c r="Z105" i="36"/>
  <c r="X140" i="36"/>
  <c r="Y140" i="36"/>
  <c r="X142" i="36"/>
  <c r="Y142" i="36"/>
  <c r="X129" i="36"/>
  <c r="Y129" i="36"/>
  <c r="X131" i="36"/>
  <c r="Y131" i="36"/>
  <c r="X144" i="36"/>
  <c r="Y144" i="36"/>
  <c r="Z144" i="36" s="1"/>
  <c r="E72" i="36"/>
  <c r="C65" i="36"/>
  <c r="E64" i="36"/>
  <c r="G64" i="36"/>
  <c r="W64" i="36"/>
  <c r="S35" i="36"/>
  <c r="W87" i="36"/>
  <c r="R77" i="36"/>
  <c r="K64" i="36"/>
  <c r="D64" i="36"/>
  <c r="I103" i="36"/>
  <c r="CO61" i="5"/>
  <c r="R64" i="36"/>
  <c r="I64" i="36"/>
  <c r="H64" i="36"/>
  <c r="J64" i="36"/>
  <c r="C84" i="36"/>
  <c r="F64" i="36"/>
  <c r="S77" i="36"/>
  <c r="C8" i="36"/>
  <c r="C21" i="36"/>
  <c r="X103" i="36"/>
  <c r="V103" i="36"/>
  <c r="U103" i="36"/>
  <c r="W103" i="36"/>
  <c r="T103" i="36"/>
  <c r="G77" i="36"/>
  <c r="H77" i="36"/>
  <c r="D77" i="36"/>
  <c r="X134" i="36"/>
  <c r="Z134" i="36" s="1"/>
  <c r="C43" i="36"/>
  <c r="D103" i="36"/>
  <c r="J103" i="36"/>
  <c r="C71" i="36"/>
  <c r="E77" i="36"/>
  <c r="H103" i="36"/>
  <c r="K77" i="36"/>
  <c r="C35" i="36"/>
  <c r="G103" i="36"/>
  <c r="S103" i="36"/>
  <c r="X139" i="36"/>
  <c r="Z139" i="36" s="1"/>
  <c r="C48" i="36"/>
  <c r="X147" i="36"/>
  <c r="Z147" i="36" s="1"/>
  <c r="V147" i="36"/>
  <c r="J77" i="36"/>
  <c r="F77" i="36"/>
  <c r="I77" i="36"/>
  <c r="D126" i="36"/>
  <c r="F103" i="36"/>
  <c r="K103" i="36"/>
  <c r="E103" i="36"/>
  <c r="H127" i="6"/>
  <c r="U127" i="6"/>
  <c r="AW87" i="6"/>
  <c r="M127" i="6"/>
  <c r="S127" i="6"/>
  <c r="G127" i="6"/>
  <c r="E127" i="6"/>
  <c r="I127" i="6"/>
  <c r="L127" i="6"/>
  <c r="AW60" i="6"/>
  <c r="AX60" i="6" s="1"/>
  <c r="I87" i="6"/>
  <c r="E87" i="6"/>
  <c r="R87" i="6"/>
  <c r="F127" i="6"/>
  <c r="F87" i="6"/>
  <c r="J127" i="6"/>
  <c r="AU127" i="6"/>
  <c r="T127" i="6"/>
  <c r="K127" i="6"/>
  <c r="AX100" i="6"/>
  <c r="AV127" i="6"/>
  <c r="T91" i="6"/>
  <c r="O127" i="6"/>
  <c r="N127" i="6"/>
  <c r="R127" i="6"/>
  <c r="Q127" i="6"/>
  <c r="AX75" i="6"/>
  <c r="AX10" i="6"/>
  <c r="AX74" i="6"/>
  <c r="AX70" i="6"/>
  <c r="AS87" i="6"/>
  <c r="J87" i="6"/>
  <c r="T87" i="6"/>
  <c r="AV87" i="6"/>
  <c r="Q91" i="6"/>
  <c r="S91" i="6"/>
  <c r="O102" i="6"/>
  <c r="Q87" i="6"/>
  <c r="AT91" i="6"/>
  <c r="L87" i="6"/>
  <c r="O87" i="6"/>
  <c r="H91" i="6"/>
  <c r="CO113" i="5"/>
  <c r="P86" i="6"/>
  <c r="R91" i="6"/>
  <c r="R86" i="6"/>
  <c r="S87" i="6"/>
  <c r="AW86" i="6"/>
  <c r="AV86" i="6"/>
  <c r="AT86" i="6"/>
  <c r="AW98" i="6"/>
  <c r="F98" i="6"/>
  <c r="R98" i="6"/>
  <c r="E98" i="6"/>
  <c r="E89" i="6"/>
  <c r="J86" i="6"/>
  <c r="U86" i="6"/>
  <c r="L86" i="6"/>
  <c r="P98" i="6"/>
  <c r="AU98" i="6"/>
  <c r="D127" i="6"/>
  <c r="U87" i="6"/>
  <c r="H96" i="6"/>
  <c r="AX97" i="6"/>
  <c r="AX105" i="6"/>
  <c r="J88" i="6"/>
  <c r="R99" i="6"/>
  <c r="AX93" i="6"/>
  <c r="U102" i="6"/>
  <c r="H102" i="6"/>
  <c r="J102" i="6"/>
  <c r="P89" i="6"/>
  <c r="E102" i="6"/>
  <c r="G102" i="6"/>
  <c r="AW88" i="6"/>
  <c r="AW127" i="6"/>
  <c r="T88" i="6"/>
  <c r="P102" i="6"/>
  <c r="K89" i="6"/>
  <c r="P127" i="6"/>
  <c r="V130" i="36"/>
  <c r="X130" i="36"/>
  <c r="Z130" i="36" s="1"/>
  <c r="W109" i="36"/>
  <c r="X109" i="36"/>
  <c r="Z109" i="36" s="1"/>
  <c r="W96" i="36"/>
  <c r="X96" i="36"/>
  <c r="W104" i="36"/>
  <c r="X104" i="36"/>
  <c r="X126" i="36"/>
  <c r="W141" i="36"/>
  <c r="X141" i="36"/>
  <c r="Z141" i="36" s="1"/>
  <c r="V132" i="36"/>
  <c r="X132" i="36"/>
  <c r="Z132" i="36" s="1"/>
  <c r="W110" i="36"/>
  <c r="X110" i="36"/>
  <c r="Z110" i="36" s="1"/>
  <c r="W100" i="36"/>
  <c r="X100" i="36"/>
  <c r="Z100" i="36" s="1"/>
  <c r="W136" i="36"/>
  <c r="X136" i="36"/>
  <c r="Z136" i="36" s="1"/>
  <c r="S67" i="36"/>
  <c r="V140" i="36"/>
  <c r="W140" i="36"/>
  <c r="V139" i="36"/>
  <c r="W139" i="36"/>
  <c r="V117" i="36"/>
  <c r="W117" i="36"/>
  <c r="V131" i="36"/>
  <c r="W131" i="36"/>
  <c r="W130" i="36"/>
  <c r="V128" i="36"/>
  <c r="W128" i="36"/>
  <c r="V102" i="36"/>
  <c r="W102" i="36"/>
  <c r="V115" i="36"/>
  <c r="W115" i="36"/>
  <c r="V101" i="36"/>
  <c r="W101" i="36"/>
  <c r="W147" i="36"/>
  <c r="V144" i="36"/>
  <c r="W144" i="36"/>
  <c r="V116" i="36"/>
  <c r="W116" i="36"/>
  <c r="V142" i="36"/>
  <c r="W142" i="36"/>
  <c r="V129" i="36"/>
  <c r="W129" i="36"/>
  <c r="V145" i="36"/>
  <c r="W145" i="36"/>
  <c r="V112" i="36"/>
  <c r="W112" i="36"/>
  <c r="V146" i="36"/>
  <c r="W146" i="36"/>
  <c r="V127" i="36"/>
  <c r="W127" i="36"/>
  <c r="V135" i="36"/>
  <c r="W135" i="36"/>
  <c r="W132" i="36"/>
  <c r="V113" i="36"/>
  <c r="W113" i="36"/>
  <c r="V99" i="36"/>
  <c r="W99" i="36"/>
  <c r="V97" i="36"/>
  <c r="W97" i="36"/>
  <c r="V134" i="36"/>
  <c r="W134" i="36"/>
  <c r="V143" i="36"/>
  <c r="W143" i="36"/>
  <c r="V137" i="36"/>
  <c r="W137" i="36"/>
  <c r="V98" i="36"/>
  <c r="W98" i="36"/>
  <c r="U110" i="36"/>
  <c r="AA110" i="36" s="1"/>
  <c r="V110" i="36"/>
  <c r="U100" i="36"/>
  <c r="V100" i="36"/>
  <c r="T136" i="36"/>
  <c r="V136" i="36"/>
  <c r="V96" i="36"/>
  <c r="U96" i="36"/>
  <c r="U104" i="36"/>
  <c r="V104" i="36"/>
  <c r="V126" i="36"/>
  <c r="U126" i="36"/>
  <c r="U109" i="36"/>
  <c r="AA109" i="36" s="1"/>
  <c r="V109" i="36"/>
  <c r="T141" i="36"/>
  <c r="V141" i="36"/>
  <c r="T101" i="36"/>
  <c r="U101" i="36"/>
  <c r="T147" i="36"/>
  <c r="U147" i="36"/>
  <c r="T144" i="36"/>
  <c r="U144" i="36"/>
  <c r="T132" i="36"/>
  <c r="U132" i="36"/>
  <c r="AA132" i="36" s="1"/>
  <c r="T129" i="36"/>
  <c r="U129" i="36"/>
  <c r="T145" i="36"/>
  <c r="U145" i="36"/>
  <c r="T112" i="36"/>
  <c r="U112" i="36"/>
  <c r="T146" i="36"/>
  <c r="U146" i="36"/>
  <c r="T127" i="36"/>
  <c r="U127" i="36"/>
  <c r="T135" i="36"/>
  <c r="U135" i="36"/>
  <c r="T142" i="36"/>
  <c r="U142" i="36"/>
  <c r="T98" i="36"/>
  <c r="U98" i="36"/>
  <c r="T99" i="36"/>
  <c r="U99" i="36"/>
  <c r="T97" i="36"/>
  <c r="U97" i="36"/>
  <c r="T134" i="36"/>
  <c r="U134" i="36"/>
  <c r="AA134" i="36" s="1"/>
  <c r="T143" i="36"/>
  <c r="U143" i="36"/>
  <c r="T137" i="36"/>
  <c r="U137" i="36"/>
  <c r="T116" i="36"/>
  <c r="U116" i="36"/>
  <c r="AA116" i="36" s="1"/>
  <c r="T128" i="36"/>
  <c r="U128" i="36"/>
  <c r="T113" i="36"/>
  <c r="U113" i="36"/>
  <c r="AA113" i="36" s="1"/>
  <c r="T140" i="36"/>
  <c r="U140" i="36"/>
  <c r="T139" i="36"/>
  <c r="U139" i="36"/>
  <c r="AA139" i="36" s="1"/>
  <c r="T117" i="36"/>
  <c r="U117" i="36"/>
  <c r="T131" i="36"/>
  <c r="U131" i="36"/>
  <c r="T130" i="36"/>
  <c r="U130" i="36"/>
  <c r="T102" i="36"/>
  <c r="U102" i="36"/>
  <c r="T115" i="36"/>
  <c r="U115" i="36"/>
  <c r="T126" i="36"/>
  <c r="P104" i="6"/>
  <c r="AW104" i="6"/>
  <c r="I99" i="6"/>
  <c r="AT104" i="6"/>
  <c r="AW61" i="6"/>
  <c r="AX61" i="6" s="1"/>
  <c r="H99" i="6"/>
  <c r="U104" i="6"/>
  <c r="E99" i="6"/>
  <c r="S68" i="36"/>
  <c r="AW99" i="6"/>
  <c r="T99" i="6"/>
  <c r="L104" i="6"/>
  <c r="AU99" i="6"/>
  <c r="AW62" i="6"/>
  <c r="AX62" i="6" s="1"/>
  <c r="AW92" i="6"/>
  <c r="Q99" i="6"/>
  <c r="AU88" i="6"/>
  <c r="L96" i="6"/>
  <c r="D91" i="6"/>
  <c r="S69" i="36"/>
  <c r="R104" i="6"/>
  <c r="AU89" i="6"/>
  <c r="O104" i="6"/>
  <c r="H104" i="36"/>
  <c r="T104" i="36"/>
  <c r="F100" i="36"/>
  <c r="T100" i="36"/>
  <c r="R109" i="36"/>
  <c r="T109" i="36"/>
  <c r="E110" i="36"/>
  <c r="T110" i="36"/>
  <c r="R96" i="36"/>
  <c r="T96" i="36"/>
  <c r="G109" i="36"/>
  <c r="J110" i="36"/>
  <c r="K109" i="36"/>
  <c r="H109" i="36"/>
  <c r="E109" i="36"/>
  <c r="F109" i="36"/>
  <c r="I109" i="36"/>
  <c r="J109" i="36"/>
  <c r="F113" i="36"/>
  <c r="S113" i="36"/>
  <c r="E147" i="36"/>
  <c r="S147" i="36"/>
  <c r="H115" i="36"/>
  <c r="S115" i="36"/>
  <c r="J134" i="36"/>
  <c r="S134" i="36"/>
  <c r="E143" i="36"/>
  <c r="S143" i="36"/>
  <c r="K137" i="36"/>
  <c r="S137" i="36"/>
  <c r="J126" i="36"/>
  <c r="S126" i="36"/>
  <c r="G116" i="36"/>
  <c r="S116" i="36"/>
  <c r="J98" i="36"/>
  <c r="S98" i="36"/>
  <c r="D139" i="36"/>
  <c r="S139" i="36"/>
  <c r="H145" i="36"/>
  <c r="S145" i="36"/>
  <c r="K130" i="36"/>
  <c r="S130" i="36"/>
  <c r="G136" i="36"/>
  <c r="S136" i="36"/>
  <c r="I97" i="36"/>
  <c r="S97" i="36"/>
  <c r="D127" i="36"/>
  <c r="S127" i="36"/>
  <c r="R102" i="36"/>
  <c r="S102" i="36"/>
  <c r="F96" i="36"/>
  <c r="S96" i="36"/>
  <c r="D128" i="36"/>
  <c r="S128" i="36"/>
  <c r="F112" i="36"/>
  <c r="S112" i="36"/>
  <c r="I132" i="36"/>
  <c r="S132" i="36"/>
  <c r="K129" i="36"/>
  <c r="S129" i="36"/>
  <c r="D110" i="36"/>
  <c r="S110" i="36"/>
  <c r="D109" i="36"/>
  <c r="S109" i="36"/>
  <c r="D104" i="36"/>
  <c r="S104" i="36"/>
  <c r="K146" i="36"/>
  <c r="S146" i="36"/>
  <c r="I141" i="36"/>
  <c r="S141" i="36"/>
  <c r="E144" i="36"/>
  <c r="S144" i="36"/>
  <c r="H140" i="36"/>
  <c r="S140" i="36"/>
  <c r="D131" i="36"/>
  <c r="S131" i="36"/>
  <c r="E135" i="36"/>
  <c r="S135" i="36"/>
  <c r="I142" i="36"/>
  <c r="S142" i="36"/>
  <c r="E99" i="36"/>
  <c r="S99" i="36"/>
  <c r="R101" i="36"/>
  <c r="S101" i="36"/>
  <c r="E100" i="36"/>
  <c r="S100" i="36"/>
  <c r="D117" i="36"/>
  <c r="S117" i="36"/>
  <c r="R128" i="36"/>
  <c r="K97" i="36"/>
  <c r="G97" i="36"/>
  <c r="R112" i="36"/>
  <c r="K96" i="6"/>
  <c r="G96" i="6"/>
  <c r="Q86" i="6"/>
  <c r="T86" i="6"/>
  <c r="H117" i="36"/>
  <c r="AT87" i="6"/>
  <c r="G87" i="6"/>
  <c r="H87" i="6"/>
  <c r="K104" i="36"/>
  <c r="AT99" i="6"/>
  <c r="L99" i="6"/>
  <c r="AU86" i="6"/>
  <c r="S86" i="6"/>
  <c r="P87" i="6"/>
  <c r="P99" i="6"/>
  <c r="J99" i="6"/>
  <c r="AU87" i="6"/>
  <c r="AS86" i="6"/>
  <c r="O101" i="6"/>
  <c r="Q90" i="6"/>
  <c r="H90" i="6"/>
  <c r="E101" i="36"/>
  <c r="G86" i="6"/>
  <c r="U99" i="6"/>
  <c r="G115" i="36"/>
  <c r="H86" i="6"/>
  <c r="D89" i="6"/>
  <c r="AW91" i="6"/>
  <c r="P91" i="6"/>
  <c r="K110" i="36"/>
  <c r="F95" i="6"/>
  <c r="I98" i="6"/>
  <c r="F101" i="36"/>
  <c r="G89" i="6"/>
  <c r="D101" i="36"/>
  <c r="L98" i="6"/>
  <c r="G100" i="36"/>
  <c r="O89" i="6"/>
  <c r="J112" i="36"/>
  <c r="F110" i="36"/>
  <c r="I117" i="36"/>
  <c r="K98" i="6"/>
  <c r="AT102" i="6"/>
  <c r="U89" i="6"/>
  <c r="O99" i="6"/>
  <c r="AV89" i="6"/>
  <c r="S102" i="6"/>
  <c r="O91" i="6"/>
  <c r="K91" i="6"/>
  <c r="J117" i="36"/>
  <c r="D87" i="6"/>
  <c r="E117" i="36"/>
  <c r="R117" i="36"/>
  <c r="AW95" i="6"/>
  <c r="AX71" i="6"/>
  <c r="F89" i="6"/>
  <c r="I89" i="6"/>
  <c r="AV91" i="6"/>
  <c r="H113" i="36"/>
  <c r="R110" i="36"/>
  <c r="G91" i="6"/>
  <c r="U91" i="6"/>
  <c r="AS102" i="6"/>
  <c r="AS98" i="6"/>
  <c r="J91" i="6"/>
  <c r="D102" i="6"/>
  <c r="R90" i="6"/>
  <c r="P90" i="6"/>
  <c r="H110" i="36"/>
  <c r="AS91" i="6"/>
  <c r="L91" i="6"/>
  <c r="J132" i="6"/>
  <c r="S132" i="6"/>
  <c r="K136" i="36"/>
  <c r="E120" i="6"/>
  <c r="Z120" i="6"/>
  <c r="F131" i="36"/>
  <c r="F140" i="36"/>
  <c r="R136" i="36"/>
  <c r="K132" i="6"/>
  <c r="F136" i="36"/>
  <c r="R131" i="36"/>
  <c r="I131" i="36"/>
  <c r="G118" i="6"/>
  <c r="F144" i="36"/>
  <c r="J121" i="6"/>
  <c r="AV121" i="6"/>
  <c r="I144" i="36"/>
  <c r="AT121" i="6"/>
  <c r="AW115" i="6"/>
  <c r="S121" i="6"/>
  <c r="H121" i="6"/>
  <c r="X121" i="6"/>
  <c r="M121" i="6"/>
  <c r="AT122" i="6"/>
  <c r="C81" i="36"/>
  <c r="J137" i="36"/>
  <c r="AT132" i="6"/>
  <c r="K118" i="6"/>
  <c r="R137" i="36"/>
  <c r="G140" i="36"/>
  <c r="H137" i="36"/>
  <c r="E137" i="36"/>
  <c r="F137" i="36"/>
  <c r="AX63" i="6"/>
  <c r="D144" i="36"/>
  <c r="R144" i="36"/>
  <c r="J144" i="36"/>
  <c r="AW125" i="6"/>
  <c r="AT114" i="6"/>
  <c r="AU121" i="6"/>
  <c r="U121" i="6"/>
  <c r="G121" i="6"/>
  <c r="AW114" i="6"/>
  <c r="AX73" i="6"/>
  <c r="O115" i="6"/>
  <c r="T121" i="6"/>
  <c r="L121" i="6"/>
  <c r="N121" i="6"/>
  <c r="K144" i="36"/>
  <c r="H144" i="36"/>
  <c r="G120" i="6"/>
  <c r="G144" i="36"/>
  <c r="AX64" i="6"/>
  <c r="H141" i="36"/>
  <c r="D141" i="36"/>
  <c r="K141" i="36"/>
  <c r="J139" i="36"/>
  <c r="R139" i="36"/>
  <c r="E141" i="36"/>
  <c r="O128" i="6"/>
  <c r="C67" i="36"/>
  <c r="M124" i="6"/>
  <c r="J136" i="36"/>
  <c r="M132" i="6"/>
  <c r="R132" i="6"/>
  <c r="AW132" i="6"/>
  <c r="H132" i="6"/>
  <c r="AW118" i="6"/>
  <c r="H115" i="6"/>
  <c r="I136" i="36"/>
  <c r="AU132" i="6"/>
  <c r="H136" i="36"/>
  <c r="D132" i="6"/>
  <c r="I132" i="6"/>
  <c r="G114" i="6"/>
  <c r="E136" i="36"/>
  <c r="L118" i="6"/>
  <c r="G143" i="36"/>
  <c r="T118" i="6"/>
  <c r="D136" i="36"/>
  <c r="N132" i="6"/>
  <c r="L132" i="6"/>
  <c r="P132" i="6"/>
  <c r="AW113" i="6"/>
  <c r="F124" i="6"/>
  <c r="H122" i="6"/>
  <c r="J124" i="6"/>
  <c r="J119" i="6"/>
  <c r="U119" i="6"/>
  <c r="K128" i="6"/>
  <c r="AX59" i="6"/>
  <c r="L113" i="6"/>
  <c r="J130" i="36"/>
  <c r="U122" i="6"/>
  <c r="H124" i="6"/>
  <c r="E130" i="36"/>
  <c r="I130" i="36"/>
  <c r="I137" i="36"/>
  <c r="G119" i="6"/>
  <c r="D137" i="36"/>
  <c r="G137" i="36"/>
  <c r="F134" i="36"/>
  <c r="D120" i="6"/>
  <c r="D140" i="36"/>
  <c r="F127" i="36"/>
  <c r="H130" i="36"/>
  <c r="Q132" i="6"/>
  <c r="E132" i="6"/>
  <c r="T132" i="6"/>
  <c r="AV132" i="6"/>
  <c r="J120" i="6"/>
  <c r="AU78" i="6"/>
  <c r="AX76" i="6"/>
  <c r="L120" i="6"/>
  <c r="E128" i="6"/>
  <c r="I134" i="36"/>
  <c r="C61" i="6"/>
  <c r="T128" i="6"/>
  <c r="F128" i="6"/>
  <c r="N120" i="6"/>
  <c r="Q128" i="6"/>
  <c r="R128" i="6"/>
  <c r="S128" i="6"/>
  <c r="H134" i="36"/>
  <c r="G132" i="6"/>
  <c r="O132" i="6"/>
  <c r="U132" i="6"/>
  <c r="AW128" i="6"/>
  <c r="AX128" i="6" s="1"/>
  <c r="I113" i="6"/>
  <c r="P128" i="6"/>
  <c r="AV78" i="6"/>
  <c r="H128" i="6"/>
  <c r="P113" i="6"/>
  <c r="M120" i="6"/>
  <c r="P120" i="6"/>
  <c r="O120" i="6"/>
  <c r="P124" i="6"/>
  <c r="R124" i="6"/>
  <c r="S124" i="6"/>
  <c r="AW123" i="6"/>
  <c r="AW131" i="6"/>
  <c r="F129" i="36"/>
  <c r="J127" i="36"/>
  <c r="K124" i="6"/>
  <c r="I129" i="36"/>
  <c r="J131" i="6"/>
  <c r="R129" i="36"/>
  <c r="AU124" i="6"/>
  <c r="I124" i="6"/>
  <c r="G124" i="6"/>
  <c r="O131" i="6"/>
  <c r="O124" i="6"/>
  <c r="AX68" i="6"/>
  <c r="AW130" i="6"/>
  <c r="AT124" i="6"/>
  <c r="R127" i="36"/>
  <c r="AV124" i="6"/>
  <c r="Q124" i="6"/>
  <c r="N124" i="6"/>
  <c r="L124" i="6"/>
  <c r="E124" i="6"/>
  <c r="I129" i="6"/>
  <c r="D114" i="6"/>
  <c r="AU129" i="6"/>
  <c r="R126" i="36"/>
  <c r="G122" i="6"/>
  <c r="I145" i="36"/>
  <c r="I143" i="36"/>
  <c r="K126" i="6"/>
  <c r="O122" i="6"/>
  <c r="T129" i="6"/>
  <c r="L119" i="6"/>
  <c r="AT119" i="6"/>
  <c r="J122" i="6"/>
  <c r="F143" i="36"/>
  <c r="E119" i="6"/>
  <c r="J146" i="36"/>
  <c r="I119" i="6"/>
  <c r="E126" i="36"/>
  <c r="H143" i="36"/>
  <c r="L122" i="6"/>
  <c r="J143" i="36"/>
  <c r="J145" i="36"/>
  <c r="AV120" i="6"/>
  <c r="T120" i="6"/>
  <c r="AU120" i="6"/>
  <c r="AW119" i="6"/>
  <c r="AW117" i="6"/>
  <c r="P122" i="6"/>
  <c r="K115" i="6"/>
  <c r="L115" i="6"/>
  <c r="E145" i="36"/>
  <c r="I126" i="36"/>
  <c r="K122" i="6"/>
  <c r="P129" i="6"/>
  <c r="T126" i="6"/>
  <c r="I126" i="6"/>
  <c r="G146" i="36"/>
  <c r="U126" i="6"/>
  <c r="Q119" i="6"/>
  <c r="I122" i="6"/>
  <c r="G117" i="6"/>
  <c r="F122" i="6"/>
  <c r="D134" i="36"/>
  <c r="T122" i="6"/>
  <c r="AW120" i="6"/>
  <c r="Q120" i="6"/>
  <c r="I120" i="6"/>
  <c r="AW122" i="6"/>
  <c r="AW126" i="6"/>
  <c r="K78" i="6"/>
  <c r="R115" i="6"/>
  <c r="O129" i="6"/>
  <c r="AT117" i="6"/>
  <c r="G145" i="36"/>
  <c r="F115" i="6"/>
  <c r="P119" i="6"/>
  <c r="AT131" i="6"/>
  <c r="D117" i="6"/>
  <c r="H126" i="36"/>
  <c r="R143" i="36"/>
  <c r="R134" i="36"/>
  <c r="F145" i="36"/>
  <c r="AT120" i="6"/>
  <c r="F120" i="6"/>
  <c r="E114" i="6"/>
  <c r="K120" i="6"/>
  <c r="R120" i="6"/>
  <c r="U120" i="6"/>
  <c r="H120" i="6"/>
  <c r="D125" i="6"/>
  <c r="D115" i="6"/>
  <c r="U114" i="6"/>
  <c r="AW96" i="6"/>
  <c r="D116" i="36"/>
  <c r="D101" i="6"/>
  <c r="C70" i="6"/>
  <c r="S92" i="6"/>
  <c r="AS95" i="6"/>
  <c r="O117" i="6"/>
  <c r="H97" i="36"/>
  <c r="S117" i="6"/>
  <c r="D95" i="6"/>
  <c r="P96" i="6"/>
  <c r="AT116" i="6"/>
  <c r="G147" i="36"/>
  <c r="D112" i="36"/>
  <c r="G126" i="6"/>
  <c r="E117" i="6"/>
  <c r="G98" i="6"/>
  <c r="J96" i="6"/>
  <c r="AV90" i="6"/>
  <c r="D126" i="6"/>
  <c r="AV98" i="6"/>
  <c r="I115" i="36"/>
  <c r="I90" i="6"/>
  <c r="T102" i="6"/>
  <c r="G139" i="36"/>
  <c r="H139" i="36"/>
  <c r="AV102" i="6"/>
  <c r="AX102" i="6" s="1"/>
  <c r="F130" i="36"/>
  <c r="I131" i="6"/>
  <c r="S131" i="6"/>
  <c r="P121" i="6"/>
  <c r="P131" i="6"/>
  <c r="I110" i="36"/>
  <c r="T124" i="6"/>
  <c r="L90" i="6"/>
  <c r="J131" i="36"/>
  <c r="Q131" i="6"/>
  <c r="H131" i="36"/>
  <c r="E131" i="36"/>
  <c r="E127" i="36"/>
  <c r="O86" i="6"/>
  <c r="J141" i="36"/>
  <c r="J125" i="6"/>
  <c r="D98" i="36"/>
  <c r="J96" i="36"/>
  <c r="I117" i="6"/>
  <c r="Q116" i="6"/>
  <c r="E104" i="36"/>
  <c r="E97" i="36"/>
  <c r="U90" i="6"/>
  <c r="T131" i="6"/>
  <c r="G112" i="36"/>
  <c r="J115" i="36"/>
  <c r="I127" i="36"/>
  <c r="F102" i="6"/>
  <c r="H127" i="36"/>
  <c r="H131" i="6"/>
  <c r="K102" i="6"/>
  <c r="E131" i="6"/>
  <c r="D142" i="36"/>
  <c r="O96" i="6"/>
  <c r="C68" i="6"/>
  <c r="H147" i="36"/>
  <c r="K90" i="6"/>
  <c r="T117" i="6"/>
  <c r="H101" i="36"/>
  <c r="D118" i="6"/>
  <c r="Q113" i="6"/>
  <c r="F97" i="36"/>
  <c r="R113" i="6"/>
  <c r="AU102" i="6"/>
  <c r="J97" i="36"/>
  <c r="O90" i="6"/>
  <c r="F117" i="36"/>
  <c r="K131" i="6"/>
  <c r="R131" i="6"/>
  <c r="R102" i="6"/>
  <c r="G142" i="36"/>
  <c r="F141" i="36"/>
  <c r="R141" i="36"/>
  <c r="G141" i="36"/>
  <c r="F104" i="36"/>
  <c r="I104" i="36"/>
  <c r="F131" i="6"/>
  <c r="E121" i="6"/>
  <c r="AW121" i="6"/>
  <c r="R121" i="6"/>
  <c r="F121" i="6"/>
  <c r="K121" i="6"/>
  <c r="Q121" i="6"/>
  <c r="I121" i="6"/>
  <c r="O121" i="6"/>
  <c r="AS124" i="6"/>
  <c r="D124" i="6"/>
  <c r="AW124" i="6"/>
  <c r="R103" i="6"/>
  <c r="H96" i="36"/>
  <c r="I147" i="36"/>
  <c r="I78" i="6"/>
  <c r="E96" i="6"/>
  <c r="I96" i="6"/>
  <c r="AT90" i="6"/>
  <c r="R115" i="36"/>
  <c r="E115" i="36"/>
  <c r="L102" i="6"/>
  <c r="G131" i="6"/>
  <c r="I102" i="6"/>
  <c r="D97" i="36"/>
  <c r="L131" i="6"/>
  <c r="R130" i="36"/>
  <c r="K135" i="36"/>
  <c r="D135" i="36"/>
  <c r="I135" i="36"/>
  <c r="R135" i="36"/>
  <c r="F135" i="36"/>
  <c r="G135" i="36"/>
  <c r="H135" i="36"/>
  <c r="J135" i="36"/>
  <c r="AW103" i="6"/>
  <c r="E96" i="36"/>
  <c r="G96" i="36"/>
  <c r="D103" i="6"/>
  <c r="C75" i="6"/>
  <c r="E142" i="36"/>
  <c r="K142" i="36"/>
  <c r="N125" i="6"/>
  <c r="M125" i="6"/>
  <c r="AU125" i="6"/>
  <c r="R95" i="6"/>
  <c r="E128" i="36"/>
  <c r="K128" i="36"/>
  <c r="E103" i="6"/>
  <c r="D99" i="36"/>
  <c r="AU95" i="6"/>
  <c r="G104" i="6"/>
  <c r="AT92" i="6"/>
  <c r="K101" i="6"/>
  <c r="T96" i="6"/>
  <c r="K98" i="36"/>
  <c r="D113" i="36"/>
  <c r="Q130" i="6"/>
  <c r="N114" i="6"/>
  <c r="M114" i="6"/>
  <c r="J114" i="6"/>
  <c r="G101" i="36"/>
  <c r="J101" i="36"/>
  <c r="U96" i="6"/>
  <c r="H142" i="36"/>
  <c r="E118" i="6"/>
  <c r="L129" i="6"/>
  <c r="T103" i="6"/>
  <c r="K99" i="36"/>
  <c r="AU96" i="6"/>
  <c r="AT103" i="6"/>
  <c r="S88" i="6"/>
  <c r="D104" i="6"/>
  <c r="D129" i="6"/>
  <c r="Q125" i="6"/>
  <c r="AT125" i="6"/>
  <c r="U129" i="6"/>
  <c r="H98" i="6"/>
  <c r="I112" i="36"/>
  <c r="F142" i="36"/>
  <c r="Q88" i="6"/>
  <c r="K104" i="6"/>
  <c r="I92" i="6"/>
  <c r="C60" i="6"/>
  <c r="D116" i="6"/>
  <c r="N89" i="6"/>
  <c r="M89" i="6"/>
  <c r="AW89" i="6"/>
  <c r="L89" i="6"/>
  <c r="R89" i="6"/>
  <c r="H89" i="6"/>
  <c r="O103" i="6"/>
  <c r="H113" i="6"/>
  <c r="D96" i="6"/>
  <c r="E132" i="36"/>
  <c r="C63" i="6"/>
  <c r="J101" i="6"/>
  <c r="T89" i="6"/>
  <c r="I114" i="6"/>
  <c r="T95" i="6"/>
  <c r="I96" i="36"/>
  <c r="K119" i="6"/>
  <c r="Q129" i="6"/>
  <c r="E101" i="6"/>
  <c r="G129" i="36"/>
  <c r="K103" i="6"/>
  <c r="K117" i="6"/>
  <c r="N117" i="6"/>
  <c r="M117" i="6"/>
  <c r="F117" i="6"/>
  <c r="AV117" i="6"/>
  <c r="AU117" i="6"/>
  <c r="J117" i="6"/>
  <c r="K88" i="6"/>
  <c r="D146" i="36"/>
  <c r="J89" i="6"/>
  <c r="J100" i="36"/>
  <c r="R78" i="6"/>
  <c r="D113" i="6"/>
  <c r="D115" i="36"/>
  <c r="H104" i="6"/>
  <c r="J142" i="36"/>
  <c r="U95" i="6"/>
  <c r="G99" i="6"/>
  <c r="AT95" i="6"/>
  <c r="AS88" i="6"/>
  <c r="H114" i="6"/>
  <c r="F139" i="36"/>
  <c r="T101" i="6"/>
  <c r="U118" i="6"/>
  <c r="Q126" i="6"/>
  <c r="C64" i="6"/>
  <c r="G90" i="6"/>
  <c r="AS92" i="6"/>
  <c r="R100" i="36"/>
  <c r="F113" i="6"/>
  <c r="H100" i="36"/>
  <c r="AT128" i="6"/>
  <c r="F132" i="36"/>
  <c r="L123" i="6"/>
  <c r="C78" i="36"/>
  <c r="E91" i="6"/>
  <c r="O119" i="6"/>
  <c r="H99" i="36"/>
  <c r="J116" i="36"/>
  <c r="R114" i="6"/>
  <c r="AV119" i="6"/>
  <c r="AS90" i="6"/>
  <c r="R130" i="6"/>
  <c r="M131" i="6"/>
  <c r="N131" i="6"/>
  <c r="AV131" i="6"/>
  <c r="U131" i="6"/>
  <c r="AU131" i="6"/>
  <c r="F125" i="6"/>
  <c r="M102" i="6"/>
  <c r="N102" i="6"/>
  <c r="H128" i="36"/>
  <c r="R97" i="36"/>
  <c r="D86" i="6"/>
  <c r="N86" i="6"/>
  <c r="K86" i="6"/>
  <c r="M86" i="6"/>
  <c r="D145" i="36"/>
  <c r="K145" i="36"/>
  <c r="K117" i="36"/>
  <c r="E90" i="6"/>
  <c r="E130" i="6"/>
  <c r="F116" i="6"/>
  <c r="I146" i="36"/>
  <c r="Q117" i="6"/>
  <c r="G78" i="6"/>
  <c r="AT78" i="6"/>
  <c r="R125" i="6"/>
  <c r="U92" i="6"/>
  <c r="K131" i="36"/>
  <c r="G131" i="36"/>
  <c r="E116" i="36"/>
  <c r="G110" i="36"/>
  <c r="L128" i="6"/>
  <c r="E125" i="6"/>
  <c r="E134" i="36"/>
  <c r="K134" i="36"/>
  <c r="G134" i="36"/>
  <c r="F115" i="36"/>
  <c r="I91" i="6"/>
  <c r="F114" i="6"/>
  <c r="K125" i="6"/>
  <c r="P114" i="6"/>
  <c r="I88" i="6"/>
  <c r="F128" i="36"/>
  <c r="AT129" i="6"/>
  <c r="G98" i="36"/>
  <c r="G117" i="36"/>
  <c r="L95" i="6"/>
  <c r="Q118" i="6"/>
  <c r="U98" i="6"/>
  <c r="U116" i="6"/>
  <c r="I139" i="36"/>
  <c r="H112" i="36"/>
  <c r="P116" i="6"/>
  <c r="AT123" i="6"/>
  <c r="AU123" i="6"/>
  <c r="G130" i="36"/>
  <c r="D130" i="36"/>
  <c r="AV125" i="6"/>
  <c r="N103" i="6"/>
  <c r="M103" i="6"/>
  <c r="D123" i="6"/>
  <c r="L103" i="6"/>
  <c r="D92" i="6"/>
  <c r="E113" i="36"/>
  <c r="G113" i="36"/>
  <c r="R116" i="36"/>
  <c r="AV101" i="6"/>
  <c r="AX101" i="6" s="1"/>
  <c r="R101" i="6"/>
  <c r="AT101" i="6"/>
  <c r="O92" i="6"/>
  <c r="S104" i="6"/>
  <c r="AU104" i="6"/>
  <c r="M104" i="6"/>
  <c r="N104" i="6"/>
  <c r="J92" i="6"/>
  <c r="C74" i="6"/>
  <c r="H98" i="36"/>
  <c r="K116" i="36"/>
  <c r="D147" i="36"/>
  <c r="K147" i="36"/>
  <c r="F104" i="6"/>
  <c r="F103" i="6"/>
  <c r="D88" i="6"/>
  <c r="N115" i="6"/>
  <c r="M115" i="6"/>
  <c r="AV115" i="6"/>
  <c r="AU115" i="6"/>
  <c r="U88" i="6"/>
  <c r="I116" i="6"/>
  <c r="R113" i="36"/>
  <c r="H78" i="6"/>
  <c r="N96" i="6"/>
  <c r="M96" i="6"/>
  <c r="F96" i="6"/>
  <c r="I130" i="6"/>
  <c r="AU103" i="6"/>
  <c r="J128" i="36"/>
  <c r="E98" i="36"/>
  <c r="I118" i="6"/>
  <c r="AV95" i="6"/>
  <c r="F102" i="36"/>
  <c r="S126" i="6"/>
  <c r="D100" i="36"/>
  <c r="C62" i="6"/>
  <c r="K123" i="6"/>
  <c r="C85" i="36"/>
  <c r="Q98" i="6"/>
  <c r="P115" i="6"/>
  <c r="R142" i="36"/>
  <c r="C58" i="6"/>
  <c r="D78" i="6"/>
  <c r="J147" i="36"/>
  <c r="J98" i="6"/>
  <c r="D129" i="36"/>
  <c r="AV104" i="6"/>
  <c r="C79" i="36"/>
  <c r="I103" i="6"/>
  <c r="K112" i="36"/>
  <c r="I99" i="36"/>
  <c r="H95" i="6"/>
  <c r="G115" i="6"/>
  <c r="I115" i="6"/>
  <c r="N99" i="6"/>
  <c r="M99" i="6"/>
  <c r="R146" i="36"/>
  <c r="AU116" i="6"/>
  <c r="O98" i="6"/>
  <c r="F78" i="6"/>
  <c r="E92" i="6"/>
  <c r="U125" i="6"/>
  <c r="T98" i="6"/>
  <c r="K95" i="6"/>
  <c r="R92" i="6"/>
  <c r="J103" i="6"/>
  <c r="E88" i="6"/>
  <c r="O126" i="6"/>
  <c r="AS99" i="6"/>
  <c r="I100" i="36"/>
  <c r="C76" i="6"/>
  <c r="L114" i="6"/>
  <c r="AV99" i="6"/>
  <c r="D128" i="6"/>
  <c r="T90" i="6"/>
  <c r="P92" i="6"/>
  <c r="E112" i="36"/>
  <c r="O114" i="6"/>
  <c r="R117" i="6"/>
  <c r="U117" i="6"/>
  <c r="G116" i="6"/>
  <c r="T114" i="6"/>
  <c r="C70" i="36"/>
  <c r="L126" i="6"/>
  <c r="H132" i="36"/>
  <c r="J104" i="36"/>
  <c r="S96" i="6"/>
  <c r="J128" i="6"/>
  <c r="C82" i="36"/>
  <c r="C66" i="36"/>
  <c r="F86" i="6"/>
  <c r="K115" i="36"/>
  <c r="K100" i="36"/>
  <c r="R145" i="36"/>
  <c r="N122" i="6"/>
  <c r="S122" i="6"/>
  <c r="R122" i="6"/>
  <c r="Q122" i="6"/>
  <c r="M122" i="6"/>
  <c r="E122" i="6"/>
  <c r="AV122" i="6"/>
  <c r="AU122" i="6"/>
  <c r="R119" i="6"/>
  <c r="F147" i="36"/>
  <c r="Q102" i="6"/>
  <c r="AU114" i="6"/>
  <c r="E102" i="36"/>
  <c r="I102" i="36"/>
  <c r="D130" i="6"/>
  <c r="N101" i="6"/>
  <c r="M101" i="6"/>
  <c r="N123" i="6"/>
  <c r="S123" i="6"/>
  <c r="AS123" i="6"/>
  <c r="G123" i="6"/>
  <c r="E123" i="6"/>
  <c r="V123" i="6"/>
  <c r="U123" i="6"/>
  <c r="I123" i="6"/>
  <c r="M123" i="6"/>
  <c r="T123" i="6"/>
  <c r="H123" i="6"/>
  <c r="F123" i="6"/>
  <c r="N92" i="6"/>
  <c r="M92" i="6"/>
  <c r="K113" i="36"/>
  <c r="AU92" i="6"/>
  <c r="AV92" i="6"/>
  <c r="L78" i="6"/>
  <c r="E129" i="6"/>
  <c r="S129" i="6"/>
  <c r="M129" i="6"/>
  <c r="G129" i="6"/>
  <c r="N129" i="6"/>
  <c r="AV129" i="6"/>
  <c r="AX129" i="6" s="1"/>
  <c r="AV123" i="6"/>
  <c r="C86" i="36"/>
  <c r="I104" i="6"/>
  <c r="N88" i="6"/>
  <c r="M88" i="6"/>
  <c r="J116" i="6"/>
  <c r="N116" i="6"/>
  <c r="M116" i="6"/>
  <c r="L116" i="6"/>
  <c r="AW116" i="6"/>
  <c r="H116" i="6"/>
  <c r="G103" i="6"/>
  <c r="Q101" i="6"/>
  <c r="H92" i="6"/>
  <c r="J118" i="6"/>
  <c r="N118" i="6"/>
  <c r="H118" i="6"/>
  <c r="R118" i="6"/>
  <c r="M118" i="6"/>
  <c r="M126" i="6"/>
  <c r="N126" i="6"/>
  <c r="AU126" i="6"/>
  <c r="AV126" i="6"/>
  <c r="F98" i="36"/>
  <c r="Q78" i="6"/>
  <c r="P101" i="6"/>
  <c r="S95" i="6"/>
  <c r="P125" i="6"/>
  <c r="E115" i="6"/>
  <c r="O116" i="6"/>
  <c r="AS103" i="6"/>
  <c r="H116" i="36"/>
  <c r="D132" i="36"/>
  <c r="K132" i="36"/>
  <c r="G132" i="36"/>
  <c r="I101" i="36"/>
  <c r="O88" i="6"/>
  <c r="AT113" i="6"/>
  <c r="N113" i="6"/>
  <c r="M113" i="6"/>
  <c r="AV113" i="6"/>
  <c r="K113" i="6"/>
  <c r="D98" i="6"/>
  <c r="S125" i="6"/>
  <c r="U78" i="6"/>
  <c r="L92" i="6"/>
  <c r="Q96" i="6"/>
  <c r="C68" i="36"/>
  <c r="O113" i="6"/>
  <c r="F146" i="36"/>
  <c r="Q140" i="36"/>
  <c r="J140" i="36"/>
  <c r="K140" i="36"/>
  <c r="M140" i="36"/>
  <c r="I140" i="36"/>
  <c r="E140" i="36"/>
  <c r="E104" i="6"/>
  <c r="J95" i="6"/>
  <c r="S116" i="6"/>
  <c r="R96" i="6"/>
  <c r="D119" i="6"/>
  <c r="J115" i="6"/>
  <c r="AS104" i="6"/>
  <c r="J113" i="6"/>
  <c r="AV88" i="6"/>
  <c r="H130" i="6"/>
  <c r="J104" i="6"/>
  <c r="K99" i="6"/>
  <c r="F101" i="6"/>
  <c r="H88" i="6"/>
  <c r="E113" i="6"/>
  <c r="K114" i="6"/>
  <c r="R140" i="36"/>
  <c r="R99" i="36"/>
  <c r="AT130" i="6"/>
  <c r="G104" i="36"/>
  <c r="D90" i="6"/>
  <c r="Q89" i="6"/>
  <c r="T113" i="6"/>
  <c r="K126" i="36"/>
  <c r="H125" i="6"/>
  <c r="C73" i="6"/>
  <c r="Q115" i="6"/>
  <c r="U115" i="6"/>
  <c r="J123" i="6"/>
  <c r="T115" i="6"/>
  <c r="G130" i="6"/>
  <c r="F116" i="36"/>
  <c r="S103" i="6"/>
  <c r="R104" i="36"/>
  <c r="L130" i="6"/>
  <c r="L125" i="6"/>
  <c r="U103" i="6"/>
  <c r="R123" i="6"/>
  <c r="E116" i="6"/>
  <c r="D143" i="36"/>
  <c r="K143" i="36"/>
  <c r="Q114" i="6"/>
  <c r="AT88" i="6"/>
  <c r="AU113" i="6"/>
  <c r="K127" i="36"/>
  <c r="G127" i="36"/>
  <c r="K101" i="36"/>
  <c r="H103" i="6"/>
  <c r="T125" i="6"/>
  <c r="S113" i="6"/>
  <c r="H117" i="6"/>
  <c r="E86" i="6"/>
  <c r="H129" i="36"/>
  <c r="I125" i="6"/>
  <c r="AT89" i="6"/>
  <c r="AV118" i="6"/>
  <c r="R116" i="6"/>
  <c r="D102" i="36"/>
  <c r="O130" i="6"/>
  <c r="N130" i="6"/>
  <c r="S130" i="6"/>
  <c r="M130" i="6"/>
  <c r="F130" i="6"/>
  <c r="T130" i="6"/>
  <c r="AU130" i="6"/>
  <c r="AV130" i="6"/>
  <c r="I98" i="36"/>
  <c r="I101" i="6"/>
  <c r="R98" i="36"/>
  <c r="C59" i="6"/>
  <c r="G95" i="6"/>
  <c r="M95" i="6"/>
  <c r="N95" i="6"/>
  <c r="J130" i="6"/>
  <c r="K92" i="6"/>
  <c r="J102" i="36"/>
  <c r="G99" i="36"/>
  <c r="AV103" i="6"/>
  <c r="K130" i="6"/>
  <c r="G102" i="36"/>
  <c r="T92" i="6"/>
  <c r="P78" i="6"/>
  <c r="G92" i="6"/>
  <c r="K102" i="36"/>
  <c r="I116" i="36"/>
  <c r="F129" i="6"/>
  <c r="U130" i="6"/>
  <c r="P103" i="6"/>
  <c r="R129" i="6"/>
  <c r="C71" i="6"/>
  <c r="AT115" i="6"/>
  <c r="AU118" i="6"/>
  <c r="I128" i="36"/>
  <c r="O125" i="6"/>
  <c r="J113" i="36"/>
  <c r="U101" i="6"/>
  <c r="S118" i="6"/>
  <c r="R88" i="6"/>
  <c r="P88" i="6"/>
  <c r="H101" i="6"/>
  <c r="N98" i="6"/>
  <c r="M98" i="6"/>
  <c r="J99" i="36"/>
  <c r="Q95" i="6"/>
  <c r="P118" i="6"/>
  <c r="H129" i="6"/>
  <c r="H126" i="6"/>
  <c r="K129" i="6"/>
  <c r="R126" i="6"/>
  <c r="R132" i="36"/>
  <c r="O78" i="6"/>
  <c r="E146" i="36"/>
  <c r="L101" i="6"/>
  <c r="H102" i="36"/>
  <c r="F119" i="6"/>
  <c r="H119" i="6"/>
  <c r="M119" i="6"/>
  <c r="N119" i="6"/>
  <c r="AU119" i="6"/>
  <c r="I95" i="6"/>
  <c r="L88" i="6"/>
  <c r="J126" i="6"/>
  <c r="AS101" i="6"/>
  <c r="AV114" i="6"/>
  <c r="E126" i="6"/>
  <c r="J78" i="6"/>
  <c r="S99" i="6"/>
  <c r="K96" i="36"/>
  <c r="E139" i="36"/>
  <c r="K139" i="36"/>
  <c r="O95" i="6"/>
  <c r="F126" i="6"/>
  <c r="P123" i="6"/>
  <c r="E78" i="6"/>
  <c r="J132" i="36"/>
  <c r="F88" i="6"/>
  <c r="N90" i="6"/>
  <c r="S90" i="6"/>
  <c r="M90" i="6"/>
  <c r="F90" i="6"/>
  <c r="J90" i="6"/>
  <c r="AW90" i="6"/>
  <c r="P95" i="6"/>
  <c r="F99" i="36"/>
  <c r="T78" i="6"/>
  <c r="AV96" i="6"/>
  <c r="G128" i="6"/>
  <c r="M128" i="6"/>
  <c r="N128" i="6"/>
  <c r="AU128" i="6"/>
  <c r="J129" i="36"/>
  <c r="S98" i="6"/>
  <c r="S119" i="6"/>
  <c r="Q123" i="6"/>
  <c r="G113" i="6"/>
  <c r="AS96" i="6"/>
  <c r="AT126" i="6"/>
  <c r="G128" i="36"/>
  <c r="J129" i="6"/>
  <c r="E129" i="36"/>
  <c r="M91" i="6"/>
  <c r="N91" i="6"/>
  <c r="K116" i="6"/>
  <c r="AU101" i="6"/>
  <c r="S89" i="6"/>
  <c r="C73" i="36"/>
  <c r="Q92" i="6"/>
  <c r="T104" i="6"/>
  <c r="I128" i="6"/>
  <c r="AT118" i="6"/>
  <c r="AU91" i="6"/>
  <c r="G126" i="36"/>
  <c r="L117" i="6"/>
  <c r="M87" i="6"/>
  <c r="N87" i="6"/>
  <c r="O118" i="6"/>
  <c r="S101" i="6"/>
  <c r="F126" i="36"/>
  <c r="G101" i="6"/>
  <c r="I113" i="36"/>
  <c r="S78" i="6"/>
  <c r="C67" i="6"/>
  <c r="F99" i="6"/>
  <c r="U128" i="6"/>
  <c r="R147" i="36"/>
  <c r="AV116" i="6"/>
  <c r="C69" i="36"/>
  <c r="H146" i="36"/>
  <c r="AX94" i="6"/>
  <c r="AX58" i="6"/>
  <c r="IA126" i="1"/>
  <c r="IA124" i="1"/>
  <c r="IA122" i="1"/>
  <c r="IA121" i="1"/>
  <c r="IA112" i="1"/>
  <c r="IA111" i="1"/>
  <c r="IA110" i="1"/>
  <c r="IA109" i="1"/>
  <c r="IA108" i="1"/>
  <c r="IA107" i="1"/>
  <c r="IA105" i="1"/>
  <c r="IA104" i="1"/>
  <c r="IA103" i="1"/>
  <c r="IA102" i="1"/>
  <c r="IA100" i="1"/>
  <c r="IA97" i="1"/>
  <c r="IA96" i="1"/>
  <c r="IA95" i="1"/>
  <c r="IA94" i="1"/>
  <c r="IA93" i="1"/>
  <c r="HZ126" i="1"/>
  <c r="HZ124" i="1"/>
  <c r="HZ122" i="1"/>
  <c r="HZ121" i="1"/>
  <c r="HZ112" i="1"/>
  <c r="HZ111" i="1"/>
  <c r="HZ110" i="1"/>
  <c r="HZ109" i="1"/>
  <c r="HZ108" i="1"/>
  <c r="HZ107" i="1"/>
  <c r="HZ105" i="1"/>
  <c r="HZ104" i="1"/>
  <c r="HZ103" i="1"/>
  <c r="HZ102" i="1"/>
  <c r="HZ100" i="1"/>
  <c r="HZ97" i="1"/>
  <c r="HZ96" i="1"/>
  <c r="HZ95" i="1"/>
  <c r="HZ94" i="1"/>
  <c r="HZ93" i="1"/>
  <c r="HY126" i="1"/>
  <c r="HY124" i="1"/>
  <c r="HY122" i="1"/>
  <c r="HY121" i="1"/>
  <c r="HY112" i="1"/>
  <c r="HY111" i="1"/>
  <c r="HY110" i="1"/>
  <c r="HY109" i="1"/>
  <c r="HY108" i="1"/>
  <c r="HY107" i="1"/>
  <c r="HY105" i="1"/>
  <c r="HY104" i="1"/>
  <c r="HY103" i="1"/>
  <c r="HY102" i="1"/>
  <c r="HY100" i="1"/>
  <c r="HY97" i="1"/>
  <c r="HY96" i="1"/>
  <c r="HY95" i="1"/>
  <c r="HY94" i="1"/>
  <c r="HY93" i="1"/>
  <c r="HZ51" i="1"/>
  <c r="HY51" i="1"/>
  <c r="IA50" i="1"/>
  <c r="HZ50" i="1"/>
  <c r="HY50" i="1"/>
  <c r="IA37" i="1"/>
  <c r="HZ37" i="1"/>
  <c r="HY37" i="1"/>
  <c r="IA36" i="1"/>
  <c r="HZ36" i="1"/>
  <c r="HY36" i="1"/>
  <c r="HZ35" i="1"/>
  <c r="HY35" i="1"/>
  <c r="IA34" i="1"/>
  <c r="HZ34" i="1"/>
  <c r="HY34" i="1"/>
  <c r="IA26" i="1"/>
  <c r="HZ26" i="1"/>
  <c r="HY26" i="1"/>
  <c r="IA25" i="1"/>
  <c r="HZ25" i="1"/>
  <c r="HY25" i="1"/>
  <c r="IA24" i="1"/>
  <c r="HZ24" i="1"/>
  <c r="HY24" i="1"/>
  <c r="IA22" i="1"/>
  <c r="HZ22" i="1"/>
  <c r="HY22" i="1"/>
  <c r="IA21" i="1"/>
  <c r="HZ21" i="1"/>
  <c r="HY21" i="1"/>
  <c r="IA19" i="1"/>
  <c r="HZ19" i="1"/>
  <c r="HY19" i="1"/>
  <c r="IA18" i="1"/>
  <c r="HZ18" i="1"/>
  <c r="HY18" i="1"/>
  <c r="IA17" i="1"/>
  <c r="HZ17" i="1"/>
  <c r="HY17" i="1"/>
  <c r="IA16" i="1"/>
  <c r="HZ16" i="1"/>
  <c r="HY16" i="1"/>
  <c r="IA15" i="1"/>
  <c r="HZ15" i="1"/>
  <c r="HY15" i="1"/>
  <c r="IA14" i="1"/>
  <c r="HZ14" i="1"/>
  <c r="HY14" i="1"/>
  <c r="IA13" i="1"/>
  <c r="HZ13" i="1"/>
  <c r="HY13" i="1"/>
  <c r="IA11" i="1"/>
  <c r="HZ11" i="1"/>
  <c r="HY11" i="1"/>
  <c r="IA10" i="1"/>
  <c r="HZ10" i="1"/>
  <c r="HY10" i="1"/>
  <c r="IA9" i="1"/>
  <c r="HZ9" i="1"/>
  <c r="HY9" i="1"/>
  <c r="IA6" i="1"/>
  <c r="HZ6" i="1"/>
  <c r="HY6" i="1"/>
  <c r="AA100" i="36" l="1"/>
  <c r="AA143" i="36"/>
  <c r="Z143" i="36"/>
  <c r="Z145" i="36"/>
  <c r="AA145" i="36"/>
  <c r="Z128" i="36"/>
  <c r="AA128" i="36"/>
  <c r="Z97" i="36"/>
  <c r="AA97" i="36" s="1"/>
  <c r="AA142" i="36"/>
  <c r="Z142" i="36"/>
  <c r="AA115" i="36"/>
  <c r="Z115" i="36"/>
  <c r="Y148" i="36"/>
  <c r="Z126" i="36"/>
  <c r="AA126" i="36"/>
  <c r="G108" i="36"/>
  <c r="Y108" i="36"/>
  <c r="AA146" i="36"/>
  <c r="Z146" i="36"/>
  <c r="Z102" i="36"/>
  <c r="AA102" i="36" s="1"/>
  <c r="AA104" i="36"/>
  <c r="Z104" i="36"/>
  <c r="H125" i="36"/>
  <c r="Y125" i="36"/>
  <c r="R95" i="36"/>
  <c r="Y95" i="36"/>
  <c r="Z131" i="36"/>
  <c r="AA131" i="36"/>
  <c r="Z117" i="36"/>
  <c r="AA117" i="36"/>
  <c r="Z112" i="36"/>
  <c r="AA112" i="36"/>
  <c r="R103" i="36"/>
  <c r="Y103" i="36"/>
  <c r="G133" i="36"/>
  <c r="Y133" i="36"/>
  <c r="AA135" i="36"/>
  <c r="Z135" i="36"/>
  <c r="AA101" i="36"/>
  <c r="AA98" i="36"/>
  <c r="AA99" i="36"/>
  <c r="I138" i="36"/>
  <c r="Y138" i="36"/>
  <c r="AA129" i="36"/>
  <c r="Z129" i="36"/>
  <c r="Z96" i="36"/>
  <c r="AA96" i="36" s="1"/>
  <c r="Z127" i="36"/>
  <c r="G95" i="36"/>
  <c r="H95" i="36"/>
  <c r="S95" i="36"/>
  <c r="K95" i="36"/>
  <c r="I95" i="36"/>
  <c r="J95" i="36"/>
  <c r="E95" i="36"/>
  <c r="T148" i="36"/>
  <c r="S64" i="36"/>
  <c r="K148" i="36"/>
  <c r="S138" i="36"/>
  <c r="H138" i="36"/>
  <c r="E138" i="36"/>
  <c r="F138" i="36"/>
  <c r="F148" i="36"/>
  <c r="G148" i="36"/>
  <c r="G138" i="36"/>
  <c r="C87" i="36"/>
  <c r="I125" i="36"/>
  <c r="D125" i="36"/>
  <c r="C77" i="36"/>
  <c r="J148" i="36"/>
  <c r="V148" i="36"/>
  <c r="D148" i="36"/>
  <c r="S108" i="36"/>
  <c r="H148" i="36"/>
  <c r="X148" i="36"/>
  <c r="H108" i="36"/>
  <c r="K125" i="36"/>
  <c r="X125" i="36"/>
  <c r="V125" i="36"/>
  <c r="U125" i="36"/>
  <c r="W125" i="36"/>
  <c r="T125" i="36"/>
  <c r="F125" i="36"/>
  <c r="J108" i="36"/>
  <c r="F108" i="36"/>
  <c r="E148" i="36"/>
  <c r="K133" i="36"/>
  <c r="X133" i="36"/>
  <c r="V133" i="36"/>
  <c r="U133" i="36"/>
  <c r="W133" i="36"/>
  <c r="T133" i="36"/>
  <c r="R133" i="36"/>
  <c r="J133" i="36"/>
  <c r="F133" i="36"/>
  <c r="H133" i="36"/>
  <c r="D133" i="36"/>
  <c r="E133" i="36"/>
  <c r="I133" i="36"/>
  <c r="S133" i="36"/>
  <c r="R148" i="36"/>
  <c r="W148" i="36"/>
  <c r="R108" i="36"/>
  <c r="K138" i="36"/>
  <c r="X138" i="36"/>
  <c r="V138" i="36"/>
  <c r="U138" i="36"/>
  <c r="W138" i="36"/>
  <c r="T138" i="36"/>
  <c r="D138" i="36"/>
  <c r="J138" i="36"/>
  <c r="X108" i="36"/>
  <c r="V108" i="36"/>
  <c r="U108" i="36"/>
  <c r="W108" i="36"/>
  <c r="T108" i="36"/>
  <c r="I108" i="36"/>
  <c r="K108" i="36"/>
  <c r="E108" i="36"/>
  <c r="D108" i="36"/>
  <c r="I148" i="36"/>
  <c r="S148" i="36"/>
  <c r="U148" i="36"/>
  <c r="J125" i="36"/>
  <c r="R138" i="36"/>
  <c r="G125" i="36"/>
  <c r="X95" i="36"/>
  <c r="V95" i="36"/>
  <c r="U95" i="36"/>
  <c r="W95" i="36"/>
  <c r="T95" i="36"/>
  <c r="F95" i="36"/>
  <c r="D95" i="36"/>
  <c r="R125" i="36"/>
  <c r="E125" i="36"/>
  <c r="S125" i="36"/>
  <c r="AX92" i="6"/>
  <c r="AX87" i="6"/>
  <c r="AX95" i="6"/>
  <c r="AX86" i="6"/>
  <c r="AX88" i="6"/>
  <c r="AX98" i="6"/>
  <c r="AX127" i="6"/>
  <c r="AX104" i="6"/>
  <c r="AW78" i="6"/>
  <c r="AX78" i="6" s="1"/>
  <c r="AX99" i="6"/>
  <c r="AX90" i="6"/>
  <c r="AX124" i="6"/>
  <c r="AX125" i="6"/>
  <c r="AX89" i="6"/>
  <c r="AX91" i="6"/>
  <c r="AX115" i="6"/>
  <c r="AX114" i="6"/>
  <c r="AX121" i="6"/>
  <c r="AX118" i="6"/>
  <c r="AX113" i="6"/>
  <c r="AX117" i="6"/>
  <c r="AX123" i="6"/>
  <c r="AX132" i="6"/>
  <c r="AX122" i="6"/>
  <c r="AX131" i="6"/>
  <c r="AX126" i="6"/>
  <c r="AX120" i="6"/>
  <c r="AX119" i="6"/>
  <c r="AX130" i="6"/>
  <c r="AW133" i="6"/>
  <c r="L133" i="6"/>
  <c r="P133" i="6"/>
  <c r="U133" i="6"/>
  <c r="Q133" i="6"/>
  <c r="I133" i="6"/>
  <c r="AX96" i="6"/>
  <c r="R133" i="6"/>
  <c r="G133" i="6"/>
  <c r="T133" i="6"/>
  <c r="E133" i="6"/>
  <c r="M133" i="6"/>
  <c r="C78" i="6"/>
  <c r="C91" i="6" s="1"/>
  <c r="D133" i="6"/>
  <c r="AU133" i="6"/>
  <c r="O133" i="6"/>
  <c r="N133" i="6"/>
  <c r="F133" i="6"/>
  <c r="AX103" i="6"/>
  <c r="S133" i="6"/>
  <c r="K133" i="6"/>
  <c r="AT133" i="6"/>
  <c r="H133" i="6"/>
  <c r="J133" i="6"/>
  <c r="AV133" i="6"/>
  <c r="AX116" i="6"/>
  <c r="HT128" i="1"/>
  <c r="HS128" i="1"/>
  <c r="HT124" i="1"/>
  <c r="HS124" i="1"/>
  <c r="HT122" i="1"/>
  <c r="HS122" i="1"/>
  <c r="HT121" i="1"/>
  <c r="HS121" i="1"/>
  <c r="HT112" i="1"/>
  <c r="HS112" i="1"/>
  <c r="HT111" i="1"/>
  <c r="HS111" i="1"/>
  <c r="HT110" i="1"/>
  <c r="HS110" i="1"/>
  <c r="HT109" i="1"/>
  <c r="HS109" i="1"/>
  <c r="HS108" i="1"/>
  <c r="HT105" i="1"/>
  <c r="HS105" i="1"/>
  <c r="HT104" i="1"/>
  <c r="HS104" i="1"/>
  <c r="HT101" i="1"/>
  <c r="HS101" i="1"/>
  <c r="HT100" i="1"/>
  <c r="HS100" i="1"/>
  <c r="HT97" i="1"/>
  <c r="HS97" i="1"/>
  <c r="HT51" i="1"/>
  <c r="HS51" i="1"/>
  <c r="HT50" i="1"/>
  <c r="HS50" i="1"/>
  <c r="HT42" i="1"/>
  <c r="HS42" i="1"/>
  <c r="HT37" i="1"/>
  <c r="HS37" i="1"/>
  <c r="HT35" i="1"/>
  <c r="HS35" i="1"/>
  <c r="HT26" i="1"/>
  <c r="HS26" i="1"/>
  <c r="HT25" i="1"/>
  <c r="HS25" i="1"/>
  <c r="HT17" i="1"/>
  <c r="HS17" i="1"/>
  <c r="HT14" i="1"/>
  <c r="HS14" i="1"/>
  <c r="HT13" i="1"/>
  <c r="HS13" i="1"/>
  <c r="HT11" i="1"/>
  <c r="HS11" i="1"/>
  <c r="HT10" i="1"/>
  <c r="HS10" i="1"/>
  <c r="HT9" i="1"/>
  <c r="HS9" i="1"/>
  <c r="HT7" i="1"/>
  <c r="HS7" i="1"/>
  <c r="HT6" i="1"/>
  <c r="HS6" i="1"/>
  <c r="HP128" i="1"/>
  <c r="HQ128" i="1"/>
  <c r="HP118" i="1"/>
  <c r="HQ118" i="1"/>
  <c r="HP119" i="1"/>
  <c r="HQ119" i="1"/>
  <c r="HN126" i="1"/>
  <c r="HM126" i="1"/>
  <c r="HN124" i="1"/>
  <c r="HM124" i="1"/>
  <c r="HN123" i="1"/>
  <c r="HM123" i="1"/>
  <c r="HN122" i="1"/>
  <c r="HM122" i="1"/>
  <c r="HN121" i="1"/>
  <c r="HM121" i="1"/>
  <c r="HN120" i="1"/>
  <c r="HM120" i="1"/>
  <c r="HN113" i="1"/>
  <c r="HM113" i="1"/>
  <c r="HN112" i="1"/>
  <c r="HM112" i="1"/>
  <c r="HN108" i="1"/>
  <c r="HM108" i="1"/>
  <c r="HN104" i="1"/>
  <c r="HM104" i="1"/>
  <c r="HN101" i="1"/>
  <c r="HM101" i="1"/>
  <c r="HN100" i="1"/>
  <c r="HM100" i="1"/>
  <c r="HN99" i="1"/>
  <c r="HM99" i="1"/>
  <c r="HN98" i="1"/>
  <c r="HM98" i="1"/>
  <c r="HN97" i="1"/>
  <c r="HM97" i="1"/>
  <c r="HN95" i="1"/>
  <c r="HM95" i="1"/>
  <c r="HN51" i="1"/>
  <c r="HM51" i="1"/>
  <c r="HN50" i="1"/>
  <c r="HM50" i="1"/>
  <c r="HN42" i="1"/>
  <c r="HM42" i="1"/>
  <c r="HN41" i="1"/>
  <c r="HQ41" i="1" s="1"/>
  <c r="HM41" i="1"/>
  <c r="HN39" i="1"/>
  <c r="HM39" i="1"/>
  <c r="HN37" i="1"/>
  <c r="HM37" i="1"/>
  <c r="HN35" i="1"/>
  <c r="HM35" i="1"/>
  <c r="HN34" i="1"/>
  <c r="HM34" i="1"/>
  <c r="HN33" i="1"/>
  <c r="HM33" i="1"/>
  <c r="HO31" i="1"/>
  <c r="HN31" i="1"/>
  <c r="HM31" i="1"/>
  <c r="HN26" i="1"/>
  <c r="HM26" i="1"/>
  <c r="HN25" i="1"/>
  <c r="HM25" i="1"/>
  <c r="HN21" i="1"/>
  <c r="HM21" i="1"/>
  <c r="HN17" i="1"/>
  <c r="HM17" i="1"/>
  <c r="HN14" i="1"/>
  <c r="HM14" i="1"/>
  <c r="HN13" i="1"/>
  <c r="HM13" i="1"/>
  <c r="HN10" i="1"/>
  <c r="HM10" i="1"/>
  <c r="HM8" i="1"/>
  <c r="HN7" i="1"/>
  <c r="HM7" i="1"/>
  <c r="HH111" i="1"/>
  <c r="HG103" i="1"/>
  <c r="HI51" i="1"/>
  <c r="HH51" i="1"/>
  <c r="HG51" i="1"/>
  <c r="HI50" i="1"/>
  <c r="HH50" i="1"/>
  <c r="HG50" i="1"/>
  <c r="HI42" i="1"/>
  <c r="HH42" i="1"/>
  <c r="HG42" i="1"/>
  <c r="HH41" i="1"/>
  <c r="HG41" i="1"/>
  <c r="HI40" i="1"/>
  <c r="HH40" i="1"/>
  <c r="HG40" i="1"/>
  <c r="HI39" i="1"/>
  <c r="HG39" i="1"/>
  <c r="HI38" i="1"/>
  <c r="HH38" i="1"/>
  <c r="HG38" i="1"/>
  <c r="HI37" i="1"/>
  <c r="HH37" i="1"/>
  <c r="HG37" i="1"/>
  <c r="HI36" i="1"/>
  <c r="HH36" i="1"/>
  <c r="HG36" i="1"/>
  <c r="HI35" i="1"/>
  <c r="HH35" i="1"/>
  <c r="HG35" i="1"/>
  <c r="HI33" i="1"/>
  <c r="HH33" i="1"/>
  <c r="HG33" i="1"/>
  <c r="HI31" i="1"/>
  <c r="HH31" i="1"/>
  <c r="HG31" i="1"/>
  <c r="HI26" i="1"/>
  <c r="HH26" i="1"/>
  <c r="HG26" i="1"/>
  <c r="HI25" i="1"/>
  <c r="HH25" i="1"/>
  <c r="HG25" i="1"/>
  <c r="HI24" i="1"/>
  <c r="HH24" i="1"/>
  <c r="HG24" i="1"/>
  <c r="HI23" i="1"/>
  <c r="HH23" i="1"/>
  <c r="HG23" i="1"/>
  <c r="HI22" i="1"/>
  <c r="HH22" i="1"/>
  <c r="HG22" i="1"/>
  <c r="HI21" i="1"/>
  <c r="HH21" i="1"/>
  <c r="HG21" i="1"/>
  <c r="HI19" i="1"/>
  <c r="HH19" i="1"/>
  <c r="HG19" i="1"/>
  <c r="HI17" i="1"/>
  <c r="HH17" i="1"/>
  <c r="HG17" i="1"/>
  <c r="HG16" i="1"/>
  <c r="HI15" i="1"/>
  <c r="HH15" i="1"/>
  <c r="HG15" i="1"/>
  <c r="HI14" i="1"/>
  <c r="HH14" i="1"/>
  <c r="HG14" i="1"/>
  <c r="HI13" i="1"/>
  <c r="HH13" i="1"/>
  <c r="HG13" i="1"/>
  <c r="HI10" i="1"/>
  <c r="HH10" i="1"/>
  <c r="HG10" i="1"/>
  <c r="HI9" i="1"/>
  <c r="HH9" i="1"/>
  <c r="HG9" i="1"/>
  <c r="HI7" i="1"/>
  <c r="HH7" i="1"/>
  <c r="HG7" i="1"/>
  <c r="HI6" i="1"/>
  <c r="HH6" i="1"/>
  <c r="HG6" i="1"/>
  <c r="Z148" i="36" l="1"/>
  <c r="AA148" i="36"/>
  <c r="AA133" i="36"/>
  <c r="Z95" i="36"/>
  <c r="AA138" i="36"/>
  <c r="Z138" i="36"/>
  <c r="Z133" i="36"/>
  <c r="Z125" i="36"/>
  <c r="AA125" i="36"/>
  <c r="AA108" i="36"/>
  <c r="Z108" i="36"/>
  <c r="Z103" i="36"/>
  <c r="AA103" i="36"/>
  <c r="AA95" i="36"/>
  <c r="C115" i="36"/>
  <c r="AX133" i="6"/>
  <c r="C97" i="36"/>
  <c r="C109" i="36"/>
  <c r="C102" i="36"/>
  <c r="C101" i="36"/>
  <c r="C103" i="6"/>
  <c r="C110" i="36"/>
  <c r="C102" i="6"/>
  <c r="C104" i="6"/>
  <c r="C88" i="6"/>
  <c r="C99" i="6"/>
  <c r="C90" i="6"/>
  <c r="C87" i="6"/>
  <c r="C92" i="6"/>
  <c r="C95" i="6"/>
  <c r="C96" i="36"/>
  <c r="C86" i="6"/>
  <c r="C100" i="6"/>
  <c r="C105" i="6"/>
  <c r="C96" i="6"/>
  <c r="C97" i="6"/>
  <c r="C93" i="6"/>
  <c r="C94" i="6"/>
  <c r="C89" i="6"/>
  <c r="C98" i="6"/>
  <c r="C101" i="6"/>
  <c r="C105" i="36"/>
  <c r="C107" i="36"/>
  <c r="C111" i="36"/>
  <c r="C112" i="36"/>
  <c r="C98" i="36"/>
  <c r="C106" i="36"/>
  <c r="C114" i="36"/>
  <c r="C113" i="36"/>
  <c r="C104" i="36"/>
  <c r="C99" i="36"/>
  <c r="C116" i="36"/>
  <c r="C117" i="36"/>
  <c r="C100" i="36"/>
  <c r="HP41" i="1"/>
  <c r="HB128" i="1"/>
  <c r="HA128" i="1"/>
  <c r="HB127" i="1"/>
  <c r="HA127" i="1"/>
  <c r="HB126" i="1"/>
  <c r="HA126" i="1"/>
  <c r="HB125" i="1"/>
  <c r="HA125" i="1"/>
  <c r="HB124" i="1"/>
  <c r="HA124" i="1"/>
  <c r="HB123" i="1"/>
  <c r="HA123" i="1"/>
  <c r="HB122" i="1"/>
  <c r="HA122" i="1"/>
  <c r="HB121" i="1"/>
  <c r="HA121" i="1"/>
  <c r="HB120" i="1"/>
  <c r="HA120" i="1"/>
  <c r="HB119" i="1"/>
  <c r="HA119" i="1"/>
  <c r="HB118" i="1"/>
  <c r="HA118" i="1"/>
  <c r="HB113" i="1"/>
  <c r="HA113" i="1"/>
  <c r="HB108" i="1"/>
  <c r="HA108" i="1"/>
  <c r="HB104" i="1"/>
  <c r="HA104" i="1"/>
  <c r="HB103" i="1"/>
  <c r="HA103" i="1"/>
  <c r="HB102" i="1"/>
  <c r="HA102" i="1"/>
  <c r="HB101" i="1"/>
  <c r="HA101" i="1"/>
  <c r="HB100" i="1"/>
  <c r="HA100" i="1"/>
  <c r="HB99" i="1"/>
  <c r="HA99" i="1"/>
  <c r="HB97" i="1"/>
  <c r="HA97" i="1"/>
  <c r="HB96" i="1"/>
  <c r="HA96" i="1"/>
  <c r="HB95" i="1"/>
  <c r="HA95" i="1"/>
  <c r="HB94" i="1"/>
  <c r="HA94" i="1"/>
  <c r="HB93" i="1"/>
  <c r="HA93" i="1"/>
  <c r="HB51" i="1"/>
  <c r="HA51" i="1"/>
  <c r="HB50" i="1"/>
  <c r="HA50" i="1"/>
  <c r="HB42" i="1"/>
  <c r="HA42" i="1"/>
  <c r="HB41" i="1"/>
  <c r="HA41" i="1"/>
  <c r="HB40" i="1"/>
  <c r="HA40" i="1"/>
  <c r="HB39" i="1"/>
  <c r="HA39" i="1"/>
  <c r="HB38" i="1"/>
  <c r="HA38" i="1"/>
  <c r="HB37" i="1"/>
  <c r="HA37" i="1"/>
  <c r="HB36" i="1"/>
  <c r="HA36" i="1"/>
  <c r="HB35" i="1"/>
  <c r="HA35" i="1"/>
  <c r="HB34" i="1"/>
  <c r="HA34" i="1"/>
  <c r="HB33" i="1"/>
  <c r="HA33" i="1"/>
  <c r="HB32" i="1"/>
  <c r="HA32" i="1"/>
  <c r="HB31" i="1"/>
  <c r="HA31" i="1"/>
  <c r="HB26" i="1"/>
  <c r="HA26" i="1"/>
  <c r="HB21" i="1"/>
  <c r="HA21" i="1"/>
  <c r="HB19" i="1"/>
  <c r="HA19" i="1"/>
  <c r="HB17" i="1"/>
  <c r="HA17" i="1"/>
  <c r="HB16" i="1"/>
  <c r="HA16" i="1"/>
  <c r="HB15" i="1"/>
  <c r="HA15" i="1"/>
  <c r="HB14" i="1"/>
  <c r="HA14" i="1"/>
  <c r="HB13" i="1"/>
  <c r="HA13" i="1"/>
  <c r="HB10" i="1"/>
  <c r="HA10" i="1"/>
  <c r="HB9" i="1"/>
  <c r="HA9" i="1"/>
  <c r="HB8" i="1"/>
  <c r="HA8" i="1"/>
  <c r="HB7" i="1"/>
  <c r="HA7" i="1"/>
  <c r="HB6" i="1"/>
  <c r="HA6" i="1"/>
  <c r="GV128" i="1"/>
  <c r="GU128" i="1"/>
  <c r="GV127" i="1"/>
  <c r="GU127" i="1"/>
  <c r="GV126" i="1"/>
  <c r="GU126" i="1"/>
  <c r="GV125" i="1"/>
  <c r="GU125" i="1"/>
  <c r="GV124" i="1"/>
  <c r="GU124" i="1"/>
  <c r="GV123" i="1"/>
  <c r="GU123" i="1"/>
  <c r="GV122" i="1"/>
  <c r="GU122" i="1"/>
  <c r="GV121" i="1"/>
  <c r="GU121" i="1"/>
  <c r="GV120" i="1"/>
  <c r="GU120" i="1"/>
  <c r="GV119" i="1"/>
  <c r="GU119" i="1"/>
  <c r="GV118" i="1"/>
  <c r="GU118" i="1"/>
  <c r="GV113" i="1"/>
  <c r="GU113" i="1"/>
  <c r="GV112" i="1"/>
  <c r="GU112" i="1"/>
  <c r="GV109" i="1"/>
  <c r="GU109" i="1"/>
  <c r="GV105" i="1"/>
  <c r="GU105" i="1"/>
  <c r="GV101" i="1"/>
  <c r="GU101" i="1"/>
  <c r="GV100" i="1"/>
  <c r="GU100" i="1"/>
  <c r="GV97" i="1"/>
  <c r="GU97" i="1"/>
  <c r="GV95" i="1"/>
  <c r="GU95" i="1"/>
  <c r="GV94" i="1"/>
  <c r="GU94" i="1"/>
  <c r="GV93" i="1"/>
  <c r="GU93" i="1"/>
  <c r="GV51" i="1"/>
  <c r="GU51" i="1"/>
  <c r="GV50" i="1"/>
  <c r="GU50" i="1"/>
  <c r="GV42" i="1"/>
  <c r="GU42" i="1"/>
  <c r="GV41" i="1"/>
  <c r="GU41" i="1"/>
  <c r="GV40" i="1"/>
  <c r="GU40" i="1"/>
  <c r="GV39" i="1"/>
  <c r="GU39" i="1"/>
  <c r="GV38" i="1"/>
  <c r="GU38" i="1"/>
  <c r="GV37" i="1"/>
  <c r="GU37" i="1"/>
  <c r="GV36" i="1"/>
  <c r="GU36" i="1"/>
  <c r="GV35" i="1"/>
  <c r="GU35" i="1"/>
  <c r="GV34" i="1"/>
  <c r="GU34" i="1"/>
  <c r="GV33" i="1"/>
  <c r="GU33" i="1"/>
  <c r="GV32" i="1"/>
  <c r="GU32" i="1"/>
  <c r="GV31" i="1"/>
  <c r="GU31" i="1"/>
  <c r="GV26" i="1"/>
  <c r="GU26" i="1"/>
  <c r="GV25" i="1"/>
  <c r="GU25" i="1"/>
  <c r="GV22" i="1"/>
  <c r="GU22" i="1"/>
  <c r="GV18" i="1"/>
  <c r="GU18" i="1"/>
  <c r="GV15" i="1"/>
  <c r="GU15" i="1"/>
  <c r="GV14" i="1"/>
  <c r="GU14" i="1"/>
  <c r="GV13" i="1"/>
  <c r="GU13" i="1"/>
  <c r="GV10" i="1"/>
  <c r="GU10" i="1"/>
  <c r="GV9" i="1"/>
  <c r="GU9" i="1"/>
  <c r="GV8" i="1"/>
  <c r="GU8" i="1"/>
  <c r="GV7" i="1"/>
  <c r="GU7" i="1"/>
  <c r="GV6" i="1"/>
  <c r="GU6" i="1"/>
  <c r="GQ128" i="1"/>
  <c r="GP128" i="1"/>
  <c r="GO128" i="1"/>
  <c r="GQ126" i="1"/>
  <c r="GP126" i="1"/>
  <c r="GO126" i="1"/>
  <c r="GQ125" i="1"/>
  <c r="GP125" i="1"/>
  <c r="GO125" i="1"/>
  <c r="GQ124" i="1"/>
  <c r="GP124" i="1"/>
  <c r="GO124" i="1"/>
  <c r="GQ123" i="1"/>
  <c r="GP123" i="1"/>
  <c r="GO123" i="1"/>
  <c r="GQ122" i="1"/>
  <c r="GP122" i="1"/>
  <c r="GO122" i="1"/>
  <c r="GQ121" i="1"/>
  <c r="GP121" i="1"/>
  <c r="GO121" i="1"/>
  <c r="GQ120" i="1"/>
  <c r="GP120" i="1"/>
  <c r="GO120" i="1"/>
  <c r="GQ119" i="1"/>
  <c r="GP119" i="1"/>
  <c r="GO119" i="1"/>
  <c r="GQ118" i="1"/>
  <c r="GP118" i="1"/>
  <c r="GO118" i="1"/>
  <c r="GQ112" i="1"/>
  <c r="GP112" i="1"/>
  <c r="GO112" i="1"/>
  <c r="GQ111" i="1"/>
  <c r="GP111" i="1"/>
  <c r="GO111" i="1"/>
  <c r="GQ109" i="1"/>
  <c r="GP109" i="1"/>
  <c r="GO109" i="1"/>
  <c r="GQ108" i="1"/>
  <c r="GP108" i="1"/>
  <c r="GO108" i="1"/>
  <c r="GQ107" i="1"/>
  <c r="GP107" i="1"/>
  <c r="GO107" i="1"/>
  <c r="GQ106" i="1"/>
  <c r="GP106" i="1"/>
  <c r="GO106" i="1"/>
  <c r="GQ105" i="1"/>
  <c r="GP105" i="1"/>
  <c r="GO105" i="1"/>
  <c r="GQ104" i="1"/>
  <c r="GP104" i="1"/>
  <c r="GO104" i="1"/>
  <c r="GQ103" i="1"/>
  <c r="GP103" i="1"/>
  <c r="GO103" i="1"/>
  <c r="GQ102" i="1"/>
  <c r="GP102" i="1"/>
  <c r="GO102" i="1"/>
  <c r="GQ101" i="1"/>
  <c r="GP101" i="1"/>
  <c r="GO101" i="1"/>
  <c r="GQ100" i="1"/>
  <c r="GP100" i="1"/>
  <c r="GO100" i="1"/>
  <c r="GQ99" i="1"/>
  <c r="GP99" i="1"/>
  <c r="GO99" i="1"/>
  <c r="GQ97" i="1"/>
  <c r="GP97" i="1"/>
  <c r="GO97" i="1"/>
  <c r="GQ96" i="1"/>
  <c r="GP96" i="1"/>
  <c r="GO96" i="1"/>
  <c r="GQ94" i="1"/>
  <c r="GP94" i="1"/>
  <c r="GO94" i="1"/>
  <c r="GQ93" i="1"/>
  <c r="GP93" i="1"/>
  <c r="GO93" i="1"/>
  <c r="GQ51" i="1"/>
  <c r="GP51" i="1"/>
  <c r="GO51" i="1"/>
  <c r="GQ50" i="1"/>
  <c r="GP50" i="1"/>
  <c r="GO50" i="1"/>
  <c r="GQ42" i="1"/>
  <c r="GP42" i="1"/>
  <c r="GO42" i="1"/>
  <c r="GQ41" i="1"/>
  <c r="GP41" i="1"/>
  <c r="GO41" i="1"/>
  <c r="GQ40" i="1"/>
  <c r="GP40" i="1"/>
  <c r="GO40" i="1"/>
  <c r="GQ39" i="1"/>
  <c r="GP39" i="1"/>
  <c r="GO39" i="1"/>
  <c r="GQ38" i="1"/>
  <c r="GP38" i="1"/>
  <c r="GO38" i="1"/>
  <c r="GQ37" i="1"/>
  <c r="GP37" i="1"/>
  <c r="GO37" i="1"/>
  <c r="GQ36" i="1"/>
  <c r="GP36" i="1"/>
  <c r="GO36" i="1"/>
  <c r="GQ35" i="1"/>
  <c r="GP35" i="1"/>
  <c r="GO35" i="1"/>
  <c r="GQ34" i="1"/>
  <c r="GP34" i="1"/>
  <c r="GO34" i="1"/>
  <c r="GQ33" i="1"/>
  <c r="GP33" i="1"/>
  <c r="GO33" i="1"/>
  <c r="GQ32" i="1"/>
  <c r="GP32" i="1"/>
  <c r="GO32" i="1"/>
  <c r="GQ31" i="1"/>
  <c r="GP31" i="1"/>
  <c r="GO31" i="1"/>
  <c r="GQ25" i="1"/>
  <c r="GP25" i="1"/>
  <c r="GO25" i="1"/>
  <c r="GQ24" i="1"/>
  <c r="GP24" i="1"/>
  <c r="GO24" i="1"/>
  <c r="GQ23" i="1"/>
  <c r="GP23" i="1"/>
  <c r="GO23" i="1"/>
  <c r="GQ22" i="1"/>
  <c r="GP22" i="1"/>
  <c r="GO22" i="1"/>
  <c r="GQ21" i="1"/>
  <c r="GP21" i="1"/>
  <c r="GO21" i="1"/>
  <c r="GQ20" i="1"/>
  <c r="GP20" i="1"/>
  <c r="GO20" i="1"/>
  <c r="GQ18" i="1"/>
  <c r="GP18" i="1"/>
  <c r="GO18" i="1"/>
  <c r="GQ17" i="1"/>
  <c r="GP17" i="1"/>
  <c r="GO17" i="1"/>
  <c r="GQ16" i="1"/>
  <c r="GP16" i="1"/>
  <c r="GO16" i="1"/>
  <c r="GQ15" i="1"/>
  <c r="GP15" i="1"/>
  <c r="GO15" i="1"/>
  <c r="GQ14" i="1"/>
  <c r="GP14" i="1"/>
  <c r="GO14" i="1"/>
  <c r="GP13" i="1"/>
  <c r="GO13" i="1"/>
  <c r="GQ10" i="1"/>
  <c r="GP10" i="1"/>
  <c r="GO10" i="1"/>
  <c r="GQ9" i="1"/>
  <c r="GP9" i="1"/>
  <c r="GO9" i="1"/>
  <c r="GQ8" i="1"/>
  <c r="GP8" i="1"/>
  <c r="GO8" i="1"/>
  <c r="GQ7" i="1"/>
  <c r="GP7" i="1"/>
  <c r="GO7" i="1"/>
  <c r="GQ6" i="1"/>
  <c r="GP6" i="1"/>
  <c r="GO6" i="1"/>
  <c r="GK128" i="1"/>
  <c r="GJ128" i="1"/>
  <c r="GI128" i="1"/>
  <c r="GK126" i="1"/>
  <c r="GJ126" i="1"/>
  <c r="GI126" i="1"/>
  <c r="GK125" i="1"/>
  <c r="GJ125" i="1"/>
  <c r="GI125" i="1"/>
  <c r="GK124" i="1"/>
  <c r="GJ124" i="1"/>
  <c r="GI124" i="1"/>
  <c r="GK123" i="1"/>
  <c r="GJ123" i="1"/>
  <c r="GI123" i="1"/>
  <c r="GK122" i="1"/>
  <c r="GJ122" i="1"/>
  <c r="GI122" i="1"/>
  <c r="GK121" i="1"/>
  <c r="GJ121" i="1"/>
  <c r="GI121" i="1"/>
  <c r="GK120" i="1"/>
  <c r="GJ120" i="1"/>
  <c r="GI120" i="1"/>
  <c r="GK119" i="1"/>
  <c r="GJ119" i="1"/>
  <c r="GI119" i="1"/>
  <c r="GK118" i="1"/>
  <c r="GJ118" i="1"/>
  <c r="GI118" i="1"/>
  <c r="GK112" i="1"/>
  <c r="GJ112" i="1"/>
  <c r="GI112" i="1"/>
  <c r="GK111" i="1"/>
  <c r="GJ111" i="1"/>
  <c r="GI111" i="1"/>
  <c r="GK109" i="1"/>
  <c r="GJ109" i="1"/>
  <c r="GI109" i="1"/>
  <c r="GK108" i="1"/>
  <c r="GJ108" i="1"/>
  <c r="GI108" i="1"/>
  <c r="GK104" i="1"/>
  <c r="GJ104" i="1"/>
  <c r="GI104" i="1"/>
  <c r="GK103" i="1"/>
  <c r="GJ103" i="1"/>
  <c r="GI103" i="1"/>
  <c r="GK102" i="1"/>
  <c r="GJ102" i="1"/>
  <c r="GI102" i="1"/>
  <c r="GK101" i="1"/>
  <c r="GJ101" i="1"/>
  <c r="GI101" i="1"/>
  <c r="GK100" i="1"/>
  <c r="GJ100" i="1"/>
  <c r="GI100" i="1"/>
  <c r="GK99" i="1"/>
  <c r="GJ99" i="1"/>
  <c r="GI99" i="1"/>
  <c r="GK97" i="1"/>
  <c r="GJ97" i="1"/>
  <c r="GI97" i="1"/>
  <c r="GK96" i="1"/>
  <c r="GJ96" i="1"/>
  <c r="GI96" i="1"/>
  <c r="GK95" i="1"/>
  <c r="GJ95" i="1"/>
  <c r="GI95" i="1"/>
  <c r="GK94" i="1"/>
  <c r="GJ94" i="1"/>
  <c r="GI94" i="1"/>
  <c r="GK93" i="1"/>
  <c r="GJ93" i="1"/>
  <c r="GI93" i="1"/>
  <c r="GK51" i="1"/>
  <c r="GJ51" i="1"/>
  <c r="GI51" i="1"/>
  <c r="GK50" i="1"/>
  <c r="GJ50" i="1"/>
  <c r="GI50" i="1"/>
  <c r="GK42" i="1"/>
  <c r="GJ42" i="1"/>
  <c r="GI42" i="1"/>
  <c r="GK41" i="1"/>
  <c r="GJ41" i="1"/>
  <c r="GI41" i="1"/>
  <c r="GK40" i="1"/>
  <c r="GJ40" i="1"/>
  <c r="GI40" i="1"/>
  <c r="GK39" i="1"/>
  <c r="GJ39" i="1"/>
  <c r="GI39" i="1"/>
  <c r="GK38" i="1"/>
  <c r="GJ38" i="1"/>
  <c r="GI38" i="1"/>
  <c r="GK37" i="1"/>
  <c r="GJ37" i="1"/>
  <c r="GI37" i="1"/>
  <c r="GK36" i="1"/>
  <c r="GJ36" i="1"/>
  <c r="GI36" i="1"/>
  <c r="GK35" i="1"/>
  <c r="GJ35" i="1"/>
  <c r="GI35" i="1"/>
  <c r="GK34" i="1"/>
  <c r="GJ34" i="1"/>
  <c r="GI34" i="1"/>
  <c r="GK33" i="1"/>
  <c r="GJ33" i="1"/>
  <c r="GI33" i="1"/>
  <c r="GK32" i="1"/>
  <c r="GJ32" i="1"/>
  <c r="GI32" i="1"/>
  <c r="GK31" i="1"/>
  <c r="GJ31" i="1"/>
  <c r="GI31" i="1"/>
  <c r="GK26" i="1"/>
  <c r="GJ26" i="1"/>
  <c r="GI26" i="1"/>
  <c r="GK25" i="1"/>
  <c r="GJ25" i="1"/>
  <c r="GI25" i="1"/>
  <c r="GK24" i="1"/>
  <c r="GJ24" i="1"/>
  <c r="GI24" i="1"/>
  <c r="GK23" i="1"/>
  <c r="GJ23" i="1"/>
  <c r="GI23" i="1"/>
  <c r="GK22" i="1"/>
  <c r="GJ22" i="1"/>
  <c r="GI22" i="1"/>
  <c r="GK21" i="1"/>
  <c r="GJ21" i="1"/>
  <c r="GI21" i="1"/>
  <c r="GK19" i="1"/>
  <c r="GJ19" i="1"/>
  <c r="GI19" i="1"/>
  <c r="GK18" i="1"/>
  <c r="GJ18" i="1"/>
  <c r="GI18" i="1"/>
  <c r="GK17" i="1"/>
  <c r="GJ17" i="1"/>
  <c r="GI17" i="1"/>
  <c r="GK15" i="1"/>
  <c r="GJ15" i="1"/>
  <c r="GI15" i="1"/>
  <c r="GK14" i="1"/>
  <c r="GJ14" i="1"/>
  <c r="GI14" i="1"/>
  <c r="GK13" i="1"/>
  <c r="GJ13" i="1"/>
  <c r="GI13" i="1"/>
  <c r="GK11" i="1"/>
  <c r="GJ11" i="1"/>
  <c r="GI11" i="1"/>
  <c r="GK10" i="1"/>
  <c r="GJ10" i="1"/>
  <c r="GI10" i="1"/>
  <c r="GK9" i="1"/>
  <c r="GJ9" i="1"/>
  <c r="GI9" i="1"/>
  <c r="GK8" i="1"/>
  <c r="GJ8" i="1"/>
  <c r="GI8" i="1"/>
  <c r="GK7" i="1"/>
  <c r="GJ7" i="1"/>
  <c r="GI7" i="1"/>
  <c r="GK6" i="1"/>
  <c r="GJ6" i="1"/>
  <c r="GI6" i="1"/>
  <c r="Y118" i="36" l="1"/>
  <c r="Z118" i="36" s="1"/>
  <c r="C103" i="36"/>
  <c r="V118" i="36"/>
  <c r="F118" i="36"/>
  <c r="W118" i="36"/>
  <c r="I118" i="36"/>
  <c r="X118" i="36"/>
  <c r="J118" i="36"/>
  <c r="S118" i="36"/>
  <c r="E118" i="36"/>
  <c r="T118" i="36"/>
  <c r="U118" i="36"/>
  <c r="G118" i="36"/>
  <c r="D118" i="36"/>
  <c r="H118" i="36"/>
  <c r="K118" i="36"/>
  <c r="R118" i="36"/>
  <c r="C118" i="36"/>
  <c r="C95" i="36"/>
  <c r="C108" i="36"/>
  <c r="C106" i="6"/>
  <c r="D106" i="6"/>
  <c r="U106" i="6"/>
  <c r="K106" i="6"/>
  <c r="J106" i="6"/>
  <c r="M106" i="6"/>
  <c r="AV106" i="6"/>
  <c r="I106" i="6"/>
  <c r="H106" i="6"/>
  <c r="Q106" i="6"/>
  <c r="E106" i="6"/>
  <c r="P106" i="6"/>
  <c r="AU106" i="6"/>
  <c r="T106" i="6"/>
  <c r="O106" i="6"/>
  <c r="G106" i="6"/>
  <c r="F106" i="6"/>
  <c r="AS106" i="6"/>
  <c r="AT106" i="6"/>
  <c r="N106" i="6"/>
  <c r="S106" i="6"/>
  <c r="L106" i="6"/>
  <c r="R106" i="6"/>
  <c r="AW106" i="6"/>
  <c r="GE126" i="1"/>
  <c r="GD126" i="1"/>
  <c r="GC126" i="1"/>
  <c r="GE124" i="1"/>
  <c r="GD124" i="1"/>
  <c r="GC124" i="1"/>
  <c r="GE123" i="1"/>
  <c r="GD123" i="1"/>
  <c r="GC123" i="1"/>
  <c r="GE122" i="1"/>
  <c r="GD122" i="1"/>
  <c r="GC122" i="1"/>
  <c r="GE121" i="1"/>
  <c r="GD121" i="1"/>
  <c r="GC121" i="1"/>
  <c r="GE120" i="1"/>
  <c r="GD120" i="1"/>
  <c r="GC120" i="1"/>
  <c r="GE118" i="1"/>
  <c r="GD118" i="1"/>
  <c r="GC118" i="1"/>
  <c r="GE113" i="1"/>
  <c r="GD113" i="1"/>
  <c r="GC113" i="1"/>
  <c r="GE112" i="1"/>
  <c r="GD112" i="1"/>
  <c r="GC112" i="1"/>
  <c r="GE111" i="1"/>
  <c r="GD111" i="1"/>
  <c r="GC111" i="1"/>
  <c r="GE106" i="1"/>
  <c r="GD106" i="1"/>
  <c r="GC106" i="1"/>
  <c r="GE104" i="1"/>
  <c r="GD104" i="1"/>
  <c r="GC104" i="1"/>
  <c r="GE103" i="1"/>
  <c r="GD103" i="1"/>
  <c r="GC103" i="1"/>
  <c r="GE102" i="1"/>
  <c r="GD102" i="1"/>
  <c r="GC102" i="1"/>
  <c r="GE100" i="1"/>
  <c r="GD100" i="1"/>
  <c r="GC100" i="1"/>
  <c r="GE97" i="1"/>
  <c r="GD97" i="1"/>
  <c r="GC97" i="1"/>
  <c r="GE96" i="1"/>
  <c r="GD96" i="1"/>
  <c r="GC96" i="1"/>
  <c r="GE94" i="1"/>
  <c r="GD94" i="1"/>
  <c r="GC94" i="1"/>
  <c r="GE93" i="1"/>
  <c r="GD93" i="1"/>
  <c r="GC93" i="1"/>
  <c r="GE51" i="1"/>
  <c r="GD51" i="1"/>
  <c r="GC51" i="1"/>
  <c r="GE50" i="1"/>
  <c r="GD50" i="1"/>
  <c r="GC50" i="1"/>
  <c r="GE42" i="1"/>
  <c r="GD42" i="1"/>
  <c r="GC42" i="1"/>
  <c r="GE41" i="1"/>
  <c r="GD41" i="1"/>
  <c r="GC41" i="1"/>
  <c r="GE40" i="1"/>
  <c r="GD40" i="1"/>
  <c r="GC40" i="1"/>
  <c r="GD39" i="1"/>
  <c r="GC39" i="1"/>
  <c r="GE38" i="1"/>
  <c r="GD38" i="1"/>
  <c r="GC38" i="1"/>
  <c r="GE37" i="1"/>
  <c r="GD37" i="1"/>
  <c r="GC37" i="1"/>
  <c r="GE36" i="1"/>
  <c r="GD36" i="1"/>
  <c r="GC36" i="1"/>
  <c r="GE35" i="1"/>
  <c r="GD35" i="1"/>
  <c r="GC35" i="1"/>
  <c r="GE34" i="1"/>
  <c r="GD34" i="1"/>
  <c r="GC34" i="1"/>
  <c r="GE33" i="1"/>
  <c r="GD33" i="1"/>
  <c r="GC33" i="1"/>
  <c r="GE31" i="1"/>
  <c r="GD31" i="1"/>
  <c r="GC31" i="1"/>
  <c r="GE25" i="1"/>
  <c r="GD25" i="1"/>
  <c r="GC25" i="1"/>
  <c r="GE24" i="1"/>
  <c r="GD24" i="1"/>
  <c r="GC24" i="1"/>
  <c r="GE22" i="1"/>
  <c r="GD22" i="1"/>
  <c r="GC22" i="1"/>
  <c r="GE20" i="1"/>
  <c r="GD20" i="1"/>
  <c r="GC20" i="1"/>
  <c r="GE19" i="1"/>
  <c r="GD19" i="1"/>
  <c r="GC19" i="1"/>
  <c r="GE18" i="1"/>
  <c r="GD18" i="1"/>
  <c r="GC18" i="1"/>
  <c r="GE17" i="1"/>
  <c r="GD17" i="1"/>
  <c r="GC17" i="1"/>
  <c r="GE16" i="1"/>
  <c r="GD16" i="1"/>
  <c r="GC16" i="1"/>
  <c r="GE15" i="1"/>
  <c r="GD15" i="1"/>
  <c r="GC15" i="1"/>
  <c r="GE13" i="1"/>
  <c r="GD13" i="1"/>
  <c r="GC13" i="1"/>
  <c r="GE12" i="1"/>
  <c r="GD12" i="1"/>
  <c r="GC12" i="1"/>
  <c r="GE10" i="1"/>
  <c r="GD10" i="1"/>
  <c r="GC10" i="1"/>
  <c r="GE9" i="1"/>
  <c r="GD9" i="1"/>
  <c r="GC9" i="1"/>
  <c r="GE8" i="1"/>
  <c r="GD8" i="1"/>
  <c r="GC8" i="1"/>
  <c r="GE7" i="1"/>
  <c r="GD7" i="1"/>
  <c r="GC7" i="1"/>
  <c r="GE6" i="1"/>
  <c r="GD6" i="1"/>
  <c r="GC6" i="1"/>
  <c r="FY126" i="1"/>
  <c r="FX126" i="1"/>
  <c r="FW126" i="1"/>
  <c r="FX125" i="1"/>
  <c r="FW125" i="1"/>
  <c r="FX124" i="1"/>
  <c r="FW124" i="1"/>
  <c r="FX122" i="1"/>
  <c r="FW122" i="1"/>
  <c r="FX121" i="1"/>
  <c r="FW121" i="1"/>
  <c r="FX120" i="1"/>
  <c r="FW120" i="1"/>
  <c r="FX118" i="1"/>
  <c r="FW118" i="1"/>
  <c r="FX112" i="1"/>
  <c r="FW112" i="1"/>
  <c r="FX111" i="1"/>
  <c r="FW111" i="1"/>
  <c r="FX109" i="1"/>
  <c r="FW109" i="1"/>
  <c r="FW108" i="1"/>
  <c r="FX107" i="1"/>
  <c r="FW107" i="1"/>
  <c r="FX105" i="1"/>
  <c r="FW105" i="1"/>
  <c r="FX104" i="1"/>
  <c r="FW104" i="1"/>
  <c r="FX103" i="1"/>
  <c r="FW103" i="1"/>
  <c r="FX102" i="1"/>
  <c r="FW102" i="1"/>
  <c r="FX101" i="1"/>
  <c r="FW101" i="1"/>
  <c r="FX100" i="1"/>
  <c r="FW100" i="1"/>
  <c r="FX97" i="1"/>
  <c r="FW97" i="1"/>
  <c r="FX96" i="1"/>
  <c r="FW96" i="1"/>
  <c r="FX95" i="1"/>
  <c r="FW95" i="1"/>
  <c r="FX94" i="1"/>
  <c r="FW94" i="1"/>
  <c r="FX93" i="1"/>
  <c r="FW93" i="1"/>
  <c r="FY51" i="1"/>
  <c r="FX51" i="1"/>
  <c r="FW51" i="1"/>
  <c r="FY50" i="1"/>
  <c r="FX50" i="1"/>
  <c r="FW50" i="1"/>
  <c r="FY42" i="1"/>
  <c r="FX42" i="1"/>
  <c r="FW42" i="1"/>
  <c r="FX39" i="1"/>
  <c r="FW39" i="1"/>
  <c r="FX38" i="1"/>
  <c r="GA38" i="1" s="1"/>
  <c r="FW38" i="1"/>
  <c r="FY37" i="1"/>
  <c r="FX37" i="1"/>
  <c r="FW37" i="1"/>
  <c r="FY36" i="1"/>
  <c r="FX36" i="1"/>
  <c r="FW36" i="1"/>
  <c r="FY35" i="1"/>
  <c r="FX35" i="1"/>
  <c r="FW35" i="1"/>
  <c r="FY34" i="1"/>
  <c r="FX34" i="1"/>
  <c r="FW34" i="1"/>
  <c r="FY31" i="1"/>
  <c r="FX31" i="1"/>
  <c r="FW31" i="1"/>
  <c r="FY25" i="1"/>
  <c r="FX25" i="1"/>
  <c r="FW25" i="1"/>
  <c r="FY22" i="1"/>
  <c r="FX22" i="1"/>
  <c r="FW22" i="1"/>
  <c r="FY21" i="1"/>
  <c r="FX21" i="1"/>
  <c r="FW21" i="1"/>
  <c r="FY20" i="1"/>
  <c r="FX20" i="1"/>
  <c r="FW20" i="1"/>
  <c r="FY19" i="1"/>
  <c r="FX19" i="1"/>
  <c r="FW19" i="1"/>
  <c r="FY18" i="1"/>
  <c r="FX18" i="1"/>
  <c r="FW18" i="1"/>
  <c r="FY17" i="1"/>
  <c r="FX17" i="1"/>
  <c r="FW17" i="1"/>
  <c r="FY16" i="1"/>
  <c r="FX16" i="1"/>
  <c r="FW16" i="1"/>
  <c r="FY15" i="1"/>
  <c r="FX15" i="1"/>
  <c r="FW15" i="1"/>
  <c r="FY14" i="1"/>
  <c r="FX14" i="1"/>
  <c r="FW14" i="1"/>
  <c r="FY13" i="1"/>
  <c r="FX13" i="1"/>
  <c r="FW13" i="1"/>
  <c r="FY12" i="1"/>
  <c r="FX12" i="1"/>
  <c r="FW12" i="1"/>
  <c r="FY10" i="1"/>
  <c r="FX10" i="1"/>
  <c r="FW10" i="1"/>
  <c r="FY9" i="1"/>
  <c r="FX9" i="1"/>
  <c r="FW9" i="1"/>
  <c r="FY8" i="1"/>
  <c r="FX8" i="1"/>
  <c r="FW8" i="1"/>
  <c r="FY7" i="1"/>
  <c r="FX7" i="1"/>
  <c r="FW7" i="1"/>
  <c r="FY6" i="1"/>
  <c r="FX6" i="1"/>
  <c r="FW6" i="1"/>
  <c r="FS126" i="1"/>
  <c r="FR126" i="1"/>
  <c r="FQ126" i="1"/>
  <c r="FS125" i="1"/>
  <c r="FR125" i="1"/>
  <c r="FQ125" i="1"/>
  <c r="FS124" i="1"/>
  <c r="FR124" i="1"/>
  <c r="FQ124" i="1"/>
  <c r="FS123" i="1"/>
  <c r="FR123" i="1"/>
  <c r="FQ123" i="1"/>
  <c r="FS122" i="1"/>
  <c r="FR122" i="1"/>
  <c r="FQ122" i="1"/>
  <c r="FS121" i="1"/>
  <c r="FR121" i="1"/>
  <c r="FQ121" i="1"/>
  <c r="FS118" i="1"/>
  <c r="FR118" i="1"/>
  <c r="FQ118" i="1"/>
  <c r="FS112" i="1"/>
  <c r="FR112" i="1"/>
  <c r="FQ112" i="1"/>
  <c r="FS111" i="1"/>
  <c r="FR111" i="1"/>
  <c r="FQ111" i="1"/>
  <c r="FS110" i="1"/>
  <c r="FR110" i="1"/>
  <c r="FQ110" i="1"/>
  <c r="FS109" i="1"/>
  <c r="FR109" i="1"/>
  <c r="FQ109" i="1"/>
  <c r="FS108" i="1"/>
  <c r="FR108" i="1"/>
  <c r="FQ108" i="1"/>
  <c r="FS107" i="1"/>
  <c r="FR107" i="1"/>
  <c r="FQ107" i="1"/>
  <c r="FS105" i="1"/>
  <c r="FR105" i="1"/>
  <c r="FQ105" i="1"/>
  <c r="FS104" i="1"/>
  <c r="FR104" i="1"/>
  <c r="FQ104" i="1"/>
  <c r="FS103" i="1"/>
  <c r="FR103" i="1"/>
  <c r="FQ103" i="1"/>
  <c r="FS102" i="1"/>
  <c r="FR102" i="1"/>
  <c r="FQ102" i="1"/>
  <c r="FS101" i="1"/>
  <c r="FR101" i="1"/>
  <c r="FQ101" i="1"/>
  <c r="FS100" i="1"/>
  <c r="FR100" i="1"/>
  <c r="FQ100" i="1"/>
  <c r="FS98" i="1"/>
  <c r="FR98" i="1"/>
  <c r="FQ98" i="1"/>
  <c r="FS97" i="1"/>
  <c r="FR97" i="1"/>
  <c r="FQ97" i="1"/>
  <c r="FS96" i="1"/>
  <c r="FR96" i="1"/>
  <c r="FQ96" i="1"/>
  <c r="FS95" i="1"/>
  <c r="FR95" i="1"/>
  <c r="FQ95" i="1"/>
  <c r="FS94" i="1"/>
  <c r="FR94" i="1"/>
  <c r="FQ94" i="1"/>
  <c r="FS93" i="1"/>
  <c r="FR93" i="1"/>
  <c r="FQ93" i="1"/>
  <c r="FS51" i="1"/>
  <c r="FR51" i="1"/>
  <c r="FQ51" i="1"/>
  <c r="FS50" i="1"/>
  <c r="FR50" i="1"/>
  <c r="FQ50" i="1"/>
  <c r="FS42" i="1"/>
  <c r="FR42" i="1"/>
  <c r="FQ42" i="1"/>
  <c r="FS39" i="1"/>
  <c r="FR39" i="1"/>
  <c r="FQ39" i="1"/>
  <c r="FS38" i="1"/>
  <c r="FR38" i="1"/>
  <c r="FQ38" i="1"/>
  <c r="FS37" i="1"/>
  <c r="FR37" i="1"/>
  <c r="FQ37" i="1"/>
  <c r="FS36" i="1"/>
  <c r="FR36" i="1"/>
  <c r="FQ36" i="1"/>
  <c r="FS35" i="1"/>
  <c r="FR35" i="1"/>
  <c r="FQ35" i="1"/>
  <c r="FS34" i="1"/>
  <c r="FR34" i="1"/>
  <c r="FQ34" i="1"/>
  <c r="FS26" i="1"/>
  <c r="FR26" i="1"/>
  <c r="FQ26" i="1"/>
  <c r="FS25" i="1"/>
  <c r="FR25" i="1"/>
  <c r="FQ25" i="1"/>
  <c r="FS24" i="1"/>
  <c r="FR24" i="1"/>
  <c r="FQ24" i="1"/>
  <c r="FS22" i="1"/>
  <c r="FR22" i="1"/>
  <c r="FQ22" i="1"/>
  <c r="FS21" i="1"/>
  <c r="FR21" i="1"/>
  <c r="FQ21" i="1"/>
  <c r="FS18" i="1"/>
  <c r="FR18" i="1"/>
  <c r="FQ18" i="1"/>
  <c r="FS17" i="1"/>
  <c r="FR17" i="1"/>
  <c r="FQ17" i="1"/>
  <c r="FS16" i="1"/>
  <c r="FR16" i="1"/>
  <c r="FQ16" i="1"/>
  <c r="FS15" i="1"/>
  <c r="FR15" i="1"/>
  <c r="FQ15" i="1"/>
  <c r="FS14" i="1"/>
  <c r="FR14" i="1"/>
  <c r="FQ14" i="1"/>
  <c r="FS13" i="1"/>
  <c r="FR13" i="1"/>
  <c r="FQ13" i="1"/>
  <c r="FS12" i="1"/>
  <c r="FR12" i="1"/>
  <c r="FQ12" i="1"/>
  <c r="FS10" i="1"/>
  <c r="FR10" i="1"/>
  <c r="FQ10" i="1"/>
  <c r="FS9" i="1"/>
  <c r="FR9" i="1"/>
  <c r="FQ9" i="1"/>
  <c r="FS7" i="1"/>
  <c r="FR7" i="1"/>
  <c r="FQ7" i="1"/>
  <c r="FS6" i="1"/>
  <c r="FR6" i="1"/>
  <c r="FQ6" i="1"/>
  <c r="FM126" i="1"/>
  <c r="FM124" i="1"/>
  <c r="FM123" i="1"/>
  <c r="FM122" i="1"/>
  <c r="FM121" i="1"/>
  <c r="FM113" i="1"/>
  <c r="FM112" i="1"/>
  <c r="FM111" i="1"/>
  <c r="FM109" i="1"/>
  <c r="FM108" i="1"/>
  <c r="FM104" i="1"/>
  <c r="FM103" i="1"/>
  <c r="FM102" i="1"/>
  <c r="FM101" i="1"/>
  <c r="FM100" i="1"/>
  <c r="FM97" i="1"/>
  <c r="FM96" i="1"/>
  <c r="FM94" i="1"/>
  <c r="FL126" i="1"/>
  <c r="FL124" i="1"/>
  <c r="FL123" i="1"/>
  <c r="FL122" i="1"/>
  <c r="FL121" i="1"/>
  <c r="FL113" i="1"/>
  <c r="FO113" i="1" s="1"/>
  <c r="FL112" i="1"/>
  <c r="FL111" i="1"/>
  <c r="FL109" i="1"/>
  <c r="FL108" i="1"/>
  <c r="FL104" i="1"/>
  <c r="FL103" i="1"/>
  <c r="FL102" i="1"/>
  <c r="FL101" i="1"/>
  <c r="FL100" i="1"/>
  <c r="FL97" i="1"/>
  <c r="FL96" i="1"/>
  <c r="FL94" i="1"/>
  <c r="FK126" i="1"/>
  <c r="FK124" i="1"/>
  <c r="FK123" i="1"/>
  <c r="FK122" i="1"/>
  <c r="FK121" i="1"/>
  <c r="FK113" i="1"/>
  <c r="FK112" i="1"/>
  <c r="FK111" i="1"/>
  <c r="FK109" i="1"/>
  <c r="FK108" i="1"/>
  <c r="FK104" i="1"/>
  <c r="FK103" i="1"/>
  <c r="FK102" i="1"/>
  <c r="FK101" i="1"/>
  <c r="FK100" i="1"/>
  <c r="FK97" i="1"/>
  <c r="FK96" i="1"/>
  <c r="FK94" i="1"/>
  <c r="FL51" i="1"/>
  <c r="FK51" i="1"/>
  <c r="FM50" i="1"/>
  <c r="FL50" i="1"/>
  <c r="FK50" i="1"/>
  <c r="FM37" i="1"/>
  <c r="FL37" i="1"/>
  <c r="FK37" i="1"/>
  <c r="FM36" i="1"/>
  <c r="FL36" i="1"/>
  <c r="FK36" i="1"/>
  <c r="FM35" i="1"/>
  <c r="FL35" i="1"/>
  <c r="FK35" i="1"/>
  <c r="FM34" i="1"/>
  <c r="FL34" i="1"/>
  <c r="FK34" i="1"/>
  <c r="FM25" i="1"/>
  <c r="FL25" i="1"/>
  <c r="FK25" i="1"/>
  <c r="FM24" i="1"/>
  <c r="FL24" i="1"/>
  <c r="FK24" i="1"/>
  <c r="FM22" i="1"/>
  <c r="FL22" i="1"/>
  <c r="FK22" i="1"/>
  <c r="FM21" i="1"/>
  <c r="FL21" i="1"/>
  <c r="FK21" i="1"/>
  <c r="FM20" i="1"/>
  <c r="FL20" i="1"/>
  <c r="FK20" i="1"/>
  <c r="FM19" i="1"/>
  <c r="FL19" i="1"/>
  <c r="FK19" i="1"/>
  <c r="FM18" i="1"/>
  <c r="FL18" i="1"/>
  <c r="FK18" i="1"/>
  <c r="FM17" i="1"/>
  <c r="FL17" i="1"/>
  <c r="FK17" i="1"/>
  <c r="FM16" i="1"/>
  <c r="FL16" i="1"/>
  <c r="FK16" i="1"/>
  <c r="FL15" i="1"/>
  <c r="FK15" i="1"/>
  <c r="FM14" i="1"/>
  <c r="FL14" i="1"/>
  <c r="FK14" i="1"/>
  <c r="FM13" i="1"/>
  <c r="FL13" i="1"/>
  <c r="FK13" i="1"/>
  <c r="FM12" i="1"/>
  <c r="FL12" i="1"/>
  <c r="FK12" i="1"/>
  <c r="FM10" i="1"/>
  <c r="FL10" i="1"/>
  <c r="FK10" i="1"/>
  <c r="FM9" i="1"/>
  <c r="FL9" i="1"/>
  <c r="FK9" i="1"/>
  <c r="FM7" i="1"/>
  <c r="FL7" i="1"/>
  <c r="FK7" i="1"/>
  <c r="FM6" i="1"/>
  <c r="FL6" i="1"/>
  <c r="FK6" i="1"/>
  <c r="FE121" i="1"/>
  <c r="FF113" i="1"/>
  <c r="FE113" i="1"/>
  <c r="FE34" i="1"/>
  <c r="FF26" i="1"/>
  <c r="FE26" i="1"/>
  <c r="EY56" i="1"/>
  <c r="FB51" i="1"/>
  <c r="FB35" i="1"/>
  <c r="FB24" i="1"/>
  <c r="FC24" i="1"/>
  <c r="ET127" i="1"/>
  <c r="ES127" i="1"/>
  <c r="ET126" i="1"/>
  <c r="ES126" i="1"/>
  <c r="ET125" i="1"/>
  <c r="ES125" i="1"/>
  <c r="ET124" i="1"/>
  <c r="ES124" i="1"/>
  <c r="ET123" i="1"/>
  <c r="ES123" i="1"/>
  <c r="ET122" i="1"/>
  <c r="ES122" i="1"/>
  <c r="ET121" i="1"/>
  <c r="ES121" i="1"/>
  <c r="ET120" i="1"/>
  <c r="ES120" i="1"/>
  <c r="ET119" i="1"/>
  <c r="ES119" i="1"/>
  <c r="ET118" i="1"/>
  <c r="ES118" i="1"/>
  <c r="ET113" i="1"/>
  <c r="ES113" i="1"/>
  <c r="ET112" i="1"/>
  <c r="ES112" i="1"/>
  <c r="ET111" i="1"/>
  <c r="ES111" i="1"/>
  <c r="ET109" i="1"/>
  <c r="ES109" i="1"/>
  <c r="ET108" i="1"/>
  <c r="ES108" i="1"/>
  <c r="ET107" i="1"/>
  <c r="ES107" i="1"/>
  <c r="ET105" i="1"/>
  <c r="ES105" i="1"/>
  <c r="ET104" i="1"/>
  <c r="ES104" i="1"/>
  <c r="ET101" i="1"/>
  <c r="ES101" i="1"/>
  <c r="ET100" i="1"/>
  <c r="ES100" i="1"/>
  <c r="ET97" i="1"/>
  <c r="ES97" i="1"/>
  <c r="ET96" i="1"/>
  <c r="ES96" i="1"/>
  <c r="ET94" i="1"/>
  <c r="ES94" i="1"/>
  <c r="ET51" i="1"/>
  <c r="ES51" i="1"/>
  <c r="ET50" i="1"/>
  <c r="ES50" i="1"/>
  <c r="ET41" i="1"/>
  <c r="ES41" i="1"/>
  <c r="ET39" i="1"/>
  <c r="ES39" i="1"/>
  <c r="ET38" i="1"/>
  <c r="ES38" i="1"/>
  <c r="ET37" i="1"/>
  <c r="ES37" i="1"/>
  <c r="ET36" i="1"/>
  <c r="ES36" i="1"/>
  <c r="ET35" i="1"/>
  <c r="ES35" i="1"/>
  <c r="ET34" i="1"/>
  <c r="ES34" i="1"/>
  <c r="ET33" i="1"/>
  <c r="ES33" i="1"/>
  <c r="ET32" i="1"/>
  <c r="EW32" i="1" s="1"/>
  <c r="ES32" i="1"/>
  <c r="ET31" i="1"/>
  <c r="ES31" i="1"/>
  <c r="ET26" i="1"/>
  <c r="EW26" i="1" s="1"/>
  <c r="ES26" i="1"/>
  <c r="ET25" i="1"/>
  <c r="ES25" i="1"/>
  <c r="ET24" i="1"/>
  <c r="ES24" i="1"/>
  <c r="ET22" i="1"/>
  <c r="ES22" i="1"/>
  <c r="ET20" i="1"/>
  <c r="ES20" i="1"/>
  <c r="ET18" i="1"/>
  <c r="ES18" i="1"/>
  <c r="ET17" i="1"/>
  <c r="ES17" i="1"/>
  <c r="ET15" i="1"/>
  <c r="ES15" i="1"/>
  <c r="ET14" i="1"/>
  <c r="ES14" i="1"/>
  <c r="ET13" i="1"/>
  <c r="ES13" i="1"/>
  <c r="ET11" i="1"/>
  <c r="ES11" i="1"/>
  <c r="ET10" i="1"/>
  <c r="ES10" i="1"/>
  <c r="ET9" i="1"/>
  <c r="ES9" i="1"/>
  <c r="ET7" i="1"/>
  <c r="ES7" i="1"/>
  <c r="ET6" i="1"/>
  <c r="ES6" i="1"/>
  <c r="AA118" i="36" l="1"/>
  <c r="FT42" i="1"/>
  <c r="FN96" i="1"/>
  <c r="FN102" i="1"/>
  <c r="FU42" i="1"/>
  <c r="EV31" i="1"/>
  <c r="AX106" i="6"/>
  <c r="ES61" i="1"/>
  <c r="FN113" i="1"/>
  <c r="FO104" i="1"/>
  <c r="FO112" i="1"/>
  <c r="FZ38" i="1"/>
  <c r="FO97" i="1"/>
  <c r="EV24" i="1"/>
  <c r="EV26" i="1"/>
  <c r="EV32" i="1"/>
  <c r="FN104" i="1"/>
  <c r="FN112" i="1"/>
  <c r="FO103" i="1"/>
  <c r="FO111" i="1"/>
  <c r="FN12" i="1"/>
  <c r="FN97" i="1"/>
  <c r="FN103" i="1"/>
  <c r="FO96" i="1"/>
  <c r="FO102" i="1"/>
  <c r="FN111" i="1"/>
  <c r="EY57" i="1"/>
  <c r="FC7" i="1"/>
  <c r="FB7" i="1"/>
  <c r="A10" i="9" l="1"/>
  <c r="A15" i="9"/>
  <c r="IO126" i="1" l="1"/>
  <c r="IN126" i="1"/>
  <c r="IN125" i="1"/>
  <c r="IN124" i="1"/>
  <c r="IN123" i="1"/>
  <c r="IN121" i="1"/>
  <c r="IL156" i="1"/>
  <c r="IL151" i="1"/>
  <c r="IO112" i="1"/>
  <c r="IO109" i="1"/>
  <c r="IN109" i="1"/>
  <c r="IO107" i="1"/>
  <c r="IN105" i="1"/>
  <c r="IN104" i="1"/>
  <c r="IO103" i="1"/>
  <c r="IO102" i="1"/>
  <c r="IN101" i="1"/>
  <c r="IN97" i="1"/>
  <c r="IO96" i="1"/>
  <c r="IL143" i="1"/>
  <c r="IN94" i="1"/>
  <c r="IO93" i="1"/>
  <c r="IK143" i="1"/>
  <c r="IM158" i="1"/>
  <c r="IL158" i="1"/>
  <c r="IK158" i="1"/>
  <c r="IM157" i="1"/>
  <c r="IL157" i="1"/>
  <c r="IK157" i="1"/>
  <c r="IK156" i="1"/>
  <c r="IM151" i="1"/>
  <c r="IM150" i="1"/>
  <c r="IK149" i="1"/>
  <c r="IM147" i="1"/>
  <c r="IK173" i="1"/>
  <c r="IM172" i="1"/>
  <c r="IK172" i="1"/>
  <c r="IM164" i="1"/>
  <c r="IM163" i="1"/>
  <c r="IK163" i="1"/>
  <c r="IO124" i="1"/>
  <c r="IK162" i="1"/>
  <c r="IM161" i="1"/>
  <c r="IK161" i="1"/>
  <c r="IO122" i="1"/>
  <c r="IM160" i="1"/>
  <c r="IL160" i="1"/>
  <c r="IK160" i="1"/>
  <c r="IM159" i="1"/>
  <c r="IK159" i="1"/>
  <c r="IN118" i="1"/>
  <c r="IM156" i="1"/>
  <c r="IK151" i="1"/>
  <c r="IL150" i="1"/>
  <c r="IK150" i="1"/>
  <c r="IL149" i="1"/>
  <c r="IM148" i="1"/>
  <c r="IK147" i="1"/>
  <c r="IO100" i="1"/>
  <c r="IK146" i="1"/>
  <c r="IO97" i="1"/>
  <c r="IM145" i="1"/>
  <c r="IK145" i="1"/>
  <c r="IK144" i="1"/>
  <c r="IM144" i="1"/>
  <c r="IN95" i="1"/>
  <c r="FM156" i="1"/>
  <c r="IO160" i="1" l="1"/>
  <c r="IO151" i="1"/>
  <c r="IO157" i="1"/>
  <c r="IN143" i="1"/>
  <c r="IO150" i="1"/>
  <c r="IN158" i="1"/>
  <c r="IN93" i="1"/>
  <c r="IL145" i="1"/>
  <c r="IO145" i="1" s="1"/>
  <c r="IN150" i="1"/>
  <c r="IN160" i="1"/>
  <c r="IL162" i="1"/>
  <c r="IN162" i="1" s="1"/>
  <c r="IL172" i="1"/>
  <c r="IO172" i="1" s="1"/>
  <c r="IO94" i="1"/>
  <c r="IN103" i="1"/>
  <c r="IL147" i="1"/>
  <c r="IO147" i="1" s="1"/>
  <c r="IN156" i="1"/>
  <c r="IL146" i="1"/>
  <c r="IN146" i="1" s="1"/>
  <c r="IN107" i="1"/>
  <c r="IO123" i="1"/>
  <c r="IN157" i="1"/>
  <c r="IN151" i="1"/>
  <c r="IN100" i="1"/>
  <c r="IL161" i="1"/>
  <c r="IO161" i="1" s="1"/>
  <c r="IL164" i="1"/>
  <c r="IO164" i="1" s="1"/>
  <c r="IL173" i="1"/>
  <c r="IN173" i="1" s="1"/>
  <c r="IO156" i="1"/>
  <c r="IO158" i="1"/>
  <c r="IN149" i="1"/>
  <c r="IK148" i="1"/>
  <c r="IL159" i="1"/>
  <c r="IO159" i="1" s="1"/>
  <c r="IO95" i="1"/>
  <c r="IN96" i="1"/>
  <c r="IO101" i="1"/>
  <c r="IN102" i="1"/>
  <c r="IO105" i="1"/>
  <c r="IO111" i="1"/>
  <c r="IN112" i="1"/>
  <c r="IO121" i="1"/>
  <c r="IN122" i="1"/>
  <c r="IO125" i="1"/>
  <c r="IM149" i="1"/>
  <c r="IO149" i="1" s="1"/>
  <c r="IM162" i="1"/>
  <c r="IM173" i="1"/>
  <c r="IM143" i="1"/>
  <c r="IO143" i="1" s="1"/>
  <c r="IL144" i="1"/>
  <c r="IO144" i="1" s="1"/>
  <c r="IL148" i="1"/>
  <c r="IO148" i="1" s="1"/>
  <c r="IM146" i="1"/>
  <c r="IL163" i="1"/>
  <c r="IO163" i="1" s="1"/>
  <c r="IO104" i="1"/>
  <c r="IN111" i="1"/>
  <c r="IO118" i="1"/>
  <c r="HK34" i="1"/>
  <c r="HJ34" i="1"/>
  <c r="HK41" i="1"/>
  <c r="HJ41" i="1"/>
  <c r="HK32" i="1"/>
  <c r="HJ32" i="1"/>
  <c r="HK16" i="1"/>
  <c r="HJ16" i="1"/>
  <c r="HD37" i="1"/>
  <c r="GA31" i="1"/>
  <c r="FZ31" i="1"/>
  <c r="FI124" i="1"/>
  <c r="FH124" i="1"/>
  <c r="IN147" i="1" l="1"/>
  <c r="IO173" i="1"/>
  <c r="IO162" i="1"/>
  <c r="IO146" i="1"/>
  <c r="IN145" i="1"/>
  <c r="IN172" i="1"/>
  <c r="IN159" i="1"/>
  <c r="IN164" i="1"/>
  <c r="IN161" i="1"/>
  <c r="IN148" i="1"/>
  <c r="IN144" i="1"/>
  <c r="IN163" i="1"/>
  <c r="EV9" i="1"/>
  <c r="EW94" i="1"/>
  <c r="EV94" i="1" l="1"/>
  <c r="ES70" i="1"/>
  <c r="KI28" i="4"/>
  <c r="A14" i="9" l="1"/>
  <c r="A20" i="9"/>
  <c r="A25" i="9"/>
  <c r="A27" i="9"/>
  <c r="A28" i="9"/>
  <c r="A23" i="9"/>
  <c r="A24" i="9"/>
  <c r="A26" i="9"/>
  <c r="A21" i="9"/>
  <c r="A22" i="9"/>
  <c r="A17" i="9"/>
  <c r="A16" i="9"/>
  <c r="A11" i="9"/>
  <c r="A8" i="9"/>
  <c r="A7" i="9"/>
  <c r="A9" i="9"/>
  <c r="A6" i="9"/>
  <c r="A5" i="9"/>
  <c r="CE160" i="5" l="1"/>
  <c r="CE155" i="5"/>
  <c r="CE170" i="5"/>
  <c r="CE169" i="5"/>
  <c r="CE168" i="5"/>
  <c r="CE167" i="5"/>
  <c r="CE166" i="5"/>
  <c r="CE165" i="5"/>
  <c r="CE164" i="5"/>
  <c r="CE163" i="5"/>
  <c r="CE162" i="5"/>
  <c r="CE161" i="5" s="1"/>
  <c r="CE159" i="5"/>
  <c r="CE158" i="5"/>
  <c r="CE157" i="5"/>
  <c r="CE154" i="5"/>
  <c r="CE153" i="5"/>
  <c r="CE152" i="5"/>
  <c r="CE151" i="5"/>
  <c r="CE150" i="5"/>
  <c r="CE149" i="5"/>
  <c r="CE36" i="5"/>
  <c r="CE122" i="5" s="1"/>
  <c r="CE37" i="5"/>
  <c r="CE123" i="5" s="1"/>
  <c r="CE38" i="5"/>
  <c r="CE124" i="5" s="1"/>
  <c r="CE39" i="5"/>
  <c r="CE125" i="5" s="1"/>
  <c r="CE42" i="5"/>
  <c r="CE43" i="5"/>
  <c r="CE129" i="5" s="1"/>
  <c r="CE47" i="5"/>
  <c r="CE50" i="5"/>
  <c r="CE136" i="5" s="1"/>
  <c r="CE51" i="5"/>
  <c r="CE137" i="5" s="1"/>
  <c r="CE52" i="5"/>
  <c r="CE138" i="5" s="1"/>
  <c r="CE53" i="5"/>
  <c r="CE139" i="5" s="1"/>
  <c r="CE54" i="5"/>
  <c r="CE140" i="5" s="1"/>
  <c r="CE55" i="5"/>
  <c r="CE141" i="5" s="1"/>
  <c r="CE40" i="5"/>
  <c r="CE126" i="5" s="1"/>
  <c r="CE45" i="5"/>
  <c r="CE131" i="5" s="1"/>
  <c r="CE35" i="5"/>
  <c r="CE121" i="5" s="1"/>
  <c r="CE34" i="5"/>
  <c r="CE133" i="5" l="1"/>
  <c r="CE46" i="5"/>
  <c r="CE132" i="5" s="1"/>
  <c r="CE148" i="5"/>
  <c r="CE171" i="5"/>
  <c r="CE156" i="5"/>
  <c r="CE120" i="5"/>
  <c r="CE33" i="5"/>
  <c r="CE119" i="5" s="1"/>
  <c r="CE128" i="5"/>
  <c r="CE41" i="5"/>
  <c r="CE127" i="5" s="1"/>
  <c r="CE142" i="5" l="1"/>
  <c r="BI164" i="5"/>
  <c r="CD160" i="5"/>
  <c r="AR158" i="6" s="1"/>
  <c r="CD155" i="5"/>
  <c r="AR157" i="6" s="1"/>
  <c r="CD170" i="5"/>
  <c r="AR156" i="6" s="1"/>
  <c r="CD169" i="5"/>
  <c r="AR155" i="6" s="1"/>
  <c r="CD168" i="5"/>
  <c r="AR154" i="6" s="1"/>
  <c r="CD167" i="5"/>
  <c r="AR153" i="6" s="1"/>
  <c r="CD166" i="5"/>
  <c r="AR152" i="6" s="1"/>
  <c r="CD165" i="5"/>
  <c r="AR151" i="6" s="1"/>
  <c r="CD164" i="5"/>
  <c r="AR150" i="6" s="1"/>
  <c r="CD163" i="5"/>
  <c r="AR149" i="6" s="1"/>
  <c r="CD162" i="5"/>
  <c r="CD159" i="5"/>
  <c r="AR147" i="6" s="1"/>
  <c r="CD158" i="5"/>
  <c r="AR146" i="6" s="1"/>
  <c r="CD157" i="5"/>
  <c r="CD154" i="5"/>
  <c r="AR144" i="6" s="1"/>
  <c r="CD153" i="5"/>
  <c r="AR143" i="6" s="1"/>
  <c r="CD152" i="5"/>
  <c r="AR142" i="6" s="1"/>
  <c r="CD151" i="5"/>
  <c r="AR141" i="6" s="1"/>
  <c r="CD150" i="5"/>
  <c r="AR140" i="6" s="1"/>
  <c r="CD149" i="5"/>
  <c r="CC160" i="5"/>
  <c r="CC155" i="5"/>
  <c r="CC170" i="5"/>
  <c r="CC169" i="5"/>
  <c r="CC168" i="5"/>
  <c r="CC167" i="5"/>
  <c r="CC166" i="5"/>
  <c r="CC165" i="5"/>
  <c r="CC164" i="5"/>
  <c r="CC163" i="5"/>
  <c r="CC162" i="5"/>
  <c r="CC161" i="5" s="1"/>
  <c r="CC159" i="5"/>
  <c r="CC158" i="5"/>
  <c r="CC157" i="5"/>
  <c r="CC154" i="5"/>
  <c r="CC153" i="5"/>
  <c r="CC152" i="5"/>
  <c r="CC151" i="5"/>
  <c r="CC150" i="5"/>
  <c r="CC149" i="5"/>
  <c r="CB160" i="5"/>
  <c r="CB155" i="5"/>
  <c r="CB170" i="5"/>
  <c r="CB169" i="5"/>
  <c r="CB168" i="5"/>
  <c r="CB167" i="5"/>
  <c r="CB166" i="5"/>
  <c r="CB165" i="5"/>
  <c r="CB164" i="5"/>
  <c r="CB163" i="5"/>
  <c r="CB162" i="5"/>
  <c r="CB159" i="5"/>
  <c r="CB158" i="5"/>
  <c r="CB157" i="5"/>
  <c r="CB154" i="5"/>
  <c r="CB153" i="5"/>
  <c r="CB152" i="5"/>
  <c r="CB151" i="5"/>
  <c r="CB150" i="5"/>
  <c r="CB149" i="5"/>
  <c r="CA160" i="5"/>
  <c r="CA155" i="5"/>
  <c r="CA170" i="5"/>
  <c r="CA169" i="5"/>
  <c r="CA168" i="5"/>
  <c r="CA167" i="5"/>
  <c r="CA166" i="5"/>
  <c r="CA165" i="5"/>
  <c r="CA164" i="5"/>
  <c r="CA163" i="5"/>
  <c r="CA162" i="5"/>
  <c r="CA159" i="5"/>
  <c r="CA158" i="5"/>
  <c r="CA157" i="5"/>
  <c r="CA154" i="5"/>
  <c r="CA153" i="5"/>
  <c r="CA152" i="5"/>
  <c r="CA151" i="5"/>
  <c r="CA150" i="5"/>
  <c r="CA149" i="5"/>
  <c r="BZ160" i="5"/>
  <c r="BZ155" i="5"/>
  <c r="BZ170" i="5"/>
  <c r="BZ169" i="5"/>
  <c r="BZ168" i="5"/>
  <c r="BZ167" i="5"/>
  <c r="BZ166" i="5"/>
  <c r="BZ165" i="5"/>
  <c r="BZ164" i="5"/>
  <c r="BZ163" i="5"/>
  <c r="BZ162" i="5"/>
  <c r="BZ159" i="5"/>
  <c r="BZ158" i="5"/>
  <c r="BZ157" i="5"/>
  <c r="BZ154" i="5"/>
  <c r="BZ153" i="5"/>
  <c r="BZ152" i="5"/>
  <c r="BZ151" i="5"/>
  <c r="BZ150" i="5"/>
  <c r="BZ149" i="5"/>
  <c r="BY160" i="5"/>
  <c r="BY155" i="5"/>
  <c r="BY170" i="5"/>
  <c r="BY169" i="5"/>
  <c r="BY168" i="5"/>
  <c r="BY167" i="5"/>
  <c r="BY166" i="5"/>
  <c r="BY165" i="5"/>
  <c r="BY164" i="5"/>
  <c r="BY163" i="5"/>
  <c r="BY162" i="5"/>
  <c r="BY159" i="5"/>
  <c r="BY158" i="5"/>
  <c r="BY157" i="5"/>
  <c r="BY154" i="5"/>
  <c r="BY153" i="5"/>
  <c r="BY152" i="5"/>
  <c r="BY151" i="5"/>
  <c r="BY150" i="5"/>
  <c r="BY149" i="5"/>
  <c r="BX160" i="5"/>
  <c r="BX155" i="5"/>
  <c r="BX170" i="5"/>
  <c r="BX169" i="5"/>
  <c r="BX168" i="5"/>
  <c r="BX167" i="5"/>
  <c r="BX166" i="5"/>
  <c r="BX165" i="5"/>
  <c r="BX164" i="5"/>
  <c r="BX163" i="5"/>
  <c r="BX162" i="5"/>
  <c r="BX159" i="5"/>
  <c r="BX158" i="5"/>
  <c r="BX157" i="5"/>
  <c r="BX154" i="5"/>
  <c r="BX153" i="5"/>
  <c r="BX152" i="5"/>
  <c r="BX151" i="5"/>
  <c r="BX150" i="5"/>
  <c r="BX149" i="5"/>
  <c r="BW160" i="5"/>
  <c r="BW155" i="5"/>
  <c r="BW170" i="5"/>
  <c r="BW169" i="5"/>
  <c r="BW168" i="5"/>
  <c r="BW167" i="5"/>
  <c r="BW166" i="5"/>
  <c r="BW165" i="5"/>
  <c r="BW164" i="5"/>
  <c r="BW163" i="5"/>
  <c r="BW162" i="5"/>
  <c r="BW161" i="5" s="1"/>
  <c r="BW159" i="5"/>
  <c r="BW158" i="5"/>
  <c r="BW157" i="5"/>
  <c r="BW154" i="5"/>
  <c r="BW153" i="5"/>
  <c r="BW152" i="5"/>
  <c r="BW151" i="5"/>
  <c r="BW150" i="5"/>
  <c r="BW149" i="5"/>
  <c r="BV160" i="5"/>
  <c r="BV155" i="5"/>
  <c r="BV170" i="5"/>
  <c r="BV169" i="5"/>
  <c r="BV168" i="5"/>
  <c r="BV167" i="5"/>
  <c r="BV166" i="5"/>
  <c r="BV165" i="5"/>
  <c r="BV164" i="5"/>
  <c r="BV163" i="5"/>
  <c r="BV162" i="5"/>
  <c r="BV159" i="5"/>
  <c r="BV158" i="5"/>
  <c r="BV157" i="5"/>
  <c r="BV154" i="5"/>
  <c r="BV153" i="5"/>
  <c r="BV152" i="5"/>
  <c r="BV151" i="5"/>
  <c r="BV150" i="5"/>
  <c r="BV149" i="5"/>
  <c r="BU160" i="5"/>
  <c r="BU155" i="5"/>
  <c r="BU170" i="5"/>
  <c r="BU169" i="5"/>
  <c r="BU168" i="5"/>
  <c r="BU167" i="5"/>
  <c r="BU166" i="5"/>
  <c r="BU165" i="5"/>
  <c r="BU164" i="5"/>
  <c r="BU163" i="5"/>
  <c r="BU162" i="5"/>
  <c r="BU159" i="5"/>
  <c r="BU158" i="5"/>
  <c r="BU157" i="5"/>
  <c r="BU154" i="5"/>
  <c r="BU153" i="5"/>
  <c r="BU152" i="5"/>
  <c r="BU151" i="5"/>
  <c r="BU150" i="5"/>
  <c r="BU149" i="5"/>
  <c r="BT160" i="5"/>
  <c r="BT155" i="5"/>
  <c r="BT170" i="5"/>
  <c r="BT169" i="5"/>
  <c r="BT168" i="5"/>
  <c r="BT167" i="5"/>
  <c r="BT166" i="5"/>
  <c r="BT165" i="5"/>
  <c r="BT164" i="5"/>
  <c r="BT163" i="5"/>
  <c r="BT162" i="5"/>
  <c r="BT159" i="5"/>
  <c r="BT158" i="5"/>
  <c r="BT157" i="5"/>
  <c r="BT154" i="5"/>
  <c r="BT153" i="5"/>
  <c r="BT152" i="5"/>
  <c r="BT151" i="5"/>
  <c r="BT150" i="5"/>
  <c r="BT149" i="5"/>
  <c r="BS160" i="5"/>
  <c r="BS155" i="5"/>
  <c r="BS170" i="5"/>
  <c r="BS169" i="5"/>
  <c r="BS168" i="5"/>
  <c r="BS167" i="5"/>
  <c r="BS166" i="5"/>
  <c r="BS165" i="5"/>
  <c r="BS164" i="5"/>
  <c r="BS163" i="5"/>
  <c r="BS162" i="5"/>
  <c r="BS159" i="5"/>
  <c r="BS158" i="5"/>
  <c r="BS157" i="5"/>
  <c r="BS154" i="5"/>
  <c r="BS153" i="5"/>
  <c r="BS152" i="5"/>
  <c r="BS151" i="5"/>
  <c r="BS150" i="5"/>
  <c r="BS149" i="5"/>
  <c r="BR160" i="5"/>
  <c r="BR155" i="5"/>
  <c r="BR170" i="5"/>
  <c r="BR169" i="5"/>
  <c r="BR168" i="5"/>
  <c r="BR167" i="5"/>
  <c r="BR166" i="5"/>
  <c r="BR165" i="5"/>
  <c r="BR164" i="5"/>
  <c r="BR163" i="5"/>
  <c r="BR162" i="5"/>
  <c r="BR159" i="5"/>
  <c r="BR158" i="5"/>
  <c r="BR157" i="5"/>
  <c r="BR154" i="5"/>
  <c r="BR153" i="5"/>
  <c r="BR152" i="5"/>
  <c r="BR151" i="5"/>
  <c r="BR150" i="5"/>
  <c r="BR149" i="5"/>
  <c r="BQ160" i="5"/>
  <c r="BQ155" i="5"/>
  <c r="BQ170" i="5"/>
  <c r="BQ169" i="5"/>
  <c r="BQ168" i="5"/>
  <c r="BQ167" i="5"/>
  <c r="BQ166" i="5"/>
  <c r="BQ165" i="5"/>
  <c r="BQ164" i="5"/>
  <c r="BQ163" i="5"/>
  <c r="BQ162" i="5"/>
  <c r="BQ161" i="5" s="1"/>
  <c r="BQ159" i="5"/>
  <c r="BQ158" i="5"/>
  <c r="BQ157" i="5"/>
  <c r="BQ154" i="5"/>
  <c r="BQ153" i="5"/>
  <c r="BQ152" i="5"/>
  <c r="BQ151" i="5"/>
  <c r="BQ150" i="5"/>
  <c r="BQ149" i="5"/>
  <c r="BP160" i="5"/>
  <c r="BP155" i="5"/>
  <c r="BP170" i="5"/>
  <c r="BP169" i="5"/>
  <c r="BP168" i="5"/>
  <c r="BP167" i="5"/>
  <c r="BP165" i="5"/>
  <c r="BP166" i="5"/>
  <c r="BP164" i="5"/>
  <c r="BP163" i="5"/>
  <c r="BP162" i="5"/>
  <c r="BP159" i="5"/>
  <c r="BP158" i="5"/>
  <c r="BP157" i="5"/>
  <c r="BP154" i="5"/>
  <c r="BP153" i="5"/>
  <c r="BP152" i="5"/>
  <c r="BP151" i="5"/>
  <c r="BP150" i="5"/>
  <c r="BP149" i="5"/>
  <c r="BO160" i="5"/>
  <c r="BO155" i="5"/>
  <c r="BO170" i="5"/>
  <c r="BO169" i="5"/>
  <c r="BO168" i="5"/>
  <c r="BO167" i="5"/>
  <c r="BO166" i="5"/>
  <c r="BO165" i="5"/>
  <c r="BO164" i="5"/>
  <c r="BO163" i="5"/>
  <c r="BO162" i="5"/>
  <c r="BO159" i="5"/>
  <c r="BO158" i="5"/>
  <c r="BO157" i="5"/>
  <c r="BO154" i="5"/>
  <c r="BO153" i="5"/>
  <c r="BO152" i="5"/>
  <c r="BO151" i="5"/>
  <c r="BO150" i="5"/>
  <c r="BO149" i="5"/>
  <c r="BN160" i="5"/>
  <c r="BN155" i="5"/>
  <c r="BN170" i="5"/>
  <c r="BN169" i="5"/>
  <c r="BN168" i="5"/>
  <c r="BN167" i="5"/>
  <c r="BN166" i="5"/>
  <c r="BN165" i="5"/>
  <c r="BN164" i="5"/>
  <c r="BN163" i="5"/>
  <c r="BN162" i="5"/>
  <c r="BN159" i="5"/>
  <c r="BN158" i="5"/>
  <c r="BN157" i="5"/>
  <c r="BN154" i="5"/>
  <c r="BN153" i="5"/>
  <c r="BN152" i="5"/>
  <c r="BN151" i="5"/>
  <c r="BN150" i="5"/>
  <c r="BN149" i="5"/>
  <c r="BM160" i="5"/>
  <c r="BM155" i="5"/>
  <c r="BM170" i="5"/>
  <c r="BM169" i="5"/>
  <c r="BM168" i="5"/>
  <c r="BM167" i="5"/>
  <c r="BM166" i="5"/>
  <c r="BM165" i="5"/>
  <c r="BM164" i="5"/>
  <c r="BM163" i="5"/>
  <c r="BM162" i="5"/>
  <c r="BM159" i="5"/>
  <c r="BM158" i="5"/>
  <c r="BM157" i="5"/>
  <c r="BM154" i="5"/>
  <c r="BM153" i="5"/>
  <c r="BM152" i="5"/>
  <c r="BM151" i="5"/>
  <c r="BM150" i="5"/>
  <c r="BM149" i="5"/>
  <c r="BL160" i="5"/>
  <c r="BL155" i="5"/>
  <c r="BL170" i="5"/>
  <c r="BL169" i="5"/>
  <c r="BL168" i="5"/>
  <c r="BL167" i="5"/>
  <c r="BL166" i="5"/>
  <c r="BL165" i="5"/>
  <c r="BL164" i="5"/>
  <c r="BL163" i="5"/>
  <c r="BL162" i="5"/>
  <c r="BL159" i="5"/>
  <c r="BL158" i="5"/>
  <c r="BL157" i="5"/>
  <c r="BL154" i="5"/>
  <c r="BL153" i="5"/>
  <c r="BL152" i="5"/>
  <c r="BL151" i="5"/>
  <c r="BL150" i="5"/>
  <c r="BL149" i="5"/>
  <c r="BK160" i="5"/>
  <c r="BK155" i="5"/>
  <c r="BK170" i="5"/>
  <c r="BK169" i="5"/>
  <c r="BK168" i="5"/>
  <c r="BK167" i="5"/>
  <c r="BK166" i="5"/>
  <c r="BK165" i="5"/>
  <c r="BK164" i="5"/>
  <c r="BK163" i="5"/>
  <c r="BK162" i="5"/>
  <c r="BK161" i="5" s="1"/>
  <c r="BK159" i="5"/>
  <c r="BK158" i="5"/>
  <c r="BK157" i="5"/>
  <c r="BK154" i="5"/>
  <c r="BK153" i="5"/>
  <c r="BK152" i="5"/>
  <c r="BK151" i="5"/>
  <c r="BK150" i="5"/>
  <c r="BK149" i="5"/>
  <c r="BJ160" i="5"/>
  <c r="BJ155" i="5"/>
  <c r="BJ170" i="5"/>
  <c r="BJ169" i="5"/>
  <c r="BJ168" i="5"/>
  <c r="BJ167" i="5"/>
  <c r="BJ166" i="5"/>
  <c r="BJ165" i="5"/>
  <c r="BJ164" i="5"/>
  <c r="BJ163" i="5"/>
  <c r="BJ162" i="5"/>
  <c r="BJ159" i="5"/>
  <c r="BJ158" i="5"/>
  <c r="BJ157" i="5"/>
  <c r="BJ154" i="5"/>
  <c r="BJ153" i="5"/>
  <c r="BJ152" i="5"/>
  <c r="BJ151" i="5"/>
  <c r="BJ150" i="5"/>
  <c r="BJ149" i="5"/>
  <c r="BI160" i="5"/>
  <c r="BI155" i="5"/>
  <c r="BI170" i="5"/>
  <c r="BI169" i="5"/>
  <c r="BI168" i="5"/>
  <c r="BI167" i="5"/>
  <c r="BI166" i="5"/>
  <c r="BI165" i="5"/>
  <c r="BI163" i="5"/>
  <c r="BI162" i="5"/>
  <c r="BI159" i="5"/>
  <c r="BI158" i="5"/>
  <c r="BI157" i="5"/>
  <c r="BI154" i="5"/>
  <c r="BI153" i="5"/>
  <c r="BI152" i="5"/>
  <c r="BI151" i="5"/>
  <c r="BI150" i="5"/>
  <c r="BI149" i="5"/>
  <c r="BH160" i="5"/>
  <c r="BH155" i="5"/>
  <c r="BH169" i="5"/>
  <c r="BH170" i="5"/>
  <c r="BH168" i="5"/>
  <c r="BH167" i="5"/>
  <c r="BH166" i="5"/>
  <c r="BH165" i="5"/>
  <c r="BH164" i="5"/>
  <c r="BH163" i="5"/>
  <c r="BH162" i="5"/>
  <c r="BH159" i="5"/>
  <c r="BH158" i="5"/>
  <c r="BH157" i="5"/>
  <c r="BH154" i="5"/>
  <c r="BH153" i="5"/>
  <c r="BH152" i="5"/>
  <c r="BH151" i="5"/>
  <c r="BH150" i="5"/>
  <c r="BH149" i="5"/>
  <c r="BG160" i="5"/>
  <c r="BG155" i="5"/>
  <c r="BG170" i="5"/>
  <c r="BG169" i="5"/>
  <c r="BG168" i="5"/>
  <c r="BG167" i="5"/>
  <c r="BG166" i="5"/>
  <c r="BG165" i="5"/>
  <c r="BG164" i="5"/>
  <c r="BG163" i="5"/>
  <c r="BG162" i="5"/>
  <c r="BG159" i="5"/>
  <c r="BG158" i="5"/>
  <c r="BG157" i="5"/>
  <c r="BG154" i="5"/>
  <c r="BG153" i="5"/>
  <c r="BG152" i="5"/>
  <c r="BG151" i="5"/>
  <c r="BG150" i="5"/>
  <c r="BG149" i="5"/>
  <c r="BF160" i="5"/>
  <c r="BF155" i="5"/>
  <c r="BF170" i="5"/>
  <c r="BF169" i="5"/>
  <c r="BF168" i="5"/>
  <c r="BF167" i="5"/>
  <c r="BF166" i="5"/>
  <c r="BF165" i="5"/>
  <c r="BF164" i="5"/>
  <c r="BF163" i="5"/>
  <c r="BF162" i="5"/>
  <c r="BF159" i="5"/>
  <c r="BF158" i="5"/>
  <c r="BF157" i="5"/>
  <c r="BF154" i="5"/>
  <c r="BF153" i="5"/>
  <c r="BF152" i="5"/>
  <c r="BF151" i="5"/>
  <c r="BF150" i="5"/>
  <c r="BF149" i="5"/>
  <c r="BE160" i="5"/>
  <c r="BE155" i="5"/>
  <c r="BE170" i="5"/>
  <c r="BE169" i="5"/>
  <c r="BE168" i="5"/>
  <c r="BE167" i="5"/>
  <c r="BE166" i="5"/>
  <c r="BE165" i="5"/>
  <c r="BE164" i="5"/>
  <c r="BE163" i="5"/>
  <c r="BE162" i="5"/>
  <c r="BE159" i="5"/>
  <c r="BE158" i="5"/>
  <c r="BE157" i="5"/>
  <c r="BE154" i="5"/>
  <c r="BE153" i="5"/>
  <c r="BE152" i="5"/>
  <c r="BE151" i="5"/>
  <c r="BE150" i="5"/>
  <c r="BE149" i="5"/>
  <c r="BD160" i="5"/>
  <c r="BD155" i="5"/>
  <c r="BD170" i="5"/>
  <c r="BD169" i="5"/>
  <c r="BD168" i="5"/>
  <c r="BD167" i="5"/>
  <c r="BD166" i="5"/>
  <c r="BD165" i="5"/>
  <c r="BD164" i="5"/>
  <c r="BD163" i="5"/>
  <c r="BD162" i="5"/>
  <c r="BD159" i="5"/>
  <c r="BD158" i="5"/>
  <c r="BD157" i="5"/>
  <c r="BD154" i="5"/>
  <c r="BD153" i="5"/>
  <c r="BD152" i="5"/>
  <c r="BD151" i="5"/>
  <c r="BD150" i="5"/>
  <c r="BD149" i="5"/>
  <c r="BC160" i="5"/>
  <c r="BC155" i="5"/>
  <c r="BC170" i="5"/>
  <c r="BC169" i="5"/>
  <c r="BC168" i="5"/>
  <c r="BC167" i="5"/>
  <c r="BC166" i="5"/>
  <c r="BC165" i="5"/>
  <c r="BC164" i="5"/>
  <c r="BC163" i="5"/>
  <c r="BC162" i="5"/>
  <c r="BC159" i="5"/>
  <c r="BC158" i="5"/>
  <c r="BC157" i="5"/>
  <c r="BC154" i="5"/>
  <c r="BC153" i="5"/>
  <c r="BC152" i="5"/>
  <c r="BC151" i="5"/>
  <c r="BC150" i="5"/>
  <c r="BC149" i="5"/>
  <c r="BB160" i="5"/>
  <c r="BB155" i="5"/>
  <c r="BB170" i="5"/>
  <c r="BB169" i="5"/>
  <c r="BB168" i="5"/>
  <c r="BB167" i="5"/>
  <c r="BB166" i="5"/>
  <c r="BB165" i="5"/>
  <c r="BB164" i="5"/>
  <c r="BB163" i="5"/>
  <c r="BB162" i="5"/>
  <c r="BB159" i="5"/>
  <c r="BB158" i="5"/>
  <c r="BB157" i="5"/>
  <c r="BB154" i="5"/>
  <c r="BB153" i="5"/>
  <c r="BB152" i="5"/>
  <c r="BB151" i="5"/>
  <c r="BB150" i="5"/>
  <c r="BB149" i="5"/>
  <c r="BA160" i="5"/>
  <c r="BA155" i="5"/>
  <c r="BA170" i="5"/>
  <c r="BA169" i="5"/>
  <c r="BA168" i="5"/>
  <c r="BA167" i="5"/>
  <c r="BA166" i="5"/>
  <c r="BA165" i="5"/>
  <c r="BA164" i="5"/>
  <c r="BA163" i="5"/>
  <c r="BA162" i="5"/>
  <c r="BA159" i="5"/>
  <c r="BA158" i="5"/>
  <c r="BA157" i="5"/>
  <c r="BA154" i="5"/>
  <c r="BA153" i="5"/>
  <c r="BA152" i="5"/>
  <c r="BA151" i="5"/>
  <c r="BA150" i="5"/>
  <c r="BA149" i="5"/>
  <c r="AZ160" i="5"/>
  <c r="AZ155" i="5"/>
  <c r="AZ170" i="5"/>
  <c r="AZ169" i="5"/>
  <c r="AZ168" i="5"/>
  <c r="AZ167" i="5"/>
  <c r="AZ166" i="5"/>
  <c r="AZ165" i="5"/>
  <c r="AZ164" i="5"/>
  <c r="AZ163" i="5"/>
  <c r="AZ162" i="5"/>
  <c r="AZ159" i="5"/>
  <c r="AZ158" i="5"/>
  <c r="AZ157" i="5"/>
  <c r="AZ154" i="5"/>
  <c r="AZ153" i="5"/>
  <c r="AZ152" i="5"/>
  <c r="AZ151" i="5"/>
  <c r="AZ150" i="5"/>
  <c r="AZ149" i="5"/>
  <c r="AY160" i="5"/>
  <c r="AY155" i="5"/>
  <c r="AY170" i="5"/>
  <c r="AY169" i="5"/>
  <c r="AY168" i="5"/>
  <c r="AY167" i="5"/>
  <c r="AY166" i="5"/>
  <c r="AY165" i="5"/>
  <c r="AY164" i="5"/>
  <c r="AY163" i="5"/>
  <c r="AY162" i="5"/>
  <c r="AY159" i="5"/>
  <c r="AY158" i="5"/>
  <c r="AY157" i="5"/>
  <c r="AY154" i="5"/>
  <c r="AY153" i="5"/>
  <c r="AY152" i="5"/>
  <c r="AY151" i="5"/>
  <c r="AY150" i="5"/>
  <c r="AY149" i="5"/>
  <c r="BA161" i="5" l="1"/>
  <c r="BG161" i="5"/>
  <c r="BL156" i="5"/>
  <c r="BT156" i="5"/>
  <c r="BF156" i="5"/>
  <c r="BZ156" i="5"/>
  <c r="BT161" i="5"/>
  <c r="BZ161" i="5"/>
  <c r="BL161" i="5"/>
  <c r="BN161" i="5"/>
  <c r="BD161" i="5"/>
  <c r="BQ156" i="5"/>
  <c r="BW156" i="5"/>
  <c r="CC156" i="5"/>
  <c r="BI156" i="5"/>
  <c r="BA148" i="5"/>
  <c r="BA171" i="5"/>
  <c r="BA156" i="5"/>
  <c r="BD171" i="5"/>
  <c r="BD148" i="5"/>
  <c r="BD156" i="5"/>
  <c r="BG148" i="5"/>
  <c r="BG171" i="5"/>
  <c r="BG156" i="5"/>
  <c r="BO161" i="5"/>
  <c r="BR161" i="5"/>
  <c r="BU161" i="5"/>
  <c r="BX161" i="5"/>
  <c r="CA161" i="5"/>
  <c r="AR148" i="6"/>
  <c r="CD161" i="5"/>
  <c r="BC161" i="5"/>
  <c r="BF161" i="5"/>
  <c r="BI161" i="5"/>
  <c r="BK148" i="5"/>
  <c r="BK171" i="5"/>
  <c r="BK156" i="5"/>
  <c r="BN148" i="5"/>
  <c r="BN171" i="5"/>
  <c r="BN156" i="5"/>
  <c r="BQ148" i="5"/>
  <c r="BQ171" i="5"/>
  <c r="BT148" i="5"/>
  <c r="BT171" i="5"/>
  <c r="BW148" i="5"/>
  <c r="BW171" i="5"/>
  <c r="BZ148" i="5"/>
  <c r="BZ171" i="5"/>
  <c r="CC148" i="5"/>
  <c r="CC171" i="5"/>
  <c r="AZ161" i="5"/>
  <c r="AY148" i="5"/>
  <c r="AY171" i="5"/>
  <c r="AY156" i="5"/>
  <c r="BB148" i="5"/>
  <c r="BB171" i="5"/>
  <c r="BB156" i="5"/>
  <c r="BE148" i="5"/>
  <c r="BE171" i="5"/>
  <c r="BE156" i="5"/>
  <c r="BH148" i="5"/>
  <c r="BH171" i="5"/>
  <c r="BH156" i="5"/>
  <c r="BJ161" i="5"/>
  <c r="BM161" i="5"/>
  <c r="BP161" i="5"/>
  <c r="BS161" i="5"/>
  <c r="BV161" i="5"/>
  <c r="BY161" i="5"/>
  <c r="CB161" i="5"/>
  <c r="BL148" i="5"/>
  <c r="BL171" i="5"/>
  <c r="BO148" i="5"/>
  <c r="BO171" i="5"/>
  <c r="BO156" i="5"/>
  <c r="BR148" i="5"/>
  <c r="BR171" i="5"/>
  <c r="BR156" i="5"/>
  <c r="BU171" i="5"/>
  <c r="BU148" i="5"/>
  <c r="BU156" i="5"/>
  <c r="BX148" i="5"/>
  <c r="BX171" i="5"/>
  <c r="BX156" i="5"/>
  <c r="CA171" i="5"/>
  <c r="CA148" i="5"/>
  <c r="CA156" i="5"/>
  <c r="AR139" i="6"/>
  <c r="CD148" i="5"/>
  <c r="CD171" i="5"/>
  <c r="AR145" i="6"/>
  <c r="CD156" i="5"/>
  <c r="AZ148" i="5"/>
  <c r="AZ171" i="5"/>
  <c r="AZ156" i="5"/>
  <c r="BC171" i="5"/>
  <c r="BC148" i="5"/>
  <c r="BC156" i="5"/>
  <c r="BF148" i="5"/>
  <c r="BF171" i="5"/>
  <c r="BI171" i="5"/>
  <c r="BI148" i="5"/>
  <c r="AY161" i="5"/>
  <c r="BB161" i="5"/>
  <c r="BE161" i="5"/>
  <c r="BH161" i="5"/>
  <c r="BJ171" i="5"/>
  <c r="BJ148" i="5"/>
  <c r="BJ156" i="5"/>
  <c r="BM148" i="5"/>
  <c r="BM171" i="5"/>
  <c r="BM156" i="5"/>
  <c r="BP171" i="5"/>
  <c r="BP148" i="5"/>
  <c r="BP156" i="5"/>
  <c r="BS148" i="5"/>
  <c r="BS171" i="5"/>
  <c r="BS156" i="5"/>
  <c r="BV171" i="5"/>
  <c r="BV148" i="5"/>
  <c r="BV156" i="5"/>
  <c r="BY148" i="5"/>
  <c r="BY171" i="5"/>
  <c r="BY156" i="5"/>
  <c r="CB171" i="5"/>
  <c r="CB148" i="5"/>
  <c r="CB156" i="5"/>
  <c r="AI139" i="6"/>
  <c r="AI151" i="6"/>
  <c r="AJ141" i="6"/>
  <c r="AJ153" i="6"/>
  <c r="AL139" i="6"/>
  <c r="AL151" i="6"/>
  <c r="AL157" i="6"/>
  <c r="AM147" i="6"/>
  <c r="AM153" i="6"/>
  <c r="AO139" i="6"/>
  <c r="AO145" i="6"/>
  <c r="AO151" i="6"/>
  <c r="AO157" i="6"/>
  <c r="AP147" i="6"/>
  <c r="AI145" i="6"/>
  <c r="AI157" i="6"/>
  <c r="AJ147" i="6"/>
  <c r="AL145" i="6"/>
  <c r="AM141" i="6"/>
  <c r="AP153" i="6"/>
  <c r="L169" i="36"/>
  <c r="M155" i="36"/>
  <c r="M161" i="36"/>
  <c r="N172" i="36"/>
  <c r="AI142" i="6"/>
  <c r="AI148" i="6"/>
  <c r="AI154" i="6"/>
  <c r="AJ144" i="6"/>
  <c r="AJ150" i="6"/>
  <c r="AJ156" i="6"/>
  <c r="AL142" i="6"/>
  <c r="AL148" i="6"/>
  <c r="AL154" i="6"/>
  <c r="AM144" i="6"/>
  <c r="AM150" i="6"/>
  <c r="AM156" i="6"/>
  <c r="P172" i="36"/>
  <c r="AO142" i="6"/>
  <c r="AO148" i="6"/>
  <c r="AO154" i="6"/>
  <c r="AP144" i="6"/>
  <c r="AP150" i="6"/>
  <c r="AP156" i="6"/>
  <c r="L159" i="36"/>
  <c r="L175" i="36"/>
  <c r="M163" i="36"/>
  <c r="L170" i="36"/>
  <c r="M156" i="36"/>
  <c r="M164" i="36"/>
  <c r="AI143" i="6"/>
  <c r="AI149" i="6"/>
  <c r="AI155" i="6"/>
  <c r="AJ139" i="6"/>
  <c r="AJ145" i="6"/>
  <c r="AJ151" i="6"/>
  <c r="AJ157" i="6"/>
  <c r="AL143" i="6"/>
  <c r="AL149" i="6"/>
  <c r="AM139" i="6"/>
  <c r="AM145" i="6"/>
  <c r="AM151" i="6"/>
  <c r="AM157" i="6"/>
  <c r="P157" i="36"/>
  <c r="AO143" i="6"/>
  <c r="AO149" i="6"/>
  <c r="AO155" i="6"/>
  <c r="AP139" i="6"/>
  <c r="AP145" i="6"/>
  <c r="AP151" i="6"/>
  <c r="AP157" i="6"/>
  <c r="L160" i="36"/>
  <c r="L176" i="36"/>
  <c r="M172" i="36"/>
  <c r="AM140" i="6"/>
  <c r="AO144" i="6"/>
  <c r="AO150" i="6"/>
  <c r="AO156" i="6"/>
  <c r="AP146" i="6"/>
  <c r="AP152" i="6"/>
  <c r="L164" i="36"/>
  <c r="L166" i="36"/>
  <c r="M158" i="36"/>
  <c r="M168" i="36"/>
  <c r="M174" i="36"/>
  <c r="P169" i="36"/>
  <c r="L172" i="36"/>
  <c r="L173" i="36"/>
  <c r="M159" i="36"/>
  <c r="AI140" i="6"/>
  <c r="AI146" i="6"/>
  <c r="AI152" i="6"/>
  <c r="AI158" i="6"/>
  <c r="AJ142" i="6"/>
  <c r="AJ148" i="6"/>
  <c r="AJ154" i="6"/>
  <c r="O176" i="36"/>
  <c r="AL140" i="6"/>
  <c r="AL146" i="6"/>
  <c r="AL152" i="6"/>
  <c r="AL158" i="6"/>
  <c r="AM142" i="6"/>
  <c r="AM148" i="6"/>
  <c r="AM154" i="6"/>
  <c r="P160" i="36"/>
  <c r="AO140" i="6"/>
  <c r="AO146" i="6"/>
  <c r="AO152" i="6"/>
  <c r="AP142" i="6"/>
  <c r="AP154" i="6"/>
  <c r="L156" i="36"/>
  <c r="L157" i="36"/>
  <c r="L165" i="36"/>
  <c r="M169" i="36"/>
  <c r="L158" i="36"/>
  <c r="M160" i="36"/>
  <c r="M170" i="36"/>
  <c r="AI141" i="6"/>
  <c r="AI147" i="6"/>
  <c r="AJ143" i="6"/>
  <c r="AJ149" i="6"/>
  <c r="AJ155" i="6"/>
  <c r="O172" i="36"/>
  <c r="M166" i="36"/>
  <c r="L155" i="36"/>
  <c r="L163" i="36"/>
  <c r="L171" i="36"/>
  <c r="L161" i="36"/>
  <c r="M157" i="36"/>
  <c r="M165" i="36"/>
  <c r="M173" i="36"/>
  <c r="AI144" i="6"/>
  <c r="AI150" i="6"/>
  <c r="AI156" i="6"/>
  <c r="AJ140" i="6"/>
  <c r="AJ146" i="6"/>
  <c r="AJ152" i="6"/>
  <c r="AJ158" i="6"/>
  <c r="AL144" i="6"/>
  <c r="AL150" i="6"/>
  <c r="AL156" i="6"/>
  <c r="AM146" i="6"/>
  <c r="AM158" i="6"/>
  <c r="P168" i="36"/>
  <c r="AP158" i="6"/>
  <c r="AO158" i="6"/>
  <c r="L168" i="36"/>
  <c r="L174" i="36"/>
  <c r="M176" i="36"/>
  <c r="N161" i="36"/>
  <c r="AI153" i="6"/>
  <c r="AL141" i="6"/>
  <c r="AL147" i="6"/>
  <c r="AL153" i="6"/>
  <c r="AM143" i="6"/>
  <c r="AM149" i="6"/>
  <c r="AM155" i="6"/>
  <c r="AO141" i="6"/>
  <c r="AO147" i="6"/>
  <c r="AO153" i="6"/>
  <c r="AP143" i="6"/>
  <c r="AP149" i="6"/>
  <c r="AP155" i="6"/>
  <c r="M171" i="36"/>
  <c r="M175" i="36"/>
  <c r="AH140" i="6"/>
  <c r="N156" i="36"/>
  <c r="AH144" i="6"/>
  <c r="N160" i="36"/>
  <c r="AH148" i="6"/>
  <c r="N168" i="36"/>
  <c r="AH156" i="6"/>
  <c r="N176" i="36"/>
  <c r="AK140" i="6"/>
  <c r="AY140" i="6" s="1"/>
  <c r="O156" i="36"/>
  <c r="AK144" i="6"/>
  <c r="AY144" i="6" s="1"/>
  <c r="O160" i="36"/>
  <c r="AK148" i="6"/>
  <c r="AY148" i="6" s="1"/>
  <c r="O168" i="36"/>
  <c r="O171" i="36"/>
  <c r="AN140" i="6"/>
  <c r="P156" i="36"/>
  <c r="AN156" i="6"/>
  <c r="P176" i="36"/>
  <c r="AQ140" i="6"/>
  <c r="Q156" i="36"/>
  <c r="AQ144" i="6"/>
  <c r="Q160" i="36"/>
  <c r="AQ148" i="6"/>
  <c r="Q168" i="36"/>
  <c r="AQ152" i="6"/>
  <c r="Q172" i="36"/>
  <c r="AQ156" i="6"/>
  <c r="Q176" i="36"/>
  <c r="AH141" i="6"/>
  <c r="N157" i="36"/>
  <c r="AH145" i="6"/>
  <c r="N163" i="36"/>
  <c r="AH149" i="6"/>
  <c r="N169" i="36"/>
  <c r="AH153" i="6"/>
  <c r="N173" i="36"/>
  <c r="AK141" i="6"/>
  <c r="AY141" i="6" s="1"/>
  <c r="O157" i="36"/>
  <c r="AK145" i="6"/>
  <c r="AY145" i="6" s="1"/>
  <c r="O163" i="36"/>
  <c r="AK149" i="6"/>
  <c r="AY149" i="6" s="1"/>
  <c r="O169" i="36"/>
  <c r="AK153" i="6"/>
  <c r="AY153" i="6" s="1"/>
  <c r="O173" i="36"/>
  <c r="AK157" i="6"/>
  <c r="AY157" i="6" s="1"/>
  <c r="O161" i="36"/>
  <c r="AN145" i="6"/>
  <c r="P163" i="36"/>
  <c r="AN153" i="6"/>
  <c r="P173" i="36"/>
  <c r="AN157" i="6"/>
  <c r="P161" i="36"/>
  <c r="AQ141" i="6"/>
  <c r="Q157" i="36"/>
  <c r="AQ145" i="6"/>
  <c r="Q163" i="36"/>
  <c r="AQ149" i="6"/>
  <c r="Q169" i="36"/>
  <c r="AQ153" i="6"/>
  <c r="Q173" i="36"/>
  <c r="AQ157" i="6"/>
  <c r="Q161" i="36"/>
  <c r="AH142" i="6"/>
  <c r="N158" i="36"/>
  <c r="AH146" i="6"/>
  <c r="N164" i="36"/>
  <c r="AH150" i="6"/>
  <c r="N170" i="36"/>
  <c r="AH154" i="6"/>
  <c r="N174" i="36"/>
  <c r="AH158" i="6"/>
  <c r="N166" i="36"/>
  <c r="AK142" i="6"/>
  <c r="AY142" i="6" s="1"/>
  <c r="O158" i="36"/>
  <c r="AK146" i="6"/>
  <c r="AY146" i="6" s="1"/>
  <c r="O164" i="36"/>
  <c r="AK150" i="6"/>
  <c r="AY150" i="6" s="1"/>
  <c r="O170" i="36"/>
  <c r="AK154" i="6"/>
  <c r="AY154" i="6" s="1"/>
  <c r="O174" i="36"/>
  <c r="AK158" i="6"/>
  <c r="AY158" i="6" s="1"/>
  <c r="O166" i="36"/>
  <c r="AN142" i="6"/>
  <c r="P158" i="36"/>
  <c r="AN146" i="6"/>
  <c r="P164" i="36"/>
  <c r="AN150" i="6"/>
  <c r="P170" i="36"/>
  <c r="AN154" i="6"/>
  <c r="P174" i="36"/>
  <c r="AN158" i="6"/>
  <c r="P166" i="36"/>
  <c r="AQ142" i="6"/>
  <c r="Q158" i="36"/>
  <c r="AQ146" i="6"/>
  <c r="Q164" i="36"/>
  <c r="AQ150" i="6"/>
  <c r="Q170" i="36"/>
  <c r="AQ154" i="6"/>
  <c r="Q174" i="36"/>
  <c r="AQ158" i="6"/>
  <c r="Q166" i="36"/>
  <c r="AH139" i="6"/>
  <c r="N155" i="36"/>
  <c r="AH143" i="6"/>
  <c r="N159" i="36"/>
  <c r="AH147" i="6"/>
  <c r="N165" i="36"/>
  <c r="AH151" i="6"/>
  <c r="N171" i="36"/>
  <c r="AH155" i="6"/>
  <c r="N175" i="36"/>
  <c r="AK139" i="6"/>
  <c r="AY139" i="6" s="1"/>
  <c r="O155" i="36"/>
  <c r="O159" i="36"/>
  <c r="AK143" i="6"/>
  <c r="AY143" i="6" s="1"/>
  <c r="AK147" i="6"/>
  <c r="AY147" i="6" s="1"/>
  <c r="O165" i="36"/>
  <c r="AK155" i="6"/>
  <c r="AY155" i="6" s="1"/>
  <c r="O175" i="36"/>
  <c r="AN139" i="6"/>
  <c r="P155" i="36"/>
  <c r="AN143" i="6"/>
  <c r="P159" i="36"/>
  <c r="AN147" i="6"/>
  <c r="P165" i="36"/>
  <c r="AN151" i="6"/>
  <c r="P171" i="36"/>
  <c r="AN155" i="6"/>
  <c r="P175" i="36"/>
  <c r="AQ139" i="6"/>
  <c r="Q155" i="36"/>
  <c r="AQ143" i="6"/>
  <c r="Q159" i="36"/>
  <c r="AQ147" i="6"/>
  <c r="Q165" i="36"/>
  <c r="AQ151" i="6"/>
  <c r="Q171" i="36"/>
  <c r="AQ155" i="6"/>
  <c r="Q175" i="36"/>
  <c r="AC139" i="6"/>
  <c r="AC143" i="6"/>
  <c r="AC147" i="6"/>
  <c r="AC151" i="6"/>
  <c r="AC155" i="6"/>
  <c r="AD139" i="6"/>
  <c r="AD143" i="6"/>
  <c r="AD147" i="6"/>
  <c r="AD151" i="6"/>
  <c r="AD155" i="6"/>
  <c r="AE139" i="6"/>
  <c r="AE143" i="6"/>
  <c r="AE147" i="6"/>
  <c r="AE151" i="6"/>
  <c r="AE155" i="6"/>
  <c r="AF139" i="6"/>
  <c r="AF143" i="6"/>
  <c r="AF151" i="6"/>
  <c r="AF155" i="6"/>
  <c r="AG139" i="6"/>
  <c r="AG143" i="6"/>
  <c r="AG147" i="6"/>
  <c r="AG156" i="6"/>
  <c r="AB144" i="6"/>
  <c r="AB152" i="6"/>
  <c r="AB156" i="6"/>
  <c r="AC140" i="6"/>
  <c r="AC144" i="6"/>
  <c r="AC148" i="6"/>
  <c r="AC152" i="6"/>
  <c r="AC156" i="6"/>
  <c r="AD140" i="6"/>
  <c r="AD144" i="6"/>
  <c r="AD148" i="6"/>
  <c r="AD152" i="6"/>
  <c r="AD156" i="6"/>
  <c r="AE140" i="6"/>
  <c r="AE144" i="6"/>
  <c r="AE148" i="6"/>
  <c r="AE152" i="6"/>
  <c r="AE156" i="6"/>
  <c r="AF140" i="6"/>
  <c r="AF144" i="6"/>
  <c r="AF148" i="6"/>
  <c r="AF152" i="6"/>
  <c r="AF156" i="6"/>
  <c r="AG144" i="6"/>
  <c r="AG148" i="6"/>
  <c r="AB141" i="6"/>
  <c r="AB157" i="6"/>
  <c r="AC141" i="6"/>
  <c r="AC145" i="6"/>
  <c r="AC149" i="6"/>
  <c r="AC153" i="6"/>
  <c r="AC157" i="6"/>
  <c r="AD141" i="6"/>
  <c r="AD145" i="6"/>
  <c r="AD149" i="6"/>
  <c r="AD153" i="6"/>
  <c r="AD157" i="6"/>
  <c r="AE141" i="6"/>
  <c r="AE145" i="6"/>
  <c r="AE149" i="6"/>
  <c r="AE153" i="6"/>
  <c r="AE157" i="6"/>
  <c r="AF141" i="6"/>
  <c r="AF145" i="6"/>
  <c r="AF149" i="6"/>
  <c r="AF153" i="6"/>
  <c r="AF157" i="6"/>
  <c r="AG141" i="6"/>
  <c r="AG145" i="6"/>
  <c r="AG149" i="6"/>
  <c r="AB140" i="6"/>
  <c r="AB145" i="6"/>
  <c r="AC142" i="6"/>
  <c r="AC146" i="6"/>
  <c r="AC150" i="6"/>
  <c r="AC154" i="6"/>
  <c r="AC158" i="6"/>
  <c r="AD142" i="6"/>
  <c r="AD146" i="6"/>
  <c r="AD150" i="6"/>
  <c r="AD154" i="6"/>
  <c r="AD158" i="6"/>
  <c r="AE146" i="6"/>
  <c r="AE150" i="6"/>
  <c r="AE154" i="6"/>
  <c r="AF142" i="6"/>
  <c r="AF146" i="6"/>
  <c r="AF150" i="6"/>
  <c r="AF154" i="6"/>
  <c r="AF158" i="6"/>
  <c r="AG142" i="6"/>
  <c r="AG146" i="6"/>
  <c r="AG150" i="6"/>
  <c r="AP140" i="6"/>
  <c r="AP148" i="6"/>
  <c r="AN144" i="6"/>
  <c r="AN152" i="6"/>
  <c r="AM152" i="6"/>
  <c r="AN141" i="6"/>
  <c r="AE158" i="6"/>
  <c r="AG154" i="6"/>
  <c r="AG158" i="6"/>
  <c r="AK152" i="6"/>
  <c r="AY152" i="6" s="1"/>
  <c r="AP141" i="6"/>
  <c r="AH157" i="6"/>
  <c r="AL155" i="6"/>
  <c r="AE142" i="6"/>
  <c r="AG140" i="6"/>
  <c r="AG153" i="6"/>
  <c r="AG157" i="6"/>
  <c r="AH152" i="6"/>
  <c r="AK156" i="6"/>
  <c r="AY156" i="6" s="1"/>
  <c r="AF147" i="6"/>
  <c r="AB151" i="6"/>
  <c r="AG151" i="6"/>
  <c r="AB142" i="6"/>
  <c r="AB154" i="6"/>
  <c r="AG152" i="6"/>
  <c r="AG155" i="6"/>
  <c r="AK151" i="6"/>
  <c r="AY151" i="6" s="1"/>
  <c r="AN148" i="6"/>
  <c r="AN149" i="6"/>
  <c r="AB155" i="6"/>
  <c r="AB143" i="6"/>
  <c r="AB153" i="6"/>
  <c r="AB146" i="6"/>
  <c r="AB158" i="6"/>
  <c r="AB139" i="6"/>
  <c r="AB150" i="6"/>
  <c r="AB147" i="6"/>
  <c r="AB149" i="6"/>
  <c r="AB148" i="6"/>
  <c r="AR159" i="6"/>
  <c r="N154" i="36" l="1"/>
  <c r="P154" i="36"/>
  <c r="L162" i="36"/>
  <c r="Q162" i="36"/>
  <c r="N162" i="36"/>
  <c r="P167" i="36"/>
  <c r="M167" i="36"/>
  <c r="O167" i="36"/>
  <c r="L154" i="36"/>
  <c r="M162" i="36"/>
  <c r="M154" i="36"/>
  <c r="P162" i="36"/>
  <c r="Q167" i="36"/>
  <c r="O154" i="36"/>
  <c r="N167" i="36"/>
  <c r="L167" i="36"/>
  <c r="Q154" i="36"/>
  <c r="O162" i="36"/>
  <c r="Q177" i="36"/>
  <c r="P177" i="36"/>
  <c r="L177" i="36"/>
  <c r="M177" i="36"/>
  <c r="N177" i="36"/>
  <c r="AA159" i="6"/>
  <c r="O177" i="36"/>
  <c r="AP159" i="6"/>
  <c r="AM159" i="6"/>
  <c r="AL159" i="6"/>
  <c r="AN159" i="6"/>
  <c r="AJ159" i="6"/>
  <c r="AH159" i="6"/>
  <c r="AG159" i="6"/>
  <c r="AE159" i="6"/>
  <c r="AC159" i="6"/>
  <c r="AD159" i="6"/>
  <c r="AF159" i="6"/>
  <c r="AQ159" i="6"/>
  <c r="AI159" i="6"/>
  <c r="AK159" i="6"/>
  <c r="AY159" i="6" s="1"/>
  <c r="AB159" i="6"/>
  <c r="AO159" i="6"/>
  <c r="EV96" i="1"/>
  <c r="EW96" i="1"/>
  <c r="FH93" i="1"/>
  <c r="FI93" i="1"/>
  <c r="FI7" i="1"/>
  <c r="HJ100" i="1"/>
  <c r="HK100" i="1"/>
  <c r="IH124" i="1"/>
  <c r="IH121" i="1"/>
  <c r="IH118" i="1"/>
  <c r="IH111" i="1"/>
  <c r="IH108" i="1"/>
  <c r="IH105" i="1"/>
  <c r="IH104" i="1"/>
  <c r="IH101" i="1"/>
  <c r="IH100" i="1"/>
  <c r="IH95" i="1"/>
  <c r="IH94" i="1"/>
  <c r="IB126" i="1"/>
  <c r="IB124" i="1"/>
  <c r="IB112" i="1"/>
  <c r="IB111" i="1"/>
  <c r="IB108" i="1"/>
  <c r="IB107" i="1"/>
  <c r="IB103" i="1"/>
  <c r="IB102" i="1"/>
  <c r="IB96" i="1"/>
  <c r="IB95" i="1"/>
  <c r="FN126" i="1"/>
  <c r="FN124" i="1"/>
  <c r="FN121" i="1"/>
  <c r="FN109" i="1"/>
  <c r="FN108" i="1"/>
  <c r="FN101" i="1"/>
  <c r="FN100" i="1"/>
  <c r="FK143" i="1"/>
  <c r="FL143" i="1"/>
  <c r="EW127" i="1"/>
  <c r="EW125" i="1"/>
  <c r="EW123" i="1"/>
  <c r="EW121" i="1"/>
  <c r="EW119" i="1"/>
  <c r="EW112" i="1"/>
  <c r="EW111" i="1"/>
  <c r="EW109" i="1"/>
  <c r="EV109" i="1"/>
  <c r="EW108" i="1"/>
  <c r="EV108" i="1"/>
  <c r="EW107" i="1"/>
  <c r="EV107" i="1"/>
  <c r="EW104" i="1"/>
  <c r="EW101" i="1"/>
  <c r="ET143" i="1"/>
  <c r="AY17" i="5"/>
  <c r="LP119" i="4"/>
  <c r="CE18" i="5" s="1"/>
  <c r="LO119" i="4"/>
  <c r="LO118" i="4"/>
  <c r="LO117" i="4"/>
  <c r="LO116" i="4"/>
  <c r="LO115" i="4"/>
  <c r="LO114" i="4"/>
  <c r="LO113" i="4"/>
  <c r="LO112" i="4"/>
  <c r="LO111" i="4"/>
  <c r="LO110" i="4"/>
  <c r="LO109" i="4"/>
  <c r="LO108" i="4"/>
  <c r="LP107" i="4"/>
  <c r="CE25" i="5" s="1"/>
  <c r="LO107" i="4"/>
  <c r="LO106" i="4"/>
  <c r="LO105" i="4"/>
  <c r="LO104" i="4"/>
  <c r="LO103" i="4"/>
  <c r="LO102" i="4"/>
  <c r="LO101" i="4"/>
  <c r="LO100" i="4"/>
  <c r="LO99" i="4"/>
  <c r="LO98" i="4"/>
  <c r="LP97" i="4"/>
  <c r="CE22" i="5" s="1"/>
  <c r="CE106" i="5" s="1"/>
  <c r="LO97" i="4"/>
  <c r="LO96" i="4"/>
  <c r="LO95" i="4"/>
  <c r="LO94" i="4"/>
  <c r="LO93" i="4"/>
  <c r="LO92" i="4"/>
  <c r="LO91" i="4"/>
  <c r="LO90" i="4"/>
  <c r="LO89" i="4"/>
  <c r="LP88" i="4"/>
  <c r="CE17" i="5" s="1"/>
  <c r="LO88" i="4"/>
  <c r="LP87" i="4"/>
  <c r="CE16" i="5" s="1"/>
  <c r="LO87" i="4"/>
  <c r="LO86" i="4"/>
  <c r="LO85" i="4"/>
  <c r="LO84" i="4"/>
  <c r="LO83" i="4"/>
  <c r="LO82" i="4"/>
  <c r="LO81" i="4"/>
  <c r="LO80" i="4"/>
  <c r="LO79" i="4"/>
  <c r="LO78" i="4"/>
  <c r="LO77" i="4"/>
  <c r="LO76" i="4"/>
  <c r="LO75" i="4"/>
  <c r="LO74" i="4"/>
  <c r="LO73" i="4"/>
  <c r="LO72" i="4"/>
  <c r="LO71" i="4"/>
  <c r="LO70" i="4"/>
  <c r="LO69" i="4"/>
  <c r="LO68" i="4"/>
  <c r="LP58" i="4"/>
  <c r="CD18" i="5" s="1"/>
  <c r="LO58" i="4"/>
  <c r="LO57" i="4"/>
  <c r="LO56" i="4"/>
  <c r="LO55" i="4"/>
  <c r="LO54" i="4"/>
  <c r="LO53" i="4"/>
  <c r="LO52" i="4"/>
  <c r="LO51" i="4"/>
  <c r="LO50" i="4"/>
  <c r="LO49" i="4"/>
  <c r="LO48" i="4"/>
  <c r="LO47" i="4"/>
  <c r="LP46" i="4"/>
  <c r="CD25" i="5" s="1"/>
  <c r="CD109" i="5" s="1"/>
  <c r="LO46" i="4"/>
  <c r="LO45" i="4"/>
  <c r="LO44" i="4"/>
  <c r="LO43" i="4"/>
  <c r="LO42" i="4"/>
  <c r="LO41" i="4"/>
  <c r="LO40" i="4"/>
  <c r="LO39" i="4"/>
  <c r="LO38" i="4"/>
  <c r="LO37" i="4"/>
  <c r="LP36" i="4"/>
  <c r="CD22" i="5" s="1"/>
  <c r="CD106" i="5" s="1"/>
  <c r="LO36" i="4"/>
  <c r="LO35" i="4"/>
  <c r="LO34" i="4"/>
  <c r="LO33" i="4"/>
  <c r="LO32" i="4"/>
  <c r="LO31" i="4"/>
  <c r="LO30" i="4"/>
  <c r="LO29" i="4"/>
  <c r="LO28" i="4"/>
  <c r="LP27" i="4"/>
  <c r="CD17" i="5" s="1"/>
  <c r="CD101" i="5" s="1"/>
  <c r="LO27" i="4"/>
  <c r="LP26" i="4"/>
  <c r="CD16" i="5" s="1"/>
  <c r="CD100" i="5" s="1"/>
  <c r="LO26" i="4"/>
  <c r="LO25" i="4"/>
  <c r="LO24" i="4"/>
  <c r="LO23" i="4"/>
  <c r="LO22" i="4"/>
  <c r="LO21" i="4"/>
  <c r="LO20" i="4"/>
  <c r="LO19" i="4"/>
  <c r="LO18" i="4"/>
  <c r="LO17" i="4"/>
  <c r="LO16" i="4"/>
  <c r="LO15" i="4"/>
  <c r="LO14" i="4"/>
  <c r="LO13" i="4"/>
  <c r="LO12" i="4"/>
  <c r="LO11" i="4"/>
  <c r="LO10" i="4"/>
  <c r="LO9" i="4"/>
  <c r="LO8" i="4"/>
  <c r="LO7" i="4"/>
  <c r="CD102" i="5" l="1"/>
  <c r="CE101" i="5"/>
  <c r="CE109" i="5"/>
  <c r="AY101" i="5"/>
  <c r="CE100" i="5"/>
  <c r="CE102" i="5"/>
  <c r="V94" i="6"/>
  <c r="LP10" i="4"/>
  <c r="CD8" i="5" s="1"/>
  <c r="CD92" i="5" s="1"/>
  <c r="LP13" i="4"/>
  <c r="CD9" i="5" s="1"/>
  <c r="CD93" i="5" s="1"/>
  <c r="FN143" i="1"/>
  <c r="IE163" i="1"/>
  <c r="FO94" i="1"/>
  <c r="FN122" i="1"/>
  <c r="IB93" i="1"/>
  <c r="IB97" i="1"/>
  <c r="IB104" i="1"/>
  <c r="IB109" i="1"/>
  <c r="IB121" i="1"/>
  <c r="IH96" i="1"/>
  <c r="IH102" i="1"/>
  <c r="IH106" i="1"/>
  <c r="IH112" i="1"/>
  <c r="IH122" i="1"/>
  <c r="FN123" i="1"/>
  <c r="IB94" i="1"/>
  <c r="IB100" i="1"/>
  <c r="IB105" i="1"/>
  <c r="IB110" i="1"/>
  <c r="IB122" i="1"/>
  <c r="IH97" i="1"/>
  <c r="IH103" i="1"/>
  <c r="IH107" i="1"/>
  <c r="IH113" i="1"/>
  <c r="IH123" i="1"/>
  <c r="AR16" i="6"/>
  <c r="LP69" i="4"/>
  <c r="CE7" i="5" s="1"/>
  <c r="AR22" i="6"/>
  <c r="LP71" i="4"/>
  <c r="CE8" i="5" s="1"/>
  <c r="AR15" i="6"/>
  <c r="AR19" i="6"/>
  <c r="AR27" i="6"/>
  <c r="LP52" i="4"/>
  <c r="CD27" i="5" s="1"/>
  <c r="CD111" i="5" s="1"/>
  <c r="FN94" i="1"/>
  <c r="CE73" i="5"/>
  <c r="LP118" i="4"/>
  <c r="CE13" i="5" s="1"/>
  <c r="CE80" i="5"/>
  <c r="CE77" i="5"/>
  <c r="LP96" i="4"/>
  <c r="CE21" i="5" s="1"/>
  <c r="LP92" i="4"/>
  <c r="CE20" i="5" s="1"/>
  <c r="CE72" i="5"/>
  <c r="CE71" i="5"/>
  <c r="LP86" i="4"/>
  <c r="CE15" i="5" s="1"/>
  <c r="CE14" i="5" s="1"/>
  <c r="CE98" i="5" s="1"/>
  <c r="LP82" i="4"/>
  <c r="CE12" i="5" s="1"/>
  <c r="LP78" i="4"/>
  <c r="CE11" i="5" s="1"/>
  <c r="LP76" i="4"/>
  <c r="CE10" i="5" s="1"/>
  <c r="LP74" i="4"/>
  <c r="CE9" i="5" s="1"/>
  <c r="EV97" i="1"/>
  <c r="EV105" i="1"/>
  <c r="EV100" i="1"/>
  <c r="EV113" i="1"/>
  <c r="EV118" i="1"/>
  <c r="EV120" i="1"/>
  <c r="EV122" i="1"/>
  <c r="EV124" i="1"/>
  <c r="EV126" i="1"/>
  <c r="EV101" i="1"/>
  <c r="EV104" i="1"/>
  <c r="EV111" i="1"/>
  <c r="EV112" i="1"/>
  <c r="EV119" i="1"/>
  <c r="EV121" i="1"/>
  <c r="EV123" i="1"/>
  <c r="EV125" i="1"/>
  <c r="EV127" i="1"/>
  <c r="EW97" i="1"/>
  <c r="EW100" i="1"/>
  <c r="EW105" i="1"/>
  <c r="EW113" i="1"/>
  <c r="EW118" i="1"/>
  <c r="EW120" i="1"/>
  <c r="EW122" i="1"/>
  <c r="EW124" i="1"/>
  <c r="EW126" i="1"/>
  <c r="LP57" i="4"/>
  <c r="CD13" i="5" s="1"/>
  <c r="LP15" i="4"/>
  <c r="CD10" i="5" s="1"/>
  <c r="CD94" i="5" s="1"/>
  <c r="LP111" i="4"/>
  <c r="CE26" i="5" s="1"/>
  <c r="LP116" i="4"/>
  <c r="CE28" i="5" s="1"/>
  <c r="LP101" i="4"/>
  <c r="CE23" i="5" s="1"/>
  <c r="LP106" i="4"/>
  <c r="CE24" i="5" s="1"/>
  <c r="LP113" i="4"/>
  <c r="CE27" i="5" s="1"/>
  <c r="LP8" i="4"/>
  <c r="CD7" i="5" s="1"/>
  <c r="LP21" i="4"/>
  <c r="CD12" i="5" s="1"/>
  <c r="CD96" i="5" s="1"/>
  <c r="LP25" i="4"/>
  <c r="CD15" i="5" s="1"/>
  <c r="LP31" i="4"/>
  <c r="CD20" i="5" s="1"/>
  <c r="LP35" i="4"/>
  <c r="CD21" i="5" s="1"/>
  <c r="CD105" i="5" s="1"/>
  <c r="LP50" i="4"/>
  <c r="CD26" i="5" s="1"/>
  <c r="CD110" i="5" s="1"/>
  <c r="LP55" i="4"/>
  <c r="CD28" i="5" s="1"/>
  <c r="CD112" i="5" s="1"/>
  <c r="LP17" i="4"/>
  <c r="CD11" i="5" s="1"/>
  <c r="CD95" i="5" s="1"/>
  <c r="LP40" i="4"/>
  <c r="CD23" i="5" s="1"/>
  <c r="CD107" i="5" s="1"/>
  <c r="LP45" i="4"/>
  <c r="CD24" i="5" s="1"/>
  <c r="CD108" i="5" s="1"/>
  <c r="LH119" i="4"/>
  <c r="CC18" i="5" s="1"/>
  <c r="LG119" i="4"/>
  <c r="LG118" i="4"/>
  <c r="LG117" i="4"/>
  <c r="LG116" i="4"/>
  <c r="LG115" i="4"/>
  <c r="LG114" i="4"/>
  <c r="LG113" i="4"/>
  <c r="LG112" i="4"/>
  <c r="LG111" i="4"/>
  <c r="LG110" i="4"/>
  <c r="LG109" i="4"/>
  <c r="LG108" i="4"/>
  <c r="LH107" i="4"/>
  <c r="CC25" i="5" s="1"/>
  <c r="CC109" i="5" s="1"/>
  <c r="LG107" i="4"/>
  <c r="LG106" i="4"/>
  <c r="LG105" i="4"/>
  <c r="LG104" i="4"/>
  <c r="LG103" i="4"/>
  <c r="LG102" i="4"/>
  <c r="LG101" i="4"/>
  <c r="LG100" i="4"/>
  <c r="LG99" i="4"/>
  <c r="LG98" i="4"/>
  <c r="LH97" i="4"/>
  <c r="CC22" i="5" s="1"/>
  <c r="CC106" i="5" s="1"/>
  <c r="LG97" i="4"/>
  <c r="LG96" i="4"/>
  <c r="LG95" i="4"/>
  <c r="LG94" i="4"/>
  <c r="LG93" i="4"/>
  <c r="LG92" i="4"/>
  <c r="LG91" i="4"/>
  <c r="LG90" i="4"/>
  <c r="LG89" i="4"/>
  <c r="LH88" i="4"/>
  <c r="CC17" i="5" s="1"/>
  <c r="CC101" i="5" s="1"/>
  <c r="LG88" i="4"/>
  <c r="LH87" i="4"/>
  <c r="CC16" i="5" s="1"/>
  <c r="CC100" i="5" s="1"/>
  <c r="LG87" i="4"/>
  <c r="LG86" i="4"/>
  <c r="LG85" i="4"/>
  <c r="LG84" i="4"/>
  <c r="LG83" i="4"/>
  <c r="LG82" i="4"/>
  <c r="LG81" i="4"/>
  <c r="LG80" i="4"/>
  <c r="LG79" i="4"/>
  <c r="LG78" i="4"/>
  <c r="LG77" i="4"/>
  <c r="LG76" i="4"/>
  <c r="LG75" i="4"/>
  <c r="LG74" i="4"/>
  <c r="LG73" i="4"/>
  <c r="LG72" i="4"/>
  <c r="LG71" i="4"/>
  <c r="LG70" i="4"/>
  <c r="LG69" i="4"/>
  <c r="LG68" i="4"/>
  <c r="LH58" i="4"/>
  <c r="CB18" i="5" s="1"/>
  <c r="LG58" i="4"/>
  <c r="LG57" i="4"/>
  <c r="LG56" i="4"/>
  <c r="LG55" i="4"/>
  <c r="LG54" i="4"/>
  <c r="LG53" i="4"/>
  <c r="LG52" i="4"/>
  <c r="LG51" i="4"/>
  <c r="LG50" i="4"/>
  <c r="LG49" i="4"/>
  <c r="LG48" i="4"/>
  <c r="LG47" i="4"/>
  <c r="LH46" i="4"/>
  <c r="CB25" i="5" s="1"/>
  <c r="LG46" i="4"/>
  <c r="LG45" i="4"/>
  <c r="LG44" i="4"/>
  <c r="LG43" i="4"/>
  <c r="LG42" i="4"/>
  <c r="LG41" i="4"/>
  <c r="LG40" i="4"/>
  <c r="LG39" i="4"/>
  <c r="LG38" i="4"/>
  <c r="LG37" i="4"/>
  <c r="LH36" i="4"/>
  <c r="CB22" i="5" s="1"/>
  <c r="LG36" i="4"/>
  <c r="LG35" i="4"/>
  <c r="LG34" i="4"/>
  <c r="LG33" i="4"/>
  <c r="LG32" i="4"/>
  <c r="LG31" i="4"/>
  <c r="LG30" i="4"/>
  <c r="LG29" i="4"/>
  <c r="LG28" i="4"/>
  <c r="LH27" i="4"/>
  <c r="CB17" i="5" s="1"/>
  <c r="LG27" i="4"/>
  <c r="LH26" i="4"/>
  <c r="CB16" i="5" s="1"/>
  <c r="LG26" i="4"/>
  <c r="LG25" i="4"/>
  <c r="LG24" i="4"/>
  <c r="LG23" i="4"/>
  <c r="LG22" i="4"/>
  <c r="LG21" i="4"/>
  <c r="LG20" i="4"/>
  <c r="LG19" i="4"/>
  <c r="LG18" i="4"/>
  <c r="LG17" i="4"/>
  <c r="LG16" i="4"/>
  <c r="LG15" i="4"/>
  <c r="LG14" i="4"/>
  <c r="LG13" i="4"/>
  <c r="LG12" i="4"/>
  <c r="LG11" i="4"/>
  <c r="LG10" i="4"/>
  <c r="LG9" i="4"/>
  <c r="LG8" i="4"/>
  <c r="LG7" i="4"/>
  <c r="KZ119" i="4"/>
  <c r="CA18" i="5" s="1"/>
  <c r="KY119" i="4"/>
  <c r="KY118" i="4"/>
  <c r="KY117" i="4"/>
  <c r="KY116" i="4"/>
  <c r="KY115" i="4"/>
  <c r="KY114" i="4"/>
  <c r="KY113" i="4"/>
  <c r="KY112" i="4"/>
  <c r="KY111" i="4"/>
  <c r="KY110" i="4"/>
  <c r="KY109" i="4"/>
  <c r="KY108" i="4"/>
  <c r="KZ107" i="4"/>
  <c r="CA25" i="5" s="1"/>
  <c r="CA109" i="5" s="1"/>
  <c r="KY107" i="4"/>
  <c r="KY106" i="4"/>
  <c r="KY105" i="4"/>
  <c r="KY104" i="4"/>
  <c r="KY103" i="4"/>
  <c r="KY102" i="4"/>
  <c r="KY101" i="4"/>
  <c r="KY100" i="4"/>
  <c r="KY99" i="4"/>
  <c r="KY98" i="4"/>
  <c r="KZ97" i="4"/>
  <c r="CA22" i="5" s="1"/>
  <c r="CA106" i="5" s="1"/>
  <c r="KY97" i="4"/>
  <c r="KY96" i="4"/>
  <c r="KY95" i="4"/>
  <c r="KY94" i="4"/>
  <c r="KY93" i="4"/>
  <c r="KY92" i="4"/>
  <c r="KY91" i="4"/>
  <c r="KY90" i="4"/>
  <c r="KY89" i="4"/>
  <c r="KZ88" i="4"/>
  <c r="CA17" i="5" s="1"/>
  <c r="CA101" i="5" s="1"/>
  <c r="KY88" i="4"/>
  <c r="KZ87" i="4"/>
  <c r="CA16" i="5" s="1"/>
  <c r="CA100" i="5" s="1"/>
  <c r="KY87" i="4"/>
  <c r="KY86" i="4"/>
  <c r="KY85" i="4"/>
  <c r="KY84" i="4"/>
  <c r="KY83" i="4"/>
  <c r="KY82" i="4"/>
  <c r="KY81" i="4"/>
  <c r="KY80" i="4"/>
  <c r="KY79" i="4"/>
  <c r="KY78" i="4"/>
  <c r="KY77" i="4"/>
  <c r="KY76" i="4"/>
  <c r="KY75" i="4"/>
  <c r="KY74" i="4"/>
  <c r="KY73" i="4"/>
  <c r="KY72" i="4"/>
  <c r="KY71" i="4"/>
  <c r="KY70" i="4"/>
  <c r="KY69" i="4"/>
  <c r="KY68" i="4"/>
  <c r="KZ58" i="4"/>
  <c r="BZ18" i="5" s="1"/>
  <c r="KY58" i="4"/>
  <c r="KY57" i="4"/>
  <c r="KY56" i="4"/>
  <c r="KY55" i="4"/>
  <c r="KY54" i="4"/>
  <c r="KY53" i="4"/>
  <c r="KY52" i="4"/>
  <c r="KY51" i="4"/>
  <c r="KY50" i="4"/>
  <c r="KY49" i="4"/>
  <c r="KY48" i="4"/>
  <c r="KY47" i="4"/>
  <c r="KZ46" i="4"/>
  <c r="BZ25" i="5" s="1"/>
  <c r="BZ109" i="5" s="1"/>
  <c r="KY46" i="4"/>
  <c r="KY45" i="4"/>
  <c r="KY44" i="4"/>
  <c r="KY43" i="4"/>
  <c r="KY42" i="4"/>
  <c r="KY41" i="4"/>
  <c r="KY40" i="4"/>
  <c r="KY39" i="4"/>
  <c r="KY38" i="4"/>
  <c r="KY37" i="4"/>
  <c r="KZ36" i="4"/>
  <c r="BZ22" i="5" s="1"/>
  <c r="BZ106" i="5" s="1"/>
  <c r="KY36" i="4"/>
  <c r="KY35" i="4"/>
  <c r="KY34" i="4"/>
  <c r="KY33" i="4"/>
  <c r="KY32" i="4"/>
  <c r="KY31" i="4"/>
  <c r="KY30" i="4"/>
  <c r="KY29" i="4"/>
  <c r="KY28" i="4"/>
  <c r="KZ27" i="4"/>
  <c r="BZ17" i="5" s="1"/>
  <c r="BZ101" i="5" s="1"/>
  <c r="KY27" i="4"/>
  <c r="KZ26" i="4"/>
  <c r="BZ16" i="5" s="1"/>
  <c r="BZ100" i="5" s="1"/>
  <c r="KY26" i="4"/>
  <c r="KY25" i="4"/>
  <c r="KY24" i="4"/>
  <c r="KY23" i="4"/>
  <c r="KY22" i="4"/>
  <c r="KY21" i="4"/>
  <c r="KY20" i="4"/>
  <c r="KY19" i="4"/>
  <c r="KY18" i="4"/>
  <c r="KY17" i="4"/>
  <c r="KY16" i="4"/>
  <c r="KY15" i="4"/>
  <c r="KY14" i="4"/>
  <c r="KY13" i="4"/>
  <c r="KY12" i="4"/>
  <c r="KY11" i="4"/>
  <c r="KY10" i="4"/>
  <c r="KY9" i="4"/>
  <c r="KY8" i="4"/>
  <c r="KY7" i="4"/>
  <c r="KR119" i="4"/>
  <c r="BY18" i="5" s="1"/>
  <c r="KQ119" i="4"/>
  <c r="KQ118" i="4"/>
  <c r="KQ117" i="4"/>
  <c r="KQ116" i="4"/>
  <c r="KQ115" i="4"/>
  <c r="KQ114" i="4"/>
  <c r="KQ113" i="4"/>
  <c r="KQ112" i="4"/>
  <c r="KQ111" i="4"/>
  <c r="KQ110" i="4"/>
  <c r="KQ109" i="4"/>
  <c r="KQ108" i="4"/>
  <c r="KR107" i="4"/>
  <c r="BY25" i="5" s="1"/>
  <c r="BY109" i="5" s="1"/>
  <c r="KQ107" i="4"/>
  <c r="KQ106" i="4"/>
  <c r="KQ105" i="4"/>
  <c r="KQ104" i="4"/>
  <c r="KQ103" i="4"/>
  <c r="KQ102" i="4"/>
  <c r="KQ101" i="4"/>
  <c r="KQ100" i="4"/>
  <c r="KQ99" i="4"/>
  <c r="KQ98" i="4"/>
  <c r="KR97" i="4"/>
  <c r="BY22" i="5" s="1"/>
  <c r="BY106" i="5" s="1"/>
  <c r="KQ97" i="4"/>
  <c r="KQ96" i="4"/>
  <c r="KQ95" i="4"/>
  <c r="KQ94" i="4"/>
  <c r="KQ93" i="4"/>
  <c r="KQ92" i="4"/>
  <c r="KQ91" i="4"/>
  <c r="KQ90" i="4"/>
  <c r="KQ89" i="4"/>
  <c r="KR88" i="4"/>
  <c r="BY17" i="5" s="1"/>
  <c r="BY101" i="5" s="1"/>
  <c r="KQ88" i="4"/>
  <c r="KR87" i="4"/>
  <c r="BY16" i="5" s="1"/>
  <c r="BY100" i="5" s="1"/>
  <c r="KQ87" i="4"/>
  <c r="KQ86" i="4"/>
  <c r="KQ85" i="4"/>
  <c r="KQ84" i="4"/>
  <c r="KQ83" i="4"/>
  <c r="KQ82" i="4"/>
  <c r="KQ81" i="4"/>
  <c r="KQ80" i="4"/>
  <c r="KQ79" i="4"/>
  <c r="KQ78" i="4"/>
  <c r="KQ77" i="4"/>
  <c r="KQ76" i="4"/>
  <c r="KQ75" i="4"/>
  <c r="KQ74" i="4"/>
  <c r="KQ73" i="4"/>
  <c r="KQ72" i="4"/>
  <c r="KQ71" i="4"/>
  <c r="KQ70" i="4"/>
  <c r="KQ69" i="4"/>
  <c r="KQ68" i="4"/>
  <c r="KR58" i="4"/>
  <c r="BX18" i="5" s="1"/>
  <c r="KQ58" i="4"/>
  <c r="KQ57" i="4"/>
  <c r="KQ56" i="4"/>
  <c r="KQ55" i="4"/>
  <c r="KQ54" i="4"/>
  <c r="KQ53" i="4"/>
  <c r="KQ52" i="4"/>
  <c r="KQ51" i="4"/>
  <c r="KQ50" i="4"/>
  <c r="KQ49" i="4"/>
  <c r="KQ48" i="4"/>
  <c r="KQ47" i="4"/>
  <c r="KR46" i="4"/>
  <c r="BX25" i="5" s="1"/>
  <c r="BX109" i="5" s="1"/>
  <c r="KQ46" i="4"/>
  <c r="KQ45" i="4"/>
  <c r="KQ44" i="4"/>
  <c r="KQ43" i="4"/>
  <c r="KQ42" i="4"/>
  <c r="KQ41" i="4"/>
  <c r="KQ40" i="4"/>
  <c r="KQ39" i="4"/>
  <c r="KQ38" i="4"/>
  <c r="KQ37" i="4"/>
  <c r="KR36" i="4"/>
  <c r="BX22" i="5" s="1"/>
  <c r="BX106" i="5" s="1"/>
  <c r="KQ36" i="4"/>
  <c r="KQ35" i="4"/>
  <c r="KQ34" i="4"/>
  <c r="KQ33" i="4"/>
  <c r="KQ32" i="4"/>
  <c r="KQ31" i="4"/>
  <c r="KQ30" i="4"/>
  <c r="KQ29" i="4"/>
  <c r="KQ28" i="4"/>
  <c r="KR27" i="4"/>
  <c r="BX17" i="5" s="1"/>
  <c r="BX101" i="5" s="1"/>
  <c r="KQ27" i="4"/>
  <c r="KR26" i="4"/>
  <c r="BX16" i="5" s="1"/>
  <c r="BX100" i="5" s="1"/>
  <c r="KQ26" i="4"/>
  <c r="KQ25" i="4"/>
  <c r="KQ24" i="4"/>
  <c r="KQ23" i="4"/>
  <c r="KQ22" i="4"/>
  <c r="KQ21" i="4"/>
  <c r="KQ20" i="4"/>
  <c r="KQ19" i="4"/>
  <c r="KQ18" i="4"/>
  <c r="KQ17" i="4"/>
  <c r="KQ16" i="4"/>
  <c r="KQ15" i="4"/>
  <c r="KQ14" i="4"/>
  <c r="KQ13" i="4"/>
  <c r="KQ12" i="4"/>
  <c r="KQ11" i="4"/>
  <c r="KQ10" i="4"/>
  <c r="KQ9" i="4"/>
  <c r="KQ8" i="4"/>
  <c r="KQ7" i="4"/>
  <c r="KJ119" i="4"/>
  <c r="BW18" i="5" s="1"/>
  <c r="KI119" i="4"/>
  <c r="KI118" i="4"/>
  <c r="KI117" i="4"/>
  <c r="KI116" i="4"/>
  <c r="KI115" i="4"/>
  <c r="KI114" i="4"/>
  <c r="KI113" i="4"/>
  <c r="KI112" i="4"/>
  <c r="KI111" i="4"/>
  <c r="KI110" i="4"/>
  <c r="KI109" i="4"/>
  <c r="KI108" i="4"/>
  <c r="KJ107" i="4"/>
  <c r="BW25" i="5" s="1"/>
  <c r="BW109" i="5" s="1"/>
  <c r="KI107" i="4"/>
  <c r="KI106" i="4"/>
  <c r="KI105" i="4"/>
  <c r="KI104" i="4"/>
  <c r="KI103" i="4"/>
  <c r="KI102" i="4"/>
  <c r="KI101" i="4"/>
  <c r="KI100" i="4"/>
  <c r="KI99" i="4"/>
  <c r="KI98" i="4"/>
  <c r="KJ97" i="4"/>
  <c r="KI97" i="4"/>
  <c r="BW22" i="5" s="1"/>
  <c r="BW106" i="5" s="1"/>
  <c r="KI96" i="4"/>
  <c r="KI95" i="4"/>
  <c r="KI94" i="4"/>
  <c r="KI93" i="4"/>
  <c r="KI92" i="4"/>
  <c r="KI91" i="4"/>
  <c r="KI90" i="4"/>
  <c r="KI89" i="4"/>
  <c r="KJ88" i="4"/>
  <c r="BW17" i="5" s="1"/>
  <c r="BW101" i="5" s="1"/>
  <c r="KI88" i="4"/>
  <c r="KJ87" i="4"/>
  <c r="BW16" i="5" s="1"/>
  <c r="BW100" i="5" s="1"/>
  <c r="KI87" i="4"/>
  <c r="KI86" i="4"/>
  <c r="KI85" i="4"/>
  <c r="KI84" i="4"/>
  <c r="KI83" i="4"/>
  <c r="KI82" i="4"/>
  <c r="KI81" i="4"/>
  <c r="KI80" i="4"/>
  <c r="KI79" i="4"/>
  <c r="KI78" i="4"/>
  <c r="KI77" i="4"/>
  <c r="KI76" i="4"/>
  <c r="KI75" i="4"/>
  <c r="KI74" i="4"/>
  <c r="KI73" i="4"/>
  <c r="KI72" i="4"/>
  <c r="KI71" i="4"/>
  <c r="KI70" i="4"/>
  <c r="KI69" i="4"/>
  <c r="KI68" i="4"/>
  <c r="KJ58" i="4"/>
  <c r="BV18" i="5" s="1"/>
  <c r="KI58" i="4"/>
  <c r="KI57" i="4"/>
  <c r="KI56" i="4"/>
  <c r="KI55" i="4"/>
  <c r="KI54" i="4"/>
  <c r="KI53" i="4"/>
  <c r="KI52" i="4"/>
  <c r="KI51" i="4"/>
  <c r="KI50" i="4"/>
  <c r="KI49" i="4"/>
  <c r="KI48" i="4"/>
  <c r="KI47" i="4"/>
  <c r="KJ46" i="4"/>
  <c r="BV25" i="5" s="1"/>
  <c r="KI46" i="4"/>
  <c r="KI45" i="4"/>
  <c r="KI44" i="4"/>
  <c r="KI43" i="4"/>
  <c r="KI42" i="4"/>
  <c r="KI41" i="4"/>
  <c r="KI40" i="4"/>
  <c r="KI39" i="4"/>
  <c r="KI38" i="4"/>
  <c r="KI37" i="4"/>
  <c r="KJ36" i="4"/>
  <c r="BV22" i="5" s="1"/>
  <c r="KI36" i="4"/>
  <c r="KI35" i="4"/>
  <c r="KI34" i="4"/>
  <c r="KI33" i="4"/>
  <c r="KI32" i="4"/>
  <c r="KI31" i="4"/>
  <c r="KI30" i="4"/>
  <c r="KI29" i="4"/>
  <c r="KJ27" i="4"/>
  <c r="BV17" i="5" s="1"/>
  <c r="KI27" i="4"/>
  <c r="KJ26" i="4"/>
  <c r="BV16" i="5" s="1"/>
  <c r="KI26" i="4"/>
  <c r="KI25" i="4"/>
  <c r="KI24" i="4"/>
  <c r="KI23" i="4"/>
  <c r="KI22" i="4"/>
  <c r="KI21" i="4"/>
  <c r="KI20" i="4"/>
  <c r="KI19" i="4"/>
  <c r="KI18" i="4"/>
  <c r="KI17" i="4"/>
  <c r="KI16" i="4"/>
  <c r="KI15" i="4"/>
  <c r="KI14" i="4"/>
  <c r="KI13" i="4"/>
  <c r="KI12" i="4"/>
  <c r="KI11" i="4"/>
  <c r="KI10" i="4"/>
  <c r="KI9" i="4"/>
  <c r="KI8" i="4"/>
  <c r="KI7" i="4"/>
  <c r="KB119" i="4"/>
  <c r="BU18" i="5" s="1"/>
  <c r="KA119" i="4"/>
  <c r="KA118" i="4"/>
  <c r="KA117" i="4"/>
  <c r="KA116" i="4"/>
  <c r="KA115" i="4"/>
  <c r="KA114" i="4"/>
  <c r="KA113" i="4"/>
  <c r="KA112" i="4"/>
  <c r="KA111" i="4"/>
  <c r="KA110" i="4"/>
  <c r="KA109" i="4"/>
  <c r="KA108" i="4"/>
  <c r="KB107" i="4"/>
  <c r="BU25" i="5" s="1"/>
  <c r="BU109" i="5" s="1"/>
  <c r="KA107" i="4"/>
  <c r="KA106" i="4"/>
  <c r="KA105" i="4"/>
  <c r="KA104" i="4"/>
  <c r="KA103" i="4"/>
  <c r="KA102" i="4"/>
  <c r="KA101" i="4"/>
  <c r="KA100" i="4"/>
  <c r="KA99" i="4"/>
  <c r="KA98" i="4"/>
  <c r="KB97" i="4"/>
  <c r="BU22" i="5" s="1"/>
  <c r="BU106" i="5" s="1"/>
  <c r="KA97" i="4"/>
  <c r="KA96" i="4"/>
  <c r="KA95" i="4"/>
  <c r="KA94" i="4"/>
  <c r="KA93" i="4"/>
  <c r="KA92" i="4"/>
  <c r="KA91" i="4"/>
  <c r="KA90" i="4"/>
  <c r="KA89" i="4"/>
  <c r="KB88" i="4"/>
  <c r="BU17" i="5" s="1"/>
  <c r="BU101" i="5" s="1"/>
  <c r="KA88" i="4"/>
  <c r="KB87" i="4"/>
  <c r="BU16" i="5" s="1"/>
  <c r="BU100" i="5" s="1"/>
  <c r="KA87" i="4"/>
  <c r="KA86" i="4"/>
  <c r="KA85" i="4"/>
  <c r="KA84" i="4"/>
  <c r="KA83" i="4"/>
  <c r="KA82" i="4"/>
  <c r="KA81" i="4"/>
  <c r="KA80" i="4"/>
  <c r="KA79" i="4"/>
  <c r="KA78" i="4"/>
  <c r="KA77" i="4"/>
  <c r="KA76" i="4"/>
  <c r="KA75" i="4"/>
  <c r="KA74" i="4"/>
  <c r="KA73" i="4"/>
  <c r="KA72" i="4"/>
  <c r="KA71" i="4"/>
  <c r="KA70" i="4"/>
  <c r="KA69" i="4"/>
  <c r="KA68" i="4"/>
  <c r="KB58" i="4"/>
  <c r="BT18" i="5" s="1"/>
  <c r="KA58" i="4"/>
  <c r="KA57" i="4"/>
  <c r="KA56" i="4"/>
  <c r="KA55" i="4"/>
  <c r="KA54" i="4"/>
  <c r="KA53" i="4"/>
  <c r="KA52" i="4"/>
  <c r="KA51" i="4"/>
  <c r="KA50" i="4"/>
  <c r="KA49" i="4"/>
  <c r="KA48" i="4"/>
  <c r="KA47" i="4"/>
  <c r="KB46" i="4"/>
  <c r="BT25" i="5" s="1"/>
  <c r="BT109" i="5" s="1"/>
  <c r="KA46" i="4"/>
  <c r="KA45" i="4"/>
  <c r="KA44" i="4"/>
  <c r="KA43" i="4"/>
  <c r="KA42" i="4"/>
  <c r="KA41" i="4"/>
  <c r="KA40" i="4"/>
  <c r="KA39" i="4"/>
  <c r="KA38" i="4"/>
  <c r="KA37" i="4"/>
  <c r="KB36" i="4"/>
  <c r="KA36" i="4"/>
  <c r="BT22" i="5" s="1"/>
  <c r="BT106" i="5" s="1"/>
  <c r="KA35" i="4"/>
  <c r="KA34" i="4"/>
  <c r="KA33" i="4"/>
  <c r="KA32" i="4"/>
  <c r="KA31" i="4"/>
  <c r="KA30" i="4"/>
  <c r="KA29" i="4"/>
  <c r="KA28" i="4"/>
  <c r="KB27" i="4"/>
  <c r="BT17" i="5" s="1"/>
  <c r="BT101" i="5" s="1"/>
  <c r="KA27" i="4"/>
  <c r="KB26" i="4"/>
  <c r="BT16" i="5" s="1"/>
  <c r="BT100" i="5" s="1"/>
  <c r="KA26" i="4"/>
  <c r="KA25" i="4"/>
  <c r="KA24" i="4"/>
  <c r="KA23" i="4"/>
  <c r="KA22" i="4"/>
  <c r="KA21" i="4"/>
  <c r="KA20" i="4"/>
  <c r="KA19" i="4"/>
  <c r="KA18" i="4"/>
  <c r="KA17" i="4"/>
  <c r="KA16" i="4"/>
  <c r="KA15" i="4"/>
  <c r="KA14" i="4"/>
  <c r="KA13" i="4"/>
  <c r="KA12" i="4"/>
  <c r="KA11" i="4"/>
  <c r="KA10" i="4"/>
  <c r="KA9" i="4"/>
  <c r="KA8" i="4"/>
  <c r="KA7" i="4"/>
  <c r="BS18" i="5"/>
  <c r="BS25" i="5"/>
  <c r="BS109" i="5" s="1"/>
  <c r="BS22" i="5"/>
  <c r="BS106" i="5" s="1"/>
  <c r="BS17" i="5"/>
  <c r="BS101" i="5" s="1"/>
  <c r="BS16" i="5"/>
  <c r="BS100" i="5" s="1"/>
  <c r="BR18" i="5"/>
  <c r="BR25" i="5"/>
  <c r="BR109" i="5" s="1"/>
  <c r="BR22" i="5"/>
  <c r="BR106" i="5" s="1"/>
  <c r="BR17" i="5"/>
  <c r="BR101" i="5" s="1"/>
  <c r="BR16" i="5"/>
  <c r="BR100" i="5" s="1"/>
  <c r="BQ18" i="5"/>
  <c r="BQ25" i="5"/>
  <c r="BQ109" i="5" s="1"/>
  <c r="BQ22" i="5"/>
  <c r="BQ106" i="5" s="1"/>
  <c r="BQ17" i="5"/>
  <c r="BQ101" i="5" s="1"/>
  <c r="BQ16" i="5"/>
  <c r="BQ100" i="5" s="1"/>
  <c r="BP18" i="5"/>
  <c r="BP25" i="5"/>
  <c r="BP22" i="5"/>
  <c r="BP17" i="5"/>
  <c r="BP16" i="5"/>
  <c r="BP11" i="5"/>
  <c r="BO18" i="5"/>
  <c r="BO25" i="5"/>
  <c r="BO109" i="5" s="1"/>
  <c r="BO22" i="5"/>
  <c r="BO106" i="5" s="1"/>
  <c r="BO17" i="5"/>
  <c r="BO101" i="5" s="1"/>
  <c r="BO16" i="5"/>
  <c r="BO100" i="5" s="1"/>
  <c r="BN18" i="5"/>
  <c r="BN25" i="5"/>
  <c r="BN109" i="5" s="1"/>
  <c r="BN22" i="5"/>
  <c r="BN106" i="5" s="1"/>
  <c r="BN17" i="5"/>
  <c r="BN101" i="5" s="1"/>
  <c r="BN16" i="5"/>
  <c r="BN100" i="5" s="1"/>
  <c r="BM18" i="5"/>
  <c r="BM25" i="5"/>
  <c r="BM109" i="5" s="1"/>
  <c r="BM22" i="5"/>
  <c r="BM106" i="5" s="1"/>
  <c r="BM17" i="5"/>
  <c r="BM101" i="5" s="1"/>
  <c r="BM16" i="5"/>
  <c r="BM100" i="5" s="1"/>
  <c r="BM8" i="5"/>
  <c r="BM92" i="5" s="1"/>
  <c r="BL18" i="5"/>
  <c r="BL25" i="5"/>
  <c r="BL109" i="5" s="1"/>
  <c r="BL22" i="5"/>
  <c r="BL106" i="5" s="1"/>
  <c r="BL17" i="5"/>
  <c r="BL101" i="5" s="1"/>
  <c r="BL16" i="5"/>
  <c r="BL100" i="5" s="1"/>
  <c r="BK18" i="5"/>
  <c r="BK25" i="5"/>
  <c r="BK109" i="5" s="1"/>
  <c r="BK22" i="5"/>
  <c r="BK106" i="5" s="1"/>
  <c r="BK17" i="5"/>
  <c r="BK101" i="5" s="1"/>
  <c r="BK16" i="5"/>
  <c r="BK100" i="5" s="1"/>
  <c r="BK8" i="5"/>
  <c r="BK92" i="5" s="1"/>
  <c r="BJ18" i="5"/>
  <c r="BJ25" i="5"/>
  <c r="BJ22" i="5"/>
  <c r="BJ17" i="5"/>
  <c r="BJ16" i="5"/>
  <c r="BI18" i="5"/>
  <c r="BI27" i="5"/>
  <c r="BI111" i="5" s="1"/>
  <c r="BI25" i="5"/>
  <c r="BI109" i="5" s="1"/>
  <c r="BI22" i="5"/>
  <c r="BI106" i="5" s="1"/>
  <c r="BI17" i="5"/>
  <c r="BI101" i="5" s="1"/>
  <c r="BI16" i="5"/>
  <c r="BI100" i="5" s="1"/>
  <c r="BH18" i="5"/>
  <c r="BH25" i="5"/>
  <c r="BH109" i="5" s="1"/>
  <c r="BH22" i="5"/>
  <c r="BH106" i="5" s="1"/>
  <c r="BH17" i="5"/>
  <c r="BH101" i="5" s="1"/>
  <c r="BH16" i="5"/>
  <c r="BH100" i="5" s="1"/>
  <c r="BG18" i="5"/>
  <c r="BG25" i="5"/>
  <c r="BG109" i="5" s="1"/>
  <c r="BG22" i="5"/>
  <c r="BG106" i="5" s="1"/>
  <c r="BG17" i="5"/>
  <c r="BG101" i="5" s="1"/>
  <c r="BG16" i="5"/>
  <c r="BG100" i="5" s="1"/>
  <c r="BF18" i="5"/>
  <c r="BF25" i="5"/>
  <c r="BF109" i="5" s="1"/>
  <c r="BF22" i="5"/>
  <c r="BF106" i="5" s="1"/>
  <c r="BF17" i="5"/>
  <c r="BF101" i="5" s="1"/>
  <c r="BF16" i="5"/>
  <c r="BF100" i="5" s="1"/>
  <c r="BE18" i="5"/>
  <c r="BE25" i="5"/>
  <c r="BE109" i="5" s="1"/>
  <c r="BE22" i="5"/>
  <c r="BE106" i="5" s="1"/>
  <c r="BE17" i="5"/>
  <c r="BE101" i="5" s="1"/>
  <c r="BE16" i="5"/>
  <c r="BE100" i="5" s="1"/>
  <c r="BD18" i="5"/>
  <c r="BD25" i="5"/>
  <c r="BD22" i="5"/>
  <c r="BD17" i="5"/>
  <c r="BD16" i="5"/>
  <c r="BC18" i="5"/>
  <c r="BC25" i="5"/>
  <c r="BC109" i="5" s="1"/>
  <c r="BC22" i="5"/>
  <c r="BC106" i="5" s="1"/>
  <c r="BC17" i="5"/>
  <c r="BC101" i="5" s="1"/>
  <c r="BC16" i="5"/>
  <c r="BC100" i="5" s="1"/>
  <c r="BB18" i="5"/>
  <c r="BB25" i="5"/>
  <c r="BB109" i="5" s="1"/>
  <c r="BB22" i="5"/>
  <c r="BB106" i="5" s="1"/>
  <c r="BB17" i="5"/>
  <c r="BB101" i="5" s="1"/>
  <c r="BB16" i="5"/>
  <c r="BB100" i="5" s="1"/>
  <c r="BB7" i="5"/>
  <c r="BA18" i="5"/>
  <c r="BA25" i="5"/>
  <c r="BA109" i="5" s="1"/>
  <c r="BA22" i="5"/>
  <c r="BA106" i="5" s="1"/>
  <c r="BA17" i="5"/>
  <c r="BA101" i="5" s="1"/>
  <c r="BA16" i="5"/>
  <c r="BA100" i="5" s="1"/>
  <c r="AZ18" i="5"/>
  <c r="AZ25" i="5"/>
  <c r="AZ109" i="5" s="1"/>
  <c r="AZ22" i="5"/>
  <c r="AZ106" i="5" s="1"/>
  <c r="AZ17" i="5"/>
  <c r="AZ101" i="5" s="1"/>
  <c r="AZ16" i="5"/>
  <c r="AZ100" i="5" s="1"/>
  <c r="AY18" i="5"/>
  <c r="AY25" i="5"/>
  <c r="AY22" i="5"/>
  <c r="AY16" i="5"/>
  <c r="AY9" i="5"/>
  <c r="CE6" i="5" l="1"/>
  <c r="CE90" i="5" s="1"/>
  <c r="CD104" i="5"/>
  <c r="CD19" i="5"/>
  <c r="CD103" i="5" s="1"/>
  <c r="CD99" i="5"/>
  <c r="CD14" i="5"/>
  <c r="CD98" i="5" s="1"/>
  <c r="BB91" i="5"/>
  <c r="CD91" i="5"/>
  <c r="CD6" i="5"/>
  <c r="CD90" i="5" s="1"/>
  <c r="CE19" i="5"/>
  <c r="CE103" i="5" s="1"/>
  <c r="BL102" i="5"/>
  <c r="BC102" i="5"/>
  <c r="BK102" i="5"/>
  <c r="BS102" i="5"/>
  <c r="BU102" i="5"/>
  <c r="CA102" i="5"/>
  <c r="BA102" i="5"/>
  <c r="BB102" i="5"/>
  <c r="BH102" i="5"/>
  <c r="BI102" i="5"/>
  <c r="BR102" i="5"/>
  <c r="AZ102" i="5"/>
  <c r="BG102" i="5"/>
  <c r="BQ102" i="5"/>
  <c r="BX102" i="5"/>
  <c r="BZ102" i="5"/>
  <c r="BY102" i="5"/>
  <c r="CC102" i="5"/>
  <c r="BF102" i="5"/>
  <c r="BO102" i="5"/>
  <c r="BT102" i="5"/>
  <c r="BM102" i="5"/>
  <c r="BW102" i="5"/>
  <c r="BE102" i="5"/>
  <c r="BN102" i="5"/>
  <c r="CD97" i="5"/>
  <c r="CD113" i="5" s="1"/>
  <c r="B18" i="9"/>
  <c r="B12" i="9"/>
  <c r="B29" i="9"/>
  <c r="KZ10" i="4"/>
  <c r="BZ8" i="5" s="1"/>
  <c r="BZ92" i="5" s="1"/>
  <c r="LH92" i="4"/>
  <c r="CC20" i="5" s="1"/>
  <c r="BD109" i="5"/>
  <c r="M27" i="36"/>
  <c r="M114" i="36" s="1"/>
  <c r="BJ100" i="5"/>
  <c r="N18" i="36"/>
  <c r="BJ102" i="5"/>
  <c r="N20" i="36"/>
  <c r="BP95" i="5"/>
  <c r="BP109" i="5"/>
  <c r="O27" i="36"/>
  <c r="O114" i="36" s="1"/>
  <c r="CB100" i="5"/>
  <c r="Q18" i="36"/>
  <c r="CB106" i="5"/>
  <c r="Q24" i="36"/>
  <c r="CB102" i="5"/>
  <c r="Q20" i="36"/>
  <c r="BD100" i="5"/>
  <c r="M18" i="36"/>
  <c r="M105" i="36" s="1"/>
  <c r="BD102" i="5"/>
  <c r="M20" i="36"/>
  <c r="M107" i="36" s="1"/>
  <c r="BJ101" i="5"/>
  <c r="N19" i="36"/>
  <c r="BP100" i="5"/>
  <c r="O18" i="36"/>
  <c r="O105" i="36" s="1"/>
  <c r="BP102" i="5"/>
  <c r="O20" i="36"/>
  <c r="O107" i="36" s="1"/>
  <c r="BV101" i="5"/>
  <c r="P19" i="36"/>
  <c r="BV109" i="5"/>
  <c r="P27" i="36"/>
  <c r="BD101" i="5"/>
  <c r="M19" i="36"/>
  <c r="M106" i="36" s="1"/>
  <c r="BJ106" i="5"/>
  <c r="N24" i="36"/>
  <c r="BP101" i="5"/>
  <c r="O19" i="36"/>
  <c r="O106" i="36" s="1"/>
  <c r="BV106" i="5"/>
  <c r="P24" i="36"/>
  <c r="BV102" i="5"/>
  <c r="P20" i="36"/>
  <c r="CB101" i="5"/>
  <c r="Q19" i="36"/>
  <c r="BD106" i="5"/>
  <c r="M24" i="36"/>
  <c r="M111" i="36" s="1"/>
  <c r="BJ109" i="5"/>
  <c r="N27" i="36"/>
  <c r="BP106" i="5"/>
  <c r="O24" i="36"/>
  <c r="O111" i="36" s="1"/>
  <c r="BV100" i="5"/>
  <c r="P18" i="36"/>
  <c r="CB109" i="5"/>
  <c r="Q27" i="36"/>
  <c r="L19" i="36"/>
  <c r="L106" i="36" s="1"/>
  <c r="L24" i="36"/>
  <c r="L111" i="36" s="1"/>
  <c r="L27" i="36"/>
  <c r="L114" i="36" s="1"/>
  <c r="L20" i="36"/>
  <c r="L107" i="36" s="1"/>
  <c r="L18" i="36"/>
  <c r="L105" i="36" s="1"/>
  <c r="AY100" i="5"/>
  <c r="CE111" i="5"/>
  <c r="CE110" i="5"/>
  <c r="CE65" i="5"/>
  <c r="CE94" i="5"/>
  <c r="CE92" i="5"/>
  <c r="AY106" i="5"/>
  <c r="CE108" i="5"/>
  <c r="CE95" i="5"/>
  <c r="AS65" i="6"/>
  <c r="AS120" i="6"/>
  <c r="AS127" i="6"/>
  <c r="AS72" i="6"/>
  <c r="CE107" i="5"/>
  <c r="CE67" i="5"/>
  <c r="CE96" i="5"/>
  <c r="CE104" i="5"/>
  <c r="CE68" i="5"/>
  <c r="CE97" i="5"/>
  <c r="CE62" i="5"/>
  <c r="CE91" i="5"/>
  <c r="AY109" i="5"/>
  <c r="AY93" i="5"/>
  <c r="AY102" i="5"/>
  <c r="CE112" i="5"/>
  <c r="CE93" i="5"/>
  <c r="CE99" i="5"/>
  <c r="CE76" i="5"/>
  <c r="CE105" i="5"/>
  <c r="AS132" i="6"/>
  <c r="AS77" i="6"/>
  <c r="AS121" i="6"/>
  <c r="AS66" i="6"/>
  <c r="X97" i="6"/>
  <c r="Z97" i="6"/>
  <c r="W97" i="6"/>
  <c r="W93" i="6"/>
  <c r="W105" i="6"/>
  <c r="Y100" i="6"/>
  <c r="Z94" i="6"/>
  <c r="AA100" i="6"/>
  <c r="Y105" i="6"/>
  <c r="AA105" i="6"/>
  <c r="W94" i="6"/>
  <c r="AA93" i="6"/>
  <c r="X100" i="6"/>
  <c r="Y94" i="6"/>
  <c r="AA94" i="6"/>
  <c r="Y93" i="6"/>
  <c r="Z100" i="6"/>
  <c r="W100" i="6"/>
  <c r="X93" i="6"/>
  <c r="X105" i="6"/>
  <c r="Y97" i="6"/>
  <c r="Z93" i="6"/>
  <c r="Z65" i="6"/>
  <c r="Z105" i="6"/>
  <c r="AA97" i="6"/>
  <c r="V97" i="6"/>
  <c r="V93" i="6"/>
  <c r="V100" i="6"/>
  <c r="V88" i="6"/>
  <c r="V105" i="6"/>
  <c r="AR8" i="6"/>
  <c r="AR9" i="6"/>
  <c r="CE63" i="5"/>
  <c r="LH15" i="4"/>
  <c r="CB10" i="5" s="1"/>
  <c r="LH71" i="4"/>
  <c r="CC8" i="5" s="1"/>
  <c r="CC92" i="5" s="1"/>
  <c r="AO19" i="6"/>
  <c r="AP16" i="6"/>
  <c r="AR10" i="6"/>
  <c r="AQ19" i="6"/>
  <c r="KB17" i="4"/>
  <c r="BT11" i="5" s="1"/>
  <c r="BT95" i="5" s="1"/>
  <c r="KJ76" i="4"/>
  <c r="BW10" i="5" s="1"/>
  <c r="BW94" i="5" s="1"/>
  <c r="KJ92" i="4"/>
  <c r="BW20" i="5" s="1"/>
  <c r="KZ78" i="4"/>
  <c r="CA11" i="5" s="1"/>
  <c r="CA95" i="5" s="1"/>
  <c r="AE16" i="6"/>
  <c r="AG16" i="6"/>
  <c r="AN27" i="6"/>
  <c r="AO22" i="6"/>
  <c r="AI16" i="6"/>
  <c r="AD19" i="6"/>
  <c r="AG22" i="6"/>
  <c r="AP27" i="6"/>
  <c r="BI7" i="5"/>
  <c r="C18" i="9"/>
  <c r="KJ86" i="4"/>
  <c r="BW15" i="5" s="1"/>
  <c r="BA10" i="5"/>
  <c r="BA94" i="5" s="1"/>
  <c r="AC16" i="6"/>
  <c r="AR21" i="6"/>
  <c r="AC22" i="6"/>
  <c r="BA21" i="5"/>
  <c r="BA105" i="5" s="1"/>
  <c r="AD15" i="6"/>
  <c r="AD27" i="6"/>
  <c r="BC15" i="5"/>
  <c r="AF15" i="6"/>
  <c r="AF19" i="6"/>
  <c r="AF27" i="6"/>
  <c r="AH15" i="6"/>
  <c r="AH19" i="6"/>
  <c r="AH27" i="6"/>
  <c r="AJ15" i="6"/>
  <c r="AJ19" i="6"/>
  <c r="AJ27" i="6"/>
  <c r="AK16" i="6"/>
  <c r="AY16" i="6" s="1"/>
  <c r="AL15" i="6"/>
  <c r="AL27" i="6"/>
  <c r="AM16" i="6"/>
  <c r="AN15" i="6"/>
  <c r="KJ31" i="4"/>
  <c r="BV20" i="5" s="1"/>
  <c r="AQ22" i="6"/>
  <c r="AR20" i="6"/>
  <c r="AR18" i="6"/>
  <c r="AR24" i="6"/>
  <c r="AD22" i="6"/>
  <c r="AF22" i="6"/>
  <c r="AJ22" i="6"/>
  <c r="AL22" i="6"/>
  <c r="AR13" i="6"/>
  <c r="AC15" i="6"/>
  <c r="AC19" i="6"/>
  <c r="AC27" i="6"/>
  <c r="BA8" i="5"/>
  <c r="BA92" i="5" s="1"/>
  <c r="BA12" i="5"/>
  <c r="BA96" i="5" s="1"/>
  <c r="BA20" i="5"/>
  <c r="AE22" i="6"/>
  <c r="AI22" i="6"/>
  <c r="AK22" i="6"/>
  <c r="AY22" i="6" s="1"/>
  <c r="AM19" i="6"/>
  <c r="AM22" i="6"/>
  <c r="KB74" i="4"/>
  <c r="BU9" i="5" s="1"/>
  <c r="BU93" i="5" s="1"/>
  <c r="KJ69" i="4"/>
  <c r="BW7" i="5" s="1"/>
  <c r="AO15" i="6"/>
  <c r="AO27" i="6"/>
  <c r="AQ15" i="6"/>
  <c r="AQ27" i="6"/>
  <c r="AR12" i="6"/>
  <c r="AR17" i="6"/>
  <c r="AH22" i="6"/>
  <c r="AL19" i="6"/>
  <c r="AN19" i="6"/>
  <c r="AP15" i="6"/>
  <c r="AP19" i="6"/>
  <c r="AR23" i="6"/>
  <c r="AR26" i="6"/>
  <c r="AD16" i="6"/>
  <c r="BB13" i="5"/>
  <c r="BC11" i="5"/>
  <c r="BC95" i="5" s="1"/>
  <c r="BC13" i="5"/>
  <c r="AE15" i="6"/>
  <c r="AE19" i="6"/>
  <c r="BD28" i="5"/>
  <c r="AE27" i="6"/>
  <c r="BE10" i="5"/>
  <c r="BE94" i="5" s="1"/>
  <c r="BE12" i="5"/>
  <c r="BE96" i="5" s="1"/>
  <c r="BE20" i="5"/>
  <c r="BE21" i="5"/>
  <c r="BE105" i="5" s="1"/>
  <c r="AF16" i="6"/>
  <c r="BG7" i="5"/>
  <c r="BG13" i="5"/>
  <c r="AG15" i="6"/>
  <c r="AG19" i="6"/>
  <c r="AG27" i="6"/>
  <c r="AH16" i="6"/>
  <c r="AI15" i="6"/>
  <c r="AI19" i="6"/>
  <c r="AI27" i="6"/>
  <c r="AJ16" i="6"/>
  <c r="AK15" i="6"/>
  <c r="AY15" i="6" s="1"/>
  <c r="AK19" i="6"/>
  <c r="AY19" i="6" s="1"/>
  <c r="AK27" i="6"/>
  <c r="AY27" i="6" s="1"/>
  <c r="AL16" i="6"/>
  <c r="AM15" i="6"/>
  <c r="AM27" i="6"/>
  <c r="AN22" i="6"/>
  <c r="KJ118" i="4"/>
  <c r="BW13" i="5" s="1"/>
  <c r="KR13" i="4"/>
  <c r="BX9" i="5" s="1"/>
  <c r="BX93" i="5" s="1"/>
  <c r="KR57" i="4"/>
  <c r="BX13" i="5" s="1"/>
  <c r="KR74" i="4"/>
  <c r="BY9" i="5" s="1"/>
  <c r="BY93" i="5" s="1"/>
  <c r="AP22" i="6"/>
  <c r="AR25" i="6"/>
  <c r="AR14" i="6"/>
  <c r="AR11" i="6"/>
  <c r="AY13" i="5"/>
  <c r="AB27" i="6"/>
  <c r="AB22" i="6"/>
  <c r="AB19" i="6"/>
  <c r="AB16" i="6"/>
  <c r="AB15" i="6"/>
  <c r="AO16" i="6"/>
  <c r="AN16" i="6"/>
  <c r="KJ96" i="4"/>
  <c r="BW21" i="5" s="1"/>
  <c r="BW105" i="5" s="1"/>
  <c r="AQ16" i="6"/>
  <c r="CE83" i="5"/>
  <c r="CE82" i="5"/>
  <c r="CE81" i="5"/>
  <c r="CE79" i="5"/>
  <c r="CE78" i="5"/>
  <c r="CE75" i="5"/>
  <c r="CE70" i="5"/>
  <c r="CE69" i="5" s="1"/>
  <c r="CE66" i="5"/>
  <c r="CE64" i="5"/>
  <c r="BE34" i="5"/>
  <c r="LH113" i="4"/>
  <c r="CC27" i="5" s="1"/>
  <c r="CC111" i="5" s="1"/>
  <c r="LH57" i="4"/>
  <c r="CB13" i="5" s="1"/>
  <c r="LH13" i="4"/>
  <c r="CB9" i="5" s="1"/>
  <c r="LH10" i="4"/>
  <c r="CB8" i="5" s="1"/>
  <c r="KZ118" i="4"/>
  <c r="CA13" i="5" s="1"/>
  <c r="KZ96" i="4"/>
  <c r="CA21" i="5" s="1"/>
  <c r="CA105" i="5" s="1"/>
  <c r="KZ92" i="4"/>
  <c r="CA20" i="5" s="1"/>
  <c r="KZ86" i="4"/>
  <c r="CA15" i="5" s="1"/>
  <c r="KZ82" i="4"/>
  <c r="CA12" i="5" s="1"/>
  <c r="CA96" i="5" s="1"/>
  <c r="KZ76" i="4"/>
  <c r="CA10" i="5" s="1"/>
  <c r="CA94" i="5" s="1"/>
  <c r="KZ74" i="4"/>
  <c r="CA9" i="5" s="1"/>
  <c r="CA93" i="5" s="1"/>
  <c r="KZ71" i="4"/>
  <c r="CA8" i="5" s="1"/>
  <c r="KZ57" i="4"/>
  <c r="BZ13" i="5" s="1"/>
  <c r="KZ15" i="4"/>
  <c r="BZ10" i="5" s="1"/>
  <c r="BZ94" i="5" s="1"/>
  <c r="KR118" i="4"/>
  <c r="BY13" i="5" s="1"/>
  <c r="KR78" i="4"/>
  <c r="BY11" i="5" s="1"/>
  <c r="BY95" i="5" s="1"/>
  <c r="KJ82" i="4"/>
  <c r="BW12" i="5" s="1"/>
  <c r="BW96" i="5" s="1"/>
  <c r="KJ78" i="4"/>
  <c r="BW11" i="5" s="1"/>
  <c r="BW95" i="5" s="1"/>
  <c r="KJ57" i="4"/>
  <c r="BV13" i="5" s="1"/>
  <c r="KJ17" i="4"/>
  <c r="BV11" i="5" s="1"/>
  <c r="AY11" i="5"/>
  <c r="BG9" i="5"/>
  <c r="BG93" i="5" s="1"/>
  <c r="BM7" i="5"/>
  <c r="BN10" i="5"/>
  <c r="BN94" i="5" s="1"/>
  <c r="BN26" i="5"/>
  <c r="BN110" i="5" s="1"/>
  <c r="BN27" i="5"/>
  <c r="BN111" i="5" s="1"/>
  <c r="BO10" i="5"/>
  <c r="BO94" i="5" s="1"/>
  <c r="KB57" i="4"/>
  <c r="BT13" i="5" s="1"/>
  <c r="KB78" i="4"/>
  <c r="BU11" i="5" s="1"/>
  <c r="BU95" i="5" s="1"/>
  <c r="KB101" i="4"/>
  <c r="BU23" i="5" s="1"/>
  <c r="BU107" i="5" s="1"/>
  <c r="KJ13" i="4"/>
  <c r="BV9" i="5" s="1"/>
  <c r="KJ71" i="4"/>
  <c r="BW8" i="5" s="1"/>
  <c r="BW92" i="5" s="1"/>
  <c r="KR50" i="4"/>
  <c r="BX26" i="5" s="1"/>
  <c r="BX110" i="5" s="1"/>
  <c r="KR55" i="4"/>
  <c r="BX28" i="5" s="1"/>
  <c r="BX112" i="5" s="1"/>
  <c r="KR71" i="4"/>
  <c r="BY8" i="5" s="1"/>
  <c r="BY92" i="5" s="1"/>
  <c r="KR76" i="4"/>
  <c r="BY10" i="5" s="1"/>
  <c r="BY94" i="5" s="1"/>
  <c r="KZ17" i="4"/>
  <c r="BZ11" i="5" s="1"/>
  <c r="BZ95" i="5" s="1"/>
  <c r="LH69" i="4"/>
  <c r="CC7" i="5" s="1"/>
  <c r="LH78" i="4"/>
  <c r="CC11" i="5" s="1"/>
  <c r="CC95" i="5" s="1"/>
  <c r="LH101" i="4"/>
  <c r="CC23" i="5" s="1"/>
  <c r="CC107" i="5" s="1"/>
  <c r="LH106" i="4"/>
  <c r="CC24" i="5" s="1"/>
  <c r="CC108" i="5" s="1"/>
  <c r="LH118" i="4"/>
  <c r="CC13" i="5" s="1"/>
  <c r="AZ13" i="5"/>
  <c r="BG8" i="5"/>
  <c r="BG92" i="5" s="1"/>
  <c r="BH27" i="5"/>
  <c r="BH111" i="5" s="1"/>
  <c r="BI8" i="5"/>
  <c r="BI92" i="5" s="1"/>
  <c r="BI20" i="5"/>
  <c r="BK7" i="5"/>
  <c r="BL9" i="5"/>
  <c r="BL93" i="5" s="1"/>
  <c r="BS13" i="5"/>
  <c r="KJ10" i="4"/>
  <c r="BV8" i="5" s="1"/>
  <c r="KJ74" i="4"/>
  <c r="BW9" i="5" s="1"/>
  <c r="BW93" i="5" s="1"/>
  <c r="KR10" i="4"/>
  <c r="BX8" i="5" s="1"/>
  <c r="BX92" i="5" s="1"/>
  <c r="KR69" i="4"/>
  <c r="BY7" i="5" s="1"/>
  <c r="KR101" i="4"/>
  <c r="BY23" i="5" s="1"/>
  <c r="BY107" i="5" s="1"/>
  <c r="KR113" i="4"/>
  <c r="BY27" i="5" s="1"/>
  <c r="BY111" i="5" s="1"/>
  <c r="KZ21" i="4"/>
  <c r="BZ12" i="5" s="1"/>
  <c r="BZ96" i="5" s="1"/>
  <c r="KZ25" i="4"/>
  <c r="BZ15" i="5" s="1"/>
  <c r="KZ31" i="4"/>
  <c r="BZ20" i="5" s="1"/>
  <c r="KZ35" i="4"/>
  <c r="BZ21" i="5" s="1"/>
  <c r="BZ105" i="5" s="1"/>
  <c r="KZ69" i="4"/>
  <c r="CA7" i="5" s="1"/>
  <c r="BF9" i="5"/>
  <c r="BF93" i="5" s="1"/>
  <c r="BG15" i="5"/>
  <c r="BG20" i="5"/>
  <c r="BG21" i="5"/>
  <c r="BG105" i="5" s="1"/>
  <c r="KJ25" i="4"/>
  <c r="BV15" i="5" s="1"/>
  <c r="BV14" i="5" s="1"/>
  <c r="BV98" i="5" s="1"/>
  <c r="KJ35" i="4"/>
  <c r="BV21" i="5" s="1"/>
  <c r="KZ8" i="4"/>
  <c r="BZ7" i="5" s="1"/>
  <c r="KZ13" i="4"/>
  <c r="BZ9" i="5" s="1"/>
  <c r="BZ93" i="5" s="1"/>
  <c r="LH74" i="4"/>
  <c r="CC9" i="5" s="1"/>
  <c r="CC93" i="5" s="1"/>
  <c r="LH116" i="4"/>
  <c r="CC28" i="5" s="1"/>
  <c r="CC112" i="5" s="1"/>
  <c r="KB76" i="4"/>
  <c r="BU10" i="5" s="1"/>
  <c r="BU94" i="5" s="1"/>
  <c r="KB52" i="4"/>
  <c r="BT27" i="5" s="1"/>
  <c r="BT111" i="5" s="1"/>
  <c r="KB50" i="4"/>
  <c r="BT26" i="5" s="1"/>
  <c r="BT110" i="5" s="1"/>
  <c r="KB21" i="4"/>
  <c r="BT12" i="5" s="1"/>
  <c r="BT96" i="5" s="1"/>
  <c r="KB15" i="4"/>
  <c r="BT10" i="5" s="1"/>
  <c r="BT94" i="5" s="1"/>
  <c r="KB13" i="4"/>
  <c r="BT9" i="5" s="1"/>
  <c r="BT93" i="5" s="1"/>
  <c r="KB8" i="4"/>
  <c r="BT7" i="5" s="1"/>
  <c r="BS27" i="5"/>
  <c r="BS111" i="5" s="1"/>
  <c r="BS10" i="5"/>
  <c r="BS94" i="5" s="1"/>
  <c r="BS9" i="5"/>
  <c r="BS93" i="5" s="1"/>
  <c r="BS8" i="5"/>
  <c r="BS92" i="5" s="1"/>
  <c r="BR13" i="5"/>
  <c r="BR10" i="5"/>
  <c r="BR94" i="5" s="1"/>
  <c r="BR9" i="5"/>
  <c r="BR93" i="5" s="1"/>
  <c r="BR8" i="5"/>
  <c r="BR92" i="5" s="1"/>
  <c r="BQ13" i="5"/>
  <c r="BQ28" i="5"/>
  <c r="BQ112" i="5" s="1"/>
  <c r="BQ26" i="5"/>
  <c r="BQ110" i="5" s="1"/>
  <c r="BQ11" i="5"/>
  <c r="BQ9" i="5"/>
  <c r="BQ93" i="5" s="1"/>
  <c r="BQ8" i="5"/>
  <c r="BQ92" i="5" s="1"/>
  <c r="BQ7" i="5"/>
  <c r="BP13" i="5"/>
  <c r="BP21" i="5"/>
  <c r="BP20" i="5"/>
  <c r="BP15" i="5"/>
  <c r="BP14" i="5" s="1"/>
  <c r="BP98" i="5" s="1"/>
  <c r="BP12" i="5"/>
  <c r="BP10" i="5"/>
  <c r="BP9" i="5"/>
  <c r="BP8" i="5"/>
  <c r="BP7" i="5"/>
  <c r="BO24" i="5"/>
  <c r="BO108" i="5" s="1"/>
  <c r="BO11" i="5"/>
  <c r="BO95" i="5" s="1"/>
  <c r="BO9" i="5"/>
  <c r="BO93" i="5" s="1"/>
  <c r="BO7" i="5"/>
  <c r="BN13" i="5"/>
  <c r="BN11" i="5"/>
  <c r="BN95" i="5" s="1"/>
  <c r="BN8" i="5"/>
  <c r="BN92" i="5" s="1"/>
  <c r="BM13" i="5"/>
  <c r="BM28" i="5"/>
  <c r="BM112" i="5" s="1"/>
  <c r="BM15" i="5"/>
  <c r="BM12" i="5"/>
  <c r="BM96" i="5" s="1"/>
  <c r="BM11" i="5"/>
  <c r="BM95" i="5" s="1"/>
  <c r="BM10" i="5"/>
  <c r="BM94" i="5" s="1"/>
  <c r="BM9" i="5"/>
  <c r="BM93" i="5" s="1"/>
  <c r="BL13" i="5"/>
  <c r="BL21" i="5"/>
  <c r="BL105" i="5" s="1"/>
  <c r="BL20" i="5"/>
  <c r="BL15" i="5"/>
  <c r="BL11" i="5"/>
  <c r="BL95" i="5" s="1"/>
  <c r="BL8" i="5"/>
  <c r="BL92" i="5" s="1"/>
  <c r="BL7" i="5"/>
  <c r="BK13" i="5"/>
  <c r="BK21" i="5"/>
  <c r="BK105" i="5" s="1"/>
  <c r="BK20" i="5"/>
  <c r="BK15" i="5"/>
  <c r="BK12" i="5"/>
  <c r="BK96" i="5" s="1"/>
  <c r="BK11" i="5"/>
  <c r="BK95" i="5" s="1"/>
  <c r="BK10" i="5"/>
  <c r="BK94" i="5" s="1"/>
  <c r="BK9" i="5"/>
  <c r="BK93" i="5" s="1"/>
  <c r="BJ13" i="5"/>
  <c r="BJ9" i="5"/>
  <c r="BJ8" i="5"/>
  <c r="BI13" i="5"/>
  <c r="BI28" i="5"/>
  <c r="BI112" i="5" s="1"/>
  <c r="BI21" i="5"/>
  <c r="BI105" i="5" s="1"/>
  <c r="BI15" i="5"/>
  <c r="BI12" i="5"/>
  <c r="BI96" i="5" s="1"/>
  <c r="BI11" i="5"/>
  <c r="BI95" i="5" s="1"/>
  <c r="BI10" i="5"/>
  <c r="BI94" i="5" s="1"/>
  <c r="BI9" i="5"/>
  <c r="BI93" i="5" s="1"/>
  <c r="BH13" i="5"/>
  <c r="BH26" i="5"/>
  <c r="BH110" i="5" s="1"/>
  <c r="BH10" i="5"/>
  <c r="BH94" i="5" s="1"/>
  <c r="BH8" i="5"/>
  <c r="BH92" i="5" s="1"/>
  <c r="BG11" i="5"/>
  <c r="BG95" i="5" s="1"/>
  <c r="BF13" i="5"/>
  <c r="BF28" i="5"/>
  <c r="BF112" i="5" s="1"/>
  <c r="BF27" i="5"/>
  <c r="BF111" i="5" s="1"/>
  <c r="BF24" i="5"/>
  <c r="BF108" i="5" s="1"/>
  <c r="BF23" i="5"/>
  <c r="BF107" i="5" s="1"/>
  <c r="BF15" i="5"/>
  <c r="BF10" i="5"/>
  <c r="BF94" i="5" s="1"/>
  <c r="BF8" i="5"/>
  <c r="BF92" i="5" s="1"/>
  <c r="BE13" i="5"/>
  <c r="BE24" i="5"/>
  <c r="BE108" i="5" s="1"/>
  <c r="BE23" i="5"/>
  <c r="BE107" i="5" s="1"/>
  <c r="BE15" i="5"/>
  <c r="BE11" i="5"/>
  <c r="BE95" i="5" s="1"/>
  <c r="BE9" i="5"/>
  <c r="BE93" i="5" s="1"/>
  <c r="BE8" i="5"/>
  <c r="BE92" i="5" s="1"/>
  <c r="BD13" i="5"/>
  <c r="BD26" i="5"/>
  <c r="BD11" i="5"/>
  <c r="BD9" i="5"/>
  <c r="BD8" i="5"/>
  <c r="BC28" i="5"/>
  <c r="BC112" i="5" s="1"/>
  <c r="BC23" i="5"/>
  <c r="BC107" i="5" s="1"/>
  <c r="BC10" i="5"/>
  <c r="BC94" i="5" s="1"/>
  <c r="BC9" i="5"/>
  <c r="BC93" i="5" s="1"/>
  <c r="BC7" i="5"/>
  <c r="BB27" i="5"/>
  <c r="BB111" i="5" s="1"/>
  <c r="BB21" i="5"/>
  <c r="BB105" i="5" s="1"/>
  <c r="BB20" i="5"/>
  <c r="BB15" i="5"/>
  <c r="BB12" i="5"/>
  <c r="BB96" i="5" s="1"/>
  <c r="BB11" i="5"/>
  <c r="BB95" i="5" s="1"/>
  <c r="BB10" i="5"/>
  <c r="BB94" i="5" s="1"/>
  <c r="BA13" i="5"/>
  <c r="BA28" i="5"/>
  <c r="BA112" i="5" s="1"/>
  <c r="BA27" i="5"/>
  <c r="BA111" i="5" s="1"/>
  <c r="BA15" i="5"/>
  <c r="BA11" i="5"/>
  <c r="BA95" i="5" s="1"/>
  <c r="BA9" i="5"/>
  <c r="BA93" i="5" s="1"/>
  <c r="BA7" i="5"/>
  <c r="AZ28" i="5"/>
  <c r="AZ112" i="5" s="1"/>
  <c r="AZ27" i="5"/>
  <c r="AZ111" i="5" s="1"/>
  <c r="AZ24" i="5"/>
  <c r="AZ108" i="5" s="1"/>
  <c r="AZ10" i="5"/>
  <c r="AZ94" i="5" s="1"/>
  <c r="AZ8" i="5"/>
  <c r="AZ92" i="5" s="1"/>
  <c r="AZ7" i="5"/>
  <c r="AZ12" i="5"/>
  <c r="AZ96" i="5" s="1"/>
  <c r="AZ15" i="5"/>
  <c r="AZ20" i="5"/>
  <c r="AZ21" i="5"/>
  <c r="AZ105" i="5" s="1"/>
  <c r="AZ9" i="5"/>
  <c r="AZ93" i="5" s="1"/>
  <c r="AZ26" i="5"/>
  <c r="AZ110" i="5" s="1"/>
  <c r="AZ11" i="5"/>
  <c r="AZ95" i="5" s="1"/>
  <c r="AZ23" i="5"/>
  <c r="AZ107" i="5" s="1"/>
  <c r="BA23" i="5"/>
  <c r="BA107" i="5" s="1"/>
  <c r="BA24" i="5"/>
  <c r="BA108" i="5" s="1"/>
  <c r="BA26" i="5"/>
  <c r="BA110" i="5" s="1"/>
  <c r="BC26" i="5"/>
  <c r="BC110" i="5" s="1"/>
  <c r="BC27" i="5"/>
  <c r="BC111" i="5" s="1"/>
  <c r="BC8" i="5"/>
  <c r="BC92" i="5" s="1"/>
  <c r="BC24" i="5"/>
  <c r="BC108" i="5" s="1"/>
  <c r="BC12" i="5"/>
  <c r="BC96" i="5" s="1"/>
  <c r="BC20" i="5"/>
  <c r="BC21" i="5"/>
  <c r="BC105" i="5" s="1"/>
  <c r="BB8" i="5"/>
  <c r="BB92" i="5" s="1"/>
  <c r="BB24" i="5"/>
  <c r="BB108" i="5" s="1"/>
  <c r="BB28" i="5"/>
  <c r="BB112" i="5" s="1"/>
  <c r="BB26" i="5"/>
  <c r="BB110" i="5" s="1"/>
  <c r="BB9" i="5"/>
  <c r="BB93" i="5" s="1"/>
  <c r="BB23" i="5"/>
  <c r="BB107" i="5" s="1"/>
  <c r="BE26" i="5"/>
  <c r="BE110" i="5" s="1"/>
  <c r="BE28" i="5"/>
  <c r="BE112" i="5" s="1"/>
  <c r="BE27" i="5"/>
  <c r="BE111" i="5" s="1"/>
  <c r="BE7" i="5"/>
  <c r="BD24" i="5"/>
  <c r="BD23" i="5"/>
  <c r="BD27" i="5"/>
  <c r="BD7" i="5"/>
  <c r="BD10" i="5"/>
  <c r="BD12" i="5"/>
  <c r="BD15" i="5"/>
  <c r="BD14" i="5" s="1"/>
  <c r="BD98" i="5" s="1"/>
  <c r="BD20" i="5"/>
  <c r="BD21" i="5"/>
  <c r="BG10" i="5"/>
  <c r="BG94" i="5" s="1"/>
  <c r="BG12" i="5"/>
  <c r="BG96" i="5" s="1"/>
  <c r="BG26" i="5"/>
  <c r="BG110" i="5" s="1"/>
  <c r="BG28" i="5"/>
  <c r="BG112" i="5" s="1"/>
  <c r="BG23" i="5"/>
  <c r="BG107" i="5" s="1"/>
  <c r="BG24" i="5"/>
  <c r="BG108" i="5" s="1"/>
  <c r="BG27" i="5"/>
  <c r="BG111" i="5" s="1"/>
  <c r="BF20" i="5"/>
  <c r="BF21" i="5"/>
  <c r="BF105" i="5" s="1"/>
  <c r="BF11" i="5"/>
  <c r="BF95" i="5" s="1"/>
  <c r="BF26" i="5"/>
  <c r="BF110" i="5" s="1"/>
  <c r="BF7" i="5"/>
  <c r="BF12" i="5"/>
  <c r="BF96" i="5" s="1"/>
  <c r="BI24" i="5"/>
  <c r="BI108" i="5" s="1"/>
  <c r="BI26" i="5"/>
  <c r="BI110" i="5" s="1"/>
  <c r="BI23" i="5"/>
  <c r="BI107" i="5" s="1"/>
  <c r="BH11" i="5"/>
  <c r="BH95" i="5" s="1"/>
  <c r="BH23" i="5"/>
  <c r="BH107" i="5" s="1"/>
  <c r="BH24" i="5"/>
  <c r="BH108" i="5" s="1"/>
  <c r="BH7" i="5"/>
  <c r="BH9" i="5"/>
  <c r="BH93" i="5" s="1"/>
  <c r="BH12" i="5"/>
  <c r="BH96" i="5" s="1"/>
  <c r="BH15" i="5"/>
  <c r="BH20" i="5"/>
  <c r="BH21" i="5"/>
  <c r="BH105" i="5" s="1"/>
  <c r="BH28" i="5"/>
  <c r="BH112" i="5" s="1"/>
  <c r="BK23" i="5"/>
  <c r="BK107" i="5" s="1"/>
  <c r="BK24" i="5"/>
  <c r="BK108" i="5" s="1"/>
  <c r="BK27" i="5"/>
  <c r="BK111" i="5" s="1"/>
  <c r="BK26" i="5"/>
  <c r="BK110" i="5" s="1"/>
  <c r="BK28" i="5"/>
  <c r="BK112" i="5" s="1"/>
  <c r="BJ11" i="5"/>
  <c r="BJ23" i="5"/>
  <c r="BJ24" i="5"/>
  <c r="BJ27" i="5"/>
  <c r="BJ7" i="5"/>
  <c r="BJ6" i="5" s="1"/>
  <c r="BJ90" i="5" s="1"/>
  <c r="BJ10" i="5"/>
  <c r="BJ12" i="5"/>
  <c r="BJ15" i="5"/>
  <c r="BJ14" i="5" s="1"/>
  <c r="BJ98" i="5" s="1"/>
  <c r="BJ20" i="5"/>
  <c r="BJ21" i="5"/>
  <c r="BJ26" i="5"/>
  <c r="BJ28" i="5"/>
  <c r="BM20" i="5"/>
  <c r="BM21" i="5"/>
  <c r="BM105" i="5" s="1"/>
  <c r="BM26" i="5"/>
  <c r="BM110" i="5" s="1"/>
  <c r="BM23" i="5"/>
  <c r="BM107" i="5" s="1"/>
  <c r="BM24" i="5"/>
  <c r="BM108" i="5" s="1"/>
  <c r="BM27" i="5"/>
  <c r="BM111" i="5" s="1"/>
  <c r="BL26" i="5"/>
  <c r="BL110" i="5" s="1"/>
  <c r="BL23" i="5"/>
  <c r="BL107" i="5" s="1"/>
  <c r="BL24" i="5"/>
  <c r="BL108" i="5" s="1"/>
  <c r="BL27" i="5"/>
  <c r="BL111" i="5" s="1"/>
  <c r="BL10" i="5"/>
  <c r="BL94" i="5" s="1"/>
  <c r="BL12" i="5"/>
  <c r="BL96" i="5" s="1"/>
  <c r="BL28" i="5"/>
  <c r="BL112" i="5" s="1"/>
  <c r="BO12" i="5"/>
  <c r="BO96" i="5" s="1"/>
  <c r="BO20" i="5"/>
  <c r="BO26" i="5"/>
  <c r="BO110" i="5" s="1"/>
  <c r="BO27" i="5"/>
  <c r="BO111" i="5" s="1"/>
  <c r="BO15" i="5"/>
  <c r="BO21" i="5"/>
  <c r="BO105" i="5" s="1"/>
  <c r="BO28" i="5"/>
  <c r="BO112" i="5" s="1"/>
  <c r="BO8" i="5"/>
  <c r="BO92" i="5" s="1"/>
  <c r="BO23" i="5"/>
  <c r="BO107" i="5" s="1"/>
  <c r="BO13" i="5"/>
  <c r="BN23" i="5"/>
  <c r="BN107" i="5" s="1"/>
  <c r="BN24" i="5"/>
  <c r="BN108" i="5" s="1"/>
  <c r="BN7" i="5"/>
  <c r="BN9" i="5"/>
  <c r="BN93" i="5" s="1"/>
  <c r="BN12" i="5"/>
  <c r="BN96" i="5" s="1"/>
  <c r="BN15" i="5"/>
  <c r="BN20" i="5"/>
  <c r="BN21" i="5"/>
  <c r="BN105" i="5" s="1"/>
  <c r="BN28" i="5"/>
  <c r="BN112" i="5" s="1"/>
  <c r="BQ10" i="5"/>
  <c r="BQ94" i="5" s="1"/>
  <c r="BQ12" i="5"/>
  <c r="BQ96" i="5" s="1"/>
  <c r="BQ15" i="5"/>
  <c r="BQ20" i="5"/>
  <c r="BQ21" i="5"/>
  <c r="BQ105" i="5" s="1"/>
  <c r="BQ23" i="5"/>
  <c r="BQ107" i="5" s="1"/>
  <c r="BQ24" i="5"/>
  <c r="BQ108" i="5" s="1"/>
  <c r="BQ27" i="5"/>
  <c r="BQ111" i="5" s="1"/>
  <c r="BP26" i="5"/>
  <c r="BP28" i="5"/>
  <c r="BP23" i="5"/>
  <c r="BP24" i="5"/>
  <c r="BP27" i="5"/>
  <c r="BS11" i="5"/>
  <c r="BS95" i="5" s="1"/>
  <c r="BS23" i="5"/>
  <c r="BS107" i="5" s="1"/>
  <c r="BS24" i="5"/>
  <c r="BS108" i="5" s="1"/>
  <c r="BS7" i="5"/>
  <c r="BS12" i="5"/>
  <c r="BS96" i="5" s="1"/>
  <c r="BS15" i="5"/>
  <c r="BS20" i="5"/>
  <c r="BS21" i="5"/>
  <c r="BS105" i="5" s="1"/>
  <c r="BS26" i="5"/>
  <c r="BS110" i="5" s="1"/>
  <c r="BS28" i="5"/>
  <c r="BS112" i="5" s="1"/>
  <c r="BR11" i="5"/>
  <c r="BR95" i="5" s="1"/>
  <c r="BR23" i="5"/>
  <c r="BR107" i="5" s="1"/>
  <c r="BR24" i="5"/>
  <c r="BR108" i="5" s="1"/>
  <c r="BR27" i="5"/>
  <c r="BR111" i="5" s="1"/>
  <c r="BR7" i="5"/>
  <c r="BR12" i="5"/>
  <c r="BR96" i="5" s="1"/>
  <c r="BR15" i="5"/>
  <c r="BR20" i="5"/>
  <c r="BR21" i="5"/>
  <c r="BR105" i="5" s="1"/>
  <c r="BR26" i="5"/>
  <c r="BR110" i="5" s="1"/>
  <c r="BR28" i="5"/>
  <c r="BR112" i="5" s="1"/>
  <c r="KB111" i="4"/>
  <c r="BU26" i="5" s="1"/>
  <c r="BU110" i="5" s="1"/>
  <c r="KB113" i="4"/>
  <c r="BU27" i="5" s="1"/>
  <c r="BU111" i="5" s="1"/>
  <c r="KB71" i="4"/>
  <c r="BU8" i="5" s="1"/>
  <c r="BU92" i="5" s="1"/>
  <c r="KB106" i="4"/>
  <c r="BU24" i="5" s="1"/>
  <c r="BU108" i="5" s="1"/>
  <c r="KB118" i="4"/>
  <c r="BU13" i="5" s="1"/>
  <c r="KB69" i="4"/>
  <c r="BU7" i="5" s="1"/>
  <c r="KB82" i="4"/>
  <c r="BU12" i="5" s="1"/>
  <c r="BU96" i="5" s="1"/>
  <c r="KB86" i="4"/>
  <c r="BU15" i="5" s="1"/>
  <c r="KB92" i="4"/>
  <c r="BU20" i="5" s="1"/>
  <c r="KB96" i="4"/>
  <c r="BU21" i="5" s="1"/>
  <c r="BU105" i="5" s="1"/>
  <c r="KB116" i="4"/>
  <c r="BU28" i="5" s="1"/>
  <c r="BU112" i="5" s="1"/>
  <c r="KB45" i="4"/>
  <c r="BT24" i="5" s="1"/>
  <c r="BT108" i="5" s="1"/>
  <c r="KB55" i="4"/>
  <c r="BT28" i="5" s="1"/>
  <c r="BT112" i="5" s="1"/>
  <c r="KB25" i="4"/>
  <c r="BT15" i="5" s="1"/>
  <c r="KB31" i="4"/>
  <c r="BT20" i="5" s="1"/>
  <c r="KB35" i="4"/>
  <c r="BT21" i="5" s="1"/>
  <c r="BT105" i="5" s="1"/>
  <c r="KB10" i="4"/>
  <c r="BT8" i="5" s="1"/>
  <c r="BT92" i="5" s="1"/>
  <c r="KB40" i="4"/>
  <c r="BT23" i="5" s="1"/>
  <c r="BT107" i="5" s="1"/>
  <c r="KJ111" i="4"/>
  <c r="BW26" i="5" s="1"/>
  <c r="BW110" i="5" s="1"/>
  <c r="KJ116" i="4"/>
  <c r="BW28" i="5" s="1"/>
  <c r="BW112" i="5" s="1"/>
  <c r="KJ101" i="4"/>
  <c r="BW23" i="5" s="1"/>
  <c r="BW107" i="5" s="1"/>
  <c r="KJ106" i="4"/>
  <c r="BW24" i="5" s="1"/>
  <c r="BW108" i="5" s="1"/>
  <c r="KJ113" i="4"/>
  <c r="BW27" i="5" s="1"/>
  <c r="BW111" i="5" s="1"/>
  <c r="KJ8" i="4"/>
  <c r="BV7" i="5" s="1"/>
  <c r="KJ15" i="4"/>
  <c r="BV10" i="5" s="1"/>
  <c r="KJ21" i="4"/>
  <c r="BV12" i="5" s="1"/>
  <c r="KJ50" i="4"/>
  <c r="BV26" i="5" s="1"/>
  <c r="KJ55" i="4"/>
  <c r="BV28" i="5" s="1"/>
  <c r="KJ40" i="4"/>
  <c r="BV23" i="5" s="1"/>
  <c r="KJ45" i="4"/>
  <c r="BV24" i="5" s="1"/>
  <c r="KJ52" i="4"/>
  <c r="BV27" i="5" s="1"/>
  <c r="KR111" i="4"/>
  <c r="BY26" i="5" s="1"/>
  <c r="BY110" i="5" s="1"/>
  <c r="KR116" i="4"/>
  <c r="BY28" i="5" s="1"/>
  <c r="BY112" i="5" s="1"/>
  <c r="KR106" i="4"/>
  <c r="BY24" i="5" s="1"/>
  <c r="BY108" i="5" s="1"/>
  <c r="KR82" i="4"/>
  <c r="BY12" i="5" s="1"/>
  <c r="BY96" i="5" s="1"/>
  <c r="KR86" i="4"/>
  <c r="BY15" i="5" s="1"/>
  <c r="KR92" i="4"/>
  <c r="BY20" i="5" s="1"/>
  <c r="KR96" i="4"/>
  <c r="BY21" i="5" s="1"/>
  <c r="BY105" i="5" s="1"/>
  <c r="KR17" i="4"/>
  <c r="BX11" i="5" s="1"/>
  <c r="BX95" i="5" s="1"/>
  <c r="KR40" i="4"/>
  <c r="BX23" i="5" s="1"/>
  <c r="BX107" i="5" s="1"/>
  <c r="KR45" i="4"/>
  <c r="BX24" i="5" s="1"/>
  <c r="BX108" i="5" s="1"/>
  <c r="KR52" i="4"/>
  <c r="BX27" i="5" s="1"/>
  <c r="KR8" i="4"/>
  <c r="BX7" i="5" s="1"/>
  <c r="KR15" i="4"/>
  <c r="BX10" i="5" s="1"/>
  <c r="BX94" i="5" s="1"/>
  <c r="KR21" i="4"/>
  <c r="BX12" i="5" s="1"/>
  <c r="BX96" i="5" s="1"/>
  <c r="KR25" i="4"/>
  <c r="BX15" i="5" s="1"/>
  <c r="KR31" i="4"/>
  <c r="BX20" i="5" s="1"/>
  <c r="KR35" i="4"/>
  <c r="BX21" i="5" s="1"/>
  <c r="BX105" i="5" s="1"/>
  <c r="KZ101" i="4"/>
  <c r="CA23" i="5" s="1"/>
  <c r="CA107" i="5" s="1"/>
  <c r="KZ111" i="4"/>
  <c r="CA26" i="5" s="1"/>
  <c r="CA110" i="5" s="1"/>
  <c r="KZ116" i="4"/>
  <c r="CA28" i="5" s="1"/>
  <c r="CA112" i="5" s="1"/>
  <c r="KZ106" i="4"/>
  <c r="CA24" i="5" s="1"/>
  <c r="CA108" i="5" s="1"/>
  <c r="KZ113" i="4"/>
  <c r="CA27" i="5" s="1"/>
  <c r="CA111" i="5" s="1"/>
  <c r="KZ50" i="4"/>
  <c r="BZ26" i="5" s="1"/>
  <c r="BZ110" i="5" s="1"/>
  <c r="KZ55" i="4"/>
  <c r="BZ28" i="5" s="1"/>
  <c r="BZ112" i="5" s="1"/>
  <c r="KZ40" i="4"/>
  <c r="BZ23" i="5" s="1"/>
  <c r="BZ107" i="5" s="1"/>
  <c r="KZ45" i="4"/>
  <c r="BZ24" i="5" s="1"/>
  <c r="BZ108" i="5" s="1"/>
  <c r="KZ52" i="4"/>
  <c r="BZ27" i="5" s="1"/>
  <c r="BZ111" i="5" s="1"/>
  <c r="LH8" i="4"/>
  <c r="CB7" i="5" s="1"/>
  <c r="LH21" i="4"/>
  <c r="CB12" i="5" s="1"/>
  <c r="LH25" i="4"/>
  <c r="CB15" i="5" s="1"/>
  <c r="CB14" i="5" s="1"/>
  <c r="CB98" i="5" s="1"/>
  <c r="LH31" i="4"/>
  <c r="CB20" i="5" s="1"/>
  <c r="LH35" i="4"/>
  <c r="CB21" i="5" s="1"/>
  <c r="LH50" i="4"/>
  <c r="CB26" i="5" s="1"/>
  <c r="LH55" i="4"/>
  <c r="CB28" i="5" s="1"/>
  <c r="LH17" i="4"/>
  <c r="CB11" i="5" s="1"/>
  <c r="LH40" i="4"/>
  <c r="CB23" i="5" s="1"/>
  <c r="LH45" i="4"/>
  <c r="CB24" i="5" s="1"/>
  <c r="LH52" i="4"/>
  <c r="CB27" i="5" s="1"/>
  <c r="LH76" i="4"/>
  <c r="CC10" i="5" s="1"/>
  <c r="CC94" i="5" s="1"/>
  <c r="LH82" i="4"/>
  <c r="CC12" i="5" s="1"/>
  <c r="CC96" i="5" s="1"/>
  <c r="LH86" i="4"/>
  <c r="CC15" i="5" s="1"/>
  <c r="LH96" i="4"/>
  <c r="CC21" i="5" s="1"/>
  <c r="CC105" i="5" s="1"/>
  <c r="LH111" i="4"/>
  <c r="CC26" i="5" s="1"/>
  <c r="CC110" i="5" s="1"/>
  <c r="AY28" i="5"/>
  <c r="AY26" i="5"/>
  <c r="AY8" i="5"/>
  <c r="AY24" i="5"/>
  <c r="AY23" i="5"/>
  <c r="AY27" i="5"/>
  <c r="AY7" i="5"/>
  <c r="AY10" i="5"/>
  <c r="AY12" i="5"/>
  <c r="AY15" i="5"/>
  <c r="AY20" i="5"/>
  <c r="AY21" i="5"/>
  <c r="HC173" i="1"/>
  <c r="HC172" i="1"/>
  <c r="HC164" i="1"/>
  <c r="HC163" i="1"/>
  <c r="HC162" i="1"/>
  <c r="HC161" i="1"/>
  <c r="HC160" i="1"/>
  <c r="HC159" i="1"/>
  <c r="HC158" i="1"/>
  <c r="HC157" i="1"/>
  <c r="HC156" i="1"/>
  <c r="HC151" i="1"/>
  <c r="HC150" i="1"/>
  <c r="HB150" i="1"/>
  <c r="HA150" i="1"/>
  <c r="HC149" i="1"/>
  <c r="HC148" i="1"/>
  <c r="HC147" i="1"/>
  <c r="HC146" i="1"/>
  <c r="HC145" i="1"/>
  <c r="HC144" i="1"/>
  <c r="HC143" i="1"/>
  <c r="GW143" i="1"/>
  <c r="GW144" i="1"/>
  <c r="GW145" i="1"/>
  <c r="GW146" i="1"/>
  <c r="GU147" i="1"/>
  <c r="GV147" i="1"/>
  <c r="GW147" i="1"/>
  <c r="GW148" i="1"/>
  <c r="GW149" i="1"/>
  <c r="GW150" i="1"/>
  <c r="GW151" i="1"/>
  <c r="GW156" i="1"/>
  <c r="GW157" i="1"/>
  <c r="GW158" i="1"/>
  <c r="GW159" i="1"/>
  <c r="GW160" i="1"/>
  <c r="GW161" i="1"/>
  <c r="GW162" i="1"/>
  <c r="GW163" i="1"/>
  <c r="GW164" i="1"/>
  <c r="GW172" i="1"/>
  <c r="GW173" i="1"/>
  <c r="HC86" i="1"/>
  <c r="HC85" i="1"/>
  <c r="HC77" i="1"/>
  <c r="HC76" i="1"/>
  <c r="HC75" i="1"/>
  <c r="HB75" i="1"/>
  <c r="HA75" i="1"/>
  <c r="HC74" i="1"/>
  <c r="HC73" i="1"/>
  <c r="HC72" i="1"/>
  <c r="HC71" i="1"/>
  <c r="HC70" i="1"/>
  <c r="HC69" i="1"/>
  <c r="HC64" i="1"/>
  <c r="HC63" i="1"/>
  <c r="HB63" i="1"/>
  <c r="HA63" i="1"/>
  <c r="HC62" i="1"/>
  <c r="HC61" i="1"/>
  <c r="HC60" i="1"/>
  <c r="HC59" i="1"/>
  <c r="HC58" i="1"/>
  <c r="HC57" i="1"/>
  <c r="HC56" i="1"/>
  <c r="HA173" i="1"/>
  <c r="HA172" i="1"/>
  <c r="HE128" i="1"/>
  <c r="HD128" i="1"/>
  <c r="HE127" i="1"/>
  <c r="HE126" i="1"/>
  <c r="HE125" i="1"/>
  <c r="HE124" i="1"/>
  <c r="HA162" i="1"/>
  <c r="HE123" i="1"/>
  <c r="HA161" i="1"/>
  <c r="HE122" i="1"/>
  <c r="HA160" i="1"/>
  <c r="HE121" i="1"/>
  <c r="HD121" i="1"/>
  <c r="HE120" i="1"/>
  <c r="HA158" i="1"/>
  <c r="HE119" i="1"/>
  <c r="HA157" i="1"/>
  <c r="HE118" i="1"/>
  <c r="HA156" i="1"/>
  <c r="HE113" i="1"/>
  <c r="HE108" i="1"/>
  <c r="HA149" i="1"/>
  <c r="HB148" i="1"/>
  <c r="HE103" i="1"/>
  <c r="HE102" i="1"/>
  <c r="HE101" i="1"/>
  <c r="HE100" i="1"/>
  <c r="HE99" i="1"/>
  <c r="HE97" i="1"/>
  <c r="HE96" i="1"/>
  <c r="HE95" i="1"/>
  <c r="HE94" i="1"/>
  <c r="HE93" i="1"/>
  <c r="HB86" i="1"/>
  <c r="HA86" i="1"/>
  <c r="HE50" i="1"/>
  <c r="HB85" i="1"/>
  <c r="HD50" i="1"/>
  <c r="HE42" i="1"/>
  <c r="HE41" i="1"/>
  <c r="HD41" i="1"/>
  <c r="HE40" i="1"/>
  <c r="HE39" i="1"/>
  <c r="HA76" i="1"/>
  <c r="HE36" i="1"/>
  <c r="HE35" i="1"/>
  <c r="HA73" i="1"/>
  <c r="HE34" i="1"/>
  <c r="HA72" i="1"/>
  <c r="HE33" i="1"/>
  <c r="HE32" i="1"/>
  <c r="HE31" i="1"/>
  <c r="HA69" i="1"/>
  <c r="HE26" i="1"/>
  <c r="HE21" i="1"/>
  <c r="HE19" i="1"/>
  <c r="HE17" i="1"/>
  <c r="HA61" i="1"/>
  <c r="HE16" i="1"/>
  <c r="HE15" i="1"/>
  <c r="HE14" i="1"/>
  <c r="HE13" i="1"/>
  <c r="HE10" i="1"/>
  <c r="HA58" i="1"/>
  <c r="HE9" i="1"/>
  <c r="HE8" i="1"/>
  <c r="HE7" i="1"/>
  <c r="HE6" i="1"/>
  <c r="HA56" i="1"/>
  <c r="CB6" i="5" l="1"/>
  <c r="CB90" i="5" s="1"/>
  <c r="BX104" i="5"/>
  <c r="BX19" i="5"/>
  <c r="BX103" i="5" s="1"/>
  <c r="BF91" i="5"/>
  <c r="BF6" i="5"/>
  <c r="BF90" i="5" s="1"/>
  <c r="BB104" i="5"/>
  <c r="BB19" i="5"/>
  <c r="BB103" i="5" s="1"/>
  <c r="BW91" i="5"/>
  <c r="BW6" i="5"/>
  <c r="BW90" i="5" s="1"/>
  <c r="BB6" i="5"/>
  <c r="BB90" i="5" s="1"/>
  <c r="BX99" i="5"/>
  <c r="BX14" i="5"/>
  <c r="BX98" i="5" s="1"/>
  <c r="BS104" i="5"/>
  <c r="BS19" i="5"/>
  <c r="BS103" i="5" s="1"/>
  <c r="BH99" i="5"/>
  <c r="BH14" i="5"/>
  <c r="BH98" i="5" s="1"/>
  <c r="BD19" i="5"/>
  <c r="BD103" i="5" s="1"/>
  <c r="AZ6" i="5"/>
  <c r="AZ90" i="5" s="1"/>
  <c r="BA91" i="5"/>
  <c r="BA6" i="5"/>
  <c r="BA90" i="5" s="1"/>
  <c r="BI99" i="5"/>
  <c r="BI14" i="5"/>
  <c r="BI98" i="5" s="1"/>
  <c r="BK104" i="5"/>
  <c r="BK19" i="5"/>
  <c r="BK103" i="5" s="1"/>
  <c r="BL99" i="5"/>
  <c r="BL14" i="5"/>
  <c r="BL98" i="5" s="1"/>
  <c r="BP6" i="5"/>
  <c r="BP90" i="5" s="1"/>
  <c r="BP19" i="5"/>
  <c r="BP103" i="5" s="1"/>
  <c r="BT91" i="5"/>
  <c r="BT6" i="5"/>
  <c r="BT90" i="5" s="1"/>
  <c r="BY6" i="5"/>
  <c r="BY90" i="5" s="1"/>
  <c r="BK91" i="5"/>
  <c r="BK6" i="5"/>
  <c r="BK90" i="5" s="1"/>
  <c r="BE120" i="5"/>
  <c r="BA104" i="5"/>
  <c r="BA19" i="5"/>
  <c r="BA103" i="5" s="1"/>
  <c r="BC99" i="5"/>
  <c r="BC14" i="5"/>
  <c r="BC98" i="5" s="1"/>
  <c r="BK99" i="5"/>
  <c r="BK14" i="5"/>
  <c r="BK98" i="5" s="1"/>
  <c r="BE104" i="5"/>
  <c r="BE19" i="5"/>
  <c r="BE103" i="5" s="1"/>
  <c r="BT104" i="5"/>
  <c r="BT19" i="5"/>
  <c r="BT103" i="5" s="1"/>
  <c r="BU104" i="5"/>
  <c r="BU19" i="5"/>
  <c r="BU103" i="5" s="1"/>
  <c r="BR104" i="5"/>
  <c r="BR19" i="5"/>
  <c r="BR103" i="5" s="1"/>
  <c r="BS99" i="5"/>
  <c r="BS14" i="5"/>
  <c r="BS98" i="5" s="1"/>
  <c r="BO104" i="5"/>
  <c r="BO19" i="5"/>
  <c r="BO103" i="5" s="1"/>
  <c r="BJ19" i="5"/>
  <c r="BJ103" i="5" s="1"/>
  <c r="BC104" i="5"/>
  <c r="BC19" i="5"/>
  <c r="BC103" i="5" s="1"/>
  <c r="BL104" i="5"/>
  <c r="BL19" i="5"/>
  <c r="BL103" i="5" s="1"/>
  <c r="BZ104" i="5"/>
  <c r="BZ19" i="5"/>
  <c r="BZ103" i="5" s="1"/>
  <c r="BI104" i="5"/>
  <c r="BI19" i="5"/>
  <c r="BI103" i="5" s="1"/>
  <c r="BM91" i="5"/>
  <c r="BM6" i="5"/>
  <c r="BM90" i="5" s="1"/>
  <c r="CC104" i="5"/>
  <c r="CC19" i="5"/>
  <c r="CC103" i="5" s="1"/>
  <c r="BN99" i="5"/>
  <c r="BN14" i="5"/>
  <c r="BN98" i="5" s="1"/>
  <c r="BH104" i="5"/>
  <c r="BH19" i="5"/>
  <c r="BH103" i="5" s="1"/>
  <c r="CB19" i="5"/>
  <c r="CB103" i="5" s="1"/>
  <c r="BT99" i="5"/>
  <c r="BT14" i="5"/>
  <c r="BT98" i="5" s="1"/>
  <c r="BU99" i="5"/>
  <c r="BU14" i="5"/>
  <c r="BU98" i="5" s="1"/>
  <c r="BR99" i="5"/>
  <c r="BR14" i="5"/>
  <c r="BR98" i="5" s="1"/>
  <c r="BN91" i="5"/>
  <c r="BN6" i="5"/>
  <c r="BN90" i="5" s="1"/>
  <c r="BE91" i="5"/>
  <c r="BE6" i="5"/>
  <c r="BE90" i="5" s="1"/>
  <c r="BC6" i="5"/>
  <c r="BC90" i="5" s="1"/>
  <c r="BM99" i="5"/>
  <c r="BM14" i="5"/>
  <c r="BM98" i="5" s="1"/>
  <c r="BO91" i="5"/>
  <c r="BO6" i="5"/>
  <c r="BO90" i="5" s="1"/>
  <c r="BG104" i="5"/>
  <c r="BG19" i="5"/>
  <c r="BG103" i="5" s="1"/>
  <c r="BZ99" i="5"/>
  <c r="BZ14" i="5"/>
  <c r="BZ98" i="5" s="1"/>
  <c r="BG91" i="5"/>
  <c r="BG6" i="5"/>
  <c r="BG90" i="5" s="1"/>
  <c r="BW99" i="5"/>
  <c r="BW14" i="5"/>
  <c r="BW98" i="5" s="1"/>
  <c r="BW104" i="5"/>
  <c r="BW19" i="5"/>
  <c r="BW103" i="5" s="1"/>
  <c r="BQ99" i="5"/>
  <c r="BQ14" i="5"/>
  <c r="BQ98" i="5" s="1"/>
  <c r="CA91" i="5"/>
  <c r="CA6" i="5"/>
  <c r="CA90" i="5" s="1"/>
  <c r="BX91" i="5"/>
  <c r="BX6" i="5"/>
  <c r="BX90" i="5" s="1"/>
  <c r="BY104" i="5"/>
  <c r="BY19" i="5"/>
  <c r="BY103" i="5" s="1"/>
  <c r="BS91" i="5"/>
  <c r="BS6" i="5"/>
  <c r="BS90" i="5" s="1"/>
  <c r="BM104" i="5"/>
  <c r="BM19" i="5"/>
  <c r="BM103" i="5" s="1"/>
  <c r="BH91" i="5"/>
  <c r="BH6" i="5"/>
  <c r="BH90" i="5" s="1"/>
  <c r="BF104" i="5"/>
  <c r="BF19" i="5"/>
  <c r="BF103" i="5" s="1"/>
  <c r="AZ104" i="5"/>
  <c r="AZ19" i="5"/>
  <c r="AZ103" i="5" s="1"/>
  <c r="BA99" i="5"/>
  <c r="BA14" i="5"/>
  <c r="BA98" i="5" s="1"/>
  <c r="BE99" i="5"/>
  <c r="BE14" i="5"/>
  <c r="BE98" i="5" s="1"/>
  <c r="BF99" i="5"/>
  <c r="BF14" i="5"/>
  <c r="BF98" i="5" s="1"/>
  <c r="BL91" i="5"/>
  <c r="BL6" i="5"/>
  <c r="BL90" i="5" s="1"/>
  <c r="BQ91" i="5"/>
  <c r="BQ6" i="5"/>
  <c r="BQ90" i="5" s="1"/>
  <c r="BG99" i="5"/>
  <c r="BG14" i="5"/>
  <c r="BG98" i="5" s="1"/>
  <c r="BV19" i="5"/>
  <c r="BV103" i="5" s="1"/>
  <c r="CE84" i="5"/>
  <c r="CE61" i="5"/>
  <c r="CA104" i="5"/>
  <c r="CA19" i="5"/>
  <c r="CA103" i="5" s="1"/>
  <c r="CC99" i="5"/>
  <c r="CC14" i="5"/>
  <c r="CC98" i="5" s="1"/>
  <c r="BY99" i="5"/>
  <c r="BY14" i="5"/>
  <c r="BY98" i="5" s="1"/>
  <c r="BV6" i="5"/>
  <c r="BV90" i="5" s="1"/>
  <c r="BU91" i="5"/>
  <c r="BU6" i="5"/>
  <c r="BU90" i="5" s="1"/>
  <c r="BR91" i="5"/>
  <c r="BR6" i="5"/>
  <c r="BR90" i="5" s="1"/>
  <c r="BQ104" i="5"/>
  <c r="BQ19" i="5"/>
  <c r="BQ103" i="5" s="1"/>
  <c r="BN104" i="5"/>
  <c r="BN19" i="5"/>
  <c r="BN103" i="5" s="1"/>
  <c r="BO99" i="5"/>
  <c r="BO14" i="5"/>
  <c r="BO98" i="5" s="1"/>
  <c r="BD6" i="5"/>
  <c r="BD90" i="5" s="1"/>
  <c r="AZ99" i="5"/>
  <c r="AZ14" i="5"/>
  <c r="AZ98" i="5" s="1"/>
  <c r="BB99" i="5"/>
  <c r="BB14" i="5"/>
  <c r="BB98" i="5" s="1"/>
  <c r="BZ91" i="5"/>
  <c r="BZ6" i="5"/>
  <c r="BZ90" i="5" s="1"/>
  <c r="CC91" i="5"/>
  <c r="CC6" i="5"/>
  <c r="CC90" i="5" s="1"/>
  <c r="CA99" i="5"/>
  <c r="CA14" i="5"/>
  <c r="CA98" i="5" s="1"/>
  <c r="CE74" i="5"/>
  <c r="BI91" i="5"/>
  <c r="BI6" i="5"/>
  <c r="BI90" i="5" s="1"/>
  <c r="AY19" i="5"/>
  <c r="AY103" i="5" s="1"/>
  <c r="AY6" i="5"/>
  <c r="AY90" i="5" s="1"/>
  <c r="AY14" i="5"/>
  <c r="AY98" i="5" s="1"/>
  <c r="BO97" i="5"/>
  <c r="BA97" i="5"/>
  <c r="BA113" i="5" s="1"/>
  <c r="BE97" i="5"/>
  <c r="BE113" i="5" s="1"/>
  <c r="CC97" i="5"/>
  <c r="BC97" i="5"/>
  <c r="AZ97" i="5"/>
  <c r="BH97" i="5"/>
  <c r="BH113" i="5" s="1"/>
  <c r="BN97" i="5"/>
  <c r="BN113" i="5" s="1"/>
  <c r="BR97" i="5"/>
  <c r="BR113" i="5" s="1"/>
  <c r="CA97" i="5"/>
  <c r="BX97" i="5"/>
  <c r="BG97" i="5"/>
  <c r="BG113" i="5" s="1"/>
  <c r="BF97" i="5"/>
  <c r="BF113" i="5" s="1"/>
  <c r="BK97" i="5"/>
  <c r="BK113" i="5" s="1"/>
  <c r="BT97" i="5"/>
  <c r="BT113" i="5" s="1"/>
  <c r="BB97" i="5"/>
  <c r="BB113" i="5" s="1"/>
  <c r="BI97" i="5"/>
  <c r="BI113" i="5" s="1"/>
  <c r="BL97" i="5"/>
  <c r="BQ97" i="5"/>
  <c r="BY97" i="5"/>
  <c r="BW97" i="5"/>
  <c r="BU97" i="5"/>
  <c r="BU113" i="5" s="1"/>
  <c r="BZ97" i="5"/>
  <c r="BM97" i="5"/>
  <c r="BM113" i="5" s="1"/>
  <c r="BS97" i="5"/>
  <c r="B30" i="9"/>
  <c r="HE148" i="1"/>
  <c r="P107" i="36"/>
  <c r="P106" i="36"/>
  <c r="P105" i="36"/>
  <c r="P111" i="36"/>
  <c r="P114" i="36"/>
  <c r="HE85" i="1"/>
  <c r="HD63" i="1"/>
  <c r="CB108" i="5"/>
  <c r="Q26" i="36"/>
  <c r="CB110" i="5"/>
  <c r="Q28" i="36"/>
  <c r="CB96" i="5"/>
  <c r="Q14" i="36"/>
  <c r="P30" i="36"/>
  <c r="BV91" i="5"/>
  <c r="P9" i="36"/>
  <c r="BP112" i="5"/>
  <c r="O30" i="36"/>
  <c r="O117" i="36" s="1"/>
  <c r="BJ105" i="5"/>
  <c r="N23" i="36"/>
  <c r="BJ94" i="5"/>
  <c r="N12" i="36"/>
  <c r="BJ107" i="5"/>
  <c r="N25" i="36"/>
  <c r="BD96" i="5"/>
  <c r="M14" i="36"/>
  <c r="M101" i="36" s="1"/>
  <c r="BD107" i="5"/>
  <c r="M25" i="36"/>
  <c r="M112" i="36" s="1"/>
  <c r="BD93" i="5"/>
  <c r="M11" i="36"/>
  <c r="M98" i="36" s="1"/>
  <c r="BJ92" i="5"/>
  <c r="N10" i="36"/>
  <c r="BP91" i="5"/>
  <c r="O9" i="36"/>
  <c r="BP96" i="5"/>
  <c r="O14" i="36"/>
  <c r="O101" i="36" s="1"/>
  <c r="BP97" i="5"/>
  <c r="O15" i="36"/>
  <c r="O102" i="36" s="1"/>
  <c r="BV99" i="5"/>
  <c r="P17" i="36"/>
  <c r="BY91" i="5"/>
  <c r="BY113" i="5" s="1"/>
  <c r="BY62" i="5"/>
  <c r="CB97" i="5"/>
  <c r="Q15" i="36"/>
  <c r="CB94" i="5"/>
  <c r="Q12" i="36"/>
  <c r="L11" i="36"/>
  <c r="L98" i="36" s="1"/>
  <c r="Q106" i="36"/>
  <c r="Q107" i="36"/>
  <c r="O13" i="36"/>
  <c r="O100" i="36" s="1"/>
  <c r="N107" i="36"/>
  <c r="CB107" i="5"/>
  <c r="Q25" i="36"/>
  <c r="CB105" i="5"/>
  <c r="Q23" i="36"/>
  <c r="CB91" i="5"/>
  <c r="Q9" i="36"/>
  <c r="BV111" i="5"/>
  <c r="P29" i="36"/>
  <c r="BV110" i="5"/>
  <c r="P28" i="36"/>
  <c r="BP111" i="5"/>
  <c r="O29" i="36"/>
  <c r="O116" i="36" s="1"/>
  <c r="BP110" i="5"/>
  <c r="O28" i="36"/>
  <c r="O115" i="36" s="1"/>
  <c r="BJ104" i="5"/>
  <c r="N22" i="36"/>
  <c r="BJ91" i="5"/>
  <c r="N9" i="36"/>
  <c r="BJ95" i="5"/>
  <c r="N13" i="36"/>
  <c r="BD105" i="5"/>
  <c r="M23" i="36"/>
  <c r="BD94" i="5"/>
  <c r="M12" i="36"/>
  <c r="M99" i="36" s="1"/>
  <c r="BD108" i="5"/>
  <c r="M26" i="36"/>
  <c r="M113" i="36" s="1"/>
  <c r="BD95" i="5"/>
  <c r="M13" i="36"/>
  <c r="M100" i="36" s="1"/>
  <c r="BJ93" i="5"/>
  <c r="N11" i="36"/>
  <c r="BP92" i="5"/>
  <c r="O10" i="36"/>
  <c r="O97" i="36" s="1"/>
  <c r="BP99" i="5"/>
  <c r="O17" i="36"/>
  <c r="O16" i="36" s="1"/>
  <c r="BD112" i="5"/>
  <c r="M30" i="36"/>
  <c r="M117" i="36" s="1"/>
  <c r="Q114" i="36"/>
  <c r="N111" i="36"/>
  <c r="CB95" i="5"/>
  <c r="Q13" i="36"/>
  <c r="CB104" i="5"/>
  <c r="Q22" i="36"/>
  <c r="BV108" i="5"/>
  <c r="P26" i="36"/>
  <c r="BV96" i="5"/>
  <c r="P14" i="36"/>
  <c r="BP108" i="5"/>
  <c r="O26" i="36"/>
  <c r="O113" i="36" s="1"/>
  <c r="BJ112" i="5"/>
  <c r="N30" i="36"/>
  <c r="BJ99" i="5"/>
  <c r="N17" i="36"/>
  <c r="BJ111" i="5"/>
  <c r="N29" i="36"/>
  <c r="BD104" i="5"/>
  <c r="M22" i="36"/>
  <c r="BD91" i="5"/>
  <c r="M9" i="36"/>
  <c r="BD110" i="5"/>
  <c r="M28" i="36"/>
  <c r="M115" i="36" s="1"/>
  <c r="BJ97" i="5"/>
  <c r="N15" i="36"/>
  <c r="BP93" i="5"/>
  <c r="O11" i="36"/>
  <c r="O98" i="36" s="1"/>
  <c r="BP104" i="5"/>
  <c r="O22" i="36"/>
  <c r="BV95" i="5"/>
  <c r="P13" i="36"/>
  <c r="CB92" i="5"/>
  <c r="Q10" i="36"/>
  <c r="N114" i="36"/>
  <c r="N106" i="36"/>
  <c r="Q105" i="36"/>
  <c r="N105" i="36"/>
  <c r="CB111" i="5"/>
  <c r="Q29" i="36"/>
  <c r="CB112" i="5"/>
  <c r="Q30" i="36"/>
  <c r="CB99" i="5"/>
  <c r="Q17" i="36"/>
  <c r="BV107" i="5"/>
  <c r="P25" i="36"/>
  <c r="BV94" i="5"/>
  <c r="P12" i="36"/>
  <c r="BP107" i="5"/>
  <c r="O25" i="36"/>
  <c r="O112" i="36" s="1"/>
  <c r="BJ110" i="5"/>
  <c r="N28" i="36"/>
  <c r="BJ96" i="5"/>
  <c r="N14" i="36"/>
  <c r="BJ108" i="5"/>
  <c r="N26" i="36"/>
  <c r="BD99" i="5"/>
  <c r="M17" i="36"/>
  <c r="M16" i="36" s="1"/>
  <c r="BD111" i="5"/>
  <c r="M29" i="36"/>
  <c r="M116" i="36" s="1"/>
  <c r="BD92" i="5"/>
  <c r="M10" i="36"/>
  <c r="M97" i="36" s="1"/>
  <c r="BD97" i="5"/>
  <c r="M15" i="36"/>
  <c r="M102" i="36" s="1"/>
  <c r="BP94" i="5"/>
  <c r="O12" i="36"/>
  <c r="O99" i="36" s="1"/>
  <c r="BP105" i="5"/>
  <c r="O23" i="36"/>
  <c r="O110" i="36" s="1"/>
  <c r="BV105" i="5"/>
  <c r="P23" i="36"/>
  <c r="BV92" i="5"/>
  <c r="P10" i="36"/>
  <c r="BV93" i="5"/>
  <c r="P11" i="36"/>
  <c r="BV97" i="5"/>
  <c r="P15" i="36"/>
  <c r="CB93" i="5"/>
  <c r="Q11" i="36"/>
  <c r="BV104" i="5"/>
  <c r="P22" i="36"/>
  <c r="C29" i="9"/>
  <c r="C30" i="9" s="1"/>
  <c r="Q111" i="36"/>
  <c r="L30" i="36"/>
  <c r="L117" i="36" s="1"/>
  <c r="L23" i="36"/>
  <c r="L110" i="36" s="1"/>
  <c r="L12" i="36"/>
  <c r="L99" i="36" s="1"/>
  <c r="L26" i="36"/>
  <c r="L113" i="36" s="1"/>
  <c r="L13" i="36"/>
  <c r="L100" i="36" s="1"/>
  <c r="L15" i="36"/>
  <c r="L102" i="36" s="1"/>
  <c r="L14" i="36"/>
  <c r="L101" i="36" s="1"/>
  <c r="L22" i="36"/>
  <c r="L9" i="36"/>
  <c r="L10" i="36"/>
  <c r="L97" i="36" s="1"/>
  <c r="L25" i="36"/>
  <c r="L112" i="36" s="1"/>
  <c r="L17" i="36"/>
  <c r="L16" i="36" s="1"/>
  <c r="L29" i="36"/>
  <c r="L116" i="36" s="1"/>
  <c r="L28" i="36"/>
  <c r="L115" i="36" s="1"/>
  <c r="AY99" i="5"/>
  <c r="AY111" i="5"/>
  <c r="AY110" i="5"/>
  <c r="AS122" i="6"/>
  <c r="AS67" i="6"/>
  <c r="AS117" i="6"/>
  <c r="AS62" i="6"/>
  <c r="AS116" i="6"/>
  <c r="AS61" i="6"/>
  <c r="AY96" i="5"/>
  <c r="AY107" i="5"/>
  <c r="AY112" i="5"/>
  <c r="AN25" i="6"/>
  <c r="BV112" i="5"/>
  <c r="AK12" i="6"/>
  <c r="AY12" i="6" s="1"/>
  <c r="BQ95" i="5"/>
  <c r="AS64" i="6"/>
  <c r="AS119" i="6"/>
  <c r="AS130" i="6"/>
  <c r="AS75" i="6"/>
  <c r="CE113" i="5"/>
  <c r="AS76" i="6"/>
  <c r="AS131" i="6"/>
  <c r="AS125" i="6"/>
  <c r="AS70" i="6"/>
  <c r="AS129" i="6"/>
  <c r="AS74" i="6"/>
  <c r="AY94" i="5"/>
  <c r="AY108" i="5"/>
  <c r="AY95" i="5"/>
  <c r="AY97" i="5"/>
  <c r="AS113" i="6"/>
  <c r="AS118" i="6"/>
  <c r="AS63" i="6"/>
  <c r="AS126" i="6"/>
  <c r="AS71" i="6"/>
  <c r="AS114" i="6"/>
  <c r="AS59" i="6"/>
  <c r="AY104" i="5"/>
  <c r="AY91" i="5"/>
  <c r="AY92" i="5"/>
  <c r="AO24" i="6"/>
  <c r="BX111" i="5"/>
  <c r="AZ91" i="5"/>
  <c r="AD8" i="6"/>
  <c r="BC91" i="5"/>
  <c r="AP9" i="6"/>
  <c r="CA92" i="5"/>
  <c r="AS60" i="6"/>
  <c r="AS115" i="6"/>
  <c r="AS73" i="6"/>
  <c r="AS128" i="6"/>
  <c r="V68" i="6"/>
  <c r="AY105" i="5"/>
  <c r="AA92" i="6"/>
  <c r="AA99" i="6"/>
  <c r="Z101" i="6"/>
  <c r="Y95" i="6"/>
  <c r="Y86" i="6"/>
  <c r="X98" i="6"/>
  <c r="X99" i="6"/>
  <c r="W98" i="6"/>
  <c r="W96" i="6"/>
  <c r="W86" i="6"/>
  <c r="W102" i="6"/>
  <c r="X92" i="6"/>
  <c r="Y101" i="6"/>
  <c r="Z98" i="6"/>
  <c r="Z104" i="6"/>
  <c r="AA101" i="6"/>
  <c r="AA103" i="6"/>
  <c r="AA91" i="6"/>
  <c r="AA98" i="6"/>
  <c r="Z90" i="6"/>
  <c r="Y92" i="6"/>
  <c r="AE24" i="6"/>
  <c r="Y102" i="6"/>
  <c r="X88" i="6"/>
  <c r="X87" i="6"/>
  <c r="W90" i="6"/>
  <c r="W95" i="6"/>
  <c r="W87" i="6"/>
  <c r="W103" i="6"/>
  <c r="X89" i="6"/>
  <c r="X95" i="6"/>
  <c r="Y87" i="6"/>
  <c r="Y104" i="6"/>
  <c r="Z87" i="6"/>
  <c r="Z99" i="6"/>
  <c r="AA104" i="6"/>
  <c r="W104" i="6"/>
  <c r="Y103" i="6"/>
  <c r="X86" i="6"/>
  <c r="X66" i="6"/>
  <c r="X94" i="6"/>
  <c r="AA96" i="6"/>
  <c r="AA88" i="6"/>
  <c r="AA90" i="6"/>
  <c r="Z91" i="6"/>
  <c r="Z96" i="6"/>
  <c r="Y91" i="6"/>
  <c r="Y98" i="6"/>
  <c r="X101" i="6"/>
  <c r="W101" i="6"/>
  <c r="W92" i="6"/>
  <c r="W89" i="6"/>
  <c r="X90" i="6"/>
  <c r="X96" i="6"/>
  <c r="Y88" i="6"/>
  <c r="Z89" i="6"/>
  <c r="Z102" i="6"/>
  <c r="AA87" i="6"/>
  <c r="Z88" i="6"/>
  <c r="X104" i="6"/>
  <c r="AA95" i="6"/>
  <c r="AA86" i="6"/>
  <c r="Z86" i="6"/>
  <c r="Z95" i="6"/>
  <c r="Y96" i="6"/>
  <c r="Y89" i="6"/>
  <c r="Y99" i="6"/>
  <c r="X103" i="6"/>
  <c r="W88" i="6"/>
  <c r="W91" i="6"/>
  <c r="W99" i="6"/>
  <c r="X91" i="6"/>
  <c r="X102" i="6"/>
  <c r="Y90" i="6"/>
  <c r="Z92" i="6"/>
  <c r="Z103" i="6"/>
  <c r="AA89" i="6"/>
  <c r="AA102" i="6"/>
  <c r="V101" i="6"/>
  <c r="V104" i="6"/>
  <c r="V91" i="6"/>
  <c r="V98" i="6"/>
  <c r="V103" i="6"/>
  <c r="V92" i="6"/>
  <c r="V96" i="6"/>
  <c r="V89" i="6"/>
  <c r="V99" i="6"/>
  <c r="V90" i="6"/>
  <c r="V102" i="6"/>
  <c r="V95" i="6"/>
  <c r="AB8" i="6"/>
  <c r="V86" i="6"/>
  <c r="V87" i="6"/>
  <c r="GX147" i="1"/>
  <c r="HE63" i="1"/>
  <c r="AN17" i="6"/>
  <c r="AQ11" i="6"/>
  <c r="AM12" i="6"/>
  <c r="AH21" i="6"/>
  <c r="AH18" i="6"/>
  <c r="AO20" i="6"/>
  <c r="AG17" i="6"/>
  <c r="AO8" i="6"/>
  <c r="AL23" i="6"/>
  <c r="AO14" i="6"/>
  <c r="AM20" i="6"/>
  <c r="AN12" i="6"/>
  <c r="AQ17" i="6"/>
  <c r="AP24" i="6"/>
  <c r="AE8" i="6"/>
  <c r="GY147" i="1"/>
  <c r="HE150" i="1"/>
  <c r="HD150" i="1"/>
  <c r="AN8" i="6"/>
  <c r="AC8" i="6"/>
  <c r="HD40" i="1"/>
  <c r="HD13" i="1"/>
  <c r="HD15" i="1"/>
  <c r="HD33" i="1"/>
  <c r="HD34" i="1"/>
  <c r="HD100" i="1"/>
  <c r="HD102" i="1"/>
  <c r="HD104" i="1"/>
  <c r="HB69" i="1"/>
  <c r="HE69" i="1" s="1"/>
  <c r="HD14" i="1"/>
  <c r="HD16" i="1"/>
  <c r="HD26" i="1"/>
  <c r="HD32" i="1"/>
  <c r="HD96" i="1"/>
  <c r="HD101" i="1"/>
  <c r="HE104" i="1"/>
  <c r="HA64" i="1"/>
  <c r="HB70" i="1"/>
  <c r="HE70" i="1" s="1"/>
  <c r="HB73" i="1"/>
  <c r="HE73" i="1" s="1"/>
  <c r="HB158" i="1"/>
  <c r="HE158" i="1" s="1"/>
  <c r="HD6" i="1"/>
  <c r="HB146" i="1"/>
  <c r="HE146" i="1" s="1"/>
  <c r="AE25" i="6"/>
  <c r="AC13" i="6"/>
  <c r="AC24" i="6"/>
  <c r="HB61" i="1"/>
  <c r="HE61" i="1" s="1"/>
  <c r="HA71" i="1"/>
  <c r="HD75" i="1"/>
  <c r="BR53" i="5" s="1"/>
  <c r="BR139" i="5" s="1"/>
  <c r="AN13" i="6"/>
  <c r="AL18" i="6"/>
  <c r="AJ20" i="6"/>
  <c r="AI20" i="6"/>
  <c r="AH14" i="6"/>
  <c r="AD21" i="6"/>
  <c r="AC20" i="6"/>
  <c r="AE23" i="6"/>
  <c r="AF20" i="6"/>
  <c r="AK10" i="6"/>
  <c r="AY10" i="6" s="1"/>
  <c r="AM11" i="6"/>
  <c r="AP18" i="6"/>
  <c r="AM26" i="6"/>
  <c r="BE62" i="5"/>
  <c r="HD7" i="1"/>
  <c r="HD9" i="1"/>
  <c r="HD10" i="1"/>
  <c r="HD19" i="1"/>
  <c r="HD93" i="1"/>
  <c r="HA144" i="1"/>
  <c r="HD119" i="1"/>
  <c r="HD125" i="1"/>
  <c r="HA164" i="1"/>
  <c r="HE75" i="1"/>
  <c r="BS71" i="5"/>
  <c r="AQ24" i="6"/>
  <c r="AQ25" i="6"/>
  <c r="AQ14" i="6"/>
  <c r="AP21" i="6"/>
  <c r="AO13" i="6"/>
  <c r="AO21" i="6"/>
  <c r="AN20" i="6"/>
  <c r="AN11" i="6"/>
  <c r="AM9" i="6"/>
  <c r="AM25" i="6"/>
  <c r="AL17" i="6"/>
  <c r="AL24" i="6"/>
  <c r="AK20" i="6"/>
  <c r="AY20" i="6" s="1"/>
  <c r="AJ18" i="6"/>
  <c r="AJ10" i="6"/>
  <c r="AI11" i="6"/>
  <c r="AI23" i="6"/>
  <c r="AH23" i="6"/>
  <c r="AH13" i="6"/>
  <c r="AG25" i="6"/>
  <c r="AG13" i="6"/>
  <c r="AG20" i="6"/>
  <c r="AF12" i="6"/>
  <c r="AE14" i="6"/>
  <c r="AD10" i="6"/>
  <c r="AD9" i="6"/>
  <c r="AC12" i="6"/>
  <c r="AC17" i="6"/>
  <c r="AC9" i="6"/>
  <c r="AC25" i="6"/>
  <c r="AD11" i="6"/>
  <c r="AD17" i="6"/>
  <c r="AE9" i="6"/>
  <c r="AE26" i="6"/>
  <c r="AF9" i="6"/>
  <c r="AF21" i="6"/>
  <c r="AG26" i="6"/>
  <c r="AI8" i="6"/>
  <c r="AI17" i="6"/>
  <c r="AJ26" i="6"/>
  <c r="AK11" i="6"/>
  <c r="AY11" i="6" s="1"/>
  <c r="AK18" i="6"/>
  <c r="AY18" i="6" s="1"/>
  <c r="AL26" i="6"/>
  <c r="AM13" i="6"/>
  <c r="AP17" i="6"/>
  <c r="AN9" i="6"/>
  <c r="AC26" i="6"/>
  <c r="AN10" i="6"/>
  <c r="AQ10" i="6"/>
  <c r="AO26" i="6"/>
  <c r="AN21" i="6"/>
  <c r="AM14" i="6"/>
  <c r="AL12" i="6"/>
  <c r="AK21" i="6"/>
  <c r="AY21" i="6" s="1"/>
  <c r="AJ25" i="6"/>
  <c r="AH24" i="6"/>
  <c r="AG14" i="6"/>
  <c r="AF23" i="6"/>
  <c r="AE17" i="6"/>
  <c r="AD14" i="6"/>
  <c r="AF26" i="6"/>
  <c r="AL11" i="6"/>
  <c r="AJ11" i="6"/>
  <c r="AQ9" i="6"/>
  <c r="HB76" i="1"/>
  <c r="HD76" i="1" s="1"/>
  <c r="BR54" i="5" s="1"/>
  <c r="HA145" i="1"/>
  <c r="HD123" i="1"/>
  <c r="HA60" i="1"/>
  <c r="HB74" i="1"/>
  <c r="HE74" i="1" s="1"/>
  <c r="HB159" i="1"/>
  <c r="HE159" i="1" s="1"/>
  <c r="HB162" i="1"/>
  <c r="HE162" i="1" s="1"/>
  <c r="AQ21" i="6"/>
  <c r="AQ23" i="6"/>
  <c r="AQ13" i="6"/>
  <c r="AP20" i="6"/>
  <c r="AO18" i="6"/>
  <c r="AO11" i="6"/>
  <c r="AM18" i="6"/>
  <c r="AM21" i="6"/>
  <c r="AL25" i="6"/>
  <c r="AL14" i="6"/>
  <c r="AL21" i="6"/>
  <c r="AK25" i="6"/>
  <c r="AY25" i="6" s="1"/>
  <c r="AJ17" i="6"/>
  <c r="AJ8" i="6"/>
  <c r="AI24" i="6"/>
  <c r="AH11" i="6"/>
  <c r="AH20" i="6"/>
  <c r="AG18" i="6"/>
  <c r="AG10" i="6"/>
  <c r="AG12" i="6"/>
  <c r="AF13" i="6"/>
  <c r="AF18" i="6"/>
  <c r="AE13" i="6"/>
  <c r="AE20" i="6"/>
  <c r="AD23" i="6"/>
  <c r="AC23" i="6"/>
  <c r="AC14" i="6"/>
  <c r="AC11" i="6"/>
  <c r="AD12" i="6"/>
  <c r="AD18" i="6"/>
  <c r="AE10" i="6"/>
  <c r="AF11" i="6"/>
  <c r="AF24" i="6"/>
  <c r="AG9" i="6"/>
  <c r="AH9" i="6"/>
  <c r="AI9" i="6"/>
  <c r="AI18" i="6"/>
  <c r="AK8" i="6"/>
  <c r="AY8" i="6" s="1"/>
  <c r="AK13" i="6"/>
  <c r="AY13" i="6" s="1"/>
  <c r="AK26" i="6"/>
  <c r="AY26" i="6" s="1"/>
  <c r="AL9" i="6"/>
  <c r="AM8" i="6"/>
  <c r="AM23" i="6"/>
  <c r="AN14" i="6"/>
  <c r="AF10" i="6"/>
  <c r="AP14" i="6"/>
  <c r="AO25" i="6"/>
  <c r="AJ24" i="6"/>
  <c r="AP11" i="6"/>
  <c r="AQ26" i="6"/>
  <c r="AO10" i="6"/>
  <c r="HB151" i="1"/>
  <c r="AQ12" i="6"/>
  <c r="AP23" i="6"/>
  <c r="AL8" i="6"/>
  <c r="AJ13" i="6"/>
  <c r="AI13" i="6"/>
  <c r="AH25" i="6"/>
  <c r="AG21" i="6"/>
  <c r="AD20" i="6"/>
  <c r="AC18" i="6"/>
  <c r="AG23" i="6"/>
  <c r="AH26" i="6"/>
  <c r="AI14" i="6"/>
  <c r="AJ12" i="6"/>
  <c r="AK17" i="6"/>
  <c r="AY17" i="6" s="1"/>
  <c r="AP8" i="6"/>
  <c r="HD8" i="1"/>
  <c r="HD21" i="1"/>
  <c r="HD36" i="1"/>
  <c r="HD39" i="1"/>
  <c r="HD51" i="1"/>
  <c r="HD94" i="1"/>
  <c r="HD95" i="1"/>
  <c r="HD113" i="1"/>
  <c r="HD126" i="1"/>
  <c r="HD127" i="1"/>
  <c r="HB58" i="1"/>
  <c r="HE58" i="1" s="1"/>
  <c r="HB173" i="1"/>
  <c r="HD173" i="1" s="1"/>
  <c r="BS45" i="5" s="1"/>
  <c r="AQ20" i="6"/>
  <c r="AQ18" i="6"/>
  <c r="AQ8" i="6"/>
  <c r="AP25" i="6"/>
  <c r="AO17" i="6"/>
  <c r="AO12" i="6"/>
  <c r="AN24" i="6"/>
  <c r="AN23" i="6"/>
  <c r="AM17" i="6"/>
  <c r="AL13" i="6"/>
  <c r="AL20" i="6"/>
  <c r="AK24" i="6"/>
  <c r="AY24" i="6" s="1"/>
  <c r="AK23" i="6"/>
  <c r="AY23" i="6" s="1"/>
  <c r="AJ14" i="6"/>
  <c r="AJ21" i="6"/>
  <c r="AI25" i="6"/>
  <c r="AI21" i="6"/>
  <c r="AH17" i="6"/>
  <c r="AH8" i="6"/>
  <c r="AH12" i="6"/>
  <c r="AG8" i="6"/>
  <c r="AF8" i="6"/>
  <c r="AF17" i="6"/>
  <c r="AE18" i="6"/>
  <c r="AE11" i="6"/>
  <c r="AE21" i="6"/>
  <c r="AD25" i="6"/>
  <c r="AC10" i="6"/>
  <c r="AC21" i="6"/>
  <c r="AD13" i="6"/>
  <c r="AD24" i="6"/>
  <c r="AE12" i="6"/>
  <c r="AF14" i="6"/>
  <c r="AF25" i="6"/>
  <c r="AG11" i="6"/>
  <c r="AH10" i="6"/>
  <c r="AI12" i="6"/>
  <c r="AI26" i="6"/>
  <c r="AJ9" i="6"/>
  <c r="AK9" i="6"/>
  <c r="AY9" i="6" s="1"/>
  <c r="AK14" i="6"/>
  <c r="AY14" i="6" s="1"/>
  <c r="AL10" i="6"/>
  <c r="AM10" i="6"/>
  <c r="AM24" i="6"/>
  <c r="AP10" i="6"/>
  <c r="AP13" i="6"/>
  <c r="AO9" i="6"/>
  <c r="AI10" i="6"/>
  <c r="AG24" i="6"/>
  <c r="AP12" i="6"/>
  <c r="AO23" i="6"/>
  <c r="AJ23" i="6"/>
  <c r="AP26" i="6"/>
  <c r="AN18" i="6"/>
  <c r="AD26" i="6"/>
  <c r="AB10" i="6"/>
  <c r="AB105" i="6"/>
  <c r="AB25" i="6"/>
  <c r="AB24" i="6"/>
  <c r="AB23" i="6"/>
  <c r="AB100" i="6"/>
  <c r="AB21" i="6"/>
  <c r="AB20" i="6"/>
  <c r="AB94" i="6"/>
  <c r="AB93" i="6"/>
  <c r="AB14" i="6"/>
  <c r="AB13" i="6"/>
  <c r="AB12" i="6"/>
  <c r="AB11" i="6"/>
  <c r="AB9" i="6"/>
  <c r="AB26" i="6"/>
  <c r="AB18" i="6"/>
  <c r="AB17" i="6"/>
  <c r="AN26" i="6"/>
  <c r="HD86" i="1"/>
  <c r="BR45" i="5" s="1"/>
  <c r="BR131" i="5" s="1"/>
  <c r="HB57" i="1"/>
  <c r="HE57" i="1" s="1"/>
  <c r="HA59" i="1"/>
  <c r="HB62" i="1"/>
  <c r="HE62" i="1" s="1"/>
  <c r="HB143" i="1"/>
  <c r="HE143" i="1" s="1"/>
  <c r="HB163" i="1"/>
  <c r="HE163" i="1" s="1"/>
  <c r="HD17" i="1"/>
  <c r="HD31" i="1"/>
  <c r="HD35" i="1"/>
  <c r="HD38" i="1"/>
  <c r="HD42" i="1"/>
  <c r="HE51" i="1"/>
  <c r="HD99" i="1"/>
  <c r="HD103" i="1"/>
  <c r="HD108" i="1"/>
  <c r="HD120" i="1"/>
  <c r="HD124" i="1"/>
  <c r="HA57" i="1"/>
  <c r="HA62" i="1"/>
  <c r="HA70" i="1"/>
  <c r="HA74" i="1"/>
  <c r="HA77" i="1"/>
  <c r="HA85" i="1"/>
  <c r="HD85" i="1" s="1"/>
  <c r="BR40" i="5" s="1"/>
  <c r="BR126" i="5" s="1"/>
  <c r="HA143" i="1"/>
  <c r="HB144" i="1"/>
  <c r="HE144" i="1" s="1"/>
  <c r="HB145" i="1"/>
  <c r="HE145" i="1" s="1"/>
  <c r="HA146" i="1"/>
  <c r="HA147" i="1"/>
  <c r="HB149" i="1"/>
  <c r="HE149" i="1" s="1"/>
  <c r="HA151" i="1"/>
  <c r="HD151" i="1" s="1"/>
  <c r="BS44" i="5" s="1"/>
  <c r="BS130" i="5" s="1"/>
  <c r="HB156" i="1"/>
  <c r="HE156" i="1" s="1"/>
  <c r="HB157" i="1"/>
  <c r="HA159" i="1"/>
  <c r="HB160" i="1"/>
  <c r="HE160" i="1" s="1"/>
  <c r="HB161" i="1"/>
  <c r="HE161" i="1" s="1"/>
  <c r="HA163" i="1"/>
  <c r="HB164" i="1"/>
  <c r="HE164" i="1" s="1"/>
  <c r="HB172" i="1"/>
  <c r="HE172" i="1" s="1"/>
  <c r="HB77" i="1"/>
  <c r="HE77" i="1" s="1"/>
  <c r="HB147" i="1"/>
  <c r="HE147" i="1" s="1"/>
  <c r="HE38" i="1"/>
  <c r="HD118" i="1"/>
  <c r="HD122" i="1"/>
  <c r="HB56" i="1"/>
  <c r="HD56" i="1" s="1"/>
  <c r="BR34" i="5" s="1"/>
  <c r="HB59" i="1"/>
  <c r="HE59" i="1" s="1"/>
  <c r="HB60" i="1"/>
  <c r="HB64" i="1"/>
  <c r="HE64" i="1" s="1"/>
  <c r="HB71" i="1"/>
  <c r="HB72" i="1"/>
  <c r="HD97" i="1"/>
  <c r="HE86" i="1"/>
  <c r="HA148" i="1"/>
  <c r="HD148" i="1" s="1"/>
  <c r="BS39" i="5" s="1"/>
  <c r="BS125" i="5" s="1"/>
  <c r="HE151" i="1"/>
  <c r="IF173" i="1"/>
  <c r="IE173" i="1"/>
  <c r="IF172" i="1"/>
  <c r="IE172" i="1"/>
  <c r="IF164" i="1"/>
  <c r="IE164" i="1"/>
  <c r="IF163" i="1"/>
  <c r="IH163" i="1" s="1"/>
  <c r="IF162" i="1"/>
  <c r="IE162" i="1"/>
  <c r="IF161" i="1"/>
  <c r="IE161" i="1"/>
  <c r="IF160" i="1"/>
  <c r="IE160" i="1"/>
  <c r="IF159" i="1"/>
  <c r="IE159" i="1"/>
  <c r="IG158" i="1"/>
  <c r="IF158" i="1"/>
  <c r="IE158" i="1"/>
  <c r="IG157" i="1"/>
  <c r="IF157" i="1"/>
  <c r="IE157" i="1"/>
  <c r="IF156" i="1"/>
  <c r="IE156" i="1"/>
  <c r="IF151" i="1"/>
  <c r="IE151" i="1"/>
  <c r="IF150" i="1"/>
  <c r="IE150" i="1"/>
  <c r="IF149" i="1"/>
  <c r="IE149" i="1"/>
  <c r="IF148" i="1"/>
  <c r="IE148" i="1"/>
  <c r="IF147" i="1"/>
  <c r="IE147" i="1"/>
  <c r="IF146" i="1"/>
  <c r="IE146" i="1"/>
  <c r="IF145" i="1"/>
  <c r="IE145" i="1"/>
  <c r="IF144" i="1"/>
  <c r="IE144" i="1"/>
  <c r="IF143" i="1"/>
  <c r="IE143" i="1"/>
  <c r="IA173" i="1"/>
  <c r="HZ173" i="1"/>
  <c r="HY173" i="1"/>
  <c r="HZ172" i="1"/>
  <c r="HY172" i="1"/>
  <c r="IA164" i="1"/>
  <c r="HZ164" i="1"/>
  <c r="HY164" i="1"/>
  <c r="HZ163" i="1"/>
  <c r="HY163" i="1"/>
  <c r="HZ162" i="1"/>
  <c r="HY162" i="1"/>
  <c r="IA161" i="1"/>
  <c r="HZ161" i="1"/>
  <c r="HY161" i="1"/>
  <c r="HZ160" i="1"/>
  <c r="HY160" i="1"/>
  <c r="HZ159" i="1"/>
  <c r="HY159" i="1"/>
  <c r="IA158" i="1"/>
  <c r="HZ158" i="1"/>
  <c r="HY158" i="1"/>
  <c r="IA157" i="1"/>
  <c r="HZ157" i="1"/>
  <c r="HY157" i="1"/>
  <c r="IA156" i="1"/>
  <c r="HZ156" i="1"/>
  <c r="HY156" i="1"/>
  <c r="IA151" i="1"/>
  <c r="HZ151" i="1"/>
  <c r="HY151" i="1"/>
  <c r="HZ150" i="1"/>
  <c r="HY150" i="1"/>
  <c r="HZ149" i="1"/>
  <c r="HY149" i="1"/>
  <c r="HZ148" i="1"/>
  <c r="HY148" i="1"/>
  <c r="HZ147" i="1"/>
  <c r="HY147" i="1"/>
  <c r="HZ146" i="1"/>
  <c r="HY146" i="1"/>
  <c r="HZ145" i="1"/>
  <c r="HY145" i="1"/>
  <c r="HZ144" i="1"/>
  <c r="HY144" i="1"/>
  <c r="HZ143" i="1"/>
  <c r="HY143" i="1"/>
  <c r="HU173" i="1"/>
  <c r="HU172" i="1"/>
  <c r="HU164" i="1"/>
  <c r="HU163" i="1"/>
  <c r="HT163" i="1"/>
  <c r="HS163" i="1"/>
  <c r="HU162" i="1"/>
  <c r="HU161" i="1"/>
  <c r="HT161" i="1"/>
  <c r="HS161" i="1"/>
  <c r="HU160" i="1"/>
  <c r="HU159" i="1"/>
  <c r="HU158" i="1"/>
  <c r="HT158" i="1"/>
  <c r="HS158" i="1"/>
  <c r="HU157" i="1"/>
  <c r="HT157" i="1"/>
  <c r="HS157" i="1"/>
  <c r="HU156" i="1"/>
  <c r="HT156" i="1"/>
  <c r="HS156" i="1"/>
  <c r="HU151" i="1"/>
  <c r="HT151" i="1"/>
  <c r="HS151" i="1"/>
  <c r="HU150" i="1"/>
  <c r="HU149" i="1"/>
  <c r="HU148" i="1"/>
  <c r="HU147" i="1"/>
  <c r="HT147" i="1"/>
  <c r="HS147" i="1"/>
  <c r="HU146" i="1"/>
  <c r="HU145" i="1"/>
  <c r="HU144" i="1"/>
  <c r="HT144" i="1"/>
  <c r="HS144" i="1"/>
  <c r="HU143" i="1"/>
  <c r="HT143" i="1"/>
  <c r="HS143" i="1"/>
  <c r="HO173" i="1"/>
  <c r="HO172" i="1"/>
  <c r="HO164" i="1"/>
  <c r="HN164" i="1"/>
  <c r="HM164" i="1"/>
  <c r="HO163" i="1"/>
  <c r="HO162" i="1"/>
  <c r="HO161" i="1"/>
  <c r="HO160" i="1"/>
  <c r="HO159" i="1"/>
  <c r="HO158" i="1"/>
  <c r="HO157" i="1"/>
  <c r="HN157" i="1"/>
  <c r="HM157" i="1"/>
  <c r="HO156" i="1"/>
  <c r="HN156" i="1"/>
  <c r="HM156" i="1"/>
  <c r="HO151" i="1"/>
  <c r="HO150" i="1"/>
  <c r="HO149" i="1"/>
  <c r="HO148" i="1"/>
  <c r="HO147" i="1"/>
  <c r="HN147" i="1"/>
  <c r="HM147" i="1"/>
  <c r="HO146" i="1"/>
  <c r="HO145" i="1"/>
  <c r="HO144" i="1"/>
  <c r="HO143" i="1"/>
  <c r="HN143" i="1"/>
  <c r="HM143" i="1"/>
  <c r="HG143" i="1"/>
  <c r="HI173" i="1"/>
  <c r="HH173" i="1"/>
  <c r="HG173" i="1"/>
  <c r="HI172" i="1"/>
  <c r="HH172" i="1"/>
  <c r="HG172" i="1"/>
  <c r="HI164" i="1"/>
  <c r="HH164" i="1"/>
  <c r="HG164" i="1"/>
  <c r="HI163" i="1"/>
  <c r="HH163" i="1"/>
  <c r="HG163" i="1"/>
  <c r="HI162" i="1"/>
  <c r="HH162" i="1"/>
  <c r="HG162" i="1"/>
  <c r="HI161" i="1"/>
  <c r="HH161" i="1"/>
  <c r="HG161" i="1"/>
  <c r="HI160" i="1"/>
  <c r="HH160" i="1"/>
  <c r="HG160" i="1"/>
  <c r="HI159" i="1"/>
  <c r="HH159" i="1"/>
  <c r="HG159" i="1"/>
  <c r="HI158" i="1"/>
  <c r="HH158" i="1"/>
  <c r="HG158" i="1"/>
  <c r="HI157" i="1"/>
  <c r="HH157" i="1"/>
  <c r="HG157" i="1"/>
  <c r="HI156" i="1"/>
  <c r="HH156" i="1"/>
  <c r="HG156" i="1"/>
  <c r="HI151" i="1"/>
  <c r="HH151" i="1"/>
  <c r="HG151" i="1"/>
  <c r="HI150" i="1"/>
  <c r="HH150" i="1"/>
  <c r="HG150" i="1"/>
  <c r="HI149" i="1"/>
  <c r="HG149" i="1"/>
  <c r="HI148" i="1"/>
  <c r="HH148" i="1"/>
  <c r="HG148" i="1"/>
  <c r="HI147" i="1"/>
  <c r="HH147" i="1"/>
  <c r="HG147" i="1"/>
  <c r="HI146" i="1"/>
  <c r="HH146" i="1"/>
  <c r="HG146" i="1"/>
  <c r="HI145" i="1"/>
  <c r="HH145" i="1"/>
  <c r="HG145" i="1"/>
  <c r="HI144" i="1"/>
  <c r="HH144" i="1"/>
  <c r="HG144" i="1"/>
  <c r="HI143" i="1"/>
  <c r="HH143" i="1"/>
  <c r="GQ151" i="1"/>
  <c r="GP151" i="1"/>
  <c r="GO151" i="1"/>
  <c r="GK173" i="1"/>
  <c r="GK151" i="1"/>
  <c r="GJ151" i="1"/>
  <c r="GI151" i="1"/>
  <c r="GE160" i="1"/>
  <c r="GD160" i="1"/>
  <c r="GC160" i="1"/>
  <c r="GE157" i="1"/>
  <c r="GD157" i="1"/>
  <c r="GC157" i="1"/>
  <c r="FY173" i="1"/>
  <c r="FY172" i="1"/>
  <c r="FY164" i="1"/>
  <c r="FX164" i="1"/>
  <c r="FW164" i="1"/>
  <c r="FY163" i="1"/>
  <c r="FY162" i="1"/>
  <c r="FY161" i="1"/>
  <c r="FX161" i="1"/>
  <c r="FW161" i="1"/>
  <c r="FY160" i="1"/>
  <c r="FY159" i="1"/>
  <c r="FY158" i="1"/>
  <c r="FY157" i="1"/>
  <c r="FX157" i="1"/>
  <c r="FW157" i="1"/>
  <c r="FY156" i="1"/>
  <c r="FY151" i="1"/>
  <c r="FX151" i="1"/>
  <c r="FW151" i="1"/>
  <c r="FY150" i="1"/>
  <c r="FY149" i="1"/>
  <c r="FY148" i="1"/>
  <c r="FY147" i="1"/>
  <c r="FY146" i="1"/>
  <c r="FY145" i="1"/>
  <c r="FY144" i="1"/>
  <c r="FY143" i="1"/>
  <c r="FS158" i="1"/>
  <c r="FR158" i="1"/>
  <c r="FQ158" i="1"/>
  <c r="FS157" i="1"/>
  <c r="FR157" i="1"/>
  <c r="FQ157" i="1"/>
  <c r="FS151" i="1"/>
  <c r="FR151" i="1"/>
  <c r="FQ151" i="1"/>
  <c r="FL173" i="1"/>
  <c r="FK173" i="1"/>
  <c r="FL172" i="1"/>
  <c r="FK172" i="1"/>
  <c r="FL164" i="1"/>
  <c r="FK164" i="1"/>
  <c r="FL163" i="1"/>
  <c r="FK163" i="1"/>
  <c r="FL162" i="1"/>
  <c r="FK162" i="1"/>
  <c r="FL161" i="1"/>
  <c r="FK161" i="1"/>
  <c r="FL160" i="1"/>
  <c r="FK160" i="1"/>
  <c r="FL159" i="1"/>
  <c r="FK159" i="1"/>
  <c r="FM158" i="1"/>
  <c r="FL158" i="1"/>
  <c r="FK158" i="1"/>
  <c r="FM157" i="1"/>
  <c r="FL157" i="1"/>
  <c r="FK157" i="1"/>
  <c r="FL156" i="1"/>
  <c r="FO156" i="1" s="1"/>
  <c r="FK156" i="1"/>
  <c r="FL151" i="1"/>
  <c r="FK151" i="1"/>
  <c r="FL150" i="1"/>
  <c r="FK150" i="1"/>
  <c r="FL149" i="1"/>
  <c r="FK149" i="1"/>
  <c r="FL148" i="1"/>
  <c r="FK148" i="1"/>
  <c r="FL147" i="1"/>
  <c r="FK147" i="1"/>
  <c r="FL146" i="1"/>
  <c r="FK146" i="1"/>
  <c r="FL145" i="1"/>
  <c r="FK145" i="1"/>
  <c r="FL144" i="1"/>
  <c r="FK144" i="1"/>
  <c r="FG173" i="1"/>
  <c r="FF173" i="1"/>
  <c r="FE173" i="1"/>
  <c r="FG172" i="1"/>
  <c r="FF172" i="1"/>
  <c r="FE172" i="1"/>
  <c r="FG164" i="1"/>
  <c r="FF164" i="1"/>
  <c r="FE164" i="1"/>
  <c r="FG163" i="1"/>
  <c r="FF163" i="1"/>
  <c r="FE163" i="1"/>
  <c r="FG162" i="1"/>
  <c r="FF162" i="1"/>
  <c r="FE162" i="1"/>
  <c r="FG161" i="1"/>
  <c r="FF161" i="1"/>
  <c r="FE161" i="1"/>
  <c r="FG160" i="1"/>
  <c r="FF160" i="1"/>
  <c r="FE160" i="1"/>
  <c r="FG159" i="1"/>
  <c r="FF159" i="1"/>
  <c r="FG158" i="1"/>
  <c r="FF158" i="1"/>
  <c r="FE158" i="1"/>
  <c r="FG157" i="1"/>
  <c r="FF157" i="1"/>
  <c r="FE157" i="1"/>
  <c r="FG156" i="1"/>
  <c r="FF156" i="1"/>
  <c r="FE156" i="1"/>
  <c r="FG151" i="1"/>
  <c r="FG150" i="1"/>
  <c r="FF150" i="1"/>
  <c r="FE150" i="1"/>
  <c r="FG149" i="1"/>
  <c r="FF149" i="1"/>
  <c r="FE149" i="1"/>
  <c r="FG148" i="1"/>
  <c r="FF148" i="1"/>
  <c r="FE148" i="1"/>
  <c r="FG147" i="1"/>
  <c r="FF147" i="1"/>
  <c r="FE147" i="1"/>
  <c r="FG146" i="1"/>
  <c r="FF146" i="1"/>
  <c r="FE146" i="1"/>
  <c r="FG145" i="1"/>
  <c r="FF145" i="1"/>
  <c r="FE145" i="1"/>
  <c r="FG144" i="1"/>
  <c r="FF144" i="1"/>
  <c r="FE144" i="1"/>
  <c r="FG143" i="1"/>
  <c r="FF143" i="1"/>
  <c r="FE143" i="1"/>
  <c r="EY143" i="1"/>
  <c r="FA173" i="1"/>
  <c r="EZ173" i="1"/>
  <c r="EY173" i="1"/>
  <c r="FA172" i="1"/>
  <c r="EZ172" i="1"/>
  <c r="EY172" i="1"/>
  <c r="FA164" i="1"/>
  <c r="EZ164" i="1"/>
  <c r="EY164" i="1"/>
  <c r="FA163" i="1"/>
  <c r="EZ163" i="1"/>
  <c r="EY163" i="1"/>
  <c r="FA162" i="1"/>
  <c r="EZ162" i="1"/>
  <c r="EY162" i="1"/>
  <c r="FA161" i="1"/>
  <c r="EZ161" i="1"/>
  <c r="EY161" i="1"/>
  <c r="FA160" i="1"/>
  <c r="EZ160" i="1"/>
  <c r="EY160" i="1"/>
  <c r="FA159" i="1"/>
  <c r="EZ159" i="1"/>
  <c r="EY159" i="1"/>
  <c r="FA158" i="1"/>
  <c r="EZ158" i="1"/>
  <c r="EY158" i="1"/>
  <c r="FA157" i="1"/>
  <c r="EZ157" i="1"/>
  <c r="EY157" i="1"/>
  <c r="FA156" i="1"/>
  <c r="EZ156" i="1"/>
  <c r="EY156" i="1"/>
  <c r="FA151" i="1"/>
  <c r="EZ151" i="1"/>
  <c r="EY151" i="1"/>
  <c r="FA150" i="1"/>
  <c r="EZ150" i="1"/>
  <c r="EY150" i="1"/>
  <c r="FA149" i="1"/>
  <c r="EZ149" i="1"/>
  <c r="EY149" i="1"/>
  <c r="FA148" i="1"/>
  <c r="EZ148" i="1"/>
  <c r="EY148" i="1"/>
  <c r="FA147" i="1"/>
  <c r="EZ147" i="1"/>
  <c r="EY147" i="1"/>
  <c r="FA146" i="1"/>
  <c r="EZ146" i="1"/>
  <c r="EY146" i="1"/>
  <c r="FA145" i="1"/>
  <c r="EZ145" i="1"/>
  <c r="EY145" i="1"/>
  <c r="FA144" i="1"/>
  <c r="EZ144" i="1"/>
  <c r="EY144" i="1"/>
  <c r="FA143" i="1"/>
  <c r="EZ143" i="1"/>
  <c r="EU144" i="1"/>
  <c r="ES147" i="1"/>
  <c r="ES145" i="1"/>
  <c r="ES144" i="1"/>
  <c r="ES143" i="1"/>
  <c r="EU173" i="1"/>
  <c r="ET173" i="1"/>
  <c r="ES173" i="1"/>
  <c r="EU172" i="1"/>
  <c r="ET172" i="1"/>
  <c r="ES172" i="1"/>
  <c r="EU164" i="1"/>
  <c r="ET164" i="1"/>
  <c r="ES164" i="1"/>
  <c r="EU163" i="1"/>
  <c r="ET163" i="1"/>
  <c r="ES163" i="1"/>
  <c r="EU162" i="1"/>
  <c r="ET162" i="1"/>
  <c r="ES162" i="1"/>
  <c r="EU161" i="1"/>
  <c r="ET161" i="1"/>
  <c r="ES161" i="1"/>
  <c r="EU160" i="1"/>
  <c r="ET160" i="1"/>
  <c r="ES160" i="1"/>
  <c r="EU159" i="1"/>
  <c r="ET159" i="1"/>
  <c r="ES159" i="1"/>
  <c r="EU158" i="1"/>
  <c r="ET158" i="1"/>
  <c r="ES158" i="1"/>
  <c r="EU157" i="1"/>
  <c r="ET157" i="1"/>
  <c r="ES157" i="1"/>
  <c r="EU156" i="1"/>
  <c r="ET156" i="1"/>
  <c r="ES156" i="1"/>
  <c r="EU151" i="1"/>
  <c r="ET151" i="1"/>
  <c r="ES151" i="1"/>
  <c r="EU150" i="1"/>
  <c r="ET150" i="1"/>
  <c r="ES150" i="1"/>
  <c r="EU149" i="1"/>
  <c r="ET149" i="1"/>
  <c r="ES149" i="1"/>
  <c r="EU148" i="1"/>
  <c r="ET148" i="1"/>
  <c r="ES148" i="1"/>
  <c r="EU147" i="1"/>
  <c r="ET147" i="1"/>
  <c r="EU146" i="1"/>
  <c r="ET146" i="1"/>
  <c r="ES146" i="1"/>
  <c r="EU145" i="1"/>
  <c r="ET145" i="1"/>
  <c r="ET144" i="1"/>
  <c r="EU143" i="1"/>
  <c r="EW143" i="1" s="1"/>
  <c r="IM71" i="1"/>
  <c r="IL71" i="1"/>
  <c r="IK71" i="1"/>
  <c r="IM70" i="1"/>
  <c r="IL70" i="1"/>
  <c r="IK70" i="1"/>
  <c r="IM86" i="1"/>
  <c r="IK86" i="1"/>
  <c r="IM85" i="1"/>
  <c r="IL85" i="1"/>
  <c r="IM77" i="1"/>
  <c r="IM76" i="1"/>
  <c r="IM75" i="1"/>
  <c r="IM74" i="1"/>
  <c r="IM73" i="1"/>
  <c r="IL73" i="1"/>
  <c r="IM72" i="1"/>
  <c r="IM69" i="1"/>
  <c r="IL69" i="1"/>
  <c r="IM64" i="1"/>
  <c r="IK64" i="1"/>
  <c r="IM63" i="1"/>
  <c r="IL63" i="1"/>
  <c r="IN22" i="1"/>
  <c r="IM59" i="1"/>
  <c r="IK58" i="1"/>
  <c r="IO9" i="1"/>
  <c r="IM57" i="1"/>
  <c r="II122" i="1"/>
  <c r="II118" i="1"/>
  <c r="II111" i="1"/>
  <c r="II107" i="1"/>
  <c r="II106" i="1"/>
  <c r="II105" i="1"/>
  <c r="II104" i="1"/>
  <c r="II103" i="1"/>
  <c r="II101" i="1"/>
  <c r="II96" i="1"/>
  <c r="IC111" i="1"/>
  <c r="IC110" i="1"/>
  <c r="IC109" i="1"/>
  <c r="IC108" i="1"/>
  <c r="IC107" i="1"/>
  <c r="IC105" i="1"/>
  <c r="IC104" i="1"/>
  <c r="IC103" i="1"/>
  <c r="IC97" i="1"/>
  <c r="IC96" i="1"/>
  <c r="IC94" i="1"/>
  <c r="HS173" i="1"/>
  <c r="HS172" i="1"/>
  <c r="HW128" i="1"/>
  <c r="HW122" i="1"/>
  <c r="HS160" i="1"/>
  <c r="HS159" i="1"/>
  <c r="HS150" i="1"/>
  <c r="HW111" i="1"/>
  <c r="HW110" i="1"/>
  <c r="HW108" i="1"/>
  <c r="HW106" i="1"/>
  <c r="HV106" i="1"/>
  <c r="HW105" i="1"/>
  <c r="HW104" i="1"/>
  <c r="HW101" i="1"/>
  <c r="HW97" i="1"/>
  <c r="HN173" i="1"/>
  <c r="HN172" i="1"/>
  <c r="HM163" i="1"/>
  <c r="HN162" i="1"/>
  <c r="HQ123" i="1"/>
  <c r="HN159" i="1"/>
  <c r="HM159" i="1"/>
  <c r="HN158" i="1"/>
  <c r="HN151" i="1"/>
  <c r="HN150" i="1"/>
  <c r="HQ108" i="1"/>
  <c r="HM149" i="1"/>
  <c r="HQ104" i="1"/>
  <c r="HQ102" i="1"/>
  <c r="HP102" i="1"/>
  <c r="HQ101" i="1"/>
  <c r="HP100" i="1"/>
  <c r="HQ99" i="1"/>
  <c r="HQ98" i="1"/>
  <c r="HQ95" i="1"/>
  <c r="HM144" i="1"/>
  <c r="HK128" i="1"/>
  <c r="HJ128" i="1"/>
  <c r="HK127" i="1"/>
  <c r="HJ127" i="1"/>
  <c r="HK126" i="1"/>
  <c r="HJ126" i="1"/>
  <c r="HK125" i="1"/>
  <c r="HJ125" i="1"/>
  <c r="HK124" i="1"/>
  <c r="HJ124" i="1"/>
  <c r="HK123" i="1"/>
  <c r="HJ123" i="1"/>
  <c r="HK122" i="1"/>
  <c r="HJ122" i="1"/>
  <c r="HK121" i="1"/>
  <c r="HJ121" i="1"/>
  <c r="HK120" i="1"/>
  <c r="HJ120" i="1"/>
  <c r="HK119" i="1"/>
  <c r="HJ119" i="1"/>
  <c r="HK118" i="1"/>
  <c r="HJ118" i="1"/>
  <c r="HK113" i="1"/>
  <c r="HJ113" i="1"/>
  <c r="HK112" i="1"/>
  <c r="HJ112" i="1"/>
  <c r="HK111" i="1"/>
  <c r="HK107" i="1"/>
  <c r="HJ107" i="1"/>
  <c r="HK106" i="1"/>
  <c r="HJ106" i="1"/>
  <c r="HK104" i="1"/>
  <c r="HJ104" i="1"/>
  <c r="HK103" i="1"/>
  <c r="HJ103" i="1"/>
  <c r="HK102" i="1"/>
  <c r="HJ102" i="1"/>
  <c r="HK101" i="1"/>
  <c r="HJ101" i="1"/>
  <c r="HK97" i="1"/>
  <c r="HJ97" i="1"/>
  <c r="HK96" i="1"/>
  <c r="HJ96" i="1"/>
  <c r="HK95" i="1"/>
  <c r="HJ95" i="1"/>
  <c r="HK94" i="1"/>
  <c r="HJ94" i="1"/>
  <c r="HK93" i="1"/>
  <c r="HJ93" i="1"/>
  <c r="GY128" i="1"/>
  <c r="GY126" i="1"/>
  <c r="GV148" i="1"/>
  <c r="GY148" i="1" s="1"/>
  <c r="GU148" i="1"/>
  <c r="GY101" i="1"/>
  <c r="GU145" i="1"/>
  <c r="GY94" i="1"/>
  <c r="GX94" i="1"/>
  <c r="GP173" i="1"/>
  <c r="GQ172" i="1"/>
  <c r="GO172" i="1"/>
  <c r="GS126" i="1"/>
  <c r="GP162" i="1"/>
  <c r="GO162" i="1"/>
  <c r="GP161" i="1"/>
  <c r="GO161" i="1"/>
  <c r="GQ160" i="1"/>
  <c r="GP160" i="1"/>
  <c r="GQ159" i="1"/>
  <c r="GO159" i="1"/>
  <c r="GP158" i="1"/>
  <c r="GQ157" i="1"/>
  <c r="GP157" i="1"/>
  <c r="GO157" i="1"/>
  <c r="GQ156" i="1"/>
  <c r="GP156" i="1"/>
  <c r="GQ150" i="1"/>
  <c r="GP150" i="1"/>
  <c r="GO150" i="1"/>
  <c r="GR99" i="1"/>
  <c r="GQ144" i="1"/>
  <c r="GP144" i="1"/>
  <c r="GO144" i="1"/>
  <c r="GS94" i="1"/>
  <c r="GJ173" i="1"/>
  <c r="GI173" i="1"/>
  <c r="GK172" i="1"/>
  <c r="GJ172" i="1"/>
  <c r="GI172" i="1"/>
  <c r="GK162" i="1"/>
  <c r="GK161" i="1"/>
  <c r="GJ161" i="1"/>
  <c r="GI161" i="1"/>
  <c r="GK160" i="1"/>
  <c r="GK159" i="1"/>
  <c r="GK158" i="1"/>
  <c r="GI158" i="1"/>
  <c r="GJ157" i="1"/>
  <c r="GI157" i="1"/>
  <c r="GK156" i="1"/>
  <c r="GJ156" i="1"/>
  <c r="GK150" i="1"/>
  <c r="GI150" i="1"/>
  <c r="GM111" i="1"/>
  <c r="GK149" i="1"/>
  <c r="GK148" i="1"/>
  <c r="GJ148" i="1"/>
  <c r="GI148" i="1"/>
  <c r="GL101" i="1"/>
  <c r="GI146" i="1"/>
  <c r="GK143" i="1"/>
  <c r="GE173" i="1"/>
  <c r="GD173" i="1"/>
  <c r="GE172" i="1"/>
  <c r="GE164" i="1"/>
  <c r="GE163" i="1"/>
  <c r="GC163" i="1"/>
  <c r="GE162" i="1"/>
  <c r="GE161" i="1"/>
  <c r="GC161" i="1"/>
  <c r="GE159" i="1"/>
  <c r="GE158" i="1"/>
  <c r="GC158" i="1"/>
  <c r="GE156" i="1"/>
  <c r="GE151" i="1"/>
  <c r="GC151" i="1"/>
  <c r="GE150" i="1"/>
  <c r="GD150" i="1"/>
  <c r="GE149" i="1"/>
  <c r="GG103" i="1"/>
  <c r="GF103" i="1"/>
  <c r="GE147" i="1"/>
  <c r="GE146" i="1"/>
  <c r="GC146" i="1"/>
  <c r="GE145" i="1"/>
  <c r="GC145" i="1"/>
  <c r="GG96" i="1"/>
  <c r="GE144" i="1"/>
  <c r="FW173" i="1"/>
  <c r="FW172" i="1"/>
  <c r="GA126" i="1"/>
  <c r="FZ126" i="1"/>
  <c r="FW160" i="1"/>
  <c r="FX159" i="1"/>
  <c r="FW159" i="1"/>
  <c r="FW158" i="1"/>
  <c r="GA118" i="1"/>
  <c r="FX150" i="1"/>
  <c r="FW150" i="1"/>
  <c r="GA111" i="1"/>
  <c r="GA108" i="1"/>
  <c r="GA107" i="1"/>
  <c r="GA104" i="1"/>
  <c r="FW145" i="1"/>
  <c r="FS173" i="1"/>
  <c r="FQ173" i="1"/>
  <c r="FQ172" i="1"/>
  <c r="FS164" i="1"/>
  <c r="FR162" i="1"/>
  <c r="FS161" i="1"/>
  <c r="FS160" i="1"/>
  <c r="FS159" i="1"/>
  <c r="FQ159" i="1"/>
  <c r="FT118" i="1"/>
  <c r="FQ156" i="1"/>
  <c r="FS150" i="1"/>
  <c r="FQ150" i="1"/>
  <c r="FU109" i="1"/>
  <c r="FT108" i="1"/>
  <c r="FU107" i="1"/>
  <c r="FT107" i="1"/>
  <c r="FU103" i="1"/>
  <c r="FT102" i="1"/>
  <c r="FQ146" i="1"/>
  <c r="FU94" i="1"/>
  <c r="FO109" i="1"/>
  <c r="FO108" i="1"/>
  <c r="FO101" i="1"/>
  <c r="FO100" i="1"/>
  <c r="FM143" i="1"/>
  <c r="FO143" i="1" s="1"/>
  <c r="FC126" i="1"/>
  <c r="FB126" i="1"/>
  <c r="FC124" i="1"/>
  <c r="FB124" i="1"/>
  <c r="FC123" i="1"/>
  <c r="FB123" i="1"/>
  <c r="FC122" i="1"/>
  <c r="FB122" i="1"/>
  <c r="FC121" i="1"/>
  <c r="FB121" i="1"/>
  <c r="FC118" i="1"/>
  <c r="FB118" i="1"/>
  <c r="FC113" i="1"/>
  <c r="FB113" i="1"/>
  <c r="FC112" i="1"/>
  <c r="FB112" i="1"/>
  <c r="FC110" i="1"/>
  <c r="FB110" i="1"/>
  <c r="FC109" i="1"/>
  <c r="FB109" i="1"/>
  <c r="FC108" i="1"/>
  <c r="FB108" i="1"/>
  <c r="FC102" i="1"/>
  <c r="FB102" i="1"/>
  <c r="FC100" i="1"/>
  <c r="FB100" i="1"/>
  <c r="FC99" i="1"/>
  <c r="FB99" i="1"/>
  <c r="FC96" i="1"/>
  <c r="FB96" i="1"/>
  <c r="FI126" i="1"/>
  <c r="FH126" i="1"/>
  <c r="FI125" i="1"/>
  <c r="FH125" i="1"/>
  <c r="FI123" i="1"/>
  <c r="FH123" i="1"/>
  <c r="FI122" i="1"/>
  <c r="FH122" i="1"/>
  <c r="FI121" i="1"/>
  <c r="FI105" i="1"/>
  <c r="FH105" i="1"/>
  <c r="FI103" i="1"/>
  <c r="FH103" i="1"/>
  <c r="FI102" i="1"/>
  <c r="FH102" i="1"/>
  <c r="FI101" i="1"/>
  <c r="FH101" i="1"/>
  <c r="FI100" i="1"/>
  <c r="FH100" i="1"/>
  <c r="FI97" i="1"/>
  <c r="FH97" i="1"/>
  <c r="FI96" i="1"/>
  <c r="FH96" i="1"/>
  <c r="FI95" i="1"/>
  <c r="FH95" i="1"/>
  <c r="FI94" i="1"/>
  <c r="FH94" i="1"/>
  <c r="BW113" i="5" l="1"/>
  <c r="CC113" i="5"/>
  <c r="BL113" i="5"/>
  <c r="BS113" i="5"/>
  <c r="BZ113" i="5"/>
  <c r="P21" i="36"/>
  <c r="P108" i="36" s="1"/>
  <c r="BR120" i="5"/>
  <c r="M8" i="36"/>
  <c r="M95" i="36" s="1"/>
  <c r="N16" i="36"/>
  <c r="N103" i="36" s="1"/>
  <c r="N21" i="36"/>
  <c r="N108" i="36" s="1"/>
  <c r="Q16" i="36"/>
  <c r="Q103" i="36" s="1"/>
  <c r="M21" i="36"/>
  <c r="M108" i="36" s="1"/>
  <c r="P16" i="36"/>
  <c r="P103" i="36" s="1"/>
  <c r="O8" i="36"/>
  <c r="O95" i="36" s="1"/>
  <c r="P8" i="36"/>
  <c r="P95" i="36" s="1"/>
  <c r="BO113" i="5"/>
  <c r="O21" i="36"/>
  <c r="O108" i="36" s="1"/>
  <c r="Q21" i="36"/>
  <c r="Q108" i="36" s="1"/>
  <c r="N8" i="36"/>
  <c r="Q8" i="36"/>
  <c r="Q95" i="36" s="1"/>
  <c r="L8" i="36"/>
  <c r="L95" i="36" s="1"/>
  <c r="L21" i="36"/>
  <c r="L108" i="36" s="1"/>
  <c r="M104" i="36"/>
  <c r="M103" i="36"/>
  <c r="M96" i="36"/>
  <c r="O104" i="36"/>
  <c r="O103" i="36"/>
  <c r="M109" i="36"/>
  <c r="O96" i="36"/>
  <c r="O109" i="36"/>
  <c r="N95" i="36"/>
  <c r="L104" i="36"/>
  <c r="L103" i="36"/>
  <c r="L96" i="36"/>
  <c r="L109" i="36"/>
  <c r="BQ113" i="5"/>
  <c r="CA113" i="5"/>
  <c r="AZ113" i="5"/>
  <c r="BX113" i="5"/>
  <c r="BC113" i="5"/>
  <c r="HV163" i="1"/>
  <c r="IB146" i="1"/>
  <c r="CA37" i="5" s="1"/>
  <c r="CA123" i="5" s="1"/>
  <c r="P99" i="36"/>
  <c r="P102" i="36"/>
  <c r="P110" i="36"/>
  <c r="P101" i="36"/>
  <c r="P112" i="36"/>
  <c r="P100" i="36"/>
  <c r="P109" i="36"/>
  <c r="P98" i="36"/>
  <c r="P113" i="36"/>
  <c r="P115" i="36"/>
  <c r="P104" i="36"/>
  <c r="P96" i="36"/>
  <c r="P97" i="36"/>
  <c r="P116" i="36"/>
  <c r="P117" i="36"/>
  <c r="IB157" i="1"/>
  <c r="HQ156" i="1"/>
  <c r="HQ164" i="1"/>
  <c r="HV143" i="1"/>
  <c r="HV147" i="1"/>
  <c r="HV157" i="1"/>
  <c r="HW158" i="1"/>
  <c r="HD146" i="1"/>
  <c r="BS37" i="5" s="1"/>
  <c r="BS123" i="5" s="1"/>
  <c r="FC143" i="1"/>
  <c r="HW144" i="1"/>
  <c r="HV161" i="1"/>
  <c r="IC158" i="1"/>
  <c r="FB143" i="1"/>
  <c r="CB113" i="5"/>
  <c r="BD113" i="5"/>
  <c r="BV113" i="5"/>
  <c r="BP113" i="5"/>
  <c r="BJ113" i="5"/>
  <c r="N113" i="36"/>
  <c r="Q116" i="36"/>
  <c r="Q97" i="36"/>
  <c r="N102" i="36"/>
  <c r="N104" i="36"/>
  <c r="Q96" i="36"/>
  <c r="Q99" i="36"/>
  <c r="N97" i="36"/>
  <c r="N112" i="36"/>
  <c r="N99" i="36"/>
  <c r="Q115" i="36"/>
  <c r="Q117" i="36"/>
  <c r="N116" i="36"/>
  <c r="N98" i="36"/>
  <c r="M79" i="36"/>
  <c r="M110" i="36"/>
  <c r="N109" i="36"/>
  <c r="Q112" i="36"/>
  <c r="Q101" i="36"/>
  <c r="Q98" i="36"/>
  <c r="Q104" i="36"/>
  <c r="Q100" i="36"/>
  <c r="N96" i="36"/>
  <c r="N110" i="36"/>
  <c r="N101" i="36"/>
  <c r="N115" i="36"/>
  <c r="N117" i="36"/>
  <c r="Q109" i="36"/>
  <c r="N100" i="36"/>
  <c r="Q79" i="36"/>
  <c r="Q110" i="36"/>
  <c r="Q102" i="36"/>
  <c r="Q113" i="36"/>
  <c r="AY113" i="5"/>
  <c r="AS78" i="6"/>
  <c r="AS133" i="6"/>
  <c r="BS73" i="5"/>
  <c r="BS131" i="5"/>
  <c r="BR82" i="5"/>
  <c r="BR140" i="5"/>
  <c r="AA106" i="6"/>
  <c r="X106" i="6"/>
  <c r="W106" i="6"/>
  <c r="Z106" i="6"/>
  <c r="Y106" i="6"/>
  <c r="V106" i="6"/>
  <c r="HD61" i="1"/>
  <c r="BR39" i="5" s="1"/>
  <c r="IO69" i="1"/>
  <c r="FC146" i="1"/>
  <c r="FB157" i="1"/>
  <c r="BA76" i="5" s="1"/>
  <c r="FC158" i="1"/>
  <c r="FH150" i="1"/>
  <c r="BC71" i="5" s="1"/>
  <c r="FN156" i="1"/>
  <c r="BE75" i="5" s="1"/>
  <c r="FT151" i="1"/>
  <c r="FU157" i="1"/>
  <c r="GA161" i="1"/>
  <c r="FZ164" i="1"/>
  <c r="GF160" i="1"/>
  <c r="BK51" i="5" s="1"/>
  <c r="GM151" i="1"/>
  <c r="GS151" i="1"/>
  <c r="HW143" i="1"/>
  <c r="HW147" i="1"/>
  <c r="HV156" i="1"/>
  <c r="HW157" i="1"/>
  <c r="HW161" i="1"/>
  <c r="HW163" i="1"/>
  <c r="GL157" i="1"/>
  <c r="BM48" i="5" s="1"/>
  <c r="GS156" i="1"/>
  <c r="GS160" i="1"/>
  <c r="GR162" i="1"/>
  <c r="BO53" i="5" s="1"/>
  <c r="IN70" i="1"/>
  <c r="CD76" i="5" s="1"/>
  <c r="IO71" i="1"/>
  <c r="FC144" i="1"/>
  <c r="FB147" i="1"/>
  <c r="BA38" i="5" s="1"/>
  <c r="FC148" i="1"/>
  <c r="FB151" i="1"/>
  <c r="BA44" i="5" s="1"/>
  <c r="FC156" i="1"/>
  <c r="FB159" i="1"/>
  <c r="BA50" i="5" s="1"/>
  <c r="FB163" i="1"/>
  <c r="BA54" i="5" s="1"/>
  <c r="FH144" i="1"/>
  <c r="BC35" i="5" s="1"/>
  <c r="FI145" i="1"/>
  <c r="FH148" i="1"/>
  <c r="BC39" i="5" s="1"/>
  <c r="FH158" i="1"/>
  <c r="BC77" i="5" s="1"/>
  <c r="FH161" i="1"/>
  <c r="BC52" i="5" s="1"/>
  <c r="FI162" i="1"/>
  <c r="FH172" i="1"/>
  <c r="BC40" i="5" s="1"/>
  <c r="FN145" i="1"/>
  <c r="BE36" i="5" s="1"/>
  <c r="FN157" i="1"/>
  <c r="BE76" i="5" s="1"/>
  <c r="FN160" i="1"/>
  <c r="BE51" i="5" s="1"/>
  <c r="FT158" i="1"/>
  <c r="BG77" i="5" s="1"/>
  <c r="GA151" i="1"/>
  <c r="GG157" i="1"/>
  <c r="HD74" i="1"/>
  <c r="BR52" i="5" s="1"/>
  <c r="HD73" i="1"/>
  <c r="BR51" i="5" s="1"/>
  <c r="HD162" i="1"/>
  <c r="BS53" i="5" s="1"/>
  <c r="IO70" i="1"/>
  <c r="IH157" i="1"/>
  <c r="CC76" i="5" s="1"/>
  <c r="II158" i="1"/>
  <c r="GM173" i="1"/>
  <c r="IH158" i="1"/>
  <c r="CC77" i="5" s="1"/>
  <c r="GR150" i="1"/>
  <c r="BO43" i="5" s="1"/>
  <c r="IN71" i="1"/>
  <c r="EV147" i="1"/>
  <c r="FB148" i="1"/>
  <c r="BA67" i="5" s="1"/>
  <c r="FC157" i="1"/>
  <c r="FU151" i="1"/>
  <c r="FZ151" i="1"/>
  <c r="FZ157" i="1"/>
  <c r="BI76" i="5" s="1"/>
  <c r="GA164" i="1"/>
  <c r="GF157" i="1"/>
  <c r="GG160" i="1"/>
  <c r="HP157" i="1"/>
  <c r="BW48" i="5" s="1"/>
  <c r="HV151" i="1"/>
  <c r="BY72" i="5" s="1"/>
  <c r="IB151" i="1"/>
  <c r="IB161" i="1"/>
  <c r="II157" i="1"/>
  <c r="HE76" i="1"/>
  <c r="HD158" i="1"/>
  <c r="BS49" i="5" s="1"/>
  <c r="IH146" i="1"/>
  <c r="CC37" i="5" s="1"/>
  <c r="IK57" i="1"/>
  <c r="IC157" i="1"/>
  <c r="HE173" i="1"/>
  <c r="HD60" i="1"/>
  <c r="BR38" i="5" s="1"/>
  <c r="IC156" i="1"/>
  <c r="IC164" i="1"/>
  <c r="IC151" i="1"/>
  <c r="IC161" i="1"/>
  <c r="IC173" i="1"/>
  <c r="IB156" i="1"/>
  <c r="IB164" i="1"/>
  <c r="IB173" i="1"/>
  <c r="CA45" i="5" s="1"/>
  <c r="CA131" i="5" s="1"/>
  <c r="IB158" i="1"/>
  <c r="HW156" i="1"/>
  <c r="HV144" i="1"/>
  <c r="HW151" i="1"/>
  <c r="HV158" i="1"/>
  <c r="BY77" i="5" s="1"/>
  <c r="HP156" i="1"/>
  <c r="BW47" i="5" s="1"/>
  <c r="HQ157" i="1"/>
  <c r="HP164" i="1"/>
  <c r="BW55" i="5" s="1"/>
  <c r="BW141" i="5" s="1"/>
  <c r="HD159" i="1"/>
  <c r="BS50" i="5" s="1"/>
  <c r="HD64" i="1"/>
  <c r="BR44" i="5" s="1"/>
  <c r="GX148" i="1"/>
  <c r="BQ39" i="5" s="1"/>
  <c r="GR151" i="1"/>
  <c r="GL151" i="1"/>
  <c r="BM72" i="5" s="1"/>
  <c r="GA157" i="1"/>
  <c r="FZ161" i="1"/>
  <c r="BI80" i="5" s="1"/>
  <c r="FT157" i="1"/>
  <c r="BG76" i="5" s="1"/>
  <c r="FU158" i="1"/>
  <c r="FO158" i="1"/>
  <c r="FN158" i="1"/>
  <c r="BE77" i="5" s="1"/>
  <c r="FN162" i="1"/>
  <c r="BE53" i="5" s="1"/>
  <c r="FO157" i="1"/>
  <c r="FI150" i="1"/>
  <c r="FI158" i="1"/>
  <c r="FC161" i="1"/>
  <c r="FB158" i="1"/>
  <c r="BA77" i="5" s="1"/>
  <c r="FB162" i="1"/>
  <c r="BA53" i="5" s="1"/>
  <c r="FB173" i="1"/>
  <c r="BA45" i="5" s="1"/>
  <c r="EW147" i="1"/>
  <c r="HQ143" i="1"/>
  <c r="HP143" i="1"/>
  <c r="BW62" i="5" s="1"/>
  <c r="AB97" i="6"/>
  <c r="AR97" i="6"/>
  <c r="FQ143" i="1"/>
  <c r="FQ145" i="1"/>
  <c r="GE143" i="1"/>
  <c r="GI145" i="1"/>
  <c r="GM100" i="1"/>
  <c r="GK163" i="1"/>
  <c r="GO143" i="1"/>
  <c r="GP146" i="1"/>
  <c r="GS101" i="1"/>
  <c r="GS105" i="1"/>
  <c r="GS109" i="1"/>
  <c r="GO163" i="1"/>
  <c r="GQ164" i="1"/>
  <c r="GX126" i="1"/>
  <c r="GX128" i="1"/>
  <c r="HK144" i="1"/>
  <c r="HJ147" i="1"/>
  <c r="BU38" i="5" s="1"/>
  <c r="HJ150" i="1"/>
  <c r="BU43" i="5" s="1"/>
  <c r="HJ158" i="1"/>
  <c r="BU49" i="5" s="1"/>
  <c r="FT110" i="1"/>
  <c r="FQ163" i="1"/>
  <c r="FU126" i="1"/>
  <c r="GL109" i="1"/>
  <c r="GV145" i="1"/>
  <c r="GY145" i="1" s="1"/>
  <c r="HP124" i="1"/>
  <c r="HD71" i="1"/>
  <c r="BR49" i="5" s="1"/>
  <c r="BR135" i="5" s="1"/>
  <c r="FU101" i="1"/>
  <c r="FU105" i="1"/>
  <c r="GG94" i="1"/>
  <c r="GG100" i="1"/>
  <c r="GF106" i="1"/>
  <c r="GG111" i="1"/>
  <c r="GM96" i="1"/>
  <c r="GM156" i="1"/>
  <c r="GL121" i="1"/>
  <c r="GM122" i="1"/>
  <c r="GM126" i="1"/>
  <c r="GL172" i="1"/>
  <c r="BM40" i="5" s="1"/>
  <c r="GS97" i="1"/>
  <c r="GR101" i="1"/>
  <c r="GR105" i="1"/>
  <c r="GR109" i="1"/>
  <c r="GS111" i="1"/>
  <c r="GX101" i="1"/>
  <c r="HQ172" i="1"/>
  <c r="HJ144" i="1"/>
  <c r="BU35" i="5" s="1"/>
  <c r="HJ148" i="1"/>
  <c r="BU39" i="5" s="1"/>
  <c r="IH173" i="1"/>
  <c r="CC45" i="5" s="1"/>
  <c r="HD70" i="1"/>
  <c r="BR48" i="5" s="1"/>
  <c r="FT96" i="1"/>
  <c r="FR145" i="1"/>
  <c r="GL94" i="1"/>
  <c r="GL99" i="1"/>
  <c r="GL103" i="1"/>
  <c r="GM148" i="1"/>
  <c r="HQ112" i="1"/>
  <c r="IM56" i="1"/>
  <c r="IM58" i="1"/>
  <c r="IM60" i="1"/>
  <c r="HK157" i="1"/>
  <c r="AL65" i="6"/>
  <c r="FS149" i="1"/>
  <c r="FX144" i="1"/>
  <c r="GA144" i="1" s="1"/>
  <c r="GR144" i="1"/>
  <c r="BO35" i="5" s="1"/>
  <c r="GP147" i="1"/>
  <c r="GR106" i="1"/>
  <c r="GO164" i="1"/>
  <c r="GX97" i="1"/>
  <c r="FC150" i="1"/>
  <c r="FB161" i="1"/>
  <c r="BA52" i="5" s="1"/>
  <c r="FB172" i="1"/>
  <c r="BA40" i="5" s="1"/>
  <c r="FI143" i="1"/>
  <c r="FH146" i="1"/>
  <c r="BC37" i="5" s="1"/>
  <c r="FI147" i="1"/>
  <c r="FH156" i="1"/>
  <c r="BC75" i="5" s="1"/>
  <c r="FI160" i="1"/>
  <c r="FI164" i="1"/>
  <c r="FN144" i="1"/>
  <c r="BE35" i="5" s="1"/>
  <c r="FN146" i="1"/>
  <c r="BE37" i="5" s="1"/>
  <c r="FN150" i="1"/>
  <c r="BE43" i="5" s="1"/>
  <c r="HD149" i="1"/>
  <c r="BS42" i="5" s="1"/>
  <c r="BS41" i="5" s="1"/>
  <c r="BS127" i="5" s="1"/>
  <c r="HD69" i="1"/>
  <c r="BR47" i="5" s="1"/>
  <c r="FR146" i="1"/>
  <c r="FT146" i="1" s="1"/>
  <c r="BG37" i="5" s="1"/>
  <c r="FT109" i="1"/>
  <c r="FW146" i="1"/>
  <c r="FW147" i="1"/>
  <c r="GA121" i="1"/>
  <c r="GE148" i="1"/>
  <c r="GJ143" i="1"/>
  <c r="GM143" i="1" s="1"/>
  <c r="GJ145" i="1"/>
  <c r="GM99" i="1"/>
  <c r="GL104" i="1"/>
  <c r="GY97" i="1"/>
  <c r="HP99" i="1"/>
  <c r="HP112" i="1"/>
  <c r="FC172" i="1"/>
  <c r="FN161" i="1"/>
  <c r="BE52" i="5" s="1"/>
  <c r="HJ157" i="1"/>
  <c r="BU48" i="5" s="1"/>
  <c r="HJ161" i="1"/>
  <c r="BU52" i="5" s="1"/>
  <c r="AB88" i="6"/>
  <c r="FM160" i="1"/>
  <c r="FO160" i="1" s="1"/>
  <c r="FO122" i="1"/>
  <c r="FM164" i="1"/>
  <c r="FO164" i="1" s="1"/>
  <c r="FR143" i="1"/>
  <c r="FT104" i="1"/>
  <c r="FQ162" i="1"/>
  <c r="FT162" i="1" s="1"/>
  <c r="BG53" i="5" s="1"/>
  <c r="FT124" i="1"/>
  <c r="GI162" i="1"/>
  <c r="GL124" i="1"/>
  <c r="IA144" i="1"/>
  <c r="IC144" i="1" s="1"/>
  <c r="IC95" i="1"/>
  <c r="IA147" i="1"/>
  <c r="IC147" i="1" s="1"/>
  <c r="IC102" i="1"/>
  <c r="IA162" i="1"/>
  <c r="IC162" i="1" s="1"/>
  <c r="IC124" i="1"/>
  <c r="IG144" i="1"/>
  <c r="II144" i="1" s="1"/>
  <c r="II95" i="1"/>
  <c r="IG159" i="1"/>
  <c r="II159" i="1" s="1"/>
  <c r="II121" i="1"/>
  <c r="IG163" i="1"/>
  <c r="II163" i="1" s="1"/>
  <c r="BR81" i="5"/>
  <c r="FM145" i="1"/>
  <c r="FO145" i="1" s="1"/>
  <c r="FM161" i="1"/>
  <c r="FO161" i="1" s="1"/>
  <c r="FO123" i="1"/>
  <c r="FX146" i="1"/>
  <c r="GK145" i="1"/>
  <c r="GM97" i="1"/>
  <c r="GQ161" i="1"/>
  <c r="GS161" i="1" s="1"/>
  <c r="GS123" i="1"/>
  <c r="HW109" i="1"/>
  <c r="HT149" i="1"/>
  <c r="HW149" i="1" s="1"/>
  <c r="HT162" i="1"/>
  <c r="HW162" i="1" s="1"/>
  <c r="HW124" i="1"/>
  <c r="AR68" i="6"/>
  <c r="FM148" i="1"/>
  <c r="FO148" i="1" s="1"/>
  <c r="FM150" i="1"/>
  <c r="FO150" i="1" s="1"/>
  <c r="FM172" i="1"/>
  <c r="FO172" i="1" s="1"/>
  <c r="FT100" i="1"/>
  <c r="GA120" i="1"/>
  <c r="FX158" i="1"/>
  <c r="FZ158" i="1" s="1"/>
  <c r="BI49" i="5" s="1"/>
  <c r="GD158" i="1"/>
  <c r="GF158" i="1" s="1"/>
  <c r="BK49" i="5" s="1"/>
  <c r="BK135" i="5" s="1"/>
  <c r="GF120" i="1"/>
  <c r="FM151" i="1"/>
  <c r="FO151" i="1" s="1"/>
  <c r="FM162" i="1"/>
  <c r="FO162" i="1" s="1"/>
  <c r="FO124" i="1"/>
  <c r="FM173" i="1"/>
  <c r="FO173" i="1" s="1"/>
  <c r="FU95" i="1"/>
  <c r="FU96" i="1"/>
  <c r="FT97" i="1"/>
  <c r="FU108" i="1"/>
  <c r="FU123" i="1"/>
  <c r="FX160" i="1"/>
  <c r="GA160" i="1" s="1"/>
  <c r="GA122" i="1"/>
  <c r="GR120" i="1"/>
  <c r="GO158" i="1"/>
  <c r="GR158" i="1" s="1"/>
  <c r="BO49" i="5" s="1"/>
  <c r="HN160" i="1"/>
  <c r="HQ160" i="1" s="1"/>
  <c r="HQ122" i="1"/>
  <c r="FM144" i="1"/>
  <c r="FO144" i="1" s="1"/>
  <c r="FM159" i="1"/>
  <c r="FO159" i="1" s="1"/>
  <c r="FO121" i="1"/>
  <c r="FM163" i="1"/>
  <c r="FO163" i="1" s="1"/>
  <c r="FO126" i="1"/>
  <c r="GC147" i="1"/>
  <c r="GF102" i="1"/>
  <c r="GK157" i="1"/>
  <c r="GM157" i="1" s="1"/>
  <c r="GM119" i="1"/>
  <c r="GS144" i="1"/>
  <c r="BY66" i="5"/>
  <c r="AL51" i="6"/>
  <c r="AL77" i="6" s="1"/>
  <c r="FT111" i="1"/>
  <c r="FW148" i="1"/>
  <c r="FZ104" i="1"/>
  <c r="FZ107" i="1"/>
  <c r="FZ109" i="1"/>
  <c r="GD143" i="1"/>
  <c r="GF97" i="1"/>
  <c r="GG106" i="1"/>
  <c r="GF123" i="1"/>
  <c r="GM94" i="1"/>
  <c r="GL100" i="1"/>
  <c r="GK147" i="1"/>
  <c r="GM104" i="1"/>
  <c r="GL112" i="1"/>
  <c r="GL120" i="1"/>
  <c r="GM161" i="1"/>
  <c r="GM124" i="1"/>
  <c r="GM172" i="1"/>
  <c r="GR94" i="1"/>
  <c r="GQ145" i="1"/>
  <c r="GR100" i="1"/>
  <c r="GS157" i="1"/>
  <c r="GR124" i="1"/>
  <c r="GR126" i="1"/>
  <c r="HP97" i="1"/>
  <c r="HP113" i="1"/>
  <c r="HV97" i="1"/>
  <c r="HV101" i="1"/>
  <c r="HV105" i="1"/>
  <c r="IA150" i="1"/>
  <c r="IC150" i="1" s="1"/>
  <c r="IC112" i="1"/>
  <c r="IA163" i="1"/>
  <c r="IC163" i="1" s="1"/>
  <c r="IC126" i="1"/>
  <c r="IG147" i="1"/>
  <c r="II147" i="1" s="1"/>
  <c r="II102" i="1"/>
  <c r="IG150" i="1"/>
  <c r="II150" i="1" s="1"/>
  <c r="II112" i="1"/>
  <c r="IG164" i="1"/>
  <c r="II164" i="1" s="1"/>
  <c r="IO6" i="1"/>
  <c r="IO10" i="1"/>
  <c r="IN14" i="1"/>
  <c r="IO15" i="1"/>
  <c r="IN18" i="1"/>
  <c r="IO20" i="1"/>
  <c r="IM62" i="1"/>
  <c r="IN23" i="1"/>
  <c r="IO24" i="1"/>
  <c r="IN31" i="1"/>
  <c r="FB144" i="1"/>
  <c r="BA35" i="5" s="1"/>
  <c r="FC145" i="1"/>
  <c r="FC149" i="1"/>
  <c r="FB156" i="1"/>
  <c r="BA47" i="5" s="1"/>
  <c r="FB160" i="1"/>
  <c r="BA51" i="5" s="1"/>
  <c r="FC162" i="1"/>
  <c r="FH145" i="1"/>
  <c r="BC36" i="5" s="1"/>
  <c r="FH149" i="1"/>
  <c r="BC70" i="5" s="1"/>
  <c r="FI156" i="1"/>
  <c r="FH162" i="1"/>
  <c r="BC53" i="5" s="1"/>
  <c r="FH173" i="1"/>
  <c r="BC45" i="5" s="1"/>
  <c r="FN148" i="1"/>
  <c r="BE39" i="5" s="1"/>
  <c r="FN172" i="1"/>
  <c r="BE40" i="5" s="1"/>
  <c r="HK145" i="1"/>
  <c r="HK148" i="1"/>
  <c r="HJ151" i="1"/>
  <c r="BU44" i="5" s="1"/>
  <c r="HK156" i="1"/>
  <c r="HJ159" i="1"/>
  <c r="BU50" i="5" s="1"/>
  <c r="HJ162" i="1"/>
  <c r="BU53" i="5" s="1"/>
  <c r="HJ163" i="1"/>
  <c r="BU54" i="5" s="1"/>
  <c r="HJ173" i="1"/>
  <c r="BU45" i="5" s="1"/>
  <c r="HM150" i="1"/>
  <c r="HP150" i="1" s="1"/>
  <c r="BW43" i="5" s="1"/>
  <c r="BY76" i="5"/>
  <c r="IB145" i="1"/>
  <c r="CA36" i="5" s="1"/>
  <c r="IB148" i="1"/>
  <c r="CA39" i="5" s="1"/>
  <c r="IB150" i="1"/>
  <c r="CA43" i="5" s="1"/>
  <c r="CA76" i="5"/>
  <c r="IH148" i="1"/>
  <c r="CC39" i="5" s="1"/>
  <c r="IG160" i="1"/>
  <c r="II160" i="1" s="1"/>
  <c r="HE60" i="1"/>
  <c r="BR71" i="5"/>
  <c r="HD58" i="1"/>
  <c r="BR36" i="5" s="1"/>
  <c r="BR122" i="5" s="1"/>
  <c r="GP149" i="1"/>
  <c r="HN145" i="1"/>
  <c r="HQ145" i="1" s="1"/>
  <c r="HQ97" i="1"/>
  <c r="HP159" i="1"/>
  <c r="BW50" i="5" s="1"/>
  <c r="HS164" i="1"/>
  <c r="IA143" i="1"/>
  <c r="IC143" i="1" s="1"/>
  <c r="IC93" i="1"/>
  <c r="IA159" i="1"/>
  <c r="IC159" i="1" s="1"/>
  <c r="IC121" i="1"/>
  <c r="IG145" i="1"/>
  <c r="II145" i="1" s="1"/>
  <c r="II97" i="1"/>
  <c r="IG151" i="1"/>
  <c r="II151" i="1" s="1"/>
  <c r="II113" i="1"/>
  <c r="IG161" i="1"/>
  <c r="II161" i="1" s="1"/>
  <c r="II123" i="1"/>
  <c r="IK62" i="1"/>
  <c r="BA62" i="5"/>
  <c r="FR161" i="1"/>
  <c r="FU161" i="1" s="1"/>
  <c r="GJ160" i="1"/>
  <c r="GM160" i="1" s="1"/>
  <c r="HN148" i="1"/>
  <c r="HQ148" i="1" s="1"/>
  <c r="HN161" i="1"/>
  <c r="HQ161" i="1" s="1"/>
  <c r="BY80" i="5"/>
  <c r="HE56" i="1"/>
  <c r="HE71" i="1"/>
  <c r="HD147" i="1"/>
  <c r="BS38" i="5" s="1"/>
  <c r="BS124" i="5" s="1"/>
  <c r="FU110" i="1"/>
  <c r="FT126" i="1"/>
  <c r="FW143" i="1"/>
  <c r="GF94" i="1"/>
  <c r="GD147" i="1"/>
  <c r="GG147" i="1" s="1"/>
  <c r="GG102" i="1"/>
  <c r="GG150" i="1"/>
  <c r="GG123" i="1"/>
  <c r="GG124" i="1"/>
  <c r="GG173" i="1"/>
  <c r="GM93" i="1"/>
  <c r="GL96" i="1"/>
  <c r="GJ146" i="1"/>
  <c r="GL146" i="1" s="1"/>
  <c r="BM37" i="5" s="1"/>
  <c r="GL102" i="1"/>
  <c r="GM103" i="1"/>
  <c r="GM109" i="1"/>
  <c r="GM123" i="1"/>
  <c r="GL126" i="1"/>
  <c r="GL173" i="1"/>
  <c r="BM45" i="5" s="1"/>
  <c r="GS99" i="1"/>
  <c r="GQ146" i="1"/>
  <c r="GO147" i="1"/>
  <c r="GR103" i="1"/>
  <c r="GQ148" i="1"/>
  <c r="GR107" i="1"/>
  <c r="GQ149" i="1"/>
  <c r="GS119" i="1"/>
  <c r="HP98" i="1"/>
  <c r="HP120" i="1"/>
  <c r="HV100" i="1"/>
  <c r="HV124" i="1"/>
  <c r="IA146" i="1"/>
  <c r="IC146" i="1" s="1"/>
  <c r="IC100" i="1"/>
  <c r="IA160" i="1"/>
  <c r="IC160" i="1" s="1"/>
  <c r="IC122" i="1"/>
  <c r="IG143" i="1"/>
  <c r="II143" i="1" s="1"/>
  <c r="II94" i="1"/>
  <c r="IG146" i="1"/>
  <c r="II146" i="1" s="1"/>
  <c r="II100" i="1"/>
  <c r="IG149" i="1"/>
  <c r="II149" i="1" s="1"/>
  <c r="II108" i="1"/>
  <c r="IG162" i="1"/>
  <c r="II162" i="1" s="1"/>
  <c r="II124" i="1"/>
  <c r="IN7" i="1"/>
  <c r="IO8" i="1"/>
  <c r="IO13" i="1"/>
  <c r="IN16" i="1"/>
  <c r="IO17" i="1"/>
  <c r="IM61" i="1"/>
  <c r="IN21" i="1"/>
  <c r="IN25" i="1"/>
  <c r="FB146" i="1"/>
  <c r="BA37" i="5" s="1"/>
  <c r="FC147" i="1"/>
  <c r="FB150" i="1"/>
  <c r="BA43" i="5" s="1"/>
  <c r="FC151" i="1"/>
  <c r="FB164" i="1"/>
  <c r="BA55" i="5" s="1"/>
  <c r="FC173" i="1"/>
  <c r="FH143" i="1"/>
  <c r="BC34" i="5" s="1"/>
  <c r="FI144" i="1"/>
  <c r="FI148" i="1"/>
  <c r="FH157" i="1"/>
  <c r="BC76" i="5" s="1"/>
  <c r="FH160" i="1"/>
  <c r="BC51" i="5" s="1"/>
  <c r="FH164" i="1"/>
  <c r="BC83" i="5" s="1"/>
  <c r="FI172" i="1"/>
  <c r="FI173" i="1"/>
  <c r="FN149" i="1"/>
  <c r="BE42" i="5" s="1"/>
  <c r="FN164" i="1"/>
  <c r="BE55" i="5" s="1"/>
  <c r="HJ145" i="1"/>
  <c r="BU36" i="5" s="1"/>
  <c r="HJ146" i="1"/>
  <c r="BU37" i="5" s="1"/>
  <c r="HJ156" i="1"/>
  <c r="BU47" i="5" s="1"/>
  <c r="HJ160" i="1"/>
  <c r="BU51" i="5" s="1"/>
  <c r="HK161" i="1"/>
  <c r="HK172" i="1"/>
  <c r="IA145" i="1"/>
  <c r="IC145" i="1" s="1"/>
  <c r="IA172" i="1"/>
  <c r="IC172" i="1" s="1"/>
  <c r="IH149" i="1"/>
  <c r="CC42" i="5" s="1"/>
  <c r="HD62" i="1"/>
  <c r="BR42" i="5" s="1"/>
  <c r="HD59" i="1"/>
  <c r="BR37" i="5" s="1"/>
  <c r="HD172" i="1"/>
  <c r="BS40" i="5" s="1"/>
  <c r="HD164" i="1"/>
  <c r="BS55" i="5" s="1"/>
  <c r="AQ94" i="6"/>
  <c r="AN105" i="6"/>
  <c r="AN86" i="6"/>
  <c r="AQ105" i="6"/>
  <c r="AL105" i="6"/>
  <c r="AO105" i="6"/>
  <c r="AF105" i="6"/>
  <c r="AG105" i="6"/>
  <c r="AH105" i="6"/>
  <c r="AC105" i="6"/>
  <c r="AK105" i="6"/>
  <c r="AY105" i="6" s="1"/>
  <c r="AD105" i="6"/>
  <c r="AI105" i="6"/>
  <c r="AP105" i="6"/>
  <c r="AR105" i="6"/>
  <c r="AJ105" i="6"/>
  <c r="AM105" i="6"/>
  <c r="AE105" i="6"/>
  <c r="AB103" i="6"/>
  <c r="AB102" i="6"/>
  <c r="AB101" i="6"/>
  <c r="AD100" i="6"/>
  <c r="AR100" i="6"/>
  <c r="AQ100" i="6"/>
  <c r="AF100" i="6"/>
  <c r="AC100" i="6"/>
  <c r="AN100" i="6"/>
  <c r="AI100" i="6"/>
  <c r="AE100" i="6"/>
  <c r="AP100" i="6"/>
  <c r="AL100" i="6"/>
  <c r="AJ100" i="6"/>
  <c r="AH100" i="6"/>
  <c r="AG100" i="6"/>
  <c r="AK100" i="6"/>
  <c r="AY100" i="6" s="1"/>
  <c r="AO100" i="6"/>
  <c r="AM100" i="6"/>
  <c r="AB99" i="6"/>
  <c r="AB98" i="6"/>
  <c r="AO97" i="6"/>
  <c r="AG97" i="6"/>
  <c r="AJ97" i="6"/>
  <c r="AI97" i="6"/>
  <c r="AL97" i="6"/>
  <c r="AN97" i="6"/>
  <c r="AF97" i="6"/>
  <c r="AM97" i="6"/>
  <c r="AK97" i="6"/>
  <c r="AY97" i="6" s="1"/>
  <c r="AQ97" i="6"/>
  <c r="AE97" i="6"/>
  <c r="AC97" i="6"/>
  <c r="AP97" i="6"/>
  <c r="AH97" i="6"/>
  <c r="AD97" i="6"/>
  <c r="AN94" i="6"/>
  <c r="AO94" i="6"/>
  <c r="AR94" i="6"/>
  <c r="AM94" i="6"/>
  <c r="AF94" i="6"/>
  <c r="AK94" i="6"/>
  <c r="AY94" i="6" s="1"/>
  <c r="AJ94" i="6"/>
  <c r="AD94" i="6"/>
  <c r="AC94" i="6"/>
  <c r="AI94" i="6"/>
  <c r="AP94" i="6"/>
  <c r="AG94" i="6"/>
  <c r="AH94" i="6"/>
  <c r="AE94" i="6"/>
  <c r="AL94" i="6"/>
  <c r="AH93" i="6"/>
  <c r="AR93" i="6"/>
  <c r="AJ93" i="6"/>
  <c r="AQ93" i="6"/>
  <c r="AK93" i="6"/>
  <c r="AY93" i="6" s="1"/>
  <c r="AE93" i="6"/>
  <c r="AG93" i="6"/>
  <c r="AP93" i="6"/>
  <c r="AI93" i="6"/>
  <c r="AM93" i="6"/>
  <c r="AC93" i="6"/>
  <c r="AF93" i="6"/>
  <c r="AO93" i="6"/>
  <c r="AL93" i="6"/>
  <c r="AN93" i="6"/>
  <c r="AD93" i="6"/>
  <c r="AB91" i="6"/>
  <c r="AB90" i="6"/>
  <c r="AB89" i="6"/>
  <c r="AP88" i="6"/>
  <c r="AB87" i="6"/>
  <c r="AB104" i="6"/>
  <c r="AB95" i="6"/>
  <c r="IO63" i="1"/>
  <c r="FI113" i="1"/>
  <c r="FF151" i="1"/>
  <c r="FU97" i="1"/>
  <c r="FS145" i="1"/>
  <c r="GA125" i="1"/>
  <c r="FX163" i="1"/>
  <c r="GC144" i="1"/>
  <c r="GF111" i="1"/>
  <c r="GC149" i="1"/>
  <c r="GG118" i="1"/>
  <c r="GD156" i="1"/>
  <c r="GG156" i="1" s="1"/>
  <c r="GC164" i="1"/>
  <c r="GL161" i="1"/>
  <c r="BM52" i="5" s="1"/>
  <c r="BM138" i="5" s="1"/>
  <c r="GR118" i="1"/>
  <c r="GO156" i="1"/>
  <c r="GR156" i="1" s="1"/>
  <c r="BO47" i="5" s="1"/>
  <c r="GR161" i="1"/>
  <c r="BO52" i="5" s="1"/>
  <c r="BO138" i="5" s="1"/>
  <c r="GX93" i="1"/>
  <c r="GU143" i="1"/>
  <c r="GX109" i="1"/>
  <c r="GU149" i="1"/>
  <c r="GX121" i="1"/>
  <c r="GU159" i="1"/>
  <c r="HQ126" i="1"/>
  <c r="HN163" i="1"/>
  <c r="HP163" i="1" s="1"/>
  <c r="BW54" i="5" s="1"/>
  <c r="BW140" i="5" s="1"/>
  <c r="HV108" i="1"/>
  <c r="HS149" i="1"/>
  <c r="FQ147" i="1"/>
  <c r="GO173" i="1"/>
  <c r="GR173" i="1" s="1"/>
  <c r="BO45" i="5" s="1"/>
  <c r="BO131" i="5" s="1"/>
  <c r="IG148" i="1"/>
  <c r="II148" i="1" s="1"/>
  <c r="IG172" i="1"/>
  <c r="II172" i="1" s="1"/>
  <c r="FH113" i="1"/>
  <c r="FE151" i="1"/>
  <c r="FM146" i="1"/>
  <c r="FO146" i="1" s="1"/>
  <c r="FM149" i="1"/>
  <c r="FO149" i="1" s="1"/>
  <c r="FT93" i="1"/>
  <c r="FT95" i="1"/>
  <c r="FQ144" i="1"/>
  <c r="FU98" i="1"/>
  <c r="FU100" i="1"/>
  <c r="FS146" i="1"/>
  <c r="FU146" i="1" s="1"/>
  <c r="FT103" i="1"/>
  <c r="FQ148" i="1"/>
  <c r="FU122" i="1"/>
  <c r="FU124" i="1"/>
  <c r="FS162" i="1"/>
  <c r="FU162" i="1" s="1"/>
  <c r="FS163" i="1"/>
  <c r="FQ164" i="1"/>
  <c r="FZ93" i="1"/>
  <c r="FX143" i="1"/>
  <c r="GA143" i="1" s="1"/>
  <c r="FZ95" i="1"/>
  <c r="FZ97" i="1"/>
  <c r="FZ101" i="1"/>
  <c r="FZ103" i="1"/>
  <c r="FZ105" i="1"/>
  <c r="FZ108" i="1"/>
  <c r="FW149" i="1"/>
  <c r="FZ150" i="1"/>
  <c r="BI43" i="5" s="1"/>
  <c r="BI129" i="5" s="1"/>
  <c r="FZ118" i="1"/>
  <c r="FW156" i="1"/>
  <c r="FZ120" i="1"/>
  <c r="FZ121" i="1"/>
  <c r="FZ122" i="1"/>
  <c r="FZ125" i="1"/>
  <c r="GC143" i="1"/>
  <c r="GF143" i="1" s="1"/>
  <c r="BK34" i="5" s="1"/>
  <c r="GG93" i="1"/>
  <c r="GF96" i="1"/>
  <c r="GG97" i="1"/>
  <c r="GF100" i="1"/>
  <c r="GF112" i="1"/>
  <c r="GC150" i="1"/>
  <c r="GF150" i="1" s="1"/>
  <c r="BK43" i="5" s="1"/>
  <c r="BK129" i="5" s="1"/>
  <c r="GF118" i="1"/>
  <c r="GC156" i="1"/>
  <c r="GG120" i="1"/>
  <c r="GG121" i="1"/>
  <c r="GD159" i="1"/>
  <c r="GG159" i="1" s="1"/>
  <c r="GF126" i="1"/>
  <c r="GC172" i="1"/>
  <c r="GK144" i="1"/>
  <c r="GL97" i="1"/>
  <c r="GK146" i="1"/>
  <c r="GM101" i="1"/>
  <c r="GM102" i="1"/>
  <c r="GJ147" i="1"/>
  <c r="GL111" i="1"/>
  <c r="GM112" i="1"/>
  <c r="GM118" i="1"/>
  <c r="GL119" i="1"/>
  <c r="GL123" i="1"/>
  <c r="GQ143" i="1"/>
  <c r="GR97" i="1"/>
  <c r="GO145" i="1"/>
  <c r="GR111" i="1"/>
  <c r="GS112" i="1"/>
  <c r="GS118" i="1"/>
  <c r="GR119" i="1"/>
  <c r="GS120" i="1"/>
  <c r="GQ158" i="1"/>
  <c r="GS158" i="1" s="1"/>
  <c r="GS122" i="1"/>
  <c r="GR123" i="1"/>
  <c r="GS124" i="1"/>
  <c r="GQ162" i="1"/>
  <c r="GS162" i="1" s="1"/>
  <c r="GQ163" i="1"/>
  <c r="GY105" i="1"/>
  <c r="GY112" i="1"/>
  <c r="GV150" i="1"/>
  <c r="GY150" i="1" s="1"/>
  <c r="GY118" i="1"/>
  <c r="GV156" i="1"/>
  <c r="GY120" i="1"/>
  <c r="GV158" i="1"/>
  <c r="GY158" i="1" s="1"/>
  <c r="GY122" i="1"/>
  <c r="GV160" i="1"/>
  <c r="GY124" i="1"/>
  <c r="GV162" i="1"/>
  <c r="GY162" i="1" s="1"/>
  <c r="GV172" i="1"/>
  <c r="GY172" i="1" s="1"/>
  <c r="HM145" i="1"/>
  <c r="HP101" i="1"/>
  <c r="HQ113" i="1"/>
  <c r="HP121" i="1"/>
  <c r="HW100" i="1"/>
  <c r="HT146" i="1"/>
  <c r="HW146" i="1" s="1"/>
  <c r="HW121" i="1"/>
  <c r="HT159" i="1"/>
  <c r="HV159" i="1" s="1"/>
  <c r="BY50" i="5" s="1"/>
  <c r="IN8" i="1"/>
  <c r="IN10" i="1"/>
  <c r="IO12" i="1"/>
  <c r="IN15" i="1"/>
  <c r="IO16" i="1"/>
  <c r="IN20" i="1"/>
  <c r="IO22" i="1"/>
  <c r="IO23" i="1"/>
  <c r="IO25" i="1"/>
  <c r="IN26" i="1"/>
  <c r="IN34" i="1"/>
  <c r="IO35" i="1"/>
  <c r="IN39" i="1"/>
  <c r="IK76" i="1"/>
  <c r="IO41" i="1"/>
  <c r="IL77" i="1"/>
  <c r="IO77" i="1" s="1"/>
  <c r="IO85" i="1"/>
  <c r="IO51" i="1"/>
  <c r="IL86" i="1"/>
  <c r="IO86" i="1" s="1"/>
  <c r="IK69" i="1"/>
  <c r="IN69" i="1" s="1"/>
  <c r="CD47" i="5" s="1"/>
  <c r="IK72" i="1"/>
  <c r="FR156" i="1"/>
  <c r="FR160" i="1"/>
  <c r="FU160" i="1" s="1"/>
  <c r="FR164" i="1"/>
  <c r="FU164" i="1" s="1"/>
  <c r="FX156" i="1"/>
  <c r="GA156" i="1" s="1"/>
  <c r="FX172" i="1"/>
  <c r="GA172" i="1" s="1"/>
  <c r="GI159" i="1"/>
  <c r="GP172" i="1"/>
  <c r="GS172" i="1" s="1"/>
  <c r="HK160" i="1"/>
  <c r="HK164" i="1"/>
  <c r="HN144" i="1"/>
  <c r="HQ144" i="1" s="1"/>
  <c r="HM146" i="1"/>
  <c r="HM173" i="1"/>
  <c r="HP173" i="1" s="1"/>
  <c r="BW45" i="5" s="1"/>
  <c r="BW131" i="5" s="1"/>
  <c r="HT145" i="1"/>
  <c r="HW145" i="1" s="1"/>
  <c r="HS162" i="1"/>
  <c r="IG173" i="1"/>
  <c r="II173" i="1" s="1"/>
  <c r="HD72" i="1"/>
  <c r="BR50" i="5" s="1"/>
  <c r="BR136" i="5" s="1"/>
  <c r="HE72" i="1"/>
  <c r="HE157" i="1"/>
  <c r="HD157" i="1"/>
  <c r="BS48" i="5" s="1"/>
  <c r="BS134" i="5" s="1"/>
  <c r="HD143" i="1"/>
  <c r="BS34" i="5" s="1"/>
  <c r="GG113" i="1"/>
  <c r="GD151" i="1"/>
  <c r="GG151" i="1" s="1"/>
  <c r="GL122" i="1"/>
  <c r="GI160" i="1"/>
  <c r="GL93" i="1"/>
  <c r="GI143" i="1"/>
  <c r="GR122" i="1"/>
  <c r="GO160" i="1"/>
  <c r="GR160" i="1" s="1"/>
  <c r="BO51" i="5" s="1"/>
  <c r="BO137" i="5" s="1"/>
  <c r="GX95" i="1"/>
  <c r="GU144" i="1"/>
  <c r="GX100" i="1"/>
  <c r="GU146" i="1"/>
  <c r="GX113" i="1"/>
  <c r="GU151" i="1"/>
  <c r="GX123" i="1"/>
  <c r="GU161" i="1"/>
  <c r="GX127" i="1"/>
  <c r="GU164" i="1"/>
  <c r="HS145" i="1"/>
  <c r="HT173" i="1"/>
  <c r="HV173" i="1" s="1"/>
  <c r="BY45" i="5" s="1"/>
  <c r="BY131" i="5" s="1"/>
  <c r="IN37" i="1"/>
  <c r="IK75" i="1"/>
  <c r="IK61" i="1"/>
  <c r="FR172" i="1"/>
  <c r="GJ149" i="1"/>
  <c r="GM149" i="1" s="1"/>
  <c r="GP148" i="1"/>
  <c r="HT164" i="1"/>
  <c r="HW164" i="1" s="1"/>
  <c r="FS144" i="1"/>
  <c r="FU102" i="1"/>
  <c r="FR147" i="1"/>
  <c r="FU104" i="1"/>
  <c r="FS148" i="1"/>
  <c r="FU112" i="1"/>
  <c r="FR150" i="1"/>
  <c r="FT150" i="1" s="1"/>
  <c r="BG43" i="5" s="1"/>
  <c r="BG129" i="5" s="1"/>
  <c r="FU118" i="1"/>
  <c r="FS156" i="1"/>
  <c r="FT123" i="1"/>
  <c r="FQ161" i="1"/>
  <c r="FS172" i="1"/>
  <c r="FZ94" i="1"/>
  <c r="FZ96" i="1"/>
  <c r="FZ100" i="1"/>
  <c r="FZ102" i="1"/>
  <c r="FX147" i="1"/>
  <c r="GA147" i="1" s="1"/>
  <c r="FX148" i="1"/>
  <c r="GA148" i="1" s="1"/>
  <c r="FZ111" i="1"/>
  <c r="FZ112" i="1"/>
  <c r="FZ124" i="1"/>
  <c r="FW162" i="1"/>
  <c r="GD144" i="1"/>
  <c r="GG144" i="1" s="1"/>
  <c r="GF104" i="1"/>
  <c r="GC148" i="1"/>
  <c r="GF124" i="1"/>
  <c r="GC162" i="1"/>
  <c r="GG126" i="1"/>
  <c r="GD163" i="1"/>
  <c r="GG163" i="1" s="1"/>
  <c r="GD164" i="1"/>
  <c r="GG164" i="1" s="1"/>
  <c r="GL95" i="1"/>
  <c r="GI144" i="1"/>
  <c r="GL148" i="1"/>
  <c r="BM39" i="5" s="1"/>
  <c r="BM125" i="5" s="1"/>
  <c r="GM108" i="1"/>
  <c r="GL125" i="1"/>
  <c r="GI163" i="1"/>
  <c r="GM128" i="1"/>
  <c r="GJ164" i="1"/>
  <c r="GR96" i="1"/>
  <c r="GS100" i="1"/>
  <c r="GS102" i="1"/>
  <c r="GQ147" i="1"/>
  <c r="GS104" i="1"/>
  <c r="GS106" i="1"/>
  <c r="GS108" i="1"/>
  <c r="GS150" i="1"/>
  <c r="GR128" i="1"/>
  <c r="GY93" i="1"/>
  <c r="GV143" i="1"/>
  <c r="GY143" i="1" s="1"/>
  <c r="GY95" i="1"/>
  <c r="GV144" i="1"/>
  <c r="GY144" i="1" s="1"/>
  <c r="GY100" i="1"/>
  <c r="GV146" i="1"/>
  <c r="GY146" i="1" s="1"/>
  <c r="GY109" i="1"/>
  <c r="GV149" i="1"/>
  <c r="GY149" i="1" s="1"/>
  <c r="GY113" i="1"/>
  <c r="GV151" i="1"/>
  <c r="GY151" i="1" s="1"/>
  <c r="GY119" i="1"/>
  <c r="GV157" i="1"/>
  <c r="GY157" i="1" s="1"/>
  <c r="GY121" i="1"/>
  <c r="GV159" i="1"/>
  <c r="GY159" i="1" s="1"/>
  <c r="GY123" i="1"/>
  <c r="GV161" i="1"/>
  <c r="GY161" i="1" s="1"/>
  <c r="GY125" i="1"/>
  <c r="GV163" i="1"/>
  <c r="GY163" i="1" s="1"/>
  <c r="GY127" i="1"/>
  <c r="GV164" i="1"/>
  <c r="GV173" i="1"/>
  <c r="GY173" i="1" s="1"/>
  <c r="HN146" i="1"/>
  <c r="HQ146" i="1" s="1"/>
  <c r="HP108" i="1"/>
  <c r="HQ121" i="1"/>
  <c r="HP123" i="1"/>
  <c r="HM161" i="1"/>
  <c r="HP126" i="1"/>
  <c r="HW112" i="1"/>
  <c r="HT150" i="1"/>
  <c r="HW150" i="1" s="1"/>
  <c r="IN6" i="1"/>
  <c r="IK56" i="1"/>
  <c r="IO7" i="1"/>
  <c r="IN13" i="1"/>
  <c r="IO14" i="1"/>
  <c r="IN17" i="1"/>
  <c r="IO18" i="1"/>
  <c r="IO21" i="1"/>
  <c r="IN24" i="1"/>
  <c r="IO26" i="1"/>
  <c r="IO31" i="1"/>
  <c r="IN36" i="1"/>
  <c r="IK74" i="1"/>
  <c r="IO37" i="1"/>
  <c r="IL75" i="1"/>
  <c r="IO75" i="1" s="1"/>
  <c r="IN41" i="1"/>
  <c r="IO50" i="1"/>
  <c r="IN51" i="1"/>
  <c r="IL57" i="1"/>
  <c r="IO57" i="1" s="1"/>
  <c r="IL58" i="1"/>
  <c r="IK59" i="1"/>
  <c r="IK60" i="1"/>
  <c r="IL61" i="1"/>
  <c r="IL62" i="1"/>
  <c r="IK63" i="1"/>
  <c r="IN63" i="1" s="1"/>
  <c r="CD43" i="5" s="1"/>
  <c r="CD129" i="5" s="1"/>
  <c r="FR144" i="1"/>
  <c r="FR148" i="1"/>
  <c r="FX173" i="1"/>
  <c r="FZ173" i="1" s="1"/>
  <c r="BI45" i="5" s="1"/>
  <c r="BI131" i="5" s="1"/>
  <c r="GD145" i="1"/>
  <c r="GG145" i="1" s="1"/>
  <c r="GD149" i="1"/>
  <c r="GG149" i="1" s="1"/>
  <c r="GD161" i="1"/>
  <c r="GG161" i="1" s="1"/>
  <c r="GD172" i="1"/>
  <c r="GG172" i="1" s="1"/>
  <c r="GJ150" i="1"/>
  <c r="GM150" i="1" s="1"/>
  <c r="GP145" i="1"/>
  <c r="HS146" i="1"/>
  <c r="IG156" i="1"/>
  <c r="II156" i="1" s="1"/>
  <c r="FU121" i="1"/>
  <c r="FR159" i="1"/>
  <c r="FT159" i="1" s="1"/>
  <c r="BG50" i="5" s="1"/>
  <c r="FR173" i="1"/>
  <c r="FT173" i="1" s="1"/>
  <c r="BG45" i="5" s="1"/>
  <c r="BG131" i="5" s="1"/>
  <c r="GL118" i="1"/>
  <c r="GI156" i="1"/>
  <c r="GL156" i="1" s="1"/>
  <c r="BM47" i="5" s="1"/>
  <c r="GL128" i="1"/>
  <c r="GI164" i="1"/>
  <c r="GR157" i="1"/>
  <c r="BO48" i="5" s="1"/>
  <c r="BO134" i="5" s="1"/>
  <c r="GX119" i="1"/>
  <c r="GU157" i="1"/>
  <c r="GX125" i="1"/>
  <c r="GU163" i="1"/>
  <c r="GU173" i="1"/>
  <c r="HP104" i="1"/>
  <c r="HM148" i="1"/>
  <c r="IO34" i="1"/>
  <c r="IL72" i="1"/>
  <c r="IO72" i="1" s="1"/>
  <c r="IO39" i="1"/>
  <c r="IL76" i="1"/>
  <c r="IO73" i="1"/>
  <c r="FH121" i="1"/>
  <c r="FE159" i="1"/>
  <c r="FH159" i="1" s="1"/>
  <c r="BC50" i="5" s="1"/>
  <c r="FM147" i="1"/>
  <c r="FO147" i="1" s="1"/>
  <c r="FU93" i="1"/>
  <c r="FS143" i="1"/>
  <c r="FS147" i="1"/>
  <c r="FQ149" i="1"/>
  <c r="FU111" i="1"/>
  <c r="FT122" i="1"/>
  <c r="FQ160" i="1"/>
  <c r="FU125" i="1"/>
  <c r="FR163" i="1"/>
  <c r="FW144" i="1"/>
  <c r="GA109" i="1"/>
  <c r="FX149" i="1"/>
  <c r="GA149" i="1" s="1"/>
  <c r="GA112" i="1"/>
  <c r="FZ159" i="1"/>
  <c r="BI50" i="5" s="1"/>
  <c r="BI136" i="5" s="1"/>
  <c r="GA124" i="1"/>
  <c r="FX162" i="1"/>
  <c r="GA162" i="1" s="1"/>
  <c r="GF93" i="1"/>
  <c r="GG104" i="1"/>
  <c r="GD148" i="1"/>
  <c r="GG112" i="1"/>
  <c r="GF113" i="1"/>
  <c r="GF121" i="1"/>
  <c r="GC159" i="1"/>
  <c r="GC173" i="1"/>
  <c r="GF173" i="1" s="1"/>
  <c r="BK45" i="5" s="1"/>
  <c r="BK131" i="5" s="1"/>
  <c r="GM95" i="1"/>
  <c r="GJ144" i="1"/>
  <c r="GL108" i="1"/>
  <c r="GI149" i="1"/>
  <c r="GM120" i="1"/>
  <c r="GJ158" i="1"/>
  <c r="GM158" i="1" s="1"/>
  <c r="GM121" i="1"/>
  <c r="GJ159" i="1"/>
  <c r="GM159" i="1" s="1"/>
  <c r="GM125" i="1"/>
  <c r="GJ163" i="1"/>
  <c r="GK164" i="1"/>
  <c r="GR93" i="1"/>
  <c r="GP143" i="1"/>
  <c r="GR102" i="1"/>
  <c r="GR104" i="1"/>
  <c r="GO148" i="1"/>
  <c r="GR108" i="1"/>
  <c r="GO149" i="1"/>
  <c r="GR112" i="1"/>
  <c r="GR121" i="1"/>
  <c r="GP159" i="1"/>
  <c r="GR159" i="1" s="1"/>
  <c r="BO50" i="5" s="1"/>
  <c r="BO136" i="5" s="1"/>
  <c r="GR125" i="1"/>
  <c r="GP163" i="1"/>
  <c r="GQ173" i="1"/>
  <c r="GS173" i="1" s="1"/>
  <c r="GX105" i="1"/>
  <c r="GX112" i="1"/>
  <c r="GU150" i="1"/>
  <c r="GX118" i="1"/>
  <c r="GU156" i="1"/>
  <c r="GX120" i="1"/>
  <c r="GU158" i="1"/>
  <c r="GX122" i="1"/>
  <c r="GU160" i="1"/>
  <c r="GX124" i="1"/>
  <c r="GU162" i="1"/>
  <c r="GU172" i="1"/>
  <c r="HJ111" i="1"/>
  <c r="HH149" i="1"/>
  <c r="HK149" i="1" s="1"/>
  <c r="HP95" i="1"/>
  <c r="HQ100" i="1"/>
  <c r="HQ120" i="1"/>
  <c r="HP122" i="1"/>
  <c r="HM160" i="1"/>
  <c r="HQ124" i="1"/>
  <c r="HM172" i="1"/>
  <c r="HP172" i="1" s="1"/>
  <c r="BW40" i="5" s="1"/>
  <c r="BW126" i="5" s="1"/>
  <c r="HV104" i="1"/>
  <c r="HS148" i="1"/>
  <c r="IA148" i="1"/>
  <c r="IC148" i="1" s="1"/>
  <c r="IA149" i="1"/>
  <c r="IC149" i="1" s="1"/>
  <c r="IN9" i="1"/>
  <c r="IN35" i="1"/>
  <c r="IK73" i="1"/>
  <c r="IN73" i="1" s="1"/>
  <c r="CD51" i="5" s="1"/>
  <c r="CD137" i="5" s="1"/>
  <c r="IO36" i="1"/>
  <c r="IL74" i="1"/>
  <c r="IO74" i="1" s="1"/>
  <c r="IN50" i="1"/>
  <c r="IK85" i="1"/>
  <c r="IN85" i="1" s="1"/>
  <c r="CD40" i="5" s="1"/>
  <c r="CD126" i="5" s="1"/>
  <c r="IL56" i="1"/>
  <c r="IL59" i="1"/>
  <c r="IO59" i="1" s="1"/>
  <c r="IL60" i="1"/>
  <c r="IL64" i="1"/>
  <c r="IN64" i="1" s="1"/>
  <c r="CD44" i="5" s="1"/>
  <c r="CD130" i="5" s="1"/>
  <c r="FR149" i="1"/>
  <c r="FX145" i="1"/>
  <c r="GA145" i="1" s="1"/>
  <c r="FW163" i="1"/>
  <c r="GD146" i="1"/>
  <c r="GG146" i="1" s="1"/>
  <c r="GD162" i="1"/>
  <c r="GG162" i="1" s="1"/>
  <c r="GI147" i="1"/>
  <c r="GJ162" i="1"/>
  <c r="GM162" i="1" s="1"/>
  <c r="GO146" i="1"/>
  <c r="GP164" i="1"/>
  <c r="HN149" i="1"/>
  <c r="HQ149" i="1" s="1"/>
  <c r="HM151" i="1"/>
  <c r="HP151" i="1" s="1"/>
  <c r="BW44" i="5" s="1"/>
  <c r="BW130" i="5" s="1"/>
  <c r="HM158" i="1"/>
  <c r="HP158" i="1" s="1"/>
  <c r="BW49" i="5" s="1"/>
  <c r="BW135" i="5" s="1"/>
  <c r="HM162" i="1"/>
  <c r="HP162" i="1" s="1"/>
  <c r="BW53" i="5" s="1"/>
  <c r="BW139" i="5" s="1"/>
  <c r="HT148" i="1"/>
  <c r="HW148" i="1" s="1"/>
  <c r="HT160" i="1"/>
  <c r="HW160" i="1" s="1"/>
  <c r="HT172" i="1"/>
  <c r="HW172" i="1" s="1"/>
  <c r="EV149" i="1"/>
  <c r="AY42" i="5" s="1"/>
  <c r="EW150" i="1"/>
  <c r="EV157" i="1"/>
  <c r="AY48" i="5" s="1"/>
  <c r="EW158" i="1"/>
  <c r="EW162" i="1"/>
  <c r="EV172" i="1"/>
  <c r="AY40" i="5" s="1"/>
  <c r="EW173" i="1"/>
  <c r="FB145" i="1"/>
  <c r="BA36" i="5" s="1"/>
  <c r="BA122" i="5" s="1"/>
  <c r="FB149" i="1"/>
  <c r="BA42" i="5" s="1"/>
  <c r="FC159" i="1"/>
  <c r="FC160" i="1"/>
  <c r="FC163" i="1"/>
  <c r="FC164" i="1"/>
  <c r="FH147" i="1"/>
  <c r="BC38" i="5" s="1"/>
  <c r="BC124" i="5" s="1"/>
  <c r="FI149" i="1"/>
  <c r="FI161" i="1"/>
  <c r="GA150" i="1"/>
  <c r="HJ143" i="1"/>
  <c r="BU34" i="5" s="1"/>
  <c r="IH144" i="1"/>
  <c r="CC35" i="5" s="1"/>
  <c r="IH145" i="1"/>
  <c r="CC36" i="5" s="1"/>
  <c r="HD144" i="1"/>
  <c r="BS35" i="5" s="1"/>
  <c r="BS121" i="5" s="1"/>
  <c r="FI146" i="1"/>
  <c r="FI157" i="1"/>
  <c r="AG66" i="6"/>
  <c r="HK146" i="1"/>
  <c r="HK150" i="1"/>
  <c r="HK158" i="1"/>
  <c r="HK162" i="1"/>
  <c r="HJ172" i="1"/>
  <c r="BU40" i="5" s="1"/>
  <c r="BU126" i="5" s="1"/>
  <c r="HK173" i="1"/>
  <c r="HP147" i="1"/>
  <c r="BW38" i="5" s="1"/>
  <c r="IH150" i="1"/>
  <c r="CC43" i="5" s="1"/>
  <c r="IH162" i="1"/>
  <c r="CC53" i="5" s="1"/>
  <c r="BR62" i="5"/>
  <c r="BQ66" i="5"/>
  <c r="BS67" i="5"/>
  <c r="BR68" i="5"/>
  <c r="BR73" i="5"/>
  <c r="HD160" i="1"/>
  <c r="BS51" i="5" s="1"/>
  <c r="BS137" i="5" s="1"/>
  <c r="FH163" i="1"/>
  <c r="BC54" i="5" s="1"/>
  <c r="BC140" i="5" s="1"/>
  <c r="FN173" i="1"/>
  <c r="BE45" i="5" s="1"/>
  <c r="BE131" i="5" s="1"/>
  <c r="HJ164" i="1"/>
  <c r="BU55" i="5" s="1"/>
  <c r="BU141" i="5" s="1"/>
  <c r="HQ150" i="1"/>
  <c r="HQ158" i="1"/>
  <c r="HQ162" i="1"/>
  <c r="HQ173" i="1"/>
  <c r="IB162" i="1"/>
  <c r="CA53" i="5" s="1"/>
  <c r="CA139" i="5" s="1"/>
  <c r="BS72" i="5"/>
  <c r="HD77" i="1"/>
  <c r="BR55" i="5" s="1"/>
  <c r="BR141" i="5" s="1"/>
  <c r="HD57" i="1"/>
  <c r="BR35" i="5" s="1"/>
  <c r="BR121" i="5" s="1"/>
  <c r="HD163" i="1"/>
  <c r="BS54" i="5" s="1"/>
  <c r="HD156" i="1"/>
  <c r="BS47" i="5" s="1"/>
  <c r="HD161" i="1"/>
  <c r="BS52" i="5" s="1"/>
  <c r="BS138" i="5" s="1"/>
  <c r="HD145" i="1"/>
  <c r="BS36" i="5" s="1"/>
  <c r="BS122" i="5" s="1"/>
  <c r="IH156" i="1"/>
  <c r="CC47" i="5" s="1"/>
  <c r="IH164" i="1"/>
  <c r="CC55" i="5" s="1"/>
  <c r="IH172" i="1"/>
  <c r="CC40" i="5" s="1"/>
  <c r="IH160" i="1"/>
  <c r="CC51" i="5" s="1"/>
  <c r="IH161" i="1"/>
  <c r="CC52" i="5" s="1"/>
  <c r="IH143" i="1"/>
  <c r="CC34" i="5" s="1"/>
  <c r="IH147" i="1"/>
  <c r="CC38" i="5" s="1"/>
  <c r="IH151" i="1"/>
  <c r="CC44" i="5" s="1"/>
  <c r="IH159" i="1"/>
  <c r="CC50" i="5" s="1"/>
  <c r="CC54" i="5"/>
  <c r="IB160" i="1"/>
  <c r="CA51" i="5" s="1"/>
  <c r="CA137" i="5" s="1"/>
  <c r="IB149" i="1"/>
  <c r="CA42" i="5" s="1"/>
  <c r="IB144" i="1"/>
  <c r="CA35" i="5" s="1"/>
  <c r="CA121" i="5" s="1"/>
  <c r="IB172" i="1"/>
  <c r="CA40" i="5" s="1"/>
  <c r="CA126" i="5" s="1"/>
  <c r="IB143" i="1"/>
  <c r="CA34" i="5" s="1"/>
  <c r="IB147" i="1"/>
  <c r="CA38" i="5" s="1"/>
  <c r="CA124" i="5" s="1"/>
  <c r="IB159" i="1"/>
  <c r="CA50" i="5" s="1"/>
  <c r="IB163" i="1"/>
  <c r="CA54" i="5" s="1"/>
  <c r="CA140" i="5" s="1"/>
  <c r="FN147" i="1"/>
  <c r="BE38" i="5" s="1"/>
  <c r="BE124" i="5" s="1"/>
  <c r="FN151" i="1"/>
  <c r="BE44" i="5" s="1"/>
  <c r="FN159" i="1"/>
  <c r="BE50" i="5" s="1"/>
  <c r="FN163" i="1"/>
  <c r="BE54" i="5" s="1"/>
  <c r="EW148" i="1"/>
  <c r="EV144" i="1"/>
  <c r="AY35" i="5" s="1"/>
  <c r="EW146" i="1"/>
  <c r="EV151" i="1"/>
  <c r="AY44" i="5" s="1"/>
  <c r="EW156" i="1"/>
  <c r="EV159" i="1"/>
  <c r="AY50" i="5" s="1"/>
  <c r="EW160" i="1"/>
  <c r="EV163" i="1"/>
  <c r="AY54" i="5" s="1"/>
  <c r="EW164" i="1"/>
  <c r="EV143" i="1"/>
  <c r="AY34" i="5" s="1"/>
  <c r="EV145" i="1"/>
  <c r="AY36" i="5" s="1"/>
  <c r="EW151" i="1"/>
  <c r="EW163" i="1"/>
  <c r="EW157" i="1"/>
  <c r="EV161" i="1"/>
  <c r="AY52" i="5" s="1"/>
  <c r="EW144" i="1"/>
  <c r="EW149" i="1"/>
  <c r="EV160" i="1"/>
  <c r="AY51" i="5" s="1"/>
  <c r="EW172" i="1"/>
  <c r="EW145" i="1"/>
  <c r="EV148" i="1"/>
  <c r="AY39" i="5" s="1"/>
  <c r="EW159" i="1"/>
  <c r="EW161" i="1"/>
  <c r="EV164" i="1"/>
  <c r="AY55" i="5" s="1"/>
  <c r="HQ147" i="1"/>
  <c r="HQ151" i="1"/>
  <c r="HQ159" i="1"/>
  <c r="HK143" i="1"/>
  <c r="HK147" i="1"/>
  <c r="HK151" i="1"/>
  <c r="HK159" i="1"/>
  <c r="HK163" i="1"/>
  <c r="GA159" i="1"/>
  <c r="FI159" i="1"/>
  <c r="FI163" i="1"/>
  <c r="EV146" i="1"/>
  <c r="EV150" i="1"/>
  <c r="AY43" i="5" s="1"/>
  <c r="EV156" i="1"/>
  <c r="AY47" i="5" s="1"/>
  <c r="EV158" i="1"/>
  <c r="AY49" i="5" s="1"/>
  <c r="EV162" i="1"/>
  <c r="AY53" i="5" s="1"/>
  <c r="EV173" i="1"/>
  <c r="AY45" i="5" s="1"/>
  <c r="IN12" i="1"/>
  <c r="HV109" i="1"/>
  <c r="HV110" i="1"/>
  <c r="HV111" i="1"/>
  <c r="HV112" i="1"/>
  <c r="HV121" i="1"/>
  <c r="HV122" i="1"/>
  <c r="HV128" i="1"/>
  <c r="GS93" i="1"/>
  <c r="GS96" i="1"/>
  <c r="GS103" i="1"/>
  <c r="GS107" i="1"/>
  <c r="GS121" i="1"/>
  <c r="GS125" i="1"/>
  <c r="GS128" i="1"/>
  <c r="GA93" i="1"/>
  <c r="GA94" i="1"/>
  <c r="GA95" i="1"/>
  <c r="GA96" i="1"/>
  <c r="GA97" i="1"/>
  <c r="GA100" i="1"/>
  <c r="GA101" i="1"/>
  <c r="GA102" i="1"/>
  <c r="GA103" i="1"/>
  <c r="GA105" i="1"/>
  <c r="FT94" i="1"/>
  <c r="FT98" i="1"/>
  <c r="FT101" i="1"/>
  <c r="FT105" i="1"/>
  <c r="FT112" i="1"/>
  <c r="FT121" i="1"/>
  <c r="FT125" i="1"/>
  <c r="IG70" i="1"/>
  <c r="IF70" i="1"/>
  <c r="IE70" i="1"/>
  <c r="IG69" i="1"/>
  <c r="IF69" i="1"/>
  <c r="IE69" i="1"/>
  <c r="IA86" i="1"/>
  <c r="IA77" i="1"/>
  <c r="HZ77" i="1"/>
  <c r="HY77" i="1"/>
  <c r="IA76" i="1"/>
  <c r="HZ76" i="1"/>
  <c r="HY76" i="1"/>
  <c r="IA71" i="1"/>
  <c r="HZ71" i="1"/>
  <c r="HY71" i="1"/>
  <c r="IA70" i="1"/>
  <c r="HZ70" i="1"/>
  <c r="HY70" i="1"/>
  <c r="IA69" i="1"/>
  <c r="HZ69" i="1"/>
  <c r="HY69" i="1"/>
  <c r="HU86" i="1"/>
  <c r="HU85" i="1"/>
  <c r="HU77" i="1"/>
  <c r="HU76" i="1"/>
  <c r="HT76" i="1"/>
  <c r="HS76" i="1"/>
  <c r="HU75" i="1"/>
  <c r="HU74" i="1"/>
  <c r="HT74" i="1"/>
  <c r="HS74" i="1"/>
  <c r="HU73" i="1"/>
  <c r="HU72" i="1"/>
  <c r="HT72" i="1"/>
  <c r="HS72" i="1"/>
  <c r="HU71" i="1"/>
  <c r="HT71" i="1"/>
  <c r="HS71" i="1"/>
  <c r="HU70" i="1"/>
  <c r="HT70" i="1"/>
  <c r="HS70" i="1"/>
  <c r="HU69" i="1"/>
  <c r="HT69" i="1"/>
  <c r="HS69" i="1"/>
  <c r="HU64" i="1"/>
  <c r="HU63" i="1"/>
  <c r="HU62" i="1"/>
  <c r="HT62" i="1"/>
  <c r="HS62" i="1"/>
  <c r="HU61" i="1"/>
  <c r="HU60" i="1"/>
  <c r="HT60" i="1"/>
  <c r="HS60" i="1"/>
  <c r="HU59" i="1"/>
  <c r="HU58" i="1"/>
  <c r="HU57" i="1"/>
  <c r="HU56" i="1"/>
  <c r="HO86" i="1"/>
  <c r="HO85" i="1"/>
  <c r="HO77" i="1"/>
  <c r="HO76" i="1"/>
  <c r="HO75" i="1"/>
  <c r="HO74" i="1"/>
  <c r="HN74" i="1"/>
  <c r="HM74" i="1"/>
  <c r="HO73" i="1"/>
  <c r="HO72" i="1"/>
  <c r="HO71" i="1"/>
  <c r="HO70" i="1"/>
  <c r="HN70" i="1"/>
  <c r="HM70" i="1"/>
  <c r="HO69" i="1"/>
  <c r="HN69" i="1"/>
  <c r="HM69" i="1"/>
  <c r="HO64" i="1"/>
  <c r="HO63" i="1"/>
  <c r="HO62" i="1"/>
  <c r="HO61" i="1"/>
  <c r="HO60" i="1"/>
  <c r="HN60" i="1"/>
  <c r="HM60" i="1"/>
  <c r="HO59" i="1"/>
  <c r="HO58" i="1"/>
  <c r="HO57" i="1"/>
  <c r="HN57" i="1"/>
  <c r="HO56" i="1"/>
  <c r="HI72" i="1"/>
  <c r="HH72" i="1"/>
  <c r="HG72" i="1"/>
  <c r="HI70" i="1"/>
  <c r="HH70" i="1"/>
  <c r="HG70" i="1"/>
  <c r="GW86" i="1"/>
  <c r="GW85" i="1"/>
  <c r="GW77" i="1"/>
  <c r="GW76" i="1"/>
  <c r="GW75" i="1"/>
  <c r="GW74" i="1"/>
  <c r="GW73" i="1"/>
  <c r="GW72" i="1"/>
  <c r="GW71" i="1"/>
  <c r="GW70" i="1"/>
  <c r="GW69" i="1"/>
  <c r="GW64" i="1"/>
  <c r="GW63" i="1"/>
  <c r="GW62" i="1"/>
  <c r="GW61" i="1"/>
  <c r="GW60" i="1"/>
  <c r="GW59" i="1"/>
  <c r="GW58" i="1"/>
  <c r="GW57" i="1"/>
  <c r="GW56" i="1"/>
  <c r="GQ64" i="1"/>
  <c r="GP64" i="1"/>
  <c r="GO64" i="1"/>
  <c r="GE70" i="1"/>
  <c r="GD70" i="1"/>
  <c r="GC70" i="1"/>
  <c r="GE64" i="1"/>
  <c r="GD64" i="1"/>
  <c r="GC64" i="1"/>
  <c r="FY71" i="1"/>
  <c r="FX71" i="1"/>
  <c r="FW71" i="1"/>
  <c r="FY69" i="1"/>
  <c r="FX69" i="1"/>
  <c r="FW69" i="1"/>
  <c r="FS70" i="1"/>
  <c r="FR70" i="1"/>
  <c r="FQ70" i="1"/>
  <c r="FS69" i="1"/>
  <c r="FR69" i="1"/>
  <c r="FQ69" i="1"/>
  <c r="FM86" i="1"/>
  <c r="FM77" i="1"/>
  <c r="FL77" i="1"/>
  <c r="FK77" i="1"/>
  <c r="FM76" i="1"/>
  <c r="FL76" i="1"/>
  <c r="FK76" i="1"/>
  <c r="FM71" i="1"/>
  <c r="FL71" i="1"/>
  <c r="FK71" i="1"/>
  <c r="FM70" i="1"/>
  <c r="FL70" i="1"/>
  <c r="FK70" i="1"/>
  <c r="FM69" i="1"/>
  <c r="FL69" i="1"/>
  <c r="FK69" i="1"/>
  <c r="FM64" i="1"/>
  <c r="FL64" i="1"/>
  <c r="FK64" i="1"/>
  <c r="FE56" i="1"/>
  <c r="FG56" i="1"/>
  <c r="FF56" i="1"/>
  <c r="FG86" i="1"/>
  <c r="FF86" i="1"/>
  <c r="FE86" i="1"/>
  <c r="FG85" i="1"/>
  <c r="FF85" i="1"/>
  <c r="FE85" i="1"/>
  <c r="FG77" i="1"/>
  <c r="FF77" i="1"/>
  <c r="FE77" i="1"/>
  <c r="FG76" i="1"/>
  <c r="FF76" i="1"/>
  <c r="FE76" i="1"/>
  <c r="FG75" i="1"/>
  <c r="FF75" i="1"/>
  <c r="FE75" i="1"/>
  <c r="FG74" i="1"/>
  <c r="FF74" i="1"/>
  <c r="FE74" i="1"/>
  <c r="FG73" i="1"/>
  <c r="FF73" i="1"/>
  <c r="FE73" i="1"/>
  <c r="FG72" i="1"/>
  <c r="FF72" i="1"/>
  <c r="FG71" i="1"/>
  <c r="FF71" i="1"/>
  <c r="FE71" i="1"/>
  <c r="FG70" i="1"/>
  <c r="FF70" i="1"/>
  <c r="FE70" i="1"/>
  <c r="FG69" i="1"/>
  <c r="FF69" i="1"/>
  <c r="FE69" i="1"/>
  <c r="FG64" i="1"/>
  <c r="FG63" i="1"/>
  <c r="FF63" i="1"/>
  <c r="FE63" i="1"/>
  <c r="FG62" i="1"/>
  <c r="FF62" i="1"/>
  <c r="FE62" i="1"/>
  <c r="FG61" i="1"/>
  <c r="FF61" i="1"/>
  <c r="FE61" i="1"/>
  <c r="FG60" i="1"/>
  <c r="FF60" i="1"/>
  <c r="FE60" i="1"/>
  <c r="FG59" i="1"/>
  <c r="FF59" i="1"/>
  <c r="FE59" i="1"/>
  <c r="FG58" i="1"/>
  <c r="FF58" i="1"/>
  <c r="FE58" i="1"/>
  <c r="FG57" i="1"/>
  <c r="FF57" i="1"/>
  <c r="FE57" i="1"/>
  <c r="FA56" i="1"/>
  <c r="EZ56" i="1"/>
  <c r="FA86" i="1"/>
  <c r="EZ86" i="1"/>
  <c r="EY86" i="1"/>
  <c r="FA85" i="1"/>
  <c r="EZ85" i="1"/>
  <c r="EY85" i="1"/>
  <c r="FA77" i="1"/>
  <c r="EZ77" i="1"/>
  <c r="EY77" i="1"/>
  <c r="FA76" i="1"/>
  <c r="EZ76" i="1"/>
  <c r="EY76" i="1"/>
  <c r="FA75" i="1"/>
  <c r="EZ75" i="1"/>
  <c r="EY75" i="1"/>
  <c r="FA74" i="1"/>
  <c r="EZ74" i="1"/>
  <c r="EY74" i="1"/>
  <c r="FA73" i="1"/>
  <c r="EZ73" i="1"/>
  <c r="EY73" i="1"/>
  <c r="FA72" i="1"/>
  <c r="EZ72" i="1"/>
  <c r="EY72" i="1"/>
  <c r="FA71" i="1"/>
  <c r="EZ71" i="1"/>
  <c r="EY71" i="1"/>
  <c r="FA70" i="1"/>
  <c r="EZ70" i="1"/>
  <c r="EY70" i="1"/>
  <c r="FA69" i="1"/>
  <c r="EZ69" i="1"/>
  <c r="EY69" i="1"/>
  <c r="FA64" i="1"/>
  <c r="EZ64" i="1"/>
  <c r="EY64" i="1"/>
  <c r="FA63" i="1"/>
  <c r="EZ63" i="1"/>
  <c r="EY63" i="1"/>
  <c r="FA62" i="1"/>
  <c r="EZ62" i="1"/>
  <c r="EY62" i="1"/>
  <c r="FA61" i="1"/>
  <c r="EZ61" i="1"/>
  <c r="EY61" i="1"/>
  <c r="FA60" i="1"/>
  <c r="EZ60" i="1"/>
  <c r="EY60" i="1"/>
  <c r="FA59" i="1"/>
  <c r="EZ59" i="1"/>
  <c r="EY59" i="1"/>
  <c r="FA58" i="1"/>
  <c r="EZ58" i="1"/>
  <c r="EY58" i="1"/>
  <c r="FA57" i="1"/>
  <c r="EZ57" i="1"/>
  <c r="EU86" i="1"/>
  <c r="EU85" i="1"/>
  <c r="EU77" i="1"/>
  <c r="EU76" i="1"/>
  <c r="EU75" i="1"/>
  <c r="EU74" i="1"/>
  <c r="EU73" i="1"/>
  <c r="EU72" i="1"/>
  <c r="EU71" i="1"/>
  <c r="ET70" i="1"/>
  <c r="EU70" i="1"/>
  <c r="EU69" i="1"/>
  <c r="EU64" i="1"/>
  <c r="EU63" i="1"/>
  <c r="EU62" i="1"/>
  <c r="EU61" i="1"/>
  <c r="EU60" i="1"/>
  <c r="EU59" i="1"/>
  <c r="EU58" i="1"/>
  <c r="EU57" i="1"/>
  <c r="EU56" i="1"/>
  <c r="ET64" i="1"/>
  <c r="ES64" i="1"/>
  <c r="IG86" i="1"/>
  <c r="IF86" i="1"/>
  <c r="IG85" i="1"/>
  <c r="IE85" i="1"/>
  <c r="IG77" i="1"/>
  <c r="IG75" i="1"/>
  <c r="IG74" i="1"/>
  <c r="IG73" i="1"/>
  <c r="IE73" i="1"/>
  <c r="IG72" i="1"/>
  <c r="IF72" i="1"/>
  <c r="IG71" i="1"/>
  <c r="IG64" i="1"/>
  <c r="IG63" i="1"/>
  <c r="IE63" i="1"/>
  <c r="IG60" i="1"/>
  <c r="IG58" i="1"/>
  <c r="IG56" i="1"/>
  <c r="HY86" i="1"/>
  <c r="IA85" i="1"/>
  <c r="HY85" i="1"/>
  <c r="IA75" i="1"/>
  <c r="HY75" i="1"/>
  <c r="HZ74" i="1"/>
  <c r="HY74" i="1"/>
  <c r="IA73" i="1"/>
  <c r="HZ73" i="1"/>
  <c r="HY73" i="1"/>
  <c r="IA72" i="1"/>
  <c r="HZ72" i="1"/>
  <c r="IA64" i="1"/>
  <c r="HZ64" i="1"/>
  <c r="HY64" i="1"/>
  <c r="IA63" i="1"/>
  <c r="HZ63" i="1"/>
  <c r="HY59" i="1"/>
  <c r="IA58" i="1"/>
  <c r="IA57" i="1"/>
  <c r="HZ57" i="1"/>
  <c r="HY57" i="1"/>
  <c r="HS86" i="1"/>
  <c r="HS85" i="1"/>
  <c r="HS77" i="1"/>
  <c r="HS75" i="1"/>
  <c r="HW36" i="1"/>
  <c r="HV36" i="1"/>
  <c r="HT73" i="1"/>
  <c r="HW73" i="1" s="1"/>
  <c r="HT64" i="1"/>
  <c r="HT63" i="1"/>
  <c r="HS61" i="1"/>
  <c r="HW14" i="1"/>
  <c r="HW13" i="1"/>
  <c r="HW11" i="1"/>
  <c r="HT57" i="1"/>
  <c r="HW7" i="1"/>
  <c r="HW6" i="1"/>
  <c r="HN86" i="1"/>
  <c r="HM86" i="1"/>
  <c r="HN85" i="1"/>
  <c r="HM85" i="1"/>
  <c r="HN77" i="1"/>
  <c r="HM77" i="1"/>
  <c r="HN76" i="1"/>
  <c r="HM76" i="1"/>
  <c r="HN73" i="1"/>
  <c r="HM73" i="1"/>
  <c r="HN72" i="1"/>
  <c r="HM72" i="1"/>
  <c r="HN71" i="1"/>
  <c r="HQ71" i="1" s="1"/>
  <c r="HM71" i="1"/>
  <c r="HN64" i="1"/>
  <c r="HM64" i="1"/>
  <c r="HN63" i="1"/>
  <c r="HM63" i="1"/>
  <c r="HN61" i="1"/>
  <c r="HM61" i="1"/>
  <c r="HQ14" i="1"/>
  <c r="HQ8" i="1"/>
  <c r="HM57" i="1"/>
  <c r="HN56" i="1"/>
  <c r="HQ56" i="1" s="1"/>
  <c r="HM56" i="1"/>
  <c r="GR147" i="1" l="1"/>
  <c r="BO38" i="5" s="1"/>
  <c r="BO124" i="5" s="1"/>
  <c r="O118" i="36"/>
  <c r="FU70" i="1"/>
  <c r="GG70" i="1"/>
  <c r="CC46" i="5"/>
  <c r="CC132" i="5" s="1"/>
  <c r="BR128" i="5"/>
  <c r="BR41" i="5"/>
  <c r="BR127" i="5" s="1"/>
  <c r="CA128" i="5"/>
  <c r="CA41" i="5"/>
  <c r="CA127" i="5" s="1"/>
  <c r="CC33" i="5"/>
  <c r="CC119" i="5" s="1"/>
  <c r="BU120" i="5"/>
  <c r="BU33" i="5"/>
  <c r="BU119" i="5" s="1"/>
  <c r="CC41" i="5"/>
  <c r="CC127" i="5" s="1"/>
  <c r="BU46" i="5"/>
  <c r="BU132" i="5" s="1"/>
  <c r="BC33" i="5"/>
  <c r="BC119" i="5" s="1"/>
  <c r="BA33" i="5"/>
  <c r="BA119" i="5" s="1"/>
  <c r="BC136" i="5"/>
  <c r="BC46" i="5"/>
  <c r="BC132" i="5" s="1"/>
  <c r="HP60" i="1"/>
  <c r="CA136" i="5"/>
  <c r="CA46" i="5"/>
  <c r="CA132" i="5" s="1"/>
  <c r="CD133" i="5"/>
  <c r="BK120" i="5"/>
  <c r="BS133" i="5"/>
  <c r="BS46" i="5"/>
  <c r="BS132" i="5" s="1"/>
  <c r="BO133" i="5"/>
  <c r="BE33" i="5"/>
  <c r="BE119" i="5" s="1"/>
  <c r="BE136" i="5"/>
  <c r="BE46" i="5"/>
  <c r="BE132" i="5" s="1"/>
  <c r="CA120" i="5"/>
  <c r="CA33" i="5"/>
  <c r="CA119" i="5" s="1"/>
  <c r="BA128" i="5"/>
  <c r="BA41" i="5"/>
  <c r="BA127" i="5" s="1"/>
  <c r="BY136" i="5"/>
  <c r="BA46" i="5"/>
  <c r="BA132" i="5" s="1"/>
  <c r="BR33" i="5"/>
  <c r="BR119" i="5" s="1"/>
  <c r="AY41" i="5"/>
  <c r="AY127" i="5" s="1"/>
  <c r="AY46" i="5"/>
  <c r="AY132" i="5" s="1"/>
  <c r="BM133" i="5"/>
  <c r="BS33" i="5"/>
  <c r="BS119" i="5" s="1"/>
  <c r="BE41" i="5"/>
  <c r="BE127" i="5" s="1"/>
  <c r="BR46" i="5"/>
  <c r="BR132" i="5" s="1"/>
  <c r="BW133" i="5"/>
  <c r="Q118" i="36"/>
  <c r="N118" i="36"/>
  <c r="L118" i="36"/>
  <c r="M118" i="36"/>
  <c r="P118" i="36"/>
  <c r="BS65" i="5"/>
  <c r="CA65" i="5"/>
  <c r="GL164" i="1"/>
  <c r="BM55" i="5" s="1"/>
  <c r="BM141" i="5" s="1"/>
  <c r="GG148" i="1"/>
  <c r="HV146" i="1"/>
  <c r="BY37" i="5" s="1"/>
  <c r="BY123" i="5" s="1"/>
  <c r="IO56" i="1"/>
  <c r="HQ77" i="1"/>
  <c r="GR143" i="1"/>
  <c r="BO34" i="5" s="1"/>
  <c r="HQ63" i="1"/>
  <c r="GA158" i="1"/>
  <c r="FH61" i="1"/>
  <c r="FN69" i="1"/>
  <c r="FN77" i="1"/>
  <c r="HQ73" i="1"/>
  <c r="GA173" i="1"/>
  <c r="GL147" i="1"/>
  <c r="BM38" i="5" s="1"/>
  <c r="BM124" i="5" s="1"/>
  <c r="HV162" i="1"/>
  <c r="BY53" i="5" s="1"/>
  <c r="BY139" i="5" s="1"/>
  <c r="GS163" i="1"/>
  <c r="GR149" i="1"/>
  <c r="BO42" i="5" s="1"/>
  <c r="GL149" i="1"/>
  <c r="BM42" i="5" s="1"/>
  <c r="HW159" i="1"/>
  <c r="IN77" i="1"/>
  <c r="CD55" i="5" s="1"/>
  <c r="CD141" i="5" s="1"/>
  <c r="FT143" i="1"/>
  <c r="BG34" i="5" s="1"/>
  <c r="HQ86" i="1"/>
  <c r="FC71" i="1"/>
  <c r="HP74" i="1"/>
  <c r="Q49" i="36"/>
  <c r="FB70" i="1"/>
  <c r="FI62" i="1"/>
  <c r="FH71" i="1"/>
  <c r="FO70" i="1"/>
  <c r="FT69" i="1"/>
  <c r="GF64" i="1"/>
  <c r="HQ69" i="1"/>
  <c r="IH69" i="1"/>
  <c r="BE140" i="5"/>
  <c r="BW124" i="5"/>
  <c r="BI135" i="5"/>
  <c r="M51" i="36"/>
  <c r="BE130" i="5"/>
  <c r="V122" i="6"/>
  <c r="AY133" i="5"/>
  <c r="V118" i="6"/>
  <c r="AY125" i="5"/>
  <c r="CC72" i="5"/>
  <c r="CC130" i="5"/>
  <c r="CC79" i="5"/>
  <c r="CC137" i="5"/>
  <c r="CC75" i="5"/>
  <c r="CC133" i="5"/>
  <c r="AL48" i="6"/>
  <c r="AL74" i="6" s="1"/>
  <c r="BS140" i="5"/>
  <c r="CC71" i="5"/>
  <c r="CC129" i="5"/>
  <c r="AY134" i="5"/>
  <c r="AL32" i="6"/>
  <c r="AL58" i="6" s="1"/>
  <c r="BS120" i="5"/>
  <c r="AL50" i="6"/>
  <c r="AL76" i="6" s="1"/>
  <c r="BS126" i="5"/>
  <c r="BU79" i="5"/>
  <c r="BU137" i="5"/>
  <c r="BE83" i="5"/>
  <c r="BE141" i="5"/>
  <c r="BW78" i="5"/>
  <c r="BW136" i="5"/>
  <c r="CC67" i="5"/>
  <c r="CC125" i="5"/>
  <c r="CA64" i="5"/>
  <c r="CA122" i="5"/>
  <c r="BU82" i="5"/>
  <c r="BU140" i="5"/>
  <c r="BU72" i="5"/>
  <c r="BU130" i="5"/>
  <c r="BE67" i="5"/>
  <c r="BE125" i="5"/>
  <c r="BA75" i="5"/>
  <c r="BA133" i="5"/>
  <c r="BG81" i="5"/>
  <c r="BG139" i="5"/>
  <c r="BU80" i="5"/>
  <c r="BU138" i="5"/>
  <c r="BG65" i="5"/>
  <c r="BG123" i="5"/>
  <c r="BE65" i="5"/>
  <c r="BE123" i="5"/>
  <c r="BA68" i="5"/>
  <c r="BA126" i="5"/>
  <c r="BO63" i="5"/>
  <c r="BO121" i="5"/>
  <c r="CC73" i="5"/>
  <c r="CC131" i="5"/>
  <c r="BM68" i="5"/>
  <c r="BM126" i="5"/>
  <c r="BU71" i="5"/>
  <c r="BU129" i="5"/>
  <c r="BA81" i="5"/>
  <c r="BA139" i="5"/>
  <c r="BR72" i="5"/>
  <c r="BR130" i="5"/>
  <c r="BO71" i="5"/>
  <c r="BO129" i="5"/>
  <c r="BR80" i="5"/>
  <c r="BR138" i="5"/>
  <c r="BE79" i="5"/>
  <c r="BE137" i="5"/>
  <c r="AY131" i="5"/>
  <c r="AY129" i="5"/>
  <c r="V130" i="6"/>
  <c r="AY141" i="5"/>
  <c r="V129" i="6"/>
  <c r="AY140" i="5"/>
  <c r="AY130" i="5"/>
  <c r="CC66" i="5"/>
  <c r="CC124" i="5"/>
  <c r="V131" i="6"/>
  <c r="AY126" i="5"/>
  <c r="BG78" i="5"/>
  <c r="BG136" i="5"/>
  <c r="AL35" i="6"/>
  <c r="AL61" i="6" s="1"/>
  <c r="BR123" i="5"/>
  <c r="BU75" i="5"/>
  <c r="BU133" i="5"/>
  <c r="BE70" i="5"/>
  <c r="BE128" i="5"/>
  <c r="BC79" i="5"/>
  <c r="BC137" i="5"/>
  <c r="BC62" i="5"/>
  <c r="BC120" i="5"/>
  <c r="BA71" i="5"/>
  <c r="BA129" i="5"/>
  <c r="BM65" i="5"/>
  <c r="BM123" i="5"/>
  <c r="BU81" i="5"/>
  <c r="BU139" i="5"/>
  <c r="BC73" i="5"/>
  <c r="BC131" i="5"/>
  <c r="BC64" i="5"/>
  <c r="BC122" i="5"/>
  <c r="BO77" i="5"/>
  <c r="BO135" i="5"/>
  <c r="BU76" i="5"/>
  <c r="BU134" i="5"/>
  <c r="BR75" i="5"/>
  <c r="BR133" i="5"/>
  <c r="BE63" i="5"/>
  <c r="BE121" i="5"/>
  <c r="BA80" i="5"/>
  <c r="BA138" i="5"/>
  <c r="BU67" i="5"/>
  <c r="BU125" i="5"/>
  <c r="BU66" i="5"/>
  <c r="BU124" i="5"/>
  <c r="BS78" i="5"/>
  <c r="BS136" i="5"/>
  <c r="BW134" i="5"/>
  <c r="BW76" i="5"/>
  <c r="BC80" i="5"/>
  <c r="BC138" i="5"/>
  <c r="BC63" i="5"/>
  <c r="BC121" i="5"/>
  <c r="BA72" i="5"/>
  <c r="BA130" i="5"/>
  <c r="V128" i="6"/>
  <c r="AY139" i="5"/>
  <c r="AY138" i="5"/>
  <c r="AY122" i="5"/>
  <c r="CC82" i="5"/>
  <c r="CC140" i="5"/>
  <c r="CC62" i="5"/>
  <c r="CC120" i="5"/>
  <c r="CC68" i="5"/>
  <c r="CC126" i="5"/>
  <c r="CC64" i="5"/>
  <c r="CC122" i="5"/>
  <c r="V119" i="6"/>
  <c r="AY128" i="5"/>
  <c r="BU65" i="5"/>
  <c r="BU123" i="5"/>
  <c r="CA71" i="5"/>
  <c r="CA129" i="5"/>
  <c r="BW71" i="5"/>
  <c r="BW129" i="5"/>
  <c r="BU78" i="5"/>
  <c r="BU136" i="5"/>
  <c r="BC81" i="5"/>
  <c r="BC139" i="5"/>
  <c r="BE80" i="5"/>
  <c r="BE138" i="5"/>
  <c r="BS70" i="5"/>
  <c r="BS69" i="5" s="1"/>
  <c r="BS128" i="5"/>
  <c r="BC65" i="5"/>
  <c r="BC123" i="5"/>
  <c r="BU63" i="5"/>
  <c r="BU121" i="5"/>
  <c r="BE81" i="5"/>
  <c r="BE139" i="5"/>
  <c r="BR66" i="5"/>
  <c r="BR124" i="5"/>
  <c r="CC65" i="5"/>
  <c r="CC123" i="5"/>
  <c r="BS81" i="5"/>
  <c r="BS139" i="5"/>
  <c r="BE64" i="5"/>
  <c r="BE122" i="5"/>
  <c r="BA82" i="5"/>
  <c r="BA140" i="5"/>
  <c r="BM76" i="5"/>
  <c r="BM134" i="5"/>
  <c r="BR67" i="5"/>
  <c r="BR125" i="5"/>
  <c r="AY135" i="5"/>
  <c r="V126" i="6"/>
  <c r="AY137" i="5"/>
  <c r="V113" i="6"/>
  <c r="AY120" i="5"/>
  <c r="V125" i="6"/>
  <c r="AY136" i="5"/>
  <c r="V114" i="6"/>
  <c r="AY121" i="5"/>
  <c r="CC78" i="5"/>
  <c r="CC136" i="5"/>
  <c r="CC80" i="5"/>
  <c r="CC138" i="5"/>
  <c r="CC83" i="5"/>
  <c r="CC141" i="5"/>
  <c r="CC81" i="5"/>
  <c r="CC139" i="5"/>
  <c r="CC63" i="5"/>
  <c r="CC121" i="5"/>
  <c r="BS83" i="5"/>
  <c r="BS141" i="5"/>
  <c r="CC70" i="5"/>
  <c r="CC128" i="5"/>
  <c r="BU64" i="5"/>
  <c r="BU122" i="5"/>
  <c r="BA83" i="5"/>
  <c r="BA141" i="5"/>
  <c r="BA65" i="5"/>
  <c r="BA123" i="5"/>
  <c r="BM73" i="5"/>
  <c r="BM131" i="5"/>
  <c r="CA67" i="5"/>
  <c r="CA125" i="5"/>
  <c r="BU73" i="5"/>
  <c r="BU131" i="5"/>
  <c r="BE68" i="5"/>
  <c r="BE126" i="5"/>
  <c r="BA79" i="5"/>
  <c r="BA137" i="5"/>
  <c r="BA63" i="5"/>
  <c r="BA121" i="5"/>
  <c r="BE71" i="5"/>
  <c r="BE129" i="5"/>
  <c r="BR76" i="5"/>
  <c r="BR134" i="5"/>
  <c r="BU77" i="5"/>
  <c r="BU135" i="5"/>
  <c r="BA73" i="5"/>
  <c r="BA131" i="5"/>
  <c r="BQ67" i="5"/>
  <c r="BQ125" i="5"/>
  <c r="BS77" i="5"/>
  <c r="BS135" i="5"/>
  <c r="BR79" i="5"/>
  <c r="BR137" i="5"/>
  <c r="BC68" i="5"/>
  <c r="BC126" i="5"/>
  <c r="BC67" i="5"/>
  <c r="BC125" i="5"/>
  <c r="BA78" i="5"/>
  <c r="BA136" i="5"/>
  <c r="BA66" i="5"/>
  <c r="BA124" i="5"/>
  <c r="BO81" i="5"/>
  <c r="BO139" i="5"/>
  <c r="BK79" i="5"/>
  <c r="BK137" i="5"/>
  <c r="V127" i="6"/>
  <c r="V72" i="6"/>
  <c r="V60" i="6"/>
  <c r="V115" i="6"/>
  <c r="V63" i="6"/>
  <c r="V74" i="6"/>
  <c r="V59" i="6"/>
  <c r="V71" i="6"/>
  <c r="V70" i="6"/>
  <c r="V76" i="6"/>
  <c r="W123" i="6"/>
  <c r="W68" i="6"/>
  <c r="X118" i="6"/>
  <c r="X63" i="6"/>
  <c r="X124" i="6"/>
  <c r="X69" i="6"/>
  <c r="Y122" i="6"/>
  <c r="Y67" i="6"/>
  <c r="Y130" i="6"/>
  <c r="Y75" i="6"/>
  <c r="V69" i="6"/>
  <c r="V124" i="6"/>
  <c r="V67" i="6"/>
  <c r="V75" i="6"/>
  <c r="V73" i="6"/>
  <c r="V58" i="6"/>
  <c r="V64" i="6"/>
  <c r="V132" i="6"/>
  <c r="V77" i="6"/>
  <c r="V120" i="6"/>
  <c r="V65" i="6"/>
  <c r="V121" i="6"/>
  <c r="V66" i="6"/>
  <c r="AL37" i="6"/>
  <c r="AL63" i="6" s="1"/>
  <c r="II70" i="1"/>
  <c r="IO60" i="1"/>
  <c r="GX163" i="1"/>
  <c r="BQ54" i="5" s="1"/>
  <c r="FU159" i="1"/>
  <c r="GL143" i="1"/>
  <c r="BM34" i="5" s="1"/>
  <c r="FU143" i="1"/>
  <c r="GS164" i="1"/>
  <c r="FU149" i="1"/>
  <c r="FT163" i="1"/>
  <c r="BG54" i="5" s="1"/>
  <c r="FU150" i="1"/>
  <c r="HP161" i="1"/>
  <c r="BW52" i="5" s="1"/>
  <c r="BW80" i="5" s="1"/>
  <c r="GS143" i="1"/>
  <c r="AL47" i="6"/>
  <c r="AL73" i="6" s="1"/>
  <c r="AL46" i="6"/>
  <c r="AL72" i="6" s="1"/>
  <c r="AL45" i="6"/>
  <c r="AL71" i="6" s="1"/>
  <c r="BS68" i="5"/>
  <c r="GS146" i="1"/>
  <c r="AL40" i="6"/>
  <c r="AL66" i="6" s="1"/>
  <c r="GX172" i="1"/>
  <c r="BQ40" i="5" s="1"/>
  <c r="IO58" i="1"/>
  <c r="FB76" i="1"/>
  <c r="IO61" i="1"/>
  <c r="FT145" i="1"/>
  <c r="BG36" i="5" s="1"/>
  <c r="AL44" i="6"/>
  <c r="AL70" i="6" s="1"/>
  <c r="BR65" i="5"/>
  <c r="AL42" i="6"/>
  <c r="AL68" i="6" s="1"/>
  <c r="FI61" i="1"/>
  <c r="FH70" i="1"/>
  <c r="FI71" i="1"/>
  <c r="FU69" i="1"/>
  <c r="HQ163" i="1"/>
  <c r="HP160" i="1"/>
  <c r="BW51" i="5" s="1"/>
  <c r="GM163" i="1"/>
  <c r="HV149" i="1"/>
  <c r="BY42" i="5" s="1"/>
  <c r="FZ146" i="1"/>
  <c r="BI37" i="5" s="1"/>
  <c r="AL38" i="6"/>
  <c r="AL64" i="6" s="1"/>
  <c r="AL43" i="6"/>
  <c r="AL69" i="6" s="1"/>
  <c r="AL36" i="6"/>
  <c r="AL62" i="6" s="1"/>
  <c r="IO62" i="1"/>
  <c r="IN76" i="1"/>
  <c r="CD54" i="5" s="1"/>
  <c r="FC69" i="1"/>
  <c r="FH63" i="1"/>
  <c r="FI70" i="1"/>
  <c r="FO64" i="1"/>
  <c r="FN71" i="1"/>
  <c r="FO76" i="1"/>
  <c r="GR64" i="1"/>
  <c r="HV72" i="1"/>
  <c r="HV76" i="1"/>
  <c r="BX82" i="5" s="1"/>
  <c r="IB71" i="1"/>
  <c r="IC76" i="1"/>
  <c r="GL145" i="1"/>
  <c r="BM36" i="5" s="1"/>
  <c r="FB71" i="1"/>
  <c r="FC76" i="1"/>
  <c r="FT70" i="1"/>
  <c r="GF70" i="1"/>
  <c r="HP69" i="1"/>
  <c r="BV47" i="5" s="1"/>
  <c r="HQ70" i="1"/>
  <c r="HV71" i="1"/>
  <c r="HW72" i="1"/>
  <c r="HW76" i="1"/>
  <c r="IH70" i="1"/>
  <c r="IO64" i="1"/>
  <c r="GX157" i="1"/>
  <c r="BQ48" i="5" s="1"/>
  <c r="FT164" i="1"/>
  <c r="BG55" i="5" s="1"/>
  <c r="GG143" i="1"/>
  <c r="FZ71" i="1"/>
  <c r="GG64" i="1"/>
  <c r="HW60" i="1"/>
  <c r="HW62" i="1"/>
  <c r="HV69" i="1"/>
  <c r="HW70" i="1"/>
  <c r="IC69" i="1"/>
  <c r="IB76" i="1"/>
  <c r="IC77" i="1"/>
  <c r="II69" i="1"/>
  <c r="IB69" i="1"/>
  <c r="IC70" i="1"/>
  <c r="IB77" i="1"/>
  <c r="IB70" i="1"/>
  <c r="IC71" i="1"/>
  <c r="HW57" i="1"/>
  <c r="HW69" i="1"/>
  <c r="HV60" i="1"/>
  <c r="HV62" i="1"/>
  <c r="HV70" i="1"/>
  <c r="HW71" i="1"/>
  <c r="HQ61" i="1"/>
  <c r="HQ85" i="1"/>
  <c r="HQ60" i="1"/>
  <c r="HQ74" i="1"/>
  <c r="HP70" i="1"/>
  <c r="BV48" i="5" s="1"/>
  <c r="P50" i="36" s="1"/>
  <c r="AL49" i="6"/>
  <c r="AL75" i="6" s="1"/>
  <c r="BR77" i="5"/>
  <c r="GS148" i="1"/>
  <c r="GS147" i="1"/>
  <c r="GS64" i="1"/>
  <c r="GL160" i="1"/>
  <c r="BM51" i="5" s="1"/>
  <c r="GM146" i="1"/>
  <c r="GM145" i="1"/>
  <c r="GG158" i="1"/>
  <c r="FZ143" i="1"/>
  <c r="BI34" i="5" s="1"/>
  <c r="FZ160" i="1"/>
  <c r="BI51" i="5" s="1"/>
  <c r="GA71" i="1"/>
  <c r="FT160" i="1"/>
  <c r="BG51" i="5" s="1"/>
  <c r="FT161" i="1"/>
  <c r="BG52" i="5" s="1"/>
  <c r="FU147" i="1"/>
  <c r="FU145" i="1"/>
  <c r="FN70" i="1"/>
  <c r="FO71" i="1"/>
  <c r="FN64" i="1"/>
  <c r="FO69" i="1"/>
  <c r="FN76" i="1"/>
  <c r="FO77" i="1"/>
  <c r="FH62" i="1"/>
  <c r="FI63" i="1"/>
  <c r="FB69" i="1"/>
  <c r="FC70" i="1"/>
  <c r="AY37" i="5"/>
  <c r="AY38" i="5"/>
  <c r="EW70" i="1"/>
  <c r="EV70" i="1"/>
  <c r="AX48" i="5" s="1"/>
  <c r="AB42" i="6" s="1"/>
  <c r="EW64" i="1"/>
  <c r="EV64" i="1"/>
  <c r="AX44" i="5" s="1"/>
  <c r="AB96" i="6"/>
  <c r="AR96" i="6"/>
  <c r="AM86" i="6"/>
  <c r="AB86" i="6"/>
  <c r="AF88" i="6"/>
  <c r="BK76" i="5"/>
  <c r="GM144" i="1"/>
  <c r="HQ50" i="1"/>
  <c r="HY58" i="1"/>
  <c r="IA59" i="1"/>
  <c r="IB16" i="1"/>
  <c r="IC22" i="1"/>
  <c r="IF76" i="1"/>
  <c r="FU163" i="1"/>
  <c r="AL41" i="6"/>
  <c r="AL67" i="6" s="1"/>
  <c r="GR163" i="1"/>
  <c r="BO54" i="5" s="1"/>
  <c r="GF159" i="1"/>
  <c r="BK50" i="5" s="1"/>
  <c r="HP148" i="1"/>
  <c r="BW39" i="5" s="1"/>
  <c r="GS145" i="1"/>
  <c r="FZ147" i="1"/>
  <c r="BI38" i="5" s="1"/>
  <c r="HP145" i="1"/>
  <c r="BW36" i="5" s="1"/>
  <c r="HQ64" i="1"/>
  <c r="HQ72" i="1"/>
  <c r="GA146" i="1"/>
  <c r="GR146" i="1"/>
  <c r="BO37" i="5" s="1"/>
  <c r="GX145" i="1"/>
  <c r="BQ36" i="5" s="1"/>
  <c r="HP76" i="1"/>
  <c r="BV54" i="5" s="1"/>
  <c r="P56" i="36" s="1"/>
  <c r="HP85" i="1"/>
  <c r="BV40" i="5" s="1"/>
  <c r="IC57" i="1"/>
  <c r="IC14" i="1"/>
  <c r="IC18" i="1"/>
  <c r="IB22" i="1"/>
  <c r="IH39" i="1"/>
  <c r="FI57" i="1"/>
  <c r="FH60" i="1"/>
  <c r="BB38" i="5" s="1"/>
  <c r="BB124" i="5" s="1"/>
  <c r="FH73" i="1"/>
  <c r="BB51" i="5" s="1"/>
  <c r="BB137" i="5" s="1"/>
  <c r="HK72" i="1"/>
  <c r="AL33" i="6"/>
  <c r="AL59" i="6" s="1"/>
  <c r="GX162" i="1"/>
  <c r="BQ53" i="5" s="1"/>
  <c r="GX158" i="1"/>
  <c r="BQ49" i="5" s="1"/>
  <c r="GX150" i="1"/>
  <c r="BQ43" i="5" s="1"/>
  <c r="FZ144" i="1"/>
  <c r="BI35" i="5" s="1"/>
  <c r="GM147" i="1"/>
  <c r="BR70" i="5"/>
  <c r="BS66" i="5"/>
  <c r="IB73" i="1"/>
  <c r="BZ51" i="5" s="1"/>
  <c r="II9" i="1"/>
  <c r="FZ145" i="1"/>
  <c r="BI36" i="5" s="1"/>
  <c r="FU144" i="1"/>
  <c r="HV164" i="1"/>
  <c r="BY55" i="5" s="1"/>
  <c r="II7" i="1"/>
  <c r="IG57" i="1"/>
  <c r="IG59" i="1"/>
  <c r="II16" i="1"/>
  <c r="IG61" i="1"/>
  <c r="IH19" i="1"/>
  <c r="II20" i="1"/>
  <c r="IG62" i="1"/>
  <c r="IH24" i="1"/>
  <c r="HP14" i="1"/>
  <c r="IC6" i="1"/>
  <c r="IC11" i="1"/>
  <c r="IC64" i="1"/>
  <c r="II24" i="1"/>
  <c r="FB59" i="1"/>
  <c r="AZ37" i="5" s="1"/>
  <c r="AZ123" i="5" s="1"/>
  <c r="FC60" i="1"/>
  <c r="FB63" i="1"/>
  <c r="AZ43" i="5" s="1"/>
  <c r="AZ129" i="5" s="1"/>
  <c r="FC64" i="1"/>
  <c r="FC72" i="1"/>
  <c r="FB75" i="1"/>
  <c r="AZ53" i="5" s="1"/>
  <c r="AZ139" i="5" s="1"/>
  <c r="FB86" i="1"/>
  <c r="AZ45" i="5" s="1"/>
  <c r="AZ131" i="5" s="1"/>
  <c r="GA69" i="1"/>
  <c r="AQ68" i="6"/>
  <c r="AN88" i="6"/>
  <c r="AK88" i="6"/>
  <c r="AY88" i="6" s="1"/>
  <c r="AL88" i="6"/>
  <c r="AD88" i="6"/>
  <c r="AC88" i="6"/>
  <c r="AG86" i="6"/>
  <c r="AQ88" i="6"/>
  <c r="AO88" i="6"/>
  <c r="AG88" i="6"/>
  <c r="AE88" i="6"/>
  <c r="AR88" i="6"/>
  <c r="AH88" i="6"/>
  <c r="AI88" i="6"/>
  <c r="AJ88" i="6"/>
  <c r="AM88" i="6"/>
  <c r="AE86" i="6"/>
  <c r="IC26" i="1"/>
  <c r="HS56" i="1"/>
  <c r="IB6" i="1"/>
  <c r="IB64" i="1"/>
  <c r="BZ44" i="5" s="1"/>
  <c r="IG76" i="1"/>
  <c r="FB58" i="1"/>
  <c r="AZ36" i="5" s="1"/>
  <c r="AZ122" i="5" s="1"/>
  <c r="FC59" i="1"/>
  <c r="FB62" i="1"/>
  <c r="AZ42" i="5" s="1"/>
  <c r="FC63" i="1"/>
  <c r="AC68" i="6"/>
  <c r="FB74" i="1"/>
  <c r="AZ52" i="5" s="1"/>
  <c r="AZ138" i="5" s="1"/>
  <c r="FC75" i="1"/>
  <c r="FB85" i="1"/>
  <c r="AZ40" i="5" s="1"/>
  <c r="AZ126" i="5" s="1"/>
  <c r="FC86" i="1"/>
  <c r="FH57" i="1"/>
  <c r="BB35" i="5" s="1"/>
  <c r="BB121" i="5" s="1"/>
  <c r="FI58" i="1"/>
  <c r="FI59" i="1"/>
  <c r="AD37" i="6"/>
  <c r="AD63" i="6" s="1"/>
  <c r="AD69" i="6"/>
  <c r="FI76" i="1"/>
  <c r="FH56" i="1"/>
  <c r="BB34" i="5" s="1"/>
  <c r="HJ72" i="1"/>
  <c r="BT50" i="5" s="1"/>
  <c r="BT136" i="5" s="1"/>
  <c r="HQ57" i="1"/>
  <c r="GS159" i="1"/>
  <c r="CD72" i="5"/>
  <c r="AR40" i="6"/>
  <c r="AR66" i="6" s="1"/>
  <c r="CD68" i="5"/>
  <c r="AR50" i="6"/>
  <c r="AR76" i="6" s="1"/>
  <c r="IN56" i="1"/>
  <c r="CD34" i="5" s="1"/>
  <c r="HP146" i="1"/>
  <c r="BW37" i="5" s="1"/>
  <c r="IN72" i="1"/>
  <c r="CD50" i="5" s="1"/>
  <c r="CD136" i="5" s="1"/>
  <c r="FZ172" i="1"/>
  <c r="BI40" i="5" s="1"/>
  <c r="GX149" i="1"/>
  <c r="BQ42" i="5" s="1"/>
  <c r="GS149" i="1"/>
  <c r="HJ70" i="1"/>
  <c r="BT48" i="5" s="1"/>
  <c r="BT134" i="5" s="1"/>
  <c r="CD79" i="5"/>
  <c r="AR45" i="6"/>
  <c r="AR71" i="6" s="1"/>
  <c r="CD71" i="5"/>
  <c r="AR39" i="6"/>
  <c r="AR65" i="6" s="1"/>
  <c r="GF162" i="1"/>
  <c r="BK53" i="5" s="1"/>
  <c r="CD75" i="5"/>
  <c r="AR41" i="6"/>
  <c r="AR67" i="6" s="1"/>
  <c r="IN86" i="1"/>
  <c r="CD45" i="5" s="1"/>
  <c r="CD131" i="5" s="1"/>
  <c r="HP86" i="1"/>
  <c r="BV45" i="5" s="1"/>
  <c r="IB10" i="1"/>
  <c r="IB14" i="1"/>
  <c r="IB18" i="1"/>
  <c r="IC19" i="1"/>
  <c r="IB24" i="1"/>
  <c r="IC63" i="1"/>
  <c r="IH14" i="1"/>
  <c r="IH18" i="1"/>
  <c r="IH22" i="1"/>
  <c r="IH35" i="1"/>
  <c r="FC58" i="1"/>
  <c r="FB60" i="1"/>
  <c r="AZ38" i="5" s="1"/>
  <c r="AZ124" i="5" s="1"/>
  <c r="FC62" i="1"/>
  <c r="FB64" i="1"/>
  <c r="AZ44" i="5" s="1"/>
  <c r="AZ130" i="5" s="1"/>
  <c r="FB72" i="1"/>
  <c r="AZ50" i="5" s="1"/>
  <c r="FC73" i="1"/>
  <c r="FC56" i="1"/>
  <c r="FH59" i="1"/>
  <c r="BB37" i="5" s="1"/>
  <c r="BB123" i="5" s="1"/>
  <c r="FI60" i="1"/>
  <c r="FH69" i="1"/>
  <c r="FI73" i="1"/>
  <c r="FH76" i="1"/>
  <c r="BB54" i="5" s="1"/>
  <c r="BB140" i="5" s="1"/>
  <c r="FI77" i="1"/>
  <c r="FI56" i="1"/>
  <c r="FZ69" i="1"/>
  <c r="BH47" i="5" s="1"/>
  <c r="HK70" i="1"/>
  <c r="HV74" i="1"/>
  <c r="BX52" i="5" s="1"/>
  <c r="CD83" i="5"/>
  <c r="FZ148" i="1"/>
  <c r="BI39" i="5" s="1"/>
  <c r="GL158" i="1"/>
  <c r="BM49" i="5" s="1"/>
  <c r="GL144" i="1"/>
  <c r="BM35" i="5" s="1"/>
  <c r="FZ163" i="1"/>
  <c r="BI54" i="5" s="1"/>
  <c r="FH151" i="1"/>
  <c r="BC44" i="5" s="1"/>
  <c r="BC41" i="5" s="1"/>
  <c r="BC127" i="5" s="1"/>
  <c r="GF161" i="1"/>
  <c r="BK52" i="5" s="1"/>
  <c r="FU173" i="1"/>
  <c r="FT148" i="1"/>
  <c r="BG39" i="5" s="1"/>
  <c r="CD77" i="5"/>
  <c r="AR69" i="6"/>
  <c r="AL34" i="6"/>
  <c r="AL60" i="6" s="1"/>
  <c r="BR64" i="5"/>
  <c r="GF147" i="1"/>
  <c r="BK38" i="5" s="1"/>
  <c r="AP86" i="6"/>
  <c r="AH86" i="6"/>
  <c r="AQ86" i="6"/>
  <c r="AJ86" i="6"/>
  <c r="AI86" i="6"/>
  <c r="AL86" i="6"/>
  <c r="AD86" i="6"/>
  <c r="AO86" i="6"/>
  <c r="AF86" i="6"/>
  <c r="AK86" i="6"/>
  <c r="AY86" i="6" s="1"/>
  <c r="AC86" i="6"/>
  <c r="AR86" i="6"/>
  <c r="AN104" i="6"/>
  <c r="AE103" i="6"/>
  <c r="AR103" i="6"/>
  <c r="AQ103" i="6"/>
  <c r="AM103" i="6"/>
  <c r="AK103" i="6"/>
  <c r="AY103" i="6" s="1"/>
  <c r="AP103" i="6"/>
  <c r="AN103" i="6"/>
  <c r="AF103" i="6"/>
  <c r="AG103" i="6"/>
  <c r="AH103" i="6"/>
  <c r="AJ103" i="6"/>
  <c r="AD103" i="6"/>
  <c r="AL103" i="6"/>
  <c r="AO103" i="6"/>
  <c r="AI103" i="6"/>
  <c r="AC103" i="6"/>
  <c r="AI102" i="6"/>
  <c r="AR102" i="6"/>
  <c r="AQ102" i="6"/>
  <c r="AN102" i="6"/>
  <c r="AC102" i="6"/>
  <c r="AJ102" i="6"/>
  <c r="AK102" i="6"/>
  <c r="AY102" i="6" s="1"/>
  <c r="AF102" i="6"/>
  <c r="AP102" i="6"/>
  <c r="AH102" i="6"/>
  <c r="AM102" i="6"/>
  <c r="AD102" i="6"/>
  <c r="AE102" i="6"/>
  <c r="AO102" i="6"/>
  <c r="AG102" i="6"/>
  <c r="AL102" i="6"/>
  <c r="AD101" i="6"/>
  <c r="AR101" i="6"/>
  <c r="AQ101" i="6"/>
  <c r="AO101" i="6"/>
  <c r="AM101" i="6"/>
  <c r="AI101" i="6"/>
  <c r="AE101" i="6"/>
  <c r="AL101" i="6"/>
  <c r="AH101" i="6"/>
  <c r="AP101" i="6"/>
  <c r="AJ101" i="6"/>
  <c r="AK101" i="6"/>
  <c r="AY101" i="6" s="1"/>
  <c r="AF101" i="6"/>
  <c r="AN101" i="6"/>
  <c r="AC101" i="6"/>
  <c r="AG101" i="6"/>
  <c r="AG99" i="6"/>
  <c r="AR99" i="6"/>
  <c r="AQ99" i="6"/>
  <c r="AM99" i="6"/>
  <c r="AO99" i="6"/>
  <c r="AP99" i="6"/>
  <c r="AI99" i="6"/>
  <c r="AF99" i="6"/>
  <c r="AH99" i="6"/>
  <c r="AD99" i="6"/>
  <c r="AE99" i="6"/>
  <c r="AJ99" i="6"/>
  <c r="AN99" i="6"/>
  <c r="AC99" i="6"/>
  <c r="AK99" i="6"/>
  <c r="AY99" i="6" s="1"/>
  <c r="AL99" i="6"/>
  <c r="AD98" i="6"/>
  <c r="AR98" i="6"/>
  <c r="AQ98" i="6"/>
  <c r="AC98" i="6"/>
  <c r="AH98" i="6"/>
  <c r="AM98" i="6"/>
  <c r="AE98" i="6"/>
  <c r="AI98" i="6"/>
  <c r="AL98" i="6"/>
  <c r="AK98" i="6"/>
  <c r="AY98" i="6" s="1"/>
  <c r="AJ98" i="6"/>
  <c r="AG98" i="6"/>
  <c r="AO98" i="6"/>
  <c r="AF98" i="6"/>
  <c r="AP98" i="6"/>
  <c r="AN98" i="6"/>
  <c r="AD92" i="6"/>
  <c r="AR92" i="6"/>
  <c r="AK92" i="6"/>
  <c r="AY92" i="6" s="1"/>
  <c r="AO92" i="6"/>
  <c r="AF92" i="6"/>
  <c r="AI92" i="6"/>
  <c r="AC92" i="6"/>
  <c r="AM92" i="6"/>
  <c r="AB92" i="6"/>
  <c r="AE92" i="6"/>
  <c r="AP92" i="6"/>
  <c r="AG92" i="6"/>
  <c r="AJ92" i="6"/>
  <c r="AQ92" i="6"/>
  <c r="AN92" i="6"/>
  <c r="AL92" i="6"/>
  <c r="AH92" i="6"/>
  <c r="AG91" i="6"/>
  <c r="AR91" i="6"/>
  <c r="AQ91" i="6"/>
  <c r="AH91" i="6"/>
  <c r="AN91" i="6"/>
  <c r="AD91" i="6"/>
  <c r="AC91" i="6"/>
  <c r="AI91" i="6"/>
  <c r="AO91" i="6"/>
  <c r="AP91" i="6"/>
  <c r="AL91" i="6"/>
  <c r="AK91" i="6"/>
  <c r="AY91" i="6" s="1"/>
  <c r="AJ91" i="6"/>
  <c r="AF91" i="6"/>
  <c r="AM91" i="6"/>
  <c r="AE91" i="6"/>
  <c r="AI90" i="6"/>
  <c r="AR90" i="6"/>
  <c r="AQ90" i="6"/>
  <c r="AP90" i="6"/>
  <c r="AF90" i="6"/>
  <c r="AG90" i="6"/>
  <c r="AJ90" i="6"/>
  <c r="AM90" i="6"/>
  <c r="AC90" i="6"/>
  <c r="AN90" i="6"/>
  <c r="AE90" i="6"/>
  <c r="AD90" i="6"/>
  <c r="AL90" i="6"/>
  <c r="AO90" i="6"/>
  <c r="AH90" i="6"/>
  <c r="AK90" i="6"/>
  <c r="AY90" i="6" s="1"/>
  <c r="AN89" i="6"/>
  <c r="AR89" i="6"/>
  <c r="AQ89" i="6"/>
  <c r="AK89" i="6"/>
  <c r="AY89" i="6" s="1"/>
  <c r="AG89" i="6"/>
  <c r="AM89" i="6"/>
  <c r="AJ89" i="6"/>
  <c r="AO89" i="6"/>
  <c r="AE89" i="6"/>
  <c r="AI89" i="6"/>
  <c r="AC89" i="6"/>
  <c r="AP89" i="6"/>
  <c r="AF89" i="6"/>
  <c r="AH89" i="6"/>
  <c r="AD89" i="6"/>
  <c r="AL89" i="6"/>
  <c r="AO87" i="6"/>
  <c r="AR87" i="6"/>
  <c r="AQ87" i="6"/>
  <c r="AI87" i="6"/>
  <c r="AH87" i="6"/>
  <c r="AL87" i="6"/>
  <c r="AC87" i="6"/>
  <c r="AM87" i="6"/>
  <c r="AJ87" i="6"/>
  <c r="AK87" i="6"/>
  <c r="AY87" i="6" s="1"/>
  <c r="AP87" i="6"/>
  <c r="AN87" i="6"/>
  <c r="AG87" i="6"/>
  <c r="AE87" i="6"/>
  <c r="AD87" i="6"/>
  <c r="AF87" i="6"/>
  <c r="AM104" i="6"/>
  <c r="AR104" i="6"/>
  <c r="AI104" i="6"/>
  <c r="AH104" i="6"/>
  <c r="AD104" i="6"/>
  <c r="AJ104" i="6"/>
  <c r="AC104" i="6"/>
  <c r="AE104" i="6"/>
  <c r="AK104" i="6"/>
  <c r="AY104" i="6" s="1"/>
  <c r="AG104" i="6"/>
  <c r="AQ104" i="6"/>
  <c r="AO104" i="6"/>
  <c r="AF104" i="6"/>
  <c r="AP104" i="6"/>
  <c r="AL104" i="6"/>
  <c r="AH96" i="6"/>
  <c r="AP96" i="6"/>
  <c r="AI96" i="6"/>
  <c r="AM96" i="6"/>
  <c r="AO96" i="6"/>
  <c r="AD96" i="6"/>
  <c r="AC96" i="6"/>
  <c r="AK96" i="6"/>
  <c r="AY96" i="6" s="1"/>
  <c r="AG96" i="6"/>
  <c r="AL96" i="6"/>
  <c r="AF96" i="6"/>
  <c r="AN96" i="6"/>
  <c r="AQ96" i="6"/>
  <c r="AJ96" i="6"/>
  <c r="AE96" i="6"/>
  <c r="AH95" i="6"/>
  <c r="AR95" i="6"/>
  <c r="AC95" i="6"/>
  <c r="AE95" i="6"/>
  <c r="AI95" i="6"/>
  <c r="AD95" i="6"/>
  <c r="AK95" i="6"/>
  <c r="AY95" i="6" s="1"/>
  <c r="AL95" i="6"/>
  <c r="AP95" i="6"/>
  <c r="AQ95" i="6"/>
  <c r="AG95" i="6"/>
  <c r="AM95" i="6"/>
  <c r="AF95" i="6"/>
  <c r="AJ95" i="6"/>
  <c r="AO95" i="6"/>
  <c r="AN95" i="6"/>
  <c r="BY82" i="5"/>
  <c r="BI73" i="5"/>
  <c r="BG73" i="5"/>
  <c r="BG71" i="5"/>
  <c r="BY73" i="5"/>
  <c r="BC78" i="5"/>
  <c r="BB67" i="5"/>
  <c r="AY77" i="5"/>
  <c r="AY72" i="5"/>
  <c r="CA62" i="5"/>
  <c r="BW75" i="5"/>
  <c r="GR172" i="1"/>
  <c r="BO40" i="5" s="1"/>
  <c r="BO126" i="5" s="1"/>
  <c r="BK71" i="5"/>
  <c r="HM59" i="1"/>
  <c r="HQ17" i="1"/>
  <c r="HP57" i="1"/>
  <c r="BV35" i="5" s="1"/>
  <c r="HN59" i="1"/>
  <c r="HQ59" i="1" s="1"/>
  <c r="HQ13" i="1"/>
  <c r="HP61" i="1"/>
  <c r="BV39" i="5" s="1"/>
  <c r="HP77" i="1"/>
  <c r="BV55" i="5" s="1"/>
  <c r="HQ51" i="1"/>
  <c r="IA56" i="1"/>
  <c r="IB57" i="1"/>
  <c r="BZ35" i="5" s="1"/>
  <c r="IB11" i="1"/>
  <c r="IC25" i="1"/>
  <c r="IB26" i="1"/>
  <c r="IB35" i="1"/>
  <c r="IH7" i="1"/>
  <c r="IH11" i="1"/>
  <c r="IF59" i="1"/>
  <c r="II17" i="1"/>
  <c r="IF62" i="1"/>
  <c r="II22" i="1"/>
  <c r="II39" i="1"/>
  <c r="FC74" i="1"/>
  <c r="FI72" i="1"/>
  <c r="FH75" i="1"/>
  <c r="BB53" i="5" s="1"/>
  <c r="BB139" i="5" s="1"/>
  <c r="FH86" i="1"/>
  <c r="BB45" i="5" s="1"/>
  <c r="BB131" i="5" s="1"/>
  <c r="HW74" i="1"/>
  <c r="AY81" i="5"/>
  <c r="AY83" i="5"/>
  <c r="BE66" i="5"/>
  <c r="CA66" i="5"/>
  <c r="CA83" i="5"/>
  <c r="CA70" i="5"/>
  <c r="BS75" i="5"/>
  <c r="HW173" i="1"/>
  <c r="BW66" i="5"/>
  <c r="BO72" i="5"/>
  <c r="CA75" i="5"/>
  <c r="BW83" i="5"/>
  <c r="BI83" i="5"/>
  <c r="AY76" i="5"/>
  <c r="IN60" i="1"/>
  <c r="CD38" i="5" s="1"/>
  <c r="CD124" i="5" s="1"/>
  <c r="BW68" i="5"/>
  <c r="IN57" i="1"/>
  <c r="CD35" i="5" s="1"/>
  <c r="CD121" i="5" s="1"/>
  <c r="BM75" i="5"/>
  <c r="FU148" i="1"/>
  <c r="GM164" i="1"/>
  <c r="GL162" i="1"/>
  <c r="BM53" i="5" s="1"/>
  <c r="BM139" i="5" s="1"/>
  <c r="GF148" i="1"/>
  <c r="BK39" i="5" s="1"/>
  <c r="BK125" i="5" s="1"/>
  <c r="FT147" i="1"/>
  <c r="BG38" i="5" s="1"/>
  <c r="BG124" i="5" s="1"/>
  <c r="FU172" i="1"/>
  <c r="HV145" i="1"/>
  <c r="BY36" i="5" s="1"/>
  <c r="GX151" i="1"/>
  <c r="BQ44" i="5" s="1"/>
  <c r="BQ130" i="5" s="1"/>
  <c r="GX144" i="1"/>
  <c r="BQ35" i="5" s="1"/>
  <c r="BQ121" i="5" s="1"/>
  <c r="BR78" i="5"/>
  <c r="BY78" i="5"/>
  <c r="GL150" i="1"/>
  <c r="BM43" i="5" s="1"/>
  <c r="BM129" i="5" s="1"/>
  <c r="GF172" i="1"/>
  <c r="BK40" i="5" s="1"/>
  <c r="BK126" i="5" s="1"/>
  <c r="GF151" i="1"/>
  <c r="BK44" i="5" s="1"/>
  <c r="FZ156" i="1"/>
  <c r="BI47" i="5" s="1"/>
  <c r="FT172" i="1"/>
  <c r="BG40" i="5" s="1"/>
  <c r="BG126" i="5" s="1"/>
  <c r="BO73" i="5"/>
  <c r="BW82" i="5"/>
  <c r="BE82" i="5"/>
  <c r="CA80" i="5"/>
  <c r="AY68" i="5"/>
  <c r="BO66" i="5"/>
  <c r="BS76" i="5"/>
  <c r="BO80" i="5"/>
  <c r="HQ76" i="1"/>
  <c r="HQ42" i="1"/>
  <c r="HZ60" i="1"/>
  <c r="IB50" i="1"/>
  <c r="IF56" i="1"/>
  <c r="II56" i="1" s="1"/>
  <c r="IF58" i="1"/>
  <c r="II58" i="1" s="1"/>
  <c r="II21" i="1"/>
  <c r="II38" i="1"/>
  <c r="II86" i="1"/>
  <c r="FH74" i="1"/>
  <c r="BB52" i="5" s="1"/>
  <c r="BB138" i="5" s="1"/>
  <c r="FI75" i="1"/>
  <c r="FH77" i="1"/>
  <c r="FH85" i="1"/>
  <c r="BB40" i="5" s="1"/>
  <c r="BB126" i="5" s="1"/>
  <c r="IO76" i="1"/>
  <c r="AY75" i="5"/>
  <c r="GA163" i="1"/>
  <c r="AY79" i="5"/>
  <c r="AY80" i="5"/>
  <c r="AY64" i="5"/>
  <c r="BE78" i="5"/>
  <c r="CA78" i="5"/>
  <c r="CA73" i="5"/>
  <c r="CA63" i="5"/>
  <c r="CA79" i="5"/>
  <c r="BS64" i="5"/>
  <c r="BR63" i="5"/>
  <c r="CA81" i="5"/>
  <c r="BE73" i="5"/>
  <c r="BS63" i="5"/>
  <c r="BY75" i="5"/>
  <c r="BU62" i="5"/>
  <c r="BA70" i="5"/>
  <c r="BA69" i="5" s="1"/>
  <c r="AY70" i="5"/>
  <c r="BW81" i="5"/>
  <c r="HJ149" i="1"/>
  <c r="BU42" i="5" s="1"/>
  <c r="HV148" i="1"/>
  <c r="BY39" i="5" s="1"/>
  <c r="BY125" i="5" s="1"/>
  <c r="BW72" i="5"/>
  <c r="BO78" i="5"/>
  <c r="BM83" i="5"/>
  <c r="GF146" i="1"/>
  <c r="BK37" i="5" s="1"/>
  <c r="BK123" i="5" s="1"/>
  <c r="HV172" i="1"/>
  <c r="BY40" i="5" s="1"/>
  <c r="BY126" i="5" s="1"/>
  <c r="GL163" i="1"/>
  <c r="BM54" i="5" s="1"/>
  <c r="BM140" i="5" s="1"/>
  <c r="IN61" i="1"/>
  <c r="CD39" i="5" s="1"/>
  <c r="CD125" i="5" s="1"/>
  <c r="GX161" i="1"/>
  <c r="BQ52" i="5" s="1"/>
  <c r="BQ138" i="5" s="1"/>
  <c r="GX146" i="1"/>
  <c r="BQ37" i="5" s="1"/>
  <c r="BQ123" i="5" s="1"/>
  <c r="GR164" i="1"/>
  <c r="BO55" i="5" s="1"/>
  <c r="BO141" i="5" s="1"/>
  <c r="GF163" i="1"/>
  <c r="BK54" i="5" s="1"/>
  <c r="BK140" i="5" s="1"/>
  <c r="BS62" i="5"/>
  <c r="GL159" i="1"/>
  <c r="BM50" i="5" s="1"/>
  <c r="BM136" i="5" s="1"/>
  <c r="FU156" i="1"/>
  <c r="GR145" i="1"/>
  <c r="BO36" i="5" s="1"/>
  <c r="BO122" i="5" s="1"/>
  <c r="GF156" i="1"/>
  <c r="BK47" i="5" s="1"/>
  <c r="GF145" i="1"/>
  <c r="BK36" i="5" s="1"/>
  <c r="BK122" i="5" s="1"/>
  <c r="BI71" i="5"/>
  <c r="FT144" i="1"/>
  <c r="BG35" i="5" s="1"/>
  <c r="BG121" i="5" s="1"/>
  <c r="HP144" i="1"/>
  <c r="BW35" i="5" s="1"/>
  <c r="BO75" i="5"/>
  <c r="BM80" i="5"/>
  <c r="IN58" i="1"/>
  <c r="CD36" i="5" s="1"/>
  <c r="CD122" i="5" s="1"/>
  <c r="AY82" i="5"/>
  <c r="CA82" i="5"/>
  <c r="BS82" i="5"/>
  <c r="BC66" i="5"/>
  <c r="BK62" i="5"/>
  <c r="HQ39" i="1"/>
  <c r="HW35" i="1"/>
  <c r="HZ56" i="1"/>
  <c r="IC9" i="1"/>
  <c r="IA60" i="1"/>
  <c r="HY61" i="1"/>
  <c r="FB56" i="1"/>
  <c r="AZ34" i="5" s="1"/>
  <c r="AY73" i="5"/>
  <c r="AY71" i="5"/>
  <c r="FI151" i="1"/>
  <c r="AY67" i="5"/>
  <c r="AY62" i="5"/>
  <c r="AY78" i="5"/>
  <c r="AY63" i="5"/>
  <c r="BE72" i="5"/>
  <c r="CA72" i="5"/>
  <c r="CA68" i="5"/>
  <c r="BS80" i="5"/>
  <c r="BR83" i="5"/>
  <c r="CA77" i="5"/>
  <c r="BU83" i="5"/>
  <c r="BC82" i="5"/>
  <c r="BS79" i="5"/>
  <c r="BU68" i="5"/>
  <c r="BI72" i="5"/>
  <c r="BY63" i="5"/>
  <c r="BA64" i="5"/>
  <c r="BW77" i="5"/>
  <c r="GR148" i="1"/>
  <c r="BO39" i="5" s="1"/>
  <c r="BO125" i="5" s="1"/>
  <c r="BK73" i="5"/>
  <c r="BK77" i="5"/>
  <c r="BI78" i="5"/>
  <c r="FT149" i="1"/>
  <c r="BG42" i="5" s="1"/>
  <c r="GX173" i="1"/>
  <c r="BQ45" i="5" s="1"/>
  <c r="BQ131" i="5" s="1"/>
  <c r="BO76" i="5"/>
  <c r="IN59" i="1"/>
  <c r="CD37" i="5" s="1"/>
  <c r="CD123" i="5" s="1"/>
  <c r="IN74" i="1"/>
  <c r="CD52" i="5" s="1"/>
  <c r="CD138" i="5" s="1"/>
  <c r="GX164" i="1"/>
  <c r="BQ55" i="5" s="1"/>
  <c r="BQ141" i="5" s="1"/>
  <c r="GY164" i="1"/>
  <c r="BM67" i="5"/>
  <c r="FZ162" i="1"/>
  <c r="BI53" i="5" s="1"/>
  <c r="BI139" i="5" s="1"/>
  <c r="BI77" i="5"/>
  <c r="IN75" i="1"/>
  <c r="CD53" i="5" s="1"/>
  <c r="CD139" i="5" s="1"/>
  <c r="HV160" i="1"/>
  <c r="BY51" i="5" s="1"/>
  <c r="BY137" i="5" s="1"/>
  <c r="BO79" i="5"/>
  <c r="BW73" i="5"/>
  <c r="HP149" i="1"/>
  <c r="BW42" i="5" s="1"/>
  <c r="GX160" i="1"/>
  <c r="BQ51" i="5" s="1"/>
  <c r="BQ137" i="5" s="1"/>
  <c r="GY160" i="1"/>
  <c r="GX156" i="1"/>
  <c r="BQ47" i="5" s="1"/>
  <c r="GY156" i="1"/>
  <c r="FZ149" i="1"/>
  <c r="BI42" i="5" s="1"/>
  <c r="FT156" i="1"/>
  <c r="BG47" i="5" s="1"/>
  <c r="GX159" i="1"/>
  <c r="BQ50" i="5" s="1"/>
  <c r="BQ136" i="5" s="1"/>
  <c r="GX143" i="1"/>
  <c r="BQ34" i="5" s="1"/>
  <c r="GF164" i="1"/>
  <c r="BK55" i="5" s="1"/>
  <c r="BK141" i="5" s="1"/>
  <c r="GF149" i="1"/>
  <c r="BK42" i="5" s="1"/>
  <c r="GF144" i="1"/>
  <c r="BK35" i="5" s="1"/>
  <c r="BK121" i="5" s="1"/>
  <c r="IN62" i="1"/>
  <c r="CD42" i="5" s="1"/>
  <c r="HV150" i="1"/>
  <c r="BY43" i="5" s="1"/>
  <c r="BY129" i="5" s="1"/>
  <c r="FI69" i="1"/>
  <c r="FI74" i="1"/>
  <c r="FC85" i="1"/>
  <c r="FI86" i="1"/>
  <c r="IH8" i="1"/>
  <c r="IE57" i="1"/>
  <c r="HP21" i="1"/>
  <c r="HM62" i="1"/>
  <c r="HP33" i="1"/>
  <c r="HQ25" i="1"/>
  <c r="HQ26" i="1"/>
  <c r="HQ34" i="1"/>
  <c r="HW25" i="1"/>
  <c r="HV35" i="1"/>
  <c r="HS73" i="1"/>
  <c r="HV73" i="1" s="1"/>
  <c r="BX51" i="5" s="1"/>
  <c r="HW42" i="1"/>
  <c r="HT77" i="1"/>
  <c r="HW77" i="1" s="1"/>
  <c r="HW51" i="1"/>
  <c r="HT86" i="1"/>
  <c r="HW86" i="1" s="1"/>
  <c r="IC10" i="1"/>
  <c r="HZ58" i="1"/>
  <c r="IC15" i="1"/>
  <c r="IA61" i="1"/>
  <c r="HP7" i="1"/>
  <c r="HP10" i="1"/>
  <c r="HM58" i="1"/>
  <c r="HP13" i="1"/>
  <c r="HP17" i="1"/>
  <c r="HP63" i="1"/>
  <c r="BV43" i="5" s="1"/>
  <c r="HP64" i="1"/>
  <c r="BV44" i="5" s="1"/>
  <c r="HP71" i="1"/>
  <c r="BV49" i="5" s="1"/>
  <c r="P51" i="36" s="1"/>
  <c r="HP72" i="1"/>
  <c r="BV50" i="5" s="1"/>
  <c r="HP73" i="1"/>
  <c r="BV51" i="5" s="1"/>
  <c r="HP37" i="1"/>
  <c r="HM75" i="1"/>
  <c r="HP39" i="1"/>
  <c r="HP42" i="1"/>
  <c r="HP50" i="1"/>
  <c r="HP51" i="1"/>
  <c r="HW9" i="1"/>
  <c r="HV11" i="1"/>
  <c r="HW17" i="1"/>
  <c r="HT61" i="1"/>
  <c r="HW61" i="1" s="1"/>
  <c r="HV26" i="1"/>
  <c r="HS64" i="1"/>
  <c r="HV64" i="1" s="1"/>
  <c r="BX44" i="5" s="1"/>
  <c r="HY56" i="1"/>
  <c r="IB9" i="1"/>
  <c r="IB13" i="1"/>
  <c r="IB15" i="1"/>
  <c r="HY60" i="1"/>
  <c r="IC16" i="1"/>
  <c r="IB17" i="1"/>
  <c r="IB19" i="1"/>
  <c r="IB21" i="1"/>
  <c r="HY62" i="1"/>
  <c r="IC24" i="1"/>
  <c r="IC72" i="1"/>
  <c r="IC73" i="1"/>
  <c r="IB74" i="1"/>
  <c r="BZ52" i="5" s="1"/>
  <c r="IC50" i="1"/>
  <c r="HZ85" i="1"/>
  <c r="IB85" i="1" s="1"/>
  <c r="BZ40" i="5" s="1"/>
  <c r="IC51" i="1"/>
  <c r="HZ86" i="1"/>
  <c r="IC86" i="1" s="1"/>
  <c r="II6" i="1"/>
  <c r="IH9" i="1"/>
  <c r="II11" i="1"/>
  <c r="II14" i="1"/>
  <c r="II15" i="1"/>
  <c r="IF60" i="1"/>
  <c r="II60" i="1" s="1"/>
  <c r="IH20" i="1"/>
  <c r="II25" i="1"/>
  <c r="IF63" i="1"/>
  <c r="IH63" i="1" s="1"/>
  <c r="CB43" i="5" s="1"/>
  <c r="Q45" i="36" s="1"/>
  <c r="II26" i="1"/>
  <c r="IF64" i="1"/>
  <c r="II34" i="1"/>
  <c r="IH37" i="1"/>
  <c r="IE75" i="1"/>
  <c r="II42" i="1"/>
  <c r="IF77" i="1"/>
  <c r="II77" i="1" s="1"/>
  <c r="II51" i="1"/>
  <c r="FH58" i="1"/>
  <c r="BB36" i="5" s="1"/>
  <c r="BB122" i="5" s="1"/>
  <c r="HV25" i="1"/>
  <c r="HS63" i="1"/>
  <c r="HV63" i="1" s="1"/>
  <c r="BX43" i="5" s="1"/>
  <c r="HW37" i="1"/>
  <c r="HT75" i="1"/>
  <c r="HV75" i="1" s="1"/>
  <c r="BX53" i="5" s="1"/>
  <c r="IB37" i="1"/>
  <c r="HZ75" i="1"/>
  <c r="IC75" i="1" s="1"/>
  <c r="HP25" i="1"/>
  <c r="HP34" i="1"/>
  <c r="HP35" i="1"/>
  <c r="HV9" i="1"/>
  <c r="HS57" i="1"/>
  <c r="HV57" i="1" s="1"/>
  <c r="BX35" i="5" s="1"/>
  <c r="HT58" i="1"/>
  <c r="HW58" i="1" s="1"/>
  <c r="HW26" i="1"/>
  <c r="IC13" i="1"/>
  <c r="HZ59" i="1"/>
  <c r="IC17" i="1"/>
  <c r="HZ61" i="1"/>
  <c r="IA62" i="1"/>
  <c r="IB25" i="1"/>
  <c r="HY63" i="1"/>
  <c r="IB63" i="1" s="1"/>
  <c r="BZ43" i="5" s="1"/>
  <c r="IC34" i="1"/>
  <c r="IC36" i="1"/>
  <c r="IA74" i="1"/>
  <c r="IC74" i="1" s="1"/>
  <c r="II8" i="1"/>
  <c r="IF57" i="1"/>
  <c r="II10" i="1"/>
  <c r="II13" i="1"/>
  <c r="IH16" i="1"/>
  <c r="IF61" i="1"/>
  <c r="II18" i="1"/>
  <c r="II19" i="1"/>
  <c r="IH25" i="1"/>
  <c r="IH33" i="1"/>
  <c r="IE71" i="1"/>
  <c r="II35" i="1"/>
  <c r="IF73" i="1"/>
  <c r="II73" i="1" s="1"/>
  <c r="II36" i="1"/>
  <c r="IF74" i="1"/>
  <c r="II74" i="1" s="1"/>
  <c r="FB73" i="1"/>
  <c r="AZ51" i="5" s="1"/>
  <c r="AZ137" i="5" s="1"/>
  <c r="HQ10" i="1"/>
  <c r="HN58" i="1"/>
  <c r="HQ58" i="1" s="1"/>
  <c r="HQ37" i="1"/>
  <c r="HN75" i="1"/>
  <c r="HQ75" i="1" s="1"/>
  <c r="HV10" i="1"/>
  <c r="HS58" i="1"/>
  <c r="HW50" i="1"/>
  <c r="HT85" i="1"/>
  <c r="HW85" i="1" s="1"/>
  <c r="IC21" i="1"/>
  <c r="HZ62" i="1"/>
  <c r="IH6" i="1"/>
  <c r="IE56" i="1"/>
  <c r="IH17" i="1"/>
  <c r="IE61" i="1"/>
  <c r="HP8" i="1"/>
  <c r="HP26" i="1"/>
  <c r="HP56" i="1"/>
  <c r="BV34" i="5" s="1"/>
  <c r="HQ21" i="1"/>
  <c r="HN62" i="1"/>
  <c r="HQ62" i="1" s="1"/>
  <c r="HQ33" i="1"/>
  <c r="HQ35" i="1"/>
  <c r="HW10" i="1"/>
  <c r="HS59" i="1"/>
  <c r="IB34" i="1"/>
  <c r="HY72" i="1"/>
  <c r="IB72" i="1" s="1"/>
  <c r="BZ50" i="5" s="1"/>
  <c r="IC35" i="1"/>
  <c r="IB36" i="1"/>
  <c r="IH10" i="1"/>
  <c r="IE58" i="1"/>
  <c r="IH13" i="1"/>
  <c r="IE59" i="1"/>
  <c r="IH15" i="1"/>
  <c r="IE60" i="1"/>
  <c r="IH21" i="1"/>
  <c r="IE62" i="1"/>
  <c r="IH26" i="1"/>
  <c r="IE64" i="1"/>
  <c r="II33" i="1"/>
  <c r="IF71" i="1"/>
  <c r="II71" i="1" s="1"/>
  <c r="IH38" i="1"/>
  <c r="IE76" i="1"/>
  <c r="IH42" i="1"/>
  <c r="IE77" i="1"/>
  <c r="II50" i="1"/>
  <c r="IF85" i="1"/>
  <c r="II85" i="1" s="1"/>
  <c r="FC57" i="1"/>
  <c r="FB57" i="1"/>
  <c r="AZ35" i="5" s="1"/>
  <c r="AZ121" i="5" s="1"/>
  <c r="FC61" i="1"/>
  <c r="FB61" i="1"/>
  <c r="AZ39" i="5" s="1"/>
  <c r="AZ125" i="5" s="1"/>
  <c r="AC67" i="6"/>
  <c r="FB77" i="1"/>
  <c r="AZ55" i="5" s="1"/>
  <c r="AZ141" i="5" s="1"/>
  <c r="FC77" i="1"/>
  <c r="FI85" i="1"/>
  <c r="HT56" i="1"/>
  <c r="HT59" i="1"/>
  <c r="HW59" i="1" s="1"/>
  <c r="IH34" i="1"/>
  <c r="IE72" i="1"/>
  <c r="IH72" i="1" s="1"/>
  <c r="CB50" i="5" s="1"/>
  <c r="IH36" i="1"/>
  <c r="IE74" i="1"/>
  <c r="II37" i="1"/>
  <c r="IF75" i="1"/>
  <c r="II75" i="1" s="1"/>
  <c r="IH51" i="1"/>
  <c r="IE86" i="1"/>
  <c r="IH86" i="1" s="1"/>
  <c r="CB45" i="5" s="1"/>
  <c r="HW63" i="1"/>
  <c r="II72" i="1"/>
  <c r="HW64" i="1"/>
  <c r="IH50" i="1"/>
  <c r="IC37" i="1"/>
  <c r="IB51" i="1"/>
  <c r="HV6" i="1"/>
  <c r="HV7" i="1"/>
  <c r="HV13" i="1"/>
  <c r="HV14" i="1"/>
  <c r="HV17" i="1"/>
  <c r="HV37" i="1"/>
  <c r="HV42" i="1"/>
  <c r="HV50" i="1"/>
  <c r="HV51" i="1"/>
  <c r="HQ7" i="1"/>
  <c r="HH76" i="1"/>
  <c r="HH73" i="1"/>
  <c r="HH63" i="1"/>
  <c r="HI86" i="1"/>
  <c r="HI85" i="1"/>
  <c r="HG85" i="1"/>
  <c r="HK39" i="1"/>
  <c r="HJ39" i="1"/>
  <c r="HI75" i="1"/>
  <c r="HG75" i="1"/>
  <c r="HI74" i="1"/>
  <c r="HH74" i="1"/>
  <c r="HG74" i="1"/>
  <c r="HI73" i="1"/>
  <c r="HG73" i="1"/>
  <c r="HI71" i="1"/>
  <c r="HG71" i="1"/>
  <c r="HI69" i="1"/>
  <c r="HI64" i="1"/>
  <c r="HG64" i="1"/>
  <c r="HI63" i="1"/>
  <c r="HG63" i="1"/>
  <c r="HI60" i="1"/>
  <c r="HK14" i="1"/>
  <c r="HI58" i="1"/>
  <c r="HH58" i="1"/>
  <c r="HG58" i="1"/>
  <c r="HI57" i="1"/>
  <c r="HH57" i="1"/>
  <c r="GU86" i="1"/>
  <c r="GU85" i="1"/>
  <c r="GY42" i="1"/>
  <c r="GY41" i="1"/>
  <c r="GY39" i="1"/>
  <c r="GU75" i="1"/>
  <c r="GU74" i="1"/>
  <c r="GU73" i="1"/>
  <c r="GU72" i="1"/>
  <c r="GU71" i="1"/>
  <c r="GU70" i="1"/>
  <c r="GU69" i="1"/>
  <c r="GU64" i="1"/>
  <c r="GU63" i="1"/>
  <c r="GU62" i="1"/>
  <c r="GV61" i="1"/>
  <c r="GY61" i="1" s="1"/>
  <c r="GV60" i="1"/>
  <c r="GY60" i="1" s="1"/>
  <c r="GY14" i="1"/>
  <c r="GY13" i="1"/>
  <c r="GY9" i="1"/>
  <c r="GY7" i="1"/>
  <c r="GQ86" i="1"/>
  <c r="GQ85" i="1"/>
  <c r="GO85" i="1"/>
  <c r="GQ75" i="1"/>
  <c r="GQ74" i="1"/>
  <c r="GQ73" i="1"/>
  <c r="GO73" i="1"/>
  <c r="GQ72" i="1"/>
  <c r="GP72" i="1"/>
  <c r="GQ71" i="1"/>
  <c r="GQ70" i="1"/>
  <c r="GQ69" i="1"/>
  <c r="GO69" i="1"/>
  <c r="GQ63" i="1"/>
  <c r="GQ59" i="1"/>
  <c r="GR13" i="1"/>
  <c r="GQ58" i="1"/>
  <c r="GO58" i="1"/>
  <c r="GK86" i="1"/>
  <c r="GK85" i="1"/>
  <c r="GI85" i="1"/>
  <c r="GL39" i="1"/>
  <c r="GK75" i="1"/>
  <c r="GJ75" i="1"/>
  <c r="GK74" i="1"/>
  <c r="GK73" i="1"/>
  <c r="GI73" i="1"/>
  <c r="GK72" i="1"/>
  <c r="GJ72" i="1"/>
  <c r="GI72" i="1"/>
  <c r="GK71" i="1"/>
  <c r="GJ71" i="1"/>
  <c r="GK70" i="1"/>
  <c r="GK69" i="1"/>
  <c r="GI69" i="1"/>
  <c r="GK64" i="1"/>
  <c r="GJ64" i="1"/>
  <c r="GI64" i="1"/>
  <c r="GK63" i="1"/>
  <c r="GJ63" i="1"/>
  <c r="GK60" i="1"/>
  <c r="GJ60" i="1"/>
  <c r="GI59" i="1"/>
  <c r="GL10" i="1"/>
  <c r="GJ58" i="1"/>
  <c r="GI58" i="1"/>
  <c r="GL9" i="1"/>
  <c r="GM8" i="1"/>
  <c r="GK57" i="1"/>
  <c r="GJ57" i="1"/>
  <c r="GJ56" i="1"/>
  <c r="GE86" i="1"/>
  <c r="GE85" i="1"/>
  <c r="GC85" i="1"/>
  <c r="GG39" i="1"/>
  <c r="GE76" i="1"/>
  <c r="GD75" i="1"/>
  <c r="GC75" i="1"/>
  <c r="GE74" i="1"/>
  <c r="GD74" i="1"/>
  <c r="GE73" i="1"/>
  <c r="GE72" i="1"/>
  <c r="GC72" i="1"/>
  <c r="GD71" i="1"/>
  <c r="GC71" i="1"/>
  <c r="GE69" i="1"/>
  <c r="GE63" i="1"/>
  <c r="GG24" i="1"/>
  <c r="GG18" i="1"/>
  <c r="GE59" i="1"/>
  <c r="GD59" i="1"/>
  <c r="GF12" i="1"/>
  <c r="GF7" i="1"/>
  <c r="FY86" i="1"/>
  <c r="FY85" i="1"/>
  <c r="FY77" i="1"/>
  <c r="FW77" i="1"/>
  <c r="FY76" i="1"/>
  <c r="FX76" i="1"/>
  <c r="FZ37" i="1"/>
  <c r="FY75" i="1"/>
  <c r="FW75" i="1"/>
  <c r="FY74" i="1"/>
  <c r="FX74" i="1"/>
  <c r="FY73" i="1"/>
  <c r="FY72" i="1"/>
  <c r="FY70" i="1"/>
  <c r="FY64" i="1"/>
  <c r="FX64" i="1"/>
  <c r="FY63" i="1"/>
  <c r="GA22" i="1"/>
  <c r="FY62" i="1"/>
  <c r="FW62" i="1"/>
  <c r="GA18" i="1"/>
  <c r="FY60" i="1"/>
  <c r="GA14" i="1"/>
  <c r="FY59" i="1"/>
  <c r="FW59" i="1"/>
  <c r="FY58" i="1"/>
  <c r="FW58" i="1"/>
  <c r="GA9" i="1"/>
  <c r="FY56" i="1"/>
  <c r="FW56" i="1"/>
  <c r="FS86" i="1"/>
  <c r="FS85" i="1"/>
  <c r="FQ85" i="1"/>
  <c r="FS77" i="1"/>
  <c r="FR77" i="1"/>
  <c r="FQ77" i="1"/>
  <c r="FS75" i="1"/>
  <c r="FQ75" i="1"/>
  <c r="FS74" i="1"/>
  <c r="FR74" i="1"/>
  <c r="FQ74" i="1"/>
  <c r="FS73" i="1"/>
  <c r="FR73" i="1"/>
  <c r="FS72" i="1"/>
  <c r="FS71" i="1"/>
  <c r="FQ71" i="1"/>
  <c r="FS64" i="1"/>
  <c r="FR64" i="1"/>
  <c r="FQ64" i="1"/>
  <c r="FS63" i="1"/>
  <c r="FR63" i="1"/>
  <c r="FT14" i="1"/>
  <c r="FS57" i="1"/>
  <c r="FR57" i="1"/>
  <c r="FU7" i="1"/>
  <c r="FM85" i="1"/>
  <c r="FM75" i="1"/>
  <c r="FL75" i="1"/>
  <c r="FM74" i="1"/>
  <c r="FM73" i="1"/>
  <c r="FK73" i="1"/>
  <c r="FM72" i="1"/>
  <c r="FL72" i="1"/>
  <c r="FK72" i="1"/>
  <c r="FM63" i="1"/>
  <c r="FL63" i="1"/>
  <c r="FO24" i="1"/>
  <c r="FN22" i="1"/>
  <c r="FN20" i="1"/>
  <c r="FO19" i="1"/>
  <c r="FM60" i="1"/>
  <c r="FN16" i="1"/>
  <c r="FO14" i="1"/>
  <c r="FL58" i="1"/>
  <c r="FM57" i="1"/>
  <c r="FL57" i="1"/>
  <c r="FM56" i="1"/>
  <c r="FI51" i="1"/>
  <c r="FH51" i="1"/>
  <c r="FI50" i="1"/>
  <c r="FH50" i="1"/>
  <c r="FI39" i="1"/>
  <c r="FH39" i="1"/>
  <c r="FI37" i="1"/>
  <c r="FH37" i="1"/>
  <c r="FI36" i="1"/>
  <c r="FH36" i="1"/>
  <c r="FI35" i="1"/>
  <c r="FH35" i="1"/>
  <c r="FI34" i="1"/>
  <c r="FI16" i="1"/>
  <c r="FH16" i="1"/>
  <c r="FI15" i="1"/>
  <c r="FH15" i="1"/>
  <c r="FI14" i="1"/>
  <c r="FH14" i="1"/>
  <c r="FI13" i="1"/>
  <c r="FH13" i="1"/>
  <c r="FI10" i="1"/>
  <c r="FH10" i="1"/>
  <c r="FI8" i="1"/>
  <c r="FH8" i="1"/>
  <c r="FH7" i="1"/>
  <c r="FC51" i="1"/>
  <c r="FC50" i="1"/>
  <c r="FB50" i="1"/>
  <c r="FC42" i="1"/>
  <c r="FB42" i="1"/>
  <c r="FC37" i="1"/>
  <c r="FB37" i="1"/>
  <c r="FC36" i="1"/>
  <c r="FB36" i="1"/>
  <c r="FC35" i="1"/>
  <c r="FC34" i="1"/>
  <c r="FB34" i="1"/>
  <c r="FC26" i="1"/>
  <c r="FB26" i="1"/>
  <c r="FC25" i="1"/>
  <c r="FB25" i="1"/>
  <c r="FC22" i="1"/>
  <c r="FB22" i="1"/>
  <c r="FC21" i="1"/>
  <c r="FB21" i="1"/>
  <c r="FC20" i="1"/>
  <c r="FB20" i="1"/>
  <c r="FC19" i="1"/>
  <c r="FB19" i="1"/>
  <c r="FC18" i="1"/>
  <c r="FB18" i="1"/>
  <c r="FC17" i="1"/>
  <c r="FB17" i="1"/>
  <c r="FC16" i="1"/>
  <c r="FB16" i="1"/>
  <c r="FC14" i="1"/>
  <c r="FB14" i="1"/>
  <c r="FC13" i="1"/>
  <c r="FB13" i="1"/>
  <c r="FC12" i="1"/>
  <c r="FB12" i="1"/>
  <c r="FC11" i="1"/>
  <c r="FB11" i="1"/>
  <c r="FC10" i="1"/>
  <c r="FB10" i="1"/>
  <c r="FC8" i="1"/>
  <c r="FB8" i="1"/>
  <c r="ES86" i="1"/>
  <c r="ES85" i="1"/>
  <c r="ES77" i="1"/>
  <c r="EW39" i="1"/>
  <c r="ES75" i="1"/>
  <c r="ES73" i="1"/>
  <c r="ES71" i="1"/>
  <c r="ES69" i="1"/>
  <c r="ES63" i="1"/>
  <c r="EW24" i="1"/>
  <c r="EW20" i="1"/>
  <c r="EV20" i="1"/>
  <c r="EW18" i="1"/>
  <c r="ES60" i="1"/>
  <c r="EW14" i="1"/>
  <c r="EW11" i="1"/>
  <c r="ES57" i="1"/>
  <c r="EW7" i="1"/>
  <c r="IH74" i="1" l="1"/>
  <c r="CB52" i="5" s="1"/>
  <c r="AQ46" i="6" s="1"/>
  <c r="AQ72" i="6" s="1"/>
  <c r="BR69" i="5"/>
  <c r="BG46" i="5"/>
  <c r="BG132" i="5" s="1"/>
  <c r="CC69" i="5"/>
  <c r="CA69" i="5"/>
  <c r="BM46" i="5"/>
  <c r="BM132" i="5" s="1"/>
  <c r="AY33" i="5"/>
  <c r="AY119" i="5" s="1"/>
  <c r="BM33" i="5"/>
  <c r="BM119" i="5" s="1"/>
  <c r="BA61" i="5"/>
  <c r="BC74" i="5"/>
  <c r="BO46" i="5"/>
  <c r="BO132" i="5" s="1"/>
  <c r="BW46" i="5"/>
  <c r="BW132" i="5" s="1"/>
  <c r="BA84" i="5"/>
  <c r="BE74" i="5"/>
  <c r="CC74" i="5"/>
  <c r="BR84" i="5"/>
  <c r="BC61" i="5"/>
  <c r="BI128" i="5"/>
  <c r="BI41" i="5"/>
  <c r="BI127" i="5" s="1"/>
  <c r="BW121" i="5"/>
  <c r="BW33" i="5"/>
  <c r="BW119" i="5" s="1"/>
  <c r="BK33" i="5"/>
  <c r="BK119" i="5" s="1"/>
  <c r="BX129" i="5"/>
  <c r="CC84" i="5"/>
  <c r="CC61" i="5"/>
  <c r="BE61" i="5"/>
  <c r="BE84" i="5"/>
  <c r="BU74" i="5"/>
  <c r="BO128" i="5"/>
  <c r="BO41" i="5"/>
  <c r="BO127" i="5" s="1"/>
  <c r="BK128" i="5"/>
  <c r="BK41" i="5"/>
  <c r="BK127" i="5" s="1"/>
  <c r="BG128" i="5"/>
  <c r="BG41" i="5"/>
  <c r="BG127" i="5" s="1"/>
  <c r="BU61" i="5"/>
  <c r="BY122" i="5"/>
  <c r="BY33" i="5"/>
  <c r="BY119" i="5" s="1"/>
  <c r="BS74" i="5"/>
  <c r="CA61" i="5"/>
  <c r="CA84" i="5"/>
  <c r="BH133" i="5"/>
  <c r="BQ41" i="5"/>
  <c r="BQ127" i="5" s="1"/>
  <c r="BB120" i="5"/>
  <c r="BB33" i="5"/>
  <c r="BB119" i="5" s="1"/>
  <c r="BI33" i="5"/>
  <c r="BI119" i="5" s="1"/>
  <c r="BR74" i="5"/>
  <c r="BG120" i="5"/>
  <c r="BG33" i="5"/>
  <c r="BG119" i="5" s="1"/>
  <c r="BW128" i="5"/>
  <c r="BW41" i="5"/>
  <c r="BW127" i="5" s="1"/>
  <c r="BI133" i="5"/>
  <c r="BI46" i="5"/>
  <c r="BI132" i="5" s="1"/>
  <c r="BQ133" i="5"/>
  <c r="BQ46" i="5"/>
  <c r="BQ132" i="5" s="1"/>
  <c r="BS84" i="5"/>
  <c r="BS61" i="5"/>
  <c r="AZ128" i="5"/>
  <c r="AZ41" i="5"/>
  <c r="AZ127" i="5" s="1"/>
  <c r="BA74" i="5"/>
  <c r="BY46" i="5"/>
  <c r="BY132" i="5" s="1"/>
  <c r="BR61" i="5"/>
  <c r="CD46" i="5"/>
  <c r="CD132" i="5" s="1"/>
  <c r="AZ136" i="5"/>
  <c r="AZ46" i="5"/>
  <c r="AZ132" i="5" s="1"/>
  <c r="CD120" i="5"/>
  <c r="CD33" i="5"/>
  <c r="CD119" i="5" s="1"/>
  <c r="BQ120" i="5"/>
  <c r="BQ33" i="5"/>
  <c r="BQ119" i="5" s="1"/>
  <c r="AZ33" i="5"/>
  <c r="AZ119" i="5" s="1"/>
  <c r="BU128" i="5"/>
  <c r="BU142" i="5" s="1"/>
  <c r="BU41" i="5"/>
  <c r="BU127" i="5" s="1"/>
  <c r="CA74" i="5"/>
  <c r="BY41" i="5"/>
  <c r="BY127" i="5" s="1"/>
  <c r="BE69" i="5"/>
  <c r="CD128" i="5"/>
  <c r="CD41" i="5"/>
  <c r="CD127" i="5" s="1"/>
  <c r="BK133" i="5"/>
  <c r="BK46" i="5"/>
  <c r="BK132" i="5" s="1"/>
  <c r="BM128" i="5"/>
  <c r="BM41" i="5"/>
  <c r="BM127" i="5" s="1"/>
  <c r="BO120" i="5"/>
  <c r="BO33" i="5"/>
  <c r="BO119" i="5" s="1"/>
  <c r="AY69" i="5"/>
  <c r="AY74" i="5"/>
  <c r="AR49" i="6"/>
  <c r="AR75" i="6" s="1"/>
  <c r="BY65" i="5"/>
  <c r="BY81" i="5"/>
  <c r="Q78" i="36"/>
  <c r="IC59" i="1"/>
  <c r="BO62" i="5"/>
  <c r="BM70" i="5"/>
  <c r="IC56" i="1"/>
  <c r="II61" i="1"/>
  <c r="BM66" i="5"/>
  <c r="BO70" i="5"/>
  <c r="BO69" i="5" s="1"/>
  <c r="HW75" i="1"/>
  <c r="HV77" i="1"/>
  <c r="BX55" i="5" s="1"/>
  <c r="BX141" i="5" s="1"/>
  <c r="Q47" i="36"/>
  <c r="BG62" i="5"/>
  <c r="Q52" i="36"/>
  <c r="Q139" i="36"/>
  <c r="P46" i="36"/>
  <c r="P45" i="36"/>
  <c r="BG133" i="5"/>
  <c r="M49" i="36"/>
  <c r="BV125" i="5"/>
  <c r="BW138" i="5"/>
  <c r="P54" i="36"/>
  <c r="BK130" i="5"/>
  <c r="AX130" i="5"/>
  <c r="AX72" i="5"/>
  <c r="BR142" i="5"/>
  <c r="BV137" i="5"/>
  <c r="P53" i="36"/>
  <c r="BV133" i="5"/>
  <c r="P49" i="36"/>
  <c r="P52" i="36"/>
  <c r="BV121" i="5"/>
  <c r="P37" i="36"/>
  <c r="AX134" i="5"/>
  <c r="AX76" i="5"/>
  <c r="L50" i="36"/>
  <c r="P79" i="36"/>
  <c r="P140" i="36"/>
  <c r="P80" i="36"/>
  <c r="P141" i="36"/>
  <c r="P85" i="36"/>
  <c r="P146" i="36"/>
  <c r="AB40" i="6"/>
  <c r="CA142" i="5"/>
  <c r="M80" i="36"/>
  <c r="M141" i="36"/>
  <c r="Q74" i="36"/>
  <c r="Q135" i="36"/>
  <c r="AQ51" i="6"/>
  <c r="AQ77" i="6" s="1"/>
  <c r="CB131" i="5"/>
  <c r="CB138" i="5"/>
  <c r="AO33" i="6"/>
  <c r="AO59" i="6" s="1"/>
  <c r="BX121" i="5"/>
  <c r="AQ39" i="6"/>
  <c r="AQ65" i="6" s="1"/>
  <c r="CB129" i="5"/>
  <c r="AN44" i="6"/>
  <c r="AN70" i="6" s="1"/>
  <c r="BV136" i="5"/>
  <c r="AZ120" i="5"/>
  <c r="AC32" i="6"/>
  <c r="AC58" i="6" s="1"/>
  <c r="AN49" i="6"/>
  <c r="AN75" i="6" s="1"/>
  <c r="BV141" i="5"/>
  <c r="BK80" i="5"/>
  <c r="BK138" i="5"/>
  <c r="BM77" i="5"/>
  <c r="BM135" i="5"/>
  <c r="AO46" i="6"/>
  <c r="AO72" i="6" s="1"/>
  <c r="BX138" i="5"/>
  <c r="BQ71" i="5"/>
  <c r="BQ129" i="5"/>
  <c r="BO65" i="5"/>
  <c r="BO123" i="5"/>
  <c r="BW64" i="5"/>
  <c r="BW122" i="5"/>
  <c r="BK78" i="5"/>
  <c r="BK136" i="5"/>
  <c r="BG79" i="5"/>
  <c r="BG137" i="5"/>
  <c r="BG83" i="5"/>
  <c r="BG141" i="5"/>
  <c r="BG82" i="5"/>
  <c r="BG140" i="5"/>
  <c r="BM62" i="5"/>
  <c r="BM120" i="5"/>
  <c r="AP46" i="6"/>
  <c r="AP72" i="6" s="1"/>
  <c r="BZ138" i="5"/>
  <c r="AN43" i="6"/>
  <c r="AN69" i="6" s="1"/>
  <c r="BV135" i="5"/>
  <c r="AO45" i="6"/>
  <c r="AO71" i="6" s="1"/>
  <c r="BX137" i="5"/>
  <c r="AP33" i="6"/>
  <c r="AP59" i="6" s="1"/>
  <c r="BZ121" i="5"/>
  <c r="BK66" i="5"/>
  <c r="BK124" i="5"/>
  <c r="BC72" i="5"/>
  <c r="BC69" i="5" s="1"/>
  <c r="BC130" i="5"/>
  <c r="BC142" i="5" s="1"/>
  <c r="BI67" i="5"/>
  <c r="BI125" i="5"/>
  <c r="BW65" i="5"/>
  <c r="BW123" i="5"/>
  <c r="BI64" i="5"/>
  <c r="BI122" i="5"/>
  <c r="BQ77" i="5"/>
  <c r="BQ135" i="5"/>
  <c r="AN50" i="6"/>
  <c r="AN76" i="6" s="1"/>
  <c r="BV126" i="5"/>
  <c r="BI66" i="5"/>
  <c r="BI124" i="5"/>
  <c r="BO82" i="5"/>
  <c r="BO140" i="5"/>
  <c r="AY124" i="5"/>
  <c r="AN42" i="6"/>
  <c r="AN68" i="6" s="1"/>
  <c r="BV134" i="5"/>
  <c r="BQ76" i="5"/>
  <c r="BQ134" i="5"/>
  <c r="BM64" i="5"/>
  <c r="BM122" i="5"/>
  <c r="AR48" i="6"/>
  <c r="AR74" i="6" s="1"/>
  <c r="CD140" i="5"/>
  <c r="BW79" i="5"/>
  <c r="BW74" i="5" s="1"/>
  <c r="BW137" i="5"/>
  <c r="BA142" i="5"/>
  <c r="BE142" i="5"/>
  <c r="AQ44" i="6"/>
  <c r="AQ70" i="6" s="1"/>
  <c r="CB136" i="5"/>
  <c r="AP44" i="6"/>
  <c r="AP70" i="6" s="1"/>
  <c r="BZ136" i="5"/>
  <c r="AN32" i="6"/>
  <c r="AN58" i="6" s="1"/>
  <c r="BV120" i="5"/>
  <c r="AP39" i="6"/>
  <c r="AP65" i="6" s="1"/>
  <c r="BZ129" i="5"/>
  <c r="AN40" i="6"/>
  <c r="AN121" i="6" s="1"/>
  <c r="BV130" i="5"/>
  <c r="BG67" i="5"/>
  <c r="BG125" i="5"/>
  <c r="BI82" i="5"/>
  <c r="BI140" i="5"/>
  <c r="BQ70" i="5"/>
  <c r="BQ128" i="5"/>
  <c r="BQ81" i="5"/>
  <c r="BQ139" i="5"/>
  <c r="AN48" i="6"/>
  <c r="AN74" i="6" s="1"/>
  <c r="BV140" i="5"/>
  <c r="AY123" i="5"/>
  <c r="BI79" i="5"/>
  <c r="BI137" i="5"/>
  <c r="BI65" i="5"/>
  <c r="BI123" i="5"/>
  <c r="BG64" i="5"/>
  <c r="BG122" i="5"/>
  <c r="BQ68" i="5"/>
  <c r="BQ126" i="5"/>
  <c r="BQ82" i="5"/>
  <c r="BQ140" i="5"/>
  <c r="CC142" i="5"/>
  <c r="BS142" i="5"/>
  <c r="AO47" i="6"/>
  <c r="AO73" i="6" s="1"/>
  <c r="BX139" i="5"/>
  <c r="AP50" i="6"/>
  <c r="AP76" i="6" s="1"/>
  <c r="BZ126" i="5"/>
  <c r="AO40" i="6"/>
  <c r="AO66" i="6" s="1"/>
  <c r="BX130" i="5"/>
  <c r="AN39" i="6"/>
  <c r="AN65" i="6" s="1"/>
  <c r="BV129" i="5"/>
  <c r="BM63" i="5"/>
  <c r="BM121" i="5"/>
  <c r="AN51" i="6"/>
  <c r="AN77" i="6" s="1"/>
  <c r="BV131" i="5"/>
  <c r="BK81" i="5"/>
  <c r="BK139" i="5"/>
  <c r="BI68" i="5"/>
  <c r="BI126" i="5"/>
  <c r="BZ72" i="5"/>
  <c r="BZ130" i="5"/>
  <c r="BY83" i="5"/>
  <c r="BY141" i="5"/>
  <c r="AP45" i="6"/>
  <c r="AP71" i="6" s="1"/>
  <c r="BZ137" i="5"/>
  <c r="BI63" i="5"/>
  <c r="BI121" i="5"/>
  <c r="BQ64" i="5"/>
  <c r="BQ122" i="5"/>
  <c r="BW67" i="5"/>
  <c r="BW125" i="5"/>
  <c r="BG80" i="5"/>
  <c r="BG138" i="5"/>
  <c r="BI62" i="5"/>
  <c r="BI120" i="5"/>
  <c r="BM79" i="5"/>
  <c r="BM137" i="5"/>
  <c r="BY70" i="5"/>
  <c r="BY128" i="5"/>
  <c r="Z122" i="6"/>
  <c r="Z67" i="6"/>
  <c r="AC45" i="6"/>
  <c r="AC71" i="6" s="1"/>
  <c r="AD34" i="6"/>
  <c r="AD60" i="6" s="1"/>
  <c r="AD46" i="6"/>
  <c r="AD72" i="6" s="1"/>
  <c r="AD51" i="6"/>
  <c r="AD77" i="6" s="1"/>
  <c r="BH75" i="5"/>
  <c r="X113" i="6"/>
  <c r="X58" i="6"/>
  <c r="AC50" i="6"/>
  <c r="AC76" i="6" s="1"/>
  <c r="AC51" i="6"/>
  <c r="AC77" i="6" s="1"/>
  <c r="AZ71" i="5"/>
  <c r="AD36" i="6"/>
  <c r="AD62" i="6" s="1"/>
  <c r="AY65" i="5"/>
  <c r="X119" i="6"/>
  <c r="X64" i="6"/>
  <c r="Y121" i="6"/>
  <c r="Y66" i="6"/>
  <c r="AA124" i="6"/>
  <c r="AA69" i="6"/>
  <c r="Z123" i="6"/>
  <c r="Z68" i="6"/>
  <c r="AC49" i="6"/>
  <c r="AC75" i="6" s="1"/>
  <c r="AC33" i="6"/>
  <c r="AC59" i="6" s="1"/>
  <c r="AD50" i="6"/>
  <c r="AD76" i="6" s="1"/>
  <c r="AD47" i="6"/>
  <c r="AD73" i="6" s="1"/>
  <c r="AC36" i="6"/>
  <c r="AC62" i="6" s="1"/>
  <c r="AC38" i="6"/>
  <c r="AC64" i="6" s="1"/>
  <c r="AC47" i="6"/>
  <c r="AC73" i="6" s="1"/>
  <c r="X120" i="6"/>
  <c r="X65" i="6"/>
  <c r="AD75" i="6"/>
  <c r="AC44" i="6"/>
  <c r="AC70" i="6" s="1"/>
  <c r="AD33" i="6"/>
  <c r="AD59" i="6" s="1"/>
  <c r="AC46" i="6"/>
  <c r="AC72" i="6" s="1"/>
  <c r="AC35" i="6"/>
  <c r="AC61" i="6" s="1"/>
  <c r="W122" i="6"/>
  <c r="W67" i="6"/>
  <c r="Y74" i="6"/>
  <c r="Y129" i="6"/>
  <c r="Y123" i="6"/>
  <c r="Y68" i="6"/>
  <c r="W124" i="6"/>
  <c r="W69" i="6"/>
  <c r="Y124" i="6"/>
  <c r="Y69" i="6"/>
  <c r="W129" i="6"/>
  <c r="W74" i="6"/>
  <c r="AC37" i="6"/>
  <c r="AC63" i="6" s="1"/>
  <c r="AD48" i="6"/>
  <c r="AD74" i="6" s="1"/>
  <c r="AD35" i="6"/>
  <c r="AD61" i="6" s="1"/>
  <c r="AC40" i="6"/>
  <c r="AC66" i="6" s="1"/>
  <c r="AC34" i="6"/>
  <c r="AC60" i="6" s="1"/>
  <c r="AD45" i="6"/>
  <c r="AD71" i="6" s="1"/>
  <c r="AY66" i="5"/>
  <c r="X123" i="6"/>
  <c r="X68" i="6"/>
  <c r="IH76" i="1"/>
  <c r="CB54" i="5" s="1"/>
  <c r="Q56" i="36" s="1"/>
  <c r="IB60" i="1"/>
  <c r="BZ38" i="5" s="1"/>
  <c r="P40" i="36" s="1"/>
  <c r="AZ78" i="5"/>
  <c r="HV56" i="1"/>
  <c r="BX34" i="5" s="1"/>
  <c r="AN45" i="6"/>
  <c r="AN71" i="6" s="1"/>
  <c r="II59" i="1"/>
  <c r="II76" i="1"/>
  <c r="BZ79" i="5"/>
  <c r="AZ81" i="5"/>
  <c r="BV73" i="5"/>
  <c r="AZ70" i="5"/>
  <c r="AP40" i="6"/>
  <c r="AP66" i="6" s="1"/>
  <c r="IB61" i="1"/>
  <c r="BZ39" i="5" s="1"/>
  <c r="BX80" i="5"/>
  <c r="BB63" i="5"/>
  <c r="CB76" i="5"/>
  <c r="IH56" i="1"/>
  <c r="CB34" i="5" s="1"/>
  <c r="IB58" i="1"/>
  <c r="BZ36" i="5" s="1"/>
  <c r="AZ80" i="5"/>
  <c r="II62" i="1"/>
  <c r="HJ73" i="1"/>
  <c r="BT51" i="5" s="1"/>
  <c r="AC39" i="6"/>
  <c r="AC65" i="6" s="1"/>
  <c r="BB79" i="5"/>
  <c r="BV68" i="5"/>
  <c r="AZ72" i="5"/>
  <c r="CD82" i="5"/>
  <c r="BV82" i="5"/>
  <c r="BB66" i="5"/>
  <c r="BB82" i="5"/>
  <c r="IH59" i="1"/>
  <c r="CB37" i="5" s="1"/>
  <c r="Q39" i="36" s="1"/>
  <c r="IH73" i="1"/>
  <c r="CB51" i="5" s="1"/>
  <c r="Q53" i="36" s="1"/>
  <c r="II57" i="1"/>
  <c r="HV86" i="1"/>
  <c r="BX45" i="5" s="1"/>
  <c r="BX41" i="5" s="1"/>
  <c r="BX127" i="5" s="1"/>
  <c r="GF71" i="1"/>
  <c r="BJ49" i="5" s="1"/>
  <c r="FU77" i="1"/>
  <c r="BB65" i="5"/>
  <c r="HJ17" i="1"/>
  <c r="HK23" i="1"/>
  <c r="IH62" i="1"/>
  <c r="CB42" i="5" s="1"/>
  <c r="IC58" i="1"/>
  <c r="AN37" i="6"/>
  <c r="AN63" i="6" s="1"/>
  <c r="AZ65" i="5"/>
  <c r="GA12" i="1"/>
  <c r="GA16" i="1"/>
  <c r="FZ19" i="1"/>
  <c r="GA20" i="1"/>
  <c r="GA64" i="1"/>
  <c r="GG16" i="1"/>
  <c r="GE62" i="1"/>
  <c r="GM57" i="1"/>
  <c r="GM9" i="1"/>
  <c r="GJ76" i="1"/>
  <c r="IB75" i="1"/>
  <c r="BZ53" i="5" s="1"/>
  <c r="BZ46" i="5" s="1"/>
  <c r="BZ132" i="5" s="1"/>
  <c r="HK57" i="1"/>
  <c r="HJ23" i="1"/>
  <c r="IB59" i="1"/>
  <c r="BZ37" i="5" s="1"/>
  <c r="IH58" i="1"/>
  <c r="CB36" i="5" s="1"/>
  <c r="Q38" i="36" s="1"/>
  <c r="AZ68" i="5"/>
  <c r="AZ76" i="5"/>
  <c r="AZ73" i="5"/>
  <c r="AG41" i="6"/>
  <c r="AG67" i="6" s="1"/>
  <c r="BB77" i="5"/>
  <c r="AO39" i="6"/>
  <c r="AO65" i="6" s="1"/>
  <c r="AZ64" i="5"/>
  <c r="AZ66" i="5"/>
  <c r="AP75" i="6"/>
  <c r="BZ83" i="5"/>
  <c r="AC48" i="6"/>
  <c r="AC74" i="6" s="1"/>
  <c r="AZ82" i="5"/>
  <c r="AN36" i="6"/>
  <c r="BV66" i="5"/>
  <c r="BV76" i="5"/>
  <c r="FO57" i="1"/>
  <c r="FM58" i="1"/>
  <c r="FO58" i="1" s="1"/>
  <c r="GJ59" i="1"/>
  <c r="GL59" i="1" s="1"/>
  <c r="BL37" i="5" s="1"/>
  <c r="GL23" i="1"/>
  <c r="GL64" i="1"/>
  <c r="BL44" i="5" s="1"/>
  <c r="N46" i="36" s="1"/>
  <c r="GL35" i="1"/>
  <c r="GI76" i="1"/>
  <c r="GL50" i="1"/>
  <c r="GS18" i="1"/>
  <c r="GR39" i="1"/>
  <c r="GX14" i="1"/>
  <c r="HJ7" i="1"/>
  <c r="FL60" i="1"/>
  <c r="FO60" i="1" s="1"/>
  <c r="GM60" i="1"/>
  <c r="GL19" i="1"/>
  <c r="GM71" i="1"/>
  <c r="GM38" i="1"/>
  <c r="GM41" i="1"/>
  <c r="GS16" i="1"/>
  <c r="GR20" i="1"/>
  <c r="GR24" i="1"/>
  <c r="HI56" i="1"/>
  <c r="HK22" i="1"/>
  <c r="HV61" i="1"/>
  <c r="BX39" i="5" s="1"/>
  <c r="AE68" i="6"/>
  <c r="BD76" i="5"/>
  <c r="AO44" i="6"/>
  <c r="AO70" i="6" s="1"/>
  <c r="BX78" i="5"/>
  <c r="AM42" i="6"/>
  <c r="AM68" i="6" s="1"/>
  <c r="BT76" i="5"/>
  <c r="AD68" i="6"/>
  <c r="BB76" i="5"/>
  <c r="AO38" i="6"/>
  <c r="AO64" i="6" s="1"/>
  <c r="BX70" i="5"/>
  <c r="AC69" i="6"/>
  <c r="AZ77" i="5"/>
  <c r="AJ66" i="6"/>
  <c r="BN72" i="5"/>
  <c r="BH77" i="5"/>
  <c r="AG43" i="6"/>
  <c r="AG69" i="6" s="1"/>
  <c r="AO62" i="6"/>
  <c r="BX66" i="5"/>
  <c r="AH68" i="6"/>
  <c r="BJ76" i="5"/>
  <c r="AD65" i="6"/>
  <c r="BB71" i="5"/>
  <c r="AE48" i="6"/>
  <c r="AE74" i="6" s="1"/>
  <c r="BD82" i="5"/>
  <c r="AN46" i="6"/>
  <c r="BV80" i="5"/>
  <c r="AF68" i="6"/>
  <c r="BF76" i="5"/>
  <c r="AP48" i="6"/>
  <c r="AP74" i="6" s="1"/>
  <c r="BZ82" i="5"/>
  <c r="AE40" i="6"/>
  <c r="AE66" i="6" s="1"/>
  <c r="BD72" i="5"/>
  <c r="AO68" i="6"/>
  <c r="BX76" i="5"/>
  <c r="AD32" i="6"/>
  <c r="AD58" i="6" s="1"/>
  <c r="BB62" i="5"/>
  <c r="FL56" i="1"/>
  <c r="FO56" i="1" s="1"/>
  <c r="FO6" i="1"/>
  <c r="FK58" i="1"/>
  <c r="FN58" i="1" s="1"/>
  <c r="BD36" i="5" s="1"/>
  <c r="GU76" i="1"/>
  <c r="GU77" i="1"/>
  <c r="CD81" i="5"/>
  <c r="AR47" i="6"/>
  <c r="AR73" i="6" s="1"/>
  <c r="AN33" i="6"/>
  <c r="CD73" i="5"/>
  <c r="AR51" i="6"/>
  <c r="AR77" i="6" s="1"/>
  <c r="CD78" i="5"/>
  <c r="AR44" i="6"/>
  <c r="AR70" i="6" s="1"/>
  <c r="FO18" i="1"/>
  <c r="FO22" i="1"/>
  <c r="FT13" i="1"/>
  <c r="FT17" i="1"/>
  <c r="FU18" i="1"/>
  <c r="FU39" i="1"/>
  <c r="FZ6" i="1"/>
  <c r="GE56" i="1"/>
  <c r="GG9" i="1"/>
  <c r="GE58" i="1"/>
  <c r="GC76" i="1"/>
  <c r="GF41" i="1"/>
  <c r="GI56" i="1"/>
  <c r="GL56" i="1" s="1"/>
  <c r="BL34" i="5" s="1"/>
  <c r="GL13" i="1"/>
  <c r="GM22" i="1"/>
  <c r="GM64" i="1"/>
  <c r="GL41" i="1"/>
  <c r="GM42" i="1"/>
  <c r="GO56" i="1"/>
  <c r="GS7" i="1"/>
  <c r="GS39" i="1"/>
  <c r="GR42" i="1"/>
  <c r="HK58" i="1"/>
  <c r="HI61" i="1"/>
  <c r="HJ26" i="1"/>
  <c r="IB56" i="1"/>
  <c r="BZ34" i="5" s="1"/>
  <c r="HP58" i="1"/>
  <c r="BV36" i="5" s="1"/>
  <c r="CD63" i="5"/>
  <c r="AR33" i="6"/>
  <c r="AR59" i="6" s="1"/>
  <c r="CD66" i="5"/>
  <c r="AR36" i="6"/>
  <c r="AR62" i="6" s="1"/>
  <c r="AL78" i="6"/>
  <c r="HV59" i="1"/>
  <c r="BX37" i="5" s="1"/>
  <c r="CD70" i="5"/>
  <c r="AR38" i="6"/>
  <c r="AR64" i="6" s="1"/>
  <c r="CD80" i="5"/>
  <c r="AR46" i="6"/>
  <c r="AR72" i="6" s="1"/>
  <c r="CD67" i="5"/>
  <c r="AR37" i="6"/>
  <c r="AR63" i="6" s="1"/>
  <c r="CD62" i="5"/>
  <c r="AR32" i="6"/>
  <c r="AR58" i="6" s="1"/>
  <c r="FN6" i="1"/>
  <c r="FO12" i="1"/>
  <c r="FM59" i="1"/>
  <c r="FO16" i="1"/>
  <c r="FN19" i="1"/>
  <c r="FN24" i="1"/>
  <c r="FR56" i="1"/>
  <c r="FQ58" i="1"/>
  <c r="FS59" i="1"/>
  <c r="FS61" i="1"/>
  <c r="FS76" i="1"/>
  <c r="FZ17" i="1"/>
  <c r="GG7" i="1"/>
  <c r="GL58" i="1"/>
  <c r="BL36" i="5" s="1"/>
  <c r="GM14" i="1"/>
  <c r="GM19" i="1"/>
  <c r="GM26" i="1"/>
  <c r="GL31" i="1"/>
  <c r="GQ56" i="1"/>
  <c r="GR23" i="1"/>
  <c r="GS24" i="1"/>
  <c r="GQ76" i="1"/>
  <c r="GS42" i="1"/>
  <c r="GR50" i="1"/>
  <c r="GU56" i="1"/>
  <c r="GU57" i="1"/>
  <c r="GU58" i="1"/>
  <c r="HG61" i="1"/>
  <c r="HJ19" i="1"/>
  <c r="HK74" i="1"/>
  <c r="HJ42" i="1"/>
  <c r="CD65" i="5"/>
  <c r="AR35" i="6"/>
  <c r="AR61" i="6" s="1"/>
  <c r="CD64" i="5"/>
  <c r="AR34" i="6"/>
  <c r="AR60" i="6" s="1"/>
  <c r="AQ41" i="6"/>
  <c r="AP69" i="6"/>
  <c r="AP68" i="6"/>
  <c r="AP67" i="6"/>
  <c r="AO69" i="6"/>
  <c r="AO67" i="6"/>
  <c r="AN41" i="6"/>
  <c r="AM44" i="6"/>
  <c r="AH40" i="6"/>
  <c r="AH66" i="6" s="1"/>
  <c r="BJ72" i="5"/>
  <c r="AF41" i="6"/>
  <c r="AE49" i="6"/>
  <c r="AE69" i="6"/>
  <c r="AO74" i="6"/>
  <c r="CB78" i="5"/>
  <c r="BX81" i="5"/>
  <c r="BY71" i="5"/>
  <c r="BQ79" i="5"/>
  <c r="BY79" i="5"/>
  <c r="BY74" i="5" s="1"/>
  <c r="BO83" i="5"/>
  <c r="BK65" i="5"/>
  <c r="BD83" i="5"/>
  <c r="BO68" i="5"/>
  <c r="FL59" i="1"/>
  <c r="FO15" i="1"/>
  <c r="FN18" i="1"/>
  <c r="FO20" i="1"/>
  <c r="FO72" i="1"/>
  <c r="FU57" i="1"/>
  <c r="FR58" i="1"/>
  <c r="FT12" i="1"/>
  <c r="FU14" i="1"/>
  <c r="FT18" i="1"/>
  <c r="FU22" i="1"/>
  <c r="FT64" i="1"/>
  <c r="BF44" i="5" s="1"/>
  <c r="FU26" i="1"/>
  <c r="FT74" i="1"/>
  <c r="BF52" i="5" s="1"/>
  <c r="BF138" i="5" s="1"/>
  <c r="FU36" i="1"/>
  <c r="FT37" i="1"/>
  <c r="FT39" i="1"/>
  <c r="FT77" i="1"/>
  <c r="BF55" i="5" s="1"/>
  <c r="FT50" i="1"/>
  <c r="FZ7" i="1"/>
  <c r="FZ16" i="1"/>
  <c r="FZ18" i="1"/>
  <c r="GA19" i="1"/>
  <c r="FZ42" i="1"/>
  <c r="GD56" i="1"/>
  <c r="GD58" i="1"/>
  <c r="GG13" i="1"/>
  <c r="GF16" i="1"/>
  <c r="GF20" i="1"/>
  <c r="GF75" i="1"/>
  <c r="BJ53" i="5" s="1"/>
  <c r="GG41" i="1"/>
  <c r="GI61" i="1"/>
  <c r="GM18" i="1"/>
  <c r="GL22" i="1"/>
  <c r="GL24" i="1"/>
  <c r="GM63" i="1"/>
  <c r="GL72" i="1"/>
  <c r="BL50" i="5" s="1"/>
  <c r="GM75" i="1"/>
  <c r="GK77" i="1"/>
  <c r="GL42" i="1"/>
  <c r="GR22" i="1"/>
  <c r="GS23" i="1"/>
  <c r="GS34" i="1"/>
  <c r="GR35" i="1"/>
  <c r="GP76" i="1"/>
  <c r="GY18" i="1"/>
  <c r="HH56" i="1"/>
  <c r="HK7" i="1"/>
  <c r="HG59" i="1"/>
  <c r="HK19" i="1"/>
  <c r="HJ22" i="1"/>
  <c r="HG76" i="1"/>
  <c r="HJ76" i="1" s="1"/>
  <c r="BT54" i="5" s="1"/>
  <c r="HK42" i="1"/>
  <c r="HJ50" i="1"/>
  <c r="HW56" i="1"/>
  <c r="AZ83" i="5"/>
  <c r="BV62" i="5"/>
  <c r="HV58" i="1"/>
  <c r="BX36" i="5" s="1"/>
  <c r="IH71" i="1"/>
  <c r="BZ80" i="5"/>
  <c r="IB62" i="1"/>
  <c r="BZ42" i="5" s="1"/>
  <c r="BX72" i="5"/>
  <c r="BV79" i="5"/>
  <c r="BV71" i="5"/>
  <c r="BX75" i="5"/>
  <c r="BK63" i="5"/>
  <c r="BQ78" i="5"/>
  <c r="BQ83" i="5"/>
  <c r="BG70" i="5"/>
  <c r="AZ62" i="5"/>
  <c r="BK64" i="5"/>
  <c r="BB80" i="5"/>
  <c r="BK72" i="5"/>
  <c r="BY64" i="5"/>
  <c r="BK67" i="5"/>
  <c r="BT78" i="5"/>
  <c r="BF75" i="5"/>
  <c r="BB73" i="5"/>
  <c r="BB70" i="5"/>
  <c r="HP59" i="1"/>
  <c r="BV37" i="5" s="1"/>
  <c r="AZ75" i="5"/>
  <c r="BB64" i="5"/>
  <c r="BV78" i="5"/>
  <c r="BD77" i="5"/>
  <c r="BB81" i="5"/>
  <c r="FN14" i="1"/>
  <c r="FK60" i="1"/>
  <c r="FS56" i="1"/>
  <c r="FU9" i="1"/>
  <c r="FT10" i="1"/>
  <c r="FU12" i="1"/>
  <c r="GG59" i="1"/>
  <c r="GF18" i="1"/>
  <c r="GG19" i="1"/>
  <c r="GG20" i="1"/>
  <c r="GF33" i="1"/>
  <c r="GG74" i="1"/>
  <c r="GF42" i="1"/>
  <c r="GL6" i="1"/>
  <c r="GJ62" i="1"/>
  <c r="GR7" i="1"/>
  <c r="GS9" i="1"/>
  <c r="GR10" i="1"/>
  <c r="GR14" i="1"/>
  <c r="HJ24" i="1"/>
  <c r="AZ79" i="5"/>
  <c r="BZ71" i="5"/>
  <c r="BX63" i="5"/>
  <c r="CB71" i="5"/>
  <c r="BZ68" i="5"/>
  <c r="BV77" i="5"/>
  <c r="BX79" i="5"/>
  <c r="CB75" i="5"/>
  <c r="BK83" i="5"/>
  <c r="BG75" i="5"/>
  <c r="BW70" i="5"/>
  <c r="BW69" i="5" s="1"/>
  <c r="BI81" i="5"/>
  <c r="BO64" i="5"/>
  <c r="BM78" i="5"/>
  <c r="BK82" i="5"/>
  <c r="BQ65" i="5"/>
  <c r="BY68" i="5"/>
  <c r="BY67" i="5"/>
  <c r="BB83" i="5"/>
  <c r="BG68" i="5"/>
  <c r="BM71" i="5"/>
  <c r="BQ63" i="5"/>
  <c r="BV83" i="5"/>
  <c r="BV63" i="5"/>
  <c r="AZ63" i="5"/>
  <c r="BK70" i="5"/>
  <c r="BQ73" i="5"/>
  <c r="BK75" i="5"/>
  <c r="BM82" i="5"/>
  <c r="BB68" i="5"/>
  <c r="IC60" i="1"/>
  <c r="BK68" i="5"/>
  <c r="BM81" i="5"/>
  <c r="BX77" i="5"/>
  <c r="FN7" i="1"/>
  <c r="FO10" i="1"/>
  <c r="FT7" i="1"/>
  <c r="FU10" i="1"/>
  <c r="FU16" i="1"/>
  <c r="FU25" i="1"/>
  <c r="FT26" i="1"/>
  <c r="FU35" i="1"/>
  <c r="FT36" i="1"/>
  <c r="GC61" i="1"/>
  <c r="GK62" i="1"/>
  <c r="GM34" i="1"/>
  <c r="GO61" i="1"/>
  <c r="GQ62" i="1"/>
  <c r="HI62" i="1"/>
  <c r="HI77" i="1"/>
  <c r="CB73" i="5"/>
  <c r="CB80" i="5"/>
  <c r="AZ67" i="5"/>
  <c r="BZ78" i="5"/>
  <c r="IH61" i="1"/>
  <c r="CB39" i="5" s="1"/>
  <c r="Q41" i="36" s="1"/>
  <c r="BX71" i="5"/>
  <c r="BV72" i="5"/>
  <c r="BZ75" i="5"/>
  <c r="BQ62" i="5"/>
  <c r="BI70" i="5"/>
  <c r="BI69" i="5" s="1"/>
  <c r="BQ75" i="5"/>
  <c r="BO67" i="5"/>
  <c r="BW63" i="5"/>
  <c r="BG63" i="5"/>
  <c r="BQ80" i="5"/>
  <c r="BU70" i="5"/>
  <c r="BU69" i="5" s="1"/>
  <c r="BI75" i="5"/>
  <c r="BQ72" i="5"/>
  <c r="BG66" i="5"/>
  <c r="BV75" i="5"/>
  <c r="BD75" i="5"/>
  <c r="BZ63" i="5"/>
  <c r="BV67" i="5"/>
  <c r="HJ63" i="1"/>
  <c r="BT43" i="5" s="1"/>
  <c r="IH75" i="1"/>
  <c r="CB53" i="5" s="1"/>
  <c r="Q55" i="36" s="1"/>
  <c r="IC85" i="1"/>
  <c r="FO63" i="1"/>
  <c r="FO75" i="1"/>
  <c r="FU74" i="1"/>
  <c r="GM72" i="1"/>
  <c r="II63" i="1"/>
  <c r="IH64" i="1"/>
  <c r="CB44" i="5" s="1"/>
  <c r="Q46" i="36" s="1"/>
  <c r="HV85" i="1"/>
  <c r="BX40" i="5" s="1"/>
  <c r="P42" i="36" s="1"/>
  <c r="HP75" i="1"/>
  <c r="BV53" i="5" s="1"/>
  <c r="BV46" i="5" s="1"/>
  <c r="BV132" i="5" s="1"/>
  <c r="EW13" i="1"/>
  <c r="ET59" i="1"/>
  <c r="EW59" i="1" s="1"/>
  <c r="EW25" i="1"/>
  <c r="ET63" i="1"/>
  <c r="EW63" i="1" s="1"/>
  <c r="EW35" i="1"/>
  <c r="ET73" i="1"/>
  <c r="EW73" i="1" s="1"/>
  <c r="EW37" i="1"/>
  <c r="ET75" i="1"/>
  <c r="EW75" i="1" s="1"/>
  <c r="EW50" i="1"/>
  <c r="ET85" i="1"/>
  <c r="EW85" i="1" s="1"/>
  <c r="FN9" i="1"/>
  <c r="FK57" i="1"/>
  <c r="FN57" i="1" s="1"/>
  <c r="BD35" i="5" s="1"/>
  <c r="FN13" i="1"/>
  <c r="FK59" i="1"/>
  <c r="FO50" i="1"/>
  <c r="FL85" i="1"/>
  <c r="FO85" i="1" s="1"/>
  <c r="FT6" i="1"/>
  <c r="FQ56" i="1"/>
  <c r="FU15" i="1"/>
  <c r="FR60" i="1"/>
  <c r="FU21" i="1"/>
  <c r="FR62" i="1"/>
  <c r="FZ8" i="1"/>
  <c r="FW57" i="1"/>
  <c r="GA10" i="1"/>
  <c r="FX58" i="1"/>
  <c r="GA58" i="1" s="1"/>
  <c r="GA13" i="1"/>
  <c r="FX59" i="1"/>
  <c r="GA59" i="1" s="1"/>
  <c r="GA21" i="1"/>
  <c r="FX62" i="1"/>
  <c r="GA62" i="1" s="1"/>
  <c r="FZ34" i="1"/>
  <c r="FW72" i="1"/>
  <c r="GA35" i="1"/>
  <c r="FX73" i="1"/>
  <c r="GA73" i="1" s="1"/>
  <c r="GF8" i="1"/>
  <c r="GC57" i="1"/>
  <c r="GL21" i="1"/>
  <c r="GI62" i="1"/>
  <c r="GS17" i="1"/>
  <c r="GP61" i="1"/>
  <c r="GR25" i="1"/>
  <c r="GO63" i="1"/>
  <c r="GY31" i="1"/>
  <c r="GV69" i="1"/>
  <c r="GY69" i="1" s="1"/>
  <c r="GY50" i="1"/>
  <c r="GV85" i="1"/>
  <c r="GY85" i="1" s="1"/>
  <c r="EV17" i="1"/>
  <c r="EV7" i="1"/>
  <c r="EV10" i="1"/>
  <c r="ES58" i="1"/>
  <c r="ES59" i="1"/>
  <c r="EV22" i="1"/>
  <c r="ES62" i="1"/>
  <c r="FH26" i="1"/>
  <c r="FE64" i="1"/>
  <c r="FH34" i="1"/>
  <c r="FE72" i="1"/>
  <c r="FH72" i="1" s="1"/>
  <c r="BB50" i="5" s="1"/>
  <c r="FK56" i="1"/>
  <c r="FO7" i="1"/>
  <c r="FO9" i="1"/>
  <c r="FN10" i="1"/>
  <c r="FO13" i="1"/>
  <c r="FN15" i="1"/>
  <c r="FM61" i="1"/>
  <c r="FM62" i="1"/>
  <c r="FN25" i="1"/>
  <c r="FK63" i="1"/>
  <c r="FN63" i="1" s="1"/>
  <c r="BD43" i="5" s="1"/>
  <c r="FN72" i="1"/>
  <c r="BD50" i="5" s="1"/>
  <c r="FO34" i="1"/>
  <c r="FN35" i="1"/>
  <c r="FN37" i="1"/>
  <c r="FK75" i="1"/>
  <c r="FN75" i="1" s="1"/>
  <c r="BD53" i="5" s="1"/>
  <c r="FN50" i="1"/>
  <c r="FK85" i="1"/>
  <c r="FO51" i="1"/>
  <c r="FL86" i="1"/>
  <c r="FO86" i="1" s="1"/>
  <c r="FU6" i="1"/>
  <c r="FS58" i="1"/>
  <c r="FR59" i="1"/>
  <c r="FT15" i="1"/>
  <c r="FQ60" i="1"/>
  <c r="FR61" i="1"/>
  <c r="FT21" i="1"/>
  <c r="FQ62" i="1"/>
  <c r="FU24" i="1"/>
  <c r="FR71" i="1"/>
  <c r="FU71" i="1" s="1"/>
  <c r="FU34" i="1"/>
  <c r="FR72" i="1"/>
  <c r="FU72" i="1" s="1"/>
  <c r="FU37" i="1"/>
  <c r="FR75" i="1"/>
  <c r="FU75" i="1" s="1"/>
  <c r="FU38" i="1"/>
  <c r="FR76" i="1"/>
  <c r="FU50" i="1"/>
  <c r="FR85" i="1"/>
  <c r="FU85" i="1" s="1"/>
  <c r="FU51" i="1"/>
  <c r="FR86" i="1"/>
  <c r="FU86" i="1" s="1"/>
  <c r="FZ9" i="1"/>
  <c r="FZ12" i="1"/>
  <c r="FZ14" i="1"/>
  <c r="GA15" i="1"/>
  <c r="FX60" i="1"/>
  <c r="GA60" i="1" s="1"/>
  <c r="FY61" i="1"/>
  <c r="FZ20" i="1"/>
  <c r="FZ22" i="1"/>
  <c r="GA25" i="1"/>
  <c r="FX63" i="1"/>
  <c r="GA63" i="1" s="1"/>
  <c r="FZ35" i="1"/>
  <c r="FW73" i="1"/>
  <c r="GA74" i="1"/>
  <c r="GA37" i="1"/>
  <c r="FX75" i="1"/>
  <c r="GA75" i="1" s="1"/>
  <c r="GA76" i="1"/>
  <c r="GA42" i="1"/>
  <c r="FX77" i="1"/>
  <c r="GA77" i="1" s="1"/>
  <c r="GA50" i="1"/>
  <c r="FX85" i="1"/>
  <c r="GA85" i="1" s="1"/>
  <c r="GG6" i="1"/>
  <c r="GF9" i="1"/>
  <c r="GG12" i="1"/>
  <c r="GE60" i="1"/>
  <c r="GF17" i="1"/>
  <c r="GF19" i="1"/>
  <c r="GG22" i="1"/>
  <c r="GD62" i="1"/>
  <c r="GF31" i="1"/>
  <c r="GC69" i="1"/>
  <c r="GG34" i="1"/>
  <c r="GD72" i="1"/>
  <c r="GG72" i="1" s="1"/>
  <c r="GG36" i="1"/>
  <c r="GF37" i="1"/>
  <c r="GF39" i="1"/>
  <c r="GE77" i="1"/>
  <c r="GF51" i="1"/>
  <c r="GC86" i="1"/>
  <c r="GM7" i="1"/>
  <c r="GM11" i="1"/>
  <c r="GM13" i="1"/>
  <c r="GK59" i="1"/>
  <c r="GM15" i="1"/>
  <c r="GL18" i="1"/>
  <c r="GM21" i="1"/>
  <c r="GM25" i="1"/>
  <c r="GL26" i="1"/>
  <c r="GM33" i="1"/>
  <c r="GL34" i="1"/>
  <c r="GM37" i="1"/>
  <c r="GL38" i="1"/>
  <c r="GR6" i="1"/>
  <c r="GR8" i="1"/>
  <c r="GO57" i="1"/>
  <c r="GS10" i="1"/>
  <c r="GP58" i="1"/>
  <c r="GS58" i="1" s="1"/>
  <c r="GS13" i="1"/>
  <c r="GP59" i="1"/>
  <c r="GS59" i="1" s="1"/>
  <c r="GR16" i="1"/>
  <c r="GR18" i="1"/>
  <c r="GS20" i="1"/>
  <c r="GS21" i="1"/>
  <c r="GP62" i="1"/>
  <c r="GR32" i="1"/>
  <c r="GO70" i="1"/>
  <c r="GS33" i="1"/>
  <c r="GP71" i="1"/>
  <c r="GS71" i="1" s="1"/>
  <c r="GR38" i="1"/>
  <c r="GO76" i="1"/>
  <c r="GR40" i="1"/>
  <c r="GO77" i="1"/>
  <c r="GS41" i="1"/>
  <c r="GX15" i="1"/>
  <c r="GU60" i="1"/>
  <c r="GX60" i="1" s="1"/>
  <c r="BP38" i="5" s="1"/>
  <c r="HJ9" i="1"/>
  <c r="HG57" i="1"/>
  <c r="HJ57" i="1" s="1"/>
  <c r="BT35" i="5" s="1"/>
  <c r="HJ58" i="1"/>
  <c r="BT36" i="5" s="1"/>
  <c r="HK10" i="1"/>
  <c r="HJ13" i="1"/>
  <c r="HK15" i="1"/>
  <c r="HH60" i="1"/>
  <c r="HK60" i="1" s="1"/>
  <c r="HH62" i="1"/>
  <c r="HJ33" i="1"/>
  <c r="HJ74" i="1"/>
  <c r="BT52" i="5" s="1"/>
  <c r="HK36" i="1"/>
  <c r="HJ37" i="1"/>
  <c r="HK40" i="1"/>
  <c r="HH77" i="1"/>
  <c r="HK50" i="1"/>
  <c r="HH85" i="1"/>
  <c r="HK85" i="1" s="1"/>
  <c r="HK51" i="1"/>
  <c r="HH86" i="1"/>
  <c r="HK86" i="1" s="1"/>
  <c r="HK73" i="1"/>
  <c r="II64" i="1"/>
  <c r="IH77" i="1"/>
  <c r="CB55" i="5" s="1"/>
  <c r="Q57" i="36" s="1"/>
  <c r="IC61" i="1"/>
  <c r="IH57" i="1"/>
  <c r="CB35" i="5" s="1"/>
  <c r="Q37" i="36" s="1"/>
  <c r="GF6" i="1"/>
  <c r="GC56" i="1"/>
  <c r="GF25" i="1"/>
  <c r="GC63" i="1"/>
  <c r="GG51" i="1"/>
  <c r="GD86" i="1"/>
  <c r="GG86" i="1" s="1"/>
  <c r="GM10" i="1"/>
  <c r="GK58" i="1"/>
  <c r="GM58" i="1" s="1"/>
  <c r="GL37" i="1"/>
  <c r="GI75" i="1"/>
  <c r="GL75" i="1" s="1"/>
  <c r="BL53" i="5" s="1"/>
  <c r="GS31" i="1"/>
  <c r="GP69" i="1"/>
  <c r="GS69" i="1" s="1"/>
  <c r="GY25" i="1"/>
  <c r="GV63" i="1"/>
  <c r="GY63" i="1" s="1"/>
  <c r="GY35" i="1"/>
  <c r="GV73" i="1"/>
  <c r="GY73" i="1" s="1"/>
  <c r="GY37" i="1"/>
  <c r="GV75" i="1"/>
  <c r="GY75" i="1" s="1"/>
  <c r="EV34" i="1"/>
  <c r="ES72" i="1"/>
  <c r="EV36" i="1"/>
  <c r="ES74" i="1"/>
  <c r="EV38" i="1"/>
  <c r="ES76" i="1"/>
  <c r="FN17" i="1"/>
  <c r="FK61" i="1"/>
  <c r="FN21" i="1"/>
  <c r="FK62" i="1"/>
  <c r="FO35" i="1"/>
  <c r="FL73" i="1"/>
  <c r="FO73" i="1" s="1"/>
  <c r="FO36" i="1"/>
  <c r="FL74" i="1"/>
  <c r="FO74" i="1" s="1"/>
  <c r="FT9" i="1"/>
  <c r="FQ57" i="1"/>
  <c r="FT57" i="1" s="1"/>
  <c r="BF35" i="5" s="1"/>
  <c r="BF121" i="5" s="1"/>
  <c r="FS60" i="1"/>
  <c r="FS62" i="1"/>
  <c r="FT25" i="1"/>
  <c r="FQ63" i="1"/>
  <c r="FT63" i="1" s="1"/>
  <c r="BF43" i="5" s="1"/>
  <c r="FT35" i="1"/>
  <c r="FQ73" i="1"/>
  <c r="FT73" i="1" s="1"/>
  <c r="BF51" i="5" s="1"/>
  <c r="BF137" i="5" s="1"/>
  <c r="GA8" i="1"/>
  <c r="FX57" i="1"/>
  <c r="FW61" i="1"/>
  <c r="FW64" i="1"/>
  <c r="FZ64" i="1" s="1"/>
  <c r="FW70" i="1"/>
  <c r="GA34" i="1"/>
  <c r="FX72" i="1"/>
  <c r="GA72" i="1" s="1"/>
  <c r="GA36" i="1"/>
  <c r="GA39" i="1"/>
  <c r="FZ51" i="1"/>
  <c r="FW86" i="1"/>
  <c r="GG8" i="1"/>
  <c r="GD57" i="1"/>
  <c r="GG10" i="1"/>
  <c r="GF13" i="1"/>
  <c r="GC59" i="1"/>
  <c r="GF59" i="1" s="1"/>
  <c r="BJ37" i="5" s="1"/>
  <c r="GF15" i="1"/>
  <c r="GC60" i="1"/>
  <c r="GG17" i="1"/>
  <c r="GD61" i="1"/>
  <c r="GG25" i="1"/>
  <c r="GD63" i="1"/>
  <c r="GG63" i="1" s="1"/>
  <c r="GF35" i="1"/>
  <c r="GC73" i="1"/>
  <c r="GG38" i="1"/>
  <c r="GD76" i="1"/>
  <c r="GG76" i="1" s="1"/>
  <c r="GF40" i="1"/>
  <c r="GC77" i="1"/>
  <c r="GG50" i="1"/>
  <c r="GD85" i="1"/>
  <c r="GG85" i="1" s="1"/>
  <c r="GL8" i="1"/>
  <c r="GI57" i="1"/>
  <c r="GL57" i="1" s="1"/>
  <c r="BL35" i="5" s="1"/>
  <c r="GM17" i="1"/>
  <c r="GJ61" i="1"/>
  <c r="GL32" i="1"/>
  <c r="GI70" i="1"/>
  <c r="GL36" i="1"/>
  <c r="GI74" i="1"/>
  <c r="GL40" i="1"/>
  <c r="GI77" i="1"/>
  <c r="GL51" i="1"/>
  <c r="GI86" i="1"/>
  <c r="GS6" i="1"/>
  <c r="GP56" i="1"/>
  <c r="GQ57" i="1"/>
  <c r="GS15" i="1"/>
  <c r="GP60" i="1"/>
  <c r="GQ61" i="1"/>
  <c r="GS25" i="1"/>
  <c r="GP63" i="1"/>
  <c r="GS63" i="1" s="1"/>
  <c r="GR34" i="1"/>
  <c r="GO72" i="1"/>
  <c r="GR72" i="1" s="1"/>
  <c r="BN50" i="5" s="1"/>
  <c r="GR36" i="1"/>
  <c r="GO74" i="1"/>
  <c r="GS37" i="1"/>
  <c r="GP75" i="1"/>
  <c r="GS75" i="1" s="1"/>
  <c r="GQ77" i="1"/>
  <c r="GR51" i="1"/>
  <c r="GO86" i="1"/>
  <c r="GY6" i="1"/>
  <c r="GV56" i="1"/>
  <c r="GY56" i="1" s="1"/>
  <c r="GY8" i="1"/>
  <c r="GV57" i="1"/>
  <c r="GY57" i="1" s="1"/>
  <c r="GY10" i="1"/>
  <c r="GV58" i="1"/>
  <c r="GY58" i="1" s="1"/>
  <c r="GX13" i="1"/>
  <c r="GU59" i="1"/>
  <c r="GY15" i="1"/>
  <c r="HK6" i="1"/>
  <c r="HK13" i="1"/>
  <c r="HH59" i="1"/>
  <c r="HK21" i="1"/>
  <c r="HJ31" i="1"/>
  <c r="HG69" i="1"/>
  <c r="HK33" i="1"/>
  <c r="HH71" i="1"/>
  <c r="HK71" i="1" s="1"/>
  <c r="HK37" i="1"/>
  <c r="HH75" i="1"/>
  <c r="HK75" i="1" s="1"/>
  <c r="HK38" i="1"/>
  <c r="HI76" i="1"/>
  <c r="HK76" i="1" s="1"/>
  <c r="HJ14" i="1"/>
  <c r="HK25" i="1"/>
  <c r="IB86" i="1"/>
  <c r="BZ45" i="5" s="1"/>
  <c r="HP62" i="1"/>
  <c r="BV42" i="5" s="1"/>
  <c r="BV41" i="5" s="1"/>
  <c r="BV127" i="5" s="1"/>
  <c r="EW10" i="1"/>
  <c r="ET58" i="1"/>
  <c r="EW58" i="1" s="1"/>
  <c r="EW15" i="1"/>
  <c r="ET60" i="1"/>
  <c r="EW60" i="1" s="1"/>
  <c r="EW22" i="1"/>
  <c r="ET62" i="1"/>
  <c r="EW62" i="1" s="1"/>
  <c r="EW33" i="1"/>
  <c r="ET71" i="1"/>
  <c r="EW71" i="1" s="1"/>
  <c r="FI26" i="1"/>
  <c r="FF64" i="1"/>
  <c r="FI64" i="1" s="1"/>
  <c r="FN36" i="1"/>
  <c r="FK74" i="1"/>
  <c r="GG31" i="1"/>
  <c r="GD69" i="1"/>
  <c r="GG69" i="1" s="1"/>
  <c r="GG33" i="1"/>
  <c r="GE71" i="1"/>
  <c r="GG71" i="1" s="1"/>
  <c r="GF36" i="1"/>
  <c r="GC74" i="1"/>
  <c r="GF74" i="1" s="1"/>
  <c r="BJ52" i="5" s="1"/>
  <c r="GM6" i="1"/>
  <c r="GK56" i="1"/>
  <c r="GM56" i="1" s="1"/>
  <c r="GL15" i="1"/>
  <c r="GI60" i="1"/>
  <c r="GL60" i="1" s="1"/>
  <c r="BL38" i="5" s="1"/>
  <c r="GL25" i="1"/>
  <c r="GI63" i="1"/>
  <c r="GL63" i="1" s="1"/>
  <c r="BL43" i="5" s="1"/>
  <c r="GL33" i="1"/>
  <c r="GI71" i="1"/>
  <c r="GL71" i="1" s="1"/>
  <c r="BL49" i="5" s="1"/>
  <c r="GS8" i="1"/>
  <c r="GP57" i="1"/>
  <c r="GR15" i="1"/>
  <c r="GO60" i="1"/>
  <c r="GS32" i="1"/>
  <c r="GP70" i="1"/>
  <c r="GS70" i="1" s="1"/>
  <c r="GR37" i="1"/>
  <c r="GO75" i="1"/>
  <c r="GS40" i="1"/>
  <c r="GP77" i="1"/>
  <c r="GY33" i="1"/>
  <c r="GV71" i="1"/>
  <c r="GY71" i="1" s="1"/>
  <c r="EV6" i="1"/>
  <c r="ES56" i="1"/>
  <c r="EW6" i="1"/>
  <c r="ET56" i="1"/>
  <c r="EW56" i="1" s="1"/>
  <c r="EW9" i="1"/>
  <c r="ET57" i="1"/>
  <c r="EW57" i="1" s="1"/>
  <c r="EW17" i="1"/>
  <c r="ET61" i="1"/>
  <c r="EW61" i="1" s="1"/>
  <c r="EW31" i="1"/>
  <c r="ET69" i="1"/>
  <c r="EW69" i="1" s="1"/>
  <c r="EW34" i="1"/>
  <c r="ET72" i="1"/>
  <c r="EW72" i="1" s="1"/>
  <c r="EW36" i="1"/>
  <c r="ET74" i="1"/>
  <c r="EW74" i="1" s="1"/>
  <c r="EW38" i="1"/>
  <c r="ET76" i="1"/>
  <c r="EW76" i="1" s="1"/>
  <c r="EW41" i="1"/>
  <c r="ET77" i="1"/>
  <c r="EW77" i="1" s="1"/>
  <c r="EW51" i="1"/>
  <c r="ET86" i="1"/>
  <c r="EW86" i="1" s="1"/>
  <c r="FO17" i="1"/>
  <c r="FL61" i="1"/>
  <c r="FO21" i="1"/>
  <c r="FL62" i="1"/>
  <c r="FO25" i="1"/>
  <c r="FN34" i="1"/>
  <c r="FO37" i="1"/>
  <c r="FN51" i="1"/>
  <c r="FK86" i="1"/>
  <c r="FQ59" i="1"/>
  <c r="FU13" i="1"/>
  <c r="FT16" i="1"/>
  <c r="FQ61" i="1"/>
  <c r="FU17" i="1"/>
  <c r="FT22" i="1"/>
  <c r="FT24" i="1"/>
  <c r="FU63" i="1"/>
  <c r="FU64" i="1"/>
  <c r="BG72" i="5" s="1"/>
  <c r="FT34" i="1"/>
  <c r="FQ72" i="1"/>
  <c r="FU73" i="1"/>
  <c r="FT38" i="1"/>
  <c r="FQ76" i="1"/>
  <c r="FT51" i="1"/>
  <c r="FQ86" i="1"/>
  <c r="GA6" i="1"/>
  <c r="FX56" i="1"/>
  <c r="GA56" i="1" s="1"/>
  <c r="GA7" i="1"/>
  <c r="FY57" i="1"/>
  <c r="FZ10" i="1"/>
  <c r="FZ13" i="1"/>
  <c r="FZ15" i="1"/>
  <c r="FW60" i="1"/>
  <c r="GA17" i="1"/>
  <c r="FX61" i="1"/>
  <c r="FZ21" i="1"/>
  <c r="FZ25" i="1"/>
  <c r="FW63" i="1"/>
  <c r="FX70" i="1"/>
  <c r="GA70" i="1" s="1"/>
  <c r="FZ36" i="1"/>
  <c r="FW74" i="1"/>
  <c r="FZ74" i="1" s="1"/>
  <c r="BH52" i="5" s="1"/>
  <c r="BH138" i="5" s="1"/>
  <c r="FZ39" i="1"/>
  <c r="FW76" i="1"/>
  <c r="FZ76" i="1" s="1"/>
  <c r="BH54" i="5" s="1"/>
  <c r="BH140" i="5" s="1"/>
  <c r="FZ50" i="1"/>
  <c r="FW85" i="1"/>
  <c r="GA51" i="1"/>
  <c r="FX86" i="1"/>
  <c r="GA86" i="1" s="1"/>
  <c r="GE57" i="1"/>
  <c r="GF10" i="1"/>
  <c r="GC58" i="1"/>
  <c r="GG15" i="1"/>
  <c r="GD60" i="1"/>
  <c r="GE61" i="1"/>
  <c r="GF22" i="1"/>
  <c r="GC62" i="1"/>
  <c r="GG35" i="1"/>
  <c r="GD73" i="1"/>
  <c r="GG73" i="1" s="1"/>
  <c r="GG37" i="1"/>
  <c r="GE75" i="1"/>
  <c r="GG75" i="1" s="1"/>
  <c r="GG40" i="1"/>
  <c r="GD77" i="1"/>
  <c r="GG42" i="1"/>
  <c r="GK61" i="1"/>
  <c r="GM23" i="1"/>
  <c r="GM24" i="1"/>
  <c r="GM31" i="1"/>
  <c r="GJ69" i="1"/>
  <c r="GM69" i="1" s="1"/>
  <c r="GM32" i="1"/>
  <c r="GJ70" i="1"/>
  <c r="GM70" i="1" s="1"/>
  <c r="GM35" i="1"/>
  <c r="GJ73" i="1"/>
  <c r="GM73" i="1" s="1"/>
  <c r="GM36" i="1"/>
  <c r="GJ74" i="1"/>
  <c r="GM74" i="1" s="1"/>
  <c r="GK76" i="1"/>
  <c r="GM39" i="1"/>
  <c r="GM40" i="1"/>
  <c r="GJ77" i="1"/>
  <c r="GM50" i="1"/>
  <c r="GJ85" i="1"/>
  <c r="GL85" i="1" s="1"/>
  <c r="BL40" i="5" s="1"/>
  <c r="GM51" i="1"/>
  <c r="GJ86" i="1"/>
  <c r="GM86" i="1" s="1"/>
  <c r="GR9" i="1"/>
  <c r="GO59" i="1"/>
  <c r="GS14" i="1"/>
  <c r="GQ60" i="1"/>
  <c r="GR17" i="1"/>
  <c r="GR21" i="1"/>
  <c r="GO62" i="1"/>
  <c r="GS22" i="1"/>
  <c r="GR31" i="1"/>
  <c r="GR33" i="1"/>
  <c r="GO71" i="1"/>
  <c r="GS72" i="1"/>
  <c r="GS35" i="1"/>
  <c r="GP73" i="1"/>
  <c r="GS73" i="1" s="1"/>
  <c r="GS36" i="1"/>
  <c r="GP74" i="1"/>
  <c r="GS74" i="1" s="1"/>
  <c r="GS38" i="1"/>
  <c r="GR41" i="1"/>
  <c r="GS50" i="1"/>
  <c r="GP85" i="1"/>
  <c r="GS85" i="1" s="1"/>
  <c r="GS51" i="1"/>
  <c r="GP86" i="1"/>
  <c r="GS86" i="1" s="1"/>
  <c r="GV59" i="1"/>
  <c r="GY59" i="1" s="1"/>
  <c r="GX18" i="1"/>
  <c r="GU61" i="1"/>
  <c r="GX61" i="1" s="1"/>
  <c r="BP39" i="5" s="1"/>
  <c r="GY22" i="1"/>
  <c r="GV62" i="1"/>
  <c r="GY62" i="1" s="1"/>
  <c r="GY26" i="1"/>
  <c r="GV64" i="1"/>
  <c r="GY64" i="1" s="1"/>
  <c r="GY32" i="1"/>
  <c r="GV70" i="1"/>
  <c r="GY70" i="1" s="1"/>
  <c r="GY34" i="1"/>
  <c r="GV72" i="1"/>
  <c r="GY72" i="1" s="1"/>
  <c r="GY36" i="1"/>
  <c r="GV74" i="1"/>
  <c r="GY74" i="1" s="1"/>
  <c r="GY38" i="1"/>
  <c r="GV76" i="1"/>
  <c r="GY76" i="1" s="1"/>
  <c r="GY40" i="1"/>
  <c r="GV77" i="1"/>
  <c r="GY77" i="1" s="1"/>
  <c r="GY51" i="1"/>
  <c r="GV86" i="1"/>
  <c r="GY86" i="1" s="1"/>
  <c r="HJ6" i="1"/>
  <c r="HG56" i="1"/>
  <c r="HK9" i="1"/>
  <c r="HJ10" i="1"/>
  <c r="HI59" i="1"/>
  <c r="HJ15" i="1"/>
  <c r="HG60" i="1"/>
  <c r="HK17" i="1"/>
  <c r="HH61" i="1"/>
  <c r="HJ21" i="1"/>
  <c r="HG62" i="1"/>
  <c r="HK26" i="1"/>
  <c r="HH64" i="1"/>
  <c r="HK64" i="1" s="1"/>
  <c r="HK31" i="1"/>
  <c r="HH69" i="1"/>
  <c r="HK69" i="1" s="1"/>
  <c r="HK35" i="1"/>
  <c r="HJ36" i="1"/>
  <c r="HJ38" i="1"/>
  <c r="HJ40" i="1"/>
  <c r="HG77" i="1"/>
  <c r="HJ51" i="1"/>
  <c r="HG86" i="1"/>
  <c r="HK63" i="1"/>
  <c r="IH85" i="1"/>
  <c r="CB40" i="5" s="1"/>
  <c r="Q42" i="36" s="1"/>
  <c r="IC62" i="1"/>
  <c r="IH60" i="1"/>
  <c r="CB38" i="5" s="1"/>
  <c r="Q40" i="36" s="1"/>
  <c r="HJ35" i="1"/>
  <c r="HJ25" i="1"/>
  <c r="HK24" i="1"/>
  <c r="GX6" i="1"/>
  <c r="GX7" i="1"/>
  <c r="GX8" i="1"/>
  <c r="GX9" i="1"/>
  <c r="GX10" i="1"/>
  <c r="GX22" i="1"/>
  <c r="GX25" i="1"/>
  <c r="GX26" i="1"/>
  <c r="GX31" i="1"/>
  <c r="GX32" i="1"/>
  <c r="GX33" i="1"/>
  <c r="GX34" i="1"/>
  <c r="GX35" i="1"/>
  <c r="GX36" i="1"/>
  <c r="GX37" i="1"/>
  <c r="GX38" i="1"/>
  <c r="GX39" i="1"/>
  <c r="GX40" i="1"/>
  <c r="GX41" i="1"/>
  <c r="GX42" i="1"/>
  <c r="GX50" i="1"/>
  <c r="GX51" i="1"/>
  <c r="GL7" i="1"/>
  <c r="GL11" i="1"/>
  <c r="GL14" i="1"/>
  <c r="GL17" i="1"/>
  <c r="GF24" i="1"/>
  <c r="GF34" i="1"/>
  <c r="GF38" i="1"/>
  <c r="GF50" i="1"/>
  <c r="EV33" i="1"/>
  <c r="EV35" i="1"/>
  <c r="EV37" i="1"/>
  <c r="EV39" i="1"/>
  <c r="EV50" i="1"/>
  <c r="EV41" i="1"/>
  <c r="EV25" i="1"/>
  <c r="EV51" i="1"/>
  <c r="EV13" i="1"/>
  <c r="EV14" i="1"/>
  <c r="EV15" i="1"/>
  <c r="EV11" i="1"/>
  <c r="EV18" i="1"/>
  <c r="BI74" i="5" l="1"/>
  <c r="Q54" i="36"/>
  <c r="Q144" i="36" s="1"/>
  <c r="BG74" i="5"/>
  <c r="AZ142" i="5"/>
  <c r="FU61" i="1"/>
  <c r="BK74" i="5"/>
  <c r="CD69" i="5"/>
  <c r="BM74" i="5"/>
  <c r="BX46" i="5"/>
  <c r="BX132" i="5" s="1"/>
  <c r="BY84" i="5"/>
  <c r="CD74" i="5"/>
  <c r="AZ69" i="5"/>
  <c r="BO74" i="5"/>
  <c r="BK84" i="5"/>
  <c r="BV33" i="5"/>
  <c r="BV119" i="5" s="1"/>
  <c r="BZ41" i="5"/>
  <c r="BZ127" i="5" s="1"/>
  <c r="CD84" i="5"/>
  <c r="CD61" i="5"/>
  <c r="BX33" i="5"/>
  <c r="BX119" i="5" s="1"/>
  <c r="BI84" i="5"/>
  <c r="BI61" i="5"/>
  <c r="BB136" i="5"/>
  <c r="BB46" i="5"/>
  <c r="BB132" i="5" s="1"/>
  <c r="BW84" i="5"/>
  <c r="BW61" i="5"/>
  <c r="Q44" i="36"/>
  <c r="Q43" i="36" s="1"/>
  <c r="Q133" i="36" s="1"/>
  <c r="CB41" i="5"/>
  <c r="CB127" i="5" s="1"/>
  <c r="BQ69" i="5"/>
  <c r="BU84" i="5"/>
  <c r="FN59" i="1"/>
  <c r="BD37" i="5" s="1"/>
  <c r="AE35" i="6" s="1"/>
  <c r="AE61" i="6" s="1"/>
  <c r="BK69" i="5"/>
  <c r="BZ120" i="5"/>
  <c r="BZ33" i="5"/>
  <c r="BZ119" i="5" s="1"/>
  <c r="BY69" i="5"/>
  <c r="CD142" i="5"/>
  <c r="BM84" i="5"/>
  <c r="BM61" i="5"/>
  <c r="BG84" i="5"/>
  <c r="BG61" i="5"/>
  <c r="BK61" i="5"/>
  <c r="BY61" i="5"/>
  <c r="BQ74" i="5"/>
  <c r="AZ84" i="5"/>
  <c r="AZ61" i="5"/>
  <c r="AZ74" i="5"/>
  <c r="BG69" i="5"/>
  <c r="BB61" i="5"/>
  <c r="BM69" i="5"/>
  <c r="BC84" i="5"/>
  <c r="BQ84" i="5"/>
  <c r="BQ61" i="5"/>
  <c r="Q36" i="36"/>
  <c r="Q35" i="36" s="1"/>
  <c r="Q125" i="36" s="1"/>
  <c r="CB33" i="5"/>
  <c r="CB119" i="5" s="1"/>
  <c r="BO84" i="5"/>
  <c r="BO61" i="5"/>
  <c r="AY84" i="5"/>
  <c r="AY61" i="5"/>
  <c r="FU58" i="1"/>
  <c r="GF56" i="1"/>
  <c r="BJ34" i="5" s="1"/>
  <c r="Q76" i="36"/>
  <c r="Q81" i="36"/>
  <c r="P136" i="36"/>
  <c r="AO49" i="6"/>
  <c r="AO75" i="6" s="1"/>
  <c r="P44" i="36"/>
  <c r="BX83" i="5"/>
  <c r="BX74" i="5" s="1"/>
  <c r="P57" i="36"/>
  <c r="Q137" i="36"/>
  <c r="Q142" i="36"/>
  <c r="P75" i="36"/>
  <c r="P41" i="36"/>
  <c r="CB82" i="5"/>
  <c r="AY142" i="5"/>
  <c r="Q83" i="36"/>
  <c r="GG58" i="1"/>
  <c r="P47" i="36"/>
  <c r="BW142" i="5"/>
  <c r="P39" i="36"/>
  <c r="BG142" i="5"/>
  <c r="P38" i="36"/>
  <c r="P36" i="36"/>
  <c r="BQ142" i="5"/>
  <c r="BK142" i="5"/>
  <c r="N75" i="36"/>
  <c r="N136" i="36"/>
  <c r="GR76" i="1"/>
  <c r="BN54" i="5" s="1"/>
  <c r="BN140" i="5" s="1"/>
  <c r="Q75" i="36"/>
  <c r="Q136" i="36"/>
  <c r="Q69" i="36"/>
  <c r="Q130" i="36"/>
  <c r="Q84" i="36"/>
  <c r="Q145" i="36"/>
  <c r="BO142" i="5"/>
  <c r="Q67" i="36"/>
  <c r="Q128" i="36"/>
  <c r="P82" i="36"/>
  <c r="P143" i="36"/>
  <c r="Q71" i="36"/>
  <c r="Q132" i="36"/>
  <c r="BD129" i="5"/>
  <c r="AN66" i="6"/>
  <c r="P127" i="36"/>
  <c r="P66" i="36"/>
  <c r="Q73" i="36"/>
  <c r="P71" i="36"/>
  <c r="P132" i="36"/>
  <c r="FT61" i="1"/>
  <c r="BF39" i="5" s="1"/>
  <c r="BF125" i="5" s="1"/>
  <c r="FN74" i="1"/>
  <c r="BD52" i="5" s="1"/>
  <c r="AE46" i="6" s="1"/>
  <c r="AE72" i="6" s="1"/>
  <c r="Q147" i="36"/>
  <c r="Q86" i="36"/>
  <c r="BD139" i="5"/>
  <c r="BD121" i="5"/>
  <c r="P55" i="36"/>
  <c r="Q70" i="36"/>
  <c r="Q131" i="36"/>
  <c r="Q82" i="36"/>
  <c r="Q143" i="36"/>
  <c r="P69" i="36"/>
  <c r="P130" i="36"/>
  <c r="BY142" i="5"/>
  <c r="M78" i="36"/>
  <c r="M139" i="36"/>
  <c r="BD136" i="5"/>
  <c r="BF141" i="5"/>
  <c r="BF130" i="5"/>
  <c r="M46" i="36"/>
  <c r="BD122" i="5"/>
  <c r="Q68" i="36"/>
  <c r="Q129" i="36"/>
  <c r="Q85" i="36"/>
  <c r="Q146" i="36"/>
  <c r="L79" i="36"/>
  <c r="L140" i="36"/>
  <c r="P81" i="36"/>
  <c r="P142" i="36"/>
  <c r="P83" i="36"/>
  <c r="P144" i="36"/>
  <c r="Q127" i="36"/>
  <c r="Q66" i="36"/>
  <c r="P78" i="36"/>
  <c r="P139" i="36"/>
  <c r="P74" i="36"/>
  <c r="P135" i="36"/>
  <c r="AQ50" i="6"/>
  <c r="AQ76" i="6" s="1"/>
  <c r="CB126" i="5"/>
  <c r="AK37" i="6"/>
  <c r="BP125" i="5"/>
  <c r="AK36" i="6"/>
  <c r="BP124" i="5"/>
  <c r="AO50" i="6"/>
  <c r="AO76" i="6" s="1"/>
  <c r="BX126" i="5"/>
  <c r="AQ47" i="6"/>
  <c r="AQ73" i="6" s="1"/>
  <c r="CB139" i="5"/>
  <c r="AM48" i="6"/>
  <c r="AM74" i="6" s="1"/>
  <c r="BT140" i="5"/>
  <c r="AI34" i="6"/>
  <c r="AI60" i="6" s="1"/>
  <c r="BL122" i="5"/>
  <c r="AO51" i="6"/>
  <c r="AO77" i="6" s="1"/>
  <c r="BX131" i="5"/>
  <c r="AM45" i="6"/>
  <c r="AM71" i="6" s="1"/>
  <c r="BT137" i="5"/>
  <c r="AQ32" i="6"/>
  <c r="AQ58" i="6" s="1"/>
  <c r="CB120" i="5"/>
  <c r="AP37" i="6"/>
  <c r="AP63" i="6" s="1"/>
  <c r="BZ125" i="5"/>
  <c r="AP36" i="6"/>
  <c r="AP62" i="6" s="1"/>
  <c r="BZ124" i="5"/>
  <c r="AI39" i="6"/>
  <c r="AI65" i="6" s="1"/>
  <c r="BL129" i="5"/>
  <c r="AN38" i="6"/>
  <c r="AN64" i="6" s="1"/>
  <c r="BV128" i="5"/>
  <c r="AJ44" i="6"/>
  <c r="AJ70" i="6" s="1"/>
  <c r="BN136" i="5"/>
  <c r="AI33" i="6"/>
  <c r="AI59" i="6" s="1"/>
  <c r="BL121" i="5"/>
  <c r="AH35" i="6"/>
  <c r="AH61" i="6" s="1"/>
  <c r="BJ123" i="5"/>
  <c r="AQ33" i="6"/>
  <c r="AQ59" i="6" s="1"/>
  <c r="CB121" i="5"/>
  <c r="AM34" i="6"/>
  <c r="AM60" i="6" s="1"/>
  <c r="BT122" i="5"/>
  <c r="AQ40" i="6"/>
  <c r="AQ66" i="6" s="1"/>
  <c r="CB130" i="5"/>
  <c r="AM39" i="6"/>
  <c r="AM65" i="6" s="1"/>
  <c r="BT129" i="5"/>
  <c r="AQ37" i="6"/>
  <c r="AQ63" i="6" s="1"/>
  <c r="CB125" i="5"/>
  <c r="AI32" i="6"/>
  <c r="AI58" i="6" s="1"/>
  <c r="BL120" i="5"/>
  <c r="AI35" i="6"/>
  <c r="AI61" i="6" s="1"/>
  <c r="BL123" i="5"/>
  <c r="AQ34" i="6"/>
  <c r="AQ60" i="6" s="1"/>
  <c r="CB122" i="5"/>
  <c r="AP47" i="6"/>
  <c r="AP73" i="6" s="1"/>
  <c r="BZ139" i="5"/>
  <c r="AQ48" i="6"/>
  <c r="AQ74" i="6" s="1"/>
  <c r="CB140" i="5"/>
  <c r="BI142" i="5"/>
  <c r="BM142" i="5"/>
  <c r="AQ36" i="6"/>
  <c r="AQ62" i="6" s="1"/>
  <c r="CB124" i="5"/>
  <c r="AP51" i="6"/>
  <c r="AP77" i="6" s="1"/>
  <c r="BZ131" i="5"/>
  <c r="AM46" i="6"/>
  <c r="AM72" i="6" s="1"/>
  <c r="BT138" i="5"/>
  <c r="AM33" i="6"/>
  <c r="AM59" i="6" s="1"/>
  <c r="BT121" i="5"/>
  <c r="AO34" i="6"/>
  <c r="AO60" i="6" s="1"/>
  <c r="BX122" i="5"/>
  <c r="AH47" i="6"/>
  <c r="AH73" i="6" s="1"/>
  <c r="BJ139" i="5"/>
  <c r="AN34" i="6"/>
  <c r="AN60" i="6" s="1"/>
  <c r="BV122" i="5"/>
  <c r="AP35" i="6"/>
  <c r="AP61" i="6" s="1"/>
  <c r="BZ123" i="5"/>
  <c r="AQ45" i="6"/>
  <c r="AQ71" i="6" s="1"/>
  <c r="CB137" i="5"/>
  <c r="AO32" i="6"/>
  <c r="AO58" i="6" s="1"/>
  <c r="BX120" i="5"/>
  <c r="AI50" i="6"/>
  <c r="AI76" i="6" s="1"/>
  <c r="BL126" i="5"/>
  <c r="AI43" i="6"/>
  <c r="AI69" i="6" s="1"/>
  <c r="BL135" i="5"/>
  <c r="AI36" i="6"/>
  <c r="AI62" i="6" s="1"/>
  <c r="BL124" i="5"/>
  <c r="AH46" i="6"/>
  <c r="AH72" i="6" s="1"/>
  <c r="BJ138" i="5"/>
  <c r="AF39" i="6"/>
  <c r="AF65" i="6" s="1"/>
  <c r="BF129" i="5"/>
  <c r="AI47" i="6"/>
  <c r="AI73" i="6" s="1"/>
  <c r="BL139" i="5"/>
  <c r="AQ49" i="6"/>
  <c r="AQ75" i="6" s="1"/>
  <c r="CB141" i="5"/>
  <c r="AN47" i="6"/>
  <c r="AN73" i="6" s="1"/>
  <c r="BV139" i="5"/>
  <c r="AN35" i="6"/>
  <c r="AN61" i="6" s="1"/>
  <c r="BV123" i="5"/>
  <c r="AP38" i="6"/>
  <c r="AP64" i="6" s="1"/>
  <c r="BZ128" i="5"/>
  <c r="AI44" i="6"/>
  <c r="AI70" i="6" s="1"/>
  <c r="BL136" i="5"/>
  <c r="AO35" i="6"/>
  <c r="AO61" i="6" s="1"/>
  <c r="BX123" i="5"/>
  <c r="AO37" i="6"/>
  <c r="AO63" i="6" s="1"/>
  <c r="BX125" i="5"/>
  <c r="AI40" i="6"/>
  <c r="AI66" i="6" s="1"/>
  <c r="BL130" i="5"/>
  <c r="AQ38" i="6"/>
  <c r="AQ64" i="6" s="1"/>
  <c r="CB128" i="5"/>
  <c r="AH43" i="6"/>
  <c r="AH69" i="6" s="1"/>
  <c r="BJ135" i="5"/>
  <c r="AQ35" i="6"/>
  <c r="AQ61" i="6" s="1"/>
  <c r="CB123" i="5"/>
  <c r="AP34" i="6"/>
  <c r="AP60" i="6" s="1"/>
  <c r="BZ122" i="5"/>
  <c r="AG46" i="6"/>
  <c r="AG72" i="6" s="1"/>
  <c r="AD44" i="6"/>
  <c r="AD70" i="6" s="1"/>
  <c r="X126" i="6"/>
  <c r="X71" i="6"/>
  <c r="W121" i="6"/>
  <c r="W66" i="6"/>
  <c r="X129" i="6"/>
  <c r="X74" i="6"/>
  <c r="W116" i="6"/>
  <c r="W61" i="6"/>
  <c r="X114" i="6"/>
  <c r="X59" i="6"/>
  <c r="X130" i="6"/>
  <c r="X75" i="6"/>
  <c r="W73" i="6"/>
  <c r="W128" i="6"/>
  <c r="W117" i="6"/>
  <c r="X131" i="6"/>
  <c r="X76" i="6"/>
  <c r="W114" i="6"/>
  <c r="W59" i="6"/>
  <c r="V116" i="6"/>
  <c r="V61" i="6"/>
  <c r="W120" i="6"/>
  <c r="W65" i="6"/>
  <c r="W131" i="6"/>
  <c r="W76" i="6"/>
  <c r="AA122" i="6"/>
  <c r="AA67" i="6"/>
  <c r="X127" i="6"/>
  <c r="X72" i="6"/>
  <c r="W71" i="6"/>
  <c r="W126" i="6"/>
  <c r="AG48" i="6"/>
  <c r="AG74" i="6" s="1"/>
  <c r="AF33" i="6"/>
  <c r="AF59" i="6" s="1"/>
  <c r="AE47" i="6"/>
  <c r="AE73" i="6" s="1"/>
  <c r="AE44" i="6"/>
  <c r="AE70" i="6" s="1"/>
  <c r="AE33" i="6"/>
  <c r="AE59" i="6" s="1"/>
  <c r="AF49" i="6"/>
  <c r="AF75" i="6" s="1"/>
  <c r="AF46" i="6"/>
  <c r="AF72" i="6" s="1"/>
  <c r="AE39" i="6"/>
  <c r="AE65" i="6" s="1"/>
  <c r="AE34" i="6"/>
  <c r="AE60" i="6" s="1"/>
  <c r="V117" i="6"/>
  <c r="V62" i="6"/>
  <c r="W115" i="6"/>
  <c r="W60" i="6"/>
  <c r="X116" i="6"/>
  <c r="X61" i="6"/>
  <c r="W118" i="6"/>
  <c r="W63" i="6"/>
  <c r="W127" i="6"/>
  <c r="W72" i="6"/>
  <c r="W125" i="6"/>
  <c r="W70" i="6"/>
  <c r="W119" i="6"/>
  <c r="W64" i="6"/>
  <c r="X128" i="6"/>
  <c r="X73" i="6"/>
  <c r="W113" i="6"/>
  <c r="W58" i="6"/>
  <c r="W130" i="6"/>
  <c r="W75" i="6"/>
  <c r="X117" i="6"/>
  <c r="X62" i="6"/>
  <c r="W132" i="6"/>
  <c r="W77" i="6"/>
  <c r="X132" i="6"/>
  <c r="X77" i="6"/>
  <c r="X115" i="6"/>
  <c r="X60" i="6"/>
  <c r="AA121" i="6"/>
  <c r="AA66" i="6"/>
  <c r="AF45" i="6"/>
  <c r="AF71" i="6" s="1"/>
  <c r="Z121" i="6"/>
  <c r="Z66" i="6"/>
  <c r="BB75" i="5"/>
  <c r="BZ66" i="5"/>
  <c r="FZ63" i="1"/>
  <c r="BH43" i="5" s="1"/>
  <c r="BH129" i="5" s="1"/>
  <c r="FU59" i="1"/>
  <c r="HK56" i="1"/>
  <c r="FZ77" i="1"/>
  <c r="BH55" i="5" s="1"/>
  <c r="BH141" i="5" s="1"/>
  <c r="FT72" i="1"/>
  <c r="BF50" i="5" s="1"/>
  <c r="GG62" i="1"/>
  <c r="GS76" i="1"/>
  <c r="GA61" i="1"/>
  <c r="CB62" i="5"/>
  <c r="BT79" i="5"/>
  <c r="BX62" i="5"/>
  <c r="BZ67" i="5"/>
  <c r="HJ60" i="1"/>
  <c r="BT38" i="5" s="1"/>
  <c r="O40" i="36" s="1"/>
  <c r="GG77" i="1"/>
  <c r="GS62" i="1"/>
  <c r="CB79" i="5"/>
  <c r="FN60" i="1"/>
  <c r="BD38" i="5" s="1"/>
  <c r="HK61" i="1"/>
  <c r="GR59" i="1"/>
  <c r="BN37" i="5" s="1"/>
  <c r="N39" i="36" s="1"/>
  <c r="HJ59" i="1"/>
  <c r="BT37" i="5" s="1"/>
  <c r="BZ76" i="5"/>
  <c r="GG56" i="1"/>
  <c r="CB65" i="5"/>
  <c r="BZ64" i="5"/>
  <c r="CB70" i="5"/>
  <c r="BZ77" i="5"/>
  <c r="CB49" i="5"/>
  <c r="HK62" i="1"/>
  <c r="AD67" i="6"/>
  <c r="GR58" i="1"/>
  <c r="BN36" i="5" s="1"/>
  <c r="GF72" i="1"/>
  <c r="BJ50" i="5" s="1"/>
  <c r="N52" i="36" s="1"/>
  <c r="GG60" i="1"/>
  <c r="GF62" i="1"/>
  <c r="BJ42" i="5" s="1"/>
  <c r="BX73" i="5"/>
  <c r="BX69" i="5" s="1"/>
  <c r="BJ77" i="5"/>
  <c r="BZ81" i="5"/>
  <c r="BX67" i="5"/>
  <c r="BZ65" i="5"/>
  <c r="CB64" i="5"/>
  <c r="FU56" i="1"/>
  <c r="HJ77" i="1"/>
  <c r="BT55" i="5" s="1"/>
  <c r="HJ86" i="1"/>
  <c r="BT45" i="5" s="1"/>
  <c r="GS56" i="1"/>
  <c r="BL72" i="5"/>
  <c r="BL64" i="5"/>
  <c r="GM59" i="1"/>
  <c r="GL62" i="1"/>
  <c r="BL42" i="5" s="1"/>
  <c r="BL62" i="5"/>
  <c r="GM76" i="1"/>
  <c r="GF58" i="1"/>
  <c r="BJ36" i="5" s="1"/>
  <c r="FZ75" i="1"/>
  <c r="BH53" i="5" s="1"/>
  <c r="BH139" i="5" s="1"/>
  <c r="FZ70" i="1"/>
  <c r="FT56" i="1"/>
  <c r="BF34" i="5" s="1"/>
  <c r="AF40" i="6"/>
  <c r="AF66" i="6" s="1"/>
  <c r="FU76" i="1"/>
  <c r="FT58" i="1"/>
  <c r="BF36" i="5" s="1"/>
  <c r="BF122" i="5" s="1"/>
  <c r="FO59" i="1"/>
  <c r="AN62" i="6"/>
  <c r="HK77" i="1"/>
  <c r="HJ56" i="1"/>
  <c r="BT34" i="5" s="1"/>
  <c r="FT76" i="1"/>
  <c r="BF54" i="5" s="1"/>
  <c r="FO62" i="1"/>
  <c r="GL76" i="1"/>
  <c r="BL54" i="5" s="1"/>
  <c r="BL140" i="5" s="1"/>
  <c r="GR71" i="1"/>
  <c r="BN49" i="5" s="1"/>
  <c r="N51" i="36" s="1"/>
  <c r="GR62" i="1"/>
  <c r="BN42" i="5" s="1"/>
  <c r="GM77" i="1"/>
  <c r="GR61" i="1"/>
  <c r="BN39" i="5" s="1"/>
  <c r="FT86" i="1"/>
  <c r="BF45" i="5" s="1"/>
  <c r="BF131" i="5" s="1"/>
  <c r="BL65" i="5"/>
  <c r="BV64" i="5"/>
  <c r="BX65" i="5"/>
  <c r="GG61" i="1"/>
  <c r="AC78" i="6"/>
  <c r="AP32" i="6"/>
  <c r="AP58" i="6" s="1"/>
  <c r="BZ62" i="5"/>
  <c r="AN59" i="6"/>
  <c r="GF76" i="1"/>
  <c r="BJ54" i="5" s="1"/>
  <c r="FZ58" i="1"/>
  <c r="BH36" i="5" s="1"/>
  <c r="BH122" i="5" s="1"/>
  <c r="AN72" i="6"/>
  <c r="FZ62" i="1"/>
  <c r="BH42" i="5" s="1"/>
  <c r="FN56" i="1"/>
  <c r="BD34" i="5" s="1"/>
  <c r="AR78" i="6"/>
  <c r="EV63" i="1"/>
  <c r="AX43" i="5" s="1"/>
  <c r="AB66" i="6"/>
  <c r="AN67" i="6"/>
  <c r="AQ67" i="6"/>
  <c r="AM70" i="6"/>
  <c r="AF67" i="6"/>
  <c r="AE75" i="6"/>
  <c r="AE67" i="6"/>
  <c r="AD64" i="6"/>
  <c r="AB68" i="6"/>
  <c r="CB81" i="5"/>
  <c r="CB68" i="5"/>
  <c r="CB66" i="5"/>
  <c r="FT85" i="1"/>
  <c r="BF40" i="5" s="1"/>
  <c r="BF126" i="5" s="1"/>
  <c r="FT59" i="1"/>
  <c r="BF37" i="5" s="1"/>
  <c r="BF123" i="5" s="1"/>
  <c r="GR75" i="1"/>
  <c r="BN53" i="5" s="1"/>
  <c r="N55" i="36" s="1"/>
  <c r="BL77" i="5"/>
  <c r="BL66" i="5"/>
  <c r="BJ80" i="5"/>
  <c r="GM61" i="1"/>
  <c r="BF79" i="5"/>
  <c r="EV77" i="1"/>
  <c r="AX55" i="5" s="1"/>
  <c r="CB83" i="5"/>
  <c r="FT62" i="1"/>
  <c r="BF42" i="5" s="1"/>
  <c r="BD81" i="5"/>
  <c r="BD78" i="5"/>
  <c r="BB78" i="5"/>
  <c r="EV85" i="1"/>
  <c r="AX40" i="5" s="1"/>
  <c r="EV59" i="1"/>
  <c r="AX37" i="5" s="1"/>
  <c r="GF57" i="1"/>
  <c r="BJ35" i="5" s="1"/>
  <c r="BD63" i="5"/>
  <c r="BV81" i="5"/>
  <c r="BV74" i="5" s="1"/>
  <c r="GM62" i="1"/>
  <c r="BL78" i="5"/>
  <c r="BF83" i="5"/>
  <c r="BF80" i="5"/>
  <c r="BD64" i="5"/>
  <c r="BH80" i="5"/>
  <c r="BD71" i="5"/>
  <c r="BH82" i="5"/>
  <c r="BL71" i="5"/>
  <c r="BV70" i="5"/>
  <c r="BV69" i="5" s="1"/>
  <c r="BN78" i="5"/>
  <c r="GL77" i="1"/>
  <c r="BL55" i="5" s="1"/>
  <c r="BL63" i="5"/>
  <c r="BJ65" i="5"/>
  <c r="GA57" i="1"/>
  <c r="BF71" i="5"/>
  <c r="BF63" i="5"/>
  <c r="CB63" i="5"/>
  <c r="BT64" i="5"/>
  <c r="BP66" i="5"/>
  <c r="GR57" i="1"/>
  <c r="BN35" i="5" s="1"/>
  <c r="BD65" i="5"/>
  <c r="CB72" i="5"/>
  <c r="BT71" i="5"/>
  <c r="BV65" i="5"/>
  <c r="BZ70" i="5"/>
  <c r="BX64" i="5"/>
  <c r="BX68" i="5"/>
  <c r="BP67" i="5"/>
  <c r="BL68" i="5"/>
  <c r="FT75" i="1"/>
  <c r="BF53" i="5" s="1"/>
  <c r="BF139" i="5" s="1"/>
  <c r="FT71" i="1"/>
  <c r="BZ73" i="5"/>
  <c r="BH72" i="5"/>
  <c r="BL81" i="5"/>
  <c r="BT80" i="5"/>
  <c r="BT63" i="5"/>
  <c r="GR70" i="1"/>
  <c r="BN48" i="5" s="1"/>
  <c r="BN134" i="5" s="1"/>
  <c r="CB67" i="5"/>
  <c r="BT82" i="5"/>
  <c r="BJ81" i="5"/>
  <c r="BF72" i="5"/>
  <c r="GF86" i="1"/>
  <c r="BJ45" i="5" s="1"/>
  <c r="FZ73" i="1"/>
  <c r="BH51" i="5" s="1"/>
  <c r="BH137" i="5" s="1"/>
  <c r="EV75" i="1"/>
  <c r="AX53" i="5" s="1"/>
  <c r="HJ69" i="1"/>
  <c r="BT47" i="5" s="1"/>
  <c r="GF73" i="1"/>
  <c r="BJ51" i="5" s="1"/>
  <c r="GL69" i="1"/>
  <c r="BL47" i="5" s="1"/>
  <c r="HJ75" i="1"/>
  <c r="BT53" i="5" s="1"/>
  <c r="GF63" i="1"/>
  <c r="BJ43" i="5" s="1"/>
  <c r="GM85" i="1"/>
  <c r="HJ71" i="1"/>
  <c r="BT49" i="5" s="1"/>
  <c r="GL73" i="1"/>
  <c r="BL51" i="5" s="1"/>
  <c r="GR85" i="1"/>
  <c r="BN40" i="5" s="1"/>
  <c r="GS60" i="1"/>
  <c r="GX71" i="1"/>
  <c r="BP49" i="5" s="1"/>
  <c r="HJ62" i="1"/>
  <c r="BT42" i="5" s="1"/>
  <c r="FZ85" i="1"/>
  <c r="BH40" i="5" s="1"/>
  <c r="BH126" i="5" s="1"/>
  <c r="GS77" i="1"/>
  <c r="GS57" i="1"/>
  <c r="HJ64" i="1"/>
  <c r="BT44" i="5" s="1"/>
  <c r="BT130" i="5" s="1"/>
  <c r="GX76" i="1"/>
  <c r="BP54" i="5" s="1"/>
  <c r="O56" i="36" s="1"/>
  <c r="GX64" i="1"/>
  <c r="BP44" i="5" s="1"/>
  <c r="GL74" i="1"/>
  <c r="BL52" i="5" s="1"/>
  <c r="GF77" i="1"/>
  <c r="BJ55" i="5" s="1"/>
  <c r="GG57" i="1"/>
  <c r="FZ61" i="1"/>
  <c r="BH39" i="5" s="1"/>
  <c r="BH125" i="5" s="1"/>
  <c r="FN62" i="1"/>
  <c r="BD42" i="5" s="1"/>
  <c r="EV86" i="1"/>
  <c r="AX45" i="5" s="1"/>
  <c r="EV74" i="1"/>
  <c r="AX52" i="5" s="1"/>
  <c r="EV69" i="1"/>
  <c r="AX47" i="5" s="1"/>
  <c r="GX58" i="1"/>
  <c r="BP36" i="5" s="1"/>
  <c r="O38" i="36" s="1"/>
  <c r="GX73" i="1"/>
  <c r="BP51" i="5" s="1"/>
  <c r="FZ59" i="1"/>
  <c r="BH37" i="5" s="1"/>
  <c r="BH123" i="5" s="1"/>
  <c r="FT60" i="1"/>
  <c r="BF38" i="5" s="1"/>
  <c r="BF124" i="5" s="1"/>
  <c r="EV71" i="1"/>
  <c r="AX49" i="5" s="1"/>
  <c r="EV60" i="1"/>
  <c r="AX38" i="5" s="1"/>
  <c r="GR63" i="1"/>
  <c r="BN43" i="5" s="1"/>
  <c r="GR56" i="1"/>
  <c r="BN34" i="5" s="1"/>
  <c r="GF85" i="1"/>
  <c r="BJ40" i="5" s="1"/>
  <c r="FU62" i="1"/>
  <c r="FN73" i="1"/>
  <c r="BD51" i="5" s="1"/>
  <c r="BD46" i="5" s="1"/>
  <c r="BD132" i="5" s="1"/>
  <c r="GX62" i="1"/>
  <c r="BP42" i="5" s="1"/>
  <c r="GR74" i="1"/>
  <c r="BN52" i="5" s="1"/>
  <c r="EV61" i="1"/>
  <c r="AX39" i="5" s="1"/>
  <c r="GF61" i="1"/>
  <c r="BJ39" i="5" s="1"/>
  <c r="HJ85" i="1"/>
  <c r="BT40" i="5" s="1"/>
  <c r="FO61" i="1"/>
  <c r="GR60" i="1"/>
  <c r="BN38" i="5" s="1"/>
  <c r="HJ61" i="1"/>
  <c r="BT39" i="5" s="1"/>
  <c r="O41" i="36" s="1"/>
  <c r="GX86" i="1"/>
  <c r="BP45" i="5" s="1"/>
  <c r="GX72" i="1"/>
  <c r="BP50" i="5" s="1"/>
  <c r="O52" i="36" s="1"/>
  <c r="GL86" i="1"/>
  <c r="BL45" i="5" s="1"/>
  <c r="FZ86" i="1"/>
  <c r="BH45" i="5" s="1"/>
  <c r="BH131" i="5" s="1"/>
  <c r="FN61" i="1"/>
  <c r="BD39" i="5" s="1"/>
  <c r="EV76" i="1"/>
  <c r="AX54" i="5" s="1"/>
  <c r="EV72" i="1"/>
  <c r="AX50" i="5" s="1"/>
  <c r="GX69" i="1"/>
  <c r="BP47" i="5" s="1"/>
  <c r="GF69" i="1"/>
  <c r="BJ47" i="5" s="1"/>
  <c r="EV62" i="1"/>
  <c r="AX42" i="5" s="1"/>
  <c r="EV58" i="1"/>
  <c r="AX36" i="5" s="1"/>
  <c r="GS61" i="1"/>
  <c r="FZ72" i="1"/>
  <c r="BH50" i="5" s="1"/>
  <c r="FZ57" i="1"/>
  <c r="BH35" i="5" s="1"/>
  <c r="BH121" i="5" s="1"/>
  <c r="FU60" i="1"/>
  <c r="GX74" i="1"/>
  <c r="BP52" i="5" s="1"/>
  <c r="O54" i="36" s="1"/>
  <c r="FZ60" i="1"/>
  <c r="BH38" i="5" s="1"/>
  <c r="BH124" i="5" s="1"/>
  <c r="FN86" i="1"/>
  <c r="BD45" i="5" s="1"/>
  <c r="EV56" i="1"/>
  <c r="AX34" i="5" s="1"/>
  <c r="GX56" i="1"/>
  <c r="BP34" i="5" s="1"/>
  <c r="HK59" i="1"/>
  <c r="GX77" i="1"/>
  <c r="BP55" i="5" s="1"/>
  <c r="GX70" i="1"/>
  <c r="BP48" i="5" s="1"/>
  <c r="O50" i="36" s="1"/>
  <c r="GX59" i="1"/>
  <c r="BP37" i="5" s="1"/>
  <c r="GR86" i="1"/>
  <c r="BN45" i="5" s="1"/>
  <c r="GR73" i="1"/>
  <c r="BN51" i="5" s="1"/>
  <c r="GL70" i="1"/>
  <c r="BL48" i="5" s="1"/>
  <c r="GF60" i="1"/>
  <c r="BJ38" i="5" s="1"/>
  <c r="FZ56" i="1"/>
  <c r="BH34" i="5" s="1"/>
  <c r="GX75" i="1"/>
  <c r="BP53" i="5" s="1"/>
  <c r="GX63" i="1"/>
  <c r="BP43" i="5" s="1"/>
  <c r="O45" i="36" s="1"/>
  <c r="GR77" i="1"/>
  <c r="BN55" i="5" s="1"/>
  <c r="GR69" i="1"/>
  <c r="BN47" i="5" s="1"/>
  <c r="FN85" i="1"/>
  <c r="BD40" i="5" s="1"/>
  <c r="FH64" i="1"/>
  <c r="BB44" i="5" s="1"/>
  <c r="BB41" i="5" s="1"/>
  <c r="BB127" i="5" s="1"/>
  <c r="EV73" i="1"/>
  <c r="AX51" i="5" s="1"/>
  <c r="EV57" i="1"/>
  <c r="AX35" i="5" s="1"/>
  <c r="GX57" i="1"/>
  <c r="BP35" i="5" s="1"/>
  <c r="O37" i="36" s="1"/>
  <c r="GL61" i="1"/>
  <c r="BL39" i="5" s="1"/>
  <c r="BL33" i="5" s="1"/>
  <c r="BL119" i="5" s="1"/>
  <c r="GX85" i="1"/>
  <c r="BP40" i="5" s="1"/>
  <c r="P48" i="36" l="1"/>
  <c r="P138" i="36" s="1"/>
  <c r="Q126" i="36"/>
  <c r="Q65" i="36"/>
  <c r="Q64" i="36" s="1"/>
  <c r="BD123" i="5"/>
  <c r="BZ74" i="5"/>
  <c r="Q134" i="36"/>
  <c r="Q72" i="36"/>
  <c r="AX41" i="5"/>
  <c r="AX127" i="5" s="1"/>
  <c r="BV61" i="5"/>
  <c r="BJ46" i="5"/>
  <c r="BJ132" i="5" s="1"/>
  <c r="BT46" i="5"/>
  <c r="BT132" i="5" s="1"/>
  <c r="BD33" i="5"/>
  <c r="BD119" i="5" s="1"/>
  <c r="BZ61" i="5"/>
  <c r="BZ84" i="5"/>
  <c r="BJ41" i="5"/>
  <c r="BJ127" i="5" s="1"/>
  <c r="Q51" i="36"/>
  <c r="Q48" i="36" s="1"/>
  <c r="Q138" i="36" s="1"/>
  <c r="CB46" i="5"/>
  <c r="CB132" i="5" s="1"/>
  <c r="CB61" i="5"/>
  <c r="BJ120" i="5"/>
  <c r="BJ33" i="5"/>
  <c r="BJ119" i="5" s="1"/>
  <c r="BN46" i="5"/>
  <c r="BN132" i="5" s="1"/>
  <c r="BT41" i="5"/>
  <c r="BT127" i="5" s="1"/>
  <c r="BP33" i="5"/>
  <c r="BP119" i="5" s="1"/>
  <c r="BP46" i="5"/>
  <c r="BP132" i="5" s="1"/>
  <c r="BD41" i="5"/>
  <c r="BD127" i="5" s="1"/>
  <c r="BZ69" i="5"/>
  <c r="BH128" i="5"/>
  <c r="BH41" i="5"/>
  <c r="BH127" i="5" s="1"/>
  <c r="AX33" i="5"/>
  <c r="AX119" i="5" s="1"/>
  <c r="N36" i="36"/>
  <c r="N65" i="36" s="1"/>
  <c r="BN33" i="5"/>
  <c r="BN119" i="5" s="1"/>
  <c r="BH136" i="5"/>
  <c r="BH46" i="5"/>
  <c r="BH132" i="5" s="1"/>
  <c r="CB69" i="5"/>
  <c r="BL46" i="5"/>
  <c r="BL132" i="5" s="1"/>
  <c r="BT33" i="5"/>
  <c r="BT119" i="5" s="1"/>
  <c r="BF128" i="5"/>
  <c r="BF41" i="5"/>
  <c r="BF127" i="5" s="1"/>
  <c r="BV84" i="5"/>
  <c r="BH120" i="5"/>
  <c r="BH33" i="5"/>
  <c r="BH119" i="5" s="1"/>
  <c r="BP41" i="5"/>
  <c r="BP127" i="5" s="1"/>
  <c r="AX46" i="5"/>
  <c r="AX132" i="5" s="1"/>
  <c r="BN41" i="5"/>
  <c r="BN127" i="5" s="1"/>
  <c r="BF120" i="5"/>
  <c r="BF33" i="5"/>
  <c r="BF119" i="5" s="1"/>
  <c r="BL41" i="5"/>
  <c r="BL127" i="5" s="1"/>
  <c r="BX84" i="5"/>
  <c r="BX61" i="5"/>
  <c r="BF136" i="5"/>
  <c r="BF46" i="5"/>
  <c r="BF132" i="5" s="1"/>
  <c r="BB74" i="5"/>
  <c r="P35" i="36"/>
  <c r="P125" i="36" s="1"/>
  <c r="P73" i="36"/>
  <c r="P43" i="36"/>
  <c r="P133" i="36" s="1"/>
  <c r="BJ62" i="5"/>
  <c r="AH32" i="6"/>
  <c r="AH58" i="6" s="1"/>
  <c r="O49" i="36"/>
  <c r="O51" i="36"/>
  <c r="O141" i="36" s="1"/>
  <c r="P137" i="36"/>
  <c r="P131" i="36"/>
  <c r="P147" i="36"/>
  <c r="P126" i="36"/>
  <c r="P128" i="36"/>
  <c r="P134" i="36"/>
  <c r="P68" i="36"/>
  <c r="P76" i="36"/>
  <c r="AJ48" i="6"/>
  <c r="AJ74" i="6" s="1"/>
  <c r="P86" i="36"/>
  <c r="P70" i="36"/>
  <c r="BD80" i="5"/>
  <c r="BN82" i="5"/>
  <c r="P65" i="36"/>
  <c r="O44" i="36"/>
  <c r="O39" i="36"/>
  <c r="O129" i="36" s="1"/>
  <c r="O36" i="36"/>
  <c r="P129" i="36"/>
  <c r="N42" i="36"/>
  <c r="N132" i="36" s="1"/>
  <c r="BH83" i="5"/>
  <c r="O57" i="36"/>
  <c r="O86" i="36" s="1"/>
  <c r="O42" i="36"/>
  <c r="O132" i="36" s="1"/>
  <c r="N40" i="36"/>
  <c r="N69" i="36" s="1"/>
  <c r="N41" i="36"/>
  <c r="N70" i="36" s="1"/>
  <c r="N56" i="36"/>
  <c r="P67" i="36"/>
  <c r="N54" i="36"/>
  <c r="N144" i="36" s="1"/>
  <c r="N45" i="36"/>
  <c r="BF67" i="5"/>
  <c r="AF37" i="6"/>
  <c r="AF63" i="6" s="1"/>
  <c r="N84" i="36"/>
  <c r="N145" i="36"/>
  <c r="N68" i="36"/>
  <c r="N129" i="36"/>
  <c r="O130" i="36"/>
  <c r="O69" i="36"/>
  <c r="O70" i="36"/>
  <c r="O131" i="36"/>
  <c r="N80" i="36"/>
  <c r="N141" i="36"/>
  <c r="AX141" i="5"/>
  <c r="AX83" i="5"/>
  <c r="L57" i="36"/>
  <c r="AB49" i="6"/>
  <c r="M38" i="36"/>
  <c r="M37" i="36"/>
  <c r="O66" i="36"/>
  <c r="O127" i="36"/>
  <c r="O81" i="36"/>
  <c r="O142" i="36"/>
  <c r="AX120" i="5"/>
  <c r="AX62" i="5"/>
  <c r="L36" i="36"/>
  <c r="AB32" i="6"/>
  <c r="BP131" i="5"/>
  <c r="O47" i="36"/>
  <c r="BP137" i="5"/>
  <c r="O53" i="36"/>
  <c r="N47" i="36"/>
  <c r="BD124" i="5"/>
  <c r="M40" i="36"/>
  <c r="M39" i="36"/>
  <c r="O74" i="36"/>
  <c r="O135" i="36"/>
  <c r="AX136" i="5"/>
  <c r="AX78" i="5"/>
  <c r="L52" i="36"/>
  <c r="AB44" i="6"/>
  <c r="BP139" i="5"/>
  <c r="O55" i="36"/>
  <c r="AX140" i="5"/>
  <c r="AX82" i="5"/>
  <c r="L56" i="36"/>
  <c r="AB48" i="6"/>
  <c r="M136" i="36"/>
  <c r="M75" i="36"/>
  <c r="M55" i="36"/>
  <c r="AX121" i="5"/>
  <c r="AX63" i="5"/>
  <c r="L37" i="36"/>
  <c r="AB33" i="6"/>
  <c r="O67" i="36"/>
  <c r="O128" i="36"/>
  <c r="BB130" i="5"/>
  <c r="BB142" i="5" s="1"/>
  <c r="L46" i="36"/>
  <c r="O140" i="36"/>
  <c r="O79" i="36"/>
  <c r="AX122" i="5"/>
  <c r="AX64" i="5"/>
  <c r="L38" i="36"/>
  <c r="AB34" i="6"/>
  <c r="BD125" i="5"/>
  <c r="M41" i="36"/>
  <c r="AX124" i="5"/>
  <c r="AX66" i="5"/>
  <c r="L40" i="36"/>
  <c r="AB36" i="6"/>
  <c r="AX133" i="5"/>
  <c r="AX75" i="5"/>
  <c r="L49" i="36"/>
  <c r="AB41" i="6"/>
  <c r="N57" i="36"/>
  <c r="N53" i="36"/>
  <c r="N37" i="36"/>
  <c r="N44" i="36"/>
  <c r="BZ142" i="5"/>
  <c r="M52" i="36"/>
  <c r="BD138" i="5"/>
  <c r="M54" i="36"/>
  <c r="O85" i="36"/>
  <c r="O146" i="36"/>
  <c r="AX125" i="5"/>
  <c r="AX67" i="5"/>
  <c r="L41" i="36"/>
  <c r="AB37" i="6"/>
  <c r="AX137" i="5"/>
  <c r="AX79" i="5"/>
  <c r="L53" i="36"/>
  <c r="AB45" i="6"/>
  <c r="BD131" i="5"/>
  <c r="M47" i="36"/>
  <c r="BD126" i="5"/>
  <c r="M42" i="36"/>
  <c r="AX135" i="5"/>
  <c r="AX77" i="5"/>
  <c r="L51" i="36"/>
  <c r="AB43" i="6"/>
  <c r="BD120" i="5"/>
  <c r="M36" i="36"/>
  <c r="N38" i="36"/>
  <c r="M57" i="36"/>
  <c r="M45" i="36"/>
  <c r="BD128" i="5"/>
  <c r="M44" i="36"/>
  <c r="O83" i="36"/>
  <c r="O144" i="36"/>
  <c r="AX128" i="5"/>
  <c r="AX70" i="5"/>
  <c r="L44" i="36"/>
  <c r="AB38" i="6"/>
  <c r="BD137" i="5"/>
  <c r="M53" i="36"/>
  <c r="AX138" i="5"/>
  <c r="AX80" i="5"/>
  <c r="L54" i="36"/>
  <c r="AB46" i="6"/>
  <c r="AX123" i="5"/>
  <c r="AX65" i="5"/>
  <c r="L39" i="36"/>
  <c r="AB35" i="6"/>
  <c r="AX129" i="5"/>
  <c r="AX71" i="5"/>
  <c r="L45" i="36"/>
  <c r="AB39" i="6"/>
  <c r="BL134" i="5"/>
  <c r="N50" i="36"/>
  <c r="N49" i="36"/>
  <c r="AX131" i="5"/>
  <c r="AX73" i="5"/>
  <c r="L47" i="36"/>
  <c r="AB51" i="6"/>
  <c r="AB77" i="6" s="1"/>
  <c r="BP130" i="5"/>
  <c r="O46" i="36"/>
  <c r="AX139" i="5"/>
  <c r="AX81" i="5"/>
  <c r="L55" i="36"/>
  <c r="AB47" i="6"/>
  <c r="AX126" i="5"/>
  <c r="AX68" i="5"/>
  <c r="L42" i="36"/>
  <c r="AB50" i="6"/>
  <c r="BF140" i="5"/>
  <c r="BF142" i="5" s="1"/>
  <c r="M56" i="36"/>
  <c r="N81" i="36"/>
  <c r="N142" i="36"/>
  <c r="BV142" i="5"/>
  <c r="P145" i="36"/>
  <c r="P84" i="36"/>
  <c r="P77" i="36" s="1"/>
  <c r="AO78" i="6"/>
  <c r="AP78" i="6"/>
  <c r="AK63" i="6"/>
  <c r="AY63" i="6" s="1"/>
  <c r="AY37" i="6"/>
  <c r="AK62" i="6"/>
  <c r="AY62" i="6" s="1"/>
  <c r="AY36" i="6"/>
  <c r="AJ41" i="6"/>
  <c r="AJ67" i="6" s="1"/>
  <c r="BN133" i="5"/>
  <c r="AK50" i="6"/>
  <c r="BP126" i="5"/>
  <c r="AJ49" i="6"/>
  <c r="AJ75" i="6" s="1"/>
  <c r="BN141" i="5"/>
  <c r="AH36" i="6"/>
  <c r="AH62" i="6" s="1"/>
  <c r="BJ124" i="5"/>
  <c r="AK35" i="6"/>
  <c r="BP123" i="5"/>
  <c r="AK32" i="6"/>
  <c r="BP120" i="5"/>
  <c r="AK46" i="6"/>
  <c r="BP138" i="5"/>
  <c r="AK41" i="6"/>
  <c r="BP133" i="5"/>
  <c r="AM37" i="6"/>
  <c r="AM63" i="6" s="1"/>
  <c r="BT125" i="5"/>
  <c r="AH37" i="6"/>
  <c r="AH63" i="6" s="1"/>
  <c r="BJ125" i="5"/>
  <c r="AJ39" i="6"/>
  <c r="AJ65" i="6" s="1"/>
  <c r="BN129" i="5"/>
  <c r="AK48" i="6"/>
  <c r="BP140" i="5"/>
  <c r="AJ50" i="6"/>
  <c r="AJ76" i="6" s="1"/>
  <c r="BN126" i="5"/>
  <c r="AH39" i="6"/>
  <c r="AH65" i="6" s="1"/>
  <c r="BJ129" i="5"/>
  <c r="AM41" i="6"/>
  <c r="AM67" i="6" s="1"/>
  <c r="BT133" i="5"/>
  <c r="AJ47" i="6"/>
  <c r="AJ73" i="6" s="1"/>
  <c r="BN139" i="5"/>
  <c r="AH48" i="6"/>
  <c r="AH74" i="6" s="1"/>
  <c r="BJ140" i="5"/>
  <c r="AJ38" i="6"/>
  <c r="AJ64" i="6" s="1"/>
  <c r="BN128" i="5"/>
  <c r="AI38" i="6"/>
  <c r="AI64" i="6" s="1"/>
  <c r="BL128" i="5"/>
  <c r="AH44" i="6"/>
  <c r="AH70" i="6" s="1"/>
  <c r="BJ136" i="5"/>
  <c r="CB77" i="5"/>
  <c r="CB74" i="5" s="1"/>
  <c r="CB135" i="5"/>
  <c r="CB142" i="5" s="1"/>
  <c r="AM35" i="6"/>
  <c r="AM61" i="6" s="1"/>
  <c r="BT123" i="5"/>
  <c r="BX142" i="5"/>
  <c r="AK39" i="6"/>
  <c r="BP129" i="5"/>
  <c r="AK42" i="6"/>
  <c r="AY42" i="6" s="1"/>
  <c r="BP134" i="5"/>
  <c r="AI51" i="6"/>
  <c r="AI77" i="6" s="1"/>
  <c r="BL131" i="5"/>
  <c r="AJ36" i="6"/>
  <c r="AJ62" i="6" s="1"/>
  <c r="BN124" i="5"/>
  <c r="AH49" i="6"/>
  <c r="AH75" i="6" s="1"/>
  <c r="BJ141" i="5"/>
  <c r="AM38" i="6"/>
  <c r="AM64" i="6" s="1"/>
  <c r="BT128" i="5"/>
  <c r="AI45" i="6"/>
  <c r="AI71" i="6" s="1"/>
  <c r="BL137" i="5"/>
  <c r="AM47" i="6"/>
  <c r="AM73" i="6" s="1"/>
  <c r="BT139" i="5"/>
  <c r="AJ33" i="6"/>
  <c r="AJ59" i="6" s="1"/>
  <c r="BN121" i="5"/>
  <c r="AH33" i="6"/>
  <c r="AH59" i="6" s="1"/>
  <c r="BJ121" i="5"/>
  <c r="AJ43" i="6"/>
  <c r="AJ69" i="6" s="1"/>
  <c r="BN135" i="5"/>
  <c r="AM32" i="6"/>
  <c r="AM113" i="6" s="1"/>
  <c r="BT120" i="5"/>
  <c r="AH34" i="6"/>
  <c r="AH60" i="6" s="1"/>
  <c r="BJ122" i="5"/>
  <c r="AM51" i="6"/>
  <c r="AM77" i="6" s="1"/>
  <c r="BT131" i="5"/>
  <c r="AJ34" i="6"/>
  <c r="AJ60" i="6" s="1"/>
  <c r="BN122" i="5"/>
  <c r="AJ35" i="6"/>
  <c r="AJ61" i="6" s="1"/>
  <c r="BN123" i="5"/>
  <c r="AI37" i="6"/>
  <c r="AI63" i="6" s="1"/>
  <c r="BL125" i="5"/>
  <c r="AK33" i="6"/>
  <c r="BP121" i="5"/>
  <c r="AJ45" i="6"/>
  <c r="AJ71" i="6" s="1"/>
  <c r="BN137" i="5"/>
  <c r="AK49" i="6"/>
  <c r="BP141" i="5"/>
  <c r="AK44" i="6"/>
  <c r="BP136" i="5"/>
  <c r="AJ46" i="6"/>
  <c r="AJ72" i="6" s="1"/>
  <c r="BN138" i="5"/>
  <c r="AH50" i="6"/>
  <c r="AH76" i="6" s="1"/>
  <c r="BJ126" i="5"/>
  <c r="AK34" i="6"/>
  <c r="BP122" i="5"/>
  <c r="AI46" i="6"/>
  <c r="AI72" i="6" s="1"/>
  <c r="BL138" i="5"/>
  <c r="AK43" i="6"/>
  <c r="AY43" i="6" s="1"/>
  <c r="BP135" i="5"/>
  <c r="AM43" i="6"/>
  <c r="AM69" i="6" s="1"/>
  <c r="BT135" i="5"/>
  <c r="AI41" i="6"/>
  <c r="AI67" i="6" s="1"/>
  <c r="BL133" i="5"/>
  <c r="AI49" i="6"/>
  <c r="AI75" i="6" s="1"/>
  <c r="BL141" i="5"/>
  <c r="AJ37" i="6"/>
  <c r="AJ63" i="6" s="1"/>
  <c r="BN125" i="5"/>
  <c r="AM49" i="6"/>
  <c r="AM75" i="6" s="1"/>
  <c r="BT141" i="5"/>
  <c r="AH38" i="6"/>
  <c r="AH64" i="6" s="1"/>
  <c r="BJ128" i="5"/>
  <c r="AJ51" i="6"/>
  <c r="AJ77" i="6" s="1"/>
  <c r="BN131" i="5"/>
  <c r="AH41" i="6"/>
  <c r="AH67" i="6" s="1"/>
  <c r="BJ133" i="5"/>
  <c r="AM50" i="6"/>
  <c r="AM76" i="6" s="1"/>
  <c r="BT126" i="5"/>
  <c r="AK38" i="6"/>
  <c r="BP128" i="5"/>
  <c r="AJ32" i="6"/>
  <c r="AJ58" i="6" s="1"/>
  <c r="BN120" i="5"/>
  <c r="AH45" i="6"/>
  <c r="AH71" i="6" s="1"/>
  <c r="BJ137" i="5"/>
  <c r="AH51" i="6"/>
  <c r="AH77" i="6" s="1"/>
  <c r="BJ131" i="5"/>
  <c r="AM36" i="6"/>
  <c r="AM62" i="6" s="1"/>
  <c r="BT124" i="5"/>
  <c r="W78" i="6"/>
  <c r="W133" i="6"/>
  <c r="AG51" i="6"/>
  <c r="AG77" i="6" s="1"/>
  <c r="AG33" i="6"/>
  <c r="AG59" i="6" s="1"/>
  <c r="Y119" i="6"/>
  <c r="Y64" i="6"/>
  <c r="AG45" i="6"/>
  <c r="AG71" i="6" s="1"/>
  <c r="AF47" i="6"/>
  <c r="AF73" i="6" s="1"/>
  <c r="AF50" i="6"/>
  <c r="AF76" i="6" s="1"/>
  <c r="AF32" i="6"/>
  <c r="AF58" i="6" s="1"/>
  <c r="AG49" i="6"/>
  <c r="AG75" i="6" s="1"/>
  <c r="Y115" i="6"/>
  <c r="Y60" i="6"/>
  <c r="Z127" i="6"/>
  <c r="Z72" i="6"/>
  <c r="Y114" i="6"/>
  <c r="Y59" i="6"/>
  <c r="Y128" i="6"/>
  <c r="Y73" i="6"/>
  <c r="AA74" i="6"/>
  <c r="AA129" i="6"/>
  <c r="V78" i="6"/>
  <c r="Y127" i="6"/>
  <c r="Y72" i="6"/>
  <c r="AE50" i="6"/>
  <c r="AE76" i="6" s="1"/>
  <c r="AE51" i="6"/>
  <c r="AE77" i="6" s="1"/>
  <c r="AG32" i="6"/>
  <c r="AG58" i="6" s="1"/>
  <c r="AG36" i="6"/>
  <c r="AG62" i="6" s="1"/>
  <c r="AG44" i="6"/>
  <c r="AG70" i="6" s="1"/>
  <c r="AE37" i="6"/>
  <c r="AE63" i="6" s="1"/>
  <c r="AF36" i="6"/>
  <c r="AF62" i="6" s="1"/>
  <c r="AG37" i="6"/>
  <c r="AG63" i="6" s="1"/>
  <c r="AF38" i="6"/>
  <c r="AF64" i="6" s="1"/>
  <c r="Y113" i="6"/>
  <c r="Y58" i="6"/>
  <c r="AF48" i="6"/>
  <c r="AF74" i="6" s="1"/>
  <c r="AF34" i="6"/>
  <c r="AF60" i="6" s="1"/>
  <c r="Z126" i="6"/>
  <c r="Z71" i="6"/>
  <c r="Z118" i="6"/>
  <c r="Z63" i="6"/>
  <c r="V133" i="6"/>
  <c r="AG50" i="6"/>
  <c r="AG76" i="6" s="1"/>
  <c r="AG38" i="6"/>
  <c r="AG64" i="6" s="1"/>
  <c r="AF51" i="6"/>
  <c r="AF77" i="6" s="1"/>
  <c r="AA123" i="6"/>
  <c r="AA68" i="6"/>
  <c r="Y120" i="6"/>
  <c r="Y65" i="6"/>
  <c r="Z130" i="6"/>
  <c r="Z75" i="6"/>
  <c r="Y70" i="6"/>
  <c r="Y125" i="6"/>
  <c r="Z114" i="6"/>
  <c r="Z59" i="6"/>
  <c r="X125" i="6"/>
  <c r="X70" i="6"/>
  <c r="AA72" i="6"/>
  <c r="AA127" i="6"/>
  <c r="AE45" i="6"/>
  <c r="AE71" i="6" s="1"/>
  <c r="AG35" i="6"/>
  <c r="AG61" i="6" s="1"/>
  <c r="AF35" i="6"/>
  <c r="AF61" i="6" s="1"/>
  <c r="AG34" i="6"/>
  <c r="AG60" i="6" s="1"/>
  <c r="AG47" i="6"/>
  <c r="AG73" i="6" s="1"/>
  <c r="AE36" i="6"/>
  <c r="AE62" i="6" s="1"/>
  <c r="AF44" i="6"/>
  <c r="AF70" i="6" s="1"/>
  <c r="AG39" i="6"/>
  <c r="AG65" i="6" s="1"/>
  <c r="X122" i="6"/>
  <c r="X67" i="6"/>
  <c r="Y116" i="6"/>
  <c r="Y61" i="6"/>
  <c r="BF78" i="5"/>
  <c r="BH71" i="5"/>
  <c r="BT65" i="5"/>
  <c r="BD66" i="5"/>
  <c r="BT66" i="5"/>
  <c r="BN64" i="5"/>
  <c r="BN65" i="5"/>
  <c r="BJ64" i="5"/>
  <c r="AQ43" i="6"/>
  <c r="AQ69" i="6" s="1"/>
  <c r="AQ78" i="6" s="1"/>
  <c r="BJ70" i="5"/>
  <c r="AF69" i="6"/>
  <c r="BJ78" i="5"/>
  <c r="BH70" i="5"/>
  <c r="BF82" i="5"/>
  <c r="BF64" i="5"/>
  <c r="BT73" i="5"/>
  <c r="BT83" i="5"/>
  <c r="BN70" i="5"/>
  <c r="BH81" i="5"/>
  <c r="BH64" i="5"/>
  <c r="BF62" i="5"/>
  <c r="AK45" i="6"/>
  <c r="AK51" i="6"/>
  <c r="AK47" i="6"/>
  <c r="BN67" i="5"/>
  <c r="BL70" i="5"/>
  <c r="AN78" i="6"/>
  <c r="BT62" i="5"/>
  <c r="AI48" i="6"/>
  <c r="AI74" i="6" s="1"/>
  <c r="BL82" i="5"/>
  <c r="BF73" i="5"/>
  <c r="BN77" i="5"/>
  <c r="BJ82" i="5"/>
  <c r="AE32" i="6"/>
  <c r="AE58" i="6" s="1"/>
  <c r="BD62" i="5"/>
  <c r="AK40" i="6"/>
  <c r="AJ42" i="6"/>
  <c r="AJ68" i="6" s="1"/>
  <c r="AD40" i="6"/>
  <c r="AI42" i="6"/>
  <c r="AI68" i="6" s="1"/>
  <c r="BD70" i="5"/>
  <c r="AE38" i="6"/>
  <c r="AE64" i="6" s="1"/>
  <c r="AM40" i="6"/>
  <c r="BH62" i="5"/>
  <c r="BH66" i="5"/>
  <c r="BJ75" i="5"/>
  <c r="BP73" i="5"/>
  <c r="BN62" i="5"/>
  <c r="BH67" i="5"/>
  <c r="BL75" i="5"/>
  <c r="BJ66" i="5"/>
  <c r="BB72" i="5"/>
  <c r="BL76" i="5"/>
  <c r="BN66" i="5"/>
  <c r="BP63" i="5"/>
  <c r="BD68" i="5"/>
  <c r="BP81" i="5"/>
  <c r="BN79" i="5"/>
  <c r="BP83" i="5"/>
  <c r="BD73" i="5"/>
  <c r="BH63" i="5"/>
  <c r="BP78" i="5"/>
  <c r="BN80" i="5"/>
  <c r="BJ68" i="5"/>
  <c r="BP64" i="5"/>
  <c r="BJ83" i="5"/>
  <c r="BT72" i="5"/>
  <c r="BT70" i="5"/>
  <c r="BL79" i="5"/>
  <c r="BT81" i="5"/>
  <c r="BN63" i="5"/>
  <c r="BL83" i="5"/>
  <c r="BN73" i="5"/>
  <c r="BH78" i="5"/>
  <c r="BT68" i="5"/>
  <c r="BP77" i="5"/>
  <c r="BH79" i="5"/>
  <c r="BP68" i="5"/>
  <c r="BN83" i="5"/>
  <c r="BP65" i="5"/>
  <c r="BP62" i="5"/>
  <c r="BP80" i="5"/>
  <c r="BP75" i="5"/>
  <c r="BH73" i="5"/>
  <c r="BT67" i="5"/>
  <c r="BJ67" i="5"/>
  <c r="BD79" i="5"/>
  <c r="BD74" i="5" s="1"/>
  <c r="BN71" i="5"/>
  <c r="BH65" i="5"/>
  <c r="BH76" i="5"/>
  <c r="BH74" i="5" s="1"/>
  <c r="BP72" i="5"/>
  <c r="BJ79" i="5"/>
  <c r="BJ73" i="5"/>
  <c r="BN76" i="5"/>
  <c r="BF81" i="5"/>
  <c r="BF70" i="5"/>
  <c r="BF69" i="5" s="1"/>
  <c r="BF65" i="5"/>
  <c r="BN75" i="5"/>
  <c r="BD67" i="5"/>
  <c r="BP70" i="5"/>
  <c r="BF66" i="5"/>
  <c r="BL80" i="5"/>
  <c r="BT77" i="5"/>
  <c r="BN81" i="5"/>
  <c r="BL67" i="5"/>
  <c r="BL61" i="5" s="1"/>
  <c r="BP71" i="5"/>
  <c r="BP76" i="5"/>
  <c r="BL73" i="5"/>
  <c r="BP79" i="5"/>
  <c r="BP82" i="5"/>
  <c r="BH68" i="5"/>
  <c r="BN68" i="5"/>
  <c r="BJ71" i="5"/>
  <c r="BT75" i="5"/>
  <c r="BJ63" i="5"/>
  <c r="BF68" i="5"/>
  <c r="X78" i="6" l="1"/>
  <c r="X133" i="6"/>
  <c r="N126" i="36"/>
  <c r="BL69" i="5"/>
  <c r="P72" i="36"/>
  <c r="BH142" i="5"/>
  <c r="BN84" i="5"/>
  <c r="BN61" i="5"/>
  <c r="BD84" i="5"/>
  <c r="BD61" i="5"/>
  <c r="N48" i="36"/>
  <c r="N138" i="36" s="1"/>
  <c r="N43" i="36"/>
  <c r="N133" i="36" s="1"/>
  <c r="AX74" i="5"/>
  <c r="AX61" i="5"/>
  <c r="BL84" i="5"/>
  <c r="BN69" i="5"/>
  <c r="BT74" i="5"/>
  <c r="BP74" i="5"/>
  <c r="BD69" i="5"/>
  <c r="BT84" i="5"/>
  <c r="BT61" i="5"/>
  <c r="BJ69" i="5"/>
  <c r="N35" i="36"/>
  <c r="N125" i="36" s="1"/>
  <c r="BF61" i="5"/>
  <c r="BP69" i="5"/>
  <c r="BJ74" i="5"/>
  <c r="BJ84" i="5"/>
  <c r="BJ61" i="5"/>
  <c r="CB84" i="5"/>
  <c r="Q80" i="36"/>
  <c r="Q77" i="36" s="1"/>
  <c r="BB69" i="5"/>
  <c r="BB84" i="5"/>
  <c r="BP84" i="5"/>
  <c r="BP61" i="5"/>
  <c r="BN74" i="5"/>
  <c r="BT69" i="5"/>
  <c r="BL74" i="5"/>
  <c r="BH84" i="5"/>
  <c r="BH61" i="5"/>
  <c r="BH69" i="5"/>
  <c r="Q141" i="36"/>
  <c r="Q148" i="36" s="1"/>
  <c r="P64" i="36"/>
  <c r="O126" i="36"/>
  <c r="O35" i="36"/>
  <c r="O125" i="36" s="1"/>
  <c r="O78" i="36"/>
  <c r="O48" i="36"/>
  <c r="O138" i="36" s="1"/>
  <c r="M48" i="36"/>
  <c r="M138" i="36" s="1"/>
  <c r="P148" i="36"/>
  <c r="O134" i="36"/>
  <c r="O43" i="36"/>
  <c r="O133" i="36" s="1"/>
  <c r="M35" i="36"/>
  <c r="M125" i="36" s="1"/>
  <c r="M43" i="36"/>
  <c r="M133" i="36" s="1"/>
  <c r="L48" i="36"/>
  <c r="L138" i="36" s="1"/>
  <c r="L43" i="36"/>
  <c r="L133" i="36" s="1"/>
  <c r="L35" i="36"/>
  <c r="L125" i="36" s="1"/>
  <c r="AX69" i="5"/>
  <c r="AX84" i="5"/>
  <c r="O139" i="36"/>
  <c r="O80" i="36"/>
  <c r="O68" i="36"/>
  <c r="N71" i="36"/>
  <c r="N131" i="36"/>
  <c r="O73" i="36"/>
  <c r="O71" i="36"/>
  <c r="O65" i="36"/>
  <c r="O147" i="36"/>
  <c r="N85" i="36"/>
  <c r="N146" i="36"/>
  <c r="N83" i="36"/>
  <c r="AM58" i="6"/>
  <c r="N130" i="36"/>
  <c r="BL142" i="5"/>
  <c r="N135" i="36"/>
  <c r="N74" i="36"/>
  <c r="BD142" i="5"/>
  <c r="BN142" i="5"/>
  <c r="L71" i="36"/>
  <c r="L132" i="36"/>
  <c r="M74" i="36"/>
  <c r="M135" i="36"/>
  <c r="L70" i="36"/>
  <c r="L131" i="36"/>
  <c r="N86" i="36"/>
  <c r="N147" i="36"/>
  <c r="L69" i="36"/>
  <c r="L130" i="36"/>
  <c r="AX142" i="5"/>
  <c r="O145" i="36"/>
  <c r="O84" i="36"/>
  <c r="M68" i="36"/>
  <c r="M129" i="36"/>
  <c r="O76" i="36"/>
  <c r="O137" i="36"/>
  <c r="O75" i="36"/>
  <c r="O136" i="36"/>
  <c r="N78" i="36"/>
  <c r="N139" i="36"/>
  <c r="L83" i="36"/>
  <c r="L144" i="36"/>
  <c r="L73" i="36"/>
  <c r="L134" i="36"/>
  <c r="M86" i="36"/>
  <c r="M147" i="36"/>
  <c r="M71" i="36"/>
  <c r="M132" i="36"/>
  <c r="M69" i="36"/>
  <c r="M130" i="36"/>
  <c r="M67" i="36"/>
  <c r="M128" i="36"/>
  <c r="BJ142" i="5"/>
  <c r="N79" i="36"/>
  <c r="N140" i="36"/>
  <c r="L80" i="36"/>
  <c r="L141" i="36"/>
  <c r="L143" i="36"/>
  <c r="L82" i="36"/>
  <c r="M83" i="36"/>
  <c r="M144" i="36"/>
  <c r="L78" i="36"/>
  <c r="L139" i="36"/>
  <c r="L67" i="36"/>
  <c r="L128" i="36"/>
  <c r="L136" i="36"/>
  <c r="L75" i="36"/>
  <c r="M85" i="36"/>
  <c r="M146" i="36"/>
  <c r="L68" i="36"/>
  <c r="L129" i="36"/>
  <c r="N73" i="36"/>
  <c r="N134" i="36"/>
  <c r="L85" i="36"/>
  <c r="L146" i="36"/>
  <c r="L81" i="36"/>
  <c r="L142" i="36"/>
  <c r="N137" i="36"/>
  <c r="N76" i="36"/>
  <c r="L65" i="36"/>
  <c r="L126" i="36"/>
  <c r="L86" i="36"/>
  <c r="L147" i="36"/>
  <c r="L84" i="36"/>
  <c r="L145" i="36"/>
  <c r="L76" i="36"/>
  <c r="L137" i="36"/>
  <c r="M82" i="36"/>
  <c r="M143" i="36"/>
  <c r="N67" i="36"/>
  <c r="N128" i="36"/>
  <c r="M81" i="36"/>
  <c r="M142" i="36"/>
  <c r="N66" i="36"/>
  <c r="N127" i="36"/>
  <c r="L127" i="36"/>
  <c r="L66" i="36"/>
  <c r="O82" i="36"/>
  <c r="O143" i="36"/>
  <c r="M127" i="36"/>
  <c r="M66" i="36"/>
  <c r="L74" i="36"/>
  <c r="L135" i="36"/>
  <c r="M73" i="36"/>
  <c r="M134" i="36"/>
  <c r="M65" i="36"/>
  <c r="M126" i="36"/>
  <c r="M76" i="36"/>
  <c r="M137" i="36"/>
  <c r="N82" i="36"/>
  <c r="N143" i="36"/>
  <c r="M70" i="36"/>
  <c r="M131" i="36"/>
  <c r="M84" i="36"/>
  <c r="M145" i="36"/>
  <c r="AH78" i="6"/>
  <c r="AK66" i="6"/>
  <c r="AY66" i="6" s="1"/>
  <c r="AY40" i="6"/>
  <c r="AK70" i="6"/>
  <c r="AY70" i="6" s="1"/>
  <c r="AY44" i="6"/>
  <c r="AK74" i="6"/>
  <c r="AY74" i="6" s="1"/>
  <c r="AY48" i="6"/>
  <c r="AK67" i="6"/>
  <c r="AY67" i="6" s="1"/>
  <c r="AY41" i="6"/>
  <c r="AK58" i="6"/>
  <c r="AY58" i="6" s="1"/>
  <c r="AY32" i="6"/>
  <c r="AK76" i="6"/>
  <c r="AY76" i="6" s="1"/>
  <c r="AY50" i="6"/>
  <c r="AK71" i="6"/>
  <c r="AY71" i="6" s="1"/>
  <c r="AY45" i="6"/>
  <c r="AK68" i="6"/>
  <c r="AY68" i="6" s="1"/>
  <c r="AK73" i="6"/>
  <c r="AY73" i="6" s="1"/>
  <c r="AY47" i="6"/>
  <c r="AK64" i="6"/>
  <c r="AY64" i="6" s="1"/>
  <c r="AY38" i="6"/>
  <c r="AK65" i="6"/>
  <c r="AY65" i="6" s="1"/>
  <c r="AY39" i="6"/>
  <c r="AK77" i="6"/>
  <c r="AY77" i="6" s="1"/>
  <c r="AY51" i="6"/>
  <c r="AK69" i="6"/>
  <c r="AY69" i="6" s="1"/>
  <c r="AK60" i="6"/>
  <c r="AY60" i="6" s="1"/>
  <c r="AY34" i="6"/>
  <c r="AK75" i="6"/>
  <c r="AY75" i="6" s="1"/>
  <c r="AY49" i="6"/>
  <c r="AK59" i="6"/>
  <c r="AY59" i="6" s="1"/>
  <c r="AY33" i="6"/>
  <c r="AK72" i="6"/>
  <c r="AY72" i="6" s="1"/>
  <c r="AY46" i="6"/>
  <c r="AK61" i="6"/>
  <c r="AY61" i="6" s="1"/>
  <c r="AY35" i="6"/>
  <c r="BP142" i="5"/>
  <c r="BT142" i="5"/>
  <c r="AF78" i="6"/>
  <c r="Z125" i="6"/>
  <c r="Z70" i="6"/>
  <c r="AA128" i="6"/>
  <c r="AA73" i="6"/>
  <c r="Z116" i="6"/>
  <c r="Z61" i="6"/>
  <c r="Y126" i="6"/>
  <c r="Y71" i="6"/>
  <c r="Z132" i="6"/>
  <c r="Z77" i="6"/>
  <c r="AA131" i="6"/>
  <c r="AA76" i="6"/>
  <c r="AA130" i="6"/>
  <c r="AA75" i="6"/>
  <c r="Z131" i="6"/>
  <c r="Z76" i="6"/>
  <c r="AA126" i="6"/>
  <c r="AA71" i="6"/>
  <c r="AA114" i="6"/>
  <c r="AA59" i="6"/>
  <c r="Z129" i="6"/>
  <c r="Z74" i="6"/>
  <c r="Z119" i="6"/>
  <c r="Z64" i="6"/>
  <c r="Z117" i="6"/>
  <c r="Z62" i="6"/>
  <c r="AA70" i="6"/>
  <c r="AA125" i="6"/>
  <c r="AA113" i="6"/>
  <c r="AA58" i="6"/>
  <c r="Y131" i="6"/>
  <c r="Y76" i="6"/>
  <c r="AA120" i="6"/>
  <c r="AA65" i="6"/>
  <c r="Y117" i="6"/>
  <c r="Y62" i="6"/>
  <c r="AA115" i="6"/>
  <c r="AA60" i="6"/>
  <c r="AA116" i="6"/>
  <c r="AA61" i="6"/>
  <c r="AA119" i="6"/>
  <c r="AA64" i="6"/>
  <c r="Z113" i="6"/>
  <c r="Z58" i="6"/>
  <c r="Z128" i="6"/>
  <c r="Z73" i="6"/>
  <c r="AA132" i="6"/>
  <c r="AA77" i="6"/>
  <c r="Z115" i="6"/>
  <c r="Z60" i="6"/>
  <c r="AA118" i="6"/>
  <c r="AA63" i="6"/>
  <c r="Y118" i="6"/>
  <c r="Y63" i="6"/>
  <c r="AA117" i="6"/>
  <c r="AA62" i="6"/>
  <c r="Y132" i="6"/>
  <c r="Y77" i="6"/>
  <c r="BF77" i="5"/>
  <c r="BF74" i="5" s="1"/>
  <c r="AM66" i="6"/>
  <c r="AB58" i="6"/>
  <c r="AB113" i="6"/>
  <c r="AK120" i="6"/>
  <c r="AY120" i="6" s="1"/>
  <c r="AB65" i="6"/>
  <c r="AG68" i="6"/>
  <c r="AG78" i="6" s="1"/>
  <c r="AG123" i="6"/>
  <c r="AE78" i="6"/>
  <c r="AI78" i="6"/>
  <c r="AJ78" i="6"/>
  <c r="AD66" i="6"/>
  <c r="AB76" i="6"/>
  <c r="AB74" i="6"/>
  <c r="AB129" i="6"/>
  <c r="AB73" i="6"/>
  <c r="AB128" i="6"/>
  <c r="AB72" i="6"/>
  <c r="AB127" i="6"/>
  <c r="AB71" i="6"/>
  <c r="AB126" i="6"/>
  <c r="AB70" i="6"/>
  <c r="AE125" i="6"/>
  <c r="AB69" i="6"/>
  <c r="AB124" i="6"/>
  <c r="AE120" i="6"/>
  <c r="AG120" i="6"/>
  <c r="AN120" i="6"/>
  <c r="AD120" i="6"/>
  <c r="AB64" i="6"/>
  <c r="AB63" i="6"/>
  <c r="AB118" i="6"/>
  <c r="AB117" i="6"/>
  <c r="AB62" i="6"/>
  <c r="AB61" i="6"/>
  <c r="AB116" i="6"/>
  <c r="AB60" i="6"/>
  <c r="AB59" i="6"/>
  <c r="AO114" i="6"/>
  <c r="AB67" i="6"/>
  <c r="AB122" i="6"/>
  <c r="AB75" i="6"/>
  <c r="M64" i="36" l="1"/>
  <c r="N64" i="36"/>
  <c r="BF84" i="5"/>
  <c r="N72" i="36"/>
  <c r="O72" i="36"/>
  <c r="N148" i="36"/>
  <c r="N77" i="36"/>
  <c r="M72" i="36"/>
  <c r="O64" i="36"/>
  <c r="L64" i="36"/>
  <c r="L72" i="36"/>
  <c r="L148" i="36"/>
  <c r="M77" i="36"/>
  <c r="O77" i="36"/>
  <c r="M148" i="36"/>
  <c r="O148" i="36"/>
  <c r="L77" i="36"/>
  <c r="AK78" i="6"/>
  <c r="AY78" i="6" s="1"/>
  <c r="Y78" i="6"/>
  <c r="Y133" i="6"/>
  <c r="Z124" i="6"/>
  <c r="Z133" i="6" s="1"/>
  <c r="Z69" i="6"/>
  <c r="Z78" i="6" s="1"/>
  <c r="AA78" i="6"/>
  <c r="AA133" i="6"/>
  <c r="AM120" i="6"/>
  <c r="AL120" i="6"/>
  <c r="AP120" i="6"/>
  <c r="AI120" i="6"/>
  <c r="AB120" i="6"/>
  <c r="AO120" i="6"/>
  <c r="AF120" i="6"/>
  <c r="AR120" i="6"/>
  <c r="AH120" i="6"/>
  <c r="AB78" i="6"/>
  <c r="AB132" i="6"/>
  <c r="AN132" i="6"/>
  <c r="AJ120" i="6"/>
  <c r="AQ120" i="6"/>
  <c r="AC120" i="6"/>
  <c r="AK123" i="6"/>
  <c r="AY123" i="6" s="1"/>
  <c r="AD123" i="6"/>
  <c r="AE123" i="6"/>
  <c r="AB123" i="6"/>
  <c r="AI123" i="6"/>
  <c r="AJ123" i="6"/>
  <c r="AF123" i="6"/>
  <c r="AN123" i="6"/>
  <c r="AR123" i="6"/>
  <c r="AM123" i="6"/>
  <c r="AP123" i="6"/>
  <c r="AC123" i="6"/>
  <c r="AL123" i="6"/>
  <c r="AO123" i="6"/>
  <c r="AH123" i="6"/>
  <c r="AQ123" i="6"/>
  <c r="AM78" i="6"/>
  <c r="AB121" i="6"/>
  <c r="AP121" i="6"/>
  <c r="AC121" i="6"/>
  <c r="AD121" i="6"/>
  <c r="AG121" i="6"/>
  <c r="AR121" i="6"/>
  <c r="AO121" i="6"/>
  <c r="AL121" i="6"/>
  <c r="AE121" i="6"/>
  <c r="AQ121" i="6"/>
  <c r="AM121" i="6"/>
  <c r="AH121" i="6"/>
  <c r="AF121" i="6"/>
  <c r="AK121" i="6"/>
  <c r="AY121" i="6" s="1"/>
  <c r="AI121" i="6"/>
  <c r="AJ121" i="6"/>
  <c r="AD78" i="6"/>
  <c r="AR132" i="6"/>
  <c r="AG132" i="6"/>
  <c r="AL132" i="6"/>
  <c r="AD132" i="6"/>
  <c r="AJ132" i="6"/>
  <c r="AO132" i="6"/>
  <c r="AM132" i="6"/>
  <c r="AH132" i="6"/>
  <c r="AK132" i="6"/>
  <c r="AY132" i="6" s="1"/>
  <c r="AI132" i="6"/>
  <c r="AQ132" i="6"/>
  <c r="AF132" i="6"/>
  <c r="AE132" i="6"/>
  <c r="AC132" i="6"/>
  <c r="AP132" i="6"/>
  <c r="AB131" i="6"/>
  <c r="AO131" i="6"/>
  <c r="AJ131" i="6"/>
  <c r="AP131" i="6"/>
  <c r="AN131" i="6"/>
  <c r="AQ131" i="6"/>
  <c r="AF131" i="6"/>
  <c r="AR131" i="6"/>
  <c r="AM131" i="6"/>
  <c r="AI131" i="6"/>
  <c r="AC131" i="6"/>
  <c r="AD131" i="6"/>
  <c r="AG131" i="6"/>
  <c r="AK131" i="6"/>
  <c r="AY131" i="6" s="1"/>
  <c r="AH131" i="6"/>
  <c r="AL131" i="6"/>
  <c r="AE131" i="6"/>
  <c r="AO129" i="6"/>
  <c r="AC129" i="6"/>
  <c r="AQ129" i="6"/>
  <c r="AH129" i="6"/>
  <c r="AP129" i="6"/>
  <c r="AF129" i="6"/>
  <c r="AR129" i="6"/>
  <c r="AK129" i="6"/>
  <c r="AY129" i="6" s="1"/>
  <c r="AG129" i="6"/>
  <c r="AJ129" i="6"/>
  <c r="AD129" i="6"/>
  <c r="AE129" i="6"/>
  <c r="AI129" i="6"/>
  <c r="AL129" i="6"/>
  <c r="AM129" i="6"/>
  <c r="AN129" i="6"/>
  <c r="AD128" i="6"/>
  <c r="AF128" i="6"/>
  <c r="AK128" i="6"/>
  <c r="AY128" i="6" s="1"/>
  <c r="AO128" i="6"/>
  <c r="AR128" i="6"/>
  <c r="AG128" i="6"/>
  <c r="AP128" i="6"/>
  <c r="AI128" i="6"/>
  <c r="AH128" i="6"/>
  <c r="AN128" i="6"/>
  <c r="AM128" i="6"/>
  <c r="AC128" i="6"/>
  <c r="AQ128" i="6"/>
  <c r="AJ128" i="6"/>
  <c r="AE128" i="6"/>
  <c r="AL128" i="6"/>
  <c r="AK127" i="6"/>
  <c r="AY127" i="6" s="1"/>
  <c r="AP127" i="6"/>
  <c r="AH127" i="6"/>
  <c r="AM127" i="6"/>
  <c r="AC127" i="6"/>
  <c r="AG127" i="6"/>
  <c r="AQ127" i="6"/>
  <c r="AF127" i="6"/>
  <c r="AO127" i="6"/>
  <c r="AR127" i="6"/>
  <c r="AD127" i="6"/>
  <c r="AJ127" i="6"/>
  <c r="AI127" i="6"/>
  <c r="AN127" i="6"/>
  <c r="AE127" i="6"/>
  <c r="AL127" i="6"/>
  <c r="AR126" i="6"/>
  <c r="AJ126" i="6"/>
  <c r="AK126" i="6"/>
  <c r="AY126" i="6" s="1"/>
  <c r="AL126" i="6"/>
  <c r="AP126" i="6"/>
  <c r="AO126" i="6"/>
  <c r="AH126" i="6"/>
  <c r="AM126" i="6"/>
  <c r="AF126" i="6"/>
  <c r="AQ126" i="6"/>
  <c r="AC126" i="6"/>
  <c r="AI126" i="6"/>
  <c r="AN126" i="6"/>
  <c r="AD126" i="6"/>
  <c r="AG126" i="6"/>
  <c r="AE126" i="6"/>
  <c r="AM125" i="6"/>
  <c r="AP125" i="6"/>
  <c r="AF125" i="6"/>
  <c r="AO125" i="6"/>
  <c r="AB125" i="6"/>
  <c r="AH125" i="6"/>
  <c r="AC125" i="6"/>
  <c r="AL125" i="6"/>
  <c r="AR125" i="6"/>
  <c r="AQ125" i="6"/>
  <c r="AG125" i="6"/>
  <c r="AK125" i="6"/>
  <c r="AY125" i="6" s="1"/>
  <c r="AJ125" i="6"/>
  <c r="AN125" i="6"/>
  <c r="AD125" i="6"/>
  <c r="AI125" i="6"/>
  <c r="AJ124" i="6"/>
  <c r="AO124" i="6"/>
  <c r="AE124" i="6"/>
  <c r="AG124" i="6"/>
  <c r="AC124" i="6"/>
  <c r="AD124" i="6"/>
  <c r="AN124" i="6"/>
  <c r="AF124" i="6"/>
  <c r="AI124" i="6"/>
  <c r="AH124" i="6"/>
  <c r="AR124" i="6"/>
  <c r="AL124" i="6"/>
  <c r="AK124" i="6"/>
  <c r="AY124" i="6" s="1"/>
  <c r="AM124" i="6"/>
  <c r="AQ124" i="6"/>
  <c r="AP124" i="6"/>
  <c r="AR119" i="6"/>
  <c r="AE119" i="6"/>
  <c r="AL119" i="6"/>
  <c r="AN119" i="6"/>
  <c r="AP119" i="6"/>
  <c r="AH119" i="6"/>
  <c r="AO119" i="6"/>
  <c r="AC119" i="6"/>
  <c r="AI119" i="6"/>
  <c r="AF119" i="6"/>
  <c r="AG119" i="6"/>
  <c r="AM119" i="6"/>
  <c r="AQ119" i="6"/>
  <c r="AJ119" i="6"/>
  <c r="AK119" i="6"/>
  <c r="AY119" i="6" s="1"/>
  <c r="AB119" i="6"/>
  <c r="AD119" i="6"/>
  <c r="AR118" i="6"/>
  <c r="AD118" i="6"/>
  <c r="AJ118" i="6"/>
  <c r="AE118" i="6"/>
  <c r="AI118" i="6"/>
  <c r="AL118" i="6"/>
  <c r="AH118" i="6"/>
  <c r="AC118" i="6"/>
  <c r="AM118" i="6"/>
  <c r="AP118" i="6"/>
  <c r="AQ118" i="6"/>
  <c r="AK118" i="6"/>
  <c r="AY118" i="6" s="1"/>
  <c r="AO118" i="6"/>
  <c r="AN118" i="6"/>
  <c r="AG118" i="6"/>
  <c r="AF118" i="6"/>
  <c r="AF117" i="6"/>
  <c r="AH117" i="6"/>
  <c r="AK117" i="6"/>
  <c r="AY117" i="6" s="1"/>
  <c r="AL117" i="6"/>
  <c r="AR117" i="6"/>
  <c r="AQ117" i="6"/>
  <c r="AJ117" i="6"/>
  <c r="AE117" i="6"/>
  <c r="AM117" i="6"/>
  <c r="AC117" i="6"/>
  <c r="AG117" i="6"/>
  <c r="AI117" i="6"/>
  <c r="AD117" i="6"/>
  <c r="AO117" i="6"/>
  <c r="AN117" i="6"/>
  <c r="AP117" i="6"/>
  <c r="AQ116" i="6"/>
  <c r="AK116" i="6"/>
  <c r="AY116" i="6" s="1"/>
  <c r="AD116" i="6"/>
  <c r="AH116" i="6"/>
  <c r="AR116" i="6"/>
  <c r="AP116" i="6"/>
  <c r="AM116" i="6"/>
  <c r="AJ116" i="6"/>
  <c r="AI116" i="6"/>
  <c r="AO116" i="6"/>
  <c r="AE116" i="6"/>
  <c r="AC116" i="6"/>
  <c r="AF116" i="6"/>
  <c r="AN116" i="6"/>
  <c r="AL116" i="6"/>
  <c r="AG116" i="6"/>
  <c r="AB115" i="6"/>
  <c r="AE115" i="6"/>
  <c r="AP115" i="6"/>
  <c r="AN115" i="6"/>
  <c r="AK115" i="6"/>
  <c r="AY115" i="6" s="1"/>
  <c r="AR115" i="6"/>
  <c r="AI115" i="6"/>
  <c r="AL115" i="6"/>
  <c r="AO115" i="6"/>
  <c r="AD115" i="6"/>
  <c r="AQ115" i="6"/>
  <c r="AM115" i="6"/>
  <c r="AJ115" i="6"/>
  <c r="AH115" i="6"/>
  <c r="AF115" i="6"/>
  <c r="AC115" i="6"/>
  <c r="AG115" i="6"/>
  <c r="AB114" i="6"/>
  <c r="AI114" i="6"/>
  <c r="AN114" i="6"/>
  <c r="AC114" i="6"/>
  <c r="AM114" i="6"/>
  <c r="AD114" i="6"/>
  <c r="AP114" i="6"/>
  <c r="AE114" i="6"/>
  <c r="AF114" i="6"/>
  <c r="AH114" i="6"/>
  <c r="AQ114" i="6"/>
  <c r="AG114" i="6"/>
  <c r="AL114" i="6"/>
  <c r="AJ114" i="6"/>
  <c r="AR114" i="6"/>
  <c r="AK114" i="6"/>
  <c r="AY114" i="6" s="1"/>
  <c r="AR113" i="6"/>
  <c r="AC113" i="6"/>
  <c r="AI113" i="6"/>
  <c r="AH113" i="6"/>
  <c r="AF113" i="6"/>
  <c r="AN113" i="6"/>
  <c r="AL113" i="6"/>
  <c r="AD113" i="6"/>
  <c r="AK113" i="6"/>
  <c r="AY113" i="6" s="1"/>
  <c r="AQ113" i="6"/>
  <c r="AP113" i="6"/>
  <c r="AE113" i="6"/>
  <c r="AO113" i="6"/>
  <c r="AG113" i="6"/>
  <c r="AJ113" i="6"/>
  <c r="AR122" i="6"/>
  <c r="AN122" i="6"/>
  <c r="AD122" i="6"/>
  <c r="AK122" i="6"/>
  <c r="AY122" i="6" s="1"/>
  <c r="AQ122" i="6"/>
  <c r="AJ122" i="6"/>
  <c r="AC122" i="6"/>
  <c r="AM122" i="6"/>
  <c r="AL122" i="6"/>
  <c r="AP122" i="6"/>
  <c r="AI122" i="6"/>
  <c r="AH122" i="6"/>
  <c r="AG122" i="6"/>
  <c r="AO122" i="6"/>
  <c r="AF122" i="6"/>
  <c r="AE122" i="6"/>
  <c r="AR130" i="6"/>
  <c r="AE130" i="6"/>
  <c r="AO130" i="6"/>
  <c r="AD130" i="6"/>
  <c r="AK130" i="6"/>
  <c r="AY130" i="6" s="1"/>
  <c r="AP130" i="6"/>
  <c r="AL130" i="6"/>
  <c r="AJ130" i="6"/>
  <c r="AB130" i="6"/>
  <c r="AN130" i="6"/>
  <c r="AC130" i="6"/>
  <c r="AI130" i="6"/>
  <c r="AM130" i="6"/>
  <c r="AG130" i="6"/>
  <c r="AQ130" i="6"/>
  <c r="AF130" i="6"/>
  <c r="AH130" i="6"/>
  <c r="AB133" i="6" l="1"/>
  <c r="AG133" i="6"/>
  <c r="AC133" i="6"/>
  <c r="AE133" i="6"/>
  <c r="AF133" i="6"/>
  <c r="AD133" i="6"/>
  <c r="AK133" i="6"/>
  <c r="AY133" i="6" s="1"/>
  <c r="AM133" i="6"/>
  <c r="AI133" i="6"/>
  <c r="AH133" i="6"/>
  <c r="AQ133" i="6"/>
  <c r="AO133" i="6"/>
  <c r="AR133" i="6"/>
  <c r="AJ133" i="6"/>
  <c r="AP133" i="6"/>
  <c r="AL133" i="6"/>
  <c r="AN133" i="6"/>
  <c r="AQ106" i="6" l="1"/>
  <c r="AB106" i="6"/>
  <c r="AN106" i="6"/>
  <c r="AD106" i="6"/>
  <c r="AF106" i="6"/>
  <c r="AC106" i="6"/>
  <c r="AL106" i="6"/>
  <c r="AH106" i="6"/>
  <c r="AP106" i="6"/>
  <c r="AJ106" i="6"/>
  <c r="AG106" i="6"/>
  <c r="AE106" i="6"/>
  <c r="AM106" i="6"/>
  <c r="AI106" i="6"/>
  <c r="AO106" i="6"/>
  <c r="AK106" i="6"/>
  <c r="AY106" i="6" s="1"/>
  <c r="AR106" i="6"/>
  <c r="C64" i="36"/>
  <c r="E87" i="36"/>
  <c r="R87" i="36"/>
  <c r="K87" i="36"/>
  <c r="H87" i="36"/>
  <c r="M87" i="36"/>
  <c r="I87" i="36"/>
  <c r="F87" i="36"/>
  <c r="D87" i="36"/>
  <c r="C72" i="36"/>
  <c r="O87" i="36"/>
  <c r="L87" i="36"/>
  <c r="Q87" i="36"/>
  <c r="J87" i="36"/>
  <c r="G87" i="36"/>
  <c r="S87" i="36"/>
  <c r="P87" i="36"/>
  <c r="N87" i="36"/>
  <c r="B25" i="7" l="1"/>
  <c r="C25" i="7"/>
</calcChain>
</file>

<file path=xl/sharedStrings.xml><?xml version="1.0" encoding="utf-8"?>
<sst xmlns="http://schemas.openxmlformats.org/spreadsheetml/2006/main" count="15824" uniqueCount="464">
  <si>
    <t>Week 1</t>
  </si>
  <si>
    <t>Total Value (Vatu)</t>
  </si>
  <si>
    <t>Total Volume(kg)</t>
  </si>
  <si>
    <t>No. of Samples</t>
  </si>
  <si>
    <t>Ave Price/kg</t>
  </si>
  <si>
    <t>Ave Wt(kg)</t>
  </si>
  <si>
    <t>Produce</t>
  </si>
  <si>
    <t>Unit</t>
  </si>
  <si>
    <t>Root crops</t>
  </si>
  <si>
    <t>Fiji Taro</t>
  </si>
  <si>
    <t>Baskets</t>
  </si>
  <si>
    <t>net</t>
  </si>
  <si>
    <t>Island Taro</t>
  </si>
  <si>
    <t>Bundle</t>
  </si>
  <si>
    <t>each</t>
  </si>
  <si>
    <t>Manioc</t>
  </si>
  <si>
    <t>Basket</t>
  </si>
  <si>
    <t>net.</t>
  </si>
  <si>
    <t>heap/pile</t>
  </si>
  <si>
    <t>Sweet Potato (Kumala)</t>
  </si>
  <si>
    <t>basket</t>
  </si>
  <si>
    <t>Net</t>
  </si>
  <si>
    <t>Yams</t>
  </si>
  <si>
    <t>Piece/pile</t>
  </si>
  <si>
    <t>Fruits</t>
  </si>
  <si>
    <t>Banana - green</t>
  </si>
  <si>
    <t>big type,bunch</t>
  </si>
  <si>
    <t>big type, ring/tier</t>
  </si>
  <si>
    <t>Small type, bunch</t>
  </si>
  <si>
    <t>small type,ring/tier</t>
  </si>
  <si>
    <t>Banana, Ripe</t>
  </si>
  <si>
    <t>Pawpaw</t>
  </si>
  <si>
    <t>Water Melon</t>
  </si>
  <si>
    <t>Bowl Cabbage (white)</t>
  </si>
  <si>
    <t>Bowl Cabbage (purple)</t>
  </si>
  <si>
    <t>Carrots</t>
  </si>
  <si>
    <t>bundle</t>
  </si>
  <si>
    <t>Chinese Cabbage</t>
  </si>
  <si>
    <t>Cucumbers</t>
  </si>
  <si>
    <t>Pumpkin</t>
  </si>
  <si>
    <t>Island Cabbage</t>
  </si>
  <si>
    <t>Lettuce</t>
  </si>
  <si>
    <t>ring</t>
  </si>
  <si>
    <t>Tomatoes</t>
  </si>
  <si>
    <t>big, each</t>
  </si>
  <si>
    <t>big, nets</t>
  </si>
  <si>
    <t>small, nets</t>
  </si>
  <si>
    <t>Nuts</t>
  </si>
  <si>
    <t>Dried coconuts</t>
  </si>
  <si>
    <t>Green coconuts</t>
  </si>
  <si>
    <t>Total Volume   (kg)</t>
  </si>
  <si>
    <t>Week 2</t>
  </si>
  <si>
    <t>S U M M A R Y - W E E K 1</t>
  </si>
  <si>
    <t>S U M M A R Y - W E E K 2</t>
  </si>
  <si>
    <r>
      <t xml:space="preserve">                </t>
    </r>
    <r>
      <rPr>
        <b/>
        <u/>
        <sz val="8"/>
        <rFont val="Arial"/>
        <family val="2"/>
      </rPr>
      <t xml:space="preserve"> MARKET SURVEY SUMMARY WK1</t>
    </r>
  </si>
  <si>
    <t>DATE: January 2018</t>
  </si>
  <si>
    <t>PRODUCE</t>
  </si>
  <si>
    <t>NO. OF</t>
  </si>
  <si>
    <t>VOULME</t>
  </si>
  <si>
    <t>NUMBER</t>
  </si>
  <si>
    <t>KILO</t>
  </si>
  <si>
    <t>WEIGHT</t>
  </si>
  <si>
    <t>TOTAL</t>
  </si>
  <si>
    <t>SELLER</t>
  </si>
  <si>
    <t>IN UNITS</t>
  </si>
  <si>
    <t>PER UNIT</t>
  </si>
  <si>
    <t>VOLUME</t>
  </si>
  <si>
    <t>FIJI TARO</t>
  </si>
  <si>
    <t>ISLAND TARO</t>
  </si>
  <si>
    <t>MANIOC</t>
  </si>
  <si>
    <t xml:space="preserve">Basket </t>
  </si>
  <si>
    <t>heap</t>
  </si>
  <si>
    <t>SWEET POTATO</t>
  </si>
  <si>
    <t>YAM</t>
  </si>
  <si>
    <t>piece/pile</t>
  </si>
  <si>
    <t>BANANA GREEN</t>
  </si>
  <si>
    <t>big bunch</t>
  </si>
  <si>
    <t>bid ring</t>
  </si>
  <si>
    <t>small bunch</t>
  </si>
  <si>
    <t>small ring</t>
  </si>
  <si>
    <t xml:space="preserve">RIPE BANANA </t>
  </si>
  <si>
    <t>PAWPAW</t>
  </si>
  <si>
    <t>WATERMELON</t>
  </si>
  <si>
    <t>BOWL/CABB WHITE</t>
  </si>
  <si>
    <t>20 kg bag</t>
  </si>
  <si>
    <t>flour bag</t>
  </si>
  <si>
    <t>BOWL/CABB PURPLE</t>
  </si>
  <si>
    <t>CARROT</t>
  </si>
  <si>
    <t>CH/CABBAGE</t>
  </si>
  <si>
    <t>CUCUMBER</t>
  </si>
  <si>
    <t>baset</t>
  </si>
  <si>
    <t>PUMPKIN</t>
  </si>
  <si>
    <t>LETTUCE</t>
  </si>
  <si>
    <t>TOMATOES</t>
  </si>
  <si>
    <t>big each</t>
  </si>
  <si>
    <t>big net</t>
  </si>
  <si>
    <t>small net</t>
  </si>
  <si>
    <t>DRIED COCONUT</t>
  </si>
  <si>
    <t>GREEN COCONUT</t>
  </si>
  <si>
    <t>Fruit</t>
  </si>
  <si>
    <r>
      <t xml:space="preserve">                </t>
    </r>
    <r>
      <rPr>
        <b/>
        <u/>
        <sz val="8"/>
        <rFont val="Arial"/>
        <family val="2"/>
      </rPr>
      <t xml:space="preserve"> MARKET SURVEY SUMMARY WK2</t>
    </r>
  </si>
  <si>
    <t>W E E K 1</t>
  </si>
  <si>
    <t>W E E K 2</t>
  </si>
  <si>
    <t>DATE: February 2018</t>
  </si>
  <si>
    <t>DATE: March 2018</t>
  </si>
  <si>
    <t>DATE: April 2018</t>
  </si>
  <si>
    <t>DATE: May 2018</t>
  </si>
  <si>
    <t>DATE: June 2018</t>
  </si>
  <si>
    <t>DATE: July 2018</t>
  </si>
  <si>
    <t>DATE: August 2018</t>
  </si>
  <si>
    <t>DATE: September 2018</t>
  </si>
  <si>
    <t>DATE: October 2018</t>
  </si>
  <si>
    <t>DATE: November 2018</t>
  </si>
  <si>
    <t>DATE: December 2018</t>
  </si>
  <si>
    <t>DATE: January 2019</t>
  </si>
  <si>
    <t>DATE: February 2019</t>
  </si>
  <si>
    <t>DATE: March 2019</t>
  </si>
  <si>
    <t>DATE: April 2019</t>
  </si>
  <si>
    <t>ISLAND CABBAGE</t>
  </si>
  <si>
    <t>DATE: May 2019</t>
  </si>
  <si>
    <r>
      <t xml:space="preserve">                                              </t>
    </r>
    <r>
      <rPr>
        <b/>
        <i/>
        <u/>
        <sz val="12"/>
        <rFont val="Times New Roman"/>
        <family val="1"/>
      </rPr>
      <t>SUMMARY OF MARKET SURVEY</t>
    </r>
  </si>
  <si>
    <t xml:space="preserve">Table 1: Quantity Supplied ( in kilograms)* </t>
  </si>
  <si>
    <t>Table 6:  Number of Sellers*</t>
  </si>
  <si>
    <t>Wk1_Jan18</t>
  </si>
  <si>
    <t>Wk2_Jan18</t>
  </si>
  <si>
    <t>Wk1_Feb18</t>
  </si>
  <si>
    <t>Wk2_Feb18</t>
  </si>
  <si>
    <t>Wk1_Mar18</t>
  </si>
  <si>
    <t>Wk2_Mar18</t>
  </si>
  <si>
    <t>Wk1_Apr18</t>
  </si>
  <si>
    <t>Wk2_Apr18</t>
  </si>
  <si>
    <t>Wk1_May18</t>
  </si>
  <si>
    <t>Wk2_May18</t>
  </si>
  <si>
    <t>Wk1_Jun18</t>
  </si>
  <si>
    <t>Wk2_Jun18</t>
  </si>
  <si>
    <t>Wk1_Jul18</t>
  </si>
  <si>
    <t>Wk2_Jul18</t>
  </si>
  <si>
    <t>Wk1_Aug18</t>
  </si>
  <si>
    <t>Wk2_Aug18</t>
  </si>
  <si>
    <t>Wk1_Sep18</t>
  </si>
  <si>
    <t>Wk2_Sep18</t>
  </si>
  <si>
    <t>Wk1_Oct18</t>
  </si>
  <si>
    <t>Wk2_Oct18</t>
  </si>
  <si>
    <t>Wk1_Nov18</t>
  </si>
  <si>
    <t>Wk2_Nov18</t>
  </si>
  <si>
    <t>Wk1_Dec18</t>
  </si>
  <si>
    <t>Wk2_Dec18</t>
  </si>
  <si>
    <t>Wk1_Jan19</t>
  </si>
  <si>
    <t>Wk2_Jan19</t>
  </si>
  <si>
    <t>Wk1_Feb19</t>
  </si>
  <si>
    <t>Wk2_Feb19</t>
  </si>
  <si>
    <t>Wk1_Mar19</t>
  </si>
  <si>
    <t>Wk2_Mar19</t>
  </si>
  <si>
    <t>Wk1_Apr19</t>
  </si>
  <si>
    <t>Wk2_Apr19</t>
  </si>
  <si>
    <t>Wk1_May19</t>
  </si>
  <si>
    <t>Wk2_May19</t>
  </si>
  <si>
    <t>Table 2:  Weighted Average Price Per Kilo ( in Vatu)*</t>
  </si>
  <si>
    <t>Table 3: Value of Supplies ( in Vatu thousands)*</t>
  </si>
  <si>
    <t xml:space="preserve">Table 1: Quantity Supplied (in kilograms) </t>
  </si>
  <si>
    <t>% chng from prev mnth</t>
  </si>
  <si>
    <t xml:space="preserve"> </t>
  </si>
  <si>
    <t xml:space="preserve">Table 2:  Weighted Average Price Per Kilograms (in Vatu) </t>
  </si>
  <si>
    <t>*on the days surveyed</t>
  </si>
  <si>
    <t>Table 6:  Number of Sellers</t>
  </si>
  <si>
    <t xml:space="preserve">Table 3: Value of Supplies (in Vatu thousands) </t>
  </si>
  <si>
    <t>JAN.18.AV</t>
  </si>
  <si>
    <t>FEB.18.AV</t>
  </si>
  <si>
    <t>MAR.18.AV</t>
  </si>
  <si>
    <t>APR.18.AV</t>
  </si>
  <si>
    <t>MAY.18.AV</t>
  </si>
  <si>
    <t>JUN.18.AV</t>
  </si>
  <si>
    <t>JULY.18.AV</t>
  </si>
  <si>
    <t>AUG.18.AV</t>
  </si>
  <si>
    <t>SEP.18.AV</t>
  </si>
  <si>
    <t>OCT.18.AV</t>
  </si>
  <si>
    <t>NOV.18.AV</t>
  </si>
  <si>
    <t>DEC.18.AV</t>
  </si>
  <si>
    <t>JAN.19.AV</t>
  </si>
  <si>
    <t>FEB.19.AV</t>
  </si>
  <si>
    <t>MAR.19.AV</t>
  </si>
  <si>
    <t>APR.19.AV</t>
  </si>
  <si>
    <t>M O N T H L Y    A V E R A G E</t>
  </si>
  <si>
    <t>MAY.19.AV</t>
  </si>
  <si>
    <t>Value of Supplies (%)</t>
  </si>
  <si>
    <t>STAPLE FOOD</t>
  </si>
  <si>
    <t>FRUITS</t>
  </si>
  <si>
    <t>VEGETABLES</t>
  </si>
  <si>
    <t>Sellers per Produce (%)</t>
  </si>
  <si>
    <t>Volume</t>
  </si>
  <si>
    <t>RIPE BANANA, BY VALUE AND VOLUME</t>
  </si>
  <si>
    <t>BOWL CABBAGE (PURPLE), BY VALUE AND VOLUME</t>
  </si>
  <si>
    <t>BOWL CABBAGE (WHITE), BY VALUE AND VOLUME</t>
  </si>
  <si>
    <t>LETTUCE, BY VALUE AND VOLUME</t>
  </si>
  <si>
    <t>PUMPKIN, BY VALUE AND VOLUME</t>
  </si>
  <si>
    <t xml:space="preserve">  </t>
  </si>
  <si>
    <t>WATER MELON, BY VALUE AND VOLUME</t>
  </si>
  <si>
    <t>Price</t>
  </si>
  <si>
    <t>VOLUME AND PRICE INDICES</t>
  </si>
  <si>
    <t>FIJI TARO, BY PRICE AND VOLUME</t>
  </si>
  <si>
    <t>ISLAND TARO, BY PRICE AND VOLUME</t>
  </si>
  <si>
    <t>MANIOC, BY PRICE AND VOLUME</t>
  </si>
  <si>
    <t>KUMALA, BY PRICE AND VOLUME</t>
  </si>
  <si>
    <t>YAM, BY PRICE AND VOLUME</t>
  </si>
  <si>
    <t>GREEN BANANA, BY PRICE AND VOLUME</t>
  </si>
  <si>
    <t>PAWPAW, BY PRICE AND VOLUME</t>
  </si>
  <si>
    <t>DRIED COCONUT, BY PRICE AND VOLUME</t>
  </si>
  <si>
    <t>GREEN COCONUT, BY PRICE AND VOLUME</t>
  </si>
  <si>
    <t>CARROTS, BY PRICE AND VOLUME</t>
  </si>
  <si>
    <t>TOMATOES, BY PRICE AND VOLUME</t>
  </si>
  <si>
    <t>CHINESE CABBAGE, BY PRICE AND VOLUME</t>
  </si>
  <si>
    <t>CUCUMBERS, BY PRICE AND VOLUME</t>
  </si>
  <si>
    <t>ISLAND CABBAGE, BY PRICE AND VOLUME</t>
  </si>
  <si>
    <t>2016.AVE</t>
  </si>
  <si>
    <t>Total Value 2016</t>
  </si>
  <si>
    <t>2016 Weights</t>
  </si>
  <si>
    <t>2016 AVE</t>
  </si>
  <si>
    <t xml:space="preserve">Table 4:  Volume Index (2016 = 100) </t>
  </si>
  <si>
    <t xml:space="preserve">Table 5: Price Index (2016 = 100) </t>
  </si>
  <si>
    <t>Vegetables</t>
  </si>
  <si>
    <t xml:space="preserve">   </t>
  </si>
  <si>
    <t>Table 5: Price Index (2016 = 100)*</t>
  </si>
  <si>
    <t>Table 4:  Volume Index (2016 = 100)*</t>
  </si>
  <si>
    <t xml:space="preserve">DATE: January 2016 </t>
  </si>
  <si>
    <t xml:space="preserve">DATE: February 2016 </t>
  </si>
  <si>
    <t xml:space="preserve">DATE: March 2016 </t>
  </si>
  <si>
    <t xml:space="preserve">DATE: April 2016 </t>
  </si>
  <si>
    <t xml:space="preserve">DATE: May 2016 </t>
  </si>
  <si>
    <t xml:space="preserve">DATE: June 2016 </t>
  </si>
  <si>
    <t xml:space="preserve">DATE: July 2016 </t>
  </si>
  <si>
    <t xml:space="preserve">DATE: August 2016 </t>
  </si>
  <si>
    <t xml:space="preserve">DATE: September 2016 </t>
  </si>
  <si>
    <t xml:space="preserve">DATE: December 2016 </t>
  </si>
  <si>
    <t xml:space="preserve">DATE: January 2017 </t>
  </si>
  <si>
    <t xml:space="preserve">DATE: February 2017 </t>
  </si>
  <si>
    <t xml:space="preserve">DATE: March 2017 </t>
  </si>
  <si>
    <t>ISLABD CABBAGE</t>
  </si>
  <si>
    <t xml:space="preserve">DATE: April 2017 </t>
  </si>
  <si>
    <t xml:space="preserve">DATE: May 2017 </t>
  </si>
  <si>
    <t xml:space="preserve">DATE: June 2017 </t>
  </si>
  <si>
    <t xml:space="preserve">DATE: July 2017 </t>
  </si>
  <si>
    <t xml:space="preserve">DATE: August 2017 </t>
  </si>
  <si>
    <t xml:space="preserve">DATE: September 2017 </t>
  </si>
  <si>
    <t xml:space="preserve">DATE: October 2017 </t>
  </si>
  <si>
    <t xml:space="preserve">DATE: November 2017 </t>
  </si>
  <si>
    <t xml:space="preserve">DATE: December 2017 </t>
  </si>
  <si>
    <t>DATE: October 2019</t>
  </si>
  <si>
    <t>DATE: September 2019</t>
  </si>
  <si>
    <t>DATE: August 2019</t>
  </si>
  <si>
    <t>DATE: July 2019</t>
  </si>
  <si>
    <t>DATE: June 2019</t>
  </si>
  <si>
    <t xml:space="preserve">DATE: October 2016 </t>
  </si>
  <si>
    <t xml:space="preserve">DATE: November 2016 </t>
  </si>
  <si>
    <t xml:space="preserve">Vegetables </t>
  </si>
  <si>
    <t>Wk1_Dec17</t>
  </si>
  <si>
    <t>Wk1_Jan17</t>
  </si>
  <si>
    <t>Wk2_Jan17</t>
  </si>
  <si>
    <t>Wk1_Feb17</t>
  </si>
  <si>
    <t>Wk2_Feb17</t>
  </si>
  <si>
    <t>Wk1_Mar17</t>
  </si>
  <si>
    <t>Wk2_Mar17</t>
  </si>
  <si>
    <t>Wk1_Apr17</t>
  </si>
  <si>
    <t>Wk2_Apr17</t>
  </si>
  <si>
    <t>Wk1_May17</t>
  </si>
  <si>
    <t>Wk2_May17</t>
  </si>
  <si>
    <t>Wk1_Jun17</t>
  </si>
  <si>
    <t>Wk2_Jun17</t>
  </si>
  <si>
    <t>Wk1_Jul17</t>
  </si>
  <si>
    <t>Wk2_Jul17</t>
  </si>
  <si>
    <t>Wk1_Aug17</t>
  </si>
  <si>
    <t>Wk2_Aug17</t>
  </si>
  <si>
    <t>Wk1_Sep17</t>
  </si>
  <si>
    <t>Wk2_Sep17</t>
  </si>
  <si>
    <t>Wk1_Oct17</t>
  </si>
  <si>
    <t>Wk2_Oct17</t>
  </si>
  <si>
    <t>Wk1_Nov17</t>
  </si>
  <si>
    <t>Wk2_Nov17</t>
  </si>
  <si>
    <t>Wk1_Jan16</t>
  </si>
  <si>
    <t>Wk2_Jan16</t>
  </si>
  <si>
    <t>Wk1_Feb16</t>
  </si>
  <si>
    <t>Wk2_Feb16</t>
  </si>
  <si>
    <t>Wk1_Mar16</t>
  </si>
  <si>
    <t>Wk2_Mar16</t>
  </si>
  <si>
    <t>Wk1_Apr16</t>
  </si>
  <si>
    <t>Wk2_Apr16</t>
  </si>
  <si>
    <t>Wk1_May16</t>
  </si>
  <si>
    <t>Wk2_May16</t>
  </si>
  <si>
    <t>Wk1_Jun16</t>
  </si>
  <si>
    <t>Wk2_Jun16</t>
  </si>
  <si>
    <t>Wk1_Jul16</t>
  </si>
  <si>
    <t>Wk2_Jul16</t>
  </si>
  <si>
    <t>Wk1_Aug16</t>
  </si>
  <si>
    <t>Wk2_Aug16</t>
  </si>
  <si>
    <t>Wk1_Sep16</t>
  </si>
  <si>
    <t>Wk2_Sep16</t>
  </si>
  <si>
    <t>Wk1_Oct16</t>
  </si>
  <si>
    <t>Wk2_Oct16</t>
  </si>
  <si>
    <t>Wk1_Nov16</t>
  </si>
  <si>
    <t>Wk2_Nov16</t>
  </si>
  <si>
    <t>Wk1_Dec16</t>
  </si>
  <si>
    <t>JAN.17.AV</t>
  </si>
  <si>
    <t>FEB.17.AV</t>
  </si>
  <si>
    <t>MAR.17.AV</t>
  </si>
  <si>
    <t>APR.17.AV</t>
  </si>
  <si>
    <t>MAY.17.AV</t>
  </si>
  <si>
    <t>JUN.17.AV</t>
  </si>
  <si>
    <t>JULY.17.AV</t>
  </si>
  <si>
    <t>AUG.17.AV</t>
  </si>
  <si>
    <t>SEP.17.AV</t>
  </si>
  <si>
    <t>OCT.17.AV</t>
  </si>
  <si>
    <t>NOV.17.AV</t>
  </si>
  <si>
    <t>DEC.17.AV</t>
  </si>
  <si>
    <t>JAN.16.AV</t>
  </si>
  <si>
    <t>FEB.16.AV</t>
  </si>
  <si>
    <t>MAR.16.AV</t>
  </si>
  <si>
    <t>APR.16.AV</t>
  </si>
  <si>
    <t>MAY.16.AV</t>
  </si>
  <si>
    <t>JUN.16.AV</t>
  </si>
  <si>
    <t>JULY.16.AV</t>
  </si>
  <si>
    <t>AUG.16.AV</t>
  </si>
  <si>
    <t>SEP.16.AV</t>
  </si>
  <si>
    <t>OCT.16.AV</t>
  </si>
  <si>
    <t>NOV.16.AV</t>
  </si>
  <si>
    <t>DEC.16.AV</t>
  </si>
  <si>
    <t>Wk1_Jun19</t>
  </si>
  <si>
    <t>Wk2_Jun19</t>
  </si>
  <si>
    <t>Wk1_Jul19</t>
  </si>
  <si>
    <t>Wk2_Jul19</t>
  </si>
  <si>
    <t>Wk1_Aug19</t>
  </si>
  <si>
    <t>Wk2_Aug19</t>
  </si>
  <si>
    <t>Wk1_Sep19</t>
  </si>
  <si>
    <t>Wk2_Sep19</t>
  </si>
  <si>
    <t>Wk2_Dec17</t>
  </si>
  <si>
    <t>Wk2_Dec16</t>
  </si>
  <si>
    <t>JUN.19.AV</t>
  </si>
  <si>
    <t>JULY.19.AV</t>
  </si>
  <si>
    <t>AUG.19.AV</t>
  </si>
  <si>
    <t>SEP.19.AV</t>
  </si>
  <si>
    <t>OCT.19.AV</t>
  </si>
  <si>
    <t>Wk1_Oct19</t>
  </si>
  <si>
    <t>Wk2_Oct19</t>
  </si>
  <si>
    <t>% chng from OCT18</t>
  </si>
  <si>
    <t>Q U A R T E R L Y    A V E R A G E</t>
  </si>
  <si>
    <t>SEPT.16.AV</t>
  </si>
  <si>
    <t>SEPT.17.AV</t>
  </si>
  <si>
    <t>SEPT.18.AV</t>
  </si>
  <si>
    <t>SEPT.19.AV</t>
  </si>
  <si>
    <t>% chng from prev qtr</t>
  </si>
  <si>
    <t>Carrot</t>
  </si>
  <si>
    <t>Cucumber</t>
  </si>
  <si>
    <t>Tomato</t>
  </si>
  <si>
    <t>Dried coconut</t>
  </si>
  <si>
    <t>Green coconut</t>
  </si>
  <si>
    <t>Yam</t>
  </si>
  <si>
    <t>PINEAPPLE</t>
  </si>
  <si>
    <t>LIME</t>
  </si>
  <si>
    <t>ORANGE</t>
  </si>
  <si>
    <t>BREADFRUIT</t>
  </si>
  <si>
    <t>BOWL CAB/WHT</t>
  </si>
  <si>
    <t>BOWL CAB/PURPLE</t>
  </si>
  <si>
    <t>CHINESE CABBGE</t>
  </si>
  <si>
    <t>POTATO</t>
  </si>
  <si>
    <t>ONION</t>
  </si>
  <si>
    <t>CAPSICUM</t>
  </si>
  <si>
    <t>BEAN</t>
  </si>
  <si>
    <t>CHILLI</t>
  </si>
  <si>
    <t>SWEET CORN</t>
  </si>
  <si>
    <t>BROCCOLI</t>
  </si>
  <si>
    <t>fruit</t>
  </si>
  <si>
    <t>DATE: November 2019</t>
  </si>
  <si>
    <t>big ring</t>
  </si>
  <si>
    <t>DATE: December 2019</t>
  </si>
  <si>
    <t>Pineapple</t>
  </si>
  <si>
    <t>Lime</t>
  </si>
  <si>
    <t>Orange</t>
  </si>
  <si>
    <t>Breadfruit</t>
  </si>
  <si>
    <t>NEW!</t>
  </si>
  <si>
    <t>Potato</t>
  </si>
  <si>
    <t>Onion</t>
  </si>
  <si>
    <t>Capsicum</t>
  </si>
  <si>
    <t>Bean</t>
  </si>
  <si>
    <t>Chilli</t>
  </si>
  <si>
    <t>Sweet Corn</t>
  </si>
  <si>
    <t xml:space="preserve">Brocoli </t>
  </si>
  <si>
    <t>ne</t>
  </si>
  <si>
    <t>Wk1_Nov19</t>
  </si>
  <si>
    <t>Wk2_Nov19</t>
  </si>
  <si>
    <t>Wk1_Dec19</t>
  </si>
  <si>
    <t>Wk2_Dec19</t>
  </si>
  <si>
    <t>DEC.19.AV</t>
  </si>
  <si>
    <t>DECT.19.AV</t>
  </si>
  <si>
    <t>DATE: January 2020</t>
  </si>
  <si>
    <t>DATE: February 2020</t>
  </si>
  <si>
    <t>DATE: March 2020</t>
  </si>
  <si>
    <t>Wk1_Jan20</t>
  </si>
  <si>
    <t>Wk2_Jan20</t>
  </si>
  <si>
    <t>Wk1_Feb20</t>
  </si>
  <si>
    <t>Wk2_Feb20</t>
  </si>
  <si>
    <t>Wk1_Mar20</t>
  </si>
  <si>
    <t>Wk2_Mar20</t>
  </si>
  <si>
    <t>Wk2_Feb20.</t>
  </si>
  <si>
    <t>MAR.20.AV</t>
  </si>
  <si>
    <t>DATE: April 2020</t>
  </si>
  <si>
    <t>DATE: May 2020</t>
  </si>
  <si>
    <t>DATE: June 2020</t>
  </si>
  <si>
    <t>Wk1_Apr20</t>
  </si>
  <si>
    <t>Wk2_Apr20</t>
  </si>
  <si>
    <t>Wk1_May20</t>
  </si>
  <si>
    <t>Wk2_May20</t>
  </si>
  <si>
    <t>Wk1_Jun20</t>
  </si>
  <si>
    <t>Wk2_Jun20</t>
  </si>
  <si>
    <t>0.62+0.62+0.62</t>
  </si>
  <si>
    <t>DATE: July 2020</t>
  </si>
  <si>
    <t>DATE: August 2020</t>
  </si>
  <si>
    <t>DATE: September 2020</t>
  </si>
  <si>
    <t>DATE: October 2020</t>
  </si>
  <si>
    <t>DATE: November 2020</t>
  </si>
  <si>
    <t>DATE: December 2020</t>
  </si>
  <si>
    <t>Wk1_Jul20</t>
  </si>
  <si>
    <t>Wk2_Jul20</t>
  </si>
  <si>
    <t>Wk1_Aug20</t>
  </si>
  <si>
    <t>Wk2_Aug20</t>
  </si>
  <si>
    <t>Wk1_Sep20</t>
  </si>
  <si>
    <t>Wk2_Sep20</t>
  </si>
  <si>
    <t>Wk1_Oct20</t>
  </si>
  <si>
    <t>Wk2_Oct20</t>
  </si>
  <si>
    <t>Wk1_Nov20</t>
  </si>
  <si>
    <t>Wk2_Nov20</t>
  </si>
  <si>
    <t>Wk1_Dec20</t>
  </si>
  <si>
    <t>Wk2_Dec20</t>
  </si>
  <si>
    <t>JUN.20.AV</t>
  </si>
  <si>
    <t>SEP.20.AV</t>
  </si>
  <si>
    <t>DEC.20.AV</t>
  </si>
  <si>
    <t>DATE: January 2021</t>
  </si>
  <si>
    <t>DATE: February 2021</t>
  </si>
  <si>
    <t>DATE: March 2021</t>
  </si>
  <si>
    <t>Wk1_Jan21</t>
  </si>
  <si>
    <t>Wk2_Jan21</t>
  </si>
  <si>
    <t>Wk1_Feb21</t>
  </si>
  <si>
    <t>Wk2_Feb21</t>
  </si>
  <si>
    <t>Wk1_Mar21</t>
  </si>
  <si>
    <t>Wk2_Mar21</t>
  </si>
  <si>
    <t>% chng from MAR 20</t>
  </si>
  <si>
    <t>% chng from MAR20</t>
  </si>
  <si>
    <t>MAR.21.AV</t>
  </si>
  <si>
    <t>STAPLE PRODUCE</t>
  </si>
  <si>
    <t>VEGETABLE PRODUCE</t>
  </si>
  <si>
    <t>Source: Vanuatu National Statistics Office</t>
  </si>
  <si>
    <t>DATE: April 2021</t>
  </si>
  <si>
    <t>DATE: May 2021</t>
  </si>
  <si>
    <t>DATE: June 2021</t>
  </si>
  <si>
    <t>Wk1_Apr21</t>
  </si>
  <si>
    <t>Wk2_Apr21</t>
  </si>
  <si>
    <t>Wk1_May21</t>
  </si>
  <si>
    <t>Wk2_May21</t>
  </si>
  <si>
    <t>Wk1_Jun21</t>
  </si>
  <si>
    <t>Wk2_Jun21</t>
  </si>
  <si>
    <t>Wk1_Ju21</t>
  </si>
  <si>
    <t>JUN.21.AV</t>
  </si>
  <si>
    <t>% chng from JUN 20</t>
  </si>
  <si>
    <t>% chng from JUN20</t>
  </si>
  <si>
    <t>Diff/pre qtr</t>
  </si>
  <si>
    <t>Share</t>
  </si>
  <si>
    <t>Dif/preYr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</si>
</sst>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0.0"/>
    <numFmt numFmtId="166" formatCode="_(* #,##0.0_);_(* \(#,##0.0\);_(* &quot;-&quot;??_);_(@_)"/>
    <numFmt numFmtId="167" formatCode="[$-409]mmm\-yy;@"/>
    <numFmt numFmtId="168" formatCode="0.0%"/>
    <numFmt numFmtId="169" formatCode="_(* #,##0_);_(* \(#,##0\);_(* &quot;-&quot;??_);_(@_)"/>
  </numFmts>
  <fonts count="47"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u/>
      <sz val="8"/>
      <name val="Arial"/>
      <family val="2"/>
    </font>
    <font>
      <sz val="8"/>
      <name val="Arial"/>
      <family val="2"/>
    </font>
    <font>
      <sz val="12"/>
      <name val="Times New Roman"/>
      <family val="1"/>
    </font>
    <font>
      <b/>
      <i/>
      <u/>
      <sz val="12"/>
      <name val="Times New Roman"/>
      <family val="1"/>
    </font>
    <font>
      <sz val="10"/>
      <name val="Times New Roman"/>
      <family val="1"/>
    </font>
    <font>
      <i/>
      <sz val="8"/>
      <name val="Arial"/>
      <family val="2"/>
    </font>
    <font>
      <sz val="18"/>
      <name val="Arial"/>
      <family val="2"/>
    </font>
    <font>
      <b/>
      <sz val="14"/>
      <name val="Arial Black"/>
      <family val="2"/>
    </font>
    <font>
      <b/>
      <sz val="14"/>
      <name val="Calibri"/>
      <family val="2"/>
      <scheme val="minor"/>
    </font>
    <font>
      <b/>
      <sz val="14"/>
      <name val="Arial"/>
      <family val="2"/>
    </font>
    <font>
      <i/>
      <sz val="10"/>
      <name val="Arial"/>
      <family val="2"/>
    </font>
    <font>
      <i/>
      <sz val="10"/>
      <name val="CG Times"/>
      <family val="1"/>
    </font>
    <font>
      <i/>
      <sz val="10"/>
      <name val="Arial Narrow"/>
      <family val="2"/>
    </font>
    <font>
      <sz val="10"/>
      <name val="Arial Narrow"/>
      <family val="2"/>
    </font>
    <font>
      <sz val="18"/>
      <color theme="8" tint="-0.499984740745262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rgb="FFFF0000"/>
      <name val="Arial"/>
      <family val="2"/>
    </font>
    <font>
      <sz val="8"/>
      <color rgb="FFFF0000"/>
      <name val="Calibri"/>
      <family val="2"/>
      <scheme val="minor"/>
    </font>
    <font>
      <b/>
      <sz val="8"/>
      <color rgb="FFFF0000"/>
      <name val="Arial"/>
      <family val="2"/>
    </font>
    <font>
      <sz val="11"/>
      <color theme="1"/>
      <name val="Arial Narrow"/>
      <family val="2"/>
    </font>
    <font>
      <b/>
      <u/>
      <sz val="8"/>
      <color rgb="FFFF000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1"/>
      <color rgb="FFFF0000"/>
      <name val="Calibri"/>
      <family val="2"/>
      <scheme val="minor"/>
    </font>
    <font>
      <sz val="8"/>
      <name val="Times New Roman"/>
      <family val="1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8"/>
      <color theme="1"/>
      <name val="Times New Roman"/>
      <family val="1"/>
    </font>
    <font>
      <sz val="10"/>
      <color theme="1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59996337778862885"/>
        <bgColor theme="0"/>
      </patternFill>
    </fill>
    <fill>
      <patternFill patternType="solid">
        <fgColor rgb="FFCCFFCC"/>
        <bgColor indexed="64"/>
      </patternFill>
    </fill>
    <fill>
      <patternFill patternType="solid">
        <fgColor rgb="FFCCFFCC"/>
        <bgColor theme="0"/>
      </patternFill>
    </fill>
    <fill>
      <patternFill patternType="solid">
        <fgColor rgb="FFFF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EDDAF6"/>
        <bgColor indexed="64"/>
      </patternFill>
    </fill>
    <fill>
      <patternFill patternType="solid">
        <fgColor rgb="FFFCE4DC"/>
        <bgColor indexed="64"/>
      </patternFill>
    </fill>
    <fill>
      <patternFill patternType="solid">
        <fgColor rgb="FFBBF3FB"/>
        <bgColor indexed="64"/>
      </patternFill>
    </fill>
    <fill>
      <patternFill patternType="solid">
        <fgColor rgb="FFFFECD9"/>
        <bgColor indexed="64"/>
      </patternFill>
    </fill>
    <fill>
      <patternFill patternType="solid">
        <fgColor rgb="FFFDDBE7"/>
        <bgColor indexed="64"/>
      </patternFill>
    </fill>
    <fill>
      <patternFill patternType="solid">
        <fgColor rgb="FFEBE6FE"/>
        <bgColor indexed="64"/>
      </patternFill>
    </fill>
    <fill>
      <patternFill patternType="solid">
        <fgColor rgb="FFFFEBE5"/>
        <bgColor indexed="64"/>
      </patternFill>
    </fill>
    <fill>
      <patternFill patternType="solid">
        <fgColor rgb="FFF1D7E8"/>
        <bgColor indexed="64"/>
      </patternFill>
    </fill>
    <fill>
      <patternFill patternType="solid">
        <fgColor rgb="FFBDFFE9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6A19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66AB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F136F"/>
        <bgColor indexed="64"/>
      </patternFill>
    </fill>
    <fill>
      <patternFill patternType="solid">
        <fgColor rgb="FFCC0066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E58D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9">
    <xf numFmtId="0" fontId="0" fillId="0" borderId="0"/>
    <xf numFmtId="0" fontId="2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4" fillId="0" borderId="0"/>
    <xf numFmtId="0" fontId="2" fillId="0" borderId="0"/>
    <xf numFmtId="0" fontId="2" fillId="0" borderId="0"/>
    <xf numFmtId="0" fontId="2" fillId="0" borderId="0"/>
    <xf numFmtId="0" fontId="12" fillId="0" borderId="0"/>
  </cellStyleXfs>
  <cellXfs count="952">
    <xf numFmtId="0" fontId="0" fillId="0" borderId="0" xfId="0"/>
    <xf numFmtId="0" fontId="0" fillId="0" borderId="0" xfId="0" applyAlignment="1">
      <alignment horizontal="center"/>
    </xf>
    <xf numFmtId="0" fontId="3" fillId="0" borderId="0" xfId="1" applyFont="1" applyFill="1" applyBorder="1" applyAlignment="1">
      <alignment horizontal="center" vertical="top" wrapText="1"/>
    </xf>
    <xf numFmtId="0" fontId="2" fillId="2" borderId="0" xfId="1" applyFont="1" applyFill="1" applyBorder="1" applyAlignment="1">
      <alignment horizontal="center" vertical="top"/>
    </xf>
    <xf numFmtId="0" fontId="2" fillId="0" borderId="0" xfId="1" applyFont="1" applyBorder="1" applyAlignment="1">
      <alignment horizontal="center"/>
    </xf>
    <xf numFmtId="0" fontId="3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6" xfId="1" applyFont="1" applyBorder="1" applyAlignment="1">
      <alignment horizontal="center" vertical="center"/>
    </xf>
    <xf numFmtId="0" fontId="2" fillId="2" borderId="7" xfId="1" applyFont="1" applyFill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 vertical="center"/>
    </xf>
    <xf numFmtId="0" fontId="2" fillId="2" borderId="9" xfId="1" applyFont="1" applyFill="1" applyBorder="1" applyAlignment="1">
      <alignment horizontal="center"/>
    </xf>
    <xf numFmtId="0" fontId="2" fillId="2" borderId="7" xfId="1" applyFont="1" applyFill="1" applyBorder="1" applyAlignment="1">
      <alignment horizontal="center" vertical="top"/>
    </xf>
    <xf numFmtId="0" fontId="2" fillId="2" borderId="9" xfId="1" applyFont="1" applyFill="1" applyBorder="1" applyAlignment="1">
      <alignment horizontal="center" vertical="top"/>
    </xf>
    <xf numFmtId="0" fontId="2" fillId="0" borderId="9" xfId="1" applyFont="1" applyBorder="1" applyAlignment="1">
      <alignment horizontal="center"/>
    </xf>
    <xf numFmtId="0" fontId="3" fillId="0" borderId="4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vertical="top"/>
    </xf>
    <xf numFmtId="0" fontId="3" fillId="0" borderId="4" xfId="1" applyFont="1" applyFill="1" applyBorder="1" applyAlignment="1">
      <alignment horizontal="center" vertical="top" wrapText="1"/>
    </xf>
    <xf numFmtId="0" fontId="2" fillId="2" borderId="5" xfId="1" applyFont="1" applyFill="1" applyBorder="1" applyAlignment="1">
      <alignment horizontal="center" vertical="top"/>
    </xf>
    <xf numFmtId="0" fontId="3" fillId="0" borderId="8" xfId="1" applyFont="1" applyFill="1" applyBorder="1" applyAlignment="1">
      <alignment horizontal="center" vertical="top" wrapText="1"/>
    </xf>
    <xf numFmtId="0" fontId="5" fillId="0" borderId="1" xfId="1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2" fillId="0" borderId="1" xfId="1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2" fontId="5" fillId="0" borderId="1" xfId="0" applyNumberFormat="1" applyFont="1" applyFill="1" applyBorder="1" applyAlignment="1">
      <alignment horizontal="center" vertical="center"/>
    </xf>
    <xf numFmtId="1" fontId="5" fillId="0" borderId="1" xfId="1" applyNumberFormat="1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/>
    </xf>
    <xf numFmtId="165" fontId="5" fillId="0" borderId="1" xfId="0" applyNumberFormat="1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9" fillId="0" borderId="1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2" fontId="9" fillId="0" borderId="1" xfId="0" applyNumberFormat="1" applyFont="1" applyFill="1" applyBorder="1" applyAlignment="1">
      <alignment horizontal="center" vertical="center"/>
    </xf>
    <xf numFmtId="2" fontId="9" fillId="0" borderId="1" xfId="0" applyNumberFormat="1" applyFont="1" applyFill="1" applyBorder="1" applyAlignment="1">
      <alignment horizontal="center"/>
    </xf>
    <xf numFmtId="0" fontId="0" fillId="0" borderId="12" xfId="0" applyBorder="1"/>
    <xf numFmtId="0" fontId="4" fillId="0" borderId="13" xfId="0" applyFont="1" applyBorder="1"/>
    <xf numFmtId="0" fontId="4" fillId="0" borderId="13" xfId="0" applyFont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2" fillId="2" borderId="16" xfId="1" applyFont="1" applyFill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18" xfId="1" applyFont="1" applyBorder="1" applyAlignment="1">
      <alignment horizontal="center" vertical="center"/>
    </xf>
    <xf numFmtId="0" fontId="2" fillId="2" borderId="7" xfId="1" applyFont="1" applyFill="1" applyBorder="1" applyAlignment="1">
      <alignment horizontal="left"/>
    </xf>
    <xf numFmtId="0" fontId="2" fillId="2" borderId="19" xfId="1" applyFont="1" applyFill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2" fillId="2" borderId="7" xfId="1" applyFont="1" applyFill="1" applyBorder="1" applyAlignment="1">
      <alignment horizontal="left" vertical="top"/>
    </xf>
    <xf numFmtId="0" fontId="2" fillId="2" borderId="19" xfId="1" applyFont="1" applyFill="1" applyBorder="1" applyAlignment="1">
      <alignment horizontal="center" vertical="top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left"/>
    </xf>
    <xf numFmtId="0" fontId="2" fillId="0" borderId="19" xfId="1" applyFont="1" applyBorder="1" applyAlignment="1">
      <alignment horizontal="center"/>
    </xf>
    <xf numFmtId="0" fontId="5" fillId="0" borderId="6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3" fillId="0" borderId="20" xfId="1" applyFont="1" applyBorder="1" applyAlignment="1">
      <alignment horizontal="center" vertical="center" wrapText="1"/>
    </xf>
    <xf numFmtId="0" fontId="2" fillId="2" borderId="5" xfId="1" applyFont="1" applyFill="1" applyBorder="1" applyAlignment="1">
      <alignment horizontal="left"/>
    </xf>
    <xf numFmtId="0" fontId="2" fillId="2" borderId="22" xfId="1" applyFont="1" applyFill="1" applyBorder="1" applyAlignment="1">
      <alignment horizontal="center"/>
    </xf>
    <xf numFmtId="0" fontId="3" fillId="0" borderId="18" xfId="1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left"/>
    </xf>
    <xf numFmtId="0" fontId="2" fillId="2" borderId="0" xfId="1" applyFont="1" applyFill="1" applyBorder="1" applyAlignment="1">
      <alignment horizontal="left" vertical="top"/>
    </xf>
    <xf numFmtId="0" fontId="3" fillId="0" borderId="20" xfId="1" applyFont="1" applyFill="1" applyBorder="1" applyAlignment="1">
      <alignment horizontal="center" vertical="top" wrapText="1"/>
    </xf>
    <xf numFmtId="0" fontId="2" fillId="2" borderId="5" xfId="1" applyFont="1" applyFill="1" applyBorder="1" applyAlignment="1">
      <alignment horizontal="left" vertical="top"/>
    </xf>
    <xf numFmtId="0" fontId="2" fillId="2" borderId="22" xfId="1" applyFont="1" applyFill="1" applyBorder="1" applyAlignment="1">
      <alignment horizontal="center" vertical="top"/>
    </xf>
    <xf numFmtId="0" fontId="3" fillId="0" borderId="23" xfId="1" applyFont="1" applyFill="1" applyBorder="1" applyAlignment="1">
      <alignment horizontal="center" vertical="top" wrapText="1"/>
    </xf>
    <xf numFmtId="0" fontId="2" fillId="2" borderId="24" xfId="1" applyFont="1" applyFill="1" applyBorder="1" applyAlignment="1">
      <alignment horizontal="left" vertical="top"/>
    </xf>
    <xf numFmtId="0" fontId="2" fillId="2" borderId="25" xfId="1" applyFont="1" applyFill="1" applyBorder="1" applyAlignment="1">
      <alignment horizontal="center" vertical="top"/>
    </xf>
    <xf numFmtId="0" fontId="2" fillId="0" borderId="26" xfId="1" applyFont="1" applyBorder="1" applyAlignment="1">
      <alignment horizontal="center"/>
    </xf>
    <xf numFmtId="0" fontId="5" fillId="0" borderId="0" xfId="0" applyFont="1"/>
    <xf numFmtId="0" fontId="10" fillId="0" borderId="1" xfId="0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 wrapText="1"/>
    </xf>
    <xf numFmtId="2" fontId="5" fillId="0" borderId="0" xfId="0" applyNumberFormat="1" applyFont="1"/>
    <xf numFmtId="2" fontId="5" fillId="0" borderId="27" xfId="0" applyNumberFormat="1" applyFont="1" applyBorder="1"/>
    <xf numFmtId="2" fontId="5" fillId="0" borderId="28" xfId="0" applyNumberFormat="1" applyFont="1" applyBorder="1"/>
    <xf numFmtId="0" fontId="5" fillId="0" borderId="24" xfId="0" applyFont="1" applyBorder="1"/>
    <xf numFmtId="0" fontId="5" fillId="0" borderId="10" xfId="0" applyFont="1" applyBorder="1"/>
    <xf numFmtId="2" fontId="5" fillId="0" borderId="10" xfId="0" applyNumberFormat="1" applyFont="1" applyBorder="1"/>
    <xf numFmtId="2" fontId="5" fillId="0" borderId="29" xfId="0" applyNumberFormat="1" applyFont="1" applyBorder="1"/>
    <xf numFmtId="0" fontId="5" fillId="0" borderId="0" xfId="0" applyNumberFormat="1" applyFont="1"/>
    <xf numFmtId="0" fontId="5" fillId="0" borderId="12" xfId="0" applyNumberFormat="1" applyFont="1" applyBorder="1"/>
    <xf numFmtId="0" fontId="5" fillId="0" borderId="30" xfId="0" applyFont="1" applyBorder="1"/>
    <xf numFmtId="0" fontId="5" fillId="0" borderId="31" xfId="0" applyFont="1" applyBorder="1"/>
    <xf numFmtId="2" fontId="5" fillId="0" borderId="13" xfId="0" applyNumberFormat="1" applyFont="1" applyBorder="1"/>
    <xf numFmtId="2" fontId="5" fillId="0" borderId="0" xfId="0" applyNumberFormat="1" applyFont="1" applyBorder="1"/>
    <xf numFmtId="0" fontId="2" fillId="0" borderId="1" xfId="1" applyNumberFormat="1" applyFont="1" applyFill="1" applyBorder="1" applyAlignment="1">
      <alignment horizontal="center"/>
    </xf>
    <xf numFmtId="0" fontId="9" fillId="0" borderId="1" xfId="1" applyNumberFormat="1" applyFont="1" applyFill="1" applyBorder="1" applyAlignment="1">
      <alignment horizontal="center"/>
    </xf>
    <xf numFmtId="0" fontId="11" fillId="0" borderId="0" xfId="0" applyFont="1"/>
    <xf numFmtId="0" fontId="5" fillId="0" borderId="12" xfId="0" applyFont="1" applyBorder="1"/>
    <xf numFmtId="0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/>
    </xf>
    <xf numFmtId="4" fontId="5" fillId="0" borderId="1" xfId="0" applyNumberFormat="1" applyFont="1" applyFill="1" applyBorder="1" applyAlignment="1">
      <alignment horizontal="center"/>
    </xf>
    <xf numFmtId="0" fontId="3" fillId="0" borderId="14" xfId="1" applyFont="1" applyBorder="1" applyAlignment="1">
      <alignment horizontal="center" vertical="center"/>
    </xf>
    <xf numFmtId="0" fontId="3" fillId="0" borderId="20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13" fillId="3" borderId="12" xfId="0" applyFont="1" applyFill="1" applyBorder="1"/>
    <xf numFmtId="0" fontId="13" fillId="3" borderId="13" xfId="0" applyFont="1" applyFill="1" applyBorder="1" applyAlignment="1">
      <alignment horizontal="center"/>
    </xf>
    <xf numFmtId="166" fontId="13" fillId="3" borderId="13" xfId="2" applyNumberFormat="1" applyFont="1" applyFill="1" applyBorder="1" applyAlignment="1">
      <alignment horizontal="center"/>
    </xf>
    <xf numFmtId="164" fontId="13" fillId="3" borderId="27" xfId="2" applyFont="1" applyFill="1" applyBorder="1"/>
    <xf numFmtId="0" fontId="13" fillId="3" borderId="30" xfId="0" applyFont="1" applyFill="1" applyBorder="1"/>
    <xf numFmtId="0" fontId="13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166" fontId="13" fillId="3" borderId="0" xfId="2" applyNumberFormat="1" applyFont="1" applyFill="1" applyBorder="1" applyAlignment="1">
      <alignment horizontal="center"/>
    </xf>
    <xf numFmtId="164" fontId="13" fillId="3" borderId="28" xfId="2" applyFont="1" applyFill="1" applyBorder="1"/>
    <xf numFmtId="14" fontId="14" fillId="3" borderId="0" xfId="0" applyNumberFormat="1" applyFont="1" applyFill="1" applyBorder="1"/>
    <xf numFmtId="15" fontId="13" fillId="3" borderId="0" xfId="0" applyNumberFormat="1" applyFont="1" applyFill="1" applyBorder="1" applyAlignment="1">
      <alignment horizontal="center"/>
    </xf>
    <xf numFmtId="0" fontId="13" fillId="3" borderId="31" xfId="0" applyFont="1" applyFill="1" applyBorder="1"/>
    <xf numFmtId="0" fontId="13" fillId="3" borderId="10" xfId="0" applyFont="1" applyFill="1" applyBorder="1" applyAlignment="1">
      <alignment horizontal="center"/>
    </xf>
    <xf numFmtId="0" fontId="13" fillId="3" borderId="0" xfId="0" applyFont="1" applyFill="1" applyBorder="1"/>
    <xf numFmtId="0" fontId="14" fillId="3" borderId="10" xfId="0" applyFont="1" applyFill="1" applyBorder="1" applyAlignment="1">
      <alignment horizontal="center"/>
    </xf>
    <xf numFmtId="166" fontId="14" fillId="3" borderId="10" xfId="2" applyNumberFormat="1" applyFont="1" applyFill="1" applyBorder="1" applyAlignment="1">
      <alignment horizontal="center"/>
    </xf>
    <xf numFmtId="164" fontId="13" fillId="3" borderId="29" xfId="2" applyFont="1" applyFill="1" applyBorder="1"/>
    <xf numFmtId="0" fontId="13" fillId="4" borderId="30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6" fontId="13" fillId="4" borderId="2" xfId="2" applyNumberFormat="1" applyFont="1" applyFill="1" applyBorder="1" applyAlignment="1">
      <alignment horizontal="center"/>
    </xf>
    <xf numFmtId="164" fontId="13" fillId="4" borderId="28" xfId="2" applyFont="1" applyFill="1" applyBorder="1" applyAlignment="1">
      <alignment horizontal="center"/>
    </xf>
    <xf numFmtId="0" fontId="13" fillId="4" borderId="31" xfId="0" applyFont="1" applyFill="1" applyBorder="1" applyAlignment="1">
      <alignment horizontal="center"/>
    </xf>
    <xf numFmtId="0" fontId="13" fillId="4" borderId="11" xfId="0" applyFont="1" applyFill="1" applyBorder="1" applyAlignment="1">
      <alignment horizontal="center"/>
    </xf>
    <xf numFmtId="166" fontId="13" fillId="4" borderId="11" xfId="2" applyNumberFormat="1" applyFont="1" applyFill="1" applyBorder="1" applyAlignment="1">
      <alignment horizontal="center"/>
    </xf>
    <xf numFmtId="164" fontId="13" fillId="4" borderId="11" xfId="2" applyFont="1" applyFill="1" applyBorder="1" applyAlignment="1">
      <alignment horizontal="center"/>
    </xf>
    <xf numFmtId="0" fontId="14" fillId="4" borderId="30" xfId="0" applyFont="1" applyFill="1" applyBorder="1" applyAlignment="1">
      <alignment horizontal="left"/>
    </xf>
    <xf numFmtId="0" fontId="13" fillId="4" borderId="12" xfId="0" applyFont="1" applyFill="1" applyBorder="1" applyAlignment="1">
      <alignment horizontal="center"/>
    </xf>
    <xf numFmtId="0" fontId="13" fillId="4" borderId="3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2" fontId="13" fillId="4" borderId="33" xfId="0" applyNumberFormat="1" applyFont="1" applyFill="1" applyBorder="1" applyAlignment="1">
      <alignment horizontal="center"/>
    </xf>
    <xf numFmtId="166" fontId="13" fillId="4" borderId="1" xfId="2" applyNumberFormat="1" applyFont="1" applyFill="1" applyBorder="1" applyAlignment="1">
      <alignment horizontal="center"/>
    </xf>
    <xf numFmtId="164" fontId="13" fillId="4" borderId="2" xfId="2" applyFont="1" applyFill="1" applyBorder="1" applyAlignment="1">
      <alignment horizontal="center"/>
    </xf>
    <xf numFmtId="0" fontId="13" fillId="4" borderId="13" xfId="0" applyFont="1" applyFill="1" applyBorder="1" applyAlignment="1">
      <alignment horizontal="center"/>
    </xf>
    <xf numFmtId="0" fontId="14" fillId="4" borderId="30" xfId="0" applyFont="1" applyFill="1" applyBorder="1"/>
    <xf numFmtId="0" fontId="13" fillId="4" borderId="1" xfId="0" applyFont="1" applyFill="1" applyBorder="1" applyAlignment="1">
      <alignment horizontal="center"/>
    </xf>
    <xf numFmtId="0" fontId="13" fillId="4" borderId="30" xfId="0" applyFont="1" applyFill="1" applyBorder="1"/>
    <xf numFmtId="0" fontId="13" fillId="4" borderId="0" xfId="0" applyFont="1" applyFill="1" applyBorder="1" applyAlignment="1">
      <alignment horizontal="center"/>
    </xf>
    <xf numFmtId="164" fontId="13" fillId="4" borderId="29" xfId="2" applyFont="1" applyFill="1" applyBorder="1" applyAlignment="1">
      <alignment horizontal="center"/>
    </xf>
    <xf numFmtId="165" fontId="13" fillId="0" borderId="33" xfId="0" applyNumberFormat="1" applyFont="1" applyFill="1" applyBorder="1" applyAlignment="1">
      <alignment horizontal="center"/>
    </xf>
    <xf numFmtId="164" fontId="13" fillId="4" borderId="2" xfId="2" applyFont="1" applyFill="1" applyBorder="1"/>
    <xf numFmtId="164" fontId="13" fillId="4" borderId="3" xfId="2" applyFont="1" applyFill="1" applyBorder="1"/>
    <xf numFmtId="0" fontId="13" fillId="4" borderId="31" xfId="0" applyFont="1" applyFill="1" applyBorder="1"/>
    <xf numFmtId="0" fontId="13" fillId="4" borderId="10" xfId="0" applyFont="1" applyFill="1" applyBorder="1" applyAlignment="1">
      <alignment horizontal="center"/>
    </xf>
    <xf numFmtId="0" fontId="13" fillId="4" borderId="31" xfId="0" applyFont="1" applyFill="1" applyBorder="1" applyAlignment="1">
      <alignment horizontal="left"/>
    </xf>
    <xf numFmtId="164" fontId="13" fillId="4" borderId="11" xfId="2" applyFont="1" applyFill="1" applyBorder="1"/>
    <xf numFmtId="0" fontId="14" fillId="4" borderId="2" xfId="0" applyFont="1" applyFill="1" applyBorder="1"/>
    <xf numFmtId="0" fontId="13" fillId="4" borderId="33" xfId="0" applyFont="1" applyFill="1" applyBorder="1" applyAlignment="1">
      <alignment horizontal="center"/>
    </xf>
    <xf numFmtId="0" fontId="13" fillId="4" borderId="32" xfId="0" applyFont="1" applyFill="1" applyBorder="1"/>
    <xf numFmtId="164" fontId="13" fillId="4" borderId="28" xfId="2" applyFont="1" applyFill="1" applyBorder="1"/>
    <xf numFmtId="164" fontId="13" fillId="4" borderId="1" xfId="2" applyFont="1" applyFill="1" applyBorder="1"/>
    <xf numFmtId="0" fontId="13" fillId="4" borderId="34" xfId="0" applyFont="1" applyFill="1" applyBorder="1" applyAlignment="1">
      <alignment horizontal="left"/>
    </xf>
    <xf numFmtId="0" fontId="13" fillId="4" borderId="29" xfId="0" applyFont="1" applyFill="1" applyBorder="1" applyAlignment="1">
      <alignment horizontal="center"/>
    </xf>
    <xf numFmtId="0" fontId="14" fillId="4" borderId="12" xfId="0" applyFont="1" applyFill="1" applyBorder="1"/>
    <xf numFmtId="0" fontId="13" fillId="4" borderId="32" xfId="0" applyFont="1" applyFill="1" applyBorder="1" applyAlignment="1">
      <alignment horizontal="center"/>
    </xf>
    <xf numFmtId="2" fontId="13" fillId="4" borderId="34" xfId="0" applyNumberFormat="1" applyFont="1" applyFill="1" applyBorder="1" applyAlignment="1">
      <alignment horizontal="center"/>
    </xf>
    <xf numFmtId="164" fontId="13" fillId="4" borderId="27" xfId="2" applyFont="1" applyFill="1" applyBorder="1"/>
    <xf numFmtId="2" fontId="13" fillId="4" borderId="29" xfId="0" applyNumberFormat="1" applyFont="1" applyFill="1" applyBorder="1" applyAlignment="1">
      <alignment horizontal="center"/>
    </xf>
    <xf numFmtId="0" fontId="13" fillId="4" borderId="0" xfId="0" applyFont="1" applyFill="1" applyBorder="1"/>
    <xf numFmtId="164" fontId="13" fillId="4" borderId="29" xfId="2" applyFont="1" applyFill="1" applyBorder="1"/>
    <xf numFmtId="0" fontId="14" fillId="4" borderId="1" xfId="0" applyFont="1" applyFill="1" applyBorder="1"/>
    <xf numFmtId="2" fontId="13" fillId="4" borderId="1" xfId="0" applyNumberFormat="1" applyFont="1" applyFill="1" applyBorder="1" applyAlignment="1">
      <alignment horizontal="center"/>
    </xf>
    <xf numFmtId="165" fontId="13" fillId="0" borderId="1" xfId="0" applyNumberFormat="1" applyFont="1" applyFill="1" applyBorder="1" applyAlignment="1">
      <alignment horizontal="center"/>
    </xf>
    <xf numFmtId="2" fontId="13" fillId="4" borderId="32" xfId="0" applyNumberFormat="1" applyFont="1" applyFill="1" applyBorder="1" applyAlignment="1">
      <alignment horizontal="center"/>
    </xf>
    <xf numFmtId="2" fontId="13" fillId="4" borderId="11" xfId="0" applyNumberFormat="1" applyFont="1" applyFill="1" applyBorder="1" applyAlignment="1">
      <alignment horizontal="center"/>
    </xf>
    <xf numFmtId="0" fontId="13" fillId="4" borderId="28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3" fillId="0" borderId="32" xfId="0" applyFont="1" applyFill="1" applyBorder="1" applyAlignment="1">
      <alignment horizontal="center"/>
    </xf>
    <xf numFmtId="0" fontId="16" fillId="4" borderId="0" xfId="0" applyFont="1" applyFill="1" applyAlignment="1">
      <alignment horizontal="left"/>
    </xf>
    <xf numFmtId="0" fontId="0" fillId="0" borderId="0" xfId="0" applyFill="1"/>
    <xf numFmtId="0" fontId="0" fillId="4" borderId="0" xfId="0" applyFill="1" applyAlignment="1">
      <alignment horizontal="centerContinuous"/>
    </xf>
    <xf numFmtId="0" fontId="3" fillId="4" borderId="0" xfId="0" applyFont="1" applyFill="1" applyBorder="1" applyAlignment="1">
      <alignment vertical="center"/>
    </xf>
    <xf numFmtId="0" fontId="0" fillId="4" borderId="0" xfId="0" applyFill="1"/>
    <xf numFmtId="0" fontId="15" fillId="4" borderId="2" xfId="0" applyFont="1" applyFill="1" applyBorder="1" applyAlignment="1">
      <alignment horizontal="center"/>
    </xf>
    <xf numFmtId="15" fontId="18" fillId="5" borderId="2" xfId="0" applyNumberFormat="1" applyFont="1" applyFill="1" applyBorder="1" applyAlignment="1">
      <alignment horizontal="center" vertical="center"/>
    </xf>
    <xf numFmtId="15" fontId="18" fillId="7" borderId="2" xfId="0" applyNumberFormat="1" applyFont="1" applyFill="1" applyBorder="1" applyAlignment="1">
      <alignment horizontal="center" vertical="center"/>
    </xf>
    <xf numFmtId="15" fontId="18" fillId="8" borderId="2" xfId="0" applyNumberFormat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left"/>
    </xf>
    <xf numFmtId="1" fontId="15" fillId="0" borderId="12" xfId="0" applyNumberFormat="1" applyFont="1" applyFill="1" applyBorder="1" applyAlignment="1">
      <alignment horizontal="center"/>
    </xf>
    <xf numFmtId="1" fontId="15" fillId="0" borderId="2" xfId="0" applyNumberFormat="1" applyFont="1" applyFill="1" applyBorder="1" applyAlignment="1">
      <alignment horizontal="center"/>
    </xf>
    <xf numFmtId="0" fontId="2" fillId="2" borderId="30" xfId="1" applyFont="1" applyFill="1" applyBorder="1" applyAlignment="1">
      <alignment horizontal="left"/>
    </xf>
    <xf numFmtId="1" fontId="15" fillId="0" borderId="30" xfId="0" applyNumberFormat="1" applyFont="1" applyFill="1" applyBorder="1" applyAlignment="1">
      <alignment horizontal="center"/>
    </xf>
    <xf numFmtId="1" fontId="15" fillId="0" borderId="3" xfId="0" applyNumberFormat="1" applyFont="1" applyFill="1" applyBorder="1" applyAlignment="1">
      <alignment horizontal="center"/>
    </xf>
    <xf numFmtId="0" fontId="2" fillId="2" borderId="30" xfId="1" applyFont="1" applyFill="1" applyBorder="1" applyAlignment="1">
      <alignment horizontal="left" vertical="top"/>
    </xf>
    <xf numFmtId="0" fontId="2" fillId="0" borderId="30" xfId="1" applyFont="1" applyBorder="1" applyAlignment="1">
      <alignment horizontal="left"/>
    </xf>
    <xf numFmtId="0" fontId="2" fillId="2" borderId="31" xfId="1" applyFont="1" applyFill="1" applyBorder="1" applyAlignment="1">
      <alignment horizontal="left" vertical="top"/>
    </xf>
    <xf numFmtId="1" fontId="15" fillId="0" borderId="31" xfId="0" applyNumberFormat="1" applyFont="1" applyFill="1" applyBorder="1" applyAlignment="1">
      <alignment horizontal="center"/>
    </xf>
    <xf numFmtId="1" fontId="15" fillId="0" borderId="11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 vertical="center"/>
    </xf>
    <xf numFmtId="2" fontId="0" fillId="0" borderId="0" xfId="0" applyNumberFormat="1" applyFill="1"/>
    <xf numFmtId="2" fontId="15" fillId="0" borderId="3" xfId="0" applyNumberFormat="1" applyFont="1" applyFill="1" applyBorder="1" applyAlignment="1">
      <alignment horizontal="center"/>
    </xf>
    <xf numFmtId="2" fontId="15" fillId="0" borderId="30" xfId="0" applyNumberFormat="1" applyFont="1" applyFill="1" applyBorder="1" applyAlignment="1">
      <alignment horizontal="center"/>
    </xf>
    <xf numFmtId="2" fontId="15" fillId="0" borderId="0" xfId="0" applyNumberFormat="1" applyFont="1" applyFill="1" applyBorder="1" applyAlignment="1">
      <alignment horizontal="center"/>
    </xf>
    <xf numFmtId="2" fontId="15" fillId="0" borderId="11" xfId="0" applyNumberFormat="1" applyFont="1" applyFill="1" applyBorder="1" applyAlignment="1">
      <alignment horizontal="center"/>
    </xf>
    <xf numFmtId="2" fontId="15" fillId="0" borderId="31" xfId="0" applyNumberFormat="1" applyFont="1" applyFill="1" applyBorder="1" applyAlignment="1">
      <alignment horizontal="center"/>
    </xf>
    <xf numFmtId="2" fontId="15" fillId="0" borderId="10" xfId="0" applyNumberFormat="1" applyFont="1" applyFill="1" applyBorder="1" applyAlignment="1">
      <alignment horizontal="center"/>
    </xf>
    <xf numFmtId="2" fontId="19" fillId="4" borderId="0" xfId="0" applyNumberFormat="1" applyFont="1" applyFill="1" applyBorder="1" applyAlignment="1">
      <alignment horizontal="left"/>
    </xf>
    <xf numFmtId="0" fontId="3" fillId="4" borderId="0" xfId="0" applyFont="1" applyFill="1" applyAlignment="1">
      <alignment horizontal="left" vertical="center"/>
    </xf>
    <xf numFmtId="165" fontId="15" fillId="0" borderId="3" xfId="0" applyNumberFormat="1" applyFont="1" applyFill="1" applyBorder="1" applyAlignment="1">
      <alignment horizontal="center"/>
    </xf>
    <xf numFmtId="0" fontId="15" fillId="4" borderId="32" xfId="0" applyFont="1" applyFill="1" applyBorder="1"/>
    <xf numFmtId="165" fontId="15" fillId="0" borderId="1" xfId="0" applyNumberFormat="1" applyFont="1" applyFill="1" applyBorder="1" applyAlignment="1">
      <alignment horizontal="center"/>
    </xf>
    <xf numFmtId="0" fontId="15" fillId="4" borderId="0" xfId="0" applyFont="1" applyFill="1"/>
    <xf numFmtId="0" fontId="3" fillId="4" borderId="0" xfId="0" applyFont="1" applyFill="1" applyAlignment="1">
      <alignment vertical="center"/>
    </xf>
    <xf numFmtId="0" fontId="15" fillId="4" borderId="1" xfId="0" applyFont="1" applyFill="1" applyBorder="1"/>
    <xf numFmtId="1" fontId="15" fillId="0" borderId="1" xfId="0" applyNumberFormat="1" applyFont="1" applyFill="1" applyBorder="1" applyAlignment="1">
      <alignment horizontal="center"/>
    </xf>
    <xf numFmtId="0" fontId="15" fillId="4" borderId="0" xfId="0" applyFont="1" applyFill="1" applyBorder="1"/>
    <xf numFmtId="0" fontId="15" fillId="0" borderId="3" xfId="0" applyFont="1" applyFill="1" applyBorder="1" applyAlignment="1">
      <alignment horizontal="center"/>
    </xf>
    <xf numFmtId="0" fontId="15" fillId="0" borderId="30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/>
    </xf>
    <xf numFmtId="0" fontId="15" fillId="0" borderId="13" xfId="0" applyFont="1" applyFill="1" applyBorder="1" applyAlignment="1">
      <alignment horizontal="center"/>
    </xf>
    <xf numFmtId="0" fontId="15" fillId="0" borderId="27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5" fillId="0" borderId="28" xfId="0" applyFont="1" applyFill="1" applyBorder="1" applyAlignment="1">
      <alignment horizontal="center"/>
    </xf>
    <xf numFmtId="0" fontId="15" fillId="0" borderId="11" xfId="0" applyFont="1" applyFill="1" applyBorder="1" applyAlignment="1">
      <alignment horizontal="center"/>
    </xf>
    <xf numFmtId="0" fontId="15" fillId="0" borderId="29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/>
    </xf>
    <xf numFmtId="0" fontId="15" fillId="0" borderId="31" xfId="0" applyFont="1" applyFill="1" applyBorder="1" applyAlignment="1">
      <alignment horizontal="center"/>
    </xf>
    <xf numFmtId="15" fontId="18" fillId="9" borderId="2" xfId="0" applyNumberFormat="1" applyFont="1" applyFill="1" applyBorder="1" applyAlignment="1">
      <alignment horizontal="center" vertical="center"/>
    </xf>
    <xf numFmtId="15" fontId="18" fillId="10" borderId="2" xfId="0" applyNumberFormat="1" applyFont="1" applyFill="1" applyBorder="1" applyAlignment="1">
      <alignment horizontal="center" vertical="center"/>
    </xf>
    <xf numFmtId="2" fontId="5" fillId="0" borderId="12" xfId="0" applyNumberFormat="1" applyFont="1" applyBorder="1"/>
    <xf numFmtId="0" fontId="0" fillId="0" borderId="0" xfId="0" applyBorder="1"/>
    <xf numFmtId="2" fontId="5" fillId="0" borderId="3" xfId="0" applyNumberFormat="1" applyFont="1" applyFill="1" applyBorder="1" applyAlignment="1">
      <alignment horizontal="center"/>
    </xf>
    <xf numFmtId="0" fontId="2" fillId="2" borderId="0" xfId="0" applyFont="1" applyFill="1" applyBorder="1"/>
    <xf numFmtId="0" fontId="2" fillId="2" borderId="0" xfId="0" applyFont="1" applyFill="1"/>
    <xf numFmtId="0" fontId="2" fillId="2" borderId="0" xfId="0" applyFont="1" applyFill="1" applyAlignment="1">
      <alignment horizontal="right"/>
    </xf>
    <xf numFmtId="1" fontId="2" fillId="2" borderId="0" xfId="0" applyNumberFormat="1" applyFont="1" applyFill="1" applyAlignment="1">
      <alignment horizontal="right"/>
    </xf>
    <xf numFmtId="0" fontId="2" fillId="2" borderId="31" xfId="0" applyFont="1" applyFill="1" applyBorder="1" applyAlignment="1">
      <alignment horizontal="right"/>
    </xf>
    <xf numFmtId="0" fontId="2" fillId="2" borderId="29" xfId="0" applyFont="1" applyFill="1" applyBorder="1"/>
    <xf numFmtId="0" fontId="3" fillId="2" borderId="2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right"/>
    </xf>
    <xf numFmtId="0" fontId="3" fillId="2" borderId="0" xfId="0" applyFont="1" applyFill="1"/>
    <xf numFmtId="1" fontId="2" fillId="2" borderId="13" xfId="0" applyNumberFormat="1" applyFont="1" applyFill="1" applyBorder="1" applyAlignment="1">
      <alignment horizontal="right"/>
    </xf>
    <xf numFmtId="1" fontId="2" fillId="2" borderId="12" xfId="0" applyNumberFormat="1" applyFont="1" applyFill="1" applyBorder="1" applyAlignment="1">
      <alignment horizontal="right"/>
    </xf>
    <xf numFmtId="1" fontId="2" fillId="2" borderId="2" xfId="0" applyNumberFormat="1" applyFont="1" applyFill="1" applyBorder="1" applyAlignment="1">
      <alignment horizontal="right"/>
    </xf>
    <xf numFmtId="1" fontId="2" fillId="2" borderId="0" xfId="0" applyNumberFormat="1" applyFont="1" applyFill="1"/>
    <xf numFmtId="1" fontId="2" fillId="2" borderId="0" xfId="0" applyNumberFormat="1" applyFont="1" applyFill="1" applyBorder="1" applyAlignment="1">
      <alignment horizontal="right"/>
    </xf>
    <xf numFmtId="1" fontId="2" fillId="2" borderId="30" xfId="0" applyNumberFormat="1" applyFont="1" applyFill="1" applyBorder="1" applyAlignment="1">
      <alignment horizontal="right"/>
    </xf>
    <xf numFmtId="1" fontId="2" fillId="2" borderId="3" xfId="0" applyNumberFormat="1" applyFont="1" applyFill="1" applyBorder="1" applyAlignment="1">
      <alignment horizontal="right"/>
    </xf>
    <xf numFmtId="0" fontId="2" fillId="2" borderId="31" xfId="1" applyFont="1" applyFill="1" applyBorder="1" applyAlignment="1">
      <alignment horizontal="left"/>
    </xf>
    <xf numFmtId="1" fontId="2" fillId="2" borderId="10" xfId="0" applyNumberFormat="1" applyFont="1" applyFill="1" applyBorder="1" applyAlignment="1">
      <alignment horizontal="right"/>
    </xf>
    <xf numFmtId="1" fontId="2" fillId="2" borderId="31" xfId="0" applyNumberFormat="1" applyFont="1" applyFill="1" applyBorder="1" applyAlignment="1">
      <alignment horizontal="right"/>
    </xf>
    <xf numFmtId="1" fontId="2" fillId="2" borderId="11" xfId="0" applyNumberFormat="1" applyFont="1" applyFill="1" applyBorder="1" applyAlignment="1">
      <alignment horizontal="right"/>
    </xf>
    <xf numFmtId="2" fontId="2" fillId="2" borderId="0" xfId="0" applyNumberFormat="1" applyFont="1" applyFill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2" fontId="2" fillId="7" borderId="2" xfId="0" applyNumberFormat="1" applyFont="1" applyFill="1" applyBorder="1" applyAlignment="1">
      <alignment horizontal="right"/>
    </xf>
    <xf numFmtId="2" fontId="2" fillId="7" borderId="3" xfId="0" applyNumberFormat="1" applyFont="1" applyFill="1" applyBorder="1" applyAlignment="1">
      <alignment horizontal="right"/>
    </xf>
    <xf numFmtId="2" fontId="2" fillId="2" borderId="0" xfId="0" applyNumberFormat="1" applyFont="1" applyFill="1" applyBorder="1" applyAlignment="1">
      <alignment horizontal="right"/>
    </xf>
    <xf numFmtId="0" fontId="3" fillId="7" borderId="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right"/>
    </xf>
    <xf numFmtId="165" fontId="2" fillId="2" borderId="0" xfId="0" applyNumberFormat="1" applyFont="1" applyFill="1" applyAlignment="1">
      <alignment horizontal="right"/>
    </xf>
    <xf numFmtId="9" fontId="2" fillId="2" borderId="0" xfId="0" applyNumberFormat="1" applyFont="1" applyFill="1"/>
    <xf numFmtId="2" fontId="2" fillId="7" borderId="30" xfId="0" applyNumberFormat="1" applyFont="1" applyFill="1" applyBorder="1" applyAlignment="1">
      <alignment horizontal="right"/>
    </xf>
    <xf numFmtId="2" fontId="2" fillId="7" borderId="1" xfId="0" applyNumberFormat="1" applyFont="1" applyFill="1" applyBorder="1" applyAlignment="1">
      <alignment horizontal="right"/>
    </xf>
    <xf numFmtId="1" fontId="2" fillId="2" borderId="0" xfId="0" applyNumberFormat="1" applyFont="1" applyFill="1" applyBorder="1" applyAlignment="1">
      <alignment horizontal="center"/>
    </xf>
    <xf numFmtId="1" fontId="15" fillId="2" borderId="0" xfId="0" applyNumberFormat="1" applyFont="1" applyFill="1" applyAlignment="1">
      <alignment horizontal="right"/>
    </xf>
    <xf numFmtId="0" fontId="15" fillId="2" borderId="0" xfId="0" applyFont="1" applyFill="1" applyAlignment="1">
      <alignment horizontal="right"/>
    </xf>
    <xf numFmtId="0" fontId="15" fillId="2" borderId="0" xfId="0" applyFont="1" applyFill="1"/>
    <xf numFmtId="1" fontId="15" fillId="2" borderId="0" xfId="0" applyNumberFormat="1" applyFont="1" applyFill="1"/>
    <xf numFmtId="1" fontId="2" fillId="2" borderId="28" xfId="0" applyNumberFormat="1" applyFont="1" applyFill="1" applyBorder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22" fillId="12" borderId="0" xfId="0" applyFont="1" applyFill="1" applyBorder="1" applyAlignment="1">
      <alignment horizontal="left"/>
    </xf>
    <xf numFmtId="0" fontId="0" fillId="13" borderId="0" xfId="0" applyFill="1" applyBorder="1"/>
    <xf numFmtId="0" fontId="3" fillId="12" borderId="36" xfId="0" applyFont="1" applyFill="1" applyBorder="1" applyAlignment="1">
      <alignment horizontal="left"/>
    </xf>
    <xf numFmtId="0" fontId="29" fillId="13" borderId="35" xfId="0" applyFont="1" applyFill="1" applyBorder="1"/>
    <xf numFmtId="0" fontId="2" fillId="12" borderId="37" xfId="1" applyFont="1" applyFill="1" applyBorder="1" applyAlignment="1"/>
    <xf numFmtId="0" fontId="2" fillId="12" borderId="3" xfId="1" applyFont="1" applyFill="1" applyBorder="1" applyAlignment="1"/>
    <xf numFmtId="0" fontId="2" fillId="12" borderId="3" xfId="1" applyFont="1" applyFill="1" applyBorder="1" applyAlignment="1">
      <alignment vertical="center"/>
    </xf>
    <xf numFmtId="0" fontId="2" fillId="12" borderId="11" xfId="1" applyFont="1" applyFill="1" applyBorder="1" applyAlignment="1"/>
    <xf numFmtId="0" fontId="22" fillId="14" borderId="0" xfId="0" applyFont="1" applyFill="1" applyBorder="1" applyAlignment="1">
      <alignment horizontal="left"/>
    </xf>
    <xf numFmtId="0" fontId="0" fillId="14" borderId="0" xfId="0" applyFill="1" applyBorder="1"/>
    <xf numFmtId="0" fontId="0" fillId="14" borderId="0" xfId="0" applyFill="1"/>
    <xf numFmtId="0" fontId="3" fillId="14" borderId="36" xfId="0" applyFont="1" applyFill="1" applyBorder="1" applyAlignment="1">
      <alignment horizontal="left"/>
    </xf>
    <xf numFmtId="0" fontId="29" fillId="15" borderId="35" xfId="0" applyFont="1" applyFill="1" applyBorder="1"/>
    <xf numFmtId="0" fontId="2" fillId="14" borderId="3" xfId="1" applyFont="1" applyFill="1" applyBorder="1" applyAlignment="1">
      <alignment horizontal="left"/>
    </xf>
    <xf numFmtId="0" fontId="2" fillId="14" borderId="11" xfId="1" applyFont="1" applyFill="1" applyBorder="1" applyAlignment="1">
      <alignment horizontal="left"/>
    </xf>
    <xf numFmtId="0" fontId="2" fillId="14" borderId="30" xfId="1" applyFont="1" applyFill="1" applyBorder="1" applyAlignment="1">
      <alignment horizontal="left"/>
    </xf>
    <xf numFmtId="0" fontId="0" fillId="16" borderId="0" xfId="0" applyFill="1"/>
    <xf numFmtId="0" fontId="30" fillId="16" borderId="0" xfId="0" applyFont="1" applyFill="1"/>
    <xf numFmtId="0" fontId="0" fillId="11" borderId="0" xfId="0" applyFill="1"/>
    <xf numFmtId="0" fontId="30" fillId="11" borderId="0" xfId="0" applyFont="1" applyFill="1"/>
    <xf numFmtId="0" fontId="30" fillId="17" borderId="0" xfId="0" applyFont="1" applyFill="1"/>
    <xf numFmtId="0" fontId="0" fillId="17" borderId="0" xfId="0" applyFill="1"/>
    <xf numFmtId="0" fontId="30" fillId="14" borderId="0" xfId="0" applyFont="1" applyFill="1"/>
    <xf numFmtId="0" fontId="30" fillId="18" borderId="0" xfId="0" applyFont="1" applyFill="1"/>
    <xf numFmtId="0" fontId="0" fillId="18" borderId="0" xfId="0" applyFill="1"/>
    <xf numFmtId="0" fontId="30" fillId="19" borderId="0" xfId="0" applyFont="1" applyFill="1"/>
    <xf numFmtId="0" fontId="0" fillId="19" borderId="0" xfId="0" applyFill="1"/>
    <xf numFmtId="9" fontId="0" fillId="13" borderId="3" xfId="0" applyNumberFormat="1" applyFill="1" applyBorder="1"/>
    <xf numFmtId="9" fontId="0" fillId="13" borderId="11" xfId="0" applyNumberFormat="1" applyFill="1" applyBorder="1"/>
    <xf numFmtId="9" fontId="0" fillId="14" borderId="3" xfId="0" applyNumberFormat="1" applyFill="1" applyBorder="1" applyAlignment="1">
      <alignment horizontal="center" vertical="center"/>
    </xf>
    <xf numFmtId="9" fontId="0" fillId="14" borderId="28" xfId="0" applyNumberFormat="1" applyFill="1" applyBorder="1" applyAlignment="1">
      <alignment horizontal="center" vertical="center"/>
    </xf>
    <xf numFmtId="9" fontId="0" fillId="14" borderId="3" xfId="0" applyNumberFormat="1" applyFill="1" applyBorder="1" applyAlignment="1">
      <alignment horizontal="center"/>
    </xf>
    <xf numFmtId="9" fontId="0" fillId="14" borderId="28" xfId="0" applyNumberFormat="1" applyFill="1" applyBorder="1" applyAlignment="1">
      <alignment horizontal="center"/>
    </xf>
    <xf numFmtId="9" fontId="0" fillId="14" borderId="11" xfId="0" applyNumberFormat="1" applyFill="1" applyBorder="1" applyAlignment="1">
      <alignment horizontal="center"/>
    </xf>
    <xf numFmtId="0" fontId="0" fillId="2" borderId="0" xfId="0" applyFill="1"/>
    <xf numFmtId="1" fontId="0" fillId="2" borderId="0" xfId="0" applyNumberFormat="1" applyFill="1"/>
    <xf numFmtId="1" fontId="3" fillId="2" borderId="0" xfId="0" applyNumberFormat="1" applyFont="1" applyFill="1" applyAlignment="1">
      <alignment horizontal="center"/>
    </xf>
    <xf numFmtId="1" fontId="3" fillId="2" borderId="0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5" fillId="2" borderId="0" xfId="0" applyNumberFormat="1" applyFont="1" applyFill="1" applyAlignment="1">
      <alignment horizontal="center"/>
    </xf>
    <xf numFmtId="1" fontId="2" fillId="2" borderId="0" xfId="0" applyNumberFormat="1" applyFont="1" applyFill="1" applyBorder="1"/>
    <xf numFmtId="0" fontId="0" fillId="2" borderId="0" xfId="0" applyFill="1" applyBorder="1"/>
    <xf numFmtId="1" fontId="0" fillId="2" borderId="0" xfId="0" applyNumberFormat="1" applyFill="1" applyAlignment="1">
      <alignment horizontal="center"/>
    </xf>
    <xf numFmtId="168" fontId="2" fillId="2" borderId="0" xfId="3" applyNumberFormat="1" applyFont="1" applyFill="1"/>
    <xf numFmtId="0" fontId="30" fillId="20" borderId="0" xfId="0" applyFont="1" applyFill="1"/>
    <xf numFmtId="0" fontId="0" fillId="20" borderId="0" xfId="0" applyFill="1"/>
    <xf numFmtId="0" fontId="30" fillId="21" borderId="0" xfId="0" applyFont="1" applyFill="1"/>
    <xf numFmtId="0" fontId="0" fillId="21" borderId="0" xfId="0" applyFill="1"/>
    <xf numFmtId="0" fontId="0" fillId="22" borderId="0" xfId="0" applyFill="1"/>
    <xf numFmtId="0" fontId="30" fillId="22" borderId="0" xfId="0" applyFont="1" applyFill="1"/>
    <xf numFmtId="0" fontId="30" fillId="23" borderId="0" xfId="0" applyFont="1" applyFill="1"/>
    <xf numFmtId="0" fontId="0" fillId="23" borderId="0" xfId="0" applyFill="1"/>
    <xf numFmtId="0" fontId="30" fillId="24" borderId="0" xfId="0" applyFont="1" applyFill="1"/>
    <xf numFmtId="0" fontId="0" fillId="24" borderId="0" xfId="0" applyFill="1"/>
    <xf numFmtId="0" fontId="30" fillId="25" borderId="0" xfId="0" applyFont="1" applyFill="1"/>
    <xf numFmtId="0" fontId="0" fillId="25" borderId="0" xfId="0" applyFill="1"/>
    <xf numFmtId="0" fontId="30" fillId="26" borderId="0" xfId="0" applyFont="1" applyFill="1"/>
    <xf numFmtId="0" fontId="0" fillId="26" borderId="0" xfId="0" applyFill="1"/>
    <xf numFmtId="0" fontId="30" fillId="27" borderId="0" xfId="0" applyFont="1" applyFill="1"/>
    <xf numFmtId="0" fontId="0" fillId="27" borderId="0" xfId="0" applyFill="1"/>
    <xf numFmtId="0" fontId="30" fillId="28" borderId="0" xfId="0" applyFont="1" applyFill="1"/>
    <xf numFmtId="0" fontId="0" fillId="28" borderId="0" xfId="0" applyFill="1"/>
    <xf numFmtId="0" fontId="30" fillId="29" borderId="0" xfId="0" applyFont="1" applyFill="1"/>
    <xf numFmtId="0" fontId="0" fillId="29" borderId="0" xfId="0" applyFill="1"/>
    <xf numFmtId="0" fontId="30" fillId="30" borderId="0" xfId="0" applyFont="1" applyFill="1"/>
    <xf numFmtId="0" fontId="0" fillId="30" borderId="0" xfId="0" applyFill="1"/>
    <xf numFmtId="0" fontId="30" fillId="31" borderId="0" xfId="0" applyFont="1" applyFill="1"/>
    <xf numFmtId="0" fontId="0" fillId="31" borderId="0" xfId="0" applyFill="1"/>
    <xf numFmtId="0" fontId="30" fillId="32" borderId="0" xfId="0" applyFont="1" applyFill="1"/>
    <xf numFmtId="0" fontId="0" fillId="32" borderId="0" xfId="0" applyFill="1"/>
    <xf numFmtId="0" fontId="30" fillId="33" borderId="0" xfId="0" applyFont="1" applyFill="1"/>
    <xf numFmtId="0" fontId="0" fillId="33" borderId="0" xfId="0" applyFill="1"/>
    <xf numFmtId="168" fontId="2" fillId="2" borderId="0" xfId="0" applyNumberFormat="1" applyFont="1" applyFill="1" applyAlignment="1">
      <alignment horizontal="right"/>
    </xf>
    <xf numFmtId="168" fontId="0" fillId="14" borderId="28" xfId="0" applyNumberFormat="1" applyFill="1" applyBorder="1" applyAlignment="1">
      <alignment horizontal="center" vertical="center"/>
    </xf>
    <xf numFmtId="0" fontId="30" fillId="34" borderId="0" xfId="0" applyFont="1" applyFill="1"/>
    <xf numFmtId="0" fontId="0" fillId="34" borderId="0" xfId="0" applyFill="1"/>
    <xf numFmtId="0" fontId="3" fillId="34" borderId="0" xfId="0" applyFont="1" applyFill="1" applyBorder="1" applyAlignment="1">
      <alignment horizontal="center"/>
    </xf>
    <xf numFmtId="1" fontId="0" fillId="34" borderId="0" xfId="0" applyNumberFormat="1" applyFill="1"/>
    <xf numFmtId="0" fontId="2" fillId="34" borderId="0" xfId="1" applyFont="1" applyFill="1" applyBorder="1" applyAlignment="1">
      <alignment horizontal="left"/>
    </xf>
    <xf numFmtId="0" fontId="0" fillId="34" borderId="0" xfId="0" applyFill="1" applyBorder="1"/>
    <xf numFmtId="1" fontId="2" fillId="34" borderId="0" xfId="0" applyNumberFormat="1" applyFont="1" applyFill="1" applyBorder="1" applyAlignment="1">
      <alignment horizontal="right"/>
    </xf>
    <xf numFmtId="1" fontId="0" fillId="34" borderId="0" xfId="0" applyNumberFormat="1" applyFill="1" applyBorder="1"/>
    <xf numFmtId="9" fontId="0" fillId="34" borderId="0" xfId="0" applyNumberFormat="1" applyFill="1"/>
    <xf numFmtId="9" fontId="7" fillId="34" borderId="0" xfId="0" applyNumberFormat="1" applyFont="1" applyFill="1"/>
    <xf numFmtId="0" fontId="2" fillId="34" borderId="30" xfId="1" applyFont="1" applyFill="1" applyBorder="1" applyAlignment="1">
      <alignment horizontal="left"/>
    </xf>
    <xf numFmtId="10" fontId="0" fillId="34" borderId="0" xfId="0" applyNumberFormat="1" applyFill="1"/>
    <xf numFmtId="2" fontId="5" fillId="2" borderId="0" xfId="0" applyNumberFormat="1" applyFont="1" applyFill="1" applyAlignment="1">
      <alignment horizontal="right"/>
    </xf>
    <xf numFmtId="2" fontId="5" fillId="2" borderId="28" xfId="0" applyNumberFormat="1" applyFont="1" applyFill="1" applyBorder="1" applyAlignment="1">
      <alignment horizontal="right"/>
    </xf>
    <xf numFmtId="2" fontId="5" fillId="0" borderId="0" xfId="0" applyNumberFormat="1" applyFont="1" applyFill="1" applyAlignment="1">
      <alignment horizontal="right"/>
    </xf>
    <xf numFmtId="2" fontId="5" fillId="0" borderId="28" xfId="0" applyNumberFormat="1" applyFont="1" applyFill="1" applyBorder="1" applyAlignment="1">
      <alignment horizontal="right"/>
    </xf>
    <xf numFmtId="0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/>
    <xf numFmtId="165" fontId="5" fillId="2" borderId="0" xfId="0" applyNumberFormat="1" applyFont="1" applyFill="1"/>
    <xf numFmtId="165" fontId="5" fillId="2" borderId="28" xfId="0" applyNumberFormat="1" applyFont="1" applyFill="1" applyBorder="1"/>
    <xf numFmtId="2" fontId="5" fillId="2" borderId="0" xfId="0" applyNumberFormat="1" applyFont="1" applyFill="1"/>
    <xf numFmtId="2" fontId="5" fillId="2" borderId="28" xfId="0" applyNumberFormat="1" applyFont="1" applyFill="1" applyBorder="1"/>
    <xf numFmtId="2" fontId="5" fillId="0" borderId="0" xfId="0" applyNumberFormat="1" applyFont="1" applyFill="1"/>
    <xf numFmtId="2" fontId="5" fillId="0" borderId="28" xfId="0" applyNumberFormat="1" applyFont="1" applyFill="1" applyBorder="1"/>
    <xf numFmtId="0" fontId="5" fillId="0" borderId="0" xfId="0" applyFont="1" applyFill="1"/>
    <xf numFmtId="0" fontId="5" fillId="0" borderId="10" xfId="0" applyFont="1" applyFill="1" applyBorder="1"/>
    <xf numFmtId="2" fontId="5" fillId="0" borderId="10" xfId="0" applyNumberFormat="1" applyFont="1" applyFill="1" applyBorder="1"/>
    <xf numFmtId="2" fontId="5" fillId="0" borderId="29" xfId="0" applyNumberFormat="1" applyFont="1" applyFill="1" applyBorder="1"/>
    <xf numFmtId="2" fontId="5" fillId="0" borderId="10" xfId="0" applyNumberFormat="1" applyFont="1" applyFill="1" applyBorder="1" applyAlignment="1">
      <alignment horizontal="right"/>
    </xf>
    <xf numFmtId="2" fontId="5" fillId="0" borderId="29" xfId="0" applyNumberFormat="1" applyFont="1" applyFill="1" applyBorder="1" applyAlignment="1">
      <alignment horizontal="right"/>
    </xf>
    <xf numFmtId="2" fontId="5" fillId="0" borderId="27" xfId="0" applyNumberFormat="1" applyFont="1" applyFill="1" applyBorder="1"/>
    <xf numFmtId="0" fontId="5" fillId="0" borderId="12" xfId="0" applyFont="1" applyFill="1" applyBorder="1"/>
    <xf numFmtId="0" fontId="5" fillId="0" borderId="30" xfId="0" applyFont="1" applyFill="1" applyBorder="1"/>
    <xf numFmtId="0" fontId="5" fillId="0" borderId="31" xfId="0" applyFont="1" applyFill="1" applyBorder="1"/>
    <xf numFmtId="2" fontId="5" fillId="0" borderId="0" xfId="0" applyNumberFormat="1" applyFont="1" applyFill="1" applyBorder="1"/>
    <xf numFmtId="2" fontId="5" fillId="0" borderId="0" xfId="0" applyNumberFormat="1" applyFont="1" applyFill="1" applyBorder="1" applyAlignment="1">
      <alignment horizontal="right"/>
    </xf>
    <xf numFmtId="1" fontId="5" fillId="0" borderId="30" xfId="0" applyNumberFormat="1" applyFont="1" applyBorder="1"/>
    <xf numFmtId="1" fontId="5" fillId="0" borderId="0" xfId="0" applyNumberFormat="1" applyFont="1" applyFill="1"/>
    <xf numFmtId="1" fontId="15" fillId="2" borderId="0" xfId="0" applyNumberFormat="1" applyFont="1" applyFill="1" applyBorder="1" applyAlignment="1">
      <alignment horizontal="center"/>
    </xf>
    <xf numFmtId="2" fontId="15" fillId="7" borderId="3" xfId="0" applyNumberFormat="1" applyFont="1" applyFill="1" applyBorder="1" applyAlignment="1">
      <alignment horizontal="center"/>
    </xf>
    <xf numFmtId="2" fontId="15" fillId="7" borderId="30" xfId="0" applyNumberFormat="1" applyFont="1" applyFill="1" applyBorder="1" applyAlignment="1">
      <alignment horizontal="center"/>
    </xf>
    <xf numFmtId="2" fontId="15" fillId="7" borderId="3" xfId="0" applyNumberFormat="1" applyFont="1" applyFill="1" applyBorder="1"/>
    <xf numFmtId="2" fontId="15" fillId="7" borderId="30" xfId="0" applyNumberFormat="1" applyFont="1" applyFill="1" applyBorder="1"/>
    <xf numFmtId="2" fontId="15" fillId="7" borderId="0" xfId="0" applyNumberFormat="1" applyFont="1" applyFill="1" applyBorder="1" applyAlignment="1">
      <alignment horizontal="center"/>
    </xf>
    <xf numFmtId="0" fontId="29" fillId="34" borderId="0" xfId="0" applyFont="1" applyFill="1" applyBorder="1"/>
    <xf numFmtId="0" fontId="2" fillId="34" borderId="0" xfId="0" applyFont="1" applyFill="1" applyBorder="1" applyAlignment="1">
      <alignment horizontal="center" vertical="center"/>
    </xf>
    <xf numFmtId="1" fontId="0" fillId="34" borderId="0" xfId="0" applyNumberFormat="1" applyFill="1" applyBorder="1" applyAlignment="1">
      <alignment horizontal="center"/>
    </xf>
    <xf numFmtId="0" fontId="31" fillId="34" borderId="0" xfId="1" applyFont="1" applyFill="1" applyBorder="1" applyAlignment="1">
      <alignment horizontal="left"/>
    </xf>
    <xf numFmtId="9" fontId="32" fillId="34" borderId="0" xfId="0" applyNumberFormat="1" applyFont="1" applyFill="1" applyBorder="1" applyAlignment="1">
      <alignment horizontal="right"/>
    </xf>
    <xf numFmtId="9" fontId="32" fillId="34" borderId="0" xfId="0" applyNumberFormat="1" applyFont="1" applyFill="1" applyBorder="1"/>
    <xf numFmtId="0" fontId="0" fillId="16" borderId="0" xfId="0" applyFill="1" applyBorder="1"/>
    <xf numFmtId="0" fontId="30" fillId="16" borderId="0" xfId="0" applyFont="1" applyFill="1" applyBorder="1"/>
    <xf numFmtId="0" fontId="2" fillId="16" borderId="0" xfId="1" applyFont="1" applyFill="1" applyBorder="1" applyAlignment="1">
      <alignment horizontal="left"/>
    </xf>
    <xf numFmtId="0" fontId="29" fillId="16" borderId="0" xfId="0" applyFont="1" applyFill="1" applyBorder="1"/>
    <xf numFmtId="0" fontId="2" fillId="16" borderId="0" xfId="0" applyFont="1" applyFill="1" applyBorder="1" applyAlignment="1">
      <alignment horizontal="center" vertical="center"/>
    </xf>
    <xf numFmtId="1" fontId="0" fillId="16" borderId="0" xfId="0" applyNumberFormat="1" applyFill="1" applyBorder="1" applyAlignment="1">
      <alignment horizontal="center"/>
    </xf>
    <xf numFmtId="0" fontId="0" fillId="11" borderId="0" xfId="0" applyFill="1" applyBorder="1"/>
    <xf numFmtId="0" fontId="30" fillId="11" borderId="0" xfId="0" applyFont="1" applyFill="1" applyBorder="1"/>
    <xf numFmtId="0" fontId="2" fillId="11" borderId="0" xfId="1" applyFont="1" applyFill="1" applyBorder="1" applyAlignment="1">
      <alignment horizontal="left"/>
    </xf>
    <xf numFmtId="0" fontId="29" fillId="11" borderId="0" xfId="0" applyFont="1" applyFill="1" applyBorder="1"/>
    <xf numFmtId="0" fontId="2" fillId="11" borderId="0" xfId="0" applyFon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/>
    </xf>
    <xf numFmtId="0" fontId="0" fillId="17" borderId="0" xfId="0" applyFill="1" applyBorder="1"/>
    <xf numFmtId="0" fontId="30" fillId="17" borderId="0" xfId="0" applyFont="1" applyFill="1" applyBorder="1"/>
    <xf numFmtId="0" fontId="2" fillId="17" borderId="0" xfId="1" applyFont="1" applyFill="1" applyBorder="1" applyAlignment="1">
      <alignment horizontal="left"/>
    </xf>
    <xf numFmtId="0" fontId="29" fillId="17" borderId="0" xfId="0" applyFont="1" applyFill="1" applyBorder="1"/>
    <xf numFmtId="0" fontId="2" fillId="17" borderId="0" xfId="0" applyFont="1" applyFill="1" applyBorder="1" applyAlignment="1">
      <alignment horizontal="center" vertical="center"/>
    </xf>
    <xf numFmtId="1" fontId="0" fillId="17" borderId="0" xfId="0" applyNumberFormat="1" applyFill="1" applyBorder="1" applyAlignment="1">
      <alignment horizontal="center"/>
    </xf>
    <xf numFmtId="0" fontId="30" fillId="14" borderId="0" xfId="0" applyFont="1" applyFill="1" applyBorder="1"/>
    <xf numFmtId="0" fontId="2" fillId="14" borderId="0" xfId="1" applyFont="1" applyFill="1" applyBorder="1" applyAlignment="1">
      <alignment horizontal="left"/>
    </xf>
    <xf numFmtId="0" fontId="29" fillId="14" borderId="0" xfId="0" applyFont="1" applyFill="1" applyBorder="1"/>
    <xf numFmtId="0" fontId="2" fillId="14" borderId="0" xfId="0" applyFont="1" applyFill="1" applyBorder="1" applyAlignment="1">
      <alignment horizontal="center" vertical="center"/>
    </xf>
    <xf numFmtId="1" fontId="0" fillId="14" borderId="0" xfId="0" applyNumberFormat="1" applyFill="1" applyBorder="1" applyAlignment="1">
      <alignment horizontal="center"/>
    </xf>
    <xf numFmtId="0" fontId="0" fillId="18" borderId="0" xfId="0" applyFill="1" applyBorder="1"/>
    <xf numFmtId="0" fontId="30" fillId="18" borderId="0" xfId="0" applyFont="1" applyFill="1" applyBorder="1"/>
    <xf numFmtId="0" fontId="2" fillId="18" borderId="0" xfId="1" applyFont="1" applyFill="1" applyBorder="1" applyAlignment="1">
      <alignment horizontal="left"/>
    </xf>
    <xf numFmtId="0" fontId="29" fillId="18" borderId="0" xfId="0" applyFont="1" applyFill="1" applyBorder="1"/>
    <xf numFmtId="0" fontId="2" fillId="18" borderId="0" xfId="0" applyFont="1" applyFill="1" applyBorder="1" applyAlignment="1">
      <alignment horizontal="center" vertical="center"/>
    </xf>
    <xf numFmtId="1" fontId="0" fillId="18" borderId="0" xfId="0" applyNumberFormat="1" applyFill="1" applyBorder="1" applyAlignment="1">
      <alignment horizontal="center"/>
    </xf>
    <xf numFmtId="0" fontId="0" fillId="19" borderId="0" xfId="0" applyFill="1" applyBorder="1"/>
    <xf numFmtId="0" fontId="30" fillId="19" borderId="0" xfId="0" applyFont="1" applyFill="1" applyBorder="1"/>
    <xf numFmtId="0" fontId="2" fillId="19" borderId="0" xfId="1" applyFont="1" applyFill="1" applyBorder="1" applyAlignment="1">
      <alignment horizontal="left"/>
    </xf>
    <xf numFmtId="0" fontId="29" fillId="19" borderId="0" xfId="0" applyFont="1" applyFill="1" applyBorder="1"/>
    <xf numFmtId="0" fontId="2" fillId="19" borderId="0" xfId="0" applyFont="1" applyFill="1" applyBorder="1" applyAlignment="1">
      <alignment horizontal="center" vertical="center"/>
    </xf>
    <xf numFmtId="1" fontId="0" fillId="19" borderId="0" xfId="0" applyNumberFormat="1" applyFill="1" applyBorder="1" applyAlignment="1">
      <alignment horizontal="center"/>
    </xf>
    <xf numFmtId="0" fontId="0" fillId="20" borderId="0" xfId="0" applyFill="1" applyBorder="1"/>
    <xf numFmtId="0" fontId="30" fillId="20" borderId="0" xfId="0" applyFont="1" applyFill="1" applyBorder="1"/>
    <xf numFmtId="0" fontId="2" fillId="20" borderId="0" xfId="1" applyFont="1" applyFill="1" applyBorder="1" applyAlignment="1">
      <alignment horizontal="left"/>
    </xf>
    <xf numFmtId="0" fontId="29" fillId="20" borderId="0" xfId="0" applyFont="1" applyFill="1" applyBorder="1"/>
    <xf numFmtId="0" fontId="2" fillId="20" borderId="0" xfId="0" applyFont="1" applyFill="1" applyBorder="1" applyAlignment="1">
      <alignment horizontal="center" vertical="center"/>
    </xf>
    <xf numFmtId="1" fontId="0" fillId="20" borderId="0" xfId="0" applyNumberFormat="1" applyFill="1" applyBorder="1" applyAlignment="1">
      <alignment horizontal="center"/>
    </xf>
    <xf numFmtId="0" fontId="0" fillId="21" borderId="0" xfId="0" applyFill="1" applyBorder="1"/>
    <xf numFmtId="0" fontId="30" fillId="21" borderId="0" xfId="0" applyFont="1" applyFill="1" applyBorder="1"/>
    <xf numFmtId="0" fontId="2" fillId="21" borderId="0" xfId="1" applyFont="1" applyFill="1" applyBorder="1" applyAlignment="1">
      <alignment horizontal="left"/>
    </xf>
    <xf numFmtId="0" fontId="29" fillId="21" borderId="0" xfId="0" applyFont="1" applyFill="1" applyBorder="1"/>
    <xf numFmtId="0" fontId="2" fillId="21" borderId="0" xfId="0" applyFont="1" applyFill="1" applyBorder="1" applyAlignment="1">
      <alignment horizontal="center" vertical="center"/>
    </xf>
    <xf numFmtId="1" fontId="0" fillId="21" borderId="0" xfId="0" applyNumberFormat="1" applyFill="1" applyBorder="1" applyAlignment="1">
      <alignment horizontal="center"/>
    </xf>
    <xf numFmtId="0" fontId="0" fillId="22" borderId="0" xfId="0" applyFill="1" applyBorder="1"/>
    <xf numFmtId="0" fontId="2" fillId="22" borderId="0" xfId="1" applyFont="1" applyFill="1" applyBorder="1" applyAlignment="1">
      <alignment horizontal="left"/>
    </xf>
    <xf numFmtId="0" fontId="29" fillId="22" borderId="0" xfId="0" applyFont="1" applyFill="1" applyBorder="1"/>
    <xf numFmtId="0" fontId="2" fillId="22" borderId="0" xfId="0" applyFont="1" applyFill="1" applyBorder="1" applyAlignment="1">
      <alignment horizontal="center" vertical="center"/>
    </xf>
    <xf numFmtId="1" fontId="0" fillId="22" borderId="0" xfId="0" applyNumberFormat="1" applyFill="1" applyBorder="1" applyAlignment="1">
      <alignment horizontal="center"/>
    </xf>
    <xf numFmtId="0" fontId="0" fillId="23" borderId="0" xfId="0" applyFill="1" applyBorder="1"/>
    <xf numFmtId="0" fontId="2" fillId="23" borderId="0" xfId="1" applyFont="1" applyFill="1" applyBorder="1" applyAlignment="1">
      <alignment horizontal="left"/>
    </xf>
    <xf numFmtId="0" fontId="29" fillId="23" borderId="0" xfId="0" applyFont="1" applyFill="1" applyBorder="1"/>
    <xf numFmtId="0" fontId="2" fillId="23" borderId="0" xfId="0" applyFont="1" applyFill="1" applyBorder="1" applyAlignment="1">
      <alignment horizontal="center" vertical="center"/>
    </xf>
    <xf numFmtId="1" fontId="0" fillId="23" borderId="0" xfId="0" applyNumberFormat="1" applyFill="1" applyBorder="1" applyAlignment="1">
      <alignment horizontal="center"/>
    </xf>
    <xf numFmtId="0" fontId="0" fillId="24" borderId="0" xfId="0" applyFill="1" applyBorder="1"/>
    <xf numFmtId="0" fontId="30" fillId="24" borderId="0" xfId="0" applyFont="1" applyFill="1" applyBorder="1"/>
    <xf numFmtId="0" fontId="2" fillId="24" borderId="0" xfId="1" applyFont="1" applyFill="1" applyBorder="1" applyAlignment="1">
      <alignment horizontal="left"/>
    </xf>
    <xf numFmtId="0" fontId="29" fillId="24" borderId="0" xfId="0" applyFont="1" applyFill="1" applyBorder="1"/>
    <xf numFmtId="0" fontId="2" fillId="24" borderId="0" xfId="0" applyFont="1" applyFill="1" applyBorder="1" applyAlignment="1">
      <alignment horizontal="center" vertical="center"/>
    </xf>
    <xf numFmtId="1" fontId="0" fillId="24" borderId="0" xfId="0" applyNumberFormat="1" applyFill="1" applyBorder="1" applyAlignment="1">
      <alignment horizontal="center"/>
    </xf>
    <xf numFmtId="0" fontId="0" fillId="25" borderId="0" xfId="0" applyFill="1" applyBorder="1"/>
    <xf numFmtId="0" fontId="2" fillId="25" borderId="0" xfId="1" applyFont="1" applyFill="1" applyBorder="1" applyAlignment="1">
      <alignment horizontal="left"/>
    </xf>
    <xf numFmtId="0" fontId="29" fillId="25" borderId="0" xfId="0" applyFont="1" applyFill="1" applyBorder="1"/>
    <xf numFmtId="0" fontId="2" fillId="25" borderId="0" xfId="0" applyFont="1" applyFill="1" applyBorder="1" applyAlignment="1">
      <alignment horizontal="center" vertical="center"/>
    </xf>
    <xf numFmtId="1" fontId="0" fillId="25" borderId="0" xfId="0" applyNumberFormat="1" applyFill="1" applyBorder="1" applyAlignment="1">
      <alignment horizontal="center"/>
    </xf>
    <xf numFmtId="0" fontId="0" fillId="26" borderId="0" xfId="0" applyFill="1" applyBorder="1"/>
    <xf numFmtId="0" fontId="2" fillId="26" borderId="0" xfId="1" applyFont="1" applyFill="1" applyBorder="1" applyAlignment="1">
      <alignment horizontal="left"/>
    </xf>
    <xf numFmtId="0" fontId="29" fillId="26" borderId="0" xfId="0" applyFont="1" applyFill="1" applyBorder="1"/>
    <xf numFmtId="0" fontId="2" fillId="26" borderId="0" xfId="0" applyFont="1" applyFill="1" applyBorder="1" applyAlignment="1">
      <alignment horizontal="center" vertical="center"/>
    </xf>
    <xf numFmtId="1" fontId="0" fillId="26" borderId="0" xfId="0" applyNumberFormat="1" applyFill="1" applyBorder="1" applyAlignment="1">
      <alignment horizontal="center"/>
    </xf>
    <xf numFmtId="0" fontId="0" fillId="27" borderId="0" xfId="0" applyFill="1" applyBorder="1"/>
    <xf numFmtId="0" fontId="2" fillId="27" borderId="0" xfId="1" applyFont="1" applyFill="1" applyBorder="1" applyAlignment="1">
      <alignment horizontal="left"/>
    </xf>
    <xf numFmtId="0" fontId="29" fillId="27" borderId="0" xfId="0" applyFont="1" applyFill="1" applyBorder="1"/>
    <xf numFmtId="0" fontId="2" fillId="27" borderId="0" xfId="0" applyFont="1" applyFill="1" applyBorder="1" applyAlignment="1">
      <alignment horizontal="center" vertical="center"/>
    </xf>
    <xf numFmtId="1" fontId="0" fillId="27" borderId="0" xfId="0" applyNumberFormat="1" applyFill="1" applyBorder="1" applyAlignment="1">
      <alignment horizontal="center"/>
    </xf>
    <xf numFmtId="0" fontId="0" fillId="28" borderId="0" xfId="0" applyFill="1" applyBorder="1"/>
    <xf numFmtId="0" fontId="2" fillId="28" borderId="0" xfId="1" applyFont="1" applyFill="1" applyBorder="1" applyAlignment="1">
      <alignment horizontal="left"/>
    </xf>
    <xf numFmtId="0" fontId="29" fillId="28" borderId="0" xfId="0" applyFont="1" applyFill="1" applyBorder="1"/>
    <xf numFmtId="0" fontId="2" fillId="28" borderId="0" xfId="0" applyFont="1" applyFill="1" applyBorder="1" applyAlignment="1">
      <alignment horizontal="center" vertical="center"/>
    </xf>
    <xf numFmtId="1" fontId="0" fillId="28" borderId="0" xfId="0" applyNumberFormat="1" applyFill="1" applyBorder="1" applyAlignment="1">
      <alignment horizontal="center"/>
    </xf>
    <xf numFmtId="0" fontId="0" fillId="29" borderId="0" xfId="0" applyFill="1" applyBorder="1"/>
    <xf numFmtId="0" fontId="2" fillId="29" borderId="0" xfId="1" applyFont="1" applyFill="1" applyBorder="1" applyAlignment="1">
      <alignment horizontal="left"/>
    </xf>
    <xf numFmtId="0" fontId="29" fillId="29" borderId="0" xfId="0" applyFont="1" applyFill="1" applyBorder="1"/>
    <xf numFmtId="0" fontId="2" fillId="29" borderId="0" xfId="0" applyFont="1" applyFill="1" applyBorder="1" applyAlignment="1">
      <alignment horizontal="center" vertical="center"/>
    </xf>
    <xf numFmtId="1" fontId="0" fillId="29" borderId="0" xfId="0" applyNumberFormat="1" applyFill="1" applyBorder="1" applyAlignment="1">
      <alignment horizontal="center"/>
    </xf>
    <xf numFmtId="0" fontId="0" fillId="30" borderId="0" xfId="0" applyFill="1" applyBorder="1"/>
    <xf numFmtId="0" fontId="30" fillId="30" borderId="0" xfId="0" applyFont="1" applyFill="1" applyBorder="1"/>
    <xf numFmtId="0" fontId="2" fillId="30" borderId="0" xfId="1" applyFont="1" applyFill="1" applyBorder="1" applyAlignment="1">
      <alignment horizontal="left"/>
    </xf>
    <xf numFmtId="0" fontId="29" fillId="30" borderId="0" xfId="0" applyFont="1" applyFill="1" applyBorder="1"/>
    <xf numFmtId="0" fontId="2" fillId="30" borderId="0" xfId="0" applyFont="1" applyFill="1" applyBorder="1" applyAlignment="1">
      <alignment horizontal="center" vertical="center"/>
    </xf>
    <xf numFmtId="1" fontId="0" fillId="30" borderId="0" xfId="0" applyNumberFormat="1" applyFill="1" applyBorder="1" applyAlignment="1">
      <alignment horizontal="center"/>
    </xf>
    <xf numFmtId="0" fontId="0" fillId="31" borderId="0" xfId="0" applyFill="1" applyBorder="1"/>
    <xf numFmtId="0" fontId="2" fillId="31" borderId="0" xfId="1" applyFont="1" applyFill="1" applyBorder="1" applyAlignment="1">
      <alignment horizontal="left"/>
    </xf>
    <xf numFmtId="0" fontId="29" fillId="31" borderId="0" xfId="0" applyFont="1" applyFill="1" applyBorder="1"/>
    <xf numFmtId="0" fontId="2" fillId="31" borderId="0" xfId="0" applyFont="1" applyFill="1" applyBorder="1" applyAlignment="1">
      <alignment horizontal="center" vertical="center"/>
    </xf>
    <xf numFmtId="1" fontId="0" fillId="31" borderId="0" xfId="0" applyNumberFormat="1" applyFill="1" applyBorder="1" applyAlignment="1">
      <alignment horizontal="center"/>
    </xf>
    <xf numFmtId="0" fontId="0" fillId="32" borderId="0" xfId="0" applyFill="1" applyBorder="1"/>
    <xf numFmtId="0" fontId="2" fillId="32" borderId="0" xfId="1" applyFont="1" applyFill="1" applyBorder="1" applyAlignment="1">
      <alignment horizontal="left"/>
    </xf>
    <xf numFmtId="0" fontId="29" fillId="32" borderId="0" xfId="0" applyFont="1" applyFill="1" applyBorder="1"/>
    <xf numFmtId="0" fontId="2" fillId="32" borderId="0" xfId="0" applyFont="1" applyFill="1" applyBorder="1" applyAlignment="1">
      <alignment horizontal="center" vertical="center"/>
    </xf>
    <xf numFmtId="1" fontId="0" fillId="32" borderId="0" xfId="0" applyNumberFormat="1" applyFill="1" applyBorder="1" applyAlignment="1">
      <alignment horizontal="center"/>
    </xf>
    <xf numFmtId="0" fontId="0" fillId="33" borderId="0" xfId="0" applyFill="1" applyBorder="1"/>
    <xf numFmtId="0" fontId="2" fillId="33" borderId="0" xfId="1" applyFont="1" applyFill="1" applyBorder="1" applyAlignment="1">
      <alignment horizontal="left"/>
    </xf>
    <xf numFmtId="0" fontId="29" fillId="33" borderId="0" xfId="0" applyFont="1" applyFill="1" applyBorder="1"/>
    <xf numFmtId="0" fontId="2" fillId="33" borderId="0" xfId="0" applyFont="1" applyFill="1" applyBorder="1" applyAlignment="1">
      <alignment horizontal="center" vertical="center"/>
    </xf>
    <xf numFmtId="1" fontId="0" fillId="33" borderId="0" xfId="0" applyNumberFormat="1" applyFill="1" applyBorder="1" applyAlignment="1">
      <alignment horizontal="center"/>
    </xf>
    <xf numFmtId="0" fontId="3" fillId="14" borderId="0" xfId="0" applyFont="1" applyFill="1" applyBorder="1" applyAlignment="1">
      <alignment horizontal="left"/>
    </xf>
    <xf numFmtId="0" fontId="29" fillId="15" borderId="0" xfId="0" applyFont="1" applyFill="1" applyBorder="1"/>
    <xf numFmtId="9" fontId="0" fillId="14" borderId="0" xfId="0" applyNumberFormat="1" applyFill="1" applyBorder="1" applyAlignment="1">
      <alignment horizontal="center" vertical="center"/>
    </xf>
    <xf numFmtId="9" fontId="0" fillId="14" borderId="0" xfId="0" applyNumberFormat="1" applyFill="1" applyBorder="1" applyAlignment="1">
      <alignment horizontal="center"/>
    </xf>
    <xf numFmtId="9" fontId="2" fillId="2" borderId="0" xfId="0" applyNumberFormat="1" applyFont="1" applyFill="1" applyBorder="1" applyAlignment="1">
      <alignment horizontal="right"/>
    </xf>
    <xf numFmtId="9" fontId="2" fillId="2" borderId="0" xfId="0" applyNumberFormat="1" applyFont="1" applyFill="1" applyAlignment="1">
      <alignment horizontal="right"/>
    </xf>
    <xf numFmtId="164" fontId="2" fillId="2" borderId="0" xfId="2" applyFont="1" applyFill="1" applyAlignment="1">
      <alignment horizontal="right"/>
    </xf>
    <xf numFmtId="9" fontId="0" fillId="13" borderId="0" xfId="0" applyNumberFormat="1" applyFill="1" applyBorder="1"/>
    <xf numFmtId="0" fontId="29" fillId="13" borderId="0" xfId="0" applyFont="1" applyFill="1" applyBorder="1"/>
    <xf numFmtId="0" fontId="3" fillId="7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2" fontId="2" fillId="7" borderId="2" xfId="0" applyNumberFormat="1" applyFont="1" applyFill="1" applyBorder="1" applyAlignment="1">
      <alignment horizontal="center" vertical="center"/>
    </xf>
    <xf numFmtId="2" fontId="2" fillId="7" borderId="3" xfId="0" applyNumberFormat="1" applyFont="1" applyFill="1" applyBorder="1" applyAlignment="1">
      <alignment horizontal="center" vertical="center"/>
    </xf>
    <xf numFmtId="2" fontId="2" fillId="7" borderId="11" xfId="0" applyNumberFormat="1" applyFont="1" applyFill="1" applyBorder="1" applyAlignment="1">
      <alignment horizontal="center" vertical="center"/>
    </xf>
    <xf numFmtId="165" fontId="2" fillId="7" borderId="2" xfId="0" applyNumberFormat="1" applyFont="1" applyFill="1" applyBorder="1" applyAlignment="1">
      <alignment horizontal="center"/>
    </xf>
    <xf numFmtId="165" fontId="2" fillId="7" borderId="3" xfId="0" applyNumberFormat="1" applyFont="1" applyFill="1" applyBorder="1" applyAlignment="1">
      <alignment horizontal="center"/>
    </xf>
    <xf numFmtId="2" fontId="2" fillId="7" borderId="2" xfId="0" applyNumberFormat="1" applyFont="1" applyFill="1" applyBorder="1" applyAlignment="1">
      <alignment horizontal="center"/>
    </xf>
    <xf numFmtId="2" fontId="2" fillId="7" borderId="3" xfId="0" applyNumberFormat="1" applyFont="1" applyFill="1" applyBorder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1" fontId="5" fillId="0" borderId="12" xfId="0" applyNumberFormat="1" applyFont="1" applyBorder="1"/>
    <xf numFmtId="1" fontId="5" fillId="0" borderId="0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6" borderId="0" xfId="0" applyFill="1"/>
    <xf numFmtId="0" fontId="15" fillId="7" borderId="1" xfId="0" applyFont="1" applyFill="1" applyBorder="1" applyAlignment="1">
      <alignment horizontal="center"/>
    </xf>
    <xf numFmtId="0" fontId="13" fillId="7" borderId="32" xfId="0" applyFont="1" applyFill="1" applyBorder="1" applyAlignment="1">
      <alignment horizontal="center"/>
    </xf>
    <xf numFmtId="2" fontId="13" fillId="4" borderId="0" xfId="0" applyNumberFormat="1" applyFont="1" applyFill="1" applyBorder="1" applyAlignment="1">
      <alignment horizontal="center"/>
    </xf>
    <xf numFmtId="0" fontId="13" fillId="35" borderId="12" xfId="0" applyFont="1" applyFill="1" applyBorder="1"/>
    <xf numFmtId="0" fontId="13" fillId="35" borderId="13" xfId="0" applyFont="1" applyFill="1" applyBorder="1" applyAlignment="1">
      <alignment horizontal="center"/>
    </xf>
    <xf numFmtId="166" fontId="13" fillId="35" borderId="13" xfId="2" applyNumberFormat="1" applyFont="1" applyFill="1" applyBorder="1" applyAlignment="1">
      <alignment horizontal="center"/>
    </xf>
    <xf numFmtId="164" fontId="13" fillId="35" borderId="27" xfId="2" applyFont="1" applyFill="1" applyBorder="1"/>
    <xf numFmtId="0" fontId="13" fillId="35" borderId="30" xfId="0" applyFont="1" applyFill="1" applyBorder="1"/>
    <xf numFmtId="0" fontId="13" fillId="35" borderId="0" xfId="0" applyFont="1" applyFill="1" applyBorder="1" applyAlignment="1">
      <alignment horizontal="center"/>
    </xf>
    <xf numFmtId="0" fontId="14" fillId="35" borderId="0" xfId="0" applyFont="1" applyFill="1" applyBorder="1" applyAlignment="1">
      <alignment horizontal="center"/>
    </xf>
    <xf numFmtId="166" fontId="13" fillId="35" borderId="0" xfId="2" applyNumberFormat="1" applyFont="1" applyFill="1" applyBorder="1" applyAlignment="1">
      <alignment horizontal="center"/>
    </xf>
    <xf numFmtId="164" fontId="13" fillId="35" borderId="28" xfId="2" applyFont="1" applyFill="1" applyBorder="1"/>
    <xf numFmtId="14" fontId="14" fillId="35" borderId="0" xfId="0" applyNumberFormat="1" applyFont="1" applyFill="1" applyBorder="1"/>
    <xf numFmtId="15" fontId="13" fillId="35" borderId="0" xfId="0" applyNumberFormat="1" applyFont="1" applyFill="1" applyBorder="1" applyAlignment="1">
      <alignment horizontal="center"/>
    </xf>
    <xf numFmtId="0" fontId="13" fillId="35" borderId="31" xfId="0" applyFont="1" applyFill="1" applyBorder="1"/>
    <xf numFmtId="0" fontId="13" fillId="35" borderId="10" xfId="0" applyFont="1" applyFill="1" applyBorder="1" applyAlignment="1">
      <alignment horizontal="center"/>
    </xf>
    <xf numFmtId="0" fontId="13" fillId="35" borderId="0" xfId="0" applyFont="1" applyFill="1" applyBorder="1"/>
    <xf numFmtId="0" fontId="14" fillId="35" borderId="10" xfId="0" applyFont="1" applyFill="1" applyBorder="1" applyAlignment="1">
      <alignment horizontal="center"/>
    </xf>
    <xf numFmtId="166" fontId="14" fillId="35" borderId="10" xfId="2" applyNumberFormat="1" applyFont="1" applyFill="1" applyBorder="1" applyAlignment="1">
      <alignment horizontal="center"/>
    </xf>
    <xf numFmtId="164" fontId="13" fillId="35" borderId="29" xfId="2" applyFont="1" applyFill="1" applyBorder="1"/>
    <xf numFmtId="0" fontId="13" fillId="35" borderId="30" xfId="0" applyFont="1" applyFill="1" applyBorder="1" applyAlignment="1">
      <alignment horizontal="center"/>
    </xf>
    <xf numFmtId="0" fontId="13" fillId="35" borderId="2" xfId="0" applyFont="1" applyFill="1" applyBorder="1" applyAlignment="1">
      <alignment horizontal="center"/>
    </xf>
    <xf numFmtId="166" fontId="13" fillId="35" borderId="2" xfId="2" applyNumberFormat="1" applyFont="1" applyFill="1" applyBorder="1" applyAlignment="1">
      <alignment horizontal="center"/>
    </xf>
    <xf numFmtId="164" fontId="13" fillId="35" borderId="28" xfId="2" applyFont="1" applyFill="1" applyBorder="1" applyAlignment="1">
      <alignment horizontal="center"/>
    </xf>
    <xf numFmtId="0" fontId="13" fillId="35" borderId="31" xfId="0" applyFont="1" applyFill="1" applyBorder="1" applyAlignment="1">
      <alignment horizontal="center"/>
    </xf>
    <xf numFmtId="0" fontId="13" fillId="35" borderId="11" xfId="0" applyFont="1" applyFill="1" applyBorder="1" applyAlignment="1">
      <alignment horizontal="center"/>
    </xf>
    <xf numFmtId="166" fontId="13" fillId="35" borderId="11" xfId="2" applyNumberFormat="1" applyFont="1" applyFill="1" applyBorder="1" applyAlignment="1">
      <alignment horizontal="center"/>
    </xf>
    <xf numFmtId="164" fontId="13" fillId="35" borderId="11" xfId="2" applyFont="1" applyFill="1" applyBorder="1" applyAlignment="1">
      <alignment horizontal="center"/>
    </xf>
    <xf numFmtId="0" fontId="14" fillId="35" borderId="30" xfId="0" applyFont="1" applyFill="1" applyBorder="1" applyAlignment="1">
      <alignment horizontal="left"/>
    </xf>
    <xf numFmtId="0" fontId="13" fillId="35" borderId="12" xfId="0" applyFont="1" applyFill="1" applyBorder="1" applyAlignment="1">
      <alignment horizontal="center"/>
    </xf>
    <xf numFmtId="0" fontId="13" fillId="35" borderId="32" xfId="0" applyFont="1" applyFill="1" applyBorder="1" applyAlignment="1">
      <alignment horizontal="left"/>
    </xf>
    <xf numFmtId="0" fontId="15" fillId="35" borderId="1" xfId="0" applyFont="1" applyFill="1" applyBorder="1" applyAlignment="1">
      <alignment horizontal="center"/>
    </xf>
    <xf numFmtId="2" fontId="13" fillId="35" borderId="33" xfId="0" applyNumberFormat="1" applyFont="1" applyFill="1" applyBorder="1" applyAlignment="1">
      <alignment horizontal="center"/>
    </xf>
    <xf numFmtId="166" fontId="13" fillId="35" borderId="1" xfId="2" applyNumberFormat="1" applyFont="1" applyFill="1" applyBorder="1" applyAlignment="1">
      <alignment horizontal="center"/>
    </xf>
    <xf numFmtId="164" fontId="13" fillId="35" borderId="2" xfId="2" applyFont="1" applyFill="1" applyBorder="1" applyAlignment="1">
      <alignment horizontal="center"/>
    </xf>
    <xf numFmtId="0" fontId="14" fillId="35" borderId="30" xfId="0" applyFont="1" applyFill="1" applyBorder="1"/>
    <xf numFmtId="0" fontId="13" fillId="35" borderId="1" xfId="0" applyFont="1" applyFill="1" applyBorder="1" applyAlignment="1">
      <alignment horizontal="center"/>
    </xf>
    <xf numFmtId="164" fontId="13" fillId="35" borderId="29" xfId="2" applyFont="1" applyFill="1" applyBorder="1" applyAlignment="1">
      <alignment horizontal="center"/>
    </xf>
    <xf numFmtId="165" fontId="13" fillId="35" borderId="33" xfId="0" applyNumberFormat="1" applyFont="1" applyFill="1" applyBorder="1" applyAlignment="1">
      <alignment horizontal="center"/>
    </xf>
    <xf numFmtId="164" fontId="13" fillId="35" borderId="2" xfId="2" applyFont="1" applyFill="1" applyBorder="1"/>
    <xf numFmtId="164" fontId="13" fillId="35" borderId="3" xfId="2" applyFont="1" applyFill="1" applyBorder="1"/>
    <xf numFmtId="0" fontId="13" fillId="35" borderId="31" xfId="0" applyFont="1" applyFill="1" applyBorder="1" applyAlignment="1">
      <alignment horizontal="left"/>
    </xf>
    <xf numFmtId="164" fontId="13" fillId="35" borderId="11" xfId="2" applyFont="1" applyFill="1" applyBorder="1"/>
    <xf numFmtId="0" fontId="14" fillId="35" borderId="2" xfId="0" applyFont="1" applyFill="1" applyBorder="1"/>
    <xf numFmtId="0" fontId="13" fillId="35" borderId="33" xfId="0" applyFont="1" applyFill="1" applyBorder="1" applyAlignment="1">
      <alignment horizontal="center"/>
    </xf>
    <xf numFmtId="0" fontId="13" fillId="35" borderId="32" xfId="0" applyFont="1" applyFill="1" applyBorder="1"/>
    <xf numFmtId="164" fontId="13" fillId="35" borderId="1" xfId="2" applyFont="1" applyFill="1" applyBorder="1"/>
    <xf numFmtId="0" fontId="13" fillId="35" borderId="34" xfId="0" applyFont="1" applyFill="1" applyBorder="1" applyAlignment="1">
      <alignment horizontal="left"/>
    </xf>
    <xf numFmtId="0" fontId="13" fillId="35" borderId="29" xfId="0" applyFont="1" applyFill="1" applyBorder="1" applyAlignment="1">
      <alignment horizontal="center"/>
    </xf>
    <xf numFmtId="0" fontId="14" fillId="35" borderId="12" xfId="0" applyFont="1" applyFill="1" applyBorder="1"/>
    <xf numFmtId="0" fontId="13" fillId="35" borderId="32" xfId="0" applyFont="1" applyFill="1" applyBorder="1" applyAlignment="1">
      <alignment horizontal="center"/>
    </xf>
    <xf numFmtId="2" fontId="13" fillId="35" borderId="34" xfId="0" applyNumberFormat="1" applyFont="1" applyFill="1" applyBorder="1" applyAlignment="1">
      <alignment horizontal="center"/>
    </xf>
    <xf numFmtId="2" fontId="13" fillId="35" borderId="29" xfId="0" applyNumberFormat="1" applyFont="1" applyFill="1" applyBorder="1" applyAlignment="1">
      <alignment horizontal="center"/>
    </xf>
    <xf numFmtId="0" fontId="13" fillId="35" borderId="28" xfId="0" applyFont="1" applyFill="1" applyBorder="1" applyAlignment="1">
      <alignment horizontal="center"/>
    </xf>
    <xf numFmtId="0" fontId="0" fillId="35" borderId="0" xfId="0" applyFill="1"/>
    <xf numFmtId="0" fontId="14" fillId="35" borderId="1" xfId="0" applyFont="1" applyFill="1" applyBorder="1"/>
    <xf numFmtId="2" fontId="13" fillId="35" borderId="1" xfId="0" applyNumberFormat="1" applyFont="1" applyFill="1" applyBorder="1" applyAlignment="1">
      <alignment horizontal="center"/>
    </xf>
    <xf numFmtId="165" fontId="13" fillId="35" borderId="1" xfId="0" applyNumberFormat="1" applyFont="1" applyFill="1" applyBorder="1" applyAlignment="1">
      <alignment horizontal="center"/>
    </xf>
    <xf numFmtId="2" fontId="13" fillId="35" borderId="32" xfId="0" applyNumberFormat="1" applyFont="1" applyFill="1" applyBorder="1" applyAlignment="1">
      <alignment horizontal="center"/>
    </xf>
    <xf numFmtId="2" fontId="13" fillId="35" borderId="11" xfId="0" applyNumberFormat="1" applyFont="1" applyFill="1" applyBorder="1" applyAlignment="1">
      <alignment horizontal="center"/>
    </xf>
    <xf numFmtId="0" fontId="0" fillId="0" borderId="3" xfId="0" applyBorder="1"/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 vertical="top" wrapText="1"/>
    </xf>
    <xf numFmtId="2" fontId="5" fillId="0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 wrapText="1"/>
    </xf>
    <xf numFmtId="2" fontId="15" fillId="0" borderId="28" xfId="0" applyNumberFormat="1" applyFont="1" applyFill="1" applyBorder="1" applyAlignment="1">
      <alignment horizontal="center"/>
    </xf>
    <xf numFmtId="2" fontId="15" fillId="0" borderId="29" xfId="0" applyNumberFormat="1" applyFont="1" applyFill="1" applyBorder="1" applyAlignment="1">
      <alignment horizontal="center"/>
    </xf>
    <xf numFmtId="2" fontId="15" fillId="7" borderId="28" xfId="0" applyNumberFormat="1" applyFont="1" applyFill="1" applyBorder="1" applyAlignment="1">
      <alignment horizontal="center"/>
    </xf>
    <xf numFmtId="2" fontId="15" fillId="7" borderId="11" xfId="0" applyNumberFormat="1" applyFont="1" applyFill="1" applyBorder="1" applyAlignment="1">
      <alignment horizontal="center"/>
    </xf>
    <xf numFmtId="2" fontId="15" fillId="7" borderId="29" xfId="0" applyNumberFormat="1" applyFont="1" applyFill="1" applyBorder="1" applyAlignment="1">
      <alignment horizontal="center"/>
    </xf>
    <xf numFmtId="15" fontId="18" fillId="37" borderId="2" xfId="0" applyNumberFormat="1" applyFont="1" applyFill="1" applyBorder="1" applyAlignment="1">
      <alignment horizontal="center" vertical="center"/>
    </xf>
    <xf numFmtId="15" fontId="18" fillId="36" borderId="2" xfId="0" applyNumberFormat="1" applyFont="1" applyFill="1" applyBorder="1" applyAlignment="1">
      <alignment horizontal="center" vertical="center"/>
    </xf>
    <xf numFmtId="15" fontId="18" fillId="38" borderId="2" xfId="0" applyNumberFormat="1" applyFont="1" applyFill="1" applyBorder="1" applyAlignment="1">
      <alignment horizontal="center" vertical="center"/>
    </xf>
    <xf numFmtId="1" fontId="2" fillId="2" borderId="29" xfId="0" applyNumberFormat="1" applyFont="1" applyFill="1" applyBorder="1" applyAlignment="1">
      <alignment horizontal="right"/>
    </xf>
    <xf numFmtId="1" fontId="2" fillId="2" borderId="27" xfId="0" applyNumberFormat="1" applyFont="1" applyFill="1" applyBorder="1" applyAlignment="1">
      <alignment horizontal="right"/>
    </xf>
    <xf numFmtId="1" fontId="2" fillId="7" borderId="2" xfId="0" applyNumberFormat="1" applyFont="1" applyFill="1" applyBorder="1" applyAlignment="1">
      <alignment horizontal="center" vertical="center"/>
    </xf>
    <xf numFmtId="1" fontId="2" fillId="7" borderId="3" xfId="0" applyNumberFormat="1" applyFont="1" applyFill="1" applyBorder="1" applyAlignment="1">
      <alignment horizontal="center" vertical="center"/>
    </xf>
    <xf numFmtId="1" fontId="2" fillId="7" borderId="11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wrapText="1"/>
    </xf>
    <xf numFmtId="15" fontId="18" fillId="39" borderId="2" xfId="0" applyNumberFormat="1" applyFont="1" applyFill="1" applyBorder="1" applyAlignment="1">
      <alignment horizontal="center" vertical="center"/>
    </xf>
    <xf numFmtId="165" fontId="2" fillId="7" borderId="1" xfId="0" applyNumberFormat="1" applyFont="1" applyFill="1" applyBorder="1" applyAlignment="1">
      <alignment horizontal="center"/>
    </xf>
    <xf numFmtId="0" fontId="28" fillId="2" borderId="0" xfId="0" applyFont="1" applyFill="1"/>
    <xf numFmtId="0" fontId="21" fillId="2" borderId="0" xfId="0" applyFont="1" applyFill="1" applyAlignment="1"/>
    <xf numFmtId="0" fontId="20" fillId="2" borderId="0" xfId="0" applyFont="1" applyFill="1"/>
    <xf numFmtId="0" fontId="22" fillId="2" borderId="0" xfId="0" applyFont="1" applyFill="1" applyBorder="1"/>
    <xf numFmtId="0" fontId="3" fillId="2" borderId="0" xfId="0" applyFont="1" applyFill="1" applyBorder="1"/>
    <xf numFmtId="0" fontId="3" fillId="2" borderId="1" xfId="0" applyFont="1" applyFill="1" applyBorder="1" applyAlignment="1">
      <alignment horizontal="center"/>
    </xf>
    <xf numFmtId="1" fontId="2" fillId="2" borderId="2" xfId="0" applyNumberFormat="1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0" fontId="24" fillId="2" borderId="0" xfId="0" applyFont="1" applyFill="1"/>
    <xf numFmtId="0" fontId="22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0" fontId="2" fillId="2" borderId="0" xfId="0" applyNumberFormat="1" applyFont="1" applyFill="1"/>
    <xf numFmtId="2" fontId="25" fillId="2" borderId="0" xfId="0" applyNumberFormat="1" applyFont="1" applyFill="1" applyBorder="1" applyAlignment="1">
      <alignment horizontal="left"/>
    </xf>
    <xf numFmtId="2" fontId="24" fillId="2" borderId="0" xfId="0" applyNumberFormat="1" applyFont="1" applyFill="1" applyBorder="1" applyAlignment="1">
      <alignment horizontal="left"/>
    </xf>
    <xf numFmtId="0" fontId="2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3" fillId="2" borderId="32" xfId="0" applyFont="1" applyFill="1" applyBorder="1" applyAlignment="1">
      <alignment horizontal="center"/>
    </xf>
    <xf numFmtId="168" fontId="2" fillId="2" borderId="0" xfId="3" applyNumberFormat="1" applyFont="1" applyFill="1" applyBorder="1"/>
    <xf numFmtId="0" fontId="2" fillId="2" borderId="32" xfId="0" applyFont="1" applyFill="1" applyBorder="1"/>
    <xf numFmtId="1" fontId="2" fillId="2" borderId="1" xfId="0" applyNumberFormat="1" applyFont="1" applyFill="1" applyBorder="1" applyAlignment="1">
      <alignment horizontal="right"/>
    </xf>
    <xf numFmtId="1" fontId="2" fillId="2" borderId="1" xfId="0" applyNumberFormat="1" applyFont="1" applyFill="1" applyBorder="1" applyAlignment="1">
      <alignment horizontal="center"/>
    </xf>
    <xf numFmtId="9" fontId="2" fillId="2" borderId="0" xfId="3" applyNumberFormat="1" applyFont="1" applyFill="1"/>
    <xf numFmtId="0" fontId="26" fillId="2" borderId="0" xfId="0" applyFont="1" applyFill="1" applyAlignment="1"/>
    <xf numFmtId="1" fontId="2" fillId="2" borderId="0" xfId="3" applyNumberFormat="1" applyFont="1" applyFill="1" applyBorder="1" applyAlignment="1">
      <alignment horizontal="center"/>
    </xf>
    <xf numFmtId="49" fontId="26" fillId="2" borderId="0" xfId="0" applyNumberFormat="1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27" fillId="2" borderId="0" xfId="0" applyFont="1" applyFill="1"/>
    <xf numFmtId="0" fontId="22" fillId="2" borderId="0" xfId="0" applyFont="1" applyFill="1"/>
    <xf numFmtId="0" fontId="2" fillId="2" borderId="1" xfId="0" applyFont="1" applyFill="1" applyBorder="1"/>
    <xf numFmtId="0" fontId="15" fillId="2" borderId="0" xfId="0" applyFont="1" applyFill="1" applyBorder="1"/>
    <xf numFmtId="0" fontId="13" fillId="2" borderId="0" xfId="0" applyFont="1" applyFill="1" applyBorder="1"/>
    <xf numFmtId="0" fontId="26" fillId="2" borderId="0" xfId="0" applyFont="1" applyFill="1" applyAlignment="1">
      <alignment vertical="center"/>
    </xf>
    <xf numFmtId="0" fontId="2" fillId="2" borderId="0" xfId="0" applyFont="1" applyFill="1" applyAlignment="1">
      <alignment horizontal="left"/>
    </xf>
    <xf numFmtId="1" fontId="2" fillId="2" borderId="33" xfId="0" applyNumberFormat="1" applyFont="1" applyFill="1" applyBorder="1" applyAlignment="1">
      <alignment horizontal="right"/>
    </xf>
    <xf numFmtId="1" fontId="2" fillId="2" borderId="32" xfId="0" applyNumberFormat="1" applyFont="1" applyFill="1" applyBorder="1" applyAlignment="1">
      <alignment horizontal="right"/>
    </xf>
    <xf numFmtId="0" fontId="33" fillId="2" borderId="2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justify"/>
    </xf>
    <xf numFmtId="1" fontId="2" fillId="2" borderId="34" xfId="0" applyNumberFormat="1" applyFont="1" applyFill="1" applyBorder="1" applyAlignment="1">
      <alignment horizontal="right"/>
    </xf>
    <xf numFmtId="2" fontId="15" fillId="7" borderId="31" xfId="0" applyNumberFormat="1" applyFont="1" applyFill="1" applyBorder="1" applyAlignment="1">
      <alignment horizontal="center"/>
    </xf>
    <xf numFmtId="9" fontId="0" fillId="14" borderId="11" xfId="0" applyNumberFormat="1" applyFill="1" applyBorder="1" applyAlignment="1">
      <alignment horizontal="center" vertical="center"/>
    </xf>
    <xf numFmtId="9" fontId="34" fillId="14" borderId="30" xfId="0" applyNumberFormat="1" applyFont="1" applyFill="1" applyBorder="1" applyAlignment="1">
      <alignment horizontal="left"/>
    </xf>
    <xf numFmtId="2" fontId="2" fillId="2" borderId="3" xfId="0" applyNumberFormat="1" applyFont="1" applyFill="1" applyBorder="1" applyAlignment="1">
      <alignment horizontal="right"/>
    </xf>
    <xf numFmtId="9" fontId="2" fillId="2" borderId="0" xfId="3" applyNumberFormat="1" applyFont="1" applyFill="1" applyBorder="1"/>
    <xf numFmtId="15" fontId="18" fillId="40" borderId="2" xfId="0" applyNumberFormat="1" applyFont="1" applyFill="1" applyBorder="1" applyAlignment="1">
      <alignment horizontal="center" vertical="center"/>
    </xf>
    <xf numFmtId="15" fontId="18" fillId="41" borderId="2" xfId="0" applyNumberFormat="1" applyFont="1" applyFill="1" applyBorder="1" applyAlignment="1">
      <alignment horizontal="center" vertical="center"/>
    </xf>
    <xf numFmtId="15" fontId="18" fillId="42" borderId="2" xfId="0" applyNumberFormat="1" applyFont="1" applyFill="1" applyBorder="1" applyAlignment="1">
      <alignment horizontal="center" vertical="center"/>
    </xf>
    <xf numFmtId="15" fontId="18" fillId="43" borderId="2" xfId="0" applyNumberFormat="1" applyFont="1" applyFill="1" applyBorder="1" applyAlignment="1">
      <alignment horizontal="center" vertical="center"/>
    </xf>
    <xf numFmtId="15" fontId="18" fillId="35" borderId="2" xfId="0" applyNumberFormat="1" applyFont="1" applyFill="1" applyBorder="1" applyAlignment="1">
      <alignment horizontal="center" vertical="center"/>
    </xf>
    <xf numFmtId="15" fontId="18" fillId="44" borderId="2" xfId="0" applyNumberFormat="1" applyFont="1" applyFill="1" applyBorder="1" applyAlignment="1">
      <alignment horizontal="center" vertical="center"/>
    </xf>
    <xf numFmtId="15" fontId="18" fillId="45" borderId="2" xfId="0" applyNumberFormat="1" applyFont="1" applyFill="1" applyBorder="1" applyAlignment="1">
      <alignment horizontal="center" vertical="center"/>
    </xf>
    <xf numFmtId="168" fontId="0" fillId="14" borderId="3" xfId="0" applyNumberFormat="1" applyFill="1" applyBorder="1" applyAlignment="1">
      <alignment horizontal="center" vertical="center"/>
    </xf>
    <xf numFmtId="0" fontId="13" fillId="4" borderId="10" xfId="0" applyFont="1" applyFill="1" applyBorder="1"/>
    <xf numFmtId="0" fontId="13" fillId="4" borderId="34" xfId="0" applyFont="1" applyFill="1" applyBorder="1"/>
    <xf numFmtId="0" fontId="36" fillId="0" borderId="1" xfId="0" applyFont="1" applyBorder="1"/>
    <xf numFmtId="0" fontId="36" fillId="0" borderId="2" xfId="0" applyFont="1" applyBorder="1"/>
    <xf numFmtId="0" fontId="36" fillId="0" borderId="0" xfId="0" applyFont="1" applyBorder="1"/>
    <xf numFmtId="0" fontId="36" fillId="0" borderId="33" xfId="0" applyFont="1" applyBorder="1"/>
    <xf numFmtId="0" fontId="36" fillId="2" borderId="0" xfId="0" applyFont="1" applyFill="1" applyBorder="1"/>
    <xf numFmtId="0" fontId="36" fillId="0" borderId="27" xfId="0" applyFont="1" applyBorder="1"/>
    <xf numFmtId="0" fontId="36" fillId="2" borderId="28" xfId="0" applyFont="1" applyFill="1" applyBorder="1"/>
    <xf numFmtId="0" fontId="14" fillId="2" borderId="30" xfId="0" applyFont="1" applyFill="1" applyBorder="1"/>
    <xf numFmtId="0" fontId="37" fillId="2" borderId="30" xfId="0" applyFont="1" applyFill="1" applyBorder="1"/>
    <xf numFmtId="0" fontId="37" fillId="2" borderId="31" xfId="0" applyFont="1" applyFill="1" applyBorder="1"/>
    <xf numFmtId="166" fontId="13" fillId="4" borderId="32" xfId="2" applyNumberFormat="1" applyFont="1" applyFill="1" applyBorder="1" applyAlignment="1">
      <alignment horizontal="center"/>
    </xf>
    <xf numFmtId="0" fontId="36" fillId="0" borderId="13" xfId="0" applyFont="1" applyBorder="1"/>
    <xf numFmtId="0" fontId="0" fillId="0" borderId="13" xfId="0" applyBorder="1"/>
    <xf numFmtId="0" fontId="13" fillId="4" borderId="27" xfId="0" applyFont="1" applyFill="1" applyBorder="1" applyAlignment="1">
      <alignment horizontal="center"/>
    </xf>
    <xf numFmtId="0" fontId="36" fillId="2" borderId="1" xfId="0" applyFont="1" applyFill="1" applyBorder="1"/>
    <xf numFmtId="0" fontId="36" fillId="2" borderId="2" xfId="0" applyFont="1" applyFill="1" applyBorder="1"/>
    <xf numFmtId="0" fontId="35" fillId="46" borderId="2" xfId="0" applyFont="1" applyFill="1" applyBorder="1"/>
    <xf numFmtId="0" fontId="13" fillId="46" borderId="31" xfId="0" applyFont="1" applyFill="1" applyBorder="1" applyAlignment="1">
      <alignment horizontal="center"/>
    </xf>
    <xf numFmtId="0" fontId="13" fillId="46" borderId="32" xfId="0" applyFont="1" applyFill="1" applyBorder="1"/>
    <xf numFmtId="0" fontId="15" fillId="46" borderId="1" xfId="0" applyFont="1" applyFill="1" applyBorder="1" applyAlignment="1">
      <alignment horizontal="center"/>
    </xf>
    <xf numFmtId="2" fontId="13" fillId="46" borderId="34" xfId="0" applyNumberFormat="1" applyFont="1" applyFill="1" applyBorder="1" applyAlignment="1">
      <alignment horizontal="center"/>
    </xf>
    <xf numFmtId="166" fontId="13" fillId="46" borderId="1" xfId="2" applyNumberFormat="1" applyFont="1" applyFill="1" applyBorder="1" applyAlignment="1">
      <alignment horizontal="center"/>
    </xf>
    <xf numFmtId="0" fontId="35" fillId="46" borderId="30" xfId="0" applyFont="1" applyFill="1" applyBorder="1"/>
    <xf numFmtId="0" fontId="13" fillId="46" borderId="1" xfId="0" applyFont="1" applyFill="1" applyBorder="1" applyAlignment="1">
      <alignment horizontal="center"/>
    </xf>
    <xf numFmtId="0" fontId="13" fillId="46" borderId="10" xfId="0" applyFont="1" applyFill="1" applyBorder="1"/>
    <xf numFmtId="2" fontId="13" fillId="46" borderId="29" xfId="0" applyNumberFormat="1" applyFont="1" applyFill="1" applyBorder="1" applyAlignment="1">
      <alignment horizontal="center"/>
    </xf>
    <xf numFmtId="0" fontId="13" fillId="46" borderId="34" xfId="0" applyFont="1" applyFill="1" applyBorder="1"/>
    <xf numFmtId="0" fontId="13" fillId="46" borderId="0" xfId="0" applyFont="1" applyFill="1" applyBorder="1"/>
    <xf numFmtId="2" fontId="13" fillId="46" borderId="33" xfId="0" applyNumberFormat="1" applyFont="1" applyFill="1" applyBorder="1" applyAlignment="1">
      <alignment horizontal="center"/>
    </xf>
    <xf numFmtId="0" fontId="13" fillId="46" borderId="32" xfId="0" applyFont="1" applyFill="1" applyBorder="1" applyAlignment="1">
      <alignment horizontal="center"/>
    </xf>
    <xf numFmtId="0" fontId="13" fillId="46" borderId="31" xfId="0" applyFont="1" applyFill="1" applyBorder="1"/>
    <xf numFmtId="0" fontId="35" fillId="46" borderId="3" xfId="0" applyFont="1" applyFill="1" applyBorder="1"/>
    <xf numFmtId="0" fontId="15" fillId="46" borderId="11" xfId="0" applyFont="1" applyFill="1" applyBorder="1" applyAlignment="1">
      <alignment horizontal="center"/>
    </xf>
    <xf numFmtId="2" fontId="13" fillId="46" borderId="10" xfId="0" applyNumberFormat="1" applyFont="1" applyFill="1" applyBorder="1" applyAlignment="1">
      <alignment horizontal="center"/>
    </xf>
    <xf numFmtId="166" fontId="13" fillId="46" borderId="11" xfId="2" applyNumberFormat="1" applyFont="1" applyFill="1" applyBorder="1" applyAlignment="1">
      <alignment horizontal="center"/>
    </xf>
    <xf numFmtId="0" fontId="37" fillId="2" borderId="2" xfId="0" applyFont="1" applyFill="1" applyBorder="1"/>
    <xf numFmtId="0" fontId="37" fillId="0" borderId="13" xfId="0" applyFont="1" applyFill="1" applyBorder="1"/>
    <xf numFmtId="0" fontId="36" fillId="0" borderId="0" xfId="0" applyFont="1" applyFill="1" applyBorder="1"/>
    <xf numFmtId="164" fontId="13" fillId="0" borderId="1" xfId="2" applyFont="1" applyFill="1" applyBorder="1"/>
    <xf numFmtId="164" fontId="13" fillId="2" borderId="3" xfId="2" applyFont="1" applyFill="1" applyBorder="1"/>
    <xf numFmtId="0" fontId="36" fillId="2" borderId="3" xfId="0" applyFont="1" applyFill="1" applyBorder="1"/>
    <xf numFmtId="0" fontId="36" fillId="2" borderId="11" xfId="0" applyFont="1" applyFill="1" applyBorder="1"/>
    <xf numFmtId="164" fontId="13" fillId="2" borderId="1" xfId="2" applyFont="1" applyFill="1" applyBorder="1"/>
    <xf numFmtId="0" fontId="13" fillId="0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27" xfId="0" applyFont="1" applyBorder="1" applyAlignment="1">
      <alignment horizontal="center"/>
    </xf>
    <xf numFmtId="0" fontId="36" fillId="2" borderId="28" xfId="0" applyFont="1" applyFill="1" applyBorder="1" applyAlignment="1">
      <alignment horizontal="center"/>
    </xf>
    <xf numFmtId="0" fontId="36" fillId="2" borderId="0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1" fontId="13" fillId="4" borderId="33" xfId="0" applyNumberFormat="1" applyFont="1" applyFill="1" applyBorder="1" applyAlignment="1">
      <alignment horizontal="center"/>
    </xf>
    <xf numFmtId="0" fontId="8" fillId="0" borderId="6" xfId="1" applyFont="1" applyBorder="1" applyAlignment="1">
      <alignment horizontal="center" vertical="center"/>
    </xf>
    <xf numFmtId="0" fontId="2" fillId="0" borderId="38" xfId="1" applyFont="1" applyBorder="1" applyAlignment="1">
      <alignment horizontal="center"/>
    </xf>
    <xf numFmtId="0" fontId="8" fillId="46" borderId="6" xfId="1" applyFont="1" applyFill="1" applyBorder="1" applyAlignment="1">
      <alignment horizontal="center" vertical="center"/>
    </xf>
    <xf numFmtId="0" fontId="2" fillId="46" borderId="3" xfId="0" applyFont="1" applyFill="1" applyBorder="1" applyAlignment="1">
      <alignment horizontal="center"/>
    </xf>
    <xf numFmtId="0" fontId="2" fillId="46" borderId="7" xfId="1" applyFont="1" applyFill="1" applyBorder="1" applyAlignment="1">
      <alignment horizontal="center"/>
    </xf>
    <xf numFmtId="0" fontId="2" fillId="46" borderId="30" xfId="0" applyFont="1" applyFill="1" applyBorder="1" applyAlignment="1">
      <alignment horizontal="center"/>
    </xf>
    <xf numFmtId="0" fontId="8" fillId="46" borderId="6" xfId="1" applyFont="1" applyFill="1" applyBorder="1" applyAlignment="1">
      <alignment horizontal="center" vertical="center" wrapText="1"/>
    </xf>
    <xf numFmtId="0" fontId="2" fillId="46" borderId="19" xfId="1" applyFont="1" applyFill="1" applyBorder="1" applyAlignment="1">
      <alignment horizontal="center" vertical="top"/>
    </xf>
    <xf numFmtId="0" fontId="2" fillId="46" borderId="6" xfId="1" applyFont="1" applyFill="1" applyBorder="1" applyAlignment="1">
      <alignment horizontal="center"/>
    </xf>
    <xf numFmtId="0" fontId="2" fillId="46" borderId="8" xfId="1" applyFont="1" applyFill="1" applyBorder="1" applyAlignment="1">
      <alignment horizontal="center"/>
    </xf>
    <xf numFmtId="0" fontId="2" fillId="46" borderId="19" xfId="1" applyFont="1" applyFill="1" applyBorder="1" applyAlignment="1">
      <alignment horizontal="center"/>
    </xf>
    <xf numFmtId="0" fontId="9" fillId="0" borderId="33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center"/>
    </xf>
    <xf numFmtId="0" fontId="2" fillId="46" borderId="21" xfId="1" applyFont="1" applyFill="1" applyBorder="1" applyAlignment="1">
      <alignment horizontal="center"/>
    </xf>
    <xf numFmtId="0" fontId="2" fillId="0" borderId="4" xfId="1" applyFont="1" applyBorder="1" applyAlignment="1">
      <alignment horizontal="center" vertical="center"/>
    </xf>
    <xf numFmtId="0" fontId="2" fillId="46" borderId="6" xfId="0" applyFont="1" applyFill="1" applyBorder="1" applyAlignment="1">
      <alignment horizontal="center"/>
    </xf>
    <xf numFmtId="0" fontId="2" fillId="46" borderId="7" xfId="0" applyFont="1" applyFill="1" applyBorder="1" applyAlignment="1">
      <alignment horizontal="center"/>
    </xf>
    <xf numFmtId="0" fontId="2" fillId="46" borderId="9" xfId="0" applyFont="1" applyFill="1" applyBorder="1" applyAlignment="1">
      <alignment horizontal="center"/>
    </xf>
    <xf numFmtId="0" fontId="5" fillId="46" borderId="1" xfId="1" applyNumberFormat="1" applyFont="1" applyFill="1" applyBorder="1" applyAlignment="1">
      <alignment horizontal="center"/>
    </xf>
    <xf numFmtId="2" fontId="9" fillId="46" borderId="1" xfId="0" applyNumberFormat="1" applyFont="1" applyFill="1" applyBorder="1" applyAlignment="1">
      <alignment horizontal="center"/>
    </xf>
    <xf numFmtId="0" fontId="9" fillId="46" borderId="1" xfId="0" applyNumberFormat="1" applyFont="1" applyFill="1" applyBorder="1" applyAlignment="1">
      <alignment horizontal="center"/>
    </xf>
    <xf numFmtId="0" fontId="9" fillId="46" borderId="1" xfId="0" applyFont="1" applyFill="1" applyBorder="1" applyAlignment="1">
      <alignment horizontal="center"/>
    </xf>
    <xf numFmtId="2" fontId="5" fillId="46" borderId="0" xfId="0" applyNumberFormat="1" applyFont="1" applyFill="1"/>
    <xf numFmtId="2" fontId="5" fillId="46" borderId="28" xfId="0" applyNumberFormat="1" applyFont="1" applyFill="1" applyBorder="1"/>
    <xf numFmtId="0" fontId="5" fillId="46" borderId="30" xfId="0" applyFont="1" applyFill="1" applyBorder="1"/>
    <xf numFmtId="0" fontId="5" fillId="46" borderId="0" xfId="0" applyFont="1" applyFill="1"/>
    <xf numFmtId="1" fontId="5" fillId="46" borderId="1" xfId="0" applyNumberFormat="1" applyFont="1" applyFill="1" applyBorder="1" applyAlignment="1">
      <alignment horizontal="center"/>
    </xf>
    <xf numFmtId="2" fontId="5" fillId="46" borderId="1" xfId="0" applyNumberFormat="1" applyFont="1" applyFill="1" applyBorder="1" applyAlignment="1">
      <alignment horizontal="center"/>
    </xf>
    <xf numFmtId="1" fontId="5" fillId="46" borderId="30" xfId="0" applyNumberFormat="1" applyFont="1" applyFill="1" applyBorder="1"/>
    <xf numFmtId="1" fontId="5" fillId="46" borderId="0" xfId="0" applyNumberFormat="1" applyFont="1" applyFill="1"/>
    <xf numFmtId="0" fontId="39" fillId="0" borderId="39" xfId="0" applyFont="1" applyBorder="1" applyAlignment="1">
      <alignment horizontal="center"/>
    </xf>
    <xf numFmtId="165" fontId="9" fillId="46" borderId="1" xfId="0" applyNumberFormat="1" applyFont="1" applyFill="1" applyBorder="1" applyAlignment="1">
      <alignment horizontal="center"/>
    </xf>
    <xf numFmtId="1" fontId="5" fillId="0" borderId="31" xfId="0" applyNumberFormat="1" applyFont="1" applyBorder="1"/>
    <xf numFmtId="1" fontId="5" fillId="0" borderId="0" xfId="0" applyNumberFormat="1" applyFont="1"/>
    <xf numFmtId="1" fontId="5" fillId="0" borderId="10" xfId="0" applyNumberFormat="1" applyFont="1" applyBorder="1"/>
    <xf numFmtId="0" fontId="2" fillId="0" borderId="18" xfId="1" applyFont="1" applyFill="1" applyBorder="1" applyAlignment="1">
      <alignment horizontal="center" vertical="center"/>
    </xf>
    <xf numFmtId="0" fontId="2" fillId="0" borderId="7" xfId="1" applyFont="1" applyFill="1" applyBorder="1" applyAlignment="1">
      <alignment horizontal="left"/>
    </xf>
    <xf numFmtId="0" fontId="2" fillId="0" borderId="19" xfId="1" applyFont="1" applyFill="1" applyBorder="1" applyAlignment="1">
      <alignment horizontal="center"/>
    </xf>
    <xf numFmtId="0" fontId="2" fillId="0" borderId="6" xfId="1" applyFont="1" applyFill="1" applyBorder="1" applyAlignment="1">
      <alignment horizontal="center"/>
    </xf>
    <xf numFmtId="0" fontId="0" fillId="0" borderId="3" xfId="0" applyFill="1" applyBorder="1"/>
    <xf numFmtId="1" fontId="5" fillId="0" borderId="30" xfId="0" applyNumberFormat="1" applyFont="1" applyFill="1" applyBorder="1"/>
    <xf numFmtId="1" fontId="13" fillId="4" borderId="34" xfId="0" applyNumberFormat="1" applyFont="1" applyFill="1" applyBorder="1" applyAlignment="1">
      <alignment horizontal="center"/>
    </xf>
    <xf numFmtId="1" fontId="41" fillId="0" borderId="3" xfId="0" applyNumberFormat="1" applyFont="1" applyFill="1" applyBorder="1" applyAlignment="1">
      <alignment horizontal="center"/>
    </xf>
    <xf numFmtId="1" fontId="41" fillId="0" borderId="11" xfId="0" applyNumberFormat="1" applyFont="1" applyFill="1" applyBorder="1" applyAlignment="1">
      <alignment horizontal="center"/>
    </xf>
    <xf numFmtId="1" fontId="41" fillId="0" borderId="30" xfId="0" applyNumberFormat="1" applyFont="1" applyFill="1" applyBorder="1" applyAlignment="1">
      <alignment horizontal="center"/>
    </xf>
    <xf numFmtId="1" fontId="41" fillId="0" borderId="31" xfId="0" applyNumberFormat="1" applyFont="1" applyFill="1" applyBorder="1" applyAlignment="1">
      <alignment horizontal="center"/>
    </xf>
    <xf numFmtId="15" fontId="41" fillId="42" borderId="2" xfId="0" applyNumberFormat="1" applyFont="1" applyFill="1" applyBorder="1" applyAlignment="1">
      <alignment horizontal="center" vertical="center"/>
    </xf>
    <xf numFmtId="15" fontId="41" fillId="45" borderId="2" xfId="0" applyNumberFormat="1" applyFont="1" applyFill="1" applyBorder="1" applyAlignment="1">
      <alignment horizontal="center" vertical="center"/>
    </xf>
    <xf numFmtId="15" fontId="18" fillId="39" borderId="27" xfId="0" applyNumberFormat="1" applyFont="1" applyFill="1" applyBorder="1" applyAlignment="1">
      <alignment horizontal="center" vertical="center"/>
    </xf>
    <xf numFmtId="2" fontId="38" fillId="0" borderId="3" xfId="0" applyNumberFormat="1" applyFont="1" applyBorder="1" applyAlignment="1">
      <alignment horizontal="center"/>
    </xf>
    <xf numFmtId="2" fontId="38" fillId="7" borderId="3" xfId="0" applyNumberFormat="1" applyFont="1" applyFill="1" applyBorder="1" applyAlignment="1">
      <alignment horizontal="center"/>
    </xf>
    <xf numFmtId="2" fontId="38" fillId="0" borderId="11" xfId="0" applyNumberFormat="1" applyFont="1" applyBorder="1" applyAlignment="1">
      <alignment horizontal="center"/>
    </xf>
    <xf numFmtId="1" fontId="38" fillId="0" borderId="3" xfId="0" applyNumberFormat="1" applyFont="1" applyBorder="1"/>
    <xf numFmtId="0" fontId="38" fillId="0" borderId="3" xfId="0" applyFont="1" applyBorder="1"/>
    <xf numFmtId="1" fontId="38" fillId="0" borderId="11" xfId="0" applyNumberFormat="1" applyFont="1" applyBorder="1"/>
    <xf numFmtId="0" fontId="38" fillId="0" borderId="11" xfId="0" applyFont="1" applyBorder="1"/>
    <xf numFmtId="165" fontId="38" fillId="0" borderId="3" xfId="0" applyNumberFormat="1" applyFont="1" applyBorder="1" applyAlignment="1">
      <alignment horizontal="center"/>
    </xf>
    <xf numFmtId="165" fontId="38" fillId="0" borderId="1" xfId="0" applyNumberFormat="1" applyFont="1" applyBorder="1" applyAlignment="1">
      <alignment horizontal="center"/>
    </xf>
    <xf numFmtId="0" fontId="38" fillId="7" borderId="3" xfId="0" applyFont="1" applyFill="1" applyBorder="1" applyAlignment="1">
      <alignment horizontal="center"/>
    </xf>
    <xf numFmtId="1" fontId="38" fillId="0" borderId="3" xfId="0" applyNumberFormat="1" applyFont="1" applyBorder="1" applyAlignment="1">
      <alignment horizontal="center"/>
    </xf>
    <xf numFmtId="1" fontId="38" fillId="0" borderId="1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1" fontId="2" fillId="2" borderId="3" xfId="0" applyNumberFormat="1" applyFont="1" applyFill="1" applyBorder="1"/>
    <xf numFmtId="0" fontId="3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/>
    <xf numFmtId="1" fontId="13" fillId="4" borderId="1" xfId="0" applyNumberFormat="1" applyFont="1" applyFill="1" applyBorder="1" applyAlignment="1">
      <alignment horizontal="center"/>
    </xf>
    <xf numFmtId="0" fontId="36" fillId="0" borderId="2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6" fillId="2" borderId="1" xfId="0" applyFont="1" applyFill="1" applyBorder="1" applyAlignment="1">
      <alignment horizontal="center" vertical="center"/>
    </xf>
    <xf numFmtId="15" fontId="41" fillId="47" borderId="2" xfId="0" applyNumberFormat="1" applyFont="1" applyFill="1" applyBorder="1" applyAlignment="1">
      <alignment horizontal="center" vertical="center"/>
    </xf>
    <xf numFmtId="15" fontId="41" fillId="47" borderId="1" xfId="0" applyNumberFormat="1" applyFont="1" applyFill="1" applyBorder="1" applyAlignment="1">
      <alignment horizontal="center" vertical="center"/>
    </xf>
    <xf numFmtId="2" fontId="38" fillId="0" borderId="3" xfId="0" applyNumberFormat="1" applyFont="1" applyFill="1" applyBorder="1" applyAlignment="1">
      <alignment horizontal="center"/>
    </xf>
    <xf numFmtId="2" fontId="38" fillId="7" borderId="11" xfId="0" applyNumberFormat="1" applyFont="1" applyFill="1" applyBorder="1" applyAlignment="1">
      <alignment horizontal="center"/>
    </xf>
    <xf numFmtId="15" fontId="18" fillId="39" borderId="1" xfId="0" applyNumberFormat="1" applyFont="1" applyFill="1" applyBorder="1" applyAlignment="1">
      <alignment horizontal="center" vertical="center"/>
    </xf>
    <xf numFmtId="1" fontId="2" fillId="2" borderId="30" xfId="0" applyNumberFormat="1" applyFont="1" applyFill="1" applyBorder="1"/>
    <xf numFmtId="0" fontId="33" fillId="7" borderId="1" xfId="0" applyFont="1" applyFill="1" applyBorder="1" applyAlignment="1">
      <alignment horizontal="center" vertical="justify"/>
    </xf>
    <xf numFmtId="1" fontId="0" fillId="2" borderId="3" xfId="0" applyNumberFormat="1" applyFill="1" applyBorder="1"/>
    <xf numFmtId="1" fontId="0" fillId="2" borderId="1" xfId="0" applyNumberFormat="1" applyFill="1" applyBorder="1"/>
    <xf numFmtId="15" fontId="41" fillId="39" borderId="1" xfId="0" applyNumberFormat="1" applyFont="1" applyFill="1" applyBorder="1" applyAlignment="1">
      <alignment horizontal="center" vertical="center"/>
    </xf>
    <xf numFmtId="1" fontId="38" fillId="0" borderId="11" xfId="0" applyNumberFormat="1" applyFont="1" applyBorder="1" applyAlignment="1">
      <alignment horizontal="center"/>
    </xf>
    <xf numFmtId="15" fontId="41" fillId="48" borderId="1" xfId="0" applyNumberFormat="1" applyFont="1" applyFill="1" applyBorder="1" applyAlignment="1">
      <alignment horizontal="center" vertical="center"/>
    </xf>
    <xf numFmtId="15" fontId="41" fillId="48" borderId="2" xfId="0" applyNumberFormat="1" applyFont="1" applyFill="1" applyBorder="1" applyAlignment="1">
      <alignment horizontal="center" vertical="center"/>
    </xf>
    <xf numFmtId="0" fontId="0" fillId="7" borderId="0" xfId="0" applyFill="1"/>
    <xf numFmtId="165" fontId="5" fillId="46" borderId="1" xfId="0" applyNumberFormat="1" applyFont="1" applyFill="1" applyBorder="1" applyAlignment="1">
      <alignment horizontal="center"/>
    </xf>
    <xf numFmtId="2" fontId="38" fillId="0" borderId="11" xfId="0" applyNumberFormat="1" applyFont="1" applyFill="1" applyBorder="1" applyAlignment="1">
      <alignment horizontal="center"/>
    </xf>
    <xf numFmtId="2" fontId="38" fillId="0" borderId="30" xfId="0" applyNumberFormat="1" applyFont="1" applyFill="1" applyBorder="1" applyAlignment="1">
      <alignment horizontal="center"/>
    </xf>
    <xf numFmtId="2" fontId="38" fillId="0" borderId="31" xfId="0" applyNumberFormat="1" applyFont="1" applyFill="1" applyBorder="1" applyAlignment="1">
      <alignment horizontal="center"/>
    </xf>
    <xf numFmtId="2" fontId="38" fillId="0" borderId="28" xfId="0" applyNumberFormat="1" applyFont="1" applyFill="1" applyBorder="1" applyAlignment="1">
      <alignment horizontal="center"/>
    </xf>
    <xf numFmtId="2" fontId="38" fillId="0" borderId="29" xfId="0" applyNumberFormat="1" applyFont="1" applyFill="1" applyBorder="1" applyAlignment="1">
      <alignment horizontal="center"/>
    </xf>
    <xf numFmtId="15" fontId="41" fillId="42" borderId="1" xfId="0" applyNumberFormat="1" applyFont="1" applyFill="1" applyBorder="1" applyAlignment="1">
      <alignment horizontal="center" vertical="center"/>
    </xf>
    <xf numFmtId="1" fontId="0" fillId="0" borderId="0" xfId="0" applyNumberFormat="1"/>
    <xf numFmtId="165" fontId="0" fillId="0" borderId="0" xfId="0" applyNumberFormat="1"/>
    <xf numFmtId="15" fontId="41" fillId="49" borderId="1" xfId="0" applyNumberFormat="1" applyFont="1" applyFill="1" applyBorder="1" applyAlignment="1">
      <alignment horizontal="center" vertical="center"/>
    </xf>
    <xf numFmtId="15" fontId="41" fillId="49" borderId="2" xfId="0" applyNumberFormat="1" applyFont="1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right"/>
    </xf>
    <xf numFmtId="1" fontId="15" fillId="7" borderId="3" xfId="0" applyNumberFormat="1" applyFont="1" applyFill="1" applyBorder="1" applyAlignment="1">
      <alignment horizontal="center"/>
    </xf>
    <xf numFmtId="1" fontId="15" fillId="7" borderId="11" xfId="0" applyNumberFormat="1" applyFont="1" applyFill="1" applyBorder="1" applyAlignment="1">
      <alignment horizontal="center"/>
    </xf>
    <xf numFmtId="1" fontId="15" fillId="50" borderId="3" xfId="0" applyNumberFormat="1" applyFont="1" applyFill="1" applyBorder="1" applyAlignment="1">
      <alignment horizontal="center"/>
    </xf>
    <xf numFmtId="0" fontId="2" fillId="0" borderId="30" xfId="1" applyFont="1" applyFill="1" applyBorder="1" applyAlignment="1">
      <alignment horizontal="left"/>
    </xf>
    <xf numFmtId="1" fontId="2" fillId="0" borderId="3" xfId="0" applyNumberFormat="1" applyFont="1" applyFill="1" applyBorder="1" applyAlignment="1">
      <alignment horizontal="center" vertical="center"/>
    </xf>
    <xf numFmtId="1" fontId="2" fillId="0" borderId="28" xfId="0" applyNumberFormat="1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1" fontId="2" fillId="0" borderId="3" xfId="0" applyNumberFormat="1" applyFont="1" applyFill="1" applyBorder="1" applyAlignment="1">
      <alignment horizontal="right"/>
    </xf>
    <xf numFmtId="1" fontId="2" fillId="0" borderId="3" xfId="0" applyNumberFormat="1" applyFont="1" applyFill="1" applyBorder="1"/>
    <xf numFmtId="1" fontId="2" fillId="0" borderId="30" xfId="0" applyNumberFormat="1" applyFont="1" applyFill="1" applyBorder="1"/>
    <xf numFmtId="1" fontId="9" fillId="0" borderId="1" xfId="0" applyNumberFormat="1" applyFont="1" applyFill="1" applyBorder="1" applyAlignment="1">
      <alignment horizontal="center"/>
    </xf>
    <xf numFmtId="1" fontId="5" fillId="0" borderId="1" xfId="1" applyNumberFormat="1" applyFont="1" applyFill="1" applyBorder="1" applyAlignment="1">
      <alignment horizontal="center"/>
    </xf>
    <xf numFmtId="1" fontId="10" fillId="0" borderId="1" xfId="0" applyNumberFormat="1" applyFont="1" applyFill="1" applyBorder="1" applyAlignment="1">
      <alignment horizontal="center" vertical="center" wrapText="1"/>
    </xf>
    <xf numFmtId="0" fontId="44" fillId="0" borderId="1" xfId="0" applyNumberFormat="1" applyFont="1" applyFill="1" applyBorder="1" applyAlignment="1" applyProtection="1">
      <alignment horizontal="center"/>
    </xf>
    <xf numFmtId="0" fontId="2" fillId="0" borderId="1" xfId="0" applyNumberFormat="1" applyFont="1" applyFill="1" applyBorder="1" applyAlignment="1" applyProtection="1">
      <alignment horizontal="center"/>
    </xf>
    <xf numFmtId="1" fontId="2" fillId="0" borderId="1" xfId="0" applyNumberFormat="1" applyFont="1" applyFill="1" applyBorder="1" applyAlignment="1" applyProtection="1">
      <alignment horizontal="center"/>
    </xf>
    <xf numFmtId="2" fontId="2" fillId="0" borderId="1" xfId="0" applyNumberFormat="1" applyFont="1" applyFill="1" applyBorder="1" applyAlignment="1" applyProtection="1">
      <alignment horizontal="center"/>
    </xf>
    <xf numFmtId="2" fontId="44" fillId="0" borderId="1" xfId="0" applyNumberFormat="1" applyFont="1" applyFill="1" applyBorder="1" applyAlignment="1" applyProtection="1">
      <alignment horizontal="center"/>
    </xf>
    <xf numFmtId="1" fontId="44" fillId="0" borderId="1" xfId="0" applyNumberFormat="1" applyFont="1" applyFill="1" applyBorder="1" applyAlignment="1" applyProtection="1">
      <alignment horizontal="center"/>
    </xf>
    <xf numFmtId="15" fontId="41" fillId="51" borderId="1" xfId="0" applyNumberFormat="1" applyFont="1" applyFill="1" applyBorder="1" applyAlignment="1">
      <alignment horizontal="center" vertical="center"/>
    </xf>
    <xf numFmtId="15" fontId="41" fillId="49" borderId="32" xfId="0" applyNumberFormat="1" applyFont="1" applyFill="1" applyBorder="1" applyAlignment="1">
      <alignment horizontal="center" vertical="center"/>
    </xf>
    <xf numFmtId="15" fontId="41" fillId="51" borderId="1" xfId="0" applyNumberFormat="1" applyFont="1" applyFill="1" applyBorder="1" applyAlignment="1">
      <alignment vertical="center"/>
    </xf>
    <xf numFmtId="2" fontId="45" fillId="0" borderId="3" xfId="0" applyNumberFormat="1" applyFont="1" applyFill="1" applyBorder="1" applyAlignment="1"/>
    <xf numFmtId="2" fontId="45" fillId="0" borderId="3" xfId="0" applyNumberFormat="1" applyFont="1" applyBorder="1" applyAlignment="1"/>
    <xf numFmtId="2" fontId="45" fillId="0" borderId="11" xfId="0" applyNumberFormat="1" applyFont="1" applyBorder="1" applyAlignment="1"/>
    <xf numFmtId="2" fontId="45" fillId="7" borderId="3" xfId="0" applyNumberFormat="1" applyFont="1" applyFill="1" applyBorder="1" applyAlignment="1"/>
    <xf numFmtId="1" fontId="38" fillId="7" borderId="3" xfId="0" applyNumberFormat="1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/>
    </xf>
    <xf numFmtId="1" fontId="2" fillId="2" borderId="11" xfId="0" applyNumberFormat="1" applyFont="1" applyFill="1" applyBorder="1"/>
    <xf numFmtId="2" fontId="2" fillId="2" borderId="30" xfId="0" applyNumberFormat="1" applyFont="1" applyFill="1" applyBorder="1" applyAlignment="1">
      <alignment horizontal="center" vertical="center"/>
    </xf>
    <xf numFmtId="2" fontId="2" fillId="2" borderId="11" xfId="0" applyNumberFormat="1" applyFont="1" applyFill="1" applyBorder="1" applyAlignment="1">
      <alignment horizontal="center" vertical="center"/>
    </xf>
    <xf numFmtId="1" fontId="0" fillId="2" borderId="11" xfId="0" applyNumberFormat="1" applyFill="1" applyBorder="1"/>
    <xf numFmtId="165" fontId="2" fillId="2" borderId="3" xfId="0" applyNumberFormat="1" applyFont="1" applyFill="1" applyBorder="1" applyAlignment="1">
      <alignment horizontal="center"/>
    </xf>
    <xf numFmtId="2" fontId="2" fillId="2" borderId="3" xfId="0" applyNumberFormat="1" applyFont="1" applyFill="1" applyBorder="1" applyAlignment="1">
      <alignment horizontal="center"/>
    </xf>
    <xf numFmtId="2" fontId="2" fillId="2" borderId="30" xfId="0" applyNumberFormat="1" applyFont="1" applyFill="1" applyBorder="1" applyAlignment="1">
      <alignment horizontal="right"/>
    </xf>
    <xf numFmtId="2" fontId="2" fillId="2" borderId="1" xfId="0" applyNumberFormat="1" applyFont="1" applyFill="1" applyBorder="1" applyAlignment="1">
      <alignment horizontal="right"/>
    </xf>
    <xf numFmtId="0" fontId="43" fillId="2" borderId="0" xfId="0" applyFont="1" applyFill="1"/>
    <xf numFmtId="1" fontId="0" fillId="2" borderId="0" xfId="0" applyNumberFormat="1" applyFill="1" applyBorder="1"/>
    <xf numFmtId="1" fontId="2" fillId="2" borderId="31" xfId="0" applyNumberFormat="1" applyFont="1" applyFill="1" applyBorder="1"/>
    <xf numFmtId="0" fontId="3" fillId="0" borderId="1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center"/>
    </xf>
    <xf numFmtId="0" fontId="0" fillId="0" borderId="0" xfId="0" applyFill="1" applyBorder="1"/>
    <xf numFmtId="0" fontId="3" fillId="2" borderId="12" xfId="0" applyFont="1" applyFill="1" applyBorder="1" applyAlignment="1">
      <alignment horizontal="center"/>
    </xf>
    <xf numFmtId="0" fontId="3" fillId="53" borderId="1" xfId="0" applyFont="1" applyFill="1" applyBorder="1" applyAlignment="1">
      <alignment horizontal="left"/>
    </xf>
    <xf numFmtId="0" fontId="33" fillId="7" borderId="2" xfId="0" applyFont="1" applyFill="1" applyBorder="1" applyAlignment="1">
      <alignment horizontal="center" vertical="justify"/>
    </xf>
    <xf numFmtId="0" fontId="3" fillId="53" borderId="32" xfId="0" applyFont="1" applyFill="1" applyBorder="1" applyAlignment="1">
      <alignment horizontal="left"/>
    </xf>
    <xf numFmtId="1" fontId="0" fillId="0" borderId="0" xfId="0" applyNumberFormat="1" applyFill="1"/>
    <xf numFmtId="0" fontId="2" fillId="0" borderId="31" xfId="1" applyFont="1" applyFill="1" applyBorder="1" applyAlignment="1">
      <alignment horizontal="left" vertical="top"/>
    </xf>
    <xf numFmtId="0" fontId="2" fillId="0" borderId="30" xfId="1" applyFont="1" applyFill="1" applyBorder="1" applyAlignment="1">
      <alignment horizontal="left" vertical="top"/>
    </xf>
    <xf numFmtId="2" fontId="15" fillId="7" borderId="10" xfId="0" applyNumberFormat="1" applyFont="1" applyFill="1" applyBorder="1" applyAlignment="1">
      <alignment horizontal="center"/>
    </xf>
    <xf numFmtId="0" fontId="15" fillId="4" borderId="32" xfId="0" applyFont="1" applyFill="1" applyBorder="1" applyAlignment="1">
      <alignment horizontal="right"/>
    </xf>
    <xf numFmtId="0" fontId="3" fillId="0" borderId="2" xfId="0" applyFont="1" applyFill="1" applyBorder="1" applyAlignment="1">
      <alignment vertical="center"/>
    </xf>
    <xf numFmtId="2" fontId="2" fillId="2" borderId="3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2" fontId="2" fillId="2" borderId="1" xfId="0" applyNumberFormat="1" applyFont="1" applyFill="1" applyBorder="1" applyAlignment="1">
      <alignment horizontal="center"/>
    </xf>
    <xf numFmtId="2" fontId="3" fillId="53" borderId="1" xfId="0" applyNumberFormat="1" applyFont="1" applyFill="1" applyBorder="1" applyAlignment="1">
      <alignment vertical="center"/>
    </xf>
    <xf numFmtId="1" fontId="3" fillId="53" borderId="1" xfId="0" applyNumberFormat="1" applyFont="1" applyFill="1" applyBorder="1" applyAlignment="1">
      <alignment horizontal="center" vertical="center"/>
    </xf>
    <xf numFmtId="1" fontId="18" fillId="52" borderId="32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left"/>
    </xf>
    <xf numFmtId="1" fontId="18" fillId="52" borderId="1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/>
    <xf numFmtId="1" fontId="15" fillId="52" borderId="1" xfId="0" applyNumberFormat="1" applyFont="1" applyFill="1" applyBorder="1" applyAlignment="1">
      <alignment horizontal="center" vertical="center"/>
    </xf>
    <xf numFmtId="1" fontId="15" fillId="52" borderId="32" xfId="0" applyNumberFormat="1" applyFont="1" applyFill="1" applyBorder="1" applyAlignment="1">
      <alignment horizontal="center" vertical="center"/>
    </xf>
    <xf numFmtId="2" fontId="15" fillId="52" borderId="32" xfId="0" applyNumberFormat="1" applyFont="1" applyFill="1" applyBorder="1" applyAlignment="1">
      <alignment horizontal="center" vertical="center"/>
    </xf>
    <xf numFmtId="165" fontId="15" fillId="52" borderId="32" xfId="0" applyNumberFormat="1" applyFont="1" applyFill="1" applyBorder="1" applyAlignment="1">
      <alignment horizontal="center" vertical="center"/>
    </xf>
    <xf numFmtId="165" fontId="15" fillId="52" borderId="1" xfId="0" applyNumberFormat="1" applyFont="1" applyFill="1" applyBorder="1" applyAlignment="1">
      <alignment horizontal="center" vertical="center"/>
    </xf>
    <xf numFmtId="2" fontId="15" fillId="52" borderId="1" xfId="0" applyNumberFormat="1" applyFont="1" applyFill="1" applyBorder="1" applyAlignment="1">
      <alignment horizontal="center" vertical="center"/>
    </xf>
    <xf numFmtId="1" fontId="15" fillId="53" borderId="1" xfId="0" applyNumberFormat="1" applyFont="1" applyFill="1" applyBorder="1" applyAlignment="1">
      <alignment horizontal="center"/>
    </xf>
    <xf numFmtId="1" fontId="3" fillId="53" borderId="1" xfId="0" applyNumberFormat="1" applyFont="1" applyFill="1" applyBorder="1" applyAlignment="1">
      <alignment vertical="center"/>
    </xf>
    <xf numFmtId="165" fontId="3" fillId="53" borderId="1" xfId="0" applyNumberFormat="1" applyFont="1" applyFill="1" applyBorder="1" applyAlignment="1">
      <alignment vertical="center"/>
    </xf>
    <xf numFmtId="1" fontId="3" fillId="53" borderId="33" xfId="0" applyNumberFormat="1" applyFont="1" applyFill="1" applyBorder="1" applyAlignment="1">
      <alignment horizontal="center" vertical="center"/>
    </xf>
    <xf numFmtId="0" fontId="44" fillId="7" borderId="1" xfId="0" applyNumberFormat="1" applyFont="1" applyFill="1" applyBorder="1" applyAlignment="1" applyProtection="1">
      <alignment horizontal="center"/>
    </xf>
    <xf numFmtId="0" fontId="9" fillId="7" borderId="1" xfId="0" applyFont="1" applyFill="1" applyBorder="1" applyAlignment="1">
      <alignment horizontal="center"/>
    </xf>
    <xf numFmtId="1" fontId="2" fillId="46" borderId="1" xfId="0" applyNumberFormat="1" applyFont="1" applyFill="1" applyBorder="1" applyAlignment="1" applyProtection="1">
      <alignment horizontal="center"/>
    </xf>
    <xf numFmtId="2" fontId="44" fillId="46" borderId="1" xfId="0" applyNumberFormat="1" applyFont="1" applyFill="1" applyBorder="1" applyAlignment="1" applyProtection="1">
      <alignment horizontal="center"/>
    </xf>
    <xf numFmtId="1" fontId="2" fillId="46" borderId="3" xfId="0" applyNumberFormat="1" applyFont="1" applyFill="1" applyBorder="1" applyAlignment="1">
      <alignment horizontal="center" vertical="center"/>
    </xf>
    <xf numFmtId="1" fontId="2" fillId="46" borderId="28" xfId="0" applyNumberFormat="1" applyFont="1" applyFill="1" applyBorder="1" applyAlignment="1">
      <alignment horizontal="right"/>
    </xf>
    <xf numFmtId="1" fontId="2" fillId="46" borderId="0" xfId="0" applyNumberFormat="1" applyFont="1" applyFill="1" applyBorder="1" applyAlignment="1">
      <alignment horizontal="right"/>
    </xf>
    <xf numFmtId="1" fontId="2" fillId="46" borderId="3" xfId="0" applyNumberFormat="1" applyFont="1" applyFill="1" applyBorder="1" applyAlignment="1">
      <alignment horizontal="right"/>
    </xf>
    <xf numFmtId="1" fontId="2" fillId="46" borderId="3" xfId="0" applyNumberFormat="1" applyFont="1" applyFill="1" applyBorder="1"/>
    <xf numFmtId="1" fontId="2" fillId="46" borderId="30" xfId="0" applyNumberFormat="1" applyFont="1" applyFill="1" applyBorder="1"/>
    <xf numFmtId="169" fontId="2" fillId="2" borderId="0" xfId="0" applyNumberFormat="1" applyFont="1" applyFill="1"/>
    <xf numFmtId="0" fontId="2" fillId="46" borderId="30" xfId="1" applyFont="1" applyFill="1" applyBorder="1" applyAlignment="1">
      <alignment horizontal="left"/>
    </xf>
    <xf numFmtId="165" fontId="2" fillId="46" borderId="3" xfId="0" applyNumberFormat="1" applyFont="1" applyFill="1" applyBorder="1" applyAlignment="1">
      <alignment horizontal="center"/>
    </xf>
    <xf numFmtId="1" fontId="2" fillId="46" borderId="30" xfId="0" applyNumberFormat="1" applyFont="1" applyFill="1" applyBorder="1" applyAlignment="1">
      <alignment horizontal="right"/>
    </xf>
    <xf numFmtId="1" fontId="0" fillId="46" borderId="3" xfId="0" applyNumberFormat="1" applyFill="1" applyBorder="1"/>
    <xf numFmtId="1" fontId="0" fillId="50" borderId="3" xfId="0" applyNumberFormat="1" applyFill="1" applyBorder="1"/>
    <xf numFmtId="169" fontId="0" fillId="2" borderId="0" xfId="2" applyNumberFormat="1" applyFont="1" applyFill="1" applyBorder="1"/>
    <xf numFmtId="0" fontId="13" fillId="0" borderId="32" xfId="0" applyFont="1" applyFill="1" applyBorder="1"/>
    <xf numFmtId="0" fontId="2" fillId="7" borderId="0" xfId="1" applyFont="1" applyFill="1" applyBorder="1" applyAlignment="1">
      <alignment horizontal="center" vertical="top"/>
    </xf>
    <xf numFmtId="0" fontId="2" fillId="7" borderId="7" xfId="1" applyFont="1" applyFill="1" applyBorder="1" applyAlignment="1">
      <alignment horizontal="center"/>
    </xf>
    <xf numFmtId="1" fontId="5" fillId="54" borderId="39" xfId="0" applyNumberFormat="1" applyFont="1" applyFill="1" applyBorder="1" applyAlignment="1">
      <alignment horizontal="center"/>
    </xf>
    <xf numFmtId="2" fontId="5" fillId="54" borderId="39" xfId="0" applyNumberFormat="1" applyFont="1" applyFill="1" applyBorder="1" applyAlignment="1">
      <alignment horizontal="center"/>
    </xf>
    <xf numFmtId="1" fontId="5" fillId="0" borderId="39" xfId="0" applyNumberFormat="1" applyFont="1" applyBorder="1" applyAlignment="1">
      <alignment horizontal="center"/>
    </xf>
    <xf numFmtId="2" fontId="5" fillId="0" borderId="39" xfId="0" applyNumberFormat="1" applyFont="1" applyBorder="1" applyAlignment="1">
      <alignment horizontal="center"/>
    </xf>
    <xf numFmtId="2" fontId="46" fillId="0" borderId="39" xfId="0" applyNumberFormat="1" applyFont="1" applyBorder="1" applyAlignment="1">
      <alignment horizontal="center"/>
    </xf>
    <xf numFmtId="2" fontId="46" fillId="54" borderId="39" xfId="0" applyNumberFormat="1" applyFont="1" applyFill="1" applyBorder="1" applyAlignment="1">
      <alignment horizontal="center"/>
    </xf>
    <xf numFmtId="0" fontId="46" fillId="0" borderId="39" xfId="0" applyFont="1" applyFill="1" applyBorder="1" applyAlignment="1">
      <alignment horizontal="right"/>
    </xf>
    <xf numFmtId="2" fontId="5" fillId="0" borderId="12" xfId="0" applyNumberFormat="1" applyFont="1" applyBorder="1" applyAlignment="1">
      <alignment horizontal="right"/>
    </xf>
    <xf numFmtId="2" fontId="5" fillId="0" borderId="13" xfId="0" applyNumberFormat="1" applyFont="1" applyBorder="1" applyAlignment="1">
      <alignment horizontal="right"/>
    </xf>
    <xf numFmtId="2" fontId="5" fillId="0" borderId="30" xfId="0" applyNumberFormat="1" applyFont="1" applyBorder="1" applyAlignment="1">
      <alignment horizontal="right"/>
    </xf>
    <xf numFmtId="2" fontId="5" fillId="0" borderId="0" xfId="0" applyNumberFormat="1" applyFont="1" applyBorder="1" applyAlignment="1">
      <alignment horizontal="right"/>
    </xf>
    <xf numFmtId="2" fontId="5" fillId="0" borderId="31" xfId="0" applyNumberFormat="1" applyFont="1" applyBorder="1" applyAlignment="1">
      <alignment horizontal="right"/>
    </xf>
    <xf numFmtId="2" fontId="5" fillId="0" borderId="10" xfId="0" applyNumberFormat="1" applyFont="1" applyBorder="1" applyAlignment="1">
      <alignment horizontal="right"/>
    </xf>
    <xf numFmtId="1" fontId="5" fillId="0" borderId="27" xfId="0" applyNumberFormat="1" applyFont="1" applyBorder="1" applyAlignment="1">
      <alignment horizontal="center"/>
    </xf>
    <xf numFmtId="1" fontId="5" fillId="0" borderId="28" xfId="0" applyNumberFormat="1" applyFont="1" applyBorder="1" applyAlignment="1">
      <alignment horizontal="center"/>
    </xf>
    <xf numFmtId="1" fontId="5" fillId="0" borderId="29" xfId="0" applyNumberFormat="1" applyFont="1" applyBorder="1" applyAlignment="1">
      <alignment horizontal="center"/>
    </xf>
    <xf numFmtId="15" fontId="41" fillId="55" borderId="1" xfId="0" applyNumberFormat="1" applyFont="1" applyFill="1" applyBorder="1" applyAlignment="1">
      <alignment horizontal="center" vertical="center"/>
    </xf>
    <xf numFmtId="1" fontId="38" fillId="0" borderId="3" xfId="0" applyNumberFormat="1" applyFont="1" applyFill="1" applyBorder="1" applyAlignment="1">
      <alignment horizontal="center"/>
    </xf>
    <xf numFmtId="15" fontId="41" fillId="55" borderId="1" xfId="0" applyNumberFormat="1" applyFont="1" applyFill="1" applyBorder="1" applyAlignment="1">
      <alignment vertical="center"/>
    </xf>
    <xf numFmtId="1" fontId="3" fillId="56" borderId="1" xfId="0" applyNumberFormat="1" applyFont="1" applyFill="1" applyBorder="1" applyAlignment="1">
      <alignment vertical="center"/>
    </xf>
    <xf numFmtId="9" fontId="0" fillId="13" borderId="37" xfId="0" applyNumberFormat="1" applyFill="1" applyBorder="1"/>
    <xf numFmtId="17" fontId="6" fillId="0" borderId="0" xfId="0" applyNumberFormat="1" applyFont="1" applyAlignment="1">
      <alignment horizontal="center"/>
    </xf>
    <xf numFmtId="0" fontId="40" fillId="0" borderId="10" xfId="0" applyFont="1" applyBorder="1" applyAlignment="1">
      <alignment horizontal="center"/>
    </xf>
    <xf numFmtId="0" fontId="42" fillId="0" borderId="2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center" vertical="top" wrapText="1"/>
    </xf>
    <xf numFmtId="0" fontId="2" fillId="0" borderId="11" xfId="0" applyFont="1" applyFill="1" applyBorder="1" applyAlignment="1">
      <alignment horizontal="center" vertical="top" wrapText="1"/>
    </xf>
    <xf numFmtId="0" fontId="2" fillId="0" borderId="2" xfId="1" applyFont="1" applyFill="1" applyBorder="1" applyAlignment="1">
      <alignment horizontal="center" vertical="top" wrapText="1"/>
    </xf>
    <xf numFmtId="0" fontId="2" fillId="0" borderId="11" xfId="1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/>
    </xf>
    <xf numFmtId="0" fontId="0" fillId="0" borderId="3" xfId="0" applyFill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3" xfId="1" applyFont="1" applyFill="1" applyBorder="1" applyAlignment="1">
      <alignment horizontal="center" vertical="top" wrapText="1"/>
    </xf>
    <xf numFmtId="1" fontId="0" fillId="0" borderId="2" xfId="0" applyNumberFormat="1" applyFill="1" applyBorder="1" applyAlignment="1">
      <alignment horizontal="center" vertical="top" wrapText="1"/>
    </xf>
    <xf numFmtId="1" fontId="0" fillId="0" borderId="3" xfId="0" applyNumberFormat="1" applyFill="1" applyBorder="1" applyAlignment="1">
      <alignment horizontal="center" vertical="top" wrapText="1"/>
    </xf>
    <xf numFmtId="1" fontId="0" fillId="0" borderId="11" xfId="0" applyNumberFormat="1" applyFill="1" applyBorder="1" applyAlignment="1">
      <alignment horizontal="center" vertical="top" wrapText="1"/>
    </xf>
    <xf numFmtId="1" fontId="2" fillId="0" borderId="2" xfId="0" applyNumberFormat="1" applyFont="1" applyFill="1" applyBorder="1" applyAlignment="1">
      <alignment horizontal="center" vertical="top" wrapText="1"/>
    </xf>
    <xf numFmtId="1" fontId="2" fillId="0" borderId="3" xfId="0" applyNumberFormat="1" applyFont="1" applyFill="1" applyBorder="1" applyAlignment="1">
      <alignment horizontal="center" vertical="top" wrapText="1"/>
    </xf>
    <xf numFmtId="1" fontId="2" fillId="0" borderId="11" xfId="0" applyNumberFormat="1" applyFont="1" applyFill="1" applyBorder="1" applyAlignment="1">
      <alignment horizontal="center" vertical="top" wrapText="1"/>
    </xf>
    <xf numFmtId="1" fontId="42" fillId="0" borderId="2" xfId="0" applyNumberFormat="1" applyFont="1" applyFill="1" applyBorder="1" applyAlignment="1">
      <alignment horizontal="center" vertical="top" wrapText="1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7" fontId="23" fillId="2" borderId="12" xfId="0" applyNumberFormat="1" applyFont="1" applyFill="1" applyBorder="1" applyAlignment="1">
      <alignment horizontal="center"/>
    </xf>
    <xf numFmtId="167" fontId="23" fillId="2" borderId="27" xfId="0" applyNumberFormat="1" applyFont="1" applyFill="1" applyBorder="1" applyAlignment="1">
      <alignment horizontal="center"/>
    </xf>
    <xf numFmtId="167" fontId="23" fillId="2" borderId="32" xfId="0" applyNumberFormat="1" applyFont="1" applyFill="1" applyBorder="1" applyAlignment="1">
      <alignment horizontal="center"/>
    </xf>
    <xf numFmtId="167" fontId="23" fillId="2" borderId="33" xfId="0" applyNumberFormat="1" applyFont="1" applyFill="1" applyBorder="1" applyAlignment="1">
      <alignment horizontal="center"/>
    </xf>
  </cellXfs>
  <cellStyles count="9">
    <cellStyle name="Comma" xfId="2" builtinId="3"/>
    <cellStyle name="Normal" xfId="0" builtinId="0"/>
    <cellStyle name="Normal 2" xfId="5" xr:uid="{00000000-0005-0000-0000-000002000000}"/>
    <cellStyle name="Normal 2 2" xfId="1" xr:uid="{00000000-0005-0000-0000-000003000000}"/>
    <cellStyle name="Normal 3" xfId="6" xr:uid="{00000000-0005-0000-0000-000004000000}"/>
    <cellStyle name="Normal 3 2" xfId="7" xr:uid="{00000000-0005-0000-0000-000005000000}"/>
    <cellStyle name="Normal 4" xfId="8" xr:uid="{00000000-0005-0000-0000-000006000000}"/>
    <cellStyle name="Normal 5" xfId="4" xr:uid="{00000000-0005-0000-0000-000007000000}"/>
    <cellStyle name="Percent" xfId="3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663300"/>
      <color rgb="FFD416BD"/>
      <color rgb="FFCC0066"/>
      <color rgb="FFEE58DC"/>
      <color rgb="FF4092A2"/>
      <color rgb="FFB45210"/>
      <color rgb="FF3E6E57"/>
      <color rgb="FF993300"/>
      <color rgb="FF8080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 2: Quarterly Volume</a:t>
            </a:r>
            <a:r>
              <a:rPr lang="en-AU" sz="1200" b="1" baseline="0">
                <a:solidFill>
                  <a:schemeClr val="tx1"/>
                </a:solidFill>
              </a:rPr>
              <a:t> and Price of Fiji Taro</a:t>
            </a:r>
            <a:endParaRPr lang="en-AU" sz="12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570937653411879"/>
          <c:y val="1.79372197309417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141705224991207"/>
          <c:y val="0.18868567887802579"/>
          <c:w val="0.78612024012462356"/>
          <c:h val="0.67181969844855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59D3B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Analysis'!$T$9:$X$9</c:f>
              <c:numCache>
                <c:formatCode>0</c:formatCode>
                <c:ptCount val="4"/>
                <c:pt idx="0">
                  <c:v>18.695558447191498</c:v>
                </c:pt>
                <c:pt idx="1">
                  <c:v>205.45085664714813</c:v>
                </c:pt>
                <c:pt idx="2">
                  <c:v>385.85734530249721</c:v>
                </c:pt>
                <c:pt idx="3">
                  <c:v>369.44218824549989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7-419D-A13D-0E5302868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6513792"/>
        <c:axId val="156511616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Analysis'!$T$34:$X$34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Analysis'!$T$36:$X$36</c:f>
              <c:numCache>
                <c:formatCode>0</c:formatCode>
                <c:ptCount val="4"/>
                <c:pt idx="0">
                  <c:v>120.566472</c:v>
                </c:pt>
                <c:pt idx="1">
                  <c:v>116.05674500000001</c:v>
                </c:pt>
                <c:pt idx="2">
                  <c:v>122.976837</c:v>
                </c:pt>
                <c:pt idx="3">
                  <c:v>109.344493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7-419D-A13D-0E5302868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10080"/>
        <c:axId val="156364160"/>
      </c:lineChart>
      <c:valAx>
        <c:axId val="156364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510080"/>
        <c:crosses val="max"/>
        <c:crossBetween val="between"/>
      </c:valAx>
      <c:catAx>
        <c:axId val="156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364160"/>
        <c:crosses val="autoZero"/>
        <c:auto val="1"/>
        <c:lblAlgn val="ctr"/>
        <c:lblOffset val="100"/>
        <c:noMultiLvlLbl val="0"/>
      </c:catAx>
      <c:valAx>
        <c:axId val="156511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513792"/>
        <c:crosses val="autoZero"/>
        <c:crossBetween val="between"/>
      </c:valAx>
      <c:catAx>
        <c:axId val="156513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511616"/>
        <c:crosses val="autoZero"/>
        <c:auto val="1"/>
        <c:lblAlgn val="ctr"/>
        <c:lblOffset val="100"/>
        <c:noMultiLvlLbl val="0"/>
      </c:catAx>
      <c:spPr>
        <a:noFill/>
        <a:ln>
          <a:solidFill>
            <a:srgbClr val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35118792461411635"/>
          <c:y val="0.1074300475557414"/>
          <c:w val="0.37074057641280228"/>
          <c:h val="4.2763860541078925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/>
              <a:t>Figure 3: Quarterly Volume and Price of Island Taro</a:t>
            </a:r>
          </a:p>
        </c:rich>
      </c:tx>
      <c:layout>
        <c:manualLayout>
          <c:xMode val="edge"/>
          <c:yMode val="edge"/>
          <c:x val="0.21784492630703531"/>
          <c:y val="2.81945565754795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932395733770273"/>
          <c:y val="0.19018994125718597"/>
          <c:w val="0.7901382124922246"/>
          <c:h val="0.67460158495039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Analysis'!$T$10:$X$10</c:f>
              <c:numCache>
                <c:formatCode>0</c:formatCode>
                <c:ptCount val="4"/>
                <c:pt idx="0">
                  <c:v>34.288602150537635</c:v>
                </c:pt>
                <c:pt idx="1">
                  <c:v>76.634834799608996</c:v>
                </c:pt>
                <c:pt idx="2">
                  <c:v>64.137739186971274</c:v>
                </c:pt>
                <c:pt idx="3">
                  <c:v>318.97724731182797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B-4E51-9260-A9F6E224A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6944640"/>
        <c:axId val="156942720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99FF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Analysis'!$T$37:$X$37</c:f>
              <c:numCache>
                <c:formatCode>0</c:formatCode>
                <c:ptCount val="4"/>
                <c:pt idx="0">
                  <c:v>0</c:v>
                </c:pt>
                <c:pt idx="1">
                  <c:v>168.53011699999999</c:v>
                </c:pt>
                <c:pt idx="2">
                  <c:v>189.939705</c:v>
                </c:pt>
                <c:pt idx="3">
                  <c:v>174.949736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B-4E51-9260-A9F6E224A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40928"/>
        <c:axId val="156938624"/>
      </c:lineChart>
      <c:valAx>
        <c:axId val="1569386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0"/>
                  <a:t>Price</a:t>
                </a:r>
                <a:r>
                  <a:rPr lang="en-AU" sz="1200" b="0" baseline="0"/>
                  <a:t> per Kg, Vatu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940928"/>
        <c:crosses val="max"/>
        <c:crossBetween val="between"/>
      </c:valAx>
      <c:catAx>
        <c:axId val="15694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938624"/>
        <c:crosses val="autoZero"/>
        <c:auto val="1"/>
        <c:lblAlgn val="ctr"/>
        <c:lblOffset val="100"/>
        <c:noMultiLvlLbl val="0"/>
      </c:catAx>
      <c:valAx>
        <c:axId val="156942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0"/>
                  <a:t>Volume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944640"/>
        <c:crosses val="autoZero"/>
        <c:crossBetween val="between"/>
      </c:valAx>
      <c:catAx>
        <c:axId val="15694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94272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2513823618710685"/>
          <c:y val="0.10752184270204627"/>
          <c:w val="0.39717739939408747"/>
          <c:h val="5.1596959368014006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200" b="1" i="0" baseline="0">
                <a:solidFill>
                  <a:schemeClr val="tx1"/>
                </a:solidFill>
                <a:effectLst/>
              </a:rPr>
              <a:t>Figure 4: Quarterly Volume and Price of Manioc</a:t>
            </a:r>
            <a:endParaRPr lang="en-AU" sz="120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23356257073370415"/>
          <c:y val="2.047344849648112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Analysis'!$T$11:$X$11</c:f>
              <c:numCache>
                <c:formatCode>0</c:formatCode>
                <c:ptCount val="4"/>
                <c:pt idx="0">
                  <c:v>78.722869404790018</c:v>
                </c:pt>
                <c:pt idx="1">
                  <c:v>303.6889003633583</c:v>
                </c:pt>
                <c:pt idx="2">
                  <c:v>411.90670553218683</c:v>
                </c:pt>
                <c:pt idx="3">
                  <c:v>892.5622906190589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1-46FF-911D-6CAB3A207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6822528"/>
        <c:axId val="15682060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00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Analysis'!$T$38:$X$38</c:f>
              <c:numCache>
                <c:formatCode>0</c:formatCode>
                <c:ptCount val="4"/>
                <c:pt idx="0">
                  <c:v>116.30475300000001</c:v>
                </c:pt>
                <c:pt idx="1">
                  <c:v>95.882146000000006</c:v>
                </c:pt>
                <c:pt idx="2">
                  <c:v>56.181074000000002</c:v>
                </c:pt>
                <c:pt idx="3">
                  <c:v>53.215260999999998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1-46FF-911D-6CAB3A207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18816"/>
        <c:axId val="156816512"/>
      </c:lineChart>
      <c:valAx>
        <c:axId val="1568165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Kg.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818816"/>
        <c:crosses val="max"/>
        <c:crossBetween val="between"/>
      </c:valAx>
      <c:catAx>
        <c:axId val="15681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816512"/>
        <c:crosses val="autoZero"/>
        <c:auto val="1"/>
        <c:lblAlgn val="ctr"/>
        <c:lblOffset val="100"/>
        <c:noMultiLvlLbl val="0"/>
      </c:catAx>
      <c:valAx>
        <c:axId val="156820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822528"/>
        <c:crosses val="autoZero"/>
        <c:crossBetween val="between"/>
      </c:valAx>
      <c:catAx>
        <c:axId val="156822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82060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 5: Quarterly Volume</a:t>
            </a:r>
            <a:r>
              <a:rPr lang="en-AU" sz="1200" b="1" baseline="0">
                <a:solidFill>
                  <a:schemeClr val="tx1"/>
                </a:solidFill>
              </a:rPr>
              <a:t> and Price of </a:t>
            </a:r>
            <a:r>
              <a:rPr lang="en-AU" sz="1200" b="1">
                <a:solidFill>
                  <a:schemeClr val="tx1"/>
                </a:solidFill>
              </a:rPr>
              <a:t>Kumala</a:t>
            </a:r>
            <a:r>
              <a:rPr lang="en-AU" sz="1200" b="1" baseline="0">
                <a:solidFill>
                  <a:schemeClr val="tx1"/>
                </a:solidFill>
              </a:rPr>
              <a:t> </a:t>
            </a:r>
            <a:endParaRPr lang="en-AU" sz="12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2494501155582078"/>
          <c:y val="5.104344234159282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629793466827883"/>
          <c:y val="0.21984061039406827"/>
          <c:w val="0.79631927495739052"/>
          <c:h val="0.658233428341583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0099CC"/>
            </a:solidFill>
            <a:ln>
              <a:solidFill>
                <a:srgbClr val="000000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Analysis'!$T$12:$X$12</c:f>
              <c:numCache>
                <c:formatCode>0</c:formatCode>
                <c:ptCount val="4"/>
                <c:pt idx="0">
                  <c:v>34.059335941935807</c:v>
                </c:pt>
                <c:pt idx="1">
                  <c:v>724.37341687738592</c:v>
                </c:pt>
                <c:pt idx="2">
                  <c:v>1567.3344502893449</c:v>
                </c:pt>
                <c:pt idx="3">
                  <c:v>1498.8951767564079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9-4AFC-9AAA-3AB396AC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114368"/>
        <c:axId val="157112192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Analysis'!$T$39:$X$39</c:f>
              <c:numCache>
                <c:formatCode>0</c:formatCode>
                <c:ptCount val="4"/>
                <c:pt idx="0">
                  <c:v>63.131872000000001</c:v>
                </c:pt>
                <c:pt idx="1">
                  <c:v>73.552661000000001</c:v>
                </c:pt>
                <c:pt idx="2">
                  <c:v>75.706553</c:v>
                </c:pt>
                <c:pt idx="3">
                  <c:v>67.787324999999996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9-4AFC-9AAA-3AB396AC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10656"/>
        <c:axId val="157108096"/>
      </c:lineChart>
      <c:valAx>
        <c:axId val="1571080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in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110656"/>
        <c:crosses val="max"/>
        <c:crossBetween val="between"/>
      </c:valAx>
      <c:catAx>
        <c:axId val="157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108096"/>
        <c:crosses val="autoZero"/>
        <c:auto val="1"/>
        <c:lblAlgn val="ctr"/>
        <c:lblOffset val="100"/>
        <c:noMultiLvlLbl val="0"/>
      </c:catAx>
      <c:valAx>
        <c:axId val="157112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114368"/>
        <c:crosses val="autoZero"/>
        <c:crossBetween val="between"/>
      </c:valAx>
      <c:catAx>
        <c:axId val="15711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112192"/>
        <c:crosses val="autoZero"/>
        <c:auto val="1"/>
        <c:lblAlgn val="ctr"/>
        <c:lblOffset val="100"/>
        <c:noMultiLvlLbl val="0"/>
      </c:catAx>
      <c:spPr>
        <a:noFill/>
        <a:ln>
          <a:solidFill>
            <a:srgbClr val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35435256799820897"/>
          <c:y val="0.13855011310547924"/>
          <c:w val="0.3336255399511458"/>
          <c:h val="4.1284684671495167E-2"/>
        </c:manualLayout>
      </c:layout>
      <c:overlay val="0"/>
      <c:spPr>
        <a:noFill/>
        <a:ln>
          <a:solidFill>
            <a:srgbClr val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 i="0" baseline="0">
                <a:solidFill>
                  <a:schemeClr val="tx1"/>
                </a:solidFill>
                <a:effectLst/>
              </a:rPr>
              <a:t>Figure 6: Quarterly Volume and Price of Yam</a:t>
            </a:r>
            <a:endParaRPr lang="en-AU" sz="120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23417863103833511"/>
          <c:y val="2.892982308476136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51860896262936"/>
          <c:y val="0.2078652668416448"/>
          <c:w val="0.78114141311307639"/>
          <c:h val="0.665084864391951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860000"/>
            </a:solidFill>
            <a:ln>
              <a:solidFill>
                <a:srgbClr val="000000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Analysis'!$T$13:$X$13</c:f>
              <c:numCache>
                <c:formatCode>0</c:formatCode>
                <c:ptCount val="4"/>
                <c:pt idx="0">
                  <c:v>85.047304659498209</c:v>
                </c:pt>
                <c:pt idx="1">
                  <c:v>194.7289390681004</c:v>
                </c:pt>
                <c:pt idx="2">
                  <c:v>156.23228113430537</c:v>
                </c:pt>
                <c:pt idx="3">
                  <c:v>446.42819354838707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A-4074-A674-3F7F6F80B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170304"/>
        <c:axId val="157172480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0066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9D3B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Analysis'!$T$40:$X$40</c:f>
              <c:numCache>
                <c:formatCode>0</c:formatCode>
                <c:ptCount val="4"/>
                <c:pt idx="0">
                  <c:v>0</c:v>
                </c:pt>
                <c:pt idx="1">
                  <c:v>211.694794</c:v>
                </c:pt>
                <c:pt idx="2">
                  <c:v>235.08023700000001</c:v>
                </c:pt>
                <c:pt idx="3">
                  <c:v>211.49061399999999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A-4074-A674-3F7F6F80B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76576"/>
        <c:axId val="157174400"/>
      </c:lineChart>
      <c:catAx>
        <c:axId val="15717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172480"/>
        <c:crosses val="autoZero"/>
        <c:auto val="1"/>
        <c:lblAlgn val="ctr"/>
        <c:lblOffset val="100"/>
        <c:noMultiLvlLbl val="0"/>
      </c:catAx>
      <c:valAx>
        <c:axId val="157172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170304"/>
        <c:crosses val="autoZero"/>
        <c:crossBetween val="between"/>
      </c:valAx>
      <c:valAx>
        <c:axId val="1571744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176576"/>
        <c:crosses val="max"/>
        <c:crossBetween val="between"/>
      </c:valAx>
      <c:catAx>
        <c:axId val="15717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174400"/>
        <c:crosses val="autoZero"/>
        <c:auto val="1"/>
        <c:lblAlgn val="ctr"/>
        <c:lblOffset val="100"/>
        <c:noMultiLvlLbl val="0"/>
      </c:catAx>
      <c:spPr>
        <a:noFill/>
        <a:ln>
          <a:solidFill>
            <a:srgbClr val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35071101334385446"/>
          <c:y val="0.11691542723826188"/>
          <c:w val="0.27022535864238645"/>
          <c:h val="4.8913385826771662E-2"/>
        </c:manualLayout>
      </c:layout>
      <c:overlay val="0"/>
      <c:spPr>
        <a:noFill/>
        <a:ln>
          <a:solidFill>
            <a:srgbClr val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 i="0" baseline="0">
                <a:solidFill>
                  <a:schemeClr val="tx1"/>
                </a:solidFill>
                <a:effectLst/>
              </a:rPr>
              <a:t>Figure 7: Quarterly Volume and Price of Green Banana</a:t>
            </a:r>
            <a:endParaRPr lang="en-AU" sz="1200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42108508458865"/>
          <c:y val="0.20842434097911675"/>
          <c:w val="0.73411417993536199"/>
          <c:h val="0.660422515120392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FF66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Analysis'!$T$14:$X$14</c:f>
              <c:numCache>
                <c:formatCode>0</c:formatCode>
                <c:ptCount val="4"/>
                <c:pt idx="0">
                  <c:v>51.016479791395057</c:v>
                </c:pt>
                <c:pt idx="1">
                  <c:v>163.53450836592785</c:v>
                </c:pt>
                <c:pt idx="2">
                  <c:v>266.39457680981769</c:v>
                </c:pt>
                <c:pt idx="3">
                  <c:v>1750.3911936839058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C-4667-92CA-473F3EEC0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349760"/>
        <c:axId val="157347840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Analysis'!$T$41:$X$41</c:f>
              <c:numCache>
                <c:formatCode>0</c:formatCode>
                <c:ptCount val="4"/>
                <c:pt idx="0">
                  <c:v>68.872878</c:v>
                </c:pt>
                <c:pt idx="1">
                  <c:v>88.115652999999995</c:v>
                </c:pt>
                <c:pt idx="2">
                  <c:v>83.432157000000004</c:v>
                </c:pt>
                <c:pt idx="3">
                  <c:v>64.688241000000005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C-4667-92CA-473F3EEC0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37856"/>
        <c:axId val="157335552"/>
      </c:lineChart>
      <c:valAx>
        <c:axId val="1573355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337856"/>
        <c:crosses val="max"/>
        <c:crossBetween val="between"/>
      </c:valAx>
      <c:catAx>
        <c:axId val="15733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335552"/>
        <c:crosses val="autoZero"/>
        <c:auto val="1"/>
        <c:lblAlgn val="ctr"/>
        <c:lblOffset val="100"/>
        <c:noMultiLvlLbl val="0"/>
      </c:catAx>
      <c:valAx>
        <c:axId val="1573478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349760"/>
        <c:crosses val="autoZero"/>
        <c:crossBetween val="between"/>
      </c:valAx>
      <c:catAx>
        <c:axId val="15734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34784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rgbClr val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100" b="1"/>
              <a:t>Figure 8: Quarterly Volume and Price of Dried Coconut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5C518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Analysis'!$T$15:$X$15</c:f>
              <c:numCache>
                <c:formatCode>0</c:formatCode>
                <c:ptCount val="4"/>
                <c:pt idx="0">
                  <c:v>86.597345679012349</c:v>
                </c:pt>
                <c:pt idx="1">
                  <c:v>250.0801851851852</c:v>
                </c:pt>
                <c:pt idx="2">
                  <c:v>527.23640384468843</c:v>
                </c:pt>
                <c:pt idx="3">
                  <c:v>1731.1375925925929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8-4287-8543-7AB9AE42E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403776"/>
        <c:axId val="157401856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Analysis'!$T$42:$X$42</c:f>
              <c:numCache>
                <c:formatCode>0</c:formatCode>
                <c:ptCount val="4"/>
                <c:pt idx="0">
                  <c:v>162.926962</c:v>
                </c:pt>
                <c:pt idx="1">
                  <c:v>54.365710999999997</c:v>
                </c:pt>
                <c:pt idx="2">
                  <c:v>55.759096999999997</c:v>
                </c:pt>
                <c:pt idx="3">
                  <c:v>43.028388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8-4287-8543-7AB9AE42E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00064"/>
        <c:axId val="157397760"/>
      </c:lineChart>
      <c:valAx>
        <c:axId val="1573977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/>
                  <a:t>Price</a:t>
                </a:r>
                <a:r>
                  <a:rPr lang="en-AU" sz="1100" baseline="0"/>
                  <a:t> per Kg, Vatu</a:t>
                </a:r>
                <a:endParaRPr lang="en-AU" sz="11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400064"/>
        <c:crosses val="max"/>
        <c:crossBetween val="between"/>
      </c:valAx>
      <c:catAx>
        <c:axId val="15740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397760"/>
        <c:crosses val="autoZero"/>
        <c:auto val="1"/>
        <c:lblAlgn val="ctr"/>
        <c:lblOffset val="100"/>
        <c:noMultiLvlLbl val="0"/>
      </c:catAx>
      <c:valAx>
        <c:axId val="157401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/>
                  <a:t>Volume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403776"/>
        <c:crosses val="autoZero"/>
        <c:crossBetween val="between"/>
      </c:valAx>
      <c:catAx>
        <c:axId val="15740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401856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</a:t>
            </a:r>
            <a:r>
              <a:rPr lang="en-AU" sz="1200" b="1" baseline="0">
                <a:solidFill>
                  <a:schemeClr val="tx1"/>
                </a:solidFill>
              </a:rPr>
              <a:t> 9: Quarterly Volume and Price of Water Melon</a:t>
            </a:r>
            <a:endParaRPr lang="en-AU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46784512574111"/>
          <c:y val="0.21820816197670456"/>
          <c:w val="0.69963928799114761"/>
          <c:h val="0.64448212489885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0066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Analysis'!$T$19:$X$19</c:f>
              <c:numCache>
                <c:formatCode>0</c:formatCode>
                <c:ptCount val="4"/>
                <c:pt idx="0">
                  <c:v>0</c:v>
                </c:pt>
                <c:pt idx="1">
                  <c:v>221.86186046511628</c:v>
                </c:pt>
                <c:pt idx="2">
                  <c:v>108.06098514211887</c:v>
                </c:pt>
                <c:pt idx="3">
                  <c:v>1315.9453488372092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6-4356-B8CA-B9047C94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502848"/>
        <c:axId val="15750092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Analysis'!$T$46:$X$46</c:f>
              <c:numCache>
                <c:formatCode>0</c:formatCode>
                <c:ptCount val="4"/>
                <c:pt idx="0">
                  <c:v>0</c:v>
                </c:pt>
                <c:pt idx="1">
                  <c:v>246.861334</c:v>
                </c:pt>
                <c:pt idx="2">
                  <c:v>144.46240599999999</c:v>
                </c:pt>
                <c:pt idx="3">
                  <c:v>216.298653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46-4356-B8CA-B9047C94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99392"/>
        <c:axId val="157496832"/>
      </c:lineChart>
      <c:valAx>
        <c:axId val="157496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499392"/>
        <c:crosses val="max"/>
        <c:crossBetween val="between"/>
      </c:valAx>
      <c:catAx>
        <c:axId val="1574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496832"/>
        <c:crosses val="autoZero"/>
        <c:auto val="1"/>
        <c:lblAlgn val="ctr"/>
        <c:lblOffset val="100"/>
        <c:noMultiLvlLbl val="0"/>
      </c:catAx>
      <c:valAx>
        <c:axId val="1575009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2061365337947111E-2"/>
              <c:y val="0.3806857570570457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502848"/>
        <c:crosses val="autoZero"/>
        <c:crossBetween val="between"/>
      </c:valAx>
      <c:catAx>
        <c:axId val="157502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50092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</a:t>
            </a:r>
            <a:r>
              <a:rPr lang="en-AU" sz="1200" b="1" baseline="0">
                <a:solidFill>
                  <a:schemeClr val="tx1"/>
                </a:solidFill>
              </a:rPr>
              <a:t> 9: Quarterly Volume and Price of Pawpaw</a:t>
            </a:r>
            <a:endParaRPr lang="en-AU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46784512574111"/>
          <c:y val="0.21820816197670456"/>
          <c:w val="0.69963928799114761"/>
          <c:h val="0.64448212489885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ED7D31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Analysis'!$T$18:$X$18</c:f>
              <c:numCache>
                <c:formatCode>0</c:formatCode>
                <c:ptCount val="4"/>
                <c:pt idx="0">
                  <c:v>7.4160000000000039</c:v>
                </c:pt>
                <c:pt idx="1">
                  <c:v>166.85999999999999</c:v>
                </c:pt>
                <c:pt idx="2">
                  <c:v>423.32691880341889</c:v>
                </c:pt>
                <c:pt idx="3">
                  <c:v>469.48984615384626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6-4356-B8CA-B9047C94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577600"/>
        <c:axId val="15757132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Analysis'!$T$45:$X$45</c:f>
              <c:numCache>
                <c:formatCode>0</c:formatCode>
                <c:ptCount val="4"/>
                <c:pt idx="0">
                  <c:v>17.264301</c:v>
                </c:pt>
                <c:pt idx="1">
                  <c:v>109.794207</c:v>
                </c:pt>
                <c:pt idx="2">
                  <c:v>92.275773999999998</c:v>
                </c:pt>
                <c:pt idx="3">
                  <c:v>70.572485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46-4356-B8CA-B9047C94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69792"/>
        <c:axId val="157563136"/>
      </c:lineChart>
      <c:valAx>
        <c:axId val="1575631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569792"/>
        <c:crosses val="max"/>
        <c:crossBetween val="between"/>
      </c:valAx>
      <c:catAx>
        <c:axId val="15756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563136"/>
        <c:crosses val="autoZero"/>
        <c:auto val="1"/>
        <c:lblAlgn val="ctr"/>
        <c:lblOffset val="100"/>
        <c:noMultiLvlLbl val="0"/>
      </c:catAx>
      <c:valAx>
        <c:axId val="157571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2061365337947111E-2"/>
              <c:y val="0.3806857570570457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577600"/>
        <c:crosses val="autoZero"/>
        <c:crossBetween val="between"/>
      </c:valAx>
      <c:catAx>
        <c:axId val="15757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57132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Figure 11:</a:t>
            </a:r>
            <a:r>
              <a:rPr lang="en-US" sz="1200" b="1" baseline="0">
                <a:solidFill>
                  <a:schemeClr val="tx1"/>
                </a:solidFill>
              </a:rPr>
              <a:t> Quarterly Volume and Price of Ripe Banana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2153421650696"/>
          <c:y val="0.21514767513737376"/>
          <c:w val="0.7135614261235097"/>
          <c:h val="0.653208519219957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3E6E57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Analysis'!$T$17:$X$17</c:f>
              <c:numCache>
                <c:formatCode>0</c:formatCode>
                <c:ptCount val="4"/>
                <c:pt idx="0">
                  <c:v>32.456846560846564</c:v>
                </c:pt>
                <c:pt idx="1">
                  <c:v>130.98739153439155</c:v>
                </c:pt>
                <c:pt idx="2">
                  <c:v>415.26185924946117</c:v>
                </c:pt>
                <c:pt idx="3">
                  <c:v>1385.196068783069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3-41AC-9884-00D1A36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6837376"/>
        <c:axId val="156831104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66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73793"/>
              </a:solidFill>
              <a:ln w="9525">
                <a:solidFill>
                  <a:srgbClr val="660066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Analysis'!$T$44:$X$44</c:f>
              <c:numCache>
                <c:formatCode>0</c:formatCode>
                <c:ptCount val="4"/>
                <c:pt idx="0">
                  <c:v>14.205298000000001</c:v>
                </c:pt>
                <c:pt idx="1">
                  <c:v>77.273951999999994</c:v>
                </c:pt>
                <c:pt idx="2">
                  <c:v>102.762158</c:v>
                </c:pt>
                <c:pt idx="3">
                  <c:v>83.777839999999998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3-41AC-9884-00D1A36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29568"/>
        <c:axId val="157670784"/>
      </c:lineChart>
      <c:valAx>
        <c:axId val="1576707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Price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per Kg, Vatu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829568"/>
        <c:crosses val="max"/>
        <c:crossBetween val="between"/>
      </c:valAx>
      <c:catAx>
        <c:axId val="156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670784"/>
        <c:crosses val="autoZero"/>
        <c:auto val="1"/>
        <c:lblAlgn val="ctr"/>
        <c:lblOffset val="100"/>
        <c:noMultiLvlLbl val="0"/>
      </c:catAx>
      <c:valAx>
        <c:axId val="156831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Volume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(Kg)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3668639053254437E-2"/>
              <c:y val="0.416216509117659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6837376"/>
        <c:crosses val="autoZero"/>
        <c:crossBetween val="between"/>
      </c:valAx>
      <c:catAx>
        <c:axId val="156837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83110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100" b="1"/>
              <a:t>Figure</a:t>
            </a:r>
            <a:r>
              <a:rPr lang="en-AU" sz="1100" b="1" baseline="0"/>
              <a:t> 12: Quarterly Volume and Price of Green Coconut</a:t>
            </a:r>
            <a:endParaRPr lang="en-AU" sz="11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9966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Analysis'!$T$20:$X$20</c:f>
              <c:numCache>
                <c:formatCode>0</c:formatCode>
                <c:ptCount val="4"/>
                <c:pt idx="0">
                  <c:v>23.233333333333331</c:v>
                </c:pt>
                <c:pt idx="1">
                  <c:v>157.53333333333333</c:v>
                </c:pt>
                <c:pt idx="2">
                  <c:v>467.59903549382716</c:v>
                </c:pt>
                <c:pt idx="3">
                  <c:v>371.02500000000003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6-4DD3-9337-7BF9AD0B3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021888"/>
        <c:axId val="15801996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2ECE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Analysis'!$T$47:$X$47</c:f>
              <c:numCache>
                <c:formatCode>0</c:formatCode>
                <c:ptCount val="4"/>
                <c:pt idx="0">
                  <c:v>0</c:v>
                </c:pt>
                <c:pt idx="1">
                  <c:v>113.894858</c:v>
                </c:pt>
                <c:pt idx="2">
                  <c:v>101.12719300000001</c:v>
                </c:pt>
                <c:pt idx="3">
                  <c:v>132.82080500000001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6-4DD3-9337-7BF9AD0B3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18176"/>
        <c:axId val="158015872"/>
      </c:lineChart>
      <c:valAx>
        <c:axId val="1580158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/>
                  <a:t>Price</a:t>
                </a:r>
                <a:r>
                  <a:rPr lang="en-AU" sz="1100" baseline="0"/>
                  <a:t> per Kilo, Vatu</a:t>
                </a:r>
                <a:endParaRPr lang="en-AU" sz="11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018176"/>
        <c:crosses val="max"/>
        <c:crossBetween val="between"/>
      </c:valAx>
      <c:catAx>
        <c:axId val="15801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015872"/>
        <c:crosses val="autoZero"/>
        <c:auto val="1"/>
        <c:lblAlgn val="ctr"/>
        <c:lblOffset val="100"/>
        <c:noMultiLvlLbl val="0"/>
      </c:catAx>
      <c:valAx>
        <c:axId val="158019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/>
                  <a:t>Volume</a:t>
                </a:r>
                <a:r>
                  <a:rPr lang="en-AU" sz="1100" baseline="0"/>
                  <a:t> (Kg)</a:t>
                </a:r>
                <a:endParaRPr lang="en-AU" sz="1100"/>
              </a:p>
            </c:rich>
          </c:tx>
          <c:layout>
            <c:manualLayout>
              <c:xMode val="edge"/>
              <c:yMode val="edge"/>
              <c:x val="2.1059561248085779E-2"/>
              <c:y val="0.4484838150804806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021888"/>
        <c:crosses val="autoZero"/>
        <c:crossBetween val="between"/>
      </c:valAx>
      <c:catAx>
        <c:axId val="158021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01996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13: Quarterly Volume and Price of Purple Bowl Cabbage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018470923982735"/>
          <c:y val="0.29637234952372526"/>
          <c:w val="0.71071859260835635"/>
          <c:h val="0.548154454850503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833D6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Analysis'!$T$23:$X$23</c:f>
              <c:numCache>
                <c:formatCode>0</c:formatCode>
                <c:ptCount val="4"/>
                <c:pt idx="0">
                  <c:v>4.0954444444444444</c:v>
                </c:pt>
                <c:pt idx="1">
                  <c:v>84.733333333333334</c:v>
                </c:pt>
                <c:pt idx="2">
                  <c:v>74.521637259945138</c:v>
                </c:pt>
                <c:pt idx="3">
                  <c:v>1.2710000000000001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B-47E8-AB81-F4C916925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911680"/>
        <c:axId val="157909760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Analysis'!$T$50:$X$50</c:f>
              <c:numCache>
                <c:formatCode>0</c:formatCode>
                <c:ptCount val="4"/>
                <c:pt idx="0">
                  <c:v>0</c:v>
                </c:pt>
                <c:pt idx="1">
                  <c:v>142.09542099999999</c:v>
                </c:pt>
                <c:pt idx="2">
                  <c:v>203.79600199999999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B-47E8-AB81-F4C916925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99776"/>
        <c:axId val="157897472"/>
      </c:lineChart>
      <c:valAx>
        <c:axId val="1578974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899776"/>
        <c:crosses val="max"/>
        <c:crossBetween val="between"/>
      </c:valAx>
      <c:catAx>
        <c:axId val="15789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897472"/>
        <c:crosses val="autoZero"/>
        <c:auto val="1"/>
        <c:lblAlgn val="ctr"/>
        <c:lblOffset val="100"/>
        <c:noMultiLvlLbl val="0"/>
      </c:catAx>
      <c:valAx>
        <c:axId val="157909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</a:t>
                </a:r>
                <a:r>
                  <a:rPr lang="en-AU" sz="1200" baseline="0"/>
                  <a:t> (Kg)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911680"/>
        <c:crosses val="autoZero"/>
        <c:crossBetween val="between"/>
      </c:valAx>
      <c:catAx>
        <c:axId val="157911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90976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14: Quarterly Volume and Price of Chinese Cabbage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298723257536126"/>
          <c:y val="0.23563792660789554"/>
          <c:w val="0.70632078387944919"/>
          <c:h val="0.599699456971191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E2D74E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Analysis'!$T$25:$X$25</c:f>
              <c:numCache>
                <c:formatCode>0</c:formatCode>
                <c:ptCount val="4"/>
                <c:pt idx="0">
                  <c:v>176.53583333333336</c:v>
                </c:pt>
                <c:pt idx="1">
                  <c:v>345.99</c:v>
                </c:pt>
                <c:pt idx="2">
                  <c:v>280.62157986111117</c:v>
                </c:pt>
                <c:pt idx="3">
                  <c:v>36.42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D-4FAC-9411-89CBB8DE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994368"/>
        <c:axId val="15799244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FC2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Analysis'!$T$52:$X$52</c:f>
              <c:numCache>
                <c:formatCode>0</c:formatCode>
                <c:ptCount val="4"/>
                <c:pt idx="0">
                  <c:v>120.921344</c:v>
                </c:pt>
                <c:pt idx="1">
                  <c:v>135.699772</c:v>
                </c:pt>
                <c:pt idx="2">
                  <c:v>165.58766700000001</c:v>
                </c:pt>
                <c:pt idx="3">
                  <c:v>314.05174299999999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D-4FAC-9411-89CBB8DE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90912"/>
        <c:axId val="157967872"/>
      </c:lineChart>
      <c:valAx>
        <c:axId val="1579678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990912"/>
        <c:crosses val="max"/>
        <c:crossBetween val="between"/>
      </c:valAx>
      <c:catAx>
        <c:axId val="15799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967872"/>
        <c:crosses val="autoZero"/>
        <c:auto val="1"/>
        <c:lblAlgn val="ctr"/>
        <c:lblOffset val="100"/>
        <c:noMultiLvlLbl val="0"/>
      </c:catAx>
      <c:valAx>
        <c:axId val="157992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994368"/>
        <c:crosses val="autoZero"/>
        <c:crossBetween val="between"/>
      </c:valAx>
      <c:catAx>
        <c:axId val="15799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99244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15: Quarterly Volume and Price of Pumpkin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33679659337188"/>
          <c:y val="0.21140473047805436"/>
          <c:w val="0.69485879607192436"/>
          <c:h val="0.594095403772202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Analysis'!$T$27:$X$27</c:f>
              <c:numCache>
                <c:formatCode>0</c:formatCode>
                <c:ptCount val="4"/>
                <c:pt idx="0">
                  <c:v>5.9687931034482746</c:v>
                </c:pt>
                <c:pt idx="1">
                  <c:v>241.96568965517238</c:v>
                </c:pt>
                <c:pt idx="2">
                  <c:v>334.03701575138354</c:v>
                </c:pt>
                <c:pt idx="3">
                  <c:v>98.714655172413799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C-490F-AD04-5A0112460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348032"/>
        <c:axId val="158337664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52968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Analysis'!$T$54:$X$54</c:f>
              <c:numCache>
                <c:formatCode>0</c:formatCode>
                <c:ptCount val="4"/>
                <c:pt idx="0">
                  <c:v>0</c:v>
                </c:pt>
                <c:pt idx="1">
                  <c:v>93.126784999999998</c:v>
                </c:pt>
                <c:pt idx="2">
                  <c:v>69.833770999999999</c:v>
                </c:pt>
                <c:pt idx="3">
                  <c:v>50.343015999999999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8C-490F-AD04-5A0112460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36128"/>
        <c:axId val="157874816"/>
      </c:lineChart>
      <c:valAx>
        <c:axId val="1578748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336128"/>
        <c:crosses val="max"/>
        <c:crossBetween val="between"/>
      </c:valAx>
      <c:catAx>
        <c:axId val="15833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874816"/>
        <c:crosses val="autoZero"/>
        <c:auto val="1"/>
        <c:lblAlgn val="ctr"/>
        <c:lblOffset val="100"/>
        <c:noMultiLvlLbl val="0"/>
      </c:catAx>
      <c:valAx>
        <c:axId val="158337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 (Kg)</a:t>
                </a:r>
              </a:p>
            </c:rich>
          </c:tx>
          <c:layout>
            <c:manualLayout>
              <c:xMode val="edge"/>
              <c:yMode val="edge"/>
              <c:x val="2.4827435989588437E-2"/>
              <c:y val="0.3945218697373810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348032"/>
        <c:crosses val="autoZero"/>
        <c:crossBetween val="between"/>
      </c:valAx>
      <c:catAx>
        <c:axId val="158348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33766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</a:t>
            </a:r>
            <a:r>
              <a:rPr lang="en-AU" sz="1200" b="1" baseline="0"/>
              <a:t> 16: Quarterly Volume and Price of Lettuce</a:t>
            </a:r>
            <a:endParaRPr lang="en-AU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59587428527099"/>
          <c:y val="0.2157529361629491"/>
          <c:w val="0.71280825142945803"/>
          <c:h val="0.63723056686720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1F165E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Analysis'!$T$29:$X$29</c:f>
              <c:numCache>
                <c:formatCode>0</c:formatCode>
                <c:ptCount val="4"/>
                <c:pt idx="0">
                  <c:v>24.238966049382714</c:v>
                </c:pt>
                <c:pt idx="1">
                  <c:v>124.84608024691359</c:v>
                </c:pt>
                <c:pt idx="2">
                  <c:v>181.53471953113092</c:v>
                </c:pt>
                <c:pt idx="3">
                  <c:v>1.0941666666666667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E-4F30-8D16-0A5AD6E67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414336"/>
        <c:axId val="158408064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3E6E57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Analysis'!$T$56:$X$56</c:f>
              <c:numCache>
                <c:formatCode>0</c:formatCode>
                <c:ptCount val="4"/>
                <c:pt idx="0">
                  <c:v>331.72827899999999</c:v>
                </c:pt>
                <c:pt idx="1">
                  <c:v>223.440045</c:v>
                </c:pt>
                <c:pt idx="2">
                  <c:v>237.06450000000001</c:v>
                </c:pt>
                <c:pt idx="3">
                  <c:v>651.413544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4E-4F30-8D16-0A5AD6E67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06528"/>
        <c:axId val="158395776"/>
      </c:lineChart>
      <c:valAx>
        <c:axId val="1583957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406528"/>
        <c:crosses val="max"/>
        <c:crossBetween val="between"/>
      </c:valAx>
      <c:catAx>
        <c:axId val="15840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395776"/>
        <c:crosses val="autoZero"/>
        <c:auto val="1"/>
        <c:lblAlgn val="ctr"/>
        <c:lblOffset val="100"/>
        <c:noMultiLvlLbl val="0"/>
      </c:catAx>
      <c:valAx>
        <c:axId val="158408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</a:t>
                </a:r>
                <a:r>
                  <a:rPr lang="en-AU" sz="1200" baseline="0"/>
                  <a:t> (Kg)</a:t>
                </a:r>
                <a:endParaRPr lang="en-AU" sz="1200"/>
              </a:p>
            </c:rich>
          </c:tx>
          <c:layout>
            <c:manualLayout>
              <c:xMode val="edge"/>
              <c:yMode val="edge"/>
              <c:x val="2.4767809908034066E-2"/>
              <c:y val="0.4122302198641106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414336"/>
        <c:crosses val="autoZero"/>
        <c:crossBetween val="between"/>
      </c:valAx>
      <c:catAx>
        <c:axId val="15841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40806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</a:t>
            </a:r>
            <a:r>
              <a:rPr lang="en-AU" sz="1200" b="1" baseline="0"/>
              <a:t> 17: Quarterly Volume and Price of Cucumbers</a:t>
            </a:r>
            <a:endParaRPr lang="en-AU" sz="1200" b="1"/>
          </a:p>
        </c:rich>
      </c:tx>
      <c:layout>
        <c:manualLayout>
          <c:xMode val="edge"/>
          <c:yMode val="edge"/>
          <c:x val="0.1422499999999999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810275899338111"/>
          <c:y val="0.24081678128418871"/>
          <c:w val="0.69650085470498035"/>
          <c:h val="0.575725586612006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808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Analysis'!$T$26:$X$26</c:f>
              <c:numCache>
                <c:formatCode>0</c:formatCode>
                <c:ptCount val="4"/>
                <c:pt idx="0">
                  <c:v>123.32556962025318</c:v>
                </c:pt>
                <c:pt idx="1">
                  <c:v>552.39578059071744</c:v>
                </c:pt>
                <c:pt idx="2">
                  <c:v>685.97042142001339</c:v>
                </c:pt>
                <c:pt idx="3">
                  <c:v>158.40616033755273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3-48B2-887C-C5E3EB036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202112"/>
        <c:axId val="158200192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A2AF4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Analysis'!$T$53:$X$53</c:f>
              <c:numCache>
                <c:formatCode>0</c:formatCode>
                <c:ptCount val="4"/>
                <c:pt idx="0">
                  <c:v>269.20143999999999</c:v>
                </c:pt>
                <c:pt idx="1">
                  <c:v>117.64466899999999</c:v>
                </c:pt>
                <c:pt idx="2">
                  <c:v>183.88686200000001</c:v>
                </c:pt>
                <c:pt idx="3">
                  <c:v>249.50514200000001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83-48B2-887C-C5E3EB036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98400"/>
        <c:axId val="158196096"/>
      </c:lineChart>
      <c:valAx>
        <c:axId val="1581960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layout>
            <c:manualLayout>
              <c:xMode val="edge"/>
              <c:yMode val="edge"/>
              <c:x val="0.92513652999954576"/>
              <c:y val="0.351332724987077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198400"/>
        <c:crosses val="max"/>
        <c:crossBetween val="between"/>
      </c:valAx>
      <c:catAx>
        <c:axId val="15819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196096"/>
        <c:crosses val="autoZero"/>
        <c:auto val="1"/>
        <c:lblAlgn val="ctr"/>
        <c:lblOffset val="100"/>
        <c:noMultiLvlLbl val="0"/>
      </c:catAx>
      <c:valAx>
        <c:axId val="158200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</a:t>
                </a:r>
                <a:r>
                  <a:rPr lang="en-AU" sz="1200" baseline="0"/>
                  <a:t> (Kg)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202112"/>
        <c:crosses val="autoZero"/>
        <c:crossBetween val="between"/>
      </c:valAx>
      <c:catAx>
        <c:axId val="15820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20019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18: Quarterly Volume and Price of White Bowl Cabbage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30618778468749"/>
          <c:y val="0.27416948949757347"/>
          <c:w val="0.69994961062658312"/>
          <c:h val="0.5693318677045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Analysis'!$T$22:$X$22</c:f>
              <c:numCache>
                <c:formatCode>0</c:formatCode>
                <c:ptCount val="4"/>
                <c:pt idx="0">
                  <c:v>26.695683760683764</c:v>
                </c:pt>
                <c:pt idx="1">
                  <c:v>577.50846153846157</c:v>
                </c:pt>
                <c:pt idx="2">
                  <c:v>634.43483769916645</c:v>
                </c:pt>
                <c:pt idx="3">
                  <c:v>14.449957264957265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3-4F75-BDE0-C1B6F0217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252032"/>
        <c:axId val="158250112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Analysis'!$T$49:$X$49</c:f>
              <c:numCache>
                <c:formatCode>0</c:formatCode>
                <c:ptCount val="4"/>
                <c:pt idx="0">
                  <c:v>247.22583700000001</c:v>
                </c:pt>
                <c:pt idx="1">
                  <c:v>93.989637000000002</c:v>
                </c:pt>
                <c:pt idx="2">
                  <c:v>102.16278</c:v>
                </c:pt>
                <c:pt idx="3">
                  <c:v>469.87749600000001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3-4F75-BDE0-C1B6F0217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48320"/>
        <c:axId val="158246016"/>
      </c:lineChart>
      <c:valAx>
        <c:axId val="1582460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248320"/>
        <c:crosses val="max"/>
        <c:crossBetween val="between"/>
      </c:valAx>
      <c:catAx>
        <c:axId val="15824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246016"/>
        <c:crosses val="autoZero"/>
        <c:auto val="1"/>
        <c:lblAlgn val="ctr"/>
        <c:lblOffset val="100"/>
        <c:noMultiLvlLbl val="0"/>
      </c:catAx>
      <c:valAx>
        <c:axId val="158250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252032"/>
        <c:crosses val="autoZero"/>
        <c:crossBetween val="between"/>
      </c:valAx>
      <c:catAx>
        <c:axId val="158252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25011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19: Quarterly Volume and Price of Carrots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41600814862681"/>
          <c:y val="0.20508063497410417"/>
          <c:w val="0.72716798370274638"/>
          <c:h val="0.6587401574803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663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Analysis'!$T$24:$X$24</c:f>
              <c:numCache>
                <c:formatCode>0</c:formatCode>
                <c:ptCount val="4"/>
                <c:pt idx="0">
                  <c:v>0</c:v>
                </c:pt>
                <c:pt idx="1">
                  <c:v>34.769270833333337</c:v>
                </c:pt>
                <c:pt idx="2">
                  <c:v>118.65621905542696</c:v>
                </c:pt>
                <c:pt idx="3">
                  <c:v>3.1380208333333335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E-449A-A529-1A70A7CD5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609408"/>
        <c:axId val="158607232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Analysis'!$T$51:$X$51</c:f>
              <c:numCache>
                <c:formatCode>0</c:formatCode>
                <c:ptCount val="4"/>
                <c:pt idx="0">
                  <c:v>0</c:v>
                </c:pt>
                <c:pt idx="1">
                  <c:v>388.98962399999999</c:v>
                </c:pt>
                <c:pt idx="2">
                  <c:v>270.22467599999999</c:v>
                </c:pt>
                <c:pt idx="3">
                  <c:v>85.714286000000001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E-449A-A529-1A70A7CD5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05696"/>
        <c:axId val="158328704"/>
      </c:lineChart>
      <c:valAx>
        <c:axId val="1583287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605696"/>
        <c:crosses val="max"/>
        <c:crossBetween val="between"/>
      </c:valAx>
      <c:catAx>
        <c:axId val="15860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328704"/>
        <c:crosses val="autoZero"/>
        <c:auto val="1"/>
        <c:lblAlgn val="ctr"/>
        <c:lblOffset val="100"/>
        <c:noMultiLvlLbl val="0"/>
      </c:catAx>
      <c:valAx>
        <c:axId val="158607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</a:t>
                </a:r>
                <a:r>
                  <a:rPr lang="en-AU" sz="1200" baseline="0"/>
                  <a:t> (Kg)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609408"/>
        <c:crosses val="autoZero"/>
        <c:crossBetween val="between"/>
      </c:valAx>
      <c:catAx>
        <c:axId val="15860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60723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/>
              <a:t>Figure 20: Quarterly Volume and Price of Island Cabbage</a:t>
            </a:r>
          </a:p>
        </c:rich>
      </c:tx>
      <c:layout>
        <c:manualLayout>
          <c:xMode val="edge"/>
          <c:yMode val="edge"/>
          <c:x val="0.19051510254602591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27436306901695"/>
          <c:y val="0.23563785060519826"/>
          <c:w val="0.71545127386196616"/>
          <c:h val="0.644758448052808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EE58D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Analysis'!$T$28:$X$28</c:f>
              <c:numCache>
                <c:formatCode>0</c:formatCode>
                <c:ptCount val="4"/>
                <c:pt idx="0">
                  <c:v>73.692166666666679</c:v>
                </c:pt>
                <c:pt idx="1">
                  <c:v>83.061000000000007</c:v>
                </c:pt>
                <c:pt idx="2">
                  <c:v>142.13216743827164</c:v>
                </c:pt>
                <c:pt idx="3">
                  <c:v>147.52416666666667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1-4142-9DB7-C9BCBF9A5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-6"/>
        <c:axId val="158962432"/>
        <c:axId val="158956160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3E6E5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7232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Analysis'!$T$55:$X$55</c:f>
              <c:numCache>
                <c:formatCode>0</c:formatCode>
                <c:ptCount val="4"/>
                <c:pt idx="0">
                  <c:v>134.844236</c:v>
                </c:pt>
                <c:pt idx="1">
                  <c:v>170.50723099999999</c:v>
                </c:pt>
                <c:pt idx="2">
                  <c:v>152.10471200000001</c:v>
                </c:pt>
                <c:pt idx="3">
                  <c:v>128.68407400000001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1-4142-9DB7-C9BCBF9A5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54624"/>
        <c:axId val="158947968"/>
      </c:lineChart>
      <c:valAx>
        <c:axId val="1589479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0"/>
                  <a:t>Price</a:t>
                </a:r>
                <a:r>
                  <a:rPr lang="en-AU" sz="1200" b="0" baseline="0"/>
                  <a:t> per Kg, Vatu</a:t>
                </a:r>
                <a:endParaRPr lang="en-AU" sz="1200" b="0"/>
              </a:p>
            </c:rich>
          </c:tx>
          <c:layout>
            <c:manualLayout>
              <c:xMode val="edge"/>
              <c:yMode val="edge"/>
              <c:x val="0.92165262388839198"/>
              <c:y val="0.339645304753572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954624"/>
        <c:crosses val="max"/>
        <c:crossBetween val="between"/>
      </c:valAx>
      <c:catAx>
        <c:axId val="15895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947968"/>
        <c:crosses val="autoZero"/>
        <c:auto val="1"/>
        <c:lblAlgn val="ctr"/>
        <c:lblOffset val="100"/>
        <c:noMultiLvlLbl val="0"/>
      </c:catAx>
      <c:valAx>
        <c:axId val="158956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0"/>
                  <a:t>Volume (Kg)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962432"/>
        <c:crosses val="autoZero"/>
        <c:crossBetween val="between"/>
      </c:valAx>
      <c:catAx>
        <c:axId val="15896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95616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</a:t>
            </a:r>
            <a:r>
              <a:rPr lang="en-AU" sz="1200" b="1" baseline="0"/>
              <a:t> 21: Monthly Volume and Price of Tomatoes</a:t>
            </a:r>
            <a:endParaRPr lang="en-AU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970603674540683"/>
          <c:y val="0.24317184310294546"/>
          <c:w val="0.73325459317585295"/>
          <c:h val="0.630026619756795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B4521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Analysis'!$T$30:$X$30</c:f>
              <c:numCache>
                <c:formatCode>0</c:formatCode>
                <c:ptCount val="4"/>
                <c:pt idx="0">
                  <c:v>3.5607857142857142</c:v>
                </c:pt>
                <c:pt idx="1">
                  <c:v>337.50802922824306</c:v>
                </c:pt>
                <c:pt idx="2">
                  <c:v>518.54346147017986</c:v>
                </c:pt>
                <c:pt idx="3">
                  <c:v>8.5131436781609207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B-4F36-8481-20B477B15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721536"/>
        <c:axId val="158715264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4092A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9D73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Analysis'!$T$7:$X$7</c:f>
              <c:strCache>
                <c:ptCount val="4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</c:strCache>
            </c:strRef>
          </c:cat>
          <c:val>
            <c:numRef>
              <c:f>'Quarterly Analysis'!$T$57:$X$57</c:f>
              <c:numCache>
                <c:formatCode>0</c:formatCode>
                <c:ptCount val="4"/>
                <c:pt idx="0">
                  <c:v>0</c:v>
                </c:pt>
                <c:pt idx="1">
                  <c:v>215.53596099999999</c:v>
                </c:pt>
                <c:pt idx="2">
                  <c:v>217.63184799999999</c:v>
                </c:pt>
                <c:pt idx="3">
                  <c:v>785.49635499999999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B-4F36-8481-20B477B15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13728"/>
        <c:axId val="158707072"/>
      </c:lineChart>
      <c:valAx>
        <c:axId val="158707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Price</a:t>
                </a:r>
                <a:r>
                  <a:rPr lang="en-AU" sz="1200" baseline="0"/>
                  <a:t> per Kg, Vatu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713728"/>
        <c:crosses val="max"/>
        <c:crossBetween val="between"/>
      </c:valAx>
      <c:catAx>
        <c:axId val="15871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707072"/>
        <c:crosses val="autoZero"/>
        <c:auto val="1"/>
        <c:lblAlgn val="ctr"/>
        <c:lblOffset val="100"/>
        <c:noMultiLvlLbl val="0"/>
      </c:catAx>
      <c:valAx>
        <c:axId val="15871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Volume</a:t>
                </a:r>
                <a:r>
                  <a:rPr lang="en-AU" sz="1200" baseline="0"/>
                  <a:t> (Kg)</a:t>
                </a:r>
                <a:endParaRPr lang="en-AU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721536"/>
        <c:crosses val="autoZero"/>
        <c:crossBetween val="between"/>
      </c:valAx>
      <c:catAx>
        <c:axId val="158721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71526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1: Quarterly Volume and Price Indices</a:t>
            </a:r>
          </a:p>
        </c:rich>
      </c:tx>
      <c:layout>
        <c:manualLayout>
          <c:xMode val="edge"/>
          <c:yMode val="edge"/>
          <c:x val="0.23100283124017376"/>
          <c:y val="3.07030613606763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62768600662901"/>
          <c:y val="0.19749043900059368"/>
          <c:w val="0.72935880454384905"/>
          <c:h val="0.680853034438006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Analysis'!$U$94:$Y$94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Analysis'!$U$118:$Y$118</c:f>
              <c:numCache>
                <c:formatCode>0</c:formatCode>
                <c:ptCount val="5"/>
                <c:pt idx="0">
                  <c:v>15.223739091496617</c:v>
                </c:pt>
                <c:pt idx="1">
                  <c:v>84.471447938028092</c:v>
                </c:pt>
                <c:pt idx="2">
                  <c:v>122.21858769917716</c:v>
                </c:pt>
                <c:pt idx="3">
                  <c:v>140.87531208058738</c:v>
                </c:pt>
                <c:pt idx="4">
                  <c:v>135.93736929052594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9-4DE1-9698-65D475B62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8788224"/>
        <c:axId val="158786304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Analysis'!$U$124:$Y$124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Analysis'!$U$148:$Y$148</c:f>
              <c:numCache>
                <c:formatCode>0</c:formatCode>
                <c:ptCount val="5"/>
                <c:pt idx="0">
                  <c:v>56.937233714247014</c:v>
                </c:pt>
                <c:pt idx="1">
                  <c:v>92.849812273286688</c:v>
                </c:pt>
                <c:pt idx="2">
                  <c:v>91.055500440724586</c:v>
                </c:pt>
                <c:pt idx="3">
                  <c:v>118.464163541655</c:v>
                </c:pt>
                <c:pt idx="4">
                  <c:v>85.339734753314048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9-4DE1-9698-65D475B62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84512"/>
        <c:axId val="158782208"/>
      </c:lineChart>
      <c:valAx>
        <c:axId val="1587822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Price Index</a:t>
                </a:r>
              </a:p>
            </c:rich>
          </c:tx>
          <c:layout>
            <c:manualLayout>
              <c:xMode val="edge"/>
              <c:yMode val="edge"/>
              <c:x val="0.94166895908095616"/>
              <c:y val="0.358332681359847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784512"/>
        <c:crosses val="max"/>
        <c:crossBetween val="between"/>
      </c:valAx>
      <c:catAx>
        <c:axId val="15878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782208"/>
        <c:crosses val="autoZero"/>
        <c:auto val="1"/>
        <c:lblAlgn val="ctr"/>
        <c:lblOffset val="100"/>
        <c:noMultiLvlLbl val="0"/>
      </c:catAx>
      <c:valAx>
        <c:axId val="1587863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Volume Index</a:t>
                </a:r>
              </a:p>
            </c:rich>
          </c:tx>
          <c:layout>
            <c:manualLayout>
              <c:xMode val="edge"/>
              <c:yMode val="edge"/>
              <c:x val="1.7181185947223246E-2"/>
              <c:y val="0.3831843765676127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8788224"/>
        <c:crosses val="autoZero"/>
        <c:crossBetween val="between"/>
      </c:valAx>
      <c:catAx>
        <c:axId val="15878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78630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3235420455165182"/>
          <c:y val="0.12057904449834092"/>
          <c:w val="0.37705121911800099"/>
          <c:h val="4.2825143298721842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bg1">
          <a:lumMod val="6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2: Quarterly Volume and Price Indices of Staple Produces</a:t>
            </a:r>
          </a:p>
        </c:rich>
      </c:tx>
      <c:layout>
        <c:manualLayout>
          <c:xMode val="edge"/>
          <c:yMode val="edge"/>
          <c:x val="0.15466693808317566"/>
          <c:y val="1.60911850116664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62768600662901"/>
          <c:y val="0.19749043900059368"/>
          <c:w val="0.72935880454384905"/>
          <c:h val="0.680853034438006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99663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Analysis'!$U$94:$Y$94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Analysis'!$U$95:$Y$95</c:f>
              <c:numCache>
                <c:formatCode>0</c:formatCode>
                <c:ptCount val="5"/>
                <c:pt idx="0">
                  <c:v>11.884017615847734</c:v>
                </c:pt>
                <c:pt idx="1">
                  <c:v>58.696638861994757</c:v>
                </c:pt>
                <c:pt idx="2">
                  <c:v>103.38423107145009</c:v>
                </c:pt>
                <c:pt idx="3">
                  <c:v>214.40609162149408</c:v>
                </c:pt>
                <c:pt idx="4">
                  <c:v>188.51021102949551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A-4153-932F-82AF649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9296128"/>
        <c:axId val="15929420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26B8B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Analysis'!$U$124:$Y$124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Analysis'!$U$125:$Y$125</c:f>
              <c:numCache>
                <c:formatCode>0</c:formatCode>
                <c:ptCount val="5"/>
                <c:pt idx="0">
                  <c:v>62.574484975481283</c:v>
                </c:pt>
                <c:pt idx="1">
                  <c:v>95.096433780748583</c:v>
                </c:pt>
                <c:pt idx="2">
                  <c:v>96.37637179963977</c:v>
                </c:pt>
                <c:pt idx="3">
                  <c:v>85.248623386215343</c:v>
                </c:pt>
                <c:pt idx="4">
                  <c:v>75.772572448918538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A-4153-932F-82AF649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80128"/>
        <c:axId val="159277824"/>
      </c:lineChart>
      <c:valAx>
        <c:axId val="1592778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Price Index</a:t>
                </a:r>
              </a:p>
            </c:rich>
          </c:tx>
          <c:layout>
            <c:manualLayout>
              <c:xMode val="edge"/>
              <c:yMode val="edge"/>
              <c:x val="0.94166895908095616"/>
              <c:y val="0.358332681359847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280128"/>
        <c:crosses val="max"/>
        <c:crossBetween val="between"/>
      </c:valAx>
      <c:catAx>
        <c:axId val="15928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277824"/>
        <c:crosses val="autoZero"/>
        <c:auto val="1"/>
        <c:lblAlgn val="ctr"/>
        <c:lblOffset val="100"/>
        <c:noMultiLvlLbl val="0"/>
      </c:catAx>
      <c:valAx>
        <c:axId val="159294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Volume Index</a:t>
                </a:r>
              </a:p>
            </c:rich>
          </c:tx>
          <c:layout>
            <c:manualLayout>
              <c:xMode val="edge"/>
              <c:yMode val="edge"/>
              <c:x val="1.7181185947223246E-2"/>
              <c:y val="0.3831843765676127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296128"/>
        <c:crosses val="autoZero"/>
        <c:crossBetween val="between"/>
      </c:valAx>
      <c:catAx>
        <c:axId val="159296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29420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2726519750459765"/>
          <c:y val="0.14614982810910815"/>
          <c:w val="0.37705121911800099"/>
          <c:h val="4.2825143298721842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bg1">
          <a:lumMod val="6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3: Quarterly Volume and Price Indices of Fruits Produces</a:t>
            </a:r>
          </a:p>
        </c:rich>
      </c:tx>
      <c:layout>
        <c:manualLayout>
          <c:xMode val="edge"/>
          <c:yMode val="edge"/>
          <c:x val="0.15466693808317566"/>
          <c:y val="1.60911850116664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62768600662901"/>
          <c:y val="0.19749043900059368"/>
          <c:w val="0.72935880454384905"/>
          <c:h val="0.680853034438006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Analysis'!$U$94:$Y$94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Analysis'!$U$103:$Y$103</c:f>
              <c:numCache>
                <c:formatCode>0</c:formatCode>
                <c:ptCount val="5"/>
                <c:pt idx="0">
                  <c:v>3.5866234950008535</c:v>
                </c:pt>
                <c:pt idx="1">
                  <c:v>38.49090806071608</c:v>
                </c:pt>
                <c:pt idx="2">
                  <c:v>80.37846654099063</c:v>
                </c:pt>
                <c:pt idx="3">
                  <c:v>201.28912236756605</c:v>
                </c:pt>
                <c:pt idx="4">
                  <c:v>120.41342375149139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A-4153-932F-82AF649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9364224"/>
        <c:axId val="159362048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26B8B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CD-40F4-BA9F-211EA6B55424}"/>
              </c:ext>
            </c:extLst>
          </c:dPt>
          <c:dPt>
            <c:idx val="2"/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CD-40F4-BA9F-211EA6B55424}"/>
              </c:ext>
            </c:extLst>
          </c:dPt>
          <c:dPt>
            <c:idx val="3"/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3CD-40F4-BA9F-211EA6B55424}"/>
              </c:ext>
            </c:extLst>
          </c:dPt>
          <c:dPt>
            <c:idx val="4"/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3CD-40F4-BA9F-211EA6B55424}"/>
              </c:ext>
            </c:extLst>
          </c:dPt>
          <c:cat>
            <c:strRef>
              <c:f>'Quarterly Analysis'!$U$124:$Y$124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Analysis'!$U$133:$Y$133</c:f>
              <c:numCache>
                <c:formatCode>0</c:formatCode>
                <c:ptCount val="5"/>
                <c:pt idx="0">
                  <c:v>5.989934436924389</c:v>
                </c:pt>
                <c:pt idx="1">
                  <c:v>104.27307781839399</c:v>
                </c:pt>
                <c:pt idx="2">
                  <c:v>83.869197754755902</c:v>
                </c:pt>
                <c:pt idx="3">
                  <c:v>95.830613893191</c:v>
                </c:pt>
                <c:pt idx="4">
                  <c:v>60.142381394769998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A-4153-932F-82AF649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60512"/>
        <c:axId val="159354240"/>
      </c:lineChart>
      <c:valAx>
        <c:axId val="1593542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Price Index</a:t>
                </a:r>
              </a:p>
            </c:rich>
          </c:tx>
          <c:layout>
            <c:manualLayout>
              <c:xMode val="edge"/>
              <c:yMode val="edge"/>
              <c:x val="0.94166895908095616"/>
              <c:y val="0.358332681359847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360512"/>
        <c:crosses val="max"/>
        <c:crossBetween val="between"/>
      </c:valAx>
      <c:catAx>
        <c:axId val="15936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354240"/>
        <c:crosses val="autoZero"/>
        <c:auto val="1"/>
        <c:lblAlgn val="ctr"/>
        <c:lblOffset val="100"/>
        <c:noMultiLvlLbl val="0"/>
      </c:catAx>
      <c:valAx>
        <c:axId val="159362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Volume Index</a:t>
                </a:r>
              </a:p>
            </c:rich>
          </c:tx>
          <c:layout>
            <c:manualLayout>
              <c:xMode val="edge"/>
              <c:yMode val="edge"/>
              <c:x val="1.7181185947223246E-2"/>
              <c:y val="0.3831843765676127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364224"/>
        <c:crosses val="autoZero"/>
        <c:crossBetween val="between"/>
      </c:valAx>
      <c:catAx>
        <c:axId val="159364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36204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2726519750459765"/>
          <c:y val="0.14614982810910815"/>
          <c:w val="0.37705121911800099"/>
          <c:h val="4.2825143298721842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bg1">
          <a:lumMod val="6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Figure 4: Quarterly Volume and Price Indices of Vegetable Produces</a:t>
            </a:r>
          </a:p>
        </c:rich>
      </c:tx>
      <c:layout>
        <c:manualLayout>
          <c:xMode val="edge"/>
          <c:yMode val="edge"/>
          <c:x val="0.15466693808317566"/>
          <c:y val="1.60911850116664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62768600662901"/>
          <c:y val="0.19749043900059368"/>
          <c:w val="0.72935880454384905"/>
          <c:h val="0.680853034438006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'Quarterly Analysis'!$B$180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'Quarterly Analysis'!$U$94:$Y$94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Analysis'!$U$108:$Y$108</c:f>
              <c:numCache>
                <c:formatCode>0</c:formatCode>
                <c:ptCount val="5"/>
                <c:pt idx="0">
                  <c:v>24.536178273214922</c:v>
                </c:pt>
                <c:pt idx="1">
                  <c:v>133.44553735537886</c:v>
                </c:pt>
                <c:pt idx="2">
                  <c:v>166.35776822376874</c:v>
                </c:pt>
                <c:pt idx="3">
                  <c:v>26.29571954952598</c:v>
                </c:pt>
                <c:pt idx="4">
                  <c:v>76.224829301539287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A-4153-932F-82AF649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6"/>
        <c:axId val="157697920"/>
        <c:axId val="157696000"/>
      </c:barChart>
      <c:lineChart>
        <c:grouping val="standard"/>
        <c:varyColors val="0"/>
        <c:ser>
          <c:idx val="1"/>
          <c:order val="1"/>
          <c:tx>
            <c:strRef>
              <c:f>'Quarterly Analysis'!$B$181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'Quarterly Analysis'!$U$124:$Y$124</c:f>
              <c:strCache>
                <c:ptCount val="5"/>
                <c:pt idx="0">
                  <c:v>JUN.20.AV</c:v>
                </c:pt>
                <c:pt idx="1">
                  <c:v>SEP.20.AV</c:v>
                </c:pt>
                <c:pt idx="2">
                  <c:v>DEC.20.AV</c:v>
                </c:pt>
                <c:pt idx="3">
                  <c:v>MAR.21.AV</c:v>
                </c:pt>
                <c:pt idx="4">
                  <c:v>JUN.21.AV</c:v>
                </c:pt>
              </c:strCache>
            </c:strRef>
          </c:cat>
          <c:val>
            <c:numRef>
              <c:f>'Quarterly Analysis'!$U$133:$Y$133</c:f>
              <c:numCache>
                <c:formatCode>0</c:formatCode>
                <c:ptCount val="5"/>
                <c:pt idx="0">
                  <c:v>5.989934436924389</c:v>
                </c:pt>
                <c:pt idx="1">
                  <c:v>104.27307781839399</c:v>
                </c:pt>
                <c:pt idx="2">
                  <c:v>83.869197754755902</c:v>
                </c:pt>
                <c:pt idx="3">
                  <c:v>95.830613893191</c:v>
                </c:pt>
                <c:pt idx="4">
                  <c:v>60.142381394769998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A-4153-932F-82AF649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4208"/>
        <c:axId val="157691904"/>
      </c:lineChart>
      <c:valAx>
        <c:axId val="15769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Price Index</a:t>
                </a:r>
              </a:p>
            </c:rich>
          </c:tx>
          <c:layout>
            <c:manualLayout>
              <c:xMode val="edge"/>
              <c:yMode val="edge"/>
              <c:x val="0.94166895908095616"/>
              <c:y val="0.358332681359847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694208"/>
        <c:crosses val="max"/>
        <c:crossBetween val="between"/>
      </c:valAx>
      <c:catAx>
        <c:axId val="15769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691904"/>
        <c:crosses val="autoZero"/>
        <c:auto val="1"/>
        <c:lblAlgn val="ctr"/>
        <c:lblOffset val="100"/>
        <c:noMultiLvlLbl val="0"/>
      </c:catAx>
      <c:valAx>
        <c:axId val="157696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Volume Index</a:t>
                </a:r>
              </a:p>
            </c:rich>
          </c:tx>
          <c:layout>
            <c:manualLayout>
              <c:xMode val="edge"/>
              <c:yMode val="edge"/>
              <c:x val="1.7181185947223246E-2"/>
              <c:y val="0.3831843765676127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7697920"/>
        <c:crosses val="autoZero"/>
        <c:crossBetween val="between"/>
      </c:valAx>
      <c:catAx>
        <c:axId val="15769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69600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2726519750459765"/>
          <c:y val="0.14614982810910815"/>
          <c:w val="0.37705121911800099"/>
          <c:h val="4.2825143298721842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bg1">
          <a:lumMod val="6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 5: Percentage share of Sellers by Staple</a:t>
            </a:r>
            <a:r>
              <a:rPr lang="en-AU" sz="1200" b="1" baseline="0">
                <a:solidFill>
                  <a:schemeClr val="tx1"/>
                </a:solidFill>
              </a:rPr>
              <a:t> Produce</a:t>
            </a:r>
            <a:endParaRPr lang="en-AU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'Fig 5-7 Sellers by Commodity'!$B$4</c:f>
              <c:strCache>
                <c:ptCount val="1"/>
                <c:pt idx="0">
                  <c:v>JUN.20.AV</c:v>
                </c:pt>
              </c:strCache>
            </c:strRef>
          </c:tx>
          <c:spPr>
            <a:solidFill>
              <a:srgbClr val="00666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 5-7 Sellers by Commodity'!$A$5:$A$11</c:f>
              <c:strCache>
                <c:ptCount val="7"/>
                <c:pt idx="0">
                  <c:v>Island Taro</c:v>
                </c:pt>
                <c:pt idx="1">
                  <c:v>Fiji Taro</c:v>
                </c:pt>
                <c:pt idx="2">
                  <c:v>Manioc</c:v>
                </c:pt>
                <c:pt idx="3">
                  <c:v>Sweet Potato (Kumala)</c:v>
                </c:pt>
                <c:pt idx="4">
                  <c:v>Yams</c:v>
                </c:pt>
                <c:pt idx="5">
                  <c:v>Dried coconuts</c:v>
                </c:pt>
                <c:pt idx="6">
                  <c:v>Banana - green</c:v>
                </c:pt>
              </c:strCache>
            </c:strRef>
          </c:cat>
          <c:val>
            <c:numRef>
              <c:f>'Fig 5-7 Sellers by Commodity'!$B$5:$B$11</c:f>
              <c:numCache>
                <c:formatCode>0%</c:formatCode>
                <c:ptCount val="7"/>
                <c:pt idx="0">
                  <c:v>2.4390243902439025E-2</c:v>
                </c:pt>
                <c:pt idx="1">
                  <c:v>2.4390243902439025E-2</c:v>
                </c:pt>
                <c:pt idx="2">
                  <c:v>4.878048780487805E-2</c:v>
                </c:pt>
                <c:pt idx="3">
                  <c:v>2.032520325203252E-2</c:v>
                </c:pt>
                <c:pt idx="4">
                  <c:v>4.065040650406504E-2</c:v>
                </c:pt>
                <c:pt idx="5">
                  <c:v>5.2845528455284549E-2</c:v>
                </c:pt>
                <c:pt idx="6">
                  <c:v>7.7235772357723567E-2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F-419A-A936-0C9DB3826153}"/>
            </c:ext>
          </c:extLst>
        </c:ser>
        <c:ser>
          <c:idx val="1"/>
          <c:order val="1"/>
          <c:tx>
            <c:strRef>
              <c:f>'Fig 5-7 Sellers by Commodity'!$C$4</c:f>
              <c:strCache>
                <c:ptCount val="1"/>
                <c:pt idx="0">
                  <c:v>JUN.21.AV</c:v>
                </c:pt>
              </c:strCache>
            </c:strRef>
          </c:tx>
          <c:spPr>
            <a:solidFill>
              <a:srgbClr val="99003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 5-7 Sellers by Commodity'!$A$5:$A$11</c:f>
              <c:strCache>
                <c:ptCount val="7"/>
                <c:pt idx="0">
                  <c:v>Island Taro</c:v>
                </c:pt>
                <c:pt idx="1">
                  <c:v>Fiji Taro</c:v>
                </c:pt>
                <c:pt idx="2">
                  <c:v>Manioc</c:v>
                </c:pt>
                <c:pt idx="3">
                  <c:v>Sweet Potato (Kumala)</c:v>
                </c:pt>
                <c:pt idx="4">
                  <c:v>Yams</c:v>
                </c:pt>
                <c:pt idx="5">
                  <c:v>Dried coconuts</c:v>
                </c:pt>
                <c:pt idx="6">
                  <c:v>Banana - green</c:v>
                </c:pt>
              </c:strCache>
            </c:strRef>
          </c:cat>
          <c:val>
            <c:numRef>
              <c:f>'Fig 5-7 Sellers by Commodity'!$C$5:$C$11</c:f>
              <c:numCache>
                <c:formatCode>0%</c:formatCode>
                <c:ptCount val="7"/>
                <c:pt idx="0">
                  <c:v>3.2310177705977383E-2</c:v>
                </c:pt>
                <c:pt idx="1">
                  <c:v>4.8465266558966075E-2</c:v>
                </c:pt>
                <c:pt idx="2">
                  <c:v>5.7619816908992996E-2</c:v>
                </c:pt>
                <c:pt idx="3">
                  <c:v>2.1540118470651591E-2</c:v>
                </c:pt>
                <c:pt idx="4">
                  <c:v>6.0850834679590737E-2</c:v>
                </c:pt>
                <c:pt idx="5">
                  <c:v>8.5083467959073775E-2</c:v>
                </c:pt>
                <c:pt idx="6">
                  <c:v>0.1147011308562197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F-419A-A936-0C9DB3826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-6"/>
        <c:axId val="159195520"/>
        <c:axId val="159197440"/>
      </c:barChart>
      <c:catAx>
        <c:axId val="159195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STAPLE</a:t>
                </a:r>
                <a:r>
                  <a:rPr lang="en-AU" sz="1200" baseline="0">
                    <a:solidFill>
                      <a:schemeClr val="tx1"/>
                    </a:solidFill>
                  </a:rPr>
                  <a:t> PRODUCES</a:t>
                </a:r>
                <a:endParaRPr lang="en-AU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197440"/>
        <c:crosses val="autoZero"/>
        <c:auto val="1"/>
        <c:lblAlgn val="ctr"/>
        <c:lblOffset val="100"/>
        <c:noMultiLvlLbl val="0"/>
      </c:catAx>
      <c:valAx>
        <c:axId val="15919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19552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 6: Percentage</a:t>
            </a:r>
            <a:r>
              <a:rPr lang="en-AU" sz="1200" b="1" baseline="0">
                <a:solidFill>
                  <a:schemeClr val="tx1"/>
                </a:solidFill>
              </a:rPr>
              <a:t> share of Sellers by Fruits</a:t>
            </a:r>
            <a:endParaRPr lang="en-AU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'Fig 5-7 Sellers by Commodity'!$B$13</c:f>
              <c:strCache>
                <c:ptCount val="1"/>
                <c:pt idx="0">
                  <c:v>JUN.20.AV</c:v>
                </c:pt>
              </c:strCache>
            </c:strRef>
          </c:tx>
          <c:spPr>
            <a:solidFill>
              <a:srgbClr val="FF006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 5-7 Sellers by Commodity'!$A$14:$A$17</c:f>
              <c:strCache>
                <c:ptCount val="4"/>
                <c:pt idx="0">
                  <c:v>Water Melon</c:v>
                </c:pt>
                <c:pt idx="1">
                  <c:v>Green coconuts</c:v>
                </c:pt>
                <c:pt idx="2">
                  <c:v>Pawpaw</c:v>
                </c:pt>
                <c:pt idx="3">
                  <c:v>Banana, Ripe</c:v>
                </c:pt>
              </c:strCache>
            </c:strRef>
          </c:cat>
          <c:val>
            <c:numRef>
              <c:f>'Fig 5-7 Sellers by Commodity'!$B$14:$B$17</c:f>
              <c:numCache>
                <c:formatCode>0%</c:formatCode>
                <c:ptCount val="4"/>
                <c:pt idx="0" formatCode="0.0%">
                  <c:v>0</c:v>
                </c:pt>
                <c:pt idx="1">
                  <c:v>0.16666666666666666</c:v>
                </c:pt>
                <c:pt idx="2">
                  <c:v>3.6585365853658534E-2</c:v>
                </c:pt>
                <c:pt idx="3">
                  <c:v>4.065040650406504E-2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E-4665-A5AF-3BCC3F6A034A}"/>
            </c:ext>
          </c:extLst>
        </c:ser>
        <c:ser>
          <c:idx val="1"/>
          <c:order val="1"/>
          <c:tx>
            <c:strRef>
              <c:f>'Fig 5-7 Sellers by Commodity'!$C$13</c:f>
              <c:strCache>
                <c:ptCount val="1"/>
                <c:pt idx="0">
                  <c:v>JUN.21.AV</c:v>
                </c:pt>
              </c:strCache>
            </c:strRef>
          </c:tx>
          <c:spPr>
            <a:solidFill>
              <a:srgbClr val="99663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 5-7 Sellers by Commodity'!$A$14:$A$17</c:f>
              <c:strCache>
                <c:ptCount val="4"/>
                <c:pt idx="0">
                  <c:v>Water Melon</c:v>
                </c:pt>
                <c:pt idx="1">
                  <c:v>Green coconuts</c:v>
                </c:pt>
                <c:pt idx="2">
                  <c:v>Pawpaw</c:v>
                </c:pt>
                <c:pt idx="3">
                  <c:v>Banana, Ripe</c:v>
                </c:pt>
              </c:strCache>
            </c:strRef>
          </c:cat>
          <c:val>
            <c:numRef>
              <c:f>'Fig 5-7 Sellers by Commodity'!$C$14:$C$17</c:f>
              <c:numCache>
                <c:formatCode>0%</c:formatCode>
                <c:ptCount val="4"/>
                <c:pt idx="0" formatCode="0.0%">
                  <c:v>0</c:v>
                </c:pt>
                <c:pt idx="1">
                  <c:v>7.1620893914916536E-2</c:v>
                </c:pt>
                <c:pt idx="2">
                  <c:v>0.10016155088852989</c:v>
                </c:pt>
                <c:pt idx="3">
                  <c:v>0.1470113085621971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E-4665-A5AF-3BCC3F6A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-6"/>
        <c:axId val="159249152"/>
        <c:axId val="159251072"/>
      </c:barChart>
      <c:catAx>
        <c:axId val="1592491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FRUITS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251072"/>
        <c:crosses val="autoZero"/>
        <c:auto val="1"/>
        <c:lblAlgn val="ctr"/>
        <c:lblOffset val="100"/>
        <c:noMultiLvlLbl val="0"/>
      </c:catAx>
      <c:valAx>
        <c:axId val="15925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24915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solidFill>
                  <a:schemeClr val="tx1"/>
                </a:solidFill>
              </a:rPr>
              <a:t>Figure</a:t>
            </a:r>
            <a:r>
              <a:rPr lang="en-AU" sz="1200" b="1" baseline="0">
                <a:solidFill>
                  <a:schemeClr val="tx1"/>
                </a:solidFill>
              </a:rPr>
              <a:t> 7: </a:t>
            </a:r>
            <a:r>
              <a:rPr lang="en-AU" sz="1200" b="1">
                <a:solidFill>
                  <a:schemeClr val="tx1"/>
                </a:solidFill>
              </a:rPr>
              <a:t>Percentage</a:t>
            </a:r>
            <a:r>
              <a:rPr lang="en-AU" sz="1200" b="1" baseline="0">
                <a:solidFill>
                  <a:schemeClr val="tx1"/>
                </a:solidFill>
              </a:rPr>
              <a:t> share of Sellers by Vegetables</a:t>
            </a:r>
            <a:endParaRPr lang="en-AU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'Fig 5-7 Sellers by Commodity'!$B$19</c:f>
              <c:strCache>
                <c:ptCount val="1"/>
                <c:pt idx="0">
                  <c:v>JUN.20.AV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 5-7 Sellers by Commodity'!$A$20:$A$28</c:f>
              <c:strCache>
                <c:ptCount val="9"/>
                <c:pt idx="0">
                  <c:v>Island Cabbage</c:v>
                </c:pt>
                <c:pt idx="1">
                  <c:v>Carrots</c:v>
                </c:pt>
                <c:pt idx="2">
                  <c:v>Bowl Cabbage (purple)</c:v>
                </c:pt>
                <c:pt idx="3">
                  <c:v>Pumpkin</c:v>
                </c:pt>
                <c:pt idx="4">
                  <c:v>Lettuce</c:v>
                </c:pt>
                <c:pt idx="5">
                  <c:v>Cucumbers</c:v>
                </c:pt>
                <c:pt idx="6">
                  <c:v>Bowl Cabbage (white)</c:v>
                </c:pt>
                <c:pt idx="7">
                  <c:v>Chinese Cabbage</c:v>
                </c:pt>
                <c:pt idx="8">
                  <c:v>Tomatoes</c:v>
                </c:pt>
              </c:strCache>
            </c:strRef>
          </c:cat>
          <c:val>
            <c:numRef>
              <c:f>'Fig 5-7 Sellers by Commodity'!$B$20:$B$28</c:f>
              <c:numCache>
                <c:formatCode>0%</c:formatCode>
                <c:ptCount val="9"/>
                <c:pt idx="0">
                  <c:v>0.10975609756097561</c:v>
                </c:pt>
                <c:pt idx="1">
                  <c:v>0</c:v>
                </c:pt>
                <c:pt idx="2">
                  <c:v>8.1300813008130073E-3</c:v>
                </c:pt>
                <c:pt idx="3">
                  <c:v>1.6260162601626015E-2</c:v>
                </c:pt>
                <c:pt idx="4">
                  <c:v>4.878048780487805E-2</c:v>
                </c:pt>
                <c:pt idx="5">
                  <c:v>8.5365853658536592E-2</c:v>
                </c:pt>
                <c:pt idx="6">
                  <c:v>2.4390243902439025E-2</c:v>
                </c:pt>
                <c:pt idx="7">
                  <c:v>0.15040650406504066</c:v>
                </c:pt>
                <c:pt idx="8">
                  <c:v>2.4390243902439025E-2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1-4CE3-B58F-CD09EBDC7138}"/>
            </c:ext>
          </c:extLst>
        </c:ser>
        <c:ser>
          <c:idx val="1"/>
          <c:order val="1"/>
          <c:tx>
            <c:strRef>
              <c:f>'Fig 5-7 Sellers by Commodity'!$C$19</c:f>
              <c:strCache>
                <c:ptCount val="1"/>
                <c:pt idx="0">
                  <c:v>JUN.21.AV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 5-7 Sellers by Commodity'!$A$20:$A$28</c:f>
              <c:strCache>
                <c:ptCount val="9"/>
                <c:pt idx="0">
                  <c:v>Island Cabbage</c:v>
                </c:pt>
                <c:pt idx="1">
                  <c:v>Carrots</c:v>
                </c:pt>
                <c:pt idx="2">
                  <c:v>Bowl Cabbage (purple)</c:v>
                </c:pt>
                <c:pt idx="3">
                  <c:v>Pumpkin</c:v>
                </c:pt>
                <c:pt idx="4">
                  <c:v>Lettuce</c:v>
                </c:pt>
                <c:pt idx="5">
                  <c:v>Cucumbers</c:v>
                </c:pt>
                <c:pt idx="6">
                  <c:v>Bowl Cabbage (white)</c:v>
                </c:pt>
                <c:pt idx="7">
                  <c:v>Chinese Cabbage</c:v>
                </c:pt>
                <c:pt idx="8">
                  <c:v>Tomatoes</c:v>
                </c:pt>
              </c:strCache>
            </c:strRef>
          </c:cat>
          <c:val>
            <c:numRef>
              <c:f>'Fig 5-7 Sellers by Commodity'!$C$20:$C$28</c:f>
              <c:numCache>
                <c:formatCode>0%</c:formatCode>
                <c:ptCount val="9"/>
                <c:pt idx="0">
                  <c:v>6.5158858373721054E-2</c:v>
                </c:pt>
                <c:pt idx="1">
                  <c:v>1.0770059235325794E-3</c:v>
                </c:pt>
                <c:pt idx="2">
                  <c:v>0</c:v>
                </c:pt>
                <c:pt idx="3">
                  <c:v>1.4539579967689823E-2</c:v>
                </c:pt>
                <c:pt idx="4">
                  <c:v>1.2385568120624664E-2</c:v>
                </c:pt>
                <c:pt idx="5">
                  <c:v>7.9698438341410882E-2</c:v>
                </c:pt>
                <c:pt idx="6">
                  <c:v>4.8465266558966073E-3</c:v>
                </c:pt>
                <c:pt idx="7">
                  <c:v>5.1696284329563816E-2</c:v>
                </c:pt>
                <c:pt idx="8">
                  <c:v>3.12331717824448E-2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1-4CE3-B58F-CD09EBDC7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-6"/>
        <c:axId val="159720576"/>
        <c:axId val="159722496"/>
      </c:barChart>
      <c:catAx>
        <c:axId val="159720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solidFill>
                      <a:schemeClr val="tx1"/>
                    </a:solidFill>
                  </a:rPr>
                  <a:t>VEGETABLES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722496"/>
        <c:crosses val="autoZero"/>
        <c:auto val="1"/>
        <c:lblAlgn val="ctr"/>
        <c:lblOffset val="100"/>
        <c:noMultiLvlLbl val="0"/>
      </c:catAx>
      <c:valAx>
        <c:axId val="15972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72057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-AU" sz="1400" b="1">
                <a:solidFill>
                  <a:schemeClr val="tx1"/>
                </a:solidFill>
              </a:rPr>
              <a:t>Figure</a:t>
            </a:r>
            <a:r>
              <a:rPr lang="en-AU" sz="1400" b="1" baseline="0">
                <a:solidFill>
                  <a:schemeClr val="tx1"/>
                </a:solidFill>
              </a:rPr>
              <a:t> 8: Share of Value by Produces</a:t>
            </a:r>
            <a:endParaRPr lang="en-AU" sz="14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0507339755079754"/>
          <c:y val="2.00501253132832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358597554984772"/>
          <c:y val="0.11293811763462452"/>
          <c:w val="0.6909983578255926"/>
          <c:h val="0.82240448131902977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'Fig 25 - Value of Supplies'!$B$4</c:f>
              <c:strCache>
                <c:ptCount val="1"/>
                <c:pt idx="0">
                  <c:v>JUN.20.AV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'Fig 25 - Value of Supplies'!$A$5:$A$24</c:f>
              <c:strCache>
                <c:ptCount val="20"/>
                <c:pt idx="0">
                  <c:v>Carrots</c:v>
                </c:pt>
                <c:pt idx="1">
                  <c:v>Bowl Cabbage (purple)</c:v>
                </c:pt>
                <c:pt idx="2">
                  <c:v>Island Cabbage</c:v>
                </c:pt>
                <c:pt idx="3">
                  <c:v>Lettuce</c:v>
                </c:pt>
                <c:pt idx="4">
                  <c:v>Manioc</c:v>
                </c:pt>
                <c:pt idx="5">
                  <c:v>Pumpkin</c:v>
                </c:pt>
                <c:pt idx="6">
                  <c:v>Fiji Taro</c:v>
                </c:pt>
                <c:pt idx="7">
                  <c:v>Pawpaw</c:v>
                </c:pt>
                <c:pt idx="8">
                  <c:v>Island Taro</c:v>
                </c:pt>
                <c:pt idx="9">
                  <c:v>Sweet Potato (Kumala)</c:v>
                </c:pt>
                <c:pt idx="10">
                  <c:v>Chinese Cabbage</c:v>
                </c:pt>
                <c:pt idx="11">
                  <c:v>Dried coconuts</c:v>
                </c:pt>
                <c:pt idx="12">
                  <c:v>Water Melon</c:v>
                </c:pt>
                <c:pt idx="13">
                  <c:v>Banana - green</c:v>
                </c:pt>
                <c:pt idx="14">
                  <c:v>Banana, Ripe</c:v>
                </c:pt>
                <c:pt idx="15">
                  <c:v>Green coconuts</c:v>
                </c:pt>
                <c:pt idx="16">
                  <c:v>Cucumbers</c:v>
                </c:pt>
                <c:pt idx="17">
                  <c:v>Bowl Cabbage (white)</c:v>
                </c:pt>
                <c:pt idx="18">
                  <c:v>Tomatoes</c:v>
                </c:pt>
                <c:pt idx="19">
                  <c:v>Yams</c:v>
                </c:pt>
              </c:strCache>
            </c:strRef>
          </c:cat>
          <c:val>
            <c:numRef>
              <c:f>'Fig 25 - Value of Supplies'!$B$5:$B$24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8.9630297565374203E-2</c:v>
                </c:pt>
                <c:pt idx="3">
                  <c:v>7.249774571686203E-2</c:v>
                </c:pt>
                <c:pt idx="4">
                  <c:v>8.2596934174932371E-2</c:v>
                </c:pt>
                <c:pt idx="5">
                  <c:v>0</c:v>
                </c:pt>
                <c:pt idx="6">
                  <c:v>2.0288548241659151E-2</c:v>
                </c:pt>
                <c:pt idx="7">
                  <c:v>1.1722272317403065E-3</c:v>
                </c:pt>
                <c:pt idx="8">
                  <c:v>0</c:v>
                </c:pt>
                <c:pt idx="9">
                  <c:v>1.93868349864743E-2</c:v>
                </c:pt>
                <c:pt idx="10">
                  <c:v>0.19251577998196573</c:v>
                </c:pt>
                <c:pt idx="11">
                  <c:v>0.12723174030658249</c:v>
                </c:pt>
                <c:pt idx="12">
                  <c:v>0</c:v>
                </c:pt>
                <c:pt idx="13">
                  <c:v>3.1650135256988274E-2</c:v>
                </c:pt>
                <c:pt idx="14">
                  <c:v>4.147880973850316E-3</c:v>
                </c:pt>
                <c:pt idx="15">
                  <c:v>0</c:v>
                </c:pt>
                <c:pt idx="16">
                  <c:v>0.29936880072137062</c:v>
                </c:pt>
                <c:pt idx="17">
                  <c:v>5.9513074842200177E-2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1-454E-8202-7739837B1E55}"/>
            </c:ext>
          </c:extLst>
        </c:ser>
        <c:ser>
          <c:idx val="3"/>
          <c:order val="1"/>
          <c:tx>
            <c:strRef>
              <c:f>'Fig 25 - Value of Supplies'!$C$4</c:f>
              <c:strCache>
                <c:ptCount val="1"/>
                <c:pt idx="0">
                  <c:v>JUN.21.AV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V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'Fig 25 - Value of Supplies'!$A$5:$A$24</c:f>
              <c:strCache>
                <c:ptCount val="20"/>
                <c:pt idx="0">
                  <c:v>Carrots</c:v>
                </c:pt>
                <c:pt idx="1">
                  <c:v>Bowl Cabbage (purple)</c:v>
                </c:pt>
                <c:pt idx="2">
                  <c:v>Island Cabbage</c:v>
                </c:pt>
                <c:pt idx="3">
                  <c:v>Lettuce</c:v>
                </c:pt>
                <c:pt idx="4">
                  <c:v>Manioc</c:v>
                </c:pt>
                <c:pt idx="5">
                  <c:v>Pumpkin</c:v>
                </c:pt>
                <c:pt idx="6">
                  <c:v>Fiji Taro</c:v>
                </c:pt>
                <c:pt idx="7">
                  <c:v>Pawpaw</c:v>
                </c:pt>
                <c:pt idx="8">
                  <c:v>Island Taro</c:v>
                </c:pt>
                <c:pt idx="9">
                  <c:v>Sweet Potato (Kumala)</c:v>
                </c:pt>
                <c:pt idx="10">
                  <c:v>Chinese Cabbage</c:v>
                </c:pt>
                <c:pt idx="11">
                  <c:v>Dried coconuts</c:v>
                </c:pt>
                <c:pt idx="12">
                  <c:v>Water Melon</c:v>
                </c:pt>
                <c:pt idx="13">
                  <c:v>Banana - green</c:v>
                </c:pt>
                <c:pt idx="14">
                  <c:v>Banana, Ripe</c:v>
                </c:pt>
                <c:pt idx="15">
                  <c:v>Green coconuts</c:v>
                </c:pt>
                <c:pt idx="16">
                  <c:v>Cucumbers</c:v>
                </c:pt>
                <c:pt idx="17">
                  <c:v>Bowl Cabbage (white)</c:v>
                </c:pt>
                <c:pt idx="18">
                  <c:v>Tomatoes</c:v>
                </c:pt>
                <c:pt idx="19">
                  <c:v>Yams</c:v>
                </c:pt>
              </c:strCache>
            </c:strRef>
          </c:cat>
          <c:val>
            <c:numRef>
              <c:f>'Fig 25 - Value of Supplies'!$C$5:$C$24</c:f>
              <c:numCache>
                <c:formatCode>0%</c:formatCode>
                <c:ptCount val="20"/>
                <c:pt idx="0">
                  <c:v>2.175938633113272E-3</c:v>
                </c:pt>
                <c:pt idx="1">
                  <c:v>0</c:v>
                </c:pt>
                <c:pt idx="2">
                  <c:v>2.0719991910203257E-2</c:v>
                </c:pt>
                <c:pt idx="3">
                  <c:v>1.346951157852159E-2</c:v>
                </c:pt>
                <c:pt idx="4">
                  <c:v>4.3725351400546064E-2</c:v>
                </c:pt>
                <c:pt idx="5">
                  <c:v>1.256952169076752E-2</c:v>
                </c:pt>
                <c:pt idx="6">
                  <c:v>5.5334209727980588E-2</c:v>
                </c:pt>
                <c:pt idx="7">
                  <c:v>6.3889169784609165E-2</c:v>
                </c:pt>
                <c:pt idx="8">
                  <c:v>7.4901405602184237E-2</c:v>
                </c:pt>
                <c:pt idx="9">
                  <c:v>2.9628880574375571E-2</c:v>
                </c:pt>
                <c:pt idx="10">
                  <c:v>5.0905046010718984E-2</c:v>
                </c:pt>
                <c:pt idx="11">
                  <c:v>5.9116189705733645E-2</c:v>
                </c:pt>
                <c:pt idx="12">
                  <c:v>0</c:v>
                </c:pt>
                <c:pt idx="13">
                  <c:v>7.9320457073516024E-2</c:v>
                </c:pt>
                <c:pt idx="14">
                  <c:v>0.12483567600364041</c:v>
                </c:pt>
                <c:pt idx="15">
                  <c:v>3.5938922034583883E-2</c:v>
                </c:pt>
                <c:pt idx="16">
                  <c:v>0.12356153301648296</c:v>
                </c:pt>
                <c:pt idx="17">
                  <c:v>6.0268985741733236E-3</c:v>
                </c:pt>
                <c:pt idx="18">
                  <c:v>1.8121144706239257E-2</c:v>
                </c:pt>
                <c:pt idx="19">
                  <c:v>0.18793609060572353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1-454E-8202-7739837B1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6"/>
        <c:axId val="159397760"/>
        <c:axId val="159424512"/>
      </c:barChart>
      <c:catAx>
        <c:axId val="159397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1">
                    <a:solidFill>
                      <a:schemeClr val="tx1"/>
                    </a:solidFill>
                  </a:rPr>
                  <a:t>commodity</a:t>
                </a:r>
              </a:p>
            </c:rich>
          </c:tx>
          <c:layout>
            <c:manualLayout>
              <c:xMode val="edge"/>
              <c:yMode val="edge"/>
              <c:x val="1.8365475566759298E-2"/>
              <c:y val="0.382683421839711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424512"/>
        <c:crosses val="autoZero"/>
        <c:auto val="1"/>
        <c:lblAlgn val="ctr"/>
        <c:lblOffset val="100"/>
        <c:noMultiLvlLbl val="0"/>
      </c:catAx>
      <c:valAx>
        <c:axId val="15942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>
                    <a:solidFill>
                      <a:sysClr val="windowText" lastClr="000000"/>
                    </a:solidFill>
                  </a:rPr>
                  <a:t>Percentage</a:t>
                </a:r>
                <a:r>
                  <a:rPr lang="en-AU" b="1" baseline="0">
                    <a:solidFill>
                      <a:sysClr val="windowText" lastClr="000000"/>
                    </a:solidFill>
                  </a:rPr>
                  <a:t> of total value by commoDITY</a:t>
                </a:r>
                <a:endParaRPr lang="en-AU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7244302328120471"/>
              <c:y val="0.961958585118720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VU"/>
          </a:p>
        </c:txPr>
        <c:crossAx val="1593977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3947622820563953"/>
          <c:y val="6.5463659147869668E-2"/>
          <c:w val="0.21047529127716555"/>
          <c:h val="2.7819785684684146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V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V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5</xdr:row>
      <xdr:rowOff>0</xdr:rowOff>
    </xdr:from>
    <xdr:to>
      <xdr:col>11</xdr:col>
      <xdr:colOff>552449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7</xdr:row>
      <xdr:rowOff>123825</xdr:rowOff>
    </xdr:from>
    <xdr:to>
      <xdr:col>12</xdr:col>
      <xdr:colOff>514350</xdr:colOff>
      <xdr:row>25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6</xdr:row>
      <xdr:rowOff>85725</xdr:rowOff>
    </xdr:from>
    <xdr:to>
      <xdr:col>10</xdr:col>
      <xdr:colOff>552448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6</xdr:row>
      <xdr:rowOff>28575</xdr:rowOff>
    </xdr:from>
    <xdr:to>
      <xdr:col>11</xdr:col>
      <xdr:colOff>542925</xdr:colOff>
      <xdr:row>26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</xdr:row>
      <xdr:rowOff>123825</xdr:rowOff>
    </xdr:from>
    <xdr:to>
      <xdr:col>11</xdr:col>
      <xdr:colOff>209549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4</xdr:row>
      <xdr:rowOff>152400</xdr:rowOff>
    </xdr:from>
    <xdr:to>
      <xdr:col>11</xdr:col>
      <xdr:colOff>400048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6</xdr:row>
      <xdr:rowOff>38099</xdr:rowOff>
    </xdr:from>
    <xdr:to>
      <xdr:col>12</xdr:col>
      <xdr:colOff>180975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704851</xdr:colOff>
      <xdr:row>6</xdr:row>
      <xdr:rowOff>66674</xdr:rowOff>
    </xdr:from>
    <xdr:to>
      <xdr:col>10</xdr:col>
      <xdr:colOff>166687</xdr:colOff>
      <xdr:row>23</xdr:row>
      <xdr:rowOff>176211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6</xdr:row>
      <xdr:rowOff>104775</xdr:rowOff>
    </xdr:from>
    <xdr:to>
      <xdr:col>11</xdr:col>
      <xdr:colOff>214311</xdr:colOff>
      <xdr:row>24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66674</xdr:colOff>
      <xdr:row>5</xdr:row>
      <xdr:rowOff>19050</xdr:rowOff>
    </xdr:from>
    <xdr:to>
      <xdr:col>12</xdr:col>
      <xdr:colOff>19049</xdr:colOff>
      <xdr:row>22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3</xdr:row>
      <xdr:rowOff>180975</xdr:rowOff>
    </xdr:from>
    <xdr:to>
      <xdr:col>12</xdr:col>
      <xdr:colOff>509587</xdr:colOff>
      <xdr:row>21</xdr:row>
      <xdr:rowOff>147636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6</xdr:row>
      <xdr:rowOff>95250</xdr:rowOff>
    </xdr:from>
    <xdr:to>
      <xdr:col>12</xdr:col>
      <xdr:colOff>476250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6</xdr:row>
      <xdr:rowOff>38099</xdr:rowOff>
    </xdr:from>
    <xdr:to>
      <xdr:col>11</xdr:col>
      <xdr:colOff>595312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4</xdr:row>
      <xdr:rowOff>171450</xdr:rowOff>
    </xdr:from>
    <xdr:to>
      <xdr:col>11</xdr:col>
      <xdr:colOff>133350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380999</xdr:colOff>
      <xdr:row>4</xdr:row>
      <xdr:rowOff>104775</xdr:rowOff>
    </xdr:from>
    <xdr:to>
      <xdr:col>12</xdr:col>
      <xdr:colOff>119060</xdr:colOff>
      <xdr:row>22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528636</xdr:colOff>
      <xdr:row>6</xdr:row>
      <xdr:rowOff>71436</xdr:rowOff>
    </xdr:from>
    <xdr:to>
      <xdr:col>12</xdr:col>
      <xdr:colOff>428625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4</xdr:row>
      <xdr:rowOff>171449</xdr:rowOff>
    </xdr:from>
    <xdr:to>
      <xdr:col>13</xdr:col>
      <xdr:colOff>190499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28575</xdr:rowOff>
    </xdr:from>
    <xdr:to>
      <xdr:col>12</xdr:col>
      <xdr:colOff>390525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5</xdr:row>
      <xdr:rowOff>119061</xdr:rowOff>
    </xdr:from>
    <xdr:to>
      <xdr:col>11</xdr:col>
      <xdr:colOff>447675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7</xdr:row>
      <xdr:rowOff>61912</xdr:rowOff>
    </xdr:from>
    <xdr:to>
      <xdr:col>12</xdr:col>
      <xdr:colOff>9525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5</xdr:row>
      <xdr:rowOff>0</xdr:rowOff>
    </xdr:from>
    <xdr:to>
      <xdr:col>11</xdr:col>
      <xdr:colOff>171449</xdr:colOff>
      <xdr:row>23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5</xdr:row>
      <xdr:rowOff>0</xdr:rowOff>
    </xdr:from>
    <xdr:to>
      <xdr:col>11</xdr:col>
      <xdr:colOff>171449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5</xdr:row>
      <xdr:rowOff>0</xdr:rowOff>
    </xdr:from>
    <xdr:to>
      <xdr:col>11</xdr:col>
      <xdr:colOff>171449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5</xdr:row>
      <xdr:rowOff>0</xdr:rowOff>
    </xdr:from>
    <xdr:to>
      <xdr:col>11</xdr:col>
      <xdr:colOff>171449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1</xdr:row>
      <xdr:rowOff>104775</xdr:rowOff>
    </xdr:from>
    <xdr:to>
      <xdr:col>12</xdr:col>
      <xdr:colOff>209550</xdr:colOff>
      <xdr:row>18</xdr:row>
      <xdr:rowOff>195262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576262</xdr:colOff>
      <xdr:row>3</xdr:row>
      <xdr:rowOff>128586</xdr:rowOff>
    </xdr:from>
    <xdr:to>
      <xdr:col>21</xdr:col>
      <xdr:colOff>247650</xdr:colOff>
      <xdr:row>17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542926</xdr:colOff>
      <xdr:row>20</xdr:row>
      <xdr:rowOff>23811</xdr:rowOff>
    </xdr:from>
    <xdr:to>
      <xdr:col>13</xdr:col>
      <xdr:colOff>228600</xdr:colOff>
      <xdr:row>39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2</xdr:row>
      <xdr:rowOff>95249</xdr:rowOff>
    </xdr:from>
    <xdr:to>
      <xdr:col>16</xdr:col>
      <xdr:colOff>161925</xdr:colOff>
      <xdr:row>39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nsoinfo\MARKET%20SURVEY\Vanuatu_Market%20_Survey\V-Market%20Survey_Data%20-%20Entry\2018\1.%20V-Market_Survey_Jan%201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_18_ Price-Data entry "/>
      <sheetName val="Jan _18 Monthly_Price summary)"/>
      <sheetName val="Jan_18_Vol weekly-Data-Entry"/>
      <sheetName val="January_18 Vol -Monthly Summary"/>
      <sheetName val="No.of Vendors"/>
    </sheetNames>
    <sheetDataSet>
      <sheetData sheetId="0"/>
      <sheetData sheetId="1"/>
      <sheetData sheetId="2">
        <row r="106">
          <cell r="X106">
            <v>0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TI141"/>
  <sheetViews>
    <sheetView tabSelected="1" workbookViewId="0">
      <selection activeCell="H8" sqref="H8"/>
    </sheetView>
  </sheetViews>
  <sheetFormatPr defaultRowHeight="14.5"/>
  <cols>
    <col min="74" max="80" width="9.1796875" style="583"/>
    <col min="82" max="88" width="9.1796875" style="583"/>
    <col min="196" max="196" width="10.1796875" customWidth="1"/>
    <col min="204" max="204" width="10.1796875" customWidth="1"/>
    <col min="212" max="212" width="10.26953125" customWidth="1"/>
    <col min="220" max="220" width="10.26953125" customWidth="1"/>
    <col min="228" max="228" width="10.453125" customWidth="1"/>
    <col min="236" max="236" width="10.26953125" customWidth="1"/>
    <col min="244" max="244" width="10.1796875" customWidth="1"/>
    <col min="252" max="252" width="10.453125" customWidth="1"/>
    <col min="260" max="260" width="10.1796875" customWidth="1"/>
    <col min="268" max="268" width="10.26953125" customWidth="1"/>
    <col min="276" max="276" width="10.1796875" customWidth="1"/>
    <col min="284" max="284" width="10.26953125" customWidth="1"/>
    <col min="292" max="292" width="10.1796875" customWidth="1"/>
    <col min="300" max="300" width="10.453125" customWidth="1"/>
    <col min="308" max="308" width="10.453125" customWidth="1"/>
    <col min="316" max="316" width="10.453125" customWidth="1"/>
    <col min="324" max="324" width="10.54296875" customWidth="1"/>
    <col min="362" max="362" width="15" customWidth="1"/>
    <col min="367" max="367" width="11.453125" customWidth="1"/>
    <col min="368" max="368" width="11.7265625" customWidth="1"/>
    <col min="370" max="370" width="15" customWidth="1"/>
    <col min="375" max="375" width="10.7265625" customWidth="1"/>
    <col min="376" max="376" width="11.54296875" customWidth="1"/>
    <col min="378" max="378" width="13.453125" customWidth="1"/>
    <col min="379" max="379" width="12.453125" customWidth="1"/>
    <col min="380" max="380" width="10.453125" customWidth="1"/>
    <col min="382" max="385" width="11" customWidth="1"/>
    <col min="386" max="386" width="13.453125" customWidth="1"/>
    <col min="387" max="387" width="12.453125" customWidth="1"/>
    <col min="388" max="388" width="10.453125" customWidth="1"/>
    <col min="390" max="393" width="11" customWidth="1"/>
    <col min="394" max="394" width="13.1796875" customWidth="1"/>
    <col min="395" max="395" width="12.54296875" customWidth="1"/>
    <col min="396" max="396" width="12" customWidth="1"/>
    <col min="397" max="398" width="11.26953125" customWidth="1"/>
    <col min="399" max="399" width="11.1796875" customWidth="1"/>
    <col min="400" max="400" width="11.26953125" customWidth="1"/>
    <col min="401" max="401" width="10" customWidth="1"/>
    <col min="402" max="402" width="15.1796875" customWidth="1"/>
    <col min="403" max="403" width="10.26953125" customWidth="1"/>
    <col min="404" max="404" width="10.81640625" customWidth="1"/>
    <col min="405" max="405" width="11.7265625" customWidth="1"/>
    <col min="406" max="406" width="11.1796875" customWidth="1"/>
    <col min="407" max="407" width="11.81640625" customWidth="1"/>
    <col min="408" max="408" width="12.26953125" customWidth="1"/>
    <col min="410" max="410" width="15.1796875" customWidth="1"/>
    <col min="411" max="411" width="10.26953125" customWidth="1"/>
    <col min="412" max="412" width="10.81640625" customWidth="1"/>
    <col min="413" max="413" width="11.7265625" customWidth="1"/>
    <col min="414" max="414" width="11.1796875" customWidth="1"/>
    <col min="415" max="415" width="11.81640625" customWidth="1"/>
    <col min="416" max="416" width="12.26953125" customWidth="1"/>
    <col min="418" max="418" width="15.1796875" customWidth="1"/>
    <col min="419" max="419" width="10.26953125" customWidth="1"/>
    <col min="420" max="420" width="10.81640625" customWidth="1"/>
    <col min="421" max="421" width="11.7265625" customWidth="1"/>
    <col min="422" max="422" width="11.1796875" customWidth="1"/>
    <col min="423" max="423" width="11.81640625" customWidth="1"/>
    <col min="424" max="424" width="12.26953125" customWidth="1"/>
    <col min="426" max="426" width="15.1796875" customWidth="1"/>
    <col min="427" max="427" width="10.26953125" customWidth="1"/>
    <col min="428" max="428" width="10.81640625" customWidth="1"/>
    <col min="429" max="429" width="11.7265625" customWidth="1"/>
    <col min="430" max="430" width="11.1796875" customWidth="1"/>
    <col min="431" max="431" width="11.81640625" customWidth="1"/>
    <col min="432" max="432" width="12.26953125" customWidth="1"/>
    <col min="522" max="522" width="15.36328125" bestFit="1" customWidth="1"/>
  </cols>
  <sheetData>
    <row r="1" spans="2:529">
      <c r="B1" s="110"/>
      <c r="C1" s="111"/>
      <c r="D1" s="111" t="s">
        <v>54</v>
      </c>
      <c r="E1" s="111"/>
      <c r="F1" s="111"/>
      <c r="G1" s="112"/>
      <c r="H1" s="113"/>
      <c r="I1" s="528"/>
      <c r="J1" s="110"/>
      <c r="K1" s="111"/>
      <c r="L1" s="111" t="s">
        <v>54</v>
      </c>
      <c r="M1" s="111"/>
      <c r="N1" s="111"/>
      <c r="O1" s="112"/>
      <c r="P1" s="113"/>
      <c r="Q1" s="528"/>
      <c r="R1" s="110"/>
      <c r="S1" s="111"/>
      <c r="T1" s="111" t="s">
        <v>54</v>
      </c>
      <c r="U1" s="111"/>
      <c r="V1" s="111"/>
      <c r="W1" s="112"/>
      <c r="X1" s="113"/>
      <c r="Y1" s="528"/>
      <c r="Z1" s="110"/>
      <c r="AA1" s="111"/>
      <c r="AB1" s="111" t="s">
        <v>54</v>
      </c>
      <c r="AC1" s="111"/>
      <c r="AD1" s="111"/>
      <c r="AE1" s="112"/>
      <c r="AF1" s="113"/>
      <c r="AG1" s="528"/>
      <c r="AH1" s="110"/>
      <c r="AI1" s="111"/>
      <c r="AJ1" s="111" t="s">
        <v>54</v>
      </c>
      <c r="AK1" s="111"/>
      <c r="AL1" s="111"/>
      <c r="AM1" s="112"/>
      <c r="AN1" s="113"/>
      <c r="AO1" s="528"/>
      <c r="AP1" s="110"/>
      <c r="AQ1" s="111"/>
      <c r="AR1" s="111" t="s">
        <v>54</v>
      </c>
      <c r="AS1" s="111"/>
      <c r="AT1" s="111"/>
      <c r="AU1" s="112"/>
      <c r="AV1" s="113"/>
      <c r="AW1" s="528"/>
      <c r="AX1" s="110"/>
      <c r="AY1" s="111"/>
      <c r="AZ1" s="111" t="s">
        <v>54</v>
      </c>
      <c r="BA1" s="111"/>
      <c r="BB1" s="111"/>
      <c r="BC1" s="112"/>
      <c r="BD1" s="113"/>
      <c r="BE1" s="528"/>
      <c r="BF1" s="110"/>
      <c r="BG1" s="111"/>
      <c r="BH1" s="111" t="s">
        <v>54</v>
      </c>
      <c r="BI1" s="111"/>
      <c r="BJ1" s="111"/>
      <c r="BK1" s="112"/>
      <c r="BL1" s="113"/>
      <c r="BM1" s="528"/>
      <c r="BN1" s="110"/>
      <c r="BO1" s="111"/>
      <c r="BP1" s="111" t="s">
        <v>54</v>
      </c>
      <c r="BQ1" s="111"/>
      <c r="BR1" s="111"/>
      <c r="BS1" s="112"/>
      <c r="BT1" s="113"/>
      <c r="BU1" s="528"/>
      <c r="BV1" s="532"/>
      <c r="BW1" s="533"/>
      <c r="BX1" s="533" t="s">
        <v>54</v>
      </c>
      <c r="BY1" s="533"/>
      <c r="BZ1" s="533"/>
      <c r="CA1" s="534"/>
      <c r="CB1" s="535"/>
      <c r="CC1" s="528"/>
      <c r="CD1" s="532"/>
      <c r="CE1" s="533"/>
      <c r="CF1" s="533" t="s">
        <v>54</v>
      </c>
      <c r="CG1" s="533"/>
      <c r="CH1" s="533"/>
      <c r="CI1" s="534"/>
      <c r="CJ1" s="535"/>
      <c r="CK1" s="528"/>
      <c r="CL1" s="110"/>
      <c r="CM1" s="111"/>
      <c r="CN1" s="111" t="s">
        <v>54</v>
      </c>
      <c r="CO1" s="111"/>
      <c r="CP1" s="111"/>
      <c r="CQ1" s="112"/>
      <c r="CR1" s="113"/>
      <c r="CS1" s="528"/>
      <c r="CT1" s="110"/>
      <c r="CU1" s="111"/>
      <c r="CV1" s="111" t="s">
        <v>54</v>
      </c>
      <c r="CW1" s="111"/>
      <c r="CX1" s="111"/>
      <c r="CY1" s="112"/>
      <c r="CZ1" s="113"/>
      <c r="DA1" s="528"/>
      <c r="DB1" s="110"/>
      <c r="DC1" s="111"/>
      <c r="DD1" s="111" t="s">
        <v>54</v>
      </c>
      <c r="DE1" s="111"/>
      <c r="DF1" s="111"/>
      <c r="DG1" s="112"/>
      <c r="DH1" s="113"/>
      <c r="DI1" s="528"/>
      <c r="DJ1" s="110"/>
      <c r="DK1" s="111"/>
      <c r="DL1" s="111" t="s">
        <v>54</v>
      </c>
      <c r="DM1" s="111"/>
      <c r="DN1" s="111"/>
      <c r="DO1" s="112"/>
      <c r="DP1" s="113"/>
      <c r="DQ1" s="528"/>
      <c r="DR1" s="110"/>
      <c r="DS1" s="111"/>
      <c r="DT1" s="111" t="s">
        <v>54</v>
      </c>
      <c r="DU1" s="111"/>
      <c r="DV1" s="111"/>
      <c r="DW1" s="112"/>
      <c r="DX1" s="113"/>
      <c r="DY1" s="528"/>
      <c r="DZ1" s="110"/>
      <c r="EA1" s="111"/>
      <c r="EB1" s="111" t="s">
        <v>54</v>
      </c>
      <c r="EC1" s="111"/>
      <c r="ED1" s="111"/>
      <c r="EE1" s="112"/>
      <c r="EF1" s="113"/>
      <c r="EG1" s="528"/>
      <c r="EH1" s="110"/>
      <c r="EI1" s="111"/>
      <c r="EJ1" s="111" t="s">
        <v>54</v>
      </c>
      <c r="EK1" s="111"/>
      <c r="EL1" s="111"/>
      <c r="EM1" s="112"/>
      <c r="EN1" s="113"/>
      <c r="EO1" s="528"/>
      <c r="EP1" s="110"/>
      <c r="EQ1" s="111"/>
      <c r="ER1" s="111" t="s">
        <v>54</v>
      </c>
      <c r="ES1" s="111"/>
      <c r="ET1" s="111"/>
      <c r="EU1" s="112"/>
      <c r="EV1" s="113"/>
      <c r="EW1" s="528"/>
      <c r="EX1" s="110"/>
      <c r="EY1" s="111"/>
      <c r="EZ1" s="111" t="s">
        <v>54</v>
      </c>
      <c r="FA1" s="111"/>
      <c r="FB1" s="111"/>
      <c r="FC1" s="112"/>
      <c r="FD1" s="113"/>
      <c r="FE1" s="528"/>
      <c r="FF1" s="110"/>
      <c r="FG1" s="111"/>
      <c r="FH1" s="111" t="s">
        <v>54</v>
      </c>
      <c r="FI1" s="111"/>
      <c r="FJ1" s="111"/>
      <c r="FK1" s="112"/>
      <c r="FL1" s="113"/>
      <c r="FM1" s="528"/>
      <c r="FN1" s="110"/>
      <c r="FO1" s="111"/>
      <c r="FP1" s="111" t="s">
        <v>54</v>
      </c>
      <c r="FQ1" s="111"/>
      <c r="FR1" s="111"/>
      <c r="FS1" s="112"/>
      <c r="FT1" s="113"/>
      <c r="FU1" s="528"/>
      <c r="FV1" s="110"/>
      <c r="FW1" s="111"/>
      <c r="FX1" s="111" t="s">
        <v>54</v>
      </c>
      <c r="FY1" s="111"/>
      <c r="FZ1" s="111"/>
      <c r="GA1" s="112"/>
      <c r="GB1" s="113"/>
      <c r="GC1" s="528"/>
      <c r="GD1" s="110"/>
      <c r="GE1" s="111"/>
      <c r="GF1" s="111" t="s">
        <v>54</v>
      </c>
      <c r="GG1" s="111"/>
      <c r="GH1" s="111"/>
      <c r="GI1" s="112"/>
      <c r="GJ1" s="113"/>
      <c r="GK1" s="528"/>
      <c r="GL1" s="110"/>
      <c r="GM1" s="111"/>
      <c r="GN1" s="111" t="s">
        <v>54</v>
      </c>
      <c r="GO1" s="111"/>
      <c r="GP1" s="111"/>
      <c r="GQ1" s="112"/>
      <c r="GR1" s="113"/>
      <c r="GS1" s="528"/>
      <c r="GT1" s="110"/>
      <c r="GU1" s="111"/>
      <c r="GV1" s="111" t="s">
        <v>54</v>
      </c>
      <c r="GW1" s="111"/>
      <c r="GX1" s="111"/>
      <c r="GY1" s="112"/>
      <c r="GZ1" s="113"/>
      <c r="HA1" s="528"/>
      <c r="HB1" s="110"/>
      <c r="HC1" s="111"/>
      <c r="HD1" s="111" t="s">
        <v>54</v>
      </c>
      <c r="HE1" s="111"/>
      <c r="HF1" s="111"/>
      <c r="HG1" s="112"/>
      <c r="HH1" s="113"/>
      <c r="HI1" s="528"/>
      <c r="HJ1" s="110"/>
      <c r="HK1" s="111"/>
      <c r="HL1" s="111" t="s">
        <v>54</v>
      </c>
      <c r="HM1" s="111"/>
      <c r="HN1" s="111"/>
      <c r="HO1" s="112"/>
      <c r="HP1" s="113"/>
      <c r="HQ1" s="528"/>
      <c r="HR1" s="110"/>
      <c r="HS1" s="111"/>
      <c r="HT1" s="111" t="s">
        <v>54</v>
      </c>
      <c r="HU1" s="111"/>
      <c r="HV1" s="111"/>
      <c r="HW1" s="112"/>
      <c r="HX1" s="113"/>
      <c r="HY1" s="528"/>
      <c r="HZ1" s="110"/>
      <c r="IA1" s="111"/>
      <c r="IB1" s="111" t="s">
        <v>54</v>
      </c>
      <c r="IC1" s="111"/>
      <c r="ID1" s="111"/>
      <c r="IE1" s="112"/>
      <c r="IF1" s="113"/>
      <c r="IG1" s="528"/>
      <c r="IH1" s="110"/>
      <c r="II1" s="111"/>
      <c r="IJ1" s="111" t="s">
        <v>54</v>
      </c>
      <c r="IK1" s="111"/>
      <c r="IL1" s="111"/>
      <c r="IM1" s="112"/>
      <c r="IN1" s="113"/>
      <c r="IO1" s="528"/>
      <c r="IP1" s="110"/>
      <c r="IQ1" s="111"/>
      <c r="IR1" s="111" t="s">
        <v>54</v>
      </c>
      <c r="IS1" s="111"/>
      <c r="IT1" s="111"/>
      <c r="IU1" s="112"/>
      <c r="IV1" s="113"/>
      <c r="IW1" s="528"/>
      <c r="IX1" s="110"/>
      <c r="IY1" s="111"/>
      <c r="IZ1" s="111" t="s">
        <v>54</v>
      </c>
      <c r="JA1" s="111"/>
      <c r="JB1" s="111"/>
      <c r="JC1" s="112"/>
      <c r="JD1" s="113"/>
      <c r="JE1" s="528"/>
      <c r="JF1" s="110"/>
      <c r="JG1" s="111"/>
      <c r="JH1" s="111" t="s">
        <v>54</v>
      </c>
      <c r="JI1" s="111"/>
      <c r="JJ1" s="111"/>
      <c r="JK1" s="112"/>
      <c r="JL1" s="113"/>
      <c r="JM1" s="528"/>
      <c r="JN1" s="110"/>
      <c r="JO1" s="111"/>
      <c r="JP1" s="111" t="s">
        <v>54</v>
      </c>
      <c r="JQ1" s="111"/>
      <c r="JR1" s="111"/>
      <c r="JS1" s="112"/>
      <c r="JT1" s="113"/>
      <c r="JU1" s="528"/>
      <c r="JV1" s="110"/>
      <c r="JW1" s="111"/>
      <c r="JX1" s="111" t="s">
        <v>54</v>
      </c>
      <c r="JY1" s="111"/>
      <c r="JZ1" s="111"/>
      <c r="KA1" s="112"/>
      <c r="KB1" s="113"/>
      <c r="KC1" s="528"/>
      <c r="KD1" s="110"/>
      <c r="KE1" s="111"/>
      <c r="KF1" s="111" t="s">
        <v>54</v>
      </c>
      <c r="KG1" s="111"/>
      <c r="KH1" s="111"/>
      <c r="KI1" s="112"/>
      <c r="KJ1" s="113"/>
      <c r="KK1" s="528"/>
      <c r="KL1" s="110"/>
      <c r="KM1" s="111"/>
      <c r="KN1" s="111" t="s">
        <v>54</v>
      </c>
      <c r="KO1" s="111"/>
      <c r="KP1" s="111"/>
      <c r="KQ1" s="112"/>
      <c r="KR1" s="113"/>
      <c r="KS1" s="528"/>
      <c r="KT1" s="110"/>
      <c r="KU1" s="111"/>
      <c r="KV1" s="111" t="s">
        <v>54</v>
      </c>
      <c r="KW1" s="111"/>
      <c r="KX1" s="111"/>
      <c r="KY1" s="112"/>
      <c r="KZ1" s="113"/>
      <c r="LA1" s="528"/>
      <c r="LB1" s="110"/>
      <c r="LC1" s="111"/>
      <c r="LD1" s="111" t="s">
        <v>54</v>
      </c>
      <c r="LE1" s="111"/>
      <c r="LF1" s="111"/>
      <c r="LG1" s="112"/>
      <c r="LH1" s="113"/>
      <c r="LI1" s="528"/>
      <c r="LJ1" s="110"/>
      <c r="LK1" s="111"/>
      <c r="LL1" s="111" t="s">
        <v>54</v>
      </c>
      <c r="LM1" s="111"/>
      <c r="LN1" s="111"/>
      <c r="LO1" s="112"/>
      <c r="LP1" s="113"/>
      <c r="LQ1" s="528"/>
      <c r="LR1" s="110"/>
      <c r="LS1" s="111"/>
      <c r="LT1" s="111" t="s">
        <v>54</v>
      </c>
      <c r="LU1" s="111"/>
      <c r="LV1" s="111"/>
      <c r="LW1" s="112"/>
      <c r="LX1" s="113"/>
      <c r="LY1" s="528"/>
      <c r="LZ1" s="110"/>
      <c r="MA1" s="111"/>
      <c r="MB1" s="111" t="s">
        <v>54</v>
      </c>
      <c r="MC1" s="111"/>
      <c r="MD1" s="111"/>
      <c r="ME1" s="112"/>
      <c r="MF1" s="113"/>
      <c r="MG1" s="528"/>
      <c r="MH1" s="110"/>
      <c r="MI1" s="111"/>
      <c r="MJ1" s="111" t="s">
        <v>54</v>
      </c>
      <c r="MK1" s="111"/>
      <c r="ML1" s="111"/>
      <c r="MM1" s="112"/>
      <c r="MN1" s="113"/>
      <c r="MO1" s="528"/>
      <c r="MP1" s="110"/>
      <c r="MQ1" s="111"/>
      <c r="MR1" s="111" t="s">
        <v>54</v>
      </c>
      <c r="MS1" s="111"/>
      <c r="MT1" s="111"/>
      <c r="MU1" s="112"/>
      <c r="MV1" s="113"/>
      <c r="MW1" s="528"/>
      <c r="MX1" s="110"/>
      <c r="MY1" s="111"/>
      <c r="MZ1" s="111" t="s">
        <v>54</v>
      </c>
      <c r="NA1" s="111"/>
      <c r="NB1" s="111"/>
      <c r="NC1" s="112"/>
      <c r="ND1" s="113"/>
      <c r="NE1" s="528"/>
      <c r="NF1" s="110"/>
      <c r="NG1" s="111"/>
      <c r="NH1" s="111" t="s">
        <v>54</v>
      </c>
      <c r="NI1" s="111"/>
      <c r="NJ1" s="111"/>
      <c r="NK1" s="112"/>
      <c r="NL1" s="113"/>
      <c r="NM1" s="528"/>
      <c r="NN1" s="110"/>
      <c r="NO1" s="111"/>
      <c r="NP1" s="111" t="s">
        <v>54</v>
      </c>
      <c r="NQ1" s="111"/>
      <c r="NR1" s="111"/>
      <c r="NS1" s="112"/>
      <c r="NT1" s="113"/>
      <c r="NU1" s="528"/>
      <c r="NV1" s="110"/>
      <c r="NW1" s="111"/>
      <c r="NX1" s="111" t="s">
        <v>54</v>
      </c>
      <c r="NY1" s="111"/>
      <c r="NZ1" s="111"/>
      <c r="OA1" s="112"/>
      <c r="OB1" s="113"/>
      <c r="OC1" s="528"/>
      <c r="OD1" s="110"/>
      <c r="OE1" s="111"/>
      <c r="OF1" s="111" t="s">
        <v>54</v>
      </c>
      <c r="OG1" s="111"/>
      <c r="OH1" s="111"/>
      <c r="OI1" s="112"/>
      <c r="OJ1" s="113"/>
      <c r="OK1" s="528"/>
      <c r="OL1" s="110"/>
      <c r="OM1" s="111"/>
      <c r="ON1" s="111" t="s">
        <v>54</v>
      </c>
      <c r="OO1" s="111"/>
      <c r="OP1" s="111"/>
      <c r="OQ1" s="112"/>
      <c r="OR1" s="113"/>
      <c r="OS1" s="528"/>
      <c r="OT1" s="110"/>
      <c r="OU1" s="111"/>
      <c r="OV1" s="111" t="s">
        <v>54</v>
      </c>
      <c r="OW1" s="111"/>
      <c r="OX1" s="111"/>
      <c r="OY1" s="112"/>
      <c r="OZ1" s="113"/>
      <c r="PA1" s="528"/>
      <c r="PB1" s="110"/>
      <c r="PC1" s="111"/>
      <c r="PD1" s="111" t="s">
        <v>54</v>
      </c>
      <c r="PE1" s="111"/>
      <c r="PF1" s="111"/>
      <c r="PG1" s="112"/>
      <c r="PH1" s="113"/>
      <c r="PI1" s="528"/>
      <c r="PJ1" s="110"/>
      <c r="PK1" s="111"/>
      <c r="PL1" s="111" t="s">
        <v>54</v>
      </c>
      <c r="PM1" s="111"/>
      <c r="PN1" s="111"/>
      <c r="PO1" s="112"/>
      <c r="PP1" s="113"/>
      <c r="PQ1" s="528"/>
      <c r="PR1" s="110"/>
      <c r="PS1" s="111"/>
      <c r="PT1" s="111" t="s">
        <v>54</v>
      </c>
      <c r="PU1" s="111"/>
      <c r="PV1" s="111"/>
      <c r="PW1" s="112"/>
      <c r="PX1" s="113"/>
      <c r="PY1" s="528"/>
      <c r="PZ1" s="110"/>
      <c r="QA1" s="111"/>
      <c r="QB1" s="111" t="s">
        <v>54</v>
      </c>
      <c r="QC1" s="111"/>
      <c r="QD1" s="111"/>
      <c r="QE1" s="112"/>
      <c r="QF1" s="113"/>
      <c r="QG1" s="528"/>
      <c r="QH1" s="110"/>
      <c r="QI1" s="111"/>
      <c r="QJ1" s="111" t="s">
        <v>54</v>
      </c>
      <c r="QK1" s="111"/>
      <c r="QL1" s="111"/>
      <c r="QM1" s="112"/>
      <c r="QN1" s="113"/>
      <c r="QO1" s="528"/>
      <c r="QP1" s="110"/>
      <c r="QQ1" s="111"/>
      <c r="QR1" s="111" t="s">
        <v>54</v>
      </c>
      <c r="QS1" s="111"/>
      <c r="QT1" s="111"/>
      <c r="QU1" s="112"/>
      <c r="QV1" s="113"/>
      <c r="QW1" s="528"/>
      <c r="QX1" s="110"/>
      <c r="QY1" s="111"/>
      <c r="QZ1" s="111" t="s">
        <v>54</v>
      </c>
      <c r="RA1" s="111"/>
      <c r="RB1" s="111"/>
      <c r="RC1" s="112"/>
      <c r="RD1" s="113"/>
      <c r="RE1" s="528"/>
      <c r="RF1" s="110"/>
      <c r="RG1" s="111"/>
      <c r="RH1" s="111" t="s">
        <v>54</v>
      </c>
      <c r="RI1" s="111"/>
      <c r="RJ1" s="111"/>
      <c r="RK1" s="112"/>
      <c r="RL1" s="113"/>
      <c r="RM1" s="528"/>
      <c r="RN1" s="110"/>
      <c r="RO1" s="111"/>
      <c r="RP1" s="111" t="s">
        <v>54</v>
      </c>
      <c r="RQ1" s="111"/>
      <c r="RR1" s="111"/>
      <c r="RS1" s="112"/>
      <c r="RT1" s="113"/>
      <c r="RU1" s="528"/>
      <c r="RV1" s="110"/>
      <c r="RW1" s="111"/>
      <c r="RX1" s="111" t="s">
        <v>54</v>
      </c>
      <c r="RY1" s="111"/>
      <c r="RZ1" s="111"/>
      <c r="SA1" s="112"/>
      <c r="SB1" s="113"/>
      <c r="SC1" s="528"/>
      <c r="SD1" s="110"/>
      <c r="SE1" s="111"/>
      <c r="SF1" s="111" t="s">
        <v>54</v>
      </c>
      <c r="SG1" s="111"/>
      <c r="SH1" s="111"/>
      <c r="SI1" s="112"/>
      <c r="SJ1" s="113"/>
      <c r="SK1" s="528"/>
      <c r="SL1" s="110"/>
      <c r="SM1" s="111"/>
      <c r="SN1" s="111" t="s">
        <v>54</v>
      </c>
      <c r="SO1" s="111"/>
      <c r="SP1" s="111"/>
      <c r="SQ1" s="112"/>
      <c r="SR1" s="113"/>
      <c r="SS1" s="528"/>
      <c r="ST1" s="110"/>
      <c r="SU1" s="111"/>
      <c r="SV1" s="111" t="s">
        <v>54</v>
      </c>
      <c r="SW1" s="111"/>
      <c r="SX1" s="111"/>
      <c r="SY1" s="112"/>
      <c r="SZ1" s="113"/>
      <c r="TA1" s="528"/>
      <c r="TB1" s="110"/>
      <c r="TC1" s="111"/>
      <c r="TD1" s="111" t="s">
        <v>54</v>
      </c>
      <c r="TE1" s="111"/>
      <c r="TF1" s="111"/>
      <c r="TG1" s="112"/>
      <c r="TH1" s="113"/>
      <c r="TI1" s="528"/>
    </row>
    <row r="2" spans="2:529">
      <c r="B2" s="114"/>
      <c r="C2" s="115"/>
      <c r="D2" s="116"/>
      <c r="E2" s="115"/>
      <c r="F2" s="115"/>
      <c r="G2" s="117"/>
      <c r="H2" s="118"/>
      <c r="I2" s="528"/>
      <c r="J2" s="114"/>
      <c r="K2" s="115"/>
      <c r="L2" s="116"/>
      <c r="M2" s="115"/>
      <c r="N2" s="115"/>
      <c r="O2" s="117"/>
      <c r="P2" s="118"/>
      <c r="Q2" s="528"/>
      <c r="R2" s="114"/>
      <c r="S2" s="115"/>
      <c r="T2" s="116"/>
      <c r="U2" s="115"/>
      <c r="V2" s="115"/>
      <c r="W2" s="117"/>
      <c r="X2" s="118"/>
      <c r="Y2" s="528"/>
      <c r="Z2" s="114"/>
      <c r="AA2" s="115"/>
      <c r="AB2" s="116"/>
      <c r="AC2" s="115"/>
      <c r="AD2" s="115"/>
      <c r="AE2" s="117"/>
      <c r="AF2" s="118"/>
      <c r="AG2" s="528"/>
      <c r="AH2" s="114"/>
      <c r="AI2" s="115"/>
      <c r="AJ2" s="116"/>
      <c r="AK2" s="115"/>
      <c r="AL2" s="115"/>
      <c r="AM2" s="117"/>
      <c r="AN2" s="118"/>
      <c r="AO2" s="528"/>
      <c r="AP2" s="114"/>
      <c r="AQ2" s="115"/>
      <c r="AR2" s="116"/>
      <c r="AS2" s="115"/>
      <c r="AT2" s="115"/>
      <c r="AU2" s="117"/>
      <c r="AV2" s="118"/>
      <c r="AW2" s="528"/>
      <c r="AX2" s="114"/>
      <c r="AY2" s="115"/>
      <c r="AZ2" s="116"/>
      <c r="BA2" s="115"/>
      <c r="BB2" s="115"/>
      <c r="BC2" s="117"/>
      <c r="BD2" s="118"/>
      <c r="BE2" s="528"/>
      <c r="BF2" s="114"/>
      <c r="BG2" s="115"/>
      <c r="BH2" s="116"/>
      <c r="BI2" s="115"/>
      <c r="BJ2" s="115"/>
      <c r="BK2" s="117"/>
      <c r="BL2" s="118"/>
      <c r="BM2" s="528"/>
      <c r="BN2" s="114"/>
      <c r="BO2" s="115"/>
      <c r="BP2" s="116"/>
      <c r="BQ2" s="115"/>
      <c r="BR2" s="115"/>
      <c r="BS2" s="117"/>
      <c r="BT2" s="118"/>
      <c r="BU2" s="528"/>
      <c r="BV2" s="536"/>
      <c r="BW2" s="537"/>
      <c r="BX2" s="538"/>
      <c r="BY2" s="537"/>
      <c r="BZ2" s="537"/>
      <c r="CA2" s="539"/>
      <c r="CB2" s="540"/>
      <c r="CC2" s="528"/>
      <c r="CD2" s="536"/>
      <c r="CE2" s="537"/>
      <c r="CF2" s="538"/>
      <c r="CG2" s="537"/>
      <c r="CH2" s="537"/>
      <c r="CI2" s="539"/>
      <c r="CJ2" s="540"/>
      <c r="CK2" s="528"/>
      <c r="CL2" s="114"/>
      <c r="CM2" s="115"/>
      <c r="CN2" s="116"/>
      <c r="CO2" s="115"/>
      <c r="CP2" s="115"/>
      <c r="CQ2" s="117"/>
      <c r="CR2" s="118"/>
      <c r="CS2" s="528"/>
      <c r="CT2" s="114"/>
      <c r="CU2" s="115"/>
      <c r="CV2" s="116"/>
      <c r="CW2" s="115"/>
      <c r="CX2" s="115"/>
      <c r="CY2" s="117"/>
      <c r="CZ2" s="118"/>
      <c r="DA2" s="528"/>
      <c r="DB2" s="114"/>
      <c r="DC2" s="115"/>
      <c r="DD2" s="116"/>
      <c r="DE2" s="115"/>
      <c r="DF2" s="115"/>
      <c r="DG2" s="117"/>
      <c r="DH2" s="118"/>
      <c r="DI2" s="528"/>
      <c r="DJ2" s="114"/>
      <c r="DK2" s="115"/>
      <c r="DL2" s="116"/>
      <c r="DM2" s="115"/>
      <c r="DN2" s="115"/>
      <c r="DO2" s="117"/>
      <c r="DP2" s="118"/>
      <c r="DQ2" s="528"/>
      <c r="DR2" s="114"/>
      <c r="DS2" s="115"/>
      <c r="DT2" s="116"/>
      <c r="DU2" s="115"/>
      <c r="DV2" s="115"/>
      <c r="DW2" s="117"/>
      <c r="DX2" s="118"/>
      <c r="DY2" s="528"/>
      <c r="DZ2" s="114"/>
      <c r="EA2" s="115"/>
      <c r="EB2" s="116"/>
      <c r="EC2" s="115"/>
      <c r="ED2" s="115"/>
      <c r="EE2" s="117"/>
      <c r="EF2" s="118"/>
      <c r="EG2" s="528"/>
      <c r="EH2" s="114"/>
      <c r="EI2" s="115"/>
      <c r="EJ2" s="116"/>
      <c r="EK2" s="115"/>
      <c r="EL2" s="115"/>
      <c r="EM2" s="117"/>
      <c r="EN2" s="118"/>
      <c r="EO2" s="528"/>
      <c r="EP2" s="114"/>
      <c r="EQ2" s="115"/>
      <c r="ER2" s="116"/>
      <c r="ES2" s="115"/>
      <c r="ET2" s="115"/>
      <c r="EU2" s="117"/>
      <c r="EV2" s="118"/>
      <c r="EW2" s="528"/>
      <c r="EX2" s="114"/>
      <c r="EY2" s="115"/>
      <c r="EZ2" s="116"/>
      <c r="FA2" s="115"/>
      <c r="FB2" s="115"/>
      <c r="FC2" s="117"/>
      <c r="FD2" s="118"/>
      <c r="FE2" s="528"/>
      <c r="FF2" s="114"/>
      <c r="FG2" s="115"/>
      <c r="FH2" s="116"/>
      <c r="FI2" s="115"/>
      <c r="FJ2" s="115"/>
      <c r="FK2" s="117"/>
      <c r="FL2" s="118"/>
      <c r="FM2" s="528"/>
      <c r="FN2" s="114"/>
      <c r="FO2" s="115"/>
      <c r="FP2" s="116"/>
      <c r="FQ2" s="115"/>
      <c r="FR2" s="115"/>
      <c r="FS2" s="117"/>
      <c r="FT2" s="118"/>
      <c r="FU2" s="528"/>
      <c r="FV2" s="114"/>
      <c r="FW2" s="115"/>
      <c r="FX2" s="116"/>
      <c r="FY2" s="115"/>
      <c r="FZ2" s="115"/>
      <c r="GA2" s="117"/>
      <c r="GB2" s="118"/>
      <c r="GC2" s="528"/>
      <c r="GD2" s="114"/>
      <c r="GE2" s="115"/>
      <c r="GF2" s="116"/>
      <c r="GG2" s="115"/>
      <c r="GH2" s="115"/>
      <c r="GI2" s="117"/>
      <c r="GJ2" s="118"/>
      <c r="GK2" s="528"/>
      <c r="GL2" s="114"/>
      <c r="GM2" s="115"/>
      <c r="GN2" s="116"/>
      <c r="GO2" s="115"/>
      <c r="GP2" s="115"/>
      <c r="GQ2" s="117"/>
      <c r="GR2" s="118"/>
      <c r="GS2" s="528"/>
      <c r="GT2" s="114"/>
      <c r="GU2" s="115"/>
      <c r="GV2" s="116"/>
      <c r="GW2" s="115"/>
      <c r="GX2" s="115"/>
      <c r="GY2" s="117"/>
      <c r="GZ2" s="118"/>
      <c r="HA2" s="528"/>
      <c r="HB2" s="114"/>
      <c r="HC2" s="115"/>
      <c r="HD2" s="116"/>
      <c r="HE2" s="115"/>
      <c r="HF2" s="115"/>
      <c r="HG2" s="117"/>
      <c r="HH2" s="118"/>
      <c r="HI2" s="528"/>
      <c r="HJ2" s="114"/>
      <c r="HK2" s="115"/>
      <c r="HL2" s="116"/>
      <c r="HM2" s="115"/>
      <c r="HN2" s="115"/>
      <c r="HO2" s="117"/>
      <c r="HP2" s="118"/>
      <c r="HQ2" s="528"/>
      <c r="HR2" s="114"/>
      <c r="HS2" s="115"/>
      <c r="HT2" s="116"/>
      <c r="HU2" s="115"/>
      <c r="HV2" s="115"/>
      <c r="HW2" s="117"/>
      <c r="HX2" s="118"/>
      <c r="HY2" s="528"/>
      <c r="HZ2" s="114"/>
      <c r="IA2" s="115"/>
      <c r="IB2" s="116"/>
      <c r="IC2" s="115"/>
      <c r="ID2" s="115"/>
      <c r="IE2" s="117"/>
      <c r="IF2" s="118"/>
      <c r="IG2" s="528"/>
      <c r="IH2" s="114"/>
      <c r="II2" s="115"/>
      <c r="IJ2" s="116"/>
      <c r="IK2" s="115"/>
      <c r="IL2" s="115"/>
      <c r="IM2" s="117"/>
      <c r="IN2" s="118"/>
      <c r="IO2" s="528"/>
      <c r="IP2" s="114"/>
      <c r="IQ2" s="115"/>
      <c r="IR2" s="116"/>
      <c r="IS2" s="115"/>
      <c r="IT2" s="115"/>
      <c r="IU2" s="117"/>
      <c r="IV2" s="118"/>
      <c r="IW2" s="528"/>
      <c r="IX2" s="114"/>
      <c r="IY2" s="115"/>
      <c r="IZ2" s="116"/>
      <c r="JA2" s="115"/>
      <c r="JB2" s="115"/>
      <c r="JC2" s="117"/>
      <c r="JD2" s="118"/>
      <c r="JE2" s="528"/>
      <c r="JF2" s="114"/>
      <c r="JG2" s="115"/>
      <c r="JH2" s="116"/>
      <c r="JI2" s="115"/>
      <c r="JJ2" s="115"/>
      <c r="JK2" s="117"/>
      <c r="JL2" s="118"/>
      <c r="JM2" s="528"/>
      <c r="JN2" s="114"/>
      <c r="JO2" s="115"/>
      <c r="JP2" s="116"/>
      <c r="JQ2" s="115"/>
      <c r="JR2" s="115"/>
      <c r="JS2" s="117"/>
      <c r="JT2" s="118"/>
      <c r="JU2" s="528"/>
      <c r="JV2" s="114"/>
      <c r="JW2" s="115"/>
      <c r="JX2" s="116"/>
      <c r="JY2" s="115"/>
      <c r="JZ2" s="115"/>
      <c r="KA2" s="117"/>
      <c r="KB2" s="118"/>
      <c r="KC2" s="528"/>
      <c r="KD2" s="114"/>
      <c r="KE2" s="115"/>
      <c r="KF2" s="116"/>
      <c r="KG2" s="115"/>
      <c r="KH2" s="115"/>
      <c r="KI2" s="117"/>
      <c r="KJ2" s="118"/>
      <c r="KK2" s="528"/>
      <c r="KL2" s="114"/>
      <c r="KM2" s="115"/>
      <c r="KN2" s="116"/>
      <c r="KO2" s="115"/>
      <c r="KP2" s="115"/>
      <c r="KQ2" s="117"/>
      <c r="KR2" s="118"/>
      <c r="KS2" s="528"/>
      <c r="KT2" s="114"/>
      <c r="KU2" s="115"/>
      <c r="KV2" s="116"/>
      <c r="KW2" s="115"/>
      <c r="KX2" s="115"/>
      <c r="KY2" s="117"/>
      <c r="KZ2" s="118"/>
      <c r="LA2" s="528"/>
      <c r="LB2" s="114"/>
      <c r="LC2" s="115"/>
      <c r="LD2" s="116"/>
      <c r="LE2" s="115"/>
      <c r="LF2" s="115"/>
      <c r="LG2" s="117"/>
      <c r="LH2" s="118"/>
      <c r="LI2" s="528"/>
      <c r="LJ2" s="114"/>
      <c r="LK2" s="115"/>
      <c r="LL2" s="116"/>
      <c r="LM2" s="115"/>
      <c r="LN2" s="115"/>
      <c r="LO2" s="117"/>
      <c r="LP2" s="118"/>
      <c r="LQ2" s="528"/>
      <c r="LR2" s="114"/>
      <c r="LS2" s="115"/>
      <c r="LT2" s="116"/>
      <c r="LU2" s="115"/>
      <c r="LV2" s="115"/>
      <c r="LW2" s="117"/>
      <c r="LX2" s="118"/>
      <c r="LY2" s="528"/>
      <c r="LZ2" s="114"/>
      <c r="MA2" s="115"/>
      <c r="MB2" s="116"/>
      <c r="MC2" s="115"/>
      <c r="MD2" s="115"/>
      <c r="ME2" s="117"/>
      <c r="MF2" s="118"/>
      <c r="MG2" s="528"/>
      <c r="MH2" s="114"/>
      <c r="MI2" s="115"/>
      <c r="MJ2" s="116"/>
      <c r="MK2" s="115"/>
      <c r="ML2" s="115"/>
      <c r="MM2" s="117"/>
      <c r="MN2" s="118"/>
      <c r="MO2" s="528"/>
      <c r="MP2" s="114"/>
      <c r="MQ2" s="115"/>
      <c r="MR2" s="116"/>
      <c r="MS2" s="115"/>
      <c r="MT2" s="115"/>
      <c r="MU2" s="117"/>
      <c r="MV2" s="118"/>
      <c r="MW2" s="528"/>
      <c r="MX2" s="114"/>
      <c r="MY2" s="115"/>
      <c r="MZ2" s="116"/>
      <c r="NA2" s="115"/>
      <c r="NB2" s="115"/>
      <c r="NC2" s="117"/>
      <c r="ND2" s="118"/>
      <c r="NE2" s="528"/>
      <c r="NF2" s="114"/>
      <c r="NG2" s="115"/>
      <c r="NH2" s="116"/>
      <c r="NI2" s="115"/>
      <c r="NJ2" s="115"/>
      <c r="NK2" s="117"/>
      <c r="NL2" s="118"/>
      <c r="NM2" s="528"/>
      <c r="NN2" s="114"/>
      <c r="NO2" s="115"/>
      <c r="NP2" s="116"/>
      <c r="NQ2" s="115"/>
      <c r="NR2" s="115"/>
      <c r="NS2" s="117"/>
      <c r="NT2" s="118"/>
      <c r="NU2" s="528"/>
      <c r="NV2" s="114"/>
      <c r="NW2" s="115"/>
      <c r="NX2" s="116"/>
      <c r="NY2" s="115"/>
      <c r="NZ2" s="115"/>
      <c r="OA2" s="117"/>
      <c r="OB2" s="118"/>
      <c r="OC2" s="528"/>
      <c r="OD2" s="114"/>
      <c r="OE2" s="115"/>
      <c r="OF2" s="116"/>
      <c r="OG2" s="115"/>
      <c r="OH2" s="115"/>
      <c r="OI2" s="117"/>
      <c r="OJ2" s="118"/>
      <c r="OK2" s="528"/>
      <c r="OL2" s="114"/>
      <c r="OM2" s="115"/>
      <c r="ON2" s="116"/>
      <c r="OO2" s="115"/>
      <c r="OP2" s="115"/>
      <c r="OQ2" s="117"/>
      <c r="OR2" s="118"/>
      <c r="OS2" s="528"/>
      <c r="OT2" s="114"/>
      <c r="OU2" s="115"/>
      <c r="OV2" s="116"/>
      <c r="OW2" s="115"/>
      <c r="OX2" s="115"/>
      <c r="OY2" s="117"/>
      <c r="OZ2" s="118"/>
      <c r="PA2" s="528"/>
      <c r="PB2" s="114"/>
      <c r="PC2" s="115"/>
      <c r="PD2" s="116"/>
      <c r="PE2" s="115"/>
      <c r="PF2" s="115"/>
      <c r="PG2" s="117"/>
      <c r="PH2" s="118"/>
      <c r="PI2" s="528"/>
      <c r="PJ2" s="114"/>
      <c r="PK2" s="115"/>
      <c r="PL2" s="116"/>
      <c r="PM2" s="115"/>
      <c r="PN2" s="115"/>
      <c r="PO2" s="117"/>
      <c r="PP2" s="118"/>
      <c r="PQ2" s="528"/>
      <c r="PR2" s="114"/>
      <c r="PS2" s="115"/>
      <c r="PT2" s="116"/>
      <c r="PU2" s="115"/>
      <c r="PV2" s="115"/>
      <c r="PW2" s="117"/>
      <c r="PX2" s="118"/>
      <c r="PY2" s="528"/>
      <c r="PZ2" s="114"/>
      <c r="QA2" s="115"/>
      <c r="QB2" s="116"/>
      <c r="QC2" s="115"/>
      <c r="QD2" s="115"/>
      <c r="QE2" s="117"/>
      <c r="QF2" s="118"/>
      <c r="QG2" s="528"/>
      <c r="QH2" s="114"/>
      <c r="QI2" s="115"/>
      <c r="QJ2" s="116"/>
      <c r="QK2" s="115"/>
      <c r="QL2" s="115"/>
      <c r="QM2" s="117"/>
      <c r="QN2" s="118"/>
      <c r="QO2" s="528"/>
      <c r="QP2" s="114"/>
      <c r="QQ2" s="115"/>
      <c r="QR2" s="116"/>
      <c r="QS2" s="115"/>
      <c r="QT2" s="115"/>
      <c r="QU2" s="117"/>
      <c r="QV2" s="118"/>
      <c r="QW2" s="528"/>
      <c r="QX2" s="114"/>
      <c r="QY2" s="115"/>
      <c r="QZ2" s="116"/>
      <c r="RA2" s="115"/>
      <c r="RB2" s="115"/>
      <c r="RC2" s="117"/>
      <c r="RD2" s="118"/>
      <c r="RE2" s="528"/>
      <c r="RF2" s="114"/>
      <c r="RG2" s="115"/>
      <c r="RH2" s="116"/>
      <c r="RI2" s="115"/>
      <c r="RJ2" s="115"/>
      <c r="RK2" s="117"/>
      <c r="RL2" s="118"/>
      <c r="RM2" s="528"/>
      <c r="RN2" s="114"/>
      <c r="RO2" s="115"/>
      <c r="RP2" s="116"/>
      <c r="RQ2" s="115"/>
      <c r="RR2" s="115"/>
      <c r="RS2" s="117"/>
      <c r="RT2" s="118"/>
      <c r="RU2" s="528"/>
      <c r="RV2" s="114"/>
      <c r="RW2" s="115"/>
      <c r="RX2" s="116"/>
      <c r="RY2" s="115"/>
      <c r="RZ2" s="115"/>
      <c r="SA2" s="117"/>
      <c r="SB2" s="118"/>
      <c r="SC2" s="528"/>
      <c r="SD2" s="114"/>
      <c r="SE2" s="115"/>
      <c r="SF2" s="116"/>
      <c r="SG2" s="115"/>
      <c r="SH2" s="115"/>
      <c r="SI2" s="117"/>
      <c r="SJ2" s="118"/>
      <c r="SK2" s="528"/>
      <c r="SL2" s="114"/>
      <c r="SM2" s="115"/>
      <c r="SN2" s="116"/>
      <c r="SO2" s="115"/>
      <c r="SP2" s="115"/>
      <c r="SQ2" s="117"/>
      <c r="SR2" s="118"/>
      <c r="SS2" s="528"/>
      <c r="ST2" s="114"/>
      <c r="SU2" s="115"/>
      <c r="SV2" s="116"/>
      <c r="SW2" s="115"/>
      <c r="SX2" s="115"/>
      <c r="SY2" s="117"/>
      <c r="SZ2" s="118"/>
      <c r="TA2" s="528"/>
      <c r="TB2" s="114"/>
      <c r="TC2" s="115"/>
      <c r="TD2" s="116"/>
      <c r="TE2" s="115"/>
      <c r="TF2" s="115"/>
      <c r="TG2" s="117"/>
      <c r="TH2" s="118"/>
      <c r="TI2" s="528"/>
    </row>
    <row r="3" spans="2:529">
      <c r="B3" s="114"/>
      <c r="C3" s="115"/>
      <c r="D3" s="119" t="s">
        <v>223</v>
      </c>
      <c r="E3" s="120"/>
      <c r="F3" s="115"/>
      <c r="G3" s="117"/>
      <c r="H3" s="118"/>
      <c r="I3" s="528"/>
      <c r="J3" s="114"/>
      <c r="K3" s="115"/>
      <c r="L3" s="119" t="s">
        <v>224</v>
      </c>
      <c r="M3" s="120"/>
      <c r="N3" s="115"/>
      <c r="O3" s="117"/>
      <c r="P3" s="118"/>
      <c r="Q3" s="528"/>
      <c r="R3" s="114"/>
      <c r="S3" s="115"/>
      <c r="T3" s="119" t="s">
        <v>225</v>
      </c>
      <c r="U3" s="120"/>
      <c r="V3" s="115"/>
      <c r="W3" s="117"/>
      <c r="X3" s="118"/>
      <c r="Y3" s="528"/>
      <c r="Z3" s="114"/>
      <c r="AA3" s="115"/>
      <c r="AB3" s="119" t="s">
        <v>226</v>
      </c>
      <c r="AC3" s="120"/>
      <c r="AD3" s="115"/>
      <c r="AE3" s="117"/>
      <c r="AF3" s="118"/>
      <c r="AG3" s="528"/>
      <c r="AH3" s="114"/>
      <c r="AI3" s="115"/>
      <c r="AJ3" s="119" t="s">
        <v>227</v>
      </c>
      <c r="AK3" s="120"/>
      <c r="AL3" s="115"/>
      <c r="AM3" s="117"/>
      <c r="AN3" s="118"/>
      <c r="AO3" s="528"/>
      <c r="AP3" s="114"/>
      <c r="AQ3" s="115"/>
      <c r="AR3" s="119" t="s">
        <v>228</v>
      </c>
      <c r="AS3" s="120"/>
      <c r="AT3" s="115"/>
      <c r="AU3" s="117"/>
      <c r="AV3" s="118"/>
      <c r="AW3" s="528"/>
      <c r="AX3" s="114"/>
      <c r="AY3" s="115"/>
      <c r="AZ3" s="119" t="s">
        <v>229</v>
      </c>
      <c r="BA3" s="120"/>
      <c r="BB3" s="115"/>
      <c r="BC3" s="117"/>
      <c r="BD3" s="118"/>
      <c r="BE3" s="528"/>
      <c r="BF3" s="114"/>
      <c r="BG3" s="115"/>
      <c r="BH3" s="119" t="s">
        <v>230</v>
      </c>
      <c r="BI3" s="120"/>
      <c r="BJ3" s="115"/>
      <c r="BK3" s="117"/>
      <c r="BL3" s="118"/>
      <c r="BM3" s="528"/>
      <c r="BN3" s="114"/>
      <c r="BO3" s="115"/>
      <c r="BP3" s="119" t="s">
        <v>231</v>
      </c>
      <c r="BQ3" s="120"/>
      <c r="BR3" s="115"/>
      <c r="BS3" s="117"/>
      <c r="BT3" s="118"/>
      <c r="BU3" s="528"/>
      <c r="BV3" s="536"/>
      <c r="BW3" s="537"/>
      <c r="BX3" s="541" t="s">
        <v>251</v>
      </c>
      <c r="BY3" s="542"/>
      <c r="BZ3" s="537"/>
      <c r="CA3" s="539"/>
      <c r="CB3" s="540"/>
      <c r="CC3" s="528"/>
      <c r="CD3" s="536"/>
      <c r="CE3" s="537"/>
      <c r="CF3" s="541" t="s">
        <v>252</v>
      </c>
      <c r="CG3" s="542"/>
      <c r="CH3" s="537"/>
      <c r="CI3" s="539"/>
      <c r="CJ3" s="540"/>
      <c r="CK3" s="528"/>
      <c r="CL3" s="114"/>
      <c r="CM3" s="115"/>
      <c r="CN3" s="119" t="s">
        <v>232</v>
      </c>
      <c r="CO3" s="120"/>
      <c r="CP3" s="115"/>
      <c r="CQ3" s="117"/>
      <c r="CR3" s="118"/>
      <c r="CS3" s="528"/>
      <c r="CT3" s="114"/>
      <c r="CU3" s="115"/>
      <c r="CV3" s="119" t="s">
        <v>233</v>
      </c>
      <c r="CW3" s="120"/>
      <c r="CX3" s="115"/>
      <c r="CY3" s="117"/>
      <c r="CZ3" s="118"/>
      <c r="DA3" s="528"/>
      <c r="DB3" s="114"/>
      <c r="DC3" s="115"/>
      <c r="DD3" s="119" t="s">
        <v>234</v>
      </c>
      <c r="DE3" s="120"/>
      <c r="DF3" s="115"/>
      <c r="DG3" s="117"/>
      <c r="DH3" s="118"/>
      <c r="DI3" s="528"/>
      <c r="DJ3" s="114"/>
      <c r="DK3" s="115"/>
      <c r="DL3" s="119" t="s">
        <v>235</v>
      </c>
      <c r="DM3" s="120"/>
      <c r="DN3" s="115"/>
      <c r="DO3" s="117"/>
      <c r="DP3" s="118"/>
      <c r="DQ3" s="528"/>
      <c r="DR3" s="114"/>
      <c r="DS3" s="115"/>
      <c r="DT3" s="119" t="s">
        <v>237</v>
      </c>
      <c r="DU3" s="120"/>
      <c r="DV3" s="115"/>
      <c r="DW3" s="117"/>
      <c r="DX3" s="118"/>
      <c r="DY3" s="528"/>
      <c r="DZ3" s="114"/>
      <c r="EA3" s="115"/>
      <c r="EB3" s="119" t="s">
        <v>238</v>
      </c>
      <c r="EC3" s="120"/>
      <c r="ED3" s="115"/>
      <c r="EE3" s="117"/>
      <c r="EF3" s="118"/>
      <c r="EG3" s="528"/>
      <c r="EH3" s="114"/>
      <c r="EI3" s="115"/>
      <c r="EJ3" s="119" t="s">
        <v>239</v>
      </c>
      <c r="EK3" s="120"/>
      <c r="EL3" s="115"/>
      <c r="EM3" s="117"/>
      <c r="EN3" s="118"/>
      <c r="EO3" s="528"/>
      <c r="EP3" s="114"/>
      <c r="EQ3" s="115"/>
      <c r="ER3" s="119" t="s">
        <v>240</v>
      </c>
      <c r="ES3" s="120"/>
      <c r="ET3" s="115"/>
      <c r="EU3" s="117"/>
      <c r="EV3" s="118"/>
      <c r="EW3" s="528"/>
      <c r="EX3" s="114"/>
      <c r="EY3" s="115"/>
      <c r="EZ3" s="119" t="s">
        <v>241</v>
      </c>
      <c r="FA3" s="120"/>
      <c r="FB3" s="115"/>
      <c r="FC3" s="117"/>
      <c r="FD3" s="118"/>
      <c r="FE3" s="528"/>
      <c r="FF3" s="114"/>
      <c r="FG3" s="115"/>
      <c r="FH3" s="119" t="s">
        <v>242</v>
      </c>
      <c r="FI3" s="120"/>
      <c r="FJ3" s="115"/>
      <c r="FK3" s="117"/>
      <c r="FL3" s="118"/>
      <c r="FM3" s="528"/>
      <c r="FN3" s="114"/>
      <c r="FO3" s="115"/>
      <c r="FP3" s="119" t="s">
        <v>243</v>
      </c>
      <c r="FQ3" s="120"/>
      <c r="FR3" s="115"/>
      <c r="FS3" s="117"/>
      <c r="FT3" s="118"/>
      <c r="FU3" s="528"/>
      <c r="FV3" s="114"/>
      <c r="FW3" s="115"/>
      <c r="FX3" s="119" t="s">
        <v>244</v>
      </c>
      <c r="FY3" s="120"/>
      <c r="FZ3" s="115"/>
      <c r="GA3" s="117"/>
      <c r="GB3" s="118"/>
      <c r="GC3" s="528"/>
      <c r="GD3" s="114"/>
      <c r="GE3" s="115"/>
      <c r="GF3" s="119" t="s">
        <v>245</v>
      </c>
      <c r="GG3" s="120"/>
      <c r="GH3" s="115"/>
      <c r="GI3" s="117"/>
      <c r="GJ3" s="118"/>
      <c r="GK3" s="528"/>
      <c r="GL3" s="114"/>
      <c r="GM3" s="115"/>
      <c r="GN3" s="119" t="s">
        <v>55</v>
      </c>
      <c r="GO3" s="120"/>
      <c r="GP3" s="115"/>
      <c r="GQ3" s="117"/>
      <c r="GR3" s="118"/>
      <c r="GS3" s="528"/>
      <c r="GT3" s="114"/>
      <c r="GU3" s="115"/>
      <c r="GV3" s="119" t="s">
        <v>103</v>
      </c>
      <c r="GW3" s="120"/>
      <c r="GX3" s="115"/>
      <c r="GY3" s="117"/>
      <c r="GZ3" s="118"/>
      <c r="HA3" s="528"/>
      <c r="HB3" s="114"/>
      <c r="HC3" s="115"/>
      <c r="HD3" s="119" t="s">
        <v>104</v>
      </c>
      <c r="HE3" s="120"/>
      <c r="HF3" s="115"/>
      <c r="HG3" s="117"/>
      <c r="HH3" s="118"/>
      <c r="HI3" s="528"/>
      <c r="HJ3" s="114"/>
      <c r="HK3" s="115"/>
      <c r="HL3" s="119" t="s">
        <v>105</v>
      </c>
      <c r="HM3" s="120"/>
      <c r="HN3" s="115"/>
      <c r="HO3" s="117"/>
      <c r="HP3" s="118"/>
      <c r="HQ3" s="528"/>
      <c r="HR3" s="114"/>
      <c r="HS3" s="115"/>
      <c r="HT3" s="119" t="s">
        <v>106</v>
      </c>
      <c r="HU3" s="120"/>
      <c r="HV3" s="115"/>
      <c r="HW3" s="117"/>
      <c r="HX3" s="118"/>
      <c r="HY3" s="528"/>
      <c r="HZ3" s="114"/>
      <c r="IA3" s="115"/>
      <c r="IB3" s="119" t="s">
        <v>107</v>
      </c>
      <c r="IC3" s="120"/>
      <c r="ID3" s="115"/>
      <c r="IE3" s="117"/>
      <c r="IF3" s="118"/>
      <c r="IG3" s="528"/>
      <c r="IH3" s="114"/>
      <c r="II3" s="115"/>
      <c r="IJ3" s="119" t="s">
        <v>108</v>
      </c>
      <c r="IK3" s="120"/>
      <c r="IL3" s="115"/>
      <c r="IM3" s="117"/>
      <c r="IN3" s="118"/>
      <c r="IO3" s="528"/>
      <c r="IP3" s="114"/>
      <c r="IQ3" s="115"/>
      <c r="IR3" s="119" t="s">
        <v>109</v>
      </c>
      <c r="IS3" s="120"/>
      <c r="IT3" s="115"/>
      <c r="IU3" s="117"/>
      <c r="IV3" s="118"/>
      <c r="IW3" s="528"/>
      <c r="IX3" s="114"/>
      <c r="IY3" s="115"/>
      <c r="IZ3" s="119" t="s">
        <v>110</v>
      </c>
      <c r="JA3" s="120"/>
      <c r="JB3" s="115"/>
      <c r="JC3" s="117"/>
      <c r="JD3" s="118"/>
      <c r="JE3" s="528"/>
      <c r="JF3" s="114"/>
      <c r="JG3" s="115"/>
      <c r="JH3" s="119" t="s">
        <v>111</v>
      </c>
      <c r="JI3" s="120"/>
      <c r="JJ3" s="115"/>
      <c r="JK3" s="117"/>
      <c r="JL3" s="118"/>
      <c r="JM3" s="528"/>
      <c r="JN3" s="114"/>
      <c r="JO3" s="115"/>
      <c r="JP3" s="119" t="s">
        <v>112</v>
      </c>
      <c r="JQ3" s="120"/>
      <c r="JR3" s="115"/>
      <c r="JS3" s="117"/>
      <c r="JT3" s="118"/>
      <c r="JU3" s="528"/>
      <c r="JV3" s="114"/>
      <c r="JW3" s="115"/>
      <c r="JX3" s="119" t="s">
        <v>113</v>
      </c>
      <c r="JY3" s="120"/>
      <c r="JZ3" s="115"/>
      <c r="KA3" s="117"/>
      <c r="KB3" s="118"/>
      <c r="KC3" s="528"/>
      <c r="KD3" s="114"/>
      <c r="KE3" s="115"/>
      <c r="KF3" s="119" t="s">
        <v>114</v>
      </c>
      <c r="KG3" s="120"/>
      <c r="KH3" s="115"/>
      <c r="KI3" s="117"/>
      <c r="KJ3" s="118"/>
      <c r="KK3" s="528"/>
      <c r="KL3" s="114"/>
      <c r="KM3" s="115"/>
      <c r="KN3" s="119" t="s">
        <v>115</v>
      </c>
      <c r="KO3" s="120"/>
      <c r="KP3" s="115"/>
      <c r="KQ3" s="117"/>
      <c r="KR3" s="118"/>
      <c r="KS3" s="528"/>
      <c r="KT3" s="114"/>
      <c r="KU3" s="115"/>
      <c r="KV3" s="119" t="s">
        <v>116</v>
      </c>
      <c r="KW3" s="120"/>
      <c r="KX3" s="115"/>
      <c r="KY3" s="117"/>
      <c r="KZ3" s="118"/>
      <c r="LA3" s="528"/>
      <c r="LB3" s="114"/>
      <c r="LC3" s="115"/>
      <c r="LD3" s="119" t="s">
        <v>117</v>
      </c>
      <c r="LE3" s="120"/>
      <c r="LF3" s="115"/>
      <c r="LG3" s="117"/>
      <c r="LH3" s="118"/>
      <c r="LI3" s="528"/>
      <c r="LJ3" s="114"/>
      <c r="LK3" s="115"/>
      <c r="LL3" s="119" t="s">
        <v>119</v>
      </c>
      <c r="LM3" s="120"/>
      <c r="LN3" s="115"/>
      <c r="LO3" s="117"/>
      <c r="LP3" s="118"/>
      <c r="LQ3" s="528"/>
      <c r="LR3" s="114"/>
      <c r="LS3" s="115"/>
      <c r="LT3" s="119" t="s">
        <v>250</v>
      </c>
      <c r="LU3" s="120"/>
      <c r="LV3" s="115"/>
      <c r="LW3" s="117"/>
      <c r="LX3" s="118"/>
      <c r="LY3" s="528"/>
      <c r="LZ3" s="114"/>
      <c r="MA3" s="115"/>
      <c r="MB3" s="119" t="s">
        <v>249</v>
      </c>
      <c r="MC3" s="120"/>
      <c r="MD3" s="115"/>
      <c r="ME3" s="117"/>
      <c r="MF3" s="118"/>
      <c r="MG3" s="528"/>
      <c r="MH3" s="114"/>
      <c r="MI3" s="115"/>
      <c r="MJ3" s="119" t="s">
        <v>248</v>
      </c>
      <c r="MK3" s="120"/>
      <c r="ML3" s="115"/>
      <c r="MM3" s="117"/>
      <c r="MN3" s="118"/>
      <c r="MO3" s="528"/>
      <c r="MP3" s="114"/>
      <c r="MQ3" s="115"/>
      <c r="MR3" s="119" t="s">
        <v>247</v>
      </c>
      <c r="MS3" s="120"/>
      <c r="MT3" s="115"/>
      <c r="MU3" s="117"/>
      <c r="MV3" s="118"/>
      <c r="MW3" s="528"/>
      <c r="MX3" s="114"/>
      <c r="MY3" s="115"/>
      <c r="MZ3" s="119" t="s">
        <v>246</v>
      </c>
      <c r="NA3" s="120"/>
      <c r="NB3" s="115"/>
      <c r="NC3" s="117"/>
      <c r="ND3" s="118"/>
      <c r="NE3" s="528"/>
      <c r="NF3" s="114"/>
      <c r="NG3" s="115"/>
      <c r="NH3" s="119" t="s">
        <v>369</v>
      </c>
      <c r="NI3" s="120"/>
      <c r="NJ3" s="115"/>
      <c r="NK3" s="117"/>
      <c r="NL3" s="118"/>
      <c r="NM3" s="528"/>
      <c r="NN3" s="114"/>
      <c r="NO3" s="115"/>
      <c r="NP3" s="119" t="s">
        <v>371</v>
      </c>
      <c r="NQ3" s="120"/>
      <c r="NR3" s="115"/>
      <c r="NS3" s="117"/>
      <c r="NT3" s="118"/>
      <c r="NU3" s="528"/>
      <c r="NV3" s="114"/>
      <c r="NW3" s="115"/>
      <c r="NX3" s="119" t="s">
        <v>391</v>
      </c>
      <c r="NY3" s="120"/>
      <c r="NZ3" s="115"/>
      <c r="OA3" s="117"/>
      <c r="OB3" s="118"/>
      <c r="OC3" s="528"/>
      <c r="OD3" s="114"/>
      <c r="OE3" s="115"/>
      <c r="OF3" s="119" t="s">
        <v>392</v>
      </c>
      <c r="OG3" s="120"/>
      <c r="OH3" s="115"/>
      <c r="OI3" s="117"/>
      <c r="OJ3" s="118"/>
      <c r="OK3" s="528"/>
      <c r="OL3" s="114"/>
      <c r="OM3" s="115"/>
      <c r="ON3" s="119" t="s">
        <v>393</v>
      </c>
      <c r="OO3" s="120"/>
      <c r="OP3" s="115"/>
      <c r="OQ3" s="117"/>
      <c r="OR3" s="118"/>
      <c r="OS3" s="528"/>
      <c r="OT3" s="114"/>
      <c r="OU3" s="115"/>
      <c r="OV3" s="119" t="s">
        <v>402</v>
      </c>
      <c r="OW3" s="120"/>
      <c r="OX3" s="115"/>
      <c r="OY3" s="117"/>
      <c r="OZ3" s="118"/>
      <c r="PA3" s="528"/>
      <c r="PB3" s="114"/>
      <c r="PC3" s="115"/>
      <c r="PD3" s="119" t="s">
        <v>403</v>
      </c>
      <c r="PE3" s="120"/>
      <c r="PF3" s="115"/>
      <c r="PG3" s="117"/>
      <c r="PH3" s="118"/>
      <c r="PI3" s="528"/>
      <c r="PJ3" s="114"/>
      <c r="PK3" s="115"/>
      <c r="PL3" s="119" t="s">
        <v>404</v>
      </c>
      <c r="PM3" s="120"/>
      <c r="PN3" s="115"/>
      <c r="PO3" s="117"/>
      <c r="PP3" s="118"/>
      <c r="PQ3" s="528"/>
      <c r="PR3" s="114"/>
      <c r="PS3" s="115"/>
      <c r="PT3" s="119" t="s">
        <v>412</v>
      </c>
      <c r="PU3" s="120"/>
      <c r="PV3" s="115"/>
      <c r="PW3" s="117"/>
      <c r="PX3" s="118"/>
      <c r="PY3" s="528"/>
      <c r="PZ3" s="114"/>
      <c r="QA3" s="115"/>
      <c r="QB3" s="119" t="s">
        <v>413</v>
      </c>
      <c r="QC3" s="120"/>
      <c r="QD3" s="115"/>
      <c r="QE3" s="117"/>
      <c r="QF3" s="118"/>
      <c r="QG3" s="528"/>
      <c r="QH3" s="114"/>
      <c r="QI3" s="115"/>
      <c r="QJ3" s="119" t="s">
        <v>414</v>
      </c>
      <c r="QK3" s="120"/>
      <c r="QL3" s="115"/>
      <c r="QM3" s="117"/>
      <c r="QN3" s="118"/>
      <c r="QO3" s="528"/>
      <c r="QP3" s="114"/>
      <c r="QQ3" s="115"/>
      <c r="QR3" s="119" t="s">
        <v>415</v>
      </c>
      <c r="QS3" s="120"/>
      <c r="QT3" s="115"/>
      <c r="QU3" s="117"/>
      <c r="QV3" s="118"/>
      <c r="QW3" s="528"/>
      <c r="QX3" s="114"/>
      <c r="QY3" s="115"/>
      <c r="QZ3" s="119" t="s">
        <v>416</v>
      </c>
      <c r="RA3" s="120"/>
      <c r="RB3" s="115"/>
      <c r="RC3" s="117"/>
      <c r="RD3" s="118"/>
      <c r="RE3" s="528"/>
      <c r="RF3" s="114"/>
      <c r="RG3" s="115"/>
      <c r="RH3" s="119" t="s">
        <v>417</v>
      </c>
      <c r="RI3" s="120"/>
      <c r="RJ3" s="115"/>
      <c r="RK3" s="117"/>
      <c r="RL3" s="118"/>
      <c r="RM3" s="528"/>
      <c r="RN3" s="114"/>
      <c r="RO3" s="115"/>
      <c r="RP3" s="119" t="s">
        <v>433</v>
      </c>
      <c r="RQ3" s="120"/>
      <c r="RR3" s="115"/>
      <c r="RS3" s="117"/>
      <c r="RT3" s="118"/>
      <c r="RU3" s="528"/>
      <c r="RV3" s="114"/>
      <c r="RW3" s="115"/>
      <c r="RX3" s="119" t="s">
        <v>434</v>
      </c>
      <c r="RY3" s="120"/>
      <c r="RZ3" s="115"/>
      <c r="SA3" s="117"/>
      <c r="SB3" s="118"/>
      <c r="SC3" s="528"/>
      <c r="SD3" s="114"/>
      <c r="SE3" s="115"/>
      <c r="SF3" s="119" t="s">
        <v>435</v>
      </c>
      <c r="SG3" s="120"/>
      <c r="SH3" s="115"/>
      <c r="SI3" s="117"/>
      <c r="SJ3" s="118"/>
      <c r="SK3" s="528"/>
      <c r="SL3" s="114"/>
      <c r="SM3" s="115"/>
      <c r="SN3" s="119" t="s">
        <v>448</v>
      </c>
      <c r="SO3" s="120"/>
      <c r="SP3" s="115"/>
      <c r="SQ3" s="117"/>
      <c r="SR3" s="118"/>
      <c r="SS3" s="528"/>
      <c r="ST3" s="114"/>
      <c r="SU3" s="115"/>
      <c r="SV3" s="119" t="s">
        <v>449</v>
      </c>
      <c r="SW3" s="120"/>
      <c r="SX3" s="115"/>
      <c r="SY3" s="117"/>
      <c r="SZ3" s="118"/>
      <c r="TA3" s="528"/>
      <c r="TB3" s="114"/>
      <c r="TC3" s="115"/>
      <c r="TD3" s="119" t="s">
        <v>450</v>
      </c>
      <c r="TE3" s="120"/>
      <c r="TF3" s="115"/>
      <c r="TG3" s="117"/>
      <c r="TH3" s="118"/>
      <c r="TI3" s="528"/>
    </row>
    <row r="4" spans="2:529">
      <c r="B4" s="121"/>
      <c r="C4" s="122"/>
      <c r="D4" s="123"/>
      <c r="E4" s="124"/>
      <c r="F4" s="124"/>
      <c r="G4" s="125"/>
      <c r="H4" s="126"/>
      <c r="I4" s="528"/>
      <c r="J4" s="121"/>
      <c r="K4" s="122"/>
      <c r="L4" s="123"/>
      <c r="M4" s="124"/>
      <c r="N4" s="124"/>
      <c r="O4" s="125"/>
      <c r="P4" s="126"/>
      <c r="Q4" s="528"/>
      <c r="R4" s="121"/>
      <c r="S4" s="122"/>
      <c r="T4" s="123"/>
      <c r="U4" s="124"/>
      <c r="V4" s="124"/>
      <c r="W4" s="125"/>
      <c r="X4" s="126"/>
      <c r="Y4" s="528"/>
      <c r="Z4" s="121"/>
      <c r="AA4" s="122"/>
      <c r="AB4" s="123"/>
      <c r="AC4" s="124"/>
      <c r="AD4" s="124"/>
      <c r="AE4" s="125"/>
      <c r="AF4" s="126"/>
      <c r="AG4" s="528"/>
      <c r="AH4" s="121"/>
      <c r="AI4" s="122"/>
      <c r="AJ4" s="123"/>
      <c r="AK4" s="124"/>
      <c r="AL4" s="124"/>
      <c r="AM4" s="125"/>
      <c r="AN4" s="126"/>
      <c r="AO4" s="528"/>
      <c r="AP4" s="121"/>
      <c r="AQ4" s="122"/>
      <c r="AR4" s="123"/>
      <c r="AS4" s="124"/>
      <c r="AT4" s="124"/>
      <c r="AU4" s="125"/>
      <c r="AV4" s="126"/>
      <c r="AW4" s="528"/>
      <c r="AX4" s="121"/>
      <c r="AY4" s="122"/>
      <c r="AZ4" s="123"/>
      <c r="BA4" s="124"/>
      <c r="BB4" s="124"/>
      <c r="BC4" s="125"/>
      <c r="BD4" s="126"/>
      <c r="BE4" s="528"/>
      <c r="BF4" s="121"/>
      <c r="BG4" s="122"/>
      <c r="BH4" s="123"/>
      <c r="BI4" s="124"/>
      <c r="BJ4" s="124"/>
      <c r="BK4" s="125"/>
      <c r="BL4" s="126"/>
      <c r="BM4" s="528"/>
      <c r="BN4" s="121"/>
      <c r="BO4" s="122"/>
      <c r="BP4" s="123"/>
      <c r="BQ4" s="124"/>
      <c r="BR4" s="124"/>
      <c r="BS4" s="125"/>
      <c r="BT4" s="126"/>
      <c r="BU4" s="528"/>
      <c r="BV4" s="543"/>
      <c r="BW4" s="544"/>
      <c r="BX4" s="545"/>
      <c r="BY4" s="546"/>
      <c r="BZ4" s="546"/>
      <c r="CA4" s="547"/>
      <c r="CB4" s="548"/>
      <c r="CC4" s="528"/>
      <c r="CD4" s="543"/>
      <c r="CE4" s="544"/>
      <c r="CF4" s="545"/>
      <c r="CG4" s="546"/>
      <c r="CH4" s="546"/>
      <c r="CI4" s="547"/>
      <c r="CJ4" s="548"/>
      <c r="CK4" s="528"/>
      <c r="CL4" s="121"/>
      <c r="CM4" s="122"/>
      <c r="CN4" s="123"/>
      <c r="CO4" s="124"/>
      <c r="CP4" s="124"/>
      <c r="CQ4" s="125"/>
      <c r="CR4" s="126"/>
      <c r="CS4" s="528"/>
      <c r="CT4" s="121"/>
      <c r="CU4" s="122"/>
      <c r="CV4" s="123"/>
      <c r="CW4" s="124"/>
      <c r="CX4" s="124"/>
      <c r="CY4" s="125"/>
      <c r="CZ4" s="126"/>
      <c r="DA4" s="528"/>
      <c r="DB4" s="121"/>
      <c r="DC4" s="122"/>
      <c r="DD4" s="123"/>
      <c r="DE4" s="124"/>
      <c r="DF4" s="124"/>
      <c r="DG4" s="125"/>
      <c r="DH4" s="126"/>
      <c r="DI4" s="528"/>
      <c r="DJ4" s="121"/>
      <c r="DK4" s="122"/>
      <c r="DL4" s="123"/>
      <c r="DM4" s="124"/>
      <c r="DN4" s="124"/>
      <c r="DO4" s="125"/>
      <c r="DP4" s="126"/>
      <c r="DQ4" s="528"/>
      <c r="DR4" s="121"/>
      <c r="DS4" s="122"/>
      <c r="DT4" s="123"/>
      <c r="DU4" s="124"/>
      <c r="DV4" s="124"/>
      <c r="DW4" s="125"/>
      <c r="DX4" s="126"/>
      <c r="DY4" s="528"/>
      <c r="DZ4" s="121"/>
      <c r="EA4" s="122"/>
      <c r="EB4" s="123"/>
      <c r="EC4" s="124"/>
      <c r="ED4" s="124"/>
      <c r="EE4" s="125"/>
      <c r="EF4" s="126"/>
      <c r="EG4" s="528"/>
      <c r="EH4" s="121"/>
      <c r="EI4" s="122"/>
      <c r="EJ4" s="123"/>
      <c r="EK4" s="124"/>
      <c r="EL4" s="124"/>
      <c r="EM4" s="125"/>
      <c r="EN4" s="126"/>
      <c r="EO4" s="528"/>
      <c r="EP4" s="121"/>
      <c r="EQ4" s="122"/>
      <c r="ER4" s="123"/>
      <c r="ES4" s="124"/>
      <c r="ET4" s="124"/>
      <c r="EU4" s="125"/>
      <c r="EV4" s="126"/>
      <c r="EW4" s="528"/>
      <c r="EX4" s="121"/>
      <c r="EY4" s="122"/>
      <c r="EZ4" s="123"/>
      <c r="FA4" s="124"/>
      <c r="FB4" s="124"/>
      <c r="FC4" s="125"/>
      <c r="FD4" s="126"/>
      <c r="FE4" s="528"/>
      <c r="FF4" s="121"/>
      <c r="FG4" s="122"/>
      <c r="FH4" s="123"/>
      <c r="FI4" s="124"/>
      <c r="FJ4" s="124"/>
      <c r="FK4" s="125"/>
      <c r="FL4" s="126"/>
      <c r="FM4" s="528"/>
      <c r="FN4" s="121"/>
      <c r="FO4" s="122"/>
      <c r="FP4" s="123"/>
      <c r="FQ4" s="124"/>
      <c r="FR4" s="124"/>
      <c r="FS4" s="125"/>
      <c r="FT4" s="126"/>
      <c r="FU4" s="528"/>
      <c r="FV4" s="121"/>
      <c r="FW4" s="122"/>
      <c r="FX4" s="123"/>
      <c r="FY4" s="124"/>
      <c r="FZ4" s="124"/>
      <c r="GA4" s="125"/>
      <c r="GB4" s="126"/>
      <c r="GC4" s="528"/>
      <c r="GD4" s="121"/>
      <c r="GE4" s="122"/>
      <c r="GF4" s="123"/>
      <c r="GG4" s="124"/>
      <c r="GH4" s="124"/>
      <c r="GI4" s="125"/>
      <c r="GJ4" s="126"/>
      <c r="GK4" s="528"/>
      <c r="GL4" s="121"/>
      <c r="GM4" s="122"/>
      <c r="GN4" s="123"/>
      <c r="GO4" s="124"/>
      <c r="GP4" s="124"/>
      <c r="GQ4" s="125"/>
      <c r="GR4" s="126"/>
      <c r="GS4" s="528"/>
      <c r="GT4" s="121"/>
      <c r="GU4" s="122"/>
      <c r="GV4" s="123"/>
      <c r="GW4" s="124"/>
      <c r="GX4" s="124"/>
      <c r="GY4" s="125"/>
      <c r="GZ4" s="126"/>
      <c r="HA4" s="528"/>
      <c r="HB4" s="121"/>
      <c r="HC4" s="122"/>
      <c r="HD4" s="123"/>
      <c r="HE4" s="124"/>
      <c r="HF4" s="124"/>
      <c r="HG4" s="125"/>
      <c r="HH4" s="126"/>
      <c r="HI4" s="528"/>
      <c r="HJ4" s="121"/>
      <c r="HK4" s="122"/>
      <c r="HL4" s="123"/>
      <c r="HM4" s="124"/>
      <c r="HN4" s="124"/>
      <c r="HO4" s="125"/>
      <c r="HP4" s="126"/>
      <c r="HQ4" s="528"/>
      <c r="HR4" s="121"/>
      <c r="HS4" s="122"/>
      <c r="HT4" s="123"/>
      <c r="HU4" s="124"/>
      <c r="HV4" s="124"/>
      <c r="HW4" s="125"/>
      <c r="HX4" s="126"/>
      <c r="HY4" s="528"/>
      <c r="HZ4" s="121"/>
      <c r="IA4" s="122"/>
      <c r="IB4" s="123"/>
      <c r="IC4" s="124"/>
      <c r="ID4" s="124"/>
      <c r="IE4" s="125"/>
      <c r="IF4" s="126"/>
      <c r="IG4" s="528"/>
      <c r="IH4" s="121"/>
      <c r="II4" s="122"/>
      <c r="IJ4" s="123"/>
      <c r="IK4" s="124"/>
      <c r="IL4" s="124"/>
      <c r="IM4" s="125"/>
      <c r="IN4" s="126"/>
      <c r="IO4" s="528"/>
      <c r="IP4" s="121"/>
      <c r="IQ4" s="122"/>
      <c r="IR4" s="123"/>
      <c r="IS4" s="124"/>
      <c r="IT4" s="124"/>
      <c r="IU4" s="125"/>
      <c r="IV4" s="126"/>
      <c r="IW4" s="528"/>
      <c r="IX4" s="121"/>
      <c r="IY4" s="122"/>
      <c r="IZ4" s="123"/>
      <c r="JA4" s="124"/>
      <c r="JB4" s="124"/>
      <c r="JC4" s="125"/>
      <c r="JD4" s="126"/>
      <c r="JE4" s="528"/>
      <c r="JF4" s="121"/>
      <c r="JG4" s="122"/>
      <c r="JH4" s="123"/>
      <c r="JI4" s="124"/>
      <c r="JJ4" s="124"/>
      <c r="JK4" s="125"/>
      <c r="JL4" s="126"/>
      <c r="JM4" s="528"/>
      <c r="JN4" s="121"/>
      <c r="JO4" s="122"/>
      <c r="JP4" s="123"/>
      <c r="JQ4" s="124"/>
      <c r="JR4" s="124"/>
      <c r="JS4" s="125"/>
      <c r="JT4" s="126"/>
      <c r="JU4" s="528"/>
      <c r="JV4" s="121"/>
      <c r="JW4" s="122"/>
      <c r="JX4" s="123"/>
      <c r="JY4" s="124"/>
      <c r="JZ4" s="124"/>
      <c r="KA4" s="125"/>
      <c r="KB4" s="126"/>
      <c r="KC4" s="528"/>
      <c r="KD4" s="121"/>
      <c r="KE4" s="122"/>
      <c r="KF4" s="123"/>
      <c r="KG4" s="124"/>
      <c r="KH4" s="124"/>
      <c r="KI4" s="125"/>
      <c r="KJ4" s="126"/>
      <c r="KK4" s="528"/>
      <c r="KL4" s="121"/>
      <c r="KM4" s="122"/>
      <c r="KN4" s="123"/>
      <c r="KO4" s="124"/>
      <c r="KP4" s="124"/>
      <c r="KQ4" s="125"/>
      <c r="KR4" s="126"/>
      <c r="KS4" s="528"/>
      <c r="KT4" s="121"/>
      <c r="KU4" s="122"/>
      <c r="KV4" s="123"/>
      <c r="KW4" s="124"/>
      <c r="KX4" s="124"/>
      <c r="KY4" s="125"/>
      <c r="KZ4" s="126"/>
      <c r="LA4" s="528"/>
      <c r="LB4" s="121"/>
      <c r="LC4" s="122"/>
      <c r="LD4" s="123"/>
      <c r="LE4" s="124"/>
      <c r="LF4" s="124"/>
      <c r="LG4" s="125"/>
      <c r="LH4" s="126"/>
      <c r="LI4" s="528"/>
      <c r="LJ4" s="121"/>
      <c r="LK4" s="122"/>
      <c r="LL4" s="123"/>
      <c r="LM4" s="124"/>
      <c r="LN4" s="124"/>
      <c r="LO4" s="125"/>
      <c r="LP4" s="126"/>
      <c r="LQ4" s="528"/>
      <c r="LR4" s="121"/>
      <c r="LS4" s="122"/>
      <c r="LT4" s="123"/>
      <c r="LU4" s="124"/>
      <c r="LV4" s="124"/>
      <c r="LW4" s="125"/>
      <c r="LX4" s="126"/>
      <c r="LY4" s="528"/>
      <c r="LZ4" s="121"/>
      <c r="MA4" s="122"/>
      <c r="MB4" s="123"/>
      <c r="MC4" s="124"/>
      <c r="MD4" s="124"/>
      <c r="ME4" s="125"/>
      <c r="MF4" s="126"/>
      <c r="MG4" s="528"/>
      <c r="MH4" s="121"/>
      <c r="MI4" s="122"/>
      <c r="MJ4" s="123"/>
      <c r="MK4" s="124"/>
      <c r="ML4" s="124"/>
      <c r="MM4" s="125"/>
      <c r="MN4" s="126"/>
      <c r="MO4" s="528"/>
      <c r="MP4" s="121"/>
      <c r="MQ4" s="122"/>
      <c r="MR4" s="123"/>
      <c r="MS4" s="124"/>
      <c r="MT4" s="124"/>
      <c r="MU4" s="125"/>
      <c r="MV4" s="126"/>
      <c r="MW4" s="528"/>
      <c r="MX4" s="121"/>
      <c r="MY4" s="122"/>
      <c r="MZ4" s="123"/>
      <c r="NA4" s="124"/>
      <c r="NB4" s="124"/>
      <c r="NC4" s="125"/>
      <c r="ND4" s="126"/>
      <c r="NE4" s="528"/>
      <c r="NF4" s="121"/>
      <c r="NG4" s="122"/>
      <c r="NH4" s="123"/>
      <c r="NI4" s="124"/>
      <c r="NJ4" s="124"/>
      <c r="NK4" s="125"/>
      <c r="NL4" s="126"/>
      <c r="NM4" s="528"/>
      <c r="NN4" s="121"/>
      <c r="NO4" s="122"/>
      <c r="NP4" s="123"/>
      <c r="NQ4" s="124"/>
      <c r="NR4" s="124"/>
      <c r="NS4" s="125"/>
      <c r="NT4" s="126"/>
      <c r="NU4" s="528"/>
      <c r="NV4" s="121"/>
      <c r="NW4" s="122"/>
      <c r="NX4" s="123"/>
      <c r="NY4" s="124"/>
      <c r="NZ4" s="124"/>
      <c r="OA4" s="125"/>
      <c r="OB4" s="126"/>
      <c r="OC4" s="528"/>
      <c r="OD4" s="121"/>
      <c r="OE4" s="122"/>
      <c r="OF4" s="123"/>
      <c r="OG4" s="124"/>
      <c r="OH4" s="124"/>
      <c r="OI4" s="125"/>
      <c r="OJ4" s="126"/>
      <c r="OK4" s="528"/>
      <c r="OL4" s="121"/>
      <c r="OM4" s="122"/>
      <c r="ON4" s="123"/>
      <c r="OO4" s="124"/>
      <c r="OP4" s="124"/>
      <c r="OQ4" s="125"/>
      <c r="OR4" s="126"/>
      <c r="OS4" s="528"/>
      <c r="OT4" s="121"/>
      <c r="OU4" s="122"/>
      <c r="OV4" s="123"/>
      <c r="OW4" s="124"/>
      <c r="OX4" s="124"/>
      <c r="OY4" s="125"/>
      <c r="OZ4" s="126"/>
      <c r="PA4" s="528"/>
      <c r="PB4" s="121"/>
      <c r="PC4" s="122"/>
      <c r="PD4" s="123"/>
      <c r="PE4" s="124"/>
      <c r="PF4" s="124"/>
      <c r="PG4" s="125"/>
      <c r="PH4" s="126"/>
      <c r="PI4" s="528"/>
      <c r="PJ4" s="121"/>
      <c r="PK4" s="122"/>
      <c r="PL4" s="123"/>
      <c r="PM4" s="124"/>
      <c r="PN4" s="124"/>
      <c r="PO4" s="125"/>
      <c r="PP4" s="126"/>
      <c r="PQ4" s="528"/>
      <c r="PR4" s="121"/>
      <c r="PS4" s="122"/>
      <c r="PT4" s="123"/>
      <c r="PU4" s="124"/>
      <c r="PV4" s="124"/>
      <c r="PW4" s="125"/>
      <c r="PX4" s="126"/>
      <c r="PY4" s="528"/>
      <c r="PZ4" s="121"/>
      <c r="QA4" s="122"/>
      <c r="QB4" s="123"/>
      <c r="QC4" s="124"/>
      <c r="QD4" s="124"/>
      <c r="QE4" s="125"/>
      <c r="QF4" s="126"/>
      <c r="QG4" s="528"/>
      <c r="QH4" s="121"/>
      <c r="QI4" s="122"/>
      <c r="QJ4" s="123"/>
      <c r="QK4" s="124"/>
      <c r="QL4" s="124"/>
      <c r="QM4" s="125"/>
      <c r="QN4" s="126"/>
      <c r="QO4" s="528"/>
      <c r="QP4" s="121"/>
      <c r="QQ4" s="122"/>
      <c r="QR4" s="123"/>
      <c r="QS4" s="124"/>
      <c r="QT4" s="124"/>
      <c r="QU4" s="125"/>
      <c r="QV4" s="126"/>
      <c r="QW4" s="528"/>
      <c r="QX4" s="121"/>
      <c r="QY4" s="122"/>
      <c r="QZ4" s="123"/>
      <c r="RA4" s="124"/>
      <c r="RB4" s="124"/>
      <c r="RC4" s="125"/>
      <c r="RD4" s="126"/>
      <c r="RE4" s="528"/>
      <c r="RF4" s="121"/>
      <c r="RG4" s="122"/>
      <c r="RH4" s="123"/>
      <c r="RI4" s="124"/>
      <c r="RJ4" s="124"/>
      <c r="RK4" s="125"/>
      <c r="RL4" s="126"/>
      <c r="RM4" s="528"/>
      <c r="RN4" s="121"/>
      <c r="RO4" s="122"/>
      <c r="RP4" s="123"/>
      <c r="RQ4" s="124"/>
      <c r="RR4" s="124"/>
      <c r="RS4" s="125"/>
      <c r="RT4" s="126"/>
      <c r="RU4" s="528"/>
      <c r="RV4" s="121"/>
      <c r="RW4" s="122"/>
      <c r="RX4" s="123"/>
      <c r="RY4" s="124"/>
      <c r="RZ4" s="124"/>
      <c r="SA4" s="125"/>
      <c r="SB4" s="126"/>
      <c r="SC4" s="528"/>
      <c r="SD4" s="121"/>
      <c r="SE4" s="122"/>
      <c r="SF4" s="123"/>
      <c r="SG4" s="124"/>
      <c r="SH4" s="124"/>
      <c r="SI4" s="125"/>
      <c r="SJ4" s="126"/>
      <c r="SK4" s="528"/>
      <c r="SL4" s="121"/>
      <c r="SM4" s="122"/>
      <c r="SN4" s="123"/>
      <c r="SO4" s="124"/>
      <c r="SP4" s="124"/>
      <c r="SQ4" s="125"/>
      <c r="SR4" s="126"/>
      <c r="SS4" s="528"/>
      <c r="ST4" s="121"/>
      <c r="SU4" s="122"/>
      <c r="SV4" s="123"/>
      <c r="SW4" s="124"/>
      <c r="SX4" s="124"/>
      <c r="SY4" s="125"/>
      <c r="SZ4" s="126"/>
      <c r="TA4" s="528"/>
      <c r="TB4" s="121"/>
      <c r="TC4" s="122"/>
      <c r="TD4" s="123"/>
      <c r="TE4" s="124"/>
      <c r="TF4" s="124"/>
      <c r="TG4" s="125"/>
      <c r="TH4" s="126"/>
      <c r="TI4" s="528"/>
    </row>
    <row r="5" spans="2:529">
      <c r="B5" s="127" t="s">
        <v>56</v>
      </c>
      <c r="C5" s="128" t="s">
        <v>57</v>
      </c>
      <c r="D5" s="128" t="s">
        <v>58</v>
      </c>
      <c r="E5" s="128" t="s">
        <v>59</v>
      </c>
      <c r="F5" s="128" t="s">
        <v>60</v>
      </c>
      <c r="G5" s="129" t="s">
        <v>61</v>
      </c>
      <c r="H5" s="130" t="s">
        <v>62</v>
      </c>
      <c r="I5" s="528"/>
      <c r="J5" s="127" t="s">
        <v>56</v>
      </c>
      <c r="K5" s="128" t="s">
        <v>57</v>
      </c>
      <c r="L5" s="128" t="s">
        <v>58</v>
      </c>
      <c r="M5" s="128" t="s">
        <v>59</v>
      </c>
      <c r="N5" s="128" t="s">
        <v>60</v>
      </c>
      <c r="O5" s="129" t="s">
        <v>61</v>
      </c>
      <c r="P5" s="130" t="s">
        <v>62</v>
      </c>
      <c r="Q5" s="528"/>
      <c r="R5" s="127" t="s">
        <v>56</v>
      </c>
      <c r="S5" s="128" t="s">
        <v>57</v>
      </c>
      <c r="T5" s="128" t="s">
        <v>58</v>
      </c>
      <c r="U5" s="128" t="s">
        <v>59</v>
      </c>
      <c r="V5" s="128" t="s">
        <v>60</v>
      </c>
      <c r="W5" s="129" t="s">
        <v>61</v>
      </c>
      <c r="X5" s="130" t="s">
        <v>62</v>
      </c>
      <c r="Y5" s="528"/>
      <c r="Z5" s="127" t="s">
        <v>56</v>
      </c>
      <c r="AA5" s="128" t="s">
        <v>57</v>
      </c>
      <c r="AB5" s="128" t="s">
        <v>58</v>
      </c>
      <c r="AC5" s="128" t="s">
        <v>59</v>
      </c>
      <c r="AD5" s="128" t="s">
        <v>60</v>
      </c>
      <c r="AE5" s="129" t="s">
        <v>61</v>
      </c>
      <c r="AF5" s="130" t="s">
        <v>62</v>
      </c>
      <c r="AG5" s="528"/>
      <c r="AH5" s="127" t="s">
        <v>56</v>
      </c>
      <c r="AI5" s="128" t="s">
        <v>57</v>
      </c>
      <c r="AJ5" s="128" t="s">
        <v>58</v>
      </c>
      <c r="AK5" s="128" t="s">
        <v>59</v>
      </c>
      <c r="AL5" s="128" t="s">
        <v>60</v>
      </c>
      <c r="AM5" s="129" t="s">
        <v>61</v>
      </c>
      <c r="AN5" s="130" t="s">
        <v>62</v>
      </c>
      <c r="AO5" s="528"/>
      <c r="AP5" s="127" t="s">
        <v>56</v>
      </c>
      <c r="AQ5" s="128" t="s">
        <v>57</v>
      </c>
      <c r="AR5" s="128" t="s">
        <v>58</v>
      </c>
      <c r="AS5" s="128" t="s">
        <v>59</v>
      </c>
      <c r="AT5" s="128" t="s">
        <v>60</v>
      </c>
      <c r="AU5" s="129" t="s">
        <v>61</v>
      </c>
      <c r="AV5" s="130" t="s">
        <v>62</v>
      </c>
      <c r="AW5" s="528"/>
      <c r="AX5" s="127" t="s">
        <v>56</v>
      </c>
      <c r="AY5" s="128" t="s">
        <v>57</v>
      </c>
      <c r="AZ5" s="128" t="s">
        <v>58</v>
      </c>
      <c r="BA5" s="128" t="s">
        <v>59</v>
      </c>
      <c r="BB5" s="128" t="s">
        <v>60</v>
      </c>
      <c r="BC5" s="129" t="s">
        <v>61</v>
      </c>
      <c r="BD5" s="130" t="s">
        <v>62</v>
      </c>
      <c r="BE5" s="528"/>
      <c r="BF5" s="127" t="s">
        <v>56</v>
      </c>
      <c r="BG5" s="128" t="s">
        <v>57</v>
      </c>
      <c r="BH5" s="128" t="s">
        <v>58</v>
      </c>
      <c r="BI5" s="128" t="s">
        <v>59</v>
      </c>
      <c r="BJ5" s="128" t="s">
        <v>60</v>
      </c>
      <c r="BK5" s="129" t="s">
        <v>61</v>
      </c>
      <c r="BL5" s="130" t="s">
        <v>62</v>
      </c>
      <c r="BM5" s="528"/>
      <c r="BN5" s="127" t="s">
        <v>56</v>
      </c>
      <c r="BO5" s="128" t="s">
        <v>57</v>
      </c>
      <c r="BP5" s="128" t="s">
        <v>58</v>
      </c>
      <c r="BQ5" s="128" t="s">
        <v>59</v>
      </c>
      <c r="BR5" s="128" t="s">
        <v>60</v>
      </c>
      <c r="BS5" s="129" t="s">
        <v>61</v>
      </c>
      <c r="BT5" s="130" t="s">
        <v>62</v>
      </c>
      <c r="BU5" s="528"/>
      <c r="BV5" s="549" t="s">
        <v>56</v>
      </c>
      <c r="BW5" s="550" t="s">
        <v>57</v>
      </c>
      <c r="BX5" s="550" t="s">
        <v>58</v>
      </c>
      <c r="BY5" s="550" t="s">
        <v>59</v>
      </c>
      <c r="BZ5" s="550" t="s">
        <v>60</v>
      </c>
      <c r="CA5" s="551" t="s">
        <v>61</v>
      </c>
      <c r="CB5" s="552" t="s">
        <v>62</v>
      </c>
      <c r="CC5" s="528"/>
      <c r="CD5" s="549" t="s">
        <v>56</v>
      </c>
      <c r="CE5" s="550" t="s">
        <v>57</v>
      </c>
      <c r="CF5" s="550" t="s">
        <v>58</v>
      </c>
      <c r="CG5" s="550" t="s">
        <v>59</v>
      </c>
      <c r="CH5" s="550" t="s">
        <v>60</v>
      </c>
      <c r="CI5" s="551" t="s">
        <v>61</v>
      </c>
      <c r="CJ5" s="552" t="s">
        <v>62</v>
      </c>
      <c r="CK5" s="528"/>
      <c r="CL5" s="127" t="s">
        <v>56</v>
      </c>
      <c r="CM5" s="128" t="s">
        <v>57</v>
      </c>
      <c r="CN5" s="128" t="s">
        <v>58</v>
      </c>
      <c r="CO5" s="128" t="s">
        <v>59</v>
      </c>
      <c r="CP5" s="128" t="s">
        <v>60</v>
      </c>
      <c r="CQ5" s="129" t="s">
        <v>61</v>
      </c>
      <c r="CR5" s="130" t="s">
        <v>62</v>
      </c>
      <c r="CS5" s="528"/>
      <c r="CT5" s="127" t="s">
        <v>56</v>
      </c>
      <c r="CU5" s="128" t="s">
        <v>57</v>
      </c>
      <c r="CV5" s="128" t="s">
        <v>58</v>
      </c>
      <c r="CW5" s="128" t="s">
        <v>59</v>
      </c>
      <c r="CX5" s="128" t="s">
        <v>60</v>
      </c>
      <c r="CY5" s="129" t="s">
        <v>61</v>
      </c>
      <c r="CZ5" s="130" t="s">
        <v>62</v>
      </c>
      <c r="DA5" s="528"/>
      <c r="DB5" s="127" t="s">
        <v>56</v>
      </c>
      <c r="DC5" s="128" t="s">
        <v>57</v>
      </c>
      <c r="DD5" s="128" t="s">
        <v>58</v>
      </c>
      <c r="DE5" s="128" t="s">
        <v>59</v>
      </c>
      <c r="DF5" s="128" t="s">
        <v>60</v>
      </c>
      <c r="DG5" s="129" t="s">
        <v>61</v>
      </c>
      <c r="DH5" s="130" t="s">
        <v>62</v>
      </c>
      <c r="DI5" s="528"/>
      <c r="DJ5" s="127" t="s">
        <v>56</v>
      </c>
      <c r="DK5" s="128" t="s">
        <v>57</v>
      </c>
      <c r="DL5" s="128" t="s">
        <v>58</v>
      </c>
      <c r="DM5" s="128" t="s">
        <v>59</v>
      </c>
      <c r="DN5" s="128" t="s">
        <v>60</v>
      </c>
      <c r="DO5" s="129" t="s">
        <v>61</v>
      </c>
      <c r="DP5" s="130" t="s">
        <v>62</v>
      </c>
      <c r="DQ5" s="528"/>
      <c r="DR5" s="127" t="s">
        <v>56</v>
      </c>
      <c r="DS5" s="128" t="s">
        <v>57</v>
      </c>
      <c r="DT5" s="128" t="s">
        <v>58</v>
      </c>
      <c r="DU5" s="128" t="s">
        <v>59</v>
      </c>
      <c r="DV5" s="128" t="s">
        <v>60</v>
      </c>
      <c r="DW5" s="129" t="s">
        <v>61</v>
      </c>
      <c r="DX5" s="130" t="s">
        <v>62</v>
      </c>
      <c r="DY5" s="528"/>
      <c r="DZ5" s="127" t="s">
        <v>56</v>
      </c>
      <c r="EA5" s="128" t="s">
        <v>57</v>
      </c>
      <c r="EB5" s="128" t="s">
        <v>58</v>
      </c>
      <c r="EC5" s="128" t="s">
        <v>59</v>
      </c>
      <c r="ED5" s="128" t="s">
        <v>60</v>
      </c>
      <c r="EE5" s="129" t="s">
        <v>61</v>
      </c>
      <c r="EF5" s="130" t="s">
        <v>62</v>
      </c>
      <c r="EG5" s="528"/>
      <c r="EH5" s="127" t="s">
        <v>56</v>
      </c>
      <c r="EI5" s="128" t="s">
        <v>57</v>
      </c>
      <c r="EJ5" s="128" t="s">
        <v>58</v>
      </c>
      <c r="EK5" s="128" t="s">
        <v>59</v>
      </c>
      <c r="EL5" s="128" t="s">
        <v>60</v>
      </c>
      <c r="EM5" s="129" t="s">
        <v>61</v>
      </c>
      <c r="EN5" s="130" t="s">
        <v>62</v>
      </c>
      <c r="EO5" s="528"/>
      <c r="EP5" s="127" t="s">
        <v>56</v>
      </c>
      <c r="EQ5" s="128" t="s">
        <v>57</v>
      </c>
      <c r="ER5" s="128" t="s">
        <v>58</v>
      </c>
      <c r="ES5" s="128" t="s">
        <v>59</v>
      </c>
      <c r="ET5" s="128" t="s">
        <v>60</v>
      </c>
      <c r="EU5" s="129" t="s">
        <v>61</v>
      </c>
      <c r="EV5" s="130" t="s">
        <v>62</v>
      </c>
      <c r="EW5" s="528"/>
      <c r="EX5" s="127" t="s">
        <v>56</v>
      </c>
      <c r="EY5" s="128" t="s">
        <v>57</v>
      </c>
      <c r="EZ5" s="128" t="s">
        <v>58</v>
      </c>
      <c r="FA5" s="128" t="s">
        <v>59</v>
      </c>
      <c r="FB5" s="128" t="s">
        <v>60</v>
      </c>
      <c r="FC5" s="129" t="s">
        <v>61</v>
      </c>
      <c r="FD5" s="130" t="s">
        <v>62</v>
      </c>
      <c r="FE5" s="528"/>
      <c r="FF5" s="127" t="s">
        <v>56</v>
      </c>
      <c r="FG5" s="128" t="s">
        <v>57</v>
      </c>
      <c r="FH5" s="128" t="s">
        <v>58</v>
      </c>
      <c r="FI5" s="128" t="s">
        <v>59</v>
      </c>
      <c r="FJ5" s="128" t="s">
        <v>60</v>
      </c>
      <c r="FK5" s="129" t="s">
        <v>61</v>
      </c>
      <c r="FL5" s="130" t="s">
        <v>62</v>
      </c>
      <c r="FM5" s="528"/>
      <c r="FN5" s="127" t="s">
        <v>56</v>
      </c>
      <c r="FO5" s="128" t="s">
        <v>57</v>
      </c>
      <c r="FP5" s="128" t="s">
        <v>58</v>
      </c>
      <c r="FQ5" s="128" t="s">
        <v>59</v>
      </c>
      <c r="FR5" s="128" t="s">
        <v>60</v>
      </c>
      <c r="FS5" s="129" t="s">
        <v>61</v>
      </c>
      <c r="FT5" s="130" t="s">
        <v>62</v>
      </c>
      <c r="FU5" s="528"/>
      <c r="FV5" s="127" t="s">
        <v>56</v>
      </c>
      <c r="FW5" s="128" t="s">
        <v>57</v>
      </c>
      <c r="FX5" s="128" t="s">
        <v>58</v>
      </c>
      <c r="FY5" s="128" t="s">
        <v>59</v>
      </c>
      <c r="FZ5" s="128" t="s">
        <v>60</v>
      </c>
      <c r="GA5" s="129" t="s">
        <v>61</v>
      </c>
      <c r="GB5" s="130" t="s">
        <v>62</v>
      </c>
      <c r="GC5" s="528"/>
      <c r="GD5" s="127" t="s">
        <v>56</v>
      </c>
      <c r="GE5" s="128" t="s">
        <v>57</v>
      </c>
      <c r="GF5" s="128" t="s">
        <v>58</v>
      </c>
      <c r="GG5" s="128" t="s">
        <v>59</v>
      </c>
      <c r="GH5" s="128" t="s">
        <v>60</v>
      </c>
      <c r="GI5" s="129" t="s">
        <v>61</v>
      </c>
      <c r="GJ5" s="130" t="s">
        <v>62</v>
      </c>
      <c r="GK5" s="528"/>
      <c r="GL5" s="127" t="s">
        <v>56</v>
      </c>
      <c r="GM5" s="128" t="s">
        <v>57</v>
      </c>
      <c r="GN5" s="128" t="s">
        <v>58</v>
      </c>
      <c r="GO5" s="128" t="s">
        <v>59</v>
      </c>
      <c r="GP5" s="128" t="s">
        <v>60</v>
      </c>
      <c r="GQ5" s="129" t="s">
        <v>61</v>
      </c>
      <c r="GR5" s="130" t="s">
        <v>62</v>
      </c>
      <c r="GS5" s="528"/>
      <c r="GT5" s="127" t="s">
        <v>56</v>
      </c>
      <c r="GU5" s="128" t="s">
        <v>57</v>
      </c>
      <c r="GV5" s="128" t="s">
        <v>58</v>
      </c>
      <c r="GW5" s="128" t="s">
        <v>59</v>
      </c>
      <c r="GX5" s="128" t="s">
        <v>60</v>
      </c>
      <c r="GY5" s="129" t="s">
        <v>61</v>
      </c>
      <c r="GZ5" s="130" t="s">
        <v>62</v>
      </c>
      <c r="HA5" s="528"/>
      <c r="HB5" s="127" t="s">
        <v>56</v>
      </c>
      <c r="HC5" s="128" t="s">
        <v>57</v>
      </c>
      <c r="HD5" s="128" t="s">
        <v>58</v>
      </c>
      <c r="HE5" s="128" t="s">
        <v>59</v>
      </c>
      <c r="HF5" s="128" t="s">
        <v>60</v>
      </c>
      <c r="HG5" s="129" t="s">
        <v>61</v>
      </c>
      <c r="HH5" s="130" t="s">
        <v>62</v>
      </c>
      <c r="HI5" s="528"/>
      <c r="HJ5" s="127" t="s">
        <v>56</v>
      </c>
      <c r="HK5" s="128" t="s">
        <v>57</v>
      </c>
      <c r="HL5" s="128" t="s">
        <v>58</v>
      </c>
      <c r="HM5" s="128" t="s">
        <v>59</v>
      </c>
      <c r="HN5" s="128" t="s">
        <v>60</v>
      </c>
      <c r="HO5" s="129" t="s">
        <v>61</v>
      </c>
      <c r="HP5" s="130" t="s">
        <v>62</v>
      </c>
      <c r="HQ5" s="528"/>
      <c r="HR5" s="127" t="s">
        <v>56</v>
      </c>
      <c r="HS5" s="128" t="s">
        <v>57</v>
      </c>
      <c r="HT5" s="128" t="s">
        <v>58</v>
      </c>
      <c r="HU5" s="128" t="s">
        <v>59</v>
      </c>
      <c r="HV5" s="128" t="s">
        <v>60</v>
      </c>
      <c r="HW5" s="129" t="s">
        <v>61</v>
      </c>
      <c r="HX5" s="130" t="s">
        <v>62</v>
      </c>
      <c r="HY5" s="528"/>
      <c r="HZ5" s="127" t="s">
        <v>56</v>
      </c>
      <c r="IA5" s="128" t="s">
        <v>57</v>
      </c>
      <c r="IB5" s="128" t="s">
        <v>58</v>
      </c>
      <c r="IC5" s="128" t="s">
        <v>59</v>
      </c>
      <c r="ID5" s="128" t="s">
        <v>60</v>
      </c>
      <c r="IE5" s="129" t="s">
        <v>61</v>
      </c>
      <c r="IF5" s="130" t="s">
        <v>62</v>
      </c>
      <c r="IG5" s="528"/>
      <c r="IH5" s="127" t="s">
        <v>56</v>
      </c>
      <c r="II5" s="128" t="s">
        <v>57</v>
      </c>
      <c r="IJ5" s="128" t="s">
        <v>66</v>
      </c>
      <c r="IK5" s="128" t="s">
        <v>59</v>
      </c>
      <c r="IL5" s="128" t="s">
        <v>60</v>
      </c>
      <c r="IM5" s="129" t="s">
        <v>61</v>
      </c>
      <c r="IN5" s="130" t="s">
        <v>62</v>
      </c>
      <c r="IO5" s="528"/>
      <c r="IP5" s="127" t="s">
        <v>56</v>
      </c>
      <c r="IQ5" s="128" t="s">
        <v>57</v>
      </c>
      <c r="IR5" s="128" t="s">
        <v>66</v>
      </c>
      <c r="IS5" s="128" t="s">
        <v>59</v>
      </c>
      <c r="IT5" s="128" t="s">
        <v>60</v>
      </c>
      <c r="IU5" s="129" t="s">
        <v>61</v>
      </c>
      <c r="IV5" s="130" t="s">
        <v>62</v>
      </c>
      <c r="IW5" s="528"/>
      <c r="IX5" s="127" t="s">
        <v>56</v>
      </c>
      <c r="IY5" s="128" t="s">
        <v>57</v>
      </c>
      <c r="IZ5" s="128" t="s">
        <v>66</v>
      </c>
      <c r="JA5" s="128" t="s">
        <v>59</v>
      </c>
      <c r="JB5" s="128" t="s">
        <v>60</v>
      </c>
      <c r="JC5" s="129" t="s">
        <v>61</v>
      </c>
      <c r="JD5" s="130" t="s">
        <v>62</v>
      </c>
      <c r="JE5" s="528"/>
      <c r="JF5" s="127" t="s">
        <v>56</v>
      </c>
      <c r="JG5" s="128" t="s">
        <v>57</v>
      </c>
      <c r="JH5" s="128" t="s">
        <v>66</v>
      </c>
      <c r="JI5" s="128" t="s">
        <v>59</v>
      </c>
      <c r="JJ5" s="128" t="s">
        <v>60</v>
      </c>
      <c r="JK5" s="129" t="s">
        <v>61</v>
      </c>
      <c r="JL5" s="130" t="s">
        <v>62</v>
      </c>
      <c r="JM5" s="528"/>
      <c r="JN5" s="127" t="s">
        <v>56</v>
      </c>
      <c r="JO5" s="128" t="s">
        <v>57</v>
      </c>
      <c r="JP5" s="128" t="s">
        <v>66</v>
      </c>
      <c r="JQ5" s="128" t="s">
        <v>59</v>
      </c>
      <c r="JR5" s="128" t="s">
        <v>60</v>
      </c>
      <c r="JS5" s="129" t="s">
        <v>61</v>
      </c>
      <c r="JT5" s="130" t="s">
        <v>62</v>
      </c>
      <c r="JU5" s="528"/>
      <c r="JV5" s="127" t="s">
        <v>56</v>
      </c>
      <c r="JW5" s="128" t="s">
        <v>57</v>
      </c>
      <c r="JX5" s="128" t="s">
        <v>66</v>
      </c>
      <c r="JY5" s="128" t="s">
        <v>59</v>
      </c>
      <c r="JZ5" s="128" t="s">
        <v>60</v>
      </c>
      <c r="KA5" s="129" t="s">
        <v>61</v>
      </c>
      <c r="KB5" s="130" t="s">
        <v>62</v>
      </c>
      <c r="KC5" s="528"/>
      <c r="KD5" s="127" t="s">
        <v>56</v>
      </c>
      <c r="KE5" s="128" t="s">
        <v>57</v>
      </c>
      <c r="KF5" s="128" t="s">
        <v>66</v>
      </c>
      <c r="KG5" s="128" t="s">
        <v>59</v>
      </c>
      <c r="KH5" s="128" t="s">
        <v>60</v>
      </c>
      <c r="KI5" s="129" t="s">
        <v>61</v>
      </c>
      <c r="KJ5" s="130" t="s">
        <v>62</v>
      </c>
      <c r="KK5" s="528"/>
      <c r="KL5" s="127" t="s">
        <v>56</v>
      </c>
      <c r="KM5" s="128" t="s">
        <v>57</v>
      </c>
      <c r="KN5" s="128" t="s">
        <v>66</v>
      </c>
      <c r="KO5" s="128" t="s">
        <v>59</v>
      </c>
      <c r="KP5" s="128" t="s">
        <v>60</v>
      </c>
      <c r="KQ5" s="129" t="s">
        <v>61</v>
      </c>
      <c r="KR5" s="130" t="s">
        <v>62</v>
      </c>
      <c r="KS5" s="528"/>
      <c r="KT5" s="127" t="s">
        <v>56</v>
      </c>
      <c r="KU5" s="128" t="s">
        <v>57</v>
      </c>
      <c r="KV5" s="128" t="s">
        <v>66</v>
      </c>
      <c r="KW5" s="128" t="s">
        <v>59</v>
      </c>
      <c r="KX5" s="128" t="s">
        <v>60</v>
      </c>
      <c r="KY5" s="129" t="s">
        <v>61</v>
      </c>
      <c r="KZ5" s="130" t="s">
        <v>62</v>
      </c>
      <c r="LA5" s="528"/>
      <c r="LB5" s="127" t="s">
        <v>56</v>
      </c>
      <c r="LC5" s="128" t="s">
        <v>57</v>
      </c>
      <c r="LD5" s="128" t="s">
        <v>66</v>
      </c>
      <c r="LE5" s="128" t="s">
        <v>59</v>
      </c>
      <c r="LF5" s="128" t="s">
        <v>60</v>
      </c>
      <c r="LG5" s="129" t="s">
        <v>61</v>
      </c>
      <c r="LH5" s="130" t="s">
        <v>62</v>
      </c>
      <c r="LI5" s="528"/>
      <c r="LJ5" s="127" t="s">
        <v>56</v>
      </c>
      <c r="LK5" s="128" t="s">
        <v>57</v>
      </c>
      <c r="LL5" s="128" t="s">
        <v>66</v>
      </c>
      <c r="LM5" s="128" t="s">
        <v>59</v>
      </c>
      <c r="LN5" s="128" t="s">
        <v>60</v>
      </c>
      <c r="LO5" s="129" t="s">
        <v>61</v>
      </c>
      <c r="LP5" s="130" t="s">
        <v>62</v>
      </c>
      <c r="LQ5" s="528"/>
      <c r="LR5" s="127" t="s">
        <v>56</v>
      </c>
      <c r="LS5" s="128" t="s">
        <v>57</v>
      </c>
      <c r="LT5" s="128" t="s">
        <v>66</v>
      </c>
      <c r="LU5" s="128" t="s">
        <v>59</v>
      </c>
      <c r="LV5" s="128" t="s">
        <v>60</v>
      </c>
      <c r="LW5" s="129" t="s">
        <v>61</v>
      </c>
      <c r="LX5" s="130" t="s">
        <v>62</v>
      </c>
      <c r="LY5" s="528"/>
      <c r="LZ5" s="127" t="s">
        <v>56</v>
      </c>
      <c r="MA5" s="128" t="s">
        <v>57</v>
      </c>
      <c r="MB5" s="128" t="s">
        <v>66</v>
      </c>
      <c r="MC5" s="128" t="s">
        <v>59</v>
      </c>
      <c r="MD5" s="128" t="s">
        <v>60</v>
      </c>
      <c r="ME5" s="129" t="s">
        <v>61</v>
      </c>
      <c r="MF5" s="130" t="s">
        <v>62</v>
      </c>
      <c r="MG5" s="528"/>
      <c r="MH5" s="127" t="s">
        <v>56</v>
      </c>
      <c r="MI5" s="128" t="s">
        <v>57</v>
      </c>
      <c r="MJ5" s="128" t="s">
        <v>66</v>
      </c>
      <c r="MK5" s="128" t="s">
        <v>59</v>
      </c>
      <c r="ML5" s="128" t="s">
        <v>60</v>
      </c>
      <c r="MM5" s="129" t="s">
        <v>61</v>
      </c>
      <c r="MN5" s="130" t="s">
        <v>62</v>
      </c>
      <c r="MO5" s="528"/>
      <c r="MP5" s="127" t="s">
        <v>56</v>
      </c>
      <c r="MQ5" s="128" t="s">
        <v>57</v>
      </c>
      <c r="MR5" s="128" t="s">
        <v>66</v>
      </c>
      <c r="MS5" s="128" t="s">
        <v>59</v>
      </c>
      <c r="MT5" s="128" t="s">
        <v>60</v>
      </c>
      <c r="MU5" s="129" t="s">
        <v>61</v>
      </c>
      <c r="MV5" s="130" t="s">
        <v>62</v>
      </c>
      <c r="MW5" s="528"/>
      <c r="MX5" s="127" t="s">
        <v>56</v>
      </c>
      <c r="MY5" s="128" t="s">
        <v>57</v>
      </c>
      <c r="MZ5" s="128" t="s">
        <v>66</v>
      </c>
      <c r="NA5" s="128" t="s">
        <v>59</v>
      </c>
      <c r="NB5" s="128" t="s">
        <v>60</v>
      </c>
      <c r="NC5" s="129" t="s">
        <v>61</v>
      </c>
      <c r="ND5" s="130" t="s">
        <v>62</v>
      </c>
      <c r="NE5" s="528"/>
      <c r="NF5" s="127" t="s">
        <v>56</v>
      </c>
      <c r="NG5" s="128" t="s">
        <v>57</v>
      </c>
      <c r="NH5" s="128" t="s">
        <v>66</v>
      </c>
      <c r="NI5" s="128" t="s">
        <v>59</v>
      </c>
      <c r="NJ5" s="128" t="s">
        <v>60</v>
      </c>
      <c r="NK5" s="129" t="s">
        <v>61</v>
      </c>
      <c r="NL5" s="130" t="s">
        <v>62</v>
      </c>
      <c r="NM5" s="528"/>
      <c r="NN5" s="127" t="s">
        <v>56</v>
      </c>
      <c r="NO5" s="128" t="s">
        <v>57</v>
      </c>
      <c r="NP5" s="128" t="s">
        <v>66</v>
      </c>
      <c r="NQ5" s="128" t="s">
        <v>59</v>
      </c>
      <c r="NR5" s="128" t="s">
        <v>60</v>
      </c>
      <c r="NS5" s="129" t="s">
        <v>61</v>
      </c>
      <c r="NT5" s="130" t="s">
        <v>62</v>
      </c>
      <c r="NU5" s="528"/>
      <c r="NV5" s="127" t="s">
        <v>56</v>
      </c>
      <c r="NW5" s="128" t="s">
        <v>57</v>
      </c>
      <c r="NX5" s="128" t="s">
        <v>66</v>
      </c>
      <c r="NY5" s="128" t="s">
        <v>59</v>
      </c>
      <c r="NZ5" s="128" t="s">
        <v>60</v>
      </c>
      <c r="OA5" s="129" t="s">
        <v>61</v>
      </c>
      <c r="OB5" s="130" t="s">
        <v>62</v>
      </c>
      <c r="OC5" s="528"/>
      <c r="OD5" s="127" t="s">
        <v>56</v>
      </c>
      <c r="OE5" s="128" t="s">
        <v>57</v>
      </c>
      <c r="OF5" s="128" t="s">
        <v>66</v>
      </c>
      <c r="OG5" s="128" t="s">
        <v>59</v>
      </c>
      <c r="OH5" s="128" t="s">
        <v>60</v>
      </c>
      <c r="OI5" s="129" t="s">
        <v>61</v>
      </c>
      <c r="OJ5" s="130" t="s">
        <v>62</v>
      </c>
      <c r="OK5" s="528"/>
      <c r="OL5" s="127" t="s">
        <v>56</v>
      </c>
      <c r="OM5" s="128" t="s">
        <v>57</v>
      </c>
      <c r="ON5" s="128" t="s">
        <v>66</v>
      </c>
      <c r="OO5" s="128" t="s">
        <v>59</v>
      </c>
      <c r="OP5" s="128" t="s">
        <v>60</v>
      </c>
      <c r="OQ5" s="129" t="s">
        <v>61</v>
      </c>
      <c r="OR5" s="130" t="s">
        <v>62</v>
      </c>
      <c r="OS5" s="528"/>
      <c r="OT5" s="127" t="s">
        <v>56</v>
      </c>
      <c r="OU5" s="128" t="s">
        <v>57</v>
      </c>
      <c r="OV5" s="128" t="s">
        <v>66</v>
      </c>
      <c r="OW5" s="128" t="s">
        <v>59</v>
      </c>
      <c r="OX5" s="128" t="s">
        <v>60</v>
      </c>
      <c r="OY5" s="129" t="s">
        <v>61</v>
      </c>
      <c r="OZ5" s="130" t="s">
        <v>62</v>
      </c>
      <c r="PA5" s="528"/>
      <c r="PB5" s="127" t="s">
        <v>56</v>
      </c>
      <c r="PC5" s="128" t="s">
        <v>57</v>
      </c>
      <c r="PD5" s="128" t="s">
        <v>66</v>
      </c>
      <c r="PE5" s="128" t="s">
        <v>59</v>
      </c>
      <c r="PF5" s="128" t="s">
        <v>60</v>
      </c>
      <c r="PG5" s="129" t="s">
        <v>61</v>
      </c>
      <c r="PH5" s="130" t="s">
        <v>62</v>
      </c>
      <c r="PI5" s="528"/>
      <c r="PJ5" s="127" t="s">
        <v>56</v>
      </c>
      <c r="PK5" s="128" t="s">
        <v>57</v>
      </c>
      <c r="PL5" s="128" t="s">
        <v>66</v>
      </c>
      <c r="PM5" s="128" t="s">
        <v>59</v>
      </c>
      <c r="PN5" s="128" t="s">
        <v>60</v>
      </c>
      <c r="PO5" s="129" t="s">
        <v>61</v>
      </c>
      <c r="PP5" s="130" t="s">
        <v>62</v>
      </c>
      <c r="PQ5" s="528"/>
      <c r="PR5" s="127" t="s">
        <v>56</v>
      </c>
      <c r="PS5" s="128" t="s">
        <v>57</v>
      </c>
      <c r="PT5" s="128" t="s">
        <v>66</v>
      </c>
      <c r="PU5" s="128" t="s">
        <v>59</v>
      </c>
      <c r="PV5" s="128" t="s">
        <v>60</v>
      </c>
      <c r="PW5" s="129" t="s">
        <v>61</v>
      </c>
      <c r="PX5" s="130" t="s">
        <v>62</v>
      </c>
      <c r="PY5" s="528"/>
      <c r="PZ5" s="127" t="s">
        <v>56</v>
      </c>
      <c r="QA5" s="128" t="s">
        <v>57</v>
      </c>
      <c r="QB5" s="128" t="s">
        <v>66</v>
      </c>
      <c r="QC5" s="128" t="s">
        <v>59</v>
      </c>
      <c r="QD5" s="128" t="s">
        <v>60</v>
      </c>
      <c r="QE5" s="129" t="s">
        <v>61</v>
      </c>
      <c r="QF5" s="130" t="s">
        <v>62</v>
      </c>
      <c r="QG5" s="528"/>
      <c r="QH5" s="127" t="s">
        <v>56</v>
      </c>
      <c r="QI5" s="128" t="s">
        <v>57</v>
      </c>
      <c r="QJ5" s="128" t="s">
        <v>66</v>
      </c>
      <c r="QK5" s="128" t="s">
        <v>59</v>
      </c>
      <c r="QL5" s="128" t="s">
        <v>60</v>
      </c>
      <c r="QM5" s="129" t="s">
        <v>61</v>
      </c>
      <c r="QN5" s="130" t="s">
        <v>62</v>
      </c>
      <c r="QO5" s="528"/>
      <c r="QP5" s="127" t="s">
        <v>56</v>
      </c>
      <c r="QQ5" s="128" t="s">
        <v>57</v>
      </c>
      <c r="QR5" s="128" t="s">
        <v>66</v>
      </c>
      <c r="QS5" s="128" t="s">
        <v>59</v>
      </c>
      <c r="QT5" s="128" t="s">
        <v>60</v>
      </c>
      <c r="QU5" s="129" t="s">
        <v>61</v>
      </c>
      <c r="QV5" s="130" t="s">
        <v>62</v>
      </c>
      <c r="QW5" s="528"/>
      <c r="QX5" s="127" t="s">
        <v>56</v>
      </c>
      <c r="QY5" s="128" t="s">
        <v>57</v>
      </c>
      <c r="QZ5" s="128" t="s">
        <v>66</v>
      </c>
      <c r="RA5" s="128" t="s">
        <v>59</v>
      </c>
      <c r="RB5" s="128" t="s">
        <v>60</v>
      </c>
      <c r="RC5" s="129" t="s">
        <v>61</v>
      </c>
      <c r="RD5" s="130" t="s">
        <v>62</v>
      </c>
      <c r="RE5" s="528"/>
      <c r="RF5" s="127" t="s">
        <v>56</v>
      </c>
      <c r="RG5" s="128" t="s">
        <v>57</v>
      </c>
      <c r="RH5" s="128" t="s">
        <v>66</v>
      </c>
      <c r="RI5" s="128" t="s">
        <v>59</v>
      </c>
      <c r="RJ5" s="128" t="s">
        <v>60</v>
      </c>
      <c r="RK5" s="129" t="s">
        <v>61</v>
      </c>
      <c r="RL5" s="130" t="s">
        <v>62</v>
      </c>
      <c r="RM5" s="528"/>
      <c r="RN5" s="127" t="s">
        <v>56</v>
      </c>
      <c r="RO5" s="128" t="s">
        <v>57</v>
      </c>
      <c r="RP5" s="128" t="s">
        <v>66</v>
      </c>
      <c r="RQ5" s="128" t="s">
        <v>59</v>
      </c>
      <c r="RR5" s="128" t="s">
        <v>60</v>
      </c>
      <c r="RS5" s="129" t="s">
        <v>61</v>
      </c>
      <c r="RT5" s="130" t="s">
        <v>62</v>
      </c>
      <c r="RU5" s="528"/>
      <c r="RV5" s="127" t="s">
        <v>56</v>
      </c>
      <c r="RW5" s="128" t="s">
        <v>57</v>
      </c>
      <c r="RX5" s="128" t="s">
        <v>66</v>
      </c>
      <c r="RY5" s="128" t="s">
        <v>59</v>
      </c>
      <c r="RZ5" s="128" t="s">
        <v>60</v>
      </c>
      <c r="SA5" s="129" t="s">
        <v>61</v>
      </c>
      <c r="SB5" s="130" t="s">
        <v>62</v>
      </c>
      <c r="SC5" s="528"/>
      <c r="SD5" s="127" t="s">
        <v>56</v>
      </c>
      <c r="SE5" s="128" t="s">
        <v>57</v>
      </c>
      <c r="SF5" s="128" t="s">
        <v>66</v>
      </c>
      <c r="SG5" s="128" t="s">
        <v>59</v>
      </c>
      <c r="SH5" s="128" t="s">
        <v>60</v>
      </c>
      <c r="SI5" s="129" t="s">
        <v>61</v>
      </c>
      <c r="SJ5" s="130" t="s">
        <v>62</v>
      </c>
      <c r="SK5" s="528"/>
      <c r="SL5" s="127" t="s">
        <v>56</v>
      </c>
      <c r="SM5" s="128" t="s">
        <v>57</v>
      </c>
      <c r="SN5" s="128" t="s">
        <v>66</v>
      </c>
      <c r="SO5" s="128" t="s">
        <v>59</v>
      </c>
      <c r="SP5" s="128" t="s">
        <v>60</v>
      </c>
      <c r="SQ5" s="129" t="s">
        <v>61</v>
      </c>
      <c r="SR5" s="130" t="s">
        <v>62</v>
      </c>
      <c r="SS5" s="528"/>
      <c r="ST5" s="127" t="s">
        <v>56</v>
      </c>
      <c r="SU5" s="128" t="s">
        <v>57</v>
      </c>
      <c r="SV5" s="128" t="s">
        <v>66</v>
      </c>
      <c r="SW5" s="128" t="s">
        <v>59</v>
      </c>
      <c r="SX5" s="128" t="s">
        <v>60</v>
      </c>
      <c r="SY5" s="129" t="s">
        <v>61</v>
      </c>
      <c r="SZ5" s="130" t="s">
        <v>62</v>
      </c>
      <c r="TA5" s="528"/>
      <c r="TB5" s="127" t="s">
        <v>56</v>
      </c>
      <c r="TC5" s="128" t="s">
        <v>57</v>
      </c>
      <c r="TD5" s="128" t="s">
        <v>66</v>
      </c>
      <c r="TE5" s="128" t="s">
        <v>59</v>
      </c>
      <c r="TF5" s="128" t="s">
        <v>60</v>
      </c>
      <c r="TG5" s="129" t="s">
        <v>61</v>
      </c>
      <c r="TH5" s="130" t="s">
        <v>62</v>
      </c>
      <c r="TI5" s="528"/>
    </row>
    <row r="6" spans="2:529">
      <c r="B6" s="131"/>
      <c r="C6" s="132" t="s">
        <v>63</v>
      </c>
      <c r="D6" s="132" t="s">
        <v>64</v>
      </c>
      <c r="E6" s="132" t="s">
        <v>64</v>
      </c>
      <c r="F6" s="131" t="s">
        <v>65</v>
      </c>
      <c r="G6" s="133"/>
      <c r="H6" s="134" t="s">
        <v>66</v>
      </c>
      <c r="I6" s="528"/>
      <c r="J6" s="131"/>
      <c r="K6" s="132" t="s">
        <v>63</v>
      </c>
      <c r="L6" s="132" t="s">
        <v>64</v>
      </c>
      <c r="M6" s="132" t="s">
        <v>64</v>
      </c>
      <c r="N6" s="131" t="s">
        <v>65</v>
      </c>
      <c r="O6" s="133"/>
      <c r="P6" s="134" t="s">
        <v>66</v>
      </c>
      <c r="Q6" s="528"/>
      <c r="R6" s="131"/>
      <c r="S6" s="132" t="s">
        <v>63</v>
      </c>
      <c r="T6" s="132" t="s">
        <v>64</v>
      </c>
      <c r="U6" s="132" t="s">
        <v>64</v>
      </c>
      <c r="V6" s="131" t="s">
        <v>65</v>
      </c>
      <c r="W6" s="133"/>
      <c r="X6" s="134" t="s">
        <v>66</v>
      </c>
      <c r="Y6" s="528"/>
      <c r="Z6" s="131"/>
      <c r="AA6" s="132" t="s">
        <v>63</v>
      </c>
      <c r="AB6" s="132" t="s">
        <v>64</v>
      </c>
      <c r="AC6" s="132" t="s">
        <v>64</v>
      </c>
      <c r="AD6" s="131" t="s">
        <v>65</v>
      </c>
      <c r="AE6" s="133"/>
      <c r="AF6" s="134" t="s">
        <v>66</v>
      </c>
      <c r="AG6" s="528"/>
      <c r="AH6" s="131"/>
      <c r="AI6" s="132" t="s">
        <v>63</v>
      </c>
      <c r="AJ6" s="132" t="s">
        <v>64</v>
      </c>
      <c r="AK6" s="132" t="s">
        <v>64</v>
      </c>
      <c r="AL6" s="131" t="s">
        <v>65</v>
      </c>
      <c r="AM6" s="133"/>
      <c r="AN6" s="134" t="s">
        <v>66</v>
      </c>
      <c r="AO6" s="528"/>
      <c r="AP6" s="131"/>
      <c r="AQ6" s="132" t="s">
        <v>63</v>
      </c>
      <c r="AR6" s="132" t="s">
        <v>64</v>
      </c>
      <c r="AS6" s="132" t="s">
        <v>64</v>
      </c>
      <c r="AT6" s="131" t="s">
        <v>65</v>
      </c>
      <c r="AU6" s="133"/>
      <c r="AV6" s="134" t="s">
        <v>66</v>
      </c>
      <c r="AW6" s="528"/>
      <c r="AX6" s="131"/>
      <c r="AY6" s="132" t="s">
        <v>63</v>
      </c>
      <c r="AZ6" s="132" t="s">
        <v>64</v>
      </c>
      <c r="BA6" s="132" t="s">
        <v>64</v>
      </c>
      <c r="BB6" s="131" t="s">
        <v>65</v>
      </c>
      <c r="BC6" s="133"/>
      <c r="BD6" s="134" t="s">
        <v>66</v>
      </c>
      <c r="BE6" s="528"/>
      <c r="BF6" s="131"/>
      <c r="BG6" s="132" t="s">
        <v>63</v>
      </c>
      <c r="BH6" s="132" t="s">
        <v>64</v>
      </c>
      <c r="BI6" s="132" t="s">
        <v>64</v>
      </c>
      <c r="BJ6" s="131" t="s">
        <v>65</v>
      </c>
      <c r="BK6" s="133"/>
      <c r="BL6" s="134" t="s">
        <v>66</v>
      </c>
      <c r="BM6" s="528"/>
      <c r="BN6" s="131"/>
      <c r="BO6" s="132" t="s">
        <v>63</v>
      </c>
      <c r="BP6" s="132" t="s">
        <v>64</v>
      </c>
      <c r="BQ6" s="132" t="s">
        <v>64</v>
      </c>
      <c r="BR6" s="131" t="s">
        <v>65</v>
      </c>
      <c r="BS6" s="133"/>
      <c r="BT6" s="134" t="s">
        <v>66</v>
      </c>
      <c r="BU6" s="528"/>
      <c r="BV6" s="553"/>
      <c r="BW6" s="554" t="s">
        <v>63</v>
      </c>
      <c r="BX6" s="554" t="s">
        <v>64</v>
      </c>
      <c r="BY6" s="554" t="s">
        <v>64</v>
      </c>
      <c r="BZ6" s="553" t="s">
        <v>65</v>
      </c>
      <c r="CA6" s="555"/>
      <c r="CB6" s="556" t="s">
        <v>66</v>
      </c>
      <c r="CC6" s="528"/>
      <c r="CD6" s="553"/>
      <c r="CE6" s="554" t="s">
        <v>63</v>
      </c>
      <c r="CF6" s="554" t="s">
        <v>64</v>
      </c>
      <c r="CG6" s="554" t="s">
        <v>64</v>
      </c>
      <c r="CH6" s="553" t="s">
        <v>65</v>
      </c>
      <c r="CI6" s="555"/>
      <c r="CJ6" s="556" t="s">
        <v>66</v>
      </c>
      <c r="CK6" s="528"/>
      <c r="CL6" s="131"/>
      <c r="CM6" s="132" t="s">
        <v>63</v>
      </c>
      <c r="CN6" s="132" t="s">
        <v>64</v>
      </c>
      <c r="CO6" s="132" t="s">
        <v>64</v>
      </c>
      <c r="CP6" s="131" t="s">
        <v>65</v>
      </c>
      <c r="CQ6" s="133"/>
      <c r="CR6" s="134" t="s">
        <v>66</v>
      </c>
      <c r="CS6" s="528"/>
      <c r="CT6" s="131"/>
      <c r="CU6" s="132" t="s">
        <v>63</v>
      </c>
      <c r="CV6" s="132" t="s">
        <v>64</v>
      </c>
      <c r="CW6" s="132" t="s">
        <v>64</v>
      </c>
      <c r="CX6" s="131" t="s">
        <v>65</v>
      </c>
      <c r="CY6" s="133"/>
      <c r="CZ6" s="134" t="s">
        <v>66</v>
      </c>
      <c r="DA6" s="528"/>
      <c r="DB6" s="131"/>
      <c r="DC6" s="132" t="s">
        <v>63</v>
      </c>
      <c r="DD6" s="132" t="s">
        <v>64</v>
      </c>
      <c r="DE6" s="132" t="s">
        <v>64</v>
      </c>
      <c r="DF6" s="131" t="s">
        <v>65</v>
      </c>
      <c r="DG6" s="133"/>
      <c r="DH6" s="134" t="s">
        <v>66</v>
      </c>
      <c r="DI6" s="528"/>
      <c r="DJ6" s="131"/>
      <c r="DK6" s="132" t="s">
        <v>63</v>
      </c>
      <c r="DL6" s="132" t="s">
        <v>64</v>
      </c>
      <c r="DM6" s="132" t="s">
        <v>64</v>
      </c>
      <c r="DN6" s="131" t="s">
        <v>65</v>
      </c>
      <c r="DO6" s="133"/>
      <c r="DP6" s="134" t="s">
        <v>66</v>
      </c>
      <c r="DQ6" s="528"/>
      <c r="DR6" s="131"/>
      <c r="DS6" s="132" t="s">
        <v>63</v>
      </c>
      <c r="DT6" s="132" t="s">
        <v>64</v>
      </c>
      <c r="DU6" s="132" t="s">
        <v>64</v>
      </c>
      <c r="DV6" s="131" t="s">
        <v>65</v>
      </c>
      <c r="DW6" s="133"/>
      <c r="DX6" s="134" t="s">
        <v>66</v>
      </c>
      <c r="DY6" s="528"/>
      <c r="DZ6" s="131"/>
      <c r="EA6" s="132" t="s">
        <v>63</v>
      </c>
      <c r="EB6" s="132" t="s">
        <v>64</v>
      </c>
      <c r="EC6" s="132" t="s">
        <v>64</v>
      </c>
      <c r="ED6" s="131" t="s">
        <v>65</v>
      </c>
      <c r="EE6" s="133"/>
      <c r="EF6" s="134" t="s">
        <v>66</v>
      </c>
      <c r="EG6" s="528"/>
      <c r="EH6" s="131"/>
      <c r="EI6" s="132" t="s">
        <v>63</v>
      </c>
      <c r="EJ6" s="132" t="s">
        <v>64</v>
      </c>
      <c r="EK6" s="132" t="s">
        <v>64</v>
      </c>
      <c r="EL6" s="131" t="s">
        <v>65</v>
      </c>
      <c r="EM6" s="133"/>
      <c r="EN6" s="134" t="s">
        <v>66</v>
      </c>
      <c r="EO6" s="528"/>
      <c r="EP6" s="131"/>
      <c r="EQ6" s="132" t="s">
        <v>63</v>
      </c>
      <c r="ER6" s="132" t="s">
        <v>64</v>
      </c>
      <c r="ES6" s="132" t="s">
        <v>64</v>
      </c>
      <c r="ET6" s="131" t="s">
        <v>65</v>
      </c>
      <c r="EU6" s="133"/>
      <c r="EV6" s="134" t="s">
        <v>66</v>
      </c>
      <c r="EW6" s="528"/>
      <c r="EX6" s="131"/>
      <c r="EY6" s="132" t="s">
        <v>63</v>
      </c>
      <c r="EZ6" s="132" t="s">
        <v>64</v>
      </c>
      <c r="FA6" s="132" t="s">
        <v>64</v>
      </c>
      <c r="FB6" s="131" t="s">
        <v>65</v>
      </c>
      <c r="FC6" s="133"/>
      <c r="FD6" s="134" t="s">
        <v>66</v>
      </c>
      <c r="FE6" s="528"/>
      <c r="FF6" s="131"/>
      <c r="FG6" s="132" t="s">
        <v>63</v>
      </c>
      <c r="FH6" s="132" t="s">
        <v>64</v>
      </c>
      <c r="FI6" s="132" t="s">
        <v>64</v>
      </c>
      <c r="FJ6" s="131" t="s">
        <v>65</v>
      </c>
      <c r="FK6" s="133"/>
      <c r="FL6" s="134" t="s">
        <v>66</v>
      </c>
      <c r="FM6" s="528"/>
      <c r="FN6" s="131"/>
      <c r="FO6" s="132" t="s">
        <v>63</v>
      </c>
      <c r="FP6" s="132" t="s">
        <v>64</v>
      </c>
      <c r="FQ6" s="132" t="s">
        <v>64</v>
      </c>
      <c r="FR6" s="131" t="s">
        <v>65</v>
      </c>
      <c r="FS6" s="133"/>
      <c r="FT6" s="134" t="s">
        <v>66</v>
      </c>
      <c r="FU6" s="528"/>
      <c r="FV6" s="131"/>
      <c r="FW6" s="132" t="s">
        <v>63</v>
      </c>
      <c r="FX6" s="132" t="s">
        <v>64</v>
      </c>
      <c r="FY6" s="132" t="s">
        <v>64</v>
      </c>
      <c r="FZ6" s="131" t="s">
        <v>65</v>
      </c>
      <c r="GA6" s="133"/>
      <c r="GB6" s="134" t="s">
        <v>66</v>
      </c>
      <c r="GC6" s="528"/>
      <c r="GD6" s="131"/>
      <c r="GE6" s="132" t="s">
        <v>63</v>
      </c>
      <c r="GF6" s="132" t="s">
        <v>64</v>
      </c>
      <c r="GG6" s="132" t="s">
        <v>64</v>
      </c>
      <c r="GH6" s="131" t="s">
        <v>65</v>
      </c>
      <c r="GI6" s="133"/>
      <c r="GJ6" s="134" t="s">
        <v>66</v>
      </c>
      <c r="GK6" s="528"/>
      <c r="GL6" s="131"/>
      <c r="GM6" s="132" t="s">
        <v>63</v>
      </c>
      <c r="GN6" s="132" t="s">
        <v>64</v>
      </c>
      <c r="GO6" s="132" t="s">
        <v>64</v>
      </c>
      <c r="GP6" s="131" t="s">
        <v>65</v>
      </c>
      <c r="GQ6" s="133"/>
      <c r="GR6" s="134" t="s">
        <v>66</v>
      </c>
      <c r="GS6" s="528"/>
      <c r="GT6" s="131"/>
      <c r="GU6" s="132" t="s">
        <v>63</v>
      </c>
      <c r="GV6" s="132" t="s">
        <v>64</v>
      </c>
      <c r="GW6" s="132" t="s">
        <v>64</v>
      </c>
      <c r="GX6" s="131" t="s">
        <v>65</v>
      </c>
      <c r="GY6" s="133"/>
      <c r="GZ6" s="134" t="s">
        <v>66</v>
      </c>
      <c r="HA6" s="528"/>
      <c r="HB6" s="131"/>
      <c r="HC6" s="132" t="s">
        <v>63</v>
      </c>
      <c r="HD6" s="132" t="s">
        <v>64</v>
      </c>
      <c r="HE6" s="132" t="s">
        <v>64</v>
      </c>
      <c r="HF6" s="131" t="s">
        <v>65</v>
      </c>
      <c r="HG6" s="133"/>
      <c r="HH6" s="134" t="s">
        <v>66</v>
      </c>
      <c r="HI6" s="528"/>
      <c r="HJ6" s="131"/>
      <c r="HK6" s="132" t="s">
        <v>63</v>
      </c>
      <c r="HL6" s="132" t="s">
        <v>64</v>
      </c>
      <c r="HM6" s="132" t="s">
        <v>64</v>
      </c>
      <c r="HN6" s="131" t="s">
        <v>65</v>
      </c>
      <c r="HO6" s="133"/>
      <c r="HP6" s="134" t="s">
        <v>66</v>
      </c>
      <c r="HQ6" s="528"/>
      <c r="HR6" s="131"/>
      <c r="HS6" s="132" t="s">
        <v>63</v>
      </c>
      <c r="HT6" s="132" t="s">
        <v>64</v>
      </c>
      <c r="HU6" s="132" t="s">
        <v>64</v>
      </c>
      <c r="HV6" s="131" t="s">
        <v>65</v>
      </c>
      <c r="HW6" s="133"/>
      <c r="HX6" s="134" t="s">
        <v>66</v>
      </c>
      <c r="HY6" s="528"/>
      <c r="HZ6" s="131"/>
      <c r="IA6" s="132" t="s">
        <v>63</v>
      </c>
      <c r="IB6" s="132" t="s">
        <v>64</v>
      </c>
      <c r="IC6" s="132" t="s">
        <v>64</v>
      </c>
      <c r="ID6" s="131" t="s">
        <v>65</v>
      </c>
      <c r="IE6" s="133"/>
      <c r="IF6" s="134" t="s">
        <v>66</v>
      </c>
      <c r="IG6" s="528"/>
      <c r="IH6" s="131"/>
      <c r="II6" s="132" t="s">
        <v>63</v>
      </c>
      <c r="IJ6" s="132" t="s">
        <v>64</v>
      </c>
      <c r="IK6" s="132" t="s">
        <v>64</v>
      </c>
      <c r="IL6" s="131" t="s">
        <v>65</v>
      </c>
      <c r="IM6" s="133"/>
      <c r="IN6" s="134" t="s">
        <v>66</v>
      </c>
      <c r="IO6" s="528"/>
      <c r="IP6" s="131"/>
      <c r="IQ6" s="132" t="s">
        <v>63</v>
      </c>
      <c r="IR6" s="132" t="s">
        <v>64</v>
      </c>
      <c r="IS6" s="132" t="s">
        <v>64</v>
      </c>
      <c r="IT6" s="131" t="s">
        <v>65</v>
      </c>
      <c r="IU6" s="133"/>
      <c r="IV6" s="134" t="s">
        <v>66</v>
      </c>
      <c r="IW6" s="528"/>
      <c r="IX6" s="131"/>
      <c r="IY6" s="132" t="s">
        <v>63</v>
      </c>
      <c r="IZ6" s="132" t="s">
        <v>64</v>
      </c>
      <c r="JA6" s="132" t="s">
        <v>64</v>
      </c>
      <c r="JB6" s="131" t="s">
        <v>65</v>
      </c>
      <c r="JC6" s="133"/>
      <c r="JD6" s="134" t="s">
        <v>66</v>
      </c>
      <c r="JE6" s="528"/>
      <c r="JF6" s="131"/>
      <c r="JG6" s="132" t="s">
        <v>63</v>
      </c>
      <c r="JH6" s="132" t="s">
        <v>64</v>
      </c>
      <c r="JI6" s="132" t="s">
        <v>64</v>
      </c>
      <c r="JJ6" s="131" t="s">
        <v>65</v>
      </c>
      <c r="JK6" s="133"/>
      <c r="JL6" s="134" t="s">
        <v>66</v>
      </c>
      <c r="JM6" s="528"/>
      <c r="JN6" s="131"/>
      <c r="JO6" s="132" t="s">
        <v>63</v>
      </c>
      <c r="JP6" s="132" t="s">
        <v>64</v>
      </c>
      <c r="JQ6" s="132" t="s">
        <v>64</v>
      </c>
      <c r="JR6" s="131" t="s">
        <v>65</v>
      </c>
      <c r="JS6" s="133"/>
      <c r="JT6" s="134" t="s">
        <v>66</v>
      </c>
      <c r="JU6" s="528"/>
      <c r="JV6" s="131"/>
      <c r="JW6" s="132" t="s">
        <v>63</v>
      </c>
      <c r="JX6" s="132" t="s">
        <v>64</v>
      </c>
      <c r="JY6" s="132" t="s">
        <v>64</v>
      </c>
      <c r="JZ6" s="131" t="s">
        <v>65</v>
      </c>
      <c r="KA6" s="133"/>
      <c r="KB6" s="134" t="s">
        <v>66</v>
      </c>
      <c r="KC6" s="528"/>
      <c r="KD6" s="131"/>
      <c r="KE6" s="132" t="s">
        <v>63</v>
      </c>
      <c r="KF6" s="132" t="s">
        <v>64</v>
      </c>
      <c r="KG6" s="132" t="s">
        <v>64</v>
      </c>
      <c r="KH6" s="131" t="s">
        <v>65</v>
      </c>
      <c r="KI6" s="133"/>
      <c r="KJ6" s="134" t="s">
        <v>66</v>
      </c>
      <c r="KK6" s="528"/>
      <c r="KL6" s="131"/>
      <c r="KM6" s="132" t="s">
        <v>63</v>
      </c>
      <c r="KN6" s="132" t="s">
        <v>64</v>
      </c>
      <c r="KO6" s="132" t="s">
        <v>64</v>
      </c>
      <c r="KP6" s="131" t="s">
        <v>65</v>
      </c>
      <c r="KQ6" s="133"/>
      <c r="KR6" s="134" t="s">
        <v>66</v>
      </c>
      <c r="KS6" s="528"/>
      <c r="KT6" s="131"/>
      <c r="KU6" s="132" t="s">
        <v>63</v>
      </c>
      <c r="KV6" s="132" t="s">
        <v>64</v>
      </c>
      <c r="KW6" s="132" t="s">
        <v>64</v>
      </c>
      <c r="KX6" s="131" t="s">
        <v>65</v>
      </c>
      <c r="KY6" s="133"/>
      <c r="KZ6" s="134" t="s">
        <v>66</v>
      </c>
      <c r="LA6" s="528"/>
      <c r="LB6" s="131"/>
      <c r="LC6" s="132" t="s">
        <v>63</v>
      </c>
      <c r="LD6" s="132" t="s">
        <v>64</v>
      </c>
      <c r="LE6" s="132" t="s">
        <v>64</v>
      </c>
      <c r="LF6" s="131" t="s">
        <v>65</v>
      </c>
      <c r="LG6" s="133"/>
      <c r="LH6" s="134" t="s">
        <v>66</v>
      </c>
      <c r="LI6" s="528"/>
      <c r="LJ6" s="131"/>
      <c r="LK6" s="132" t="s">
        <v>63</v>
      </c>
      <c r="LL6" s="132" t="s">
        <v>64</v>
      </c>
      <c r="LM6" s="132" t="s">
        <v>64</v>
      </c>
      <c r="LN6" s="131" t="s">
        <v>65</v>
      </c>
      <c r="LO6" s="133"/>
      <c r="LP6" s="134" t="s">
        <v>66</v>
      </c>
      <c r="LQ6" s="528"/>
      <c r="LR6" s="131"/>
      <c r="LS6" s="132" t="s">
        <v>63</v>
      </c>
      <c r="LT6" s="132" t="s">
        <v>64</v>
      </c>
      <c r="LU6" s="132" t="s">
        <v>64</v>
      </c>
      <c r="LV6" s="131" t="s">
        <v>65</v>
      </c>
      <c r="LW6" s="133"/>
      <c r="LX6" s="134" t="s">
        <v>66</v>
      </c>
      <c r="LY6" s="528"/>
      <c r="LZ6" s="131"/>
      <c r="MA6" s="132" t="s">
        <v>63</v>
      </c>
      <c r="MB6" s="132" t="s">
        <v>64</v>
      </c>
      <c r="MC6" s="132" t="s">
        <v>64</v>
      </c>
      <c r="MD6" s="131" t="s">
        <v>65</v>
      </c>
      <c r="ME6" s="133"/>
      <c r="MF6" s="134" t="s">
        <v>66</v>
      </c>
      <c r="MG6" s="528"/>
      <c r="MH6" s="131"/>
      <c r="MI6" s="132" t="s">
        <v>63</v>
      </c>
      <c r="MJ6" s="132" t="s">
        <v>64</v>
      </c>
      <c r="MK6" s="132" t="s">
        <v>64</v>
      </c>
      <c r="ML6" s="131" t="s">
        <v>65</v>
      </c>
      <c r="MM6" s="133"/>
      <c r="MN6" s="134" t="s">
        <v>66</v>
      </c>
      <c r="MO6" s="528"/>
      <c r="MP6" s="131"/>
      <c r="MQ6" s="132" t="s">
        <v>63</v>
      </c>
      <c r="MR6" s="132" t="s">
        <v>64</v>
      </c>
      <c r="MS6" s="132" t="s">
        <v>64</v>
      </c>
      <c r="MT6" s="131" t="s">
        <v>65</v>
      </c>
      <c r="MU6" s="133"/>
      <c r="MV6" s="134" t="s">
        <v>66</v>
      </c>
      <c r="MW6" s="528"/>
      <c r="MX6" s="131"/>
      <c r="MY6" s="132" t="s">
        <v>63</v>
      </c>
      <c r="MZ6" s="132" t="s">
        <v>64</v>
      </c>
      <c r="NA6" s="132" t="s">
        <v>64</v>
      </c>
      <c r="NB6" s="131" t="s">
        <v>65</v>
      </c>
      <c r="NC6" s="133"/>
      <c r="ND6" s="134" t="s">
        <v>66</v>
      </c>
      <c r="NE6" s="528"/>
      <c r="NF6" s="131"/>
      <c r="NG6" s="132" t="s">
        <v>63</v>
      </c>
      <c r="NH6" s="132" t="s">
        <v>64</v>
      </c>
      <c r="NI6" s="132" t="s">
        <v>64</v>
      </c>
      <c r="NJ6" s="131" t="s">
        <v>65</v>
      </c>
      <c r="NK6" s="133"/>
      <c r="NL6" s="134" t="s">
        <v>66</v>
      </c>
      <c r="NM6" s="528"/>
      <c r="NN6" s="131"/>
      <c r="NO6" s="132" t="s">
        <v>63</v>
      </c>
      <c r="NP6" s="132" t="s">
        <v>64</v>
      </c>
      <c r="NQ6" s="132" t="s">
        <v>64</v>
      </c>
      <c r="NR6" s="131" t="s">
        <v>65</v>
      </c>
      <c r="NS6" s="133"/>
      <c r="NT6" s="134" t="s">
        <v>66</v>
      </c>
      <c r="NU6" s="528"/>
      <c r="NV6" s="131"/>
      <c r="NW6" s="132" t="s">
        <v>63</v>
      </c>
      <c r="NX6" s="132" t="s">
        <v>64</v>
      </c>
      <c r="NY6" s="132" t="s">
        <v>64</v>
      </c>
      <c r="NZ6" s="131" t="s">
        <v>65</v>
      </c>
      <c r="OA6" s="133"/>
      <c r="OB6" s="134" t="s">
        <v>66</v>
      </c>
      <c r="OC6" s="528"/>
      <c r="OD6" s="131"/>
      <c r="OE6" s="132" t="s">
        <v>63</v>
      </c>
      <c r="OF6" s="132" t="s">
        <v>64</v>
      </c>
      <c r="OG6" s="132" t="s">
        <v>64</v>
      </c>
      <c r="OH6" s="131" t="s">
        <v>65</v>
      </c>
      <c r="OI6" s="133"/>
      <c r="OJ6" s="134" t="s">
        <v>66</v>
      </c>
      <c r="OK6" s="528"/>
      <c r="OL6" s="131"/>
      <c r="OM6" s="132" t="s">
        <v>63</v>
      </c>
      <c r="ON6" s="132" t="s">
        <v>64</v>
      </c>
      <c r="OO6" s="132" t="s">
        <v>64</v>
      </c>
      <c r="OP6" s="131" t="s">
        <v>65</v>
      </c>
      <c r="OQ6" s="133"/>
      <c r="OR6" s="134" t="s">
        <v>66</v>
      </c>
      <c r="OS6" s="528"/>
      <c r="OT6" s="131"/>
      <c r="OU6" s="132" t="s">
        <v>63</v>
      </c>
      <c r="OV6" s="132" t="s">
        <v>64</v>
      </c>
      <c r="OW6" s="132" t="s">
        <v>64</v>
      </c>
      <c r="OX6" s="131" t="s">
        <v>65</v>
      </c>
      <c r="OY6" s="133"/>
      <c r="OZ6" s="134" t="s">
        <v>66</v>
      </c>
      <c r="PA6" s="528"/>
      <c r="PB6" s="131"/>
      <c r="PC6" s="132" t="s">
        <v>63</v>
      </c>
      <c r="PD6" s="132" t="s">
        <v>64</v>
      </c>
      <c r="PE6" s="132" t="s">
        <v>64</v>
      </c>
      <c r="PF6" s="131" t="s">
        <v>65</v>
      </c>
      <c r="PG6" s="133"/>
      <c r="PH6" s="134" t="s">
        <v>66</v>
      </c>
      <c r="PI6" s="528"/>
      <c r="PJ6" s="131"/>
      <c r="PK6" s="132" t="s">
        <v>63</v>
      </c>
      <c r="PL6" s="132" t="s">
        <v>64</v>
      </c>
      <c r="PM6" s="132" t="s">
        <v>64</v>
      </c>
      <c r="PN6" s="131" t="s">
        <v>65</v>
      </c>
      <c r="PO6" s="133"/>
      <c r="PP6" s="134" t="s">
        <v>66</v>
      </c>
      <c r="PQ6" s="528"/>
      <c r="PR6" s="131"/>
      <c r="PS6" s="132" t="s">
        <v>63</v>
      </c>
      <c r="PT6" s="132" t="s">
        <v>64</v>
      </c>
      <c r="PU6" s="132" t="s">
        <v>64</v>
      </c>
      <c r="PV6" s="131" t="s">
        <v>65</v>
      </c>
      <c r="PW6" s="133"/>
      <c r="PX6" s="134" t="s">
        <v>66</v>
      </c>
      <c r="PY6" s="528"/>
      <c r="PZ6" s="131"/>
      <c r="QA6" s="132" t="s">
        <v>63</v>
      </c>
      <c r="QB6" s="132" t="s">
        <v>64</v>
      </c>
      <c r="QC6" s="132" t="s">
        <v>64</v>
      </c>
      <c r="QD6" s="131" t="s">
        <v>65</v>
      </c>
      <c r="QE6" s="133"/>
      <c r="QF6" s="134" t="s">
        <v>66</v>
      </c>
      <c r="QG6" s="528"/>
      <c r="QH6" s="131"/>
      <c r="QI6" s="132" t="s">
        <v>63</v>
      </c>
      <c r="QJ6" s="132" t="s">
        <v>64</v>
      </c>
      <c r="QK6" s="132" t="s">
        <v>64</v>
      </c>
      <c r="QL6" s="131" t="s">
        <v>65</v>
      </c>
      <c r="QM6" s="133"/>
      <c r="QN6" s="134" t="s">
        <v>66</v>
      </c>
      <c r="QO6" s="528"/>
      <c r="QP6" s="131"/>
      <c r="QQ6" s="132" t="s">
        <v>63</v>
      </c>
      <c r="QR6" s="132" t="s">
        <v>64</v>
      </c>
      <c r="QS6" s="132" t="s">
        <v>64</v>
      </c>
      <c r="QT6" s="131" t="s">
        <v>65</v>
      </c>
      <c r="QU6" s="133"/>
      <c r="QV6" s="134" t="s">
        <v>66</v>
      </c>
      <c r="QW6" s="528"/>
      <c r="QX6" s="131"/>
      <c r="QY6" s="132" t="s">
        <v>63</v>
      </c>
      <c r="QZ6" s="132" t="s">
        <v>64</v>
      </c>
      <c r="RA6" s="132" t="s">
        <v>64</v>
      </c>
      <c r="RB6" s="131" t="s">
        <v>65</v>
      </c>
      <c r="RC6" s="133"/>
      <c r="RD6" s="134" t="s">
        <v>66</v>
      </c>
      <c r="RE6" s="528"/>
      <c r="RF6" s="131"/>
      <c r="RG6" s="132" t="s">
        <v>63</v>
      </c>
      <c r="RH6" s="132" t="s">
        <v>64</v>
      </c>
      <c r="RI6" s="132" t="s">
        <v>64</v>
      </c>
      <c r="RJ6" s="131" t="s">
        <v>65</v>
      </c>
      <c r="RK6" s="133"/>
      <c r="RL6" s="134" t="s">
        <v>66</v>
      </c>
      <c r="RM6" s="528"/>
      <c r="RN6" s="131"/>
      <c r="RO6" s="132" t="s">
        <v>63</v>
      </c>
      <c r="RP6" s="132" t="s">
        <v>64</v>
      </c>
      <c r="RQ6" s="132" t="s">
        <v>64</v>
      </c>
      <c r="RR6" s="131" t="s">
        <v>65</v>
      </c>
      <c r="RS6" s="133"/>
      <c r="RT6" s="134" t="s">
        <v>66</v>
      </c>
      <c r="RU6" s="528"/>
      <c r="RV6" s="131"/>
      <c r="RW6" s="132" t="s">
        <v>63</v>
      </c>
      <c r="RX6" s="132" t="s">
        <v>64</v>
      </c>
      <c r="RY6" s="132" t="s">
        <v>64</v>
      </c>
      <c r="RZ6" s="131" t="s">
        <v>65</v>
      </c>
      <c r="SA6" s="133"/>
      <c r="SB6" s="134" t="s">
        <v>66</v>
      </c>
      <c r="SC6" s="528"/>
      <c r="SD6" s="131"/>
      <c r="SE6" s="132" t="s">
        <v>63</v>
      </c>
      <c r="SF6" s="132" t="s">
        <v>64</v>
      </c>
      <c r="SG6" s="132" t="s">
        <v>64</v>
      </c>
      <c r="SH6" s="131" t="s">
        <v>65</v>
      </c>
      <c r="SI6" s="133"/>
      <c r="SJ6" s="134" t="s">
        <v>66</v>
      </c>
      <c r="SK6" s="528"/>
      <c r="SL6" s="131"/>
      <c r="SM6" s="132" t="s">
        <v>63</v>
      </c>
      <c r="SN6" s="132" t="s">
        <v>64</v>
      </c>
      <c r="SO6" s="132" t="s">
        <v>64</v>
      </c>
      <c r="SP6" s="131" t="s">
        <v>65</v>
      </c>
      <c r="SQ6" s="133"/>
      <c r="SR6" s="134" t="s">
        <v>66</v>
      </c>
      <c r="SS6" s="528"/>
      <c r="ST6" s="131"/>
      <c r="SU6" s="132" t="s">
        <v>63</v>
      </c>
      <c r="SV6" s="132" t="s">
        <v>64</v>
      </c>
      <c r="SW6" s="132" t="s">
        <v>64</v>
      </c>
      <c r="SX6" s="131" t="s">
        <v>65</v>
      </c>
      <c r="SY6" s="133"/>
      <c r="SZ6" s="134" t="s">
        <v>66</v>
      </c>
      <c r="TA6" s="528"/>
      <c r="TB6" s="131"/>
      <c r="TC6" s="132" t="s">
        <v>63</v>
      </c>
      <c r="TD6" s="132" t="s">
        <v>64</v>
      </c>
      <c r="TE6" s="132" t="s">
        <v>64</v>
      </c>
      <c r="TF6" s="131" t="s">
        <v>65</v>
      </c>
      <c r="TG6" s="133"/>
      <c r="TH6" s="134" t="s">
        <v>66</v>
      </c>
      <c r="TI6" s="528"/>
    </row>
    <row r="7" spans="2:529">
      <c r="B7" s="135" t="s">
        <v>67</v>
      </c>
      <c r="C7" s="136">
        <v>3</v>
      </c>
      <c r="D7" s="137" t="s">
        <v>20</v>
      </c>
      <c r="E7" s="138">
        <v>0</v>
      </c>
      <c r="F7" s="139">
        <v>6.0072413793103445</v>
      </c>
      <c r="G7" s="140">
        <f>E7*F7</f>
        <v>0</v>
      </c>
      <c r="H7" s="141"/>
      <c r="I7" s="528"/>
      <c r="J7" s="135" t="s">
        <v>67</v>
      </c>
      <c r="K7" s="136">
        <v>2</v>
      </c>
      <c r="L7" s="137" t="s">
        <v>20</v>
      </c>
      <c r="M7" s="138">
        <v>3</v>
      </c>
      <c r="N7" s="139">
        <v>6.0072413793103445</v>
      </c>
      <c r="O7" s="140">
        <f>M7*N7</f>
        <v>18.021724137931034</v>
      </c>
      <c r="P7" s="141"/>
      <c r="Q7" s="528"/>
      <c r="R7" s="135" t="s">
        <v>67</v>
      </c>
      <c r="S7" s="136">
        <v>3</v>
      </c>
      <c r="T7" s="137" t="s">
        <v>20</v>
      </c>
      <c r="U7" s="138">
        <v>5</v>
      </c>
      <c r="V7" s="139">
        <v>6.0072413793103445</v>
      </c>
      <c r="W7" s="140">
        <f>U7*V7</f>
        <v>30.036206896551722</v>
      </c>
      <c r="X7" s="141"/>
      <c r="Y7" s="528"/>
      <c r="Z7" s="135" t="s">
        <v>67</v>
      </c>
      <c r="AA7" s="136">
        <v>4</v>
      </c>
      <c r="AB7" s="137" t="s">
        <v>20</v>
      </c>
      <c r="AC7" s="138">
        <v>0</v>
      </c>
      <c r="AD7" s="139">
        <v>6.0072413793103445</v>
      </c>
      <c r="AE7" s="140">
        <f>AC7*AD7</f>
        <v>0</v>
      </c>
      <c r="AF7" s="141"/>
      <c r="AG7" s="528"/>
      <c r="AH7" s="135" t="s">
        <v>67</v>
      </c>
      <c r="AI7" s="136">
        <v>6</v>
      </c>
      <c r="AJ7" s="137" t="s">
        <v>20</v>
      </c>
      <c r="AK7" s="138">
        <v>0</v>
      </c>
      <c r="AL7" s="139">
        <v>6.0072413793103445</v>
      </c>
      <c r="AM7" s="140">
        <f>AK7*AL7</f>
        <v>0</v>
      </c>
      <c r="AN7" s="141"/>
      <c r="AO7" s="528"/>
      <c r="AP7" s="135" t="s">
        <v>67</v>
      </c>
      <c r="AQ7" s="136"/>
      <c r="AR7" s="137" t="s">
        <v>20</v>
      </c>
      <c r="AS7" s="138"/>
      <c r="AT7" s="139">
        <v>6.0072413793103445</v>
      </c>
      <c r="AU7" s="140">
        <f>AS7*AT7</f>
        <v>0</v>
      </c>
      <c r="AV7" s="141"/>
      <c r="AW7" s="528"/>
      <c r="AX7" s="135" t="s">
        <v>67</v>
      </c>
      <c r="AY7" s="136">
        <v>4</v>
      </c>
      <c r="AZ7" s="137" t="s">
        <v>20</v>
      </c>
      <c r="BA7" s="138">
        <v>26</v>
      </c>
      <c r="BB7" s="139">
        <v>6.0072413793103445</v>
      </c>
      <c r="BC7" s="140">
        <f>BA7*BB7</f>
        <v>156.18827586206896</v>
      </c>
      <c r="BD7" s="141"/>
      <c r="BE7" s="528"/>
      <c r="BF7" s="135" t="s">
        <v>67</v>
      </c>
      <c r="BG7" s="136">
        <v>7</v>
      </c>
      <c r="BH7" s="137" t="s">
        <v>20</v>
      </c>
      <c r="BI7" s="138">
        <v>20</v>
      </c>
      <c r="BJ7" s="139">
        <v>6.0072413793103445</v>
      </c>
      <c r="BK7" s="140">
        <f>BI7*BJ7</f>
        <v>120.14482758620689</v>
      </c>
      <c r="BL7" s="141"/>
      <c r="BM7" s="528"/>
      <c r="BN7" s="135" t="s">
        <v>67</v>
      </c>
      <c r="BO7" s="136">
        <v>1</v>
      </c>
      <c r="BP7" s="137" t="s">
        <v>20</v>
      </c>
      <c r="BQ7" s="138">
        <v>0</v>
      </c>
      <c r="BR7" s="139">
        <v>6.0072413793103445</v>
      </c>
      <c r="BS7" s="140">
        <f>BQ7*BR7</f>
        <v>0</v>
      </c>
      <c r="BT7" s="141"/>
      <c r="BU7" s="528"/>
      <c r="BV7" s="557" t="s">
        <v>67</v>
      </c>
      <c r="BW7" s="558"/>
      <c r="BX7" s="559" t="s">
        <v>20</v>
      </c>
      <c r="BY7" s="560"/>
      <c r="BZ7" s="561">
        <v>6.0072413793103445</v>
      </c>
      <c r="CA7" s="562">
        <f>BY7*BZ7</f>
        <v>0</v>
      </c>
      <c r="CB7" s="563"/>
      <c r="CC7" s="528"/>
      <c r="CD7" s="557" t="s">
        <v>67</v>
      </c>
      <c r="CE7" s="558"/>
      <c r="CF7" s="559" t="s">
        <v>20</v>
      </c>
      <c r="CG7" s="560"/>
      <c r="CH7" s="561">
        <v>6.0072413793103445</v>
      </c>
      <c r="CI7" s="562">
        <f>CG7*CH7</f>
        <v>0</v>
      </c>
      <c r="CJ7" s="563"/>
      <c r="CK7" s="528"/>
      <c r="CL7" s="135" t="s">
        <v>67</v>
      </c>
      <c r="CM7" s="136">
        <v>1</v>
      </c>
      <c r="CN7" s="137" t="s">
        <v>20</v>
      </c>
      <c r="CO7" s="138">
        <v>5</v>
      </c>
      <c r="CP7" s="139">
        <v>6.0072413793103445</v>
      </c>
      <c r="CQ7" s="140">
        <f>CO7*CP7</f>
        <v>30.036206896551722</v>
      </c>
      <c r="CR7" s="141"/>
      <c r="CS7" s="528"/>
      <c r="CT7" s="135" t="s">
        <v>67</v>
      </c>
      <c r="CU7" s="136">
        <v>7</v>
      </c>
      <c r="CV7" s="137" t="s">
        <v>20</v>
      </c>
      <c r="CW7" s="138">
        <v>20</v>
      </c>
      <c r="CX7" s="139">
        <v>6.0072413793103445</v>
      </c>
      <c r="CY7" s="140">
        <f>CW7*CX7</f>
        <v>120.14482758620689</v>
      </c>
      <c r="CZ7" s="141"/>
      <c r="DA7" s="528"/>
      <c r="DB7" s="135" t="s">
        <v>67</v>
      </c>
      <c r="DC7" s="136">
        <v>3</v>
      </c>
      <c r="DD7" s="137" t="s">
        <v>20</v>
      </c>
      <c r="DE7" s="138">
        <v>4</v>
      </c>
      <c r="DF7" s="139">
        <v>6.0072413793103445</v>
      </c>
      <c r="DG7" s="140">
        <f>DE7*DF7</f>
        <v>24.028965517241378</v>
      </c>
      <c r="DH7" s="141"/>
      <c r="DI7" s="528"/>
      <c r="DJ7" s="135" t="s">
        <v>67</v>
      </c>
      <c r="DK7" s="136">
        <v>5</v>
      </c>
      <c r="DL7" s="137" t="s">
        <v>20</v>
      </c>
      <c r="DM7" s="138">
        <v>33</v>
      </c>
      <c r="DN7" s="170">
        <v>6.0072413793103445</v>
      </c>
      <c r="DO7" s="140">
        <f>DM7*DN7</f>
        <v>198.23896551724138</v>
      </c>
      <c r="DP7" s="141"/>
      <c r="DQ7" s="528"/>
      <c r="DR7" s="135" t="s">
        <v>67</v>
      </c>
      <c r="DS7" s="136"/>
      <c r="DT7" s="137" t="s">
        <v>20</v>
      </c>
      <c r="DU7" s="138"/>
      <c r="DV7" s="170">
        <v>6.0072413793103445</v>
      </c>
      <c r="DW7" s="140">
        <f>DU7*DV7</f>
        <v>0</v>
      </c>
      <c r="DX7" s="141"/>
      <c r="DY7" s="528"/>
      <c r="DZ7" s="135" t="s">
        <v>67</v>
      </c>
      <c r="EA7" s="136">
        <v>15</v>
      </c>
      <c r="EB7" s="137" t="s">
        <v>20</v>
      </c>
      <c r="EC7" s="138">
        <v>28</v>
      </c>
      <c r="ED7" s="170">
        <v>6.0072413793103445</v>
      </c>
      <c r="EE7" s="140">
        <f>EC7*ED7</f>
        <v>168.20275862068965</v>
      </c>
      <c r="EF7" s="141"/>
      <c r="EG7" s="528"/>
      <c r="EH7" s="135" t="s">
        <v>67</v>
      </c>
      <c r="EI7" s="136">
        <v>46</v>
      </c>
      <c r="EJ7" s="137" t="s">
        <v>20</v>
      </c>
      <c r="EK7" s="138">
        <v>87</v>
      </c>
      <c r="EL7" s="170">
        <v>6.0072413793103445</v>
      </c>
      <c r="EM7" s="140">
        <f>EK7*EL7</f>
        <v>522.63</v>
      </c>
      <c r="EN7" s="141"/>
      <c r="EO7" s="528"/>
      <c r="EP7" s="135" t="s">
        <v>67</v>
      </c>
      <c r="EQ7" s="136">
        <v>32</v>
      </c>
      <c r="ER7" s="137" t="s">
        <v>20</v>
      </c>
      <c r="ES7" s="138">
        <v>204</v>
      </c>
      <c r="ET7" s="170">
        <v>6.0072413793103445</v>
      </c>
      <c r="EU7" s="140">
        <f>ES7*ET7</f>
        <v>1225.4772413793103</v>
      </c>
      <c r="EV7" s="141"/>
      <c r="EW7" s="528"/>
      <c r="EX7" s="135" t="s">
        <v>67</v>
      </c>
      <c r="EY7" s="136"/>
      <c r="EZ7" s="137" t="s">
        <v>20</v>
      </c>
      <c r="FA7" s="138"/>
      <c r="FB7" s="170">
        <v>6.0072413793103445</v>
      </c>
      <c r="FC7" s="140">
        <f>FA7*FB7</f>
        <v>0</v>
      </c>
      <c r="FD7" s="141"/>
      <c r="FE7" s="528"/>
      <c r="FF7" s="135" t="s">
        <v>67</v>
      </c>
      <c r="FG7" s="136"/>
      <c r="FH7" s="137" t="s">
        <v>20</v>
      </c>
      <c r="FI7" s="138"/>
      <c r="FJ7" s="170">
        <v>6.0072413793103445</v>
      </c>
      <c r="FK7" s="140">
        <f>FI7*FJ7</f>
        <v>0</v>
      </c>
      <c r="FL7" s="141"/>
      <c r="FM7" s="528"/>
      <c r="FN7" s="135" t="s">
        <v>67</v>
      </c>
      <c r="FO7" s="136"/>
      <c r="FP7" s="137" t="s">
        <v>20</v>
      </c>
      <c r="FQ7" s="138"/>
      <c r="FR7" s="170">
        <v>6.0072413793103445</v>
      </c>
      <c r="FS7" s="140">
        <f>FQ7*FR7</f>
        <v>0</v>
      </c>
      <c r="FT7" s="141"/>
      <c r="FU7" s="528"/>
      <c r="FV7" s="135" t="s">
        <v>67</v>
      </c>
      <c r="FW7" s="136"/>
      <c r="FX7" s="137" t="s">
        <v>20</v>
      </c>
      <c r="FY7" s="138"/>
      <c r="FZ7" s="170">
        <v>6.0072413793103445</v>
      </c>
      <c r="GA7" s="140">
        <f>FY7*FZ7</f>
        <v>0</v>
      </c>
      <c r="GB7" s="141"/>
      <c r="GC7" s="528"/>
      <c r="GD7" s="135" t="s">
        <v>67</v>
      </c>
      <c r="GE7" s="136"/>
      <c r="GF7" s="137" t="s">
        <v>20</v>
      </c>
      <c r="GG7" s="138"/>
      <c r="GH7" s="170">
        <v>6.0072413793103445</v>
      </c>
      <c r="GI7" s="140">
        <f>GG7*GH7</f>
        <v>0</v>
      </c>
      <c r="GJ7" s="141"/>
      <c r="GK7" s="528"/>
      <c r="GL7" s="135" t="s">
        <v>67</v>
      </c>
      <c r="GM7" s="136">
        <v>7</v>
      </c>
      <c r="GN7" s="137" t="s">
        <v>20</v>
      </c>
      <c r="GO7" s="175">
        <v>20</v>
      </c>
      <c r="GP7" s="139">
        <v>6.0072413793103445</v>
      </c>
      <c r="GQ7" s="140">
        <f>GO7*GP7</f>
        <v>120.14482758620689</v>
      </c>
      <c r="GR7" s="141"/>
      <c r="GS7" s="528"/>
      <c r="GT7" s="135" t="s">
        <v>67</v>
      </c>
      <c r="GU7" s="136">
        <v>2</v>
      </c>
      <c r="GV7" s="137" t="s">
        <v>20</v>
      </c>
      <c r="GW7" s="175">
        <v>0</v>
      </c>
      <c r="GX7" s="139">
        <v>6.0072413793103445</v>
      </c>
      <c r="GY7" s="140">
        <f>GW7*GX7</f>
        <v>0</v>
      </c>
      <c r="GZ7" s="141"/>
      <c r="HA7" s="528"/>
      <c r="HB7" s="135" t="s">
        <v>67</v>
      </c>
      <c r="HC7" s="136">
        <v>2</v>
      </c>
      <c r="HD7" s="137" t="s">
        <v>20</v>
      </c>
      <c r="HE7" s="175">
        <v>0</v>
      </c>
      <c r="HF7" s="139">
        <v>6.0072413793103445</v>
      </c>
      <c r="HG7" s="140">
        <f>HE7*HF7</f>
        <v>0</v>
      </c>
      <c r="HH7" s="141"/>
      <c r="HI7" s="528"/>
      <c r="HJ7" s="135" t="s">
        <v>67</v>
      </c>
      <c r="HK7" s="136">
        <v>5</v>
      </c>
      <c r="HL7" s="137" t="s">
        <v>20</v>
      </c>
      <c r="HM7" s="175">
        <v>3</v>
      </c>
      <c r="HN7" s="139">
        <v>6.0072413793103445</v>
      </c>
      <c r="HO7" s="140">
        <f>HM7*HN7</f>
        <v>18.021724137931034</v>
      </c>
      <c r="HP7" s="141"/>
      <c r="HQ7" s="528"/>
      <c r="HR7" s="135" t="s">
        <v>67</v>
      </c>
      <c r="HS7" s="136">
        <v>10</v>
      </c>
      <c r="HT7" s="137" t="s">
        <v>20</v>
      </c>
      <c r="HU7" s="175">
        <v>4</v>
      </c>
      <c r="HV7" s="139">
        <v>6.0072413793103445</v>
      </c>
      <c r="HW7" s="140">
        <f>HU7*HV7</f>
        <v>24.028965517241378</v>
      </c>
      <c r="HX7" s="141"/>
      <c r="HY7" s="528"/>
      <c r="HZ7" s="135" t="s">
        <v>67</v>
      </c>
      <c r="IA7" s="136">
        <v>32</v>
      </c>
      <c r="IB7" s="137" t="s">
        <v>20</v>
      </c>
      <c r="IC7" s="175">
        <v>66</v>
      </c>
      <c r="ID7" s="139">
        <v>6.0072413793103445</v>
      </c>
      <c r="IE7" s="140">
        <f>IC7*ID7</f>
        <v>396.47793103448276</v>
      </c>
      <c r="IF7" s="141"/>
      <c r="IG7" s="528"/>
      <c r="IH7" s="135" t="s">
        <v>67</v>
      </c>
      <c r="II7" s="136">
        <v>25</v>
      </c>
      <c r="IJ7" s="137" t="s">
        <v>20</v>
      </c>
      <c r="IK7" s="175">
        <v>35</v>
      </c>
      <c r="IL7" s="139">
        <v>6.0072413793103445</v>
      </c>
      <c r="IM7" s="140">
        <f>IK7*IL7</f>
        <v>210.25344827586207</v>
      </c>
      <c r="IN7" s="141"/>
      <c r="IO7" s="528"/>
      <c r="IP7" s="135" t="s">
        <v>67</v>
      </c>
      <c r="IQ7" s="136">
        <v>36</v>
      </c>
      <c r="IR7" s="137" t="s">
        <v>20</v>
      </c>
      <c r="IS7" s="175">
        <v>122</v>
      </c>
      <c r="IT7" s="139">
        <v>6.0072413793103445</v>
      </c>
      <c r="IU7" s="140">
        <f>IS7*IT7</f>
        <v>732.88344827586207</v>
      </c>
      <c r="IV7" s="141"/>
      <c r="IW7" s="528"/>
      <c r="IX7" s="135" t="s">
        <v>67</v>
      </c>
      <c r="IY7" s="136">
        <v>7</v>
      </c>
      <c r="IZ7" s="137" t="s">
        <v>20</v>
      </c>
      <c r="JA7" s="175">
        <v>24</v>
      </c>
      <c r="JB7" s="139">
        <v>6.0072413793103445</v>
      </c>
      <c r="JC7" s="140">
        <f>JA7*JB7</f>
        <v>144.17379310344828</v>
      </c>
      <c r="JD7" s="141"/>
      <c r="JE7" s="528"/>
      <c r="JF7" s="135" t="s">
        <v>67</v>
      </c>
      <c r="JG7" s="136">
        <v>6</v>
      </c>
      <c r="JH7" s="137" t="s">
        <v>20</v>
      </c>
      <c r="JI7" s="175">
        <v>16</v>
      </c>
      <c r="JJ7" s="139">
        <v>6.0072413793103445</v>
      </c>
      <c r="JK7" s="140">
        <f>JI7*JJ7</f>
        <v>96.115862068965512</v>
      </c>
      <c r="JL7" s="141"/>
      <c r="JM7" s="528"/>
      <c r="JN7" s="135" t="s">
        <v>67</v>
      </c>
      <c r="JO7" s="136">
        <v>5</v>
      </c>
      <c r="JP7" s="137" t="s">
        <v>20</v>
      </c>
      <c r="JQ7" s="175">
        <v>75</v>
      </c>
      <c r="JR7" s="139">
        <v>6.0072413793103445</v>
      </c>
      <c r="JS7" s="140">
        <f>JQ7*JR7</f>
        <v>450.54310344827582</v>
      </c>
      <c r="JT7" s="141"/>
      <c r="JU7" s="528"/>
      <c r="JV7" s="135" t="s">
        <v>67</v>
      </c>
      <c r="JW7" s="136">
        <v>13</v>
      </c>
      <c r="JX7" s="137" t="s">
        <v>20</v>
      </c>
      <c r="JY7" s="175">
        <v>61</v>
      </c>
      <c r="JZ7" s="139">
        <v>6.0072413793103445</v>
      </c>
      <c r="KA7" s="140">
        <f>JY7*JZ7</f>
        <v>366.44172413793103</v>
      </c>
      <c r="KB7" s="141"/>
      <c r="KC7" s="528"/>
      <c r="KD7" s="135" t="s">
        <v>67</v>
      </c>
      <c r="KE7" s="136">
        <v>3</v>
      </c>
      <c r="KF7" s="137" t="s">
        <v>20</v>
      </c>
      <c r="KG7" s="175">
        <v>0</v>
      </c>
      <c r="KH7" s="139">
        <v>6.0072413793103445</v>
      </c>
      <c r="KI7" s="140">
        <f>KG7*KH7</f>
        <v>0</v>
      </c>
      <c r="KJ7" s="141"/>
      <c r="KK7" s="528"/>
      <c r="KL7" s="135" t="s">
        <v>67</v>
      </c>
      <c r="KM7" s="136">
        <v>2</v>
      </c>
      <c r="KN7" s="137" t="s">
        <v>20</v>
      </c>
      <c r="KO7" s="175">
        <v>3</v>
      </c>
      <c r="KP7" s="139">
        <v>6.0072413793103445</v>
      </c>
      <c r="KQ7" s="140">
        <f>KO7*KP7</f>
        <v>18.021724137931034</v>
      </c>
      <c r="KR7" s="141"/>
      <c r="KS7" s="528"/>
      <c r="KT7" s="135" t="s">
        <v>67</v>
      </c>
      <c r="KU7" s="136">
        <v>4</v>
      </c>
      <c r="KV7" s="137" t="s">
        <v>20</v>
      </c>
      <c r="KW7" s="175">
        <v>14</v>
      </c>
      <c r="KX7" s="139">
        <v>6.0072413793103445</v>
      </c>
      <c r="KY7" s="140">
        <f>KW7*KX7</f>
        <v>84.101379310344825</v>
      </c>
      <c r="KZ7" s="141"/>
      <c r="LA7" s="528"/>
      <c r="LB7" s="135" t="s">
        <v>67</v>
      </c>
      <c r="LC7" s="136">
        <v>2</v>
      </c>
      <c r="LD7" s="137" t="s">
        <v>20</v>
      </c>
      <c r="LE7" s="175">
        <v>5</v>
      </c>
      <c r="LF7" s="139">
        <v>6.0072413793103445</v>
      </c>
      <c r="LG7" s="140">
        <f>LE7*LF7</f>
        <v>30.036206896551722</v>
      </c>
      <c r="LH7" s="141"/>
      <c r="LI7" s="528"/>
      <c r="LJ7" s="135" t="s">
        <v>67</v>
      </c>
      <c r="LK7" s="136">
        <v>14</v>
      </c>
      <c r="LL7" s="137" t="s">
        <v>20</v>
      </c>
      <c r="LM7" s="175">
        <v>67</v>
      </c>
      <c r="LN7" s="139">
        <v>6.0072413793103445</v>
      </c>
      <c r="LO7" s="140">
        <f>LM7*LN7</f>
        <v>402.48517241379307</v>
      </c>
      <c r="LP7" s="141"/>
      <c r="LQ7" s="528"/>
      <c r="LR7" s="135" t="s">
        <v>67</v>
      </c>
      <c r="LS7" s="136">
        <v>17</v>
      </c>
      <c r="LT7" s="137" t="s">
        <v>20</v>
      </c>
      <c r="LU7" s="175">
        <v>6</v>
      </c>
      <c r="LV7" s="139">
        <v>6.0072413793103445</v>
      </c>
      <c r="LW7" s="140">
        <f>LU7*LV7</f>
        <v>36.043448275862069</v>
      </c>
      <c r="LX7" s="141"/>
      <c r="LY7" s="528"/>
      <c r="LZ7" s="135" t="s">
        <v>67</v>
      </c>
      <c r="MA7" s="136">
        <v>27</v>
      </c>
      <c r="MB7" s="137" t="s">
        <v>20</v>
      </c>
      <c r="MC7" s="175">
        <v>90</v>
      </c>
      <c r="MD7" s="139">
        <v>6.0072413793103445</v>
      </c>
      <c r="ME7" s="140">
        <f>MC7*MD7</f>
        <v>540.65172413793096</v>
      </c>
      <c r="MF7" s="141"/>
      <c r="MG7" s="528"/>
      <c r="MH7" s="135" t="s">
        <v>67</v>
      </c>
      <c r="MI7" s="136">
        <v>21</v>
      </c>
      <c r="MJ7" s="137" t="s">
        <v>20</v>
      </c>
      <c r="MK7" s="175">
        <v>20</v>
      </c>
      <c r="ML7" s="139">
        <v>6.0072413793103445</v>
      </c>
      <c r="MM7" s="140">
        <f>MK7*ML7</f>
        <v>120.14482758620689</v>
      </c>
      <c r="MN7" s="141"/>
      <c r="MO7" s="528"/>
      <c r="MP7" s="135" t="s">
        <v>67</v>
      </c>
      <c r="MQ7" s="136">
        <v>20</v>
      </c>
      <c r="MR7" s="137" t="s">
        <v>20</v>
      </c>
      <c r="MS7" s="175">
        <v>14</v>
      </c>
      <c r="MT7" s="139">
        <v>6.0072413793103445</v>
      </c>
      <c r="MU7" s="140">
        <f>MS7*MT7</f>
        <v>84.101379310344825</v>
      </c>
      <c r="MV7" s="141"/>
      <c r="MW7" s="528"/>
      <c r="MX7" s="135" t="s">
        <v>67</v>
      </c>
      <c r="MY7" s="136">
        <v>18</v>
      </c>
      <c r="MZ7" s="137" t="s">
        <v>20</v>
      </c>
      <c r="NA7" s="175">
        <v>32</v>
      </c>
      <c r="NB7" s="139">
        <v>6.0072413793103445</v>
      </c>
      <c r="NC7" s="140">
        <f>NA7*NB7</f>
        <v>192.23172413793102</v>
      </c>
      <c r="ND7" s="141"/>
      <c r="NE7" s="528"/>
      <c r="NF7" s="135" t="s">
        <v>67</v>
      </c>
      <c r="NG7" s="136">
        <v>15</v>
      </c>
      <c r="NH7" s="137" t="s">
        <v>20</v>
      </c>
      <c r="NI7" s="175">
        <v>96</v>
      </c>
      <c r="NJ7" s="139">
        <v>6.0072413793103445</v>
      </c>
      <c r="NK7" s="140">
        <f>NI7*NJ7</f>
        <v>576.6951724137931</v>
      </c>
      <c r="NL7" s="141"/>
      <c r="NM7" s="528"/>
      <c r="NN7" s="135" t="s">
        <v>67</v>
      </c>
      <c r="NO7" s="136">
        <v>7</v>
      </c>
      <c r="NP7" s="137" t="s">
        <v>20</v>
      </c>
      <c r="NQ7" s="175">
        <v>23</v>
      </c>
      <c r="NR7" s="139">
        <v>6.0072413793103445</v>
      </c>
      <c r="NS7" s="140">
        <f>NQ7*NR7</f>
        <v>138.16655172413792</v>
      </c>
      <c r="NT7" s="141"/>
      <c r="NU7" s="528"/>
      <c r="NV7" s="135" t="s">
        <v>67</v>
      </c>
      <c r="NW7" s="136">
        <v>2</v>
      </c>
      <c r="NX7" s="137" t="s">
        <v>20</v>
      </c>
      <c r="NY7" s="175">
        <v>1</v>
      </c>
      <c r="NZ7" s="139">
        <v>6.0072413793103445</v>
      </c>
      <c r="OA7" s="140">
        <f>NY7*NZ7</f>
        <v>6.0072413793103445</v>
      </c>
      <c r="OB7" s="141"/>
      <c r="OC7" s="528"/>
      <c r="OD7" s="135" t="s">
        <v>67</v>
      </c>
      <c r="OE7" s="136">
        <v>7</v>
      </c>
      <c r="OF7" s="137" t="s">
        <v>20</v>
      </c>
      <c r="OG7" s="175">
        <v>32</v>
      </c>
      <c r="OH7" s="139">
        <v>6.0072413793103445</v>
      </c>
      <c r="OI7" s="140">
        <f>OG7*OH7</f>
        <v>192.23172413793102</v>
      </c>
      <c r="OJ7" s="141"/>
      <c r="OK7" s="528"/>
      <c r="OL7" s="135" t="s">
        <v>67</v>
      </c>
      <c r="OM7" s="136">
        <v>2</v>
      </c>
      <c r="ON7" s="137" t="s">
        <v>20</v>
      </c>
      <c r="OO7" s="175">
        <v>2</v>
      </c>
      <c r="OP7" s="139">
        <v>6.0072413793103445</v>
      </c>
      <c r="OQ7" s="140">
        <f>OO7*OP7</f>
        <v>12.014482758620689</v>
      </c>
      <c r="OR7" s="141"/>
      <c r="OS7" s="528"/>
      <c r="OT7" s="135" t="s">
        <v>67</v>
      </c>
      <c r="OU7" s="136"/>
      <c r="OV7" s="137" t="s">
        <v>20</v>
      </c>
      <c r="OW7" s="175"/>
      <c r="OX7" s="139">
        <v>6.0072413793103445</v>
      </c>
      <c r="OY7" s="140">
        <f>OW7*OX7</f>
        <v>0</v>
      </c>
      <c r="OZ7" s="141"/>
      <c r="PA7" s="528"/>
      <c r="PB7" s="135" t="s">
        <v>67</v>
      </c>
      <c r="PC7" s="136"/>
      <c r="PD7" s="137" t="s">
        <v>20</v>
      </c>
      <c r="PE7" s="175"/>
      <c r="PF7" s="139">
        <v>6.0072413793103445</v>
      </c>
      <c r="PG7" s="140">
        <f>PE7*PF7</f>
        <v>0</v>
      </c>
      <c r="PH7" s="141"/>
      <c r="PI7" s="528"/>
      <c r="PJ7" s="135" t="s">
        <v>67</v>
      </c>
      <c r="PK7" s="136">
        <v>1</v>
      </c>
      <c r="PL7" s="137" t="s">
        <v>20</v>
      </c>
      <c r="PM7" s="175">
        <v>1</v>
      </c>
      <c r="PN7" s="139">
        <v>6.0072413793103445</v>
      </c>
      <c r="PO7" s="140">
        <f>PM7*PN7</f>
        <v>6.0072413793103445</v>
      </c>
      <c r="PP7" s="141"/>
      <c r="PQ7" s="528"/>
      <c r="PR7" s="135" t="s">
        <v>67</v>
      </c>
      <c r="PS7" s="136"/>
      <c r="PT7" s="137" t="s">
        <v>20</v>
      </c>
      <c r="PU7" s="175"/>
      <c r="PV7" s="139">
        <v>6.0072413793103445</v>
      </c>
      <c r="PW7" s="140">
        <f>PU7*PV7</f>
        <v>0</v>
      </c>
      <c r="PX7" s="141"/>
      <c r="PY7" s="528"/>
      <c r="PZ7" s="135" t="s">
        <v>67</v>
      </c>
      <c r="QA7" s="136">
        <v>4</v>
      </c>
      <c r="QB7" s="137" t="s">
        <v>20</v>
      </c>
      <c r="QC7" s="175">
        <v>21</v>
      </c>
      <c r="QD7" s="139">
        <v>6.0072413793103445</v>
      </c>
      <c r="QE7" s="140">
        <f>QC7*QD7</f>
        <v>126.15206896551723</v>
      </c>
      <c r="QF7" s="141"/>
      <c r="QG7" s="528"/>
      <c r="QH7" s="135" t="s">
        <v>67</v>
      </c>
      <c r="QI7" s="136">
        <v>9</v>
      </c>
      <c r="QJ7" s="137" t="s">
        <v>20</v>
      </c>
      <c r="QK7" s="175">
        <v>35</v>
      </c>
      <c r="QL7" s="139">
        <v>6.0072413793103445</v>
      </c>
      <c r="QM7" s="140">
        <f>QK7*QL7</f>
        <v>210.25344827586207</v>
      </c>
      <c r="QN7" s="141"/>
      <c r="QO7" s="528"/>
      <c r="QP7" s="135" t="s">
        <v>67</v>
      </c>
      <c r="QQ7" s="136">
        <v>10</v>
      </c>
      <c r="QR7" s="137" t="s">
        <v>20</v>
      </c>
      <c r="QS7" s="175">
        <v>71</v>
      </c>
      <c r="QT7" s="139">
        <v>6.0072413793103445</v>
      </c>
      <c r="QU7" s="140">
        <f>QS7*QT7</f>
        <v>426.51413793103444</v>
      </c>
      <c r="QV7" s="141"/>
      <c r="QW7" s="528"/>
      <c r="QX7" s="135" t="s">
        <v>67</v>
      </c>
      <c r="QY7" s="136"/>
      <c r="QZ7" s="137" t="s">
        <v>20</v>
      </c>
      <c r="RA7" s="175"/>
      <c r="RB7" s="139">
        <v>6.0072413793103445</v>
      </c>
      <c r="RC7" s="140">
        <f>RA7*RB7</f>
        <v>0</v>
      </c>
      <c r="RD7" s="141"/>
      <c r="RE7" s="528"/>
      <c r="RF7" s="135" t="s">
        <v>67</v>
      </c>
      <c r="RG7" s="136"/>
      <c r="RH7" s="137" t="s">
        <v>20</v>
      </c>
      <c r="RI7" s="175"/>
      <c r="RJ7" s="139">
        <v>6.0072413793103445</v>
      </c>
      <c r="RK7" s="140">
        <f>RI7*RJ7</f>
        <v>0</v>
      </c>
      <c r="RL7" s="141"/>
      <c r="RM7" s="528"/>
      <c r="RN7" s="135" t="s">
        <v>67</v>
      </c>
      <c r="RO7" s="136">
        <v>6</v>
      </c>
      <c r="RP7" s="137" t="s">
        <v>20</v>
      </c>
      <c r="RQ7" s="175">
        <v>28</v>
      </c>
      <c r="RR7" s="139">
        <v>6.0072413793103445</v>
      </c>
      <c r="RS7" s="140">
        <f>RQ7*RR7</f>
        <v>168.20275862068965</v>
      </c>
      <c r="RT7" s="141"/>
      <c r="RU7" s="528"/>
      <c r="RV7" s="135" t="s">
        <v>67</v>
      </c>
      <c r="RW7" s="136">
        <v>4</v>
      </c>
      <c r="RX7" s="137" t="s">
        <v>20</v>
      </c>
      <c r="RY7" s="175">
        <v>13</v>
      </c>
      <c r="RZ7" s="139">
        <v>6.0072413793103445</v>
      </c>
      <c r="SA7" s="140">
        <f>RY7*RZ7</f>
        <v>78.094137931034481</v>
      </c>
      <c r="SB7" s="141"/>
      <c r="SC7" s="528"/>
      <c r="SD7" s="135" t="s">
        <v>67</v>
      </c>
      <c r="SE7" s="136">
        <v>11</v>
      </c>
      <c r="SF7" s="137" t="s">
        <v>20</v>
      </c>
      <c r="SG7" s="175">
        <v>54</v>
      </c>
      <c r="SH7" s="139">
        <v>6.0072413793103445</v>
      </c>
      <c r="SI7" s="140">
        <f>SG7*SH7</f>
        <v>324.39103448275858</v>
      </c>
      <c r="SJ7" s="141"/>
      <c r="SK7" s="528"/>
      <c r="SL7" s="135" t="s">
        <v>67</v>
      </c>
      <c r="SM7" s="136">
        <v>22</v>
      </c>
      <c r="SN7" s="137" t="s">
        <v>20</v>
      </c>
      <c r="SO7" s="175">
        <v>128</v>
      </c>
      <c r="SP7" s="139">
        <v>6.0072413793103445</v>
      </c>
      <c r="SQ7" s="140">
        <f>SO7*SP7</f>
        <v>768.9268965517241</v>
      </c>
      <c r="SR7" s="141"/>
      <c r="SS7" s="528"/>
      <c r="ST7" s="135" t="s">
        <v>67</v>
      </c>
      <c r="SU7" s="136">
        <v>9</v>
      </c>
      <c r="SV7" s="137" t="s">
        <v>20</v>
      </c>
      <c r="SW7" s="175">
        <v>39</v>
      </c>
      <c r="SX7" s="139">
        <v>6.0072413793103445</v>
      </c>
      <c r="SY7" s="140">
        <f>SW7*SX7</f>
        <v>234.28241379310344</v>
      </c>
      <c r="SZ7" s="141"/>
      <c r="TA7" s="528"/>
      <c r="TB7" s="135" t="s">
        <v>67</v>
      </c>
      <c r="TC7" s="136">
        <v>8</v>
      </c>
      <c r="TD7" s="137" t="s">
        <v>20</v>
      </c>
      <c r="TE7" s="175">
        <v>34</v>
      </c>
      <c r="TF7" s="139">
        <v>6.0072413793103445</v>
      </c>
      <c r="TG7" s="140">
        <f>TE7*TF7</f>
        <v>204.24620689655171</v>
      </c>
      <c r="TH7" s="141"/>
      <c r="TI7" s="528"/>
    </row>
    <row r="8" spans="2:529">
      <c r="B8" s="131"/>
      <c r="C8" s="142"/>
      <c r="D8" s="137" t="s">
        <v>11</v>
      </c>
      <c r="E8" s="138">
        <v>4</v>
      </c>
      <c r="F8" s="139">
        <v>3.8522641509433964</v>
      </c>
      <c r="G8" s="140">
        <f t="shared" ref="G8:G40" si="0">E8*F8</f>
        <v>15.409056603773585</v>
      </c>
      <c r="H8" s="134">
        <f>SUM(G7:G8)</f>
        <v>15.409056603773585</v>
      </c>
      <c r="I8" s="528"/>
      <c r="J8" s="131"/>
      <c r="K8" s="142"/>
      <c r="L8" s="137" t="s">
        <v>11</v>
      </c>
      <c r="M8" s="138">
        <v>3</v>
      </c>
      <c r="N8" s="139">
        <v>3.8522641509433964</v>
      </c>
      <c r="O8" s="140">
        <f t="shared" ref="O8:O40" si="1">M8*N8</f>
        <v>11.556792452830189</v>
      </c>
      <c r="P8" s="134">
        <f>SUM(O7:O8)</f>
        <v>29.578516590761225</v>
      </c>
      <c r="Q8" s="528"/>
      <c r="R8" s="131"/>
      <c r="S8" s="142"/>
      <c r="T8" s="137" t="s">
        <v>11</v>
      </c>
      <c r="U8" s="138">
        <v>15</v>
      </c>
      <c r="V8" s="139">
        <v>3.8522641509433964</v>
      </c>
      <c r="W8" s="140">
        <f t="shared" ref="W8:W40" si="2">U8*V8</f>
        <v>57.783962264150944</v>
      </c>
      <c r="X8" s="134">
        <f>SUM(W7:W8)</f>
        <v>87.820169160702662</v>
      </c>
      <c r="Y8" s="528"/>
      <c r="Z8" s="131"/>
      <c r="AA8" s="142"/>
      <c r="AB8" s="137" t="s">
        <v>11</v>
      </c>
      <c r="AC8" s="138">
        <v>29</v>
      </c>
      <c r="AD8" s="139">
        <v>3.8522641509433964</v>
      </c>
      <c r="AE8" s="140">
        <f t="shared" ref="AE8:AE40" si="3">AC8*AD8</f>
        <v>111.71566037735849</v>
      </c>
      <c r="AF8" s="134">
        <f>SUM(AE7:AE8)</f>
        <v>111.71566037735849</v>
      </c>
      <c r="AG8" s="528"/>
      <c r="AH8" s="131"/>
      <c r="AI8" s="142"/>
      <c r="AJ8" s="137" t="s">
        <v>11</v>
      </c>
      <c r="AK8" s="138">
        <v>27</v>
      </c>
      <c r="AL8" s="139">
        <v>3.8522641509433964</v>
      </c>
      <c r="AM8" s="140">
        <f t="shared" ref="AM8:AM40" si="4">AK8*AL8</f>
        <v>104.01113207547171</v>
      </c>
      <c r="AN8" s="134">
        <f>SUM(AM7:AM8)</f>
        <v>104.01113207547171</v>
      </c>
      <c r="AO8" s="528"/>
      <c r="AP8" s="131"/>
      <c r="AQ8" s="142"/>
      <c r="AR8" s="137" t="s">
        <v>11</v>
      </c>
      <c r="AS8" s="138"/>
      <c r="AT8" s="139">
        <v>3.8522641509433964</v>
      </c>
      <c r="AU8" s="140">
        <f t="shared" ref="AU8:AU40" si="5">AS8*AT8</f>
        <v>0</v>
      </c>
      <c r="AV8" s="134">
        <f>SUM(AU7:AU8)</f>
        <v>0</v>
      </c>
      <c r="AW8" s="528"/>
      <c r="AX8" s="131"/>
      <c r="AY8" s="142"/>
      <c r="AZ8" s="137" t="s">
        <v>11</v>
      </c>
      <c r="BA8" s="138">
        <v>10</v>
      </c>
      <c r="BB8" s="139">
        <v>3.8522641509433964</v>
      </c>
      <c r="BC8" s="140">
        <f t="shared" ref="BC8:BC40" si="6">BA8*BB8</f>
        <v>38.522641509433967</v>
      </c>
      <c r="BD8" s="134">
        <f>SUM(BC7:BC8)</f>
        <v>194.71091737150294</v>
      </c>
      <c r="BE8" s="528"/>
      <c r="BF8" s="131"/>
      <c r="BG8" s="142"/>
      <c r="BH8" s="137" t="s">
        <v>11</v>
      </c>
      <c r="BI8" s="138">
        <v>54</v>
      </c>
      <c r="BJ8" s="139">
        <v>3.8522641509433964</v>
      </c>
      <c r="BK8" s="140">
        <f t="shared" ref="BK8:BK40" si="7">BI8*BJ8</f>
        <v>208.02226415094341</v>
      </c>
      <c r="BL8" s="134">
        <f>SUM(BK7:BK8)</f>
        <v>328.16709173715032</v>
      </c>
      <c r="BM8" s="528"/>
      <c r="BN8" s="131"/>
      <c r="BO8" s="142"/>
      <c r="BP8" s="137" t="s">
        <v>11</v>
      </c>
      <c r="BQ8" s="138">
        <v>30</v>
      </c>
      <c r="BR8" s="139">
        <v>3.8522641509433964</v>
      </c>
      <c r="BS8" s="140">
        <f t="shared" ref="BS8:BS40" si="8">BQ8*BR8</f>
        <v>115.56792452830189</v>
      </c>
      <c r="BT8" s="134">
        <f>SUM(BS7:BS8)</f>
        <v>115.56792452830189</v>
      </c>
      <c r="BU8" s="528"/>
      <c r="BV8" s="553"/>
      <c r="BW8" s="533"/>
      <c r="BX8" s="559" t="s">
        <v>11</v>
      </c>
      <c r="BY8" s="560"/>
      <c r="BZ8" s="561">
        <v>3.8522641509433964</v>
      </c>
      <c r="CA8" s="562">
        <f t="shared" ref="CA8:CA40" si="9">BY8*BZ8</f>
        <v>0</v>
      </c>
      <c r="CB8" s="556">
        <f>SUM(CA7:CA8)</f>
        <v>0</v>
      </c>
      <c r="CC8" s="528"/>
      <c r="CD8" s="553"/>
      <c r="CE8" s="533"/>
      <c r="CF8" s="559" t="s">
        <v>11</v>
      </c>
      <c r="CG8" s="560"/>
      <c r="CH8" s="561">
        <v>3.8522641509433964</v>
      </c>
      <c r="CI8" s="562">
        <f t="shared" ref="CI8:CI40" si="10">CG8*CH8</f>
        <v>0</v>
      </c>
      <c r="CJ8" s="556">
        <f>SUM(CI7:CI8)</f>
        <v>0</v>
      </c>
      <c r="CK8" s="528"/>
      <c r="CL8" s="131"/>
      <c r="CM8" s="142"/>
      <c r="CN8" s="137" t="s">
        <v>11</v>
      </c>
      <c r="CO8" s="138">
        <v>0</v>
      </c>
      <c r="CP8" s="139">
        <v>3.8522641509433964</v>
      </c>
      <c r="CQ8" s="140">
        <f t="shared" ref="CQ8:CQ40" si="11">CO8*CP8</f>
        <v>0</v>
      </c>
      <c r="CR8" s="134">
        <f>SUM(CQ7:CQ8)</f>
        <v>30.036206896551722</v>
      </c>
      <c r="CS8" s="528"/>
      <c r="CT8" s="131"/>
      <c r="CU8" s="142"/>
      <c r="CV8" s="137" t="s">
        <v>11</v>
      </c>
      <c r="CW8" s="138">
        <v>54</v>
      </c>
      <c r="CX8" s="139">
        <v>3.8522641509433964</v>
      </c>
      <c r="CY8" s="140">
        <f t="shared" ref="CY8:CY57" si="12">CW8*CX8</f>
        <v>208.02226415094341</v>
      </c>
      <c r="CZ8" s="134">
        <f>SUM(CY7:CY8)</f>
        <v>328.16709173715032</v>
      </c>
      <c r="DA8" s="528"/>
      <c r="DB8" s="131"/>
      <c r="DC8" s="142"/>
      <c r="DD8" s="137" t="s">
        <v>11</v>
      </c>
      <c r="DE8" s="138">
        <v>10</v>
      </c>
      <c r="DF8" s="139">
        <v>3.8522641509433964</v>
      </c>
      <c r="DG8" s="140">
        <f t="shared" ref="DG8:DG57" si="13">DE8*DF8</f>
        <v>38.522641509433967</v>
      </c>
      <c r="DH8" s="134">
        <f>SUM(DG7:DG8)</f>
        <v>62.551607026675342</v>
      </c>
      <c r="DI8" s="528"/>
      <c r="DJ8" s="131"/>
      <c r="DK8" s="142"/>
      <c r="DL8" s="137" t="s">
        <v>11</v>
      </c>
      <c r="DM8" s="138">
        <v>0</v>
      </c>
      <c r="DN8" s="170">
        <v>3.8522641509433964</v>
      </c>
      <c r="DO8" s="140">
        <f t="shared" ref="DO8:DO57" si="14">DM8*DN8</f>
        <v>0</v>
      </c>
      <c r="DP8" s="134">
        <f>SUM(DO7:DO8)</f>
        <v>198.23896551724138</v>
      </c>
      <c r="DQ8" s="528"/>
      <c r="DR8" s="131"/>
      <c r="DS8" s="142"/>
      <c r="DT8" s="137" t="s">
        <v>11</v>
      </c>
      <c r="DU8" s="138"/>
      <c r="DV8" s="170">
        <v>3.8522641509433964</v>
      </c>
      <c r="DW8" s="140">
        <f t="shared" ref="DW8:DW57" si="15">DU8*DV8</f>
        <v>0</v>
      </c>
      <c r="DX8" s="134">
        <f>SUM(DW7:DW8)</f>
        <v>0</v>
      </c>
      <c r="DY8" s="528"/>
      <c r="DZ8" s="131"/>
      <c r="EA8" s="142"/>
      <c r="EB8" s="137" t="s">
        <v>11</v>
      </c>
      <c r="EC8" s="138">
        <v>102</v>
      </c>
      <c r="ED8" s="170">
        <v>3.8522641509433964</v>
      </c>
      <c r="EE8" s="140">
        <f t="shared" ref="EE8:EE57" si="16">EC8*ED8</f>
        <v>392.93094339622644</v>
      </c>
      <c r="EF8" s="134">
        <f>SUM(EE7:EE8)</f>
        <v>561.13370201691612</v>
      </c>
      <c r="EG8" s="528"/>
      <c r="EH8" s="131"/>
      <c r="EI8" s="142"/>
      <c r="EJ8" s="137" t="s">
        <v>11</v>
      </c>
      <c r="EK8" s="138">
        <v>224</v>
      </c>
      <c r="EL8" s="170">
        <v>3.8522641509433964</v>
      </c>
      <c r="EM8" s="140">
        <f t="shared" ref="EM8:EM57" si="17">EK8*EL8</f>
        <v>862.90716981132073</v>
      </c>
      <c r="EN8" s="134">
        <f>SUM(EM7:EM8)</f>
        <v>1385.5371698113208</v>
      </c>
      <c r="EO8" s="528"/>
      <c r="EP8" s="131"/>
      <c r="EQ8" s="142"/>
      <c r="ER8" s="137" t="s">
        <v>11</v>
      </c>
      <c r="ES8" s="138">
        <v>43</v>
      </c>
      <c r="ET8" s="170">
        <v>3.8522641509433964</v>
      </c>
      <c r="EU8" s="140">
        <f t="shared" ref="EU8:EU57" si="18">ES8*ET8</f>
        <v>165.64735849056603</v>
      </c>
      <c r="EV8" s="134">
        <f>SUM(EU7:EU8)</f>
        <v>1391.1245998698764</v>
      </c>
      <c r="EW8" s="528"/>
      <c r="EX8" s="131"/>
      <c r="EY8" s="142"/>
      <c r="EZ8" s="137" t="s">
        <v>11</v>
      </c>
      <c r="FA8" s="138"/>
      <c r="FB8" s="170">
        <v>3.8522641509433964</v>
      </c>
      <c r="FC8" s="140">
        <f t="shared" ref="FC8:FC57" si="19">FA8*FB8</f>
        <v>0</v>
      </c>
      <c r="FD8" s="134">
        <f>SUM(FC7:FC8)</f>
        <v>0</v>
      </c>
      <c r="FE8" s="528"/>
      <c r="FF8" s="131"/>
      <c r="FG8" s="142"/>
      <c r="FH8" s="137" t="s">
        <v>11</v>
      </c>
      <c r="FI8" s="138"/>
      <c r="FJ8" s="170">
        <v>3.8522641509433964</v>
      </c>
      <c r="FK8" s="140">
        <f t="shared" ref="FK8:FK57" si="20">FI8*FJ8</f>
        <v>0</v>
      </c>
      <c r="FL8" s="134">
        <f>SUM(FK7:FK8)</f>
        <v>0</v>
      </c>
      <c r="FM8" s="528"/>
      <c r="FN8" s="131"/>
      <c r="FO8" s="142"/>
      <c r="FP8" s="137" t="s">
        <v>11</v>
      </c>
      <c r="FQ8" s="138"/>
      <c r="FR8" s="170">
        <v>3.8522641509433964</v>
      </c>
      <c r="FS8" s="140">
        <f t="shared" ref="FS8:FS57" si="21">FQ8*FR8</f>
        <v>0</v>
      </c>
      <c r="FT8" s="134">
        <f>SUM(FS7:FS8)</f>
        <v>0</v>
      </c>
      <c r="FU8" s="528"/>
      <c r="FV8" s="131"/>
      <c r="FW8" s="142"/>
      <c r="FX8" s="137" t="s">
        <v>11</v>
      </c>
      <c r="FY8" s="138"/>
      <c r="FZ8" s="170">
        <v>3.8522641509433964</v>
      </c>
      <c r="GA8" s="140">
        <f t="shared" ref="GA8:GA57" si="22">FY8*FZ8</f>
        <v>0</v>
      </c>
      <c r="GB8" s="134">
        <f>SUM(GA7:GA8)</f>
        <v>0</v>
      </c>
      <c r="GC8" s="528"/>
      <c r="GD8" s="131"/>
      <c r="GE8" s="142"/>
      <c r="GF8" s="137" t="s">
        <v>11</v>
      </c>
      <c r="GG8" s="138"/>
      <c r="GH8" s="170">
        <v>3.8522641509433964</v>
      </c>
      <c r="GI8" s="140">
        <f t="shared" ref="GI8:GI57" si="23">GG8*GH8</f>
        <v>0</v>
      </c>
      <c r="GJ8" s="134">
        <f>SUM(GI7:GI8)</f>
        <v>0</v>
      </c>
      <c r="GK8" s="528"/>
      <c r="GL8" s="131"/>
      <c r="GM8" s="142"/>
      <c r="GN8" s="137" t="s">
        <v>11</v>
      </c>
      <c r="GO8" s="175">
        <v>54</v>
      </c>
      <c r="GP8" s="139">
        <v>3.8522641509433964</v>
      </c>
      <c r="GQ8" s="140">
        <f t="shared" ref="GQ8:GQ40" si="24">GO8*GP8</f>
        <v>208.02226415094341</v>
      </c>
      <c r="GR8" s="134">
        <f>SUM(GQ7:GQ8)</f>
        <v>328.16709173715032</v>
      </c>
      <c r="GS8" s="528"/>
      <c r="GT8" s="131"/>
      <c r="GU8" s="142"/>
      <c r="GV8" s="137" t="s">
        <v>11</v>
      </c>
      <c r="GW8" s="175">
        <v>10</v>
      </c>
      <c r="GX8" s="139">
        <v>3.8522641509433964</v>
      </c>
      <c r="GY8" s="140">
        <f t="shared" ref="GY8:GY40" si="25">GW8*GX8</f>
        <v>38.522641509433967</v>
      </c>
      <c r="GZ8" s="134">
        <f>SUM(GY7:GY8)</f>
        <v>38.522641509433967</v>
      </c>
      <c r="HA8" s="528"/>
      <c r="HB8" s="131"/>
      <c r="HC8" s="142"/>
      <c r="HD8" s="137" t="s">
        <v>11</v>
      </c>
      <c r="HE8" s="175">
        <v>15</v>
      </c>
      <c r="HF8" s="139">
        <v>3.8522641509433964</v>
      </c>
      <c r="HG8" s="140">
        <f t="shared" ref="HG8:HG40" si="26">HE8*HF8</f>
        <v>57.783962264150944</v>
      </c>
      <c r="HH8" s="134">
        <f>SUM(HG7:HG8)</f>
        <v>57.783962264150944</v>
      </c>
      <c r="HI8" s="528"/>
      <c r="HJ8" s="131"/>
      <c r="HK8" s="142"/>
      <c r="HL8" s="137" t="s">
        <v>11</v>
      </c>
      <c r="HM8" s="175">
        <v>26</v>
      </c>
      <c r="HN8" s="139">
        <v>3.8522641509433964</v>
      </c>
      <c r="HO8" s="140">
        <f t="shared" ref="HO8:HO40" si="27">HM8*HN8</f>
        <v>100.15886792452831</v>
      </c>
      <c r="HP8" s="134">
        <f>SUM(HO7:HO8)</f>
        <v>118.18059206245934</v>
      </c>
      <c r="HQ8" s="528"/>
      <c r="HR8" s="131"/>
      <c r="HS8" s="142"/>
      <c r="HT8" s="137" t="s">
        <v>11</v>
      </c>
      <c r="HU8" s="175">
        <v>35</v>
      </c>
      <c r="HV8" s="139">
        <v>3.8522641509433964</v>
      </c>
      <c r="HW8" s="140">
        <f t="shared" ref="HW8:HW40" si="28">HU8*HV8</f>
        <v>134.82924528301888</v>
      </c>
      <c r="HX8" s="134">
        <f>SUM(HW7:HW8)</f>
        <v>158.85821080026025</v>
      </c>
      <c r="HY8" s="528"/>
      <c r="HZ8" s="131"/>
      <c r="IA8" s="142"/>
      <c r="IB8" s="137" t="s">
        <v>11</v>
      </c>
      <c r="IC8" s="175">
        <v>140</v>
      </c>
      <c r="ID8" s="139">
        <v>3.8522641509433964</v>
      </c>
      <c r="IE8" s="140">
        <f t="shared" ref="IE8:IE40" si="29">IC8*ID8</f>
        <v>539.31698113207551</v>
      </c>
      <c r="IF8" s="134">
        <f>SUM(IE7:IE8)</f>
        <v>935.79491216655833</v>
      </c>
      <c r="IG8" s="528"/>
      <c r="IH8" s="131"/>
      <c r="II8" s="142"/>
      <c r="IJ8" s="137" t="s">
        <v>11</v>
      </c>
      <c r="IK8" s="175">
        <v>55</v>
      </c>
      <c r="IL8" s="139">
        <v>3.8522641509433964</v>
      </c>
      <c r="IM8" s="140">
        <f t="shared" ref="IM8:IM40" si="30">IK8*IL8</f>
        <v>211.87452830188681</v>
      </c>
      <c r="IN8" s="134">
        <f>SUM(IM7:IM8)</f>
        <v>422.12797657774888</v>
      </c>
      <c r="IO8" s="528"/>
      <c r="IP8" s="131"/>
      <c r="IQ8" s="142"/>
      <c r="IR8" s="137" t="s">
        <v>11</v>
      </c>
      <c r="IS8" s="175">
        <v>138</v>
      </c>
      <c r="IT8" s="139">
        <v>3.8522641509433964</v>
      </c>
      <c r="IU8" s="140">
        <f t="shared" ref="IU8:IU40" si="31">IS8*IT8</f>
        <v>531.61245283018866</v>
      </c>
      <c r="IV8" s="134">
        <f>SUM(IU7:IU8)</f>
        <v>1264.4959011060507</v>
      </c>
      <c r="IW8" s="528"/>
      <c r="IX8" s="131"/>
      <c r="IY8" s="142"/>
      <c r="IZ8" s="137" t="s">
        <v>11</v>
      </c>
      <c r="JA8" s="175">
        <v>60</v>
      </c>
      <c r="JB8" s="139">
        <v>3.8522641509433964</v>
      </c>
      <c r="JC8" s="140">
        <f t="shared" ref="JC8:JC40" si="32">JA8*JB8</f>
        <v>231.13584905660377</v>
      </c>
      <c r="JD8" s="134">
        <f>SUM(JC7:JC8)</f>
        <v>375.30964216005202</v>
      </c>
      <c r="JE8" s="528"/>
      <c r="JF8" s="131"/>
      <c r="JG8" s="142"/>
      <c r="JH8" s="137" t="s">
        <v>11</v>
      </c>
      <c r="JI8" s="175">
        <v>39</v>
      </c>
      <c r="JJ8" s="139">
        <v>3.8522641509433964</v>
      </c>
      <c r="JK8" s="140">
        <f t="shared" ref="JK8:JK40" si="33">JI8*JJ8</f>
        <v>150.23830188679247</v>
      </c>
      <c r="JL8" s="134">
        <f>SUM(JK7:JK8)</f>
        <v>246.354163955758</v>
      </c>
      <c r="JM8" s="528"/>
      <c r="JN8" s="131"/>
      <c r="JO8" s="142"/>
      <c r="JP8" s="137" t="s">
        <v>11</v>
      </c>
      <c r="JQ8" s="175">
        <v>63</v>
      </c>
      <c r="JR8" s="139">
        <v>3.8522641509433964</v>
      </c>
      <c r="JS8" s="140">
        <f t="shared" ref="JS8:JS40" si="34">JQ8*JR8</f>
        <v>242.69264150943397</v>
      </c>
      <c r="JT8" s="134">
        <f>SUM(JS7:JS8)</f>
        <v>693.23574495770981</v>
      </c>
      <c r="JU8" s="528"/>
      <c r="JV8" s="131"/>
      <c r="JW8" s="142"/>
      <c r="JX8" s="137" t="s">
        <v>11</v>
      </c>
      <c r="JY8" s="175">
        <v>75</v>
      </c>
      <c r="JZ8" s="139">
        <v>3.8522641509433964</v>
      </c>
      <c r="KA8" s="140">
        <f t="shared" ref="KA8:KA40" si="35">JY8*JZ8</f>
        <v>288.91981132075472</v>
      </c>
      <c r="KB8" s="134">
        <f>SUM(KA7:KA8)</f>
        <v>655.36153545868569</v>
      </c>
      <c r="KC8" s="528"/>
      <c r="KD8" s="131"/>
      <c r="KE8" s="142"/>
      <c r="KF8" s="137" t="s">
        <v>11</v>
      </c>
      <c r="KG8" s="175">
        <v>4</v>
      </c>
      <c r="KH8" s="139">
        <v>3.8522641509433964</v>
      </c>
      <c r="KI8" s="140">
        <f t="shared" ref="KI8:KI40" si="36">KG8*KH8</f>
        <v>15.409056603773585</v>
      </c>
      <c r="KJ8" s="134">
        <f>SUM(KI7:KI8)</f>
        <v>15.409056603773585</v>
      </c>
      <c r="KK8" s="528"/>
      <c r="KL8" s="131"/>
      <c r="KM8" s="142"/>
      <c r="KN8" s="137" t="s">
        <v>11</v>
      </c>
      <c r="KO8" s="175">
        <v>3</v>
      </c>
      <c r="KP8" s="139">
        <v>3.8522641509433964</v>
      </c>
      <c r="KQ8" s="140">
        <f t="shared" ref="KQ8:KQ40" si="37">KO8*KP8</f>
        <v>11.556792452830189</v>
      </c>
      <c r="KR8" s="134">
        <f>SUM(KQ7:KQ8)</f>
        <v>29.578516590761225</v>
      </c>
      <c r="KS8" s="528"/>
      <c r="KT8" s="131"/>
      <c r="KU8" s="142"/>
      <c r="KV8" s="137" t="s">
        <v>11</v>
      </c>
      <c r="KW8" s="175">
        <v>0</v>
      </c>
      <c r="KX8" s="139">
        <v>3.8522641509433964</v>
      </c>
      <c r="KY8" s="140">
        <f t="shared" ref="KY8:KY40" si="38">KW8*KX8</f>
        <v>0</v>
      </c>
      <c r="KZ8" s="134">
        <f>SUM(KY7:KY8)</f>
        <v>84.101379310344825</v>
      </c>
      <c r="LA8" s="528"/>
      <c r="LB8" s="131"/>
      <c r="LC8" s="142"/>
      <c r="LD8" s="137" t="s">
        <v>11</v>
      </c>
      <c r="LE8" s="175">
        <v>2</v>
      </c>
      <c r="LF8" s="139">
        <v>3.8522641509433964</v>
      </c>
      <c r="LG8" s="140">
        <f t="shared" ref="LG8:LG40" si="39">LE8*LF8</f>
        <v>7.7045283018867927</v>
      </c>
      <c r="LH8" s="134">
        <f>SUM(LG7:LG8)</f>
        <v>37.740735198438514</v>
      </c>
      <c r="LI8" s="528"/>
      <c r="LJ8" s="131"/>
      <c r="LK8" s="142"/>
      <c r="LL8" s="137" t="s">
        <v>11</v>
      </c>
      <c r="LM8" s="175">
        <v>42</v>
      </c>
      <c r="LN8" s="139">
        <v>3.8522641509433964</v>
      </c>
      <c r="LO8" s="140">
        <f t="shared" ref="LO8:LO40" si="40">LM8*LN8</f>
        <v>161.79509433962264</v>
      </c>
      <c r="LP8" s="134">
        <f>SUM(LO7:LO8)</f>
        <v>564.28026675341573</v>
      </c>
      <c r="LQ8" s="528"/>
      <c r="LR8" s="131"/>
      <c r="LS8" s="142"/>
      <c r="LT8" s="137" t="s">
        <v>11</v>
      </c>
      <c r="LU8" s="175">
        <v>70</v>
      </c>
      <c r="LV8" s="139">
        <v>3.8522641509433964</v>
      </c>
      <c r="LW8" s="140">
        <f t="shared" ref="LW8:LW40" si="41">LU8*LV8</f>
        <v>269.65849056603776</v>
      </c>
      <c r="LX8" s="134">
        <f>SUM(LW7:LW8)</f>
        <v>305.70193884189985</v>
      </c>
      <c r="LY8" s="528"/>
      <c r="LZ8" s="131"/>
      <c r="MA8" s="142"/>
      <c r="MB8" s="137" t="s">
        <v>11</v>
      </c>
      <c r="MC8" s="175">
        <v>324</v>
      </c>
      <c r="MD8" s="139">
        <v>3.8522641509433964</v>
      </c>
      <c r="ME8" s="140">
        <f t="shared" ref="ME8:ME40" si="42">MC8*MD8</f>
        <v>1248.1335849056604</v>
      </c>
      <c r="MF8" s="134">
        <f>SUM(ME7:ME8)</f>
        <v>1788.7853090435915</v>
      </c>
      <c r="MG8" s="528"/>
      <c r="MH8" s="131"/>
      <c r="MI8" s="142"/>
      <c r="MJ8" s="137" t="s">
        <v>11</v>
      </c>
      <c r="MK8" s="175">
        <v>134</v>
      </c>
      <c r="ML8" s="139">
        <v>3.8522641509433964</v>
      </c>
      <c r="MM8" s="140">
        <f t="shared" ref="MM8:MM40" si="43">MK8*ML8</f>
        <v>516.20339622641507</v>
      </c>
      <c r="MN8" s="134">
        <f>SUM(MM7:MM8)</f>
        <v>636.348223812622</v>
      </c>
      <c r="MO8" s="528"/>
      <c r="MP8" s="131"/>
      <c r="MQ8" s="142"/>
      <c r="MR8" s="137" t="s">
        <v>11</v>
      </c>
      <c r="MS8" s="175">
        <v>92</v>
      </c>
      <c r="MT8" s="139">
        <v>3.8522641509433964</v>
      </c>
      <c r="MU8" s="140">
        <f t="shared" ref="MU8:MU40" si="44">MS8*MT8</f>
        <v>354.40830188679246</v>
      </c>
      <c r="MV8" s="134">
        <f>SUM(MU7:MU8)</f>
        <v>438.5096811971373</v>
      </c>
      <c r="MW8" s="528"/>
      <c r="MX8" s="131"/>
      <c r="MY8" s="142"/>
      <c r="MZ8" s="137" t="s">
        <v>11</v>
      </c>
      <c r="NA8" s="175">
        <v>34</v>
      </c>
      <c r="NB8" s="139">
        <v>3.8522641509433964</v>
      </c>
      <c r="NC8" s="140">
        <f t="shared" ref="NC8:NC27" si="45">NA8*NB8</f>
        <v>130.97698113207548</v>
      </c>
      <c r="ND8" s="134">
        <f>SUM(NC7:NC8)</f>
        <v>323.20870527000648</v>
      </c>
      <c r="NE8" s="528"/>
      <c r="NF8" s="131"/>
      <c r="NG8" s="142"/>
      <c r="NH8" s="137" t="s">
        <v>11</v>
      </c>
      <c r="NI8" s="175">
        <v>42</v>
      </c>
      <c r="NJ8" s="139">
        <v>3.8522641509433964</v>
      </c>
      <c r="NK8" s="140">
        <f t="shared" ref="NK8:NK25" si="46">NI8*NJ8</f>
        <v>161.79509433962264</v>
      </c>
      <c r="NL8" s="134">
        <f>SUM(NK7:NK8)</f>
        <v>738.49026675341577</v>
      </c>
      <c r="NM8" s="528"/>
      <c r="NN8" s="131"/>
      <c r="NO8" s="142"/>
      <c r="NP8" s="137" t="s">
        <v>11</v>
      </c>
      <c r="NQ8" s="175">
        <v>26</v>
      </c>
      <c r="NR8" s="139">
        <v>3.8522641509433964</v>
      </c>
      <c r="NS8" s="140">
        <f t="shared" ref="NS8:NS25" si="47">NQ8*NR8</f>
        <v>100.15886792452831</v>
      </c>
      <c r="NT8" s="134">
        <f>SUM(NS7:NS8)</f>
        <v>238.32541964866624</v>
      </c>
      <c r="NU8" s="528"/>
      <c r="NV8" s="131"/>
      <c r="NW8" s="142"/>
      <c r="NX8" s="137" t="s">
        <v>11</v>
      </c>
      <c r="NY8" s="175">
        <v>4</v>
      </c>
      <c r="NZ8" s="139">
        <v>3.8522641509433964</v>
      </c>
      <c r="OA8" s="140">
        <f t="shared" ref="OA8:OA25" si="48">NY8*NZ8</f>
        <v>15.409056603773585</v>
      </c>
      <c r="OB8" s="134">
        <f>SUM(OA7:OA8)</f>
        <v>21.416297983083929</v>
      </c>
      <c r="OC8" s="528"/>
      <c r="OD8" s="131"/>
      <c r="OE8" s="142"/>
      <c r="OF8" s="137" t="s">
        <v>11</v>
      </c>
      <c r="OG8" s="175">
        <v>13</v>
      </c>
      <c r="OH8" s="139">
        <v>3.8522641509433964</v>
      </c>
      <c r="OI8" s="140">
        <f t="shared" ref="OI8:OI25" si="49">OG8*OH8</f>
        <v>50.079433962264154</v>
      </c>
      <c r="OJ8" s="134">
        <f>SUM(OI7:OI8)</f>
        <v>242.31115810019517</v>
      </c>
      <c r="OK8" s="528"/>
      <c r="OL8" s="131"/>
      <c r="OM8" s="142"/>
      <c r="ON8" s="137" t="s">
        <v>11</v>
      </c>
      <c r="OO8" s="175"/>
      <c r="OP8" s="139">
        <v>3.8522641509433964</v>
      </c>
      <c r="OQ8" s="140">
        <f t="shared" ref="OQ8:OQ25" si="50">OO8*OP8</f>
        <v>0</v>
      </c>
      <c r="OR8" s="134">
        <f>SUM(OQ7:OQ8)</f>
        <v>12.014482758620689</v>
      </c>
      <c r="OS8" s="528"/>
      <c r="OT8" s="131"/>
      <c r="OU8" s="142"/>
      <c r="OV8" s="137" t="s">
        <v>11</v>
      </c>
      <c r="OW8" s="175"/>
      <c r="OX8" s="139">
        <v>3.8522641509433964</v>
      </c>
      <c r="OY8" s="140">
        <f t="shared" ref="OY8:OY25" si="51">OW8*OX8</f>
        <v>0</v>
      </c>
      <c r="OZ8" s="134">
        <f>SUM(OY7:OY8)</f>
        <v>0</v>
      </c>
      <c r="PA8" s="528"/>
      <c r="PB8" s="131"/>
      <c r="PC8" s="142"/>
      <c r="PD8" s="137" t="s">
        <v>11</v>
      </c>
      <c r="PE8" s="175"/>
      <c r="PF8" s="139">
        <v>3.8522641509433964</v>
      </c>
      <c r="PG8" s="140">
        <f t="shared" ref="PG8:PG25" si="52">PE8*PF8</f>
        <v>0</v>
      </c>
      <c r="PH8" s="134">
        <f>SUM(PG7:PG8)</f>
        <v>0</v>
      </c>
      <c r="PI8" s="528"/>
      <c r="PJ8" s="131"/>
      <c r="PK8" s="142"/>
      <c r="PL8" s="137" t="s">
        <v>11</v>
      </c>
      <c r="PM8" s="175"/>
      <c r="PN8" s="139">
        <v>3.8522641509433964</v>
      </c>
      <c r="PO8" s="140">
        <f t="shared" ref="PO8:PO25" si="53">PM8*PN8</f>
        <v>0</v>
      </c>
      <c r="PP8" s="134">
        <f>SUM(PO7:PO8)</f>
        <v>6.0072413793103445</v>
      </c>
      <c r="PQ8" s="528"/>
      <c r="PR8" s="131"/>
      <c r="PS8" s="142"/>
      <c r="PT8" s="137" t="s">
        <v>11</v>
      </c>
      <c r="PU8" s="175"/>
      <c r="PV8" s="139">
        <v>3.8522641509433964</v>
      </c>
      <c r="PW8" s="140">
        <f t="shared" ref="PW8:PW17" si="54">PU8*PV8</f>
        <v>0</v>
      </c>
      <c r="PX8" s="134">
        <f>SUM(PW7:PW8)</f>
        <v>0</v>
      </c>
      <c r="PY8" s="528"/>
      <c r="PZ8" s="131"/>
      <c r="QA8" s="142"/>
      <c r="QB8" s="137" t="s">
        <v>11</v>
      </c>
      <c r="QC8" s="175">
        <v>6</v>
      </c>
      <c r="QD8" s="139">
        <v>3.8522641509433964</v>
      </c>
      <c r="QE8" s="140">
        <f t="shared" ref="QE8:QE17" si="55">QC8*QD8</f>
        <v>23.113584905660378</v>
      </c>
      <c r="QF8" s="134">
        <f>SUM(QE7:QE8)</f>
        <v>149.26565387117762</v>
      </c>
      <c r="QG8" s="528"/>
      <c r="QH8" s="131"/>
      <c r="QI8" s="142"/>
      <c r="QJ8" s="137" t="s">
        <v>11</v>
      </c>
      <c r="QK8" s="175">
        <v>45</v>
      </c>
      <c r="QL8" s="139">
        <v>3.8522641509433964</v>
      </c>
      <c r="QM8" s="140">
        <f t="shared" ref="QM8:QM17" si="56">QK8*QL8</f>
        <v>173.35188679245283</v>
      </c>
      <c r="QN8" s="134">
        <f>SUM(QM7:QM8)</f>
        <v>383.6053350683149</v>
      </c>
      <c r="QO8" s="528"/>
      <c r="QP8" s="131"/>
      <c r="QQ8" s="142"/>
      <c r="QR8" s="137" t="s">
        <v>11</v>
      </c>
      <c r="QS8" s="175">
        <v>15</v>
      </c>
      <c r="QT8" s="139">
        <v>3.8522641509433964</v>
      </c>
      <c r="QU8" s="140">
        <f t="shared" ref="QU8:QU17" si="57">QS8*QT8</f>
        <v>57.783962264150944</v>
      </c>
      <c r="QV8" s="134">
        <f>SUM(QU7:QU8)</f>
        <v>484.29810019518538</v>
      </c>
      <c r="QW8" s="528"/>
      <c r="QX8" s="131"/>
      <c r="QY8" s="142"/>
      <c r="QZ8" s="137" t="s">
        <v>11</v>
      </c>
      <c r="RA8" s="175"/>
      <c r="RB8" s="139">
        <v>3.8522641509433964</v>
      </c>
      <c r="RC8" s="140">
        <f t="shared" ref="RC8:RC17" si="58">RA8*RB8</f>
        <v>0</v>
      </c>
      <c r="RD8" s="134">
        <f>SUM(RC7:RC8)</f>
        <v>0</v>
      </c>
      <c r="RE8" s="528"/>
      <c r="RF8" s="131"/>
      <c r="RG8" s="142"/>
      <c r="RH8" s="137" t="s">
        <v>11</v>
      </c>
      <c r="RI8" s="175"/>
      <c r="RJ8" s="139">
        <v>3.8522641509433964</v>
      </c>
      <c r="RK8" s="140">
        <f t="shared" ref="RK8:RK17" si="59">RI8*RJ8</f>
        <v>0</v>
      </c>
      <c r="RL8" s="134">
        <f>SUM(RK7:RK8)</f>
        <v>0</v>
      </c>
      <c r="RM8" s="528"/>
      <c r="RN8" s="131"/>
      <c r="RO8" s="142"/>
      <c r="RP8" s="137" t="s">
        <v>11</v>
      </c>
      <c r="RQ8" s="175"/>
      <c r="RR8" s="139">
        <v>3.8522641509433964</v>
      </c>
      <c r="RS8" s="140">
        <f t="shared" ref="RS8:RS17" si="60">RQ8*RR8</f>
        <v>0</v>
      </c>
      <c r="RT8" s="134">
        <f>SUM(RS7:RS8)</f>
        <v>168.20275862068965</v>
      </c>
      <c r="RU8" s="528"/>
      <c r="RV8" s="131"/>
      <c r="RW8" s="142"/>
      <c r="RX8" s="137" t="s">
        <v>11</v>
      </c>
      <c r="RY8" s="175">
        <v>8</v>
      </c>
      <c r="RZ8" s="139">
        <v>3.8522641509433964</v>
      </c>
      <c r="SA8" s="140">
        <f t="shared" ref="SA8:SA17" si="61">RY8*RZ8</f>
        <v>30.818113207547171</v>
      </c>
      <c r="SB8" s="134">
        <f>SUM(SA7:SA8)</f>
        <v>108.91225113858165</v>
      </c>
      <c r="SC8" s="528"/>
      <c r="SD8" s="131"/>
      <c r="SE8" s="142"/>
      <c r="SF8" s="137" t="s">
        <v>11</v>
      </c>
      <c r="SG8" s="175">
        <v>11</v>
      </c>
      <c r="SH8" s="139">
        <v>3.8522641509433964</v>
      </c>
      <c r="SI8" s="140">
        <f t="shared" ref="SI8:SI17" si="62">SG8*SH8</f>
        <v>42.374905660377358</v>
      </c>
      <c r="SJ8" s="134">
        <f>SUM(SI7:SI8)</f>
        <v>366.76594014313594</v>
      </c>
      <c r="SK8" s="528"/>
      <c r="SL8" s="131"/>
      <c r="SM8" s="142"/>
      <c r="SN8" s="137" t="s">
        <v>11</v>
      </c>
      <c r="SO8" s="175">
        <v>3</v>
      </c>
      <c r="SP8" s="139">
        <v>3.8522641509433964</v>
      </c>
      <c r="SQ8" s="140">
        <f t="shared" ref="SQ8:SQ17" si="63">SO8*SP8</f>
        <v>11.556792452830189</v>
      </c>
      <c r="SR8" s="134">
        <f>SUM(SQ7:SQ8)</f>
        <v>780.48368900455432</v>
      </c>
      <c r="SS8" s="528"/>
      <c r="ST8" s="131"/>
      <c r="SU8" s="142"/>
      <c r="SV8" s="137" t="s">
        <v>11</v>
      </c>
      <c r="SW8" s="175">
        <v>13</v>
      </c>
      <c r="SX8" s="139">
        <v>3.8522641509433964</v>
      </c>
      <c r="SY8" s="140">
        <f t="shared" ref="SY8:SY17" si="64">SW8*SX8</f>
        <v>50.079433962264154</v>
      </c>
      <c r="SZ8" s="134">
        <f>SUM(SY7:SY8)</f>
        <v>284.36184775536759</v>
      </c>
      <c r="TA8" s="528"/>
      <c r="TB8" s="131"/>
      <c r="TC8" s="142"/>
      <c r="TD8" s="137" t="s">
        <v>11</v>
      </c>
      <c r="TE8" s="175"/>
      <c r="TF8" s="139">
        <v>3.8522641509433964</v>
      </c>
      <c r="TG8" s="140">
        <f t="shared" ref="TG8:TG17" si="65">TE8*TF8</f>
        <v>0</v>
      </c>
      <c r="TH8" s="134">
        <f>SUM(TG7:TG8)</f>
        <v>204.24620689655171</v>
      </c>
      <c r="TI8" s="528"/>
    </row>
    <row r="9" spans="2:529">
      <c r="B9" s="143" t="s">
        <v>68</v>
      </c>
      <c r="C9" s="144">
        <v>3</v>
      </c>
      <c r="D9" s="137" t="s">
        <v>36</v>
      </c>
      <c r="E9" s="138">
        <v>1</v>
      </c>
      <c r="F9" s="139">
        <v>4.8258064516129027</v>
      </c>
      <c r="G9" s="140">
        <f t="shared" si="0"/>
        <v>4.8258064516129027</v>
      </c>
      <c r="H9" s="130"/>
      <c r="I9" s="528"/>
      <c r="J9" s="143" t="s">
        <v>68</v>
      </c>
      <c r="K9" s="144">
        <v>5</v>
      </c>
      <c r="L9" s="137" t="s">
        <v>36</v>
      </c>
      <c r="M9" s="138">
        <v>32</v>
      </c>
      <c r="N9" s="139">
        <v>4.8258064516129027</v>
      </c>
      <c r="O9" s="140">
        <f t="shared" si="1"/>
        <v>154.42580645161289</v>
      </c>
      <c r="P9" s="130"/>
      <c r="Q9" s="528"/>
      <c r="R9" s="143" t="s">
        <v>68</v>
      </c>
      <c r="S9" s="144">
        <v>4</v>
      </c>
      <c r="T9" s="137" t="s">
        <v>36</v>
      </c>
      <c r="U9" s="138">
        <v>30</v>
      </c>
      <c r="V9" s="139">
        <v>4.8258064516129027</v>
      </c>
      <c r="W9" s="140">
        <f t="shared" si="2"/>
        <v>144.77419354838707</v>
      </c>
      <c r="X9" s="130"/>
      <c r="Y9" s="528"/>
      <c r="Z9" s="143" t="s">
        <v>68</v>
      </c>
      <c r="AA9" s="144">
        <v>6</v>
      </c>
      <c r="AB9" s="137" t="s">
        <v>36</v>
      </c>
      <c r="AC9" s="138">
        <v>2</v>
      </c>
      <c r="AD9" s="139">
        <v>4.8258064516129027</v>
      </c>
      <c r="AE9" s="140">
        <f t="shared" si="3"/>
        <v>9.6516129032258053</v>
      </c>
      <c r="AF9" s="130"/>
      <c r="AG9" s="528"/>
      <c r="AH9" s="143" t="s">
        <v>68</v>
      </c>
      <c r="AI9" s="144">
        <v>5</v>
      </c>
      <c r="AJ9" s="137" t="s">
        <v>36</v>
      </c>
      <c r="AK9" s="138">
        <v>33</v>
      </c>
      <c r="AL9" s="139">
        <v>4.8258064516129027</v>
      </c>
      <c r="AM9" s="140">
        <f t="shared" si="4"/>
        <v>159.25161290322578</v>
      </c>
      <c r="AN9" s="130"/>
      <c r="AO9" s="528"/>
      <c r="AP9" s="143" t="s">
        <v>68</v>
      </c>
      <c r="AQ9" s="144"/>
      <c r="AR9" s="137" t="s">
        <v>36</v>
      </c>
      <c r="AS9" s="138"/>
      <c r="AT9" s="139">
        <v>4.8258064516129027</v>
      </c>
      <c r="AU9" s="140">
        <f t="shared" si="5"/>
        <v>0</v>
      </c>
      <c r="AV9" s="130"/>
      <c r="AW9" s="528"/>
      <c r="AX9" s="143" t="s">
        <v>68</v>
      </c>
      <c r="AY9" s="144">
        <v>7</v>
      </c>
      <c r="AZ9" s="137" t="s">
        <v>36</v>
      </c>
      <c r="BA9" s="138">
        <v>0</v>
      </c>
      <c r="BB9" s="139">
        <v>4.8258064516129027</v>
      </c>
      <c r="BC9" s="140">
        <f t="shared" si="6"/>
        <v>0</v>
      </c>
      <c r="BD9" s="130"/>
      <c r="BE9" s="528"/>
      <c r="BF9" s="143" t="s">
        <v>68</v>
      </c>
      <c r="BG9" s="144">
        <v>6</v>
      </c>
      <c r="BH9" s="137" t="s">
        <v>36</v>
      </c>
      <c r="BI9" s="138">
        <v>3</v>
      </c>
      <c r="BJ9" s="139">
        <v>4.8258064516129027</v>
      </c>
      <c r="BK9" s="140">
        <f t="shared" si="7"/>
        <v>14.477419354838709</v>
      </c>
      <c r="BL9" s="130"/>
      <c r="BM9" s="528"/>
      <c r="BN9" s="143" t="s">
        <v>68</v>
      </c>
      <c r="BO9" s="144">
        <v>1</v>
      </c>
      <c r="BP9" s="137" t="s">
        <v>36</v>
      </c>
      <c r="BQ9" s="138">
        <v>0</v>
      </c>
      <c r="BR9" s="139">
        <v>4.8258064516129027</v>
      </c>
      <c r="BS9" s="140">
        <f t="shared" si="8"/>
        <v>0</v>
      </c>
      <c r="BT9" s="130"/>
      <c r="BU9" s="528"/>
      <c r="BV9" s="564" t="s">
        <v>68</v>
      </c>
      <c r="BW9" s="565"/>
      <c r="BX9" s="559" t="s">
        <v>36</v>
      </c>
      <c r="BY9" s="560"/>
      <c r="BZ9" s="561">
        <v>4.8258064516129027</v>
      </c>
      <c r="CA9" s="562">
        <f t="shared" si="9"/>
        <v>0</v>
      </c>
      <c r="CB9" s="552"/>
      <c r="CC9" s="528"/>
      <c r="CD9" s="564" t="s">
        <v>68</v>
      </c>
      <c r="CE9" s="565"/>
      <c r="CF9" s="559" t="s">
        <v>36</v>
      </c>
      <c r="CG9" s="560"/>
      <c r="CH9" s="561">
        <v>4.8258064516129027</v>
      </c>
      <c r="CI9" s="562">
        <f t="shared" si="10"/>
        <v>0</v>
      </c>
      <c r="CJ9" s="552"/>
      <c r="CK9" s="528"/>
      <c r="CL9" s="143" t="s">
        <v>68</v>
      </c>
      <c r="CM9" s="144">
        <v>4</v>
      </c>
      <c r="CN9" s="137" t="s">
        <v>36</v>
      </c>
      <c r="CO9" s="138">
        <v>0</v>
      </c>
      <c r="CP9" s="139">
        <v>4.8258064516129027</v>
      </c>
      <c r="CQ9" s="140">
        <f t="shared" si="11"/>
        <v>0</v>
      </c>
      <c r="CR9" s="130"/>
      <c r="CS9" s="528"/>
      <c r="CT9" s="143" t="s">
        <v>68</v>
      </c>
      <c r="CU9" s="144">
        <v>6</v>
      </c>
      <c r="CV9" s="137" t="s">
        <v>36</v>
      </c>
      <c r="CW9" s="138">
        <v>3</v>
      </c>
      <c r="CX9" s="139">
        <v>4.8258064516129027</v>
      </c>
      <c r="CY9" s="140">
        <f t="shared" si="12"/>
        <v>14.477419354838709</v>
      </c>
      <c r="CZ9" s="130"/>
      <c r="DA9" s="528"/>
      <c r="DB9" s="143" t="s">
        <v>68</v>
      </c>
      <c r="DC9" s="144">
        <v>2</v>
      </c>
      <c r="DD9" s="137" t="s">
        <v>36</v>
      </c>
      <c r="DE9" s="138">
        <v>357</v>
      </c>
      <c r="DF9" s="139">
        <v>4.8258064516129027</v>
      </c>
      <c r="DG9" s="140">
        <f t="shared" si="13"/>
        <v>1722.8129032258062</v>
      </c>
      <c r="DH9" s="130"/>
      <c r="DI9" s="528"/>
      <c r="DJ9" s="143" t="s">
        <v>68</v>
      </c>
      <c r="DK9" s="144">
        <v>4</v>
      </c>
      <c r="DL9" s="137" t="s">
        <v>36</v>
      </c>
      <c r="DM9" s="138">
        <v>57</v>
      </c>
      <c r="DN9" s="170">
        <v>4.8258064516129027</v>
      </c>
      <c r="DO9" s="140">
        <f t="shared" si="14"/>
        <v>275.07096774193548</v>
      </c>
      <c r="DP9" s="130"/>
      <c r="DQ9" s="528"/>
      <c r="DR9" s="143" t="s">
        <v>68</v>
      </c>
      <c r="DS9" s="144"/>
      <c r="DT9" s="137" t="s">
        <v>36</v>
      </c>
      <c r="DU9" s="138"/>
      <c r="DV9" s="170">
        <v>4.8258064516129027</v>
      </c>
      <c r="DW9" s="140">
        <f t="shared" si="15"/>
        <v>0</v>
      </c>
      <c r="DX9" s="130"/>
      <c r="DY9" s="528"/>
      <c r="DZ9" s="143" t="s">
        <v>68</v>
      </c>
      <c r="EA9" s="144">
        <v>20</v>
      </c>
      <c r="EB9" s="137" t="s">
        <v>36</v>
      </c>
      <c r="EC9" s="138">
        <v>155</v>
      </c>
      <c r="ED9" s="170">
        <v>4.8258064516129027</v>
      </c>
      <c r="EE9" s="140">
        <f t="shared" si="16"/>
        <v>747.99999999999989</v>
      </c>
      <c r="EF9" s="130"/>
      <c r="EG9" s="528"/>
      <c r="EH9" s="143" t="s">
        <v>68</v>
      </c>
      <c r="EI9" s="144">
        <v>40</v>
      </c>
      <c r="EJ9" s="137" t="s">
        <v>36</v>
      </c>
      <c r="EK9" s="138">
        <v>27</v>
      </c>
      <c r="EL9" s="170">
        <v>4.8258064516129027</v>
      </c>
      <c r="EM9" s="140">
        <f t="shared" si="17"/>
        <v>130.29677419354837</v>
      </c>
      <c r="EN9" s="130"/>
      <c r="EO9" s="528"/>
      <c r="EP9" s="143" t="s">
        <v>68</v>
      </c>
      <c r="EQ9" s="144">
        <v>13</v>
      </c>
      <c r="ER9" s="137" t="s">
        <v>36</v>
      </c>
      <c r="ES9" s="138">
        <v>7</v>
      </c>
      <c r="ET9" s="170">
        <v>4.8258064516129027</v>
      </c>
      <c r="EU9" s="140">
        <f t="shared" si="18"/>
        <v>33.780645161290316</v>
      </c>
      <c r="EV9" s="130"/>
      <c r="EW9" s="528"/>
      <c r="EX9" s="143" t="s">
        <v>68</v>
      </c>
      <c r="EY9" s="144"/>
      <c r="EZ9" s="137" t="s">
        <v>36</v>
      </c>
      <c r="FA9" s="138"/>
      <c r="FB9" s="170">
        <v>4.8258064516129027</v>
      </c>
      <c r="FC9" s="140">
        <f t="shared" si="19"/>
        <v>0</v>
      </c>
      <c r="FD9" s="130"/>
      <c r="FE9" s="528"/>
      <c r="FF9" s="143" t="s">
        <v>68</v>
      </c>
      <c r="FG9" s="144"/>
      <c r="FH9" s="137" t="s">
        <v>36</v>
      </c>
      <c r="FI9" s="138"/>
      <c r="FJ9" s="170">
        <v>4.8258064516129027</v>
      </c>
      <c r="FK9" s="140">
        <f t="shared" si="20"/>
        <v>0</v>
      </c>
      <c r="FL9" s="130"/>
      <c r="FM9" s="528"/>
      <c r="FN9" s="143" t="s">
        <v>68</v>
      </c>
      <c r="FO9" s="144"/>
      <c r="FP9" s="137" t="s">
        <v>36</v>
      </c>
      <c r="FQ9" s="138"/>
      <c r="FR9" s="170">
        <v>4.8258064516129027</v>
      </c>
      <c r="FS9" s="140">
        <f t="shared" si="21"/>
        <v>0</v>
      </c>
      <c r="FT9" s="130"/>
      <c r="FU9" s="528"/>
      <c r="FV9" s="143" t="s">
        <v>68</v>
      </c>
      <c r="FW9" s="144"/>
      <c r="FX9" s="137" t="s">
        <v>36</v>
      </c>
      <c r="FY9" s="138"/>
      <c r="FZ9" s="170">
        <v>4.8258064516129027</v>
      </c>
      <c r="GA9" s="140">
        <f t="shared" si="22"/>
        <v>0</v>
      </c>
      <c r="GB9" s="130"/>
      <c r="GC9" s="528"/>
      <c r="GD9" s="143" t="s">
        <v>68</v>
      </c>
      <c r="GE9" s="144"/>
      <c r="GF9" s="137" t="s">
        <v>36</v>
      </c>
      <c r="GG9" s="138"/>
      <c r="GH9" s="170">
        <v>4.8258064516129027</v>
      </c>
      <c r="GI9" s="140">
        <f t="shared" si="23"/>
        <v>0</v>
      </c>
      <c r="GJ9" s="130"/>
      <c r="GK9" s="528"/>
      <c r="GL9" s="143" t="s">
        <v>68</v>
      </c>
      <c r="GM9" s="363">
        <v>5</v>
      </c>
      <c r="GN9" s="137" t="s">
        <v>36</v>
      </c>
      <c r="GO9" s="175">
        <v>0</v>
      </c>
      <c r="GP9" s="139">
        <v>4.8258064516129027</v>
      </c>
      <c r="GQ9" s="140">
        <f t="shared" si="24"/>
        <v>0</v>
      </c>
      <c r="GR9" s="130"/>
      <c r="GS9" s="528"/>
      <c r="GT9" s="143" t="s">
        <v>68</v>
      </c>
      <c r="GU9" s="144">
        <v>2</v>
      </c>
      <c r="GV9" s="137" t="s">
        <v>36</v>
      </c>
      <c r="GW9" s="175">
        <v>357</v>
      </c>
      <c r="GX9" s="139">
        <v>4.8258064516129027</v>
      </c>
      <c r="GY9" s="140">
        <f t="shared" si="25"/>
        <v>1722.8129032258062</v>
      </c>
      <c r="GZ9" s="130"/>
      <c r="HA9" s="528"/>
      <c r="HB9" s="143" t="s">
        <v>68</v>
      </c>
      <c r="HC9" s="144">
        <v>4</v>
      </c>
      <c r="HD9" s="137" t="s">
        <v>36</v>
      </c>
      <c r="HE9" s="175">
        <v>30</v>
      </c>
      <c r="HF9" s="139">
        <v>4.8258064516129027</v>
      </c>
      <c r="HG9" s="140">
        <f t="shared" si="26"/>
        <v>144.77419354838707</v>
      </c>
      <c r="HH9" s="130"/>
      <c r="HI9" s="528"/>
      <c r="HJ9" s="143" t="s">
        <v>68</v>
      </c>
      <c r="HK9" s="144">
        <v>2</v>
      </c>
      <c r="HL9" s="137" t="s">
        <v>36</v>
      </c>
      <c r="HM9" s="175">
        <v>0</v>
      </c>
      <c r="HN9" s="139">
        <v>4.8258064516129027</v>
      </c>
      <c r="HO9" s="140">
        <f t="shared" si="27"/>
        <v>0</v>
      </c>
      <c r="HP9" s="130"/>
      <c r="HQ9" s="528"/>
      <c r="HR9" s="143" t="s">
        <v>68</v>
      </c>
      <c r="HS9" s="144">
        <v>6</v>
      </c>
      <c r="HT9" s="137" t="s">
        <v>36</v>
      </c>
      <c r="HU9" s="175">
        <v>0</v>
      </c>
      <c r="HV9" s="139">
        <v>4.8258064516129027</v>
      </c>
      <c r="HW9" s="140">
        <f t="shared" si="28"/>
        <v>0</v>
      </c>
      <c r="HX9" s="130"/>
      <c r="HY9" s="528"/>
      <c r="HZ9" s="143" t="s">
        <v>68</v>
      </c>
      <c r="IA9" s="144">
        <v>17</v>
      </c>
      <c r="IB9" s="137" t="s">
        <v>36</v>
      </c>
      <c r="IC9" s="175">
        <v>14</v>
      </c>
      <c r="ID9" s="139">
        <v>4.8258064516129027</v>
      </c>
      <c r="IE9" s="140">
        <f t="shared" si="29"/>
        <v>67.561290322580632</v>
      </c>
      <c r="IF9" s="130"/>
      <c r="IG9" s="528"/>
      <c r="IH9" s="143" t="s">
        <v>68</v>
      </c>
      <c r="II9" s="144">
        <v>12</v>
      </c>
      <c r="IJ9" s="137" t="s">
        <v>36</v>
      </c>
      <c r="IK9" s="175">
        <v>11</v>
      </c>
      <c r="IL9" s="139">
        <v>4.8258064516129027</v>
      </c>
      <c r="IM9" s="140">
        <f t="shared" si="30"/>
        <v>53.08387096774193</v>
      </c>
      <c r="IN9" s="130"/>
      <c r="IO9" s="528"/>
      <c r="IP9" s="143" t="s">
        <v>68</v>
      </c>
      <c r="IQ9" s="144">
        <v>15</v>
      </c>
      <c r="IR9" s="137" t="s">
        <v>36</v>
      </c>
      <c r="IS9" s="175">
        <v>4</v>
      </c>
      <c r="IT9" s="139">
        <v>4.8258064516129027</v>
      </c>
      <c r="IU9" s="140">
        <f t="shared" si="31"/>
        <v>19.303225806451611</v>
      </c>
      <c r="IV9" s="130"/>
      <c r="IW9" s="528"/>
      <c r="IX9" s="143" t="s">
        <v>68</v>
      </c>
      <c r="IY9" s="144">
        <v>9</v>
      </c>
      <c r="IZ9" s="137" t="s">
        <v>36</v>
      </c>
      <c r="JA9" s="175">
        <v>86</v>
      </c>
      <c r="JB9" s="139">
        <v>4.8258064516129027</v>
      </c>
      <c r="JC9" s="140">
        <f t="shared" si="32"/>
        <v>415.0193548387096</v>
      </c>
      <c r="JD9" s="130"/>
      <c r="JE9" s="528"/>
      <c r="JF9" s="143" t="s">
        <v>68</v>
      </c>
      <c r="JG9" s="144">
        <v>8</v>
      </c>
      <c r="JH9" s="137" t="s">
        <v>36</v>
      </c>
      <c r="JI9" s="175">
        <v>6</v>
      </c>
      <c r="JJ9" s="139">
        <v>4.8258064516129027</v>
      </c>
      <c r="JK9" s="140">
        <f t="shared" si="33"/>
        <v>28.954838709677418</v>
      </c>
      <c r="JL9" s="130"/>
      <c r="JM9" s="528"/>
      <c r="JN9" s="143" t="s">
        <v>68</v>
      </c>
      <c r="JO9" s="144">
        <v>10</v>
      </c>
      <c r="JP9" s="137" t="s">
        <v>36</v>
      </c>
      <c r="JQ9" s="175">
        <v>24</v>
      </c>
      <c r="JR9" s="139">
        <v>4.8258064516129027</v>
      </c>
      <c r="JS9" s="140">
        <f t="shared" si="34"/>
        <v>115.81935483870967</v>
      </c>
      <c r="JT9" s="130"/>
      <c r="JU9" s="528"/>
      <c r="JV9" s="143" t="s">
        <v>68</v>
      </c>
      <c r="JW9" s="144">
        <v>10</v>
      </c>
      <c r="JX9" s="137" t="s">
        <v>36</v>
      </c>
      <c r="JY9" s="175">
        <v>0</v>
      </c>
      <c r="JZ9" s="139">
        <v>4.8258064516129027</v>
      </c>
      <c r="KA9" s="140">
        <f t="shared" si="35"/>
        <v>0</v>
      </c>
      <c r="KB9" s="130"/>
      <c r="KC9" s="528"/>
      <c r="KD9" s="143" t="s">
        <v>68</v>
      </c>
      <c r="KE9" s="144">
        <v>3</v>
      </c>
      <c r="KF9" s="137" t="s">
        <v>36</v>
      </c>
      <c r="KG9" s="175">
        <v>139</v>
      </c>
      <c r="KH9" s="139">
        <v>4.8258064516129027</v>
      </c>
      <c r="KI9" s="140">
        <f t="shared" si="36"/>
        <v>670.78709677419351</v>
      </c>
      <c r="KJ9" s="130"/>
      <c r="KK9" s="528"/>
      <c r="KL9" s="143" t="s">
        <v>68</v>
      </c>
      <c r="KM9" s="144">
        <v>3</v>
      </c>
      <c r="KN9" s="137" t="s">
        <v>36</v>
      </c>
      <c r="KO9" s="175">
        <v>0</v>
      </c>
      <c r="KP9" s="139">
        <v>4.8258064516129027</v>
      </c>
      <c r="KQ9" s="140">
        <f t="shared" si="37"/>
        <v>0</v>
      </c>
      <c r="KR9" s="130"/>
      <c r="KS9" s="528"/>
      <c r="KT9" s="143" t="s">
        <v>68</v>
      </c>
      <c r="KU9" s="144">
        <v>8</v>
      </c>
      <c r="KV9" s="137" t="s">
        <v>36</v>
      </c>
      <c r="KW9" s="175">
        <v>0</v>
      </c>
      <c r="KX9" s="139">
        <v>4.8258064516129027</v>
      </c>
      <c r="KY9" s="140">
        <f t="shared" si="38"/>
        <v>0</v>
      </c>
      <c r="KZ9" s="130"/>
      <c r="LA9" s="528"/>
      <c r="LB9" s="143" t="s">
        <v>68</v>
      </c>
      <c r="LC9" s="144">
        <v>11</v>
      </c>
      <c r="LD9" s="137" t="s">
        <v>36</v>
      </c>
      <c r="LE9" s="175">
        <v>260</v>
      </c>
      <c r="LF9" s="139">
        <v>4.8258064516129027</v>
      </c>
      <c r="LG9" s="140">
        <f t="shared" si="39"/>
        <v>1254.7096774193546</v>
      </c>
      <c r="LH9" s="130"/>
      <c r="LI9" s="528"/>
      <c r="LJ9" s="143" t="s">
        <v>68</v>
      </c>
      <c r="LK9" s="144">
        <v>14</v>
      </c>
      <c r="LL9" s="137" t="s">
        <v>36</v>
      </c>
      <c r="LM9" s="175">
        <v>3</v>
      </c>
      <c r="LN9" s="139">
        <v>4.8258064516129027</v>
      </c>
      <c r="LO9" s="140">
        <f t="shared" si="40"/>
        <v>14.477419354838709</v>
      </c>
      <c r="LP9" s="130"/>
      <c r="LQ9" s="528"/>
      <c r="LR9" s="143" t="s">
        <v>68</v>
      </c>
      <c r="LS9" s="144">
        <v>6</v>
      </c>
      <c r="LT9" s="137" t="s">
        <v>36</v>
      </c>
      <c r="LU9" s="175">
        <v>1</v>
      </c>
      <c r="LV9" s="139">
        <v>4.8258064516129027</v>
      </c>
      <c r="LW9" s="140">
        <f t="shared" si="41"/>
        <v>4.8258064516129027</v>
      </c>
      <c r="LX9" s="130"/>
      <c r="LY9" s="528"/>
      <c r="LZ9" s="143" t="s">
        <v>68</v>
      </c>
      <c r="MA9" s="144">
        <v>16</v>
      </c>
      <c r="MB9" s="137" t="s">
        <v>36</v>
      </c>
      <c r="MC9" s="175">
        <v>18</v>
      </c>
      <c r="MD9" s="139">
        <v>4.8258064516129027</v>
      </c>
      <c r="ME9" s="140">
        <f t="shared" si="42"/>
        <v>86.864516129032253</v>
      </c>
      <c r="MF9" s="130"/>
      <c r="MG9" s="528"/>
      <c r="MH9" s="143" t="s">
        <v>68</v>
      </c>
      <c r="MI9" s="144">
        <v>16</v>
      </c>
      <c r="MJ9" s="137" t="s">
        <v>36</v>
      </c>
      <c r="MK9" s="175">
        <v>23</v>
      </c>
      <c r="ML9" s="139">
        <v>4.8258064516129027</v>
      </c>
      <c r="MM9" s="140">
        <f t="shared" si="43"/>
        <v>110.99354838709677</v>
      </c>
      <c r="MN9" s="130"/>
      <c r="MO9" s="528"/>
      <c r="MP9" s="143" t="s">
        <v>68</v>
      </c>
      <c r="MQ9" s="144">
        <v>8</v>
      </c>
      <c r="MR9" s="137" t="s">
        <v>36</v>
      </c>
      <c r="MS9" s="175">
        <v>20</v>
      </c>
      <c r="MT9" s="139">
        <v>4.8258064516129027</v>
      </c>
      <c r="MU9" s="140">
        <f t="shared" si="44"/>
        <v>96.51612903225805</v>
      </c>
      <c r="MV9" s="130"/>
      <c r="MW9" s="528"/>
      <c r="MX9" s="143" t="s">
        <v>68</v>
      </c>
      <c r="MY9" s="144">
        <v>7</v>
      </c>
      <c r="MZ9" s="137" t="s">
        <v>36</v>
      </c>
      <c r="NA9" s="175">
        <v>4</v>
      </c>
      <c r="NB9" s="139">
        <v>4.8258064516129027</v>
      </c>
      <c r="NC9" s="140">
        <f t="shared" si="45"/>
        <v>19.303225806451611</v>
      </c>
      <c r="ND9" s="130"/>
      <c r="NE9" s="528"/>
      <c r="NF9" s="143" t="s">
        <v>68</v>
      </c>
      <c r="NG9" s="144">
        <v>9</v>
      </c>
      <c r="NH9" s="137" t="s">
        <v>36</v>
      </c>
      <c r="NI9" s="175">
        <v>9</v>
      </c>
      <c r="NJ9" s="139">
        <v>4.8258064516129027</v>
      </c>
      <c r="NK9" s="140">
        <f t="shared" si="46"/>
        <v>43.432258064516127</v>
      </c>
      <c r="NL9" s="130"/>
      <c r="NM9" s="528"/>
      <c r="NN9" s="143" t="s">
        <v>68</v>
      </c>
      <c r="NO9" s="144">
        <v>5</v>
      </c>
      <c r="NP9" s="137" t="s">
        <v>36</v>
      </c>
      <c r="NQ9" s="175">
        <v>1</v>
      </c>
      <c r="NR9" s="139">
        <v>4.8258064516129027</v>
      </c>
      <c r="NS9" s="140">
        <f t="shared" si="47"/>
        <v>4.8258064516129027</v>
      </c>
      <c r="NT9" s="130"/>
      <c r="NU9" s="528"/>
      <c r="NV9" s="143" t="s">
        <v>68</v>
      </c>
      <c r="NW9" s="144">
        <v>1</v>
      </c>
      <c r="NX9" s="137" t="s">
        <v>36</v>
      </c>
      <c r="NY9" s="175">
        <v>0</v>
      </c>
      <c r="NZ9" s="139">
        <v>4.8258064516129027</v>
      </c>
      <c r="OA9" s="140">
        <f t="shared" si="48"/>
        <v>0</v>
      </c>
      <c r="OB9" s="130"/>
      <c r="OC9" s="528"/>
      <c r="OD9" s="143" t="s">
        <v>68</v>
      </c>
      <c r="OE9" s="144">
        <v>4</v>
      </c>
      <c r="OF9" s="137" t="s">
        <v>36</v>
      </c>
      <c r="OG9" s="175">
        <v>5</v>
      </c>
      <c r="OH9" s="139">
        <v>4.8258064516129027</v>
      </c>
      <c r="OI9" s="140">
        <f t="shared" si="49"/>
        <v>24.129032258064512</v>
      </c>
      <c r="OJ9" s="130"/>
      <c r="OK9" s="528"/>
      <c r="OL9" s="143" t="s">
        <v>68</v>
      </c>
      <c r="OM9" s="144">
        <v>3</v>
      </c>
      <c r="ON9" s="137" t="s">
        <v>36</v>
      </c>
      <c r="OO9" s="175">
        <v>7</v>
      </c>
      <c r="OP9" s="139">
        <v>4.8258064516129027</v>
      </c>
      <c r="OQ9" s="140">
        <f t="shared" si="50"/>
        <v>33.780645161290316</v>
      </c>
      <c r="OR9" s="130"/>
      <c r="OS9" s="528"/>
      <c r="OT9" s="143" t="s">
        <v>68</v>
      </c>
      <c r="OU9" s="144"/>
      <c r="OV9" s="137" t="s">
        <v>36</v>
      </c>
      <c r="OW9" s="175"/>
      <c r="OX9" s="139">
        <v>4.8258064516129027</v>
      </c>
      <c r="OY9" s="140">
        <f t="shared" si="51"/>
        <v>0</v>
      </c>
      <c r="OZ9" s="130"/>
      <c r="PA9" s="528"/>
      <c r="PB9" s="143" t="s">
        <v>68</v>
      </c>
      <c r="PC9" s="144"/>
      <c r="PD9" s="137" t="s">
        <v>36</v>
      </c>
      <c r="PE9" s="175"/>
      <c r="PF9" s="139">
        <v>4.8258064516129027</v>
      </c>
      <c r="PG9" s="140">
        <f t="shared" si="52"/>
        <v>0</v>
      </c>
      <c r="PH9" s="130"/>
      <c r="PI9" s="528"/>
      <c r="PJ9" s="143" t="s">
        <v>68</v>
      </c>
      <c r="PK9" s="144">
        <v>1</v>
      </c>
      <c r="PL9" s="137" t="s">
        <v>36</v>
      </c>
      <c r="PM9" s="175">
        <v>1</v>
      </c>
      <c r="PN9" s="139">
        <v>4.8258064516129027</v>
      </c>
      <c r="PO9" s="140">
        <f t="shared" si="53"/>
        <v>4.8258064516129027</v>
      </c>
      <c r="PP9" s="130"/>
      <c r="PQ9" s="528"/>
      <c r="PR9" s="143" t="s">
        <v>68</v>
      </c>
      <c r="PS9" s="144"/>
      <c r="PT9" s="137" t="s">
        <v>36</v>
      </c>
      <c r="PU9" s="175"/>
      <c r="PV9" s="139">
        <v>4.8258064516129027</v>
      </c>
      <c r="PW9" s="140">
        <f t="shared" si="54"/>
        <v>0</v>
      </c>
      <c r="PX9" s="130"/>
      <c r="PY9" s="528"/>
      <c r="PZ9" s="143" t="s">
        <v>68</v>
      </c>
      <c r="QA9" s="144">
        <v>4</v>
      </c>
      <c r="QB9" s="137" t="s">
        <v>36</v>
      </c>
      <c r="QC9" s="175">
        <v>6</v>
      </c>
      <c r="QD9" s="139">
        <v>4.8258064516129027</v>
      </c>
      <c r="QE9" s="140">
        <f t="shared" si="55"/>
        <v>28.954838709677418</v>
      </c>
      <c r="QF9" s="130"/>
      <c r="QG9" s="528"/>
      <c r="QH9" s="143" t="s">
        <v>68</v>
      </c>
      <c r="QI9" s="144">
        <v>6</v>
      </c>
      <c r="QJ9" s="137" t="s">
        <v>36</v>
      </c>
      <c r="QK9" s="175">
        <v>1</v>
      </c>
      <c r="QL9" s="139">
        <v>4.8258064516129027</v>
      </c>
      <c r="QM9" s="140">
        <f t="shared" si="56"/>
        <v>4.8258064516129027</v>
      </c>
      <c r="QN9" s="130"/>
      <c r="QO9" s="528"/>
      <c r="QP9" s="143" t="s">
        <v>68</v>
      </c>
      <c r="QQ9" s="144">
        <v>4</v>
      </c>
      <c r="QR9" s="137" t="s">
        <v>36</v>
      </c>
      <c r="QS9" s="175">
        <v>5</v>
      </c>
      <c r="QT9" s="139">
        <v>4.8258064516129027</v>
      </c>
      <c r="QU9" s="140">
        <f t="shared" si="57"/>
        <v>24.129032258064512</v>
      </c>
      <c r="QV9" s="130"/>
      <c r="QW9" s="528"/>
      <c r="QX9" s="143" t="s">
        <v>68</v>
      </c>
      <c r="QY9" s="144"/>
      <c r="QZ9" s="137" t="s">
        <v>36</v>
      </c>
      <c r="RA9" s="175"/>
      <c r="RB9" s="139">
        <v>4.8258064516129027</v>
      </c>
      <c r="RC9" s="140">
        <f t="shared" si="58"/>
        <v>0</v>
      </c>
      <c r="RD9" s="130"/>
      <c r="RE9" s="528"/>
      <c r="RF9" s="143" t="s">
        <v>68</v>
      </c>
      <c r="RG9" s="144"/>
      <c r="RH9" s="137" t="s">
        <v>36</v>
      </c>
      <c r="RI9" s="175"/>
      <c r="RJ9" s="139">
        <v>4.8258064516129027</v>
      </c>
      <c r="RK9" s="140">
        <f t="shared" si="59"/>
        <v>0</v>
      </c>
      <c r="RL9" s="130"/>
      <c r="RM9" s="528"/>
      <c r="RN9" s="143" t="s">
        <v>68</v>
      </c>
      <c r="RO9" s="144">
        <v>12</v>
      </c>
      <c r="RP9" s="137" t="s">
        <v>36</v>
      </c>
      <c r="RQ9" s="175">
        <v>92</v>
      </c>
      <c r="RR9" s="139">
        <v>4.8258064516129027</v>
      </c>
      <c r="RS9" s="140">
        <f t="shared" si="60"/>
        <v>443.97419354838706</v>
      </c>
      <c r="RT9" s="130"/>
      <c r="RU9" s="528"/>
      <c r="RV9" s="143" t="s">
        <v>68</v>
      </c>
      <c r="RW9" s="144">
        <v>6</v>
      </c>
      <c r="RX9" s="137" t="s">
        <v>36</v>
      </c>
      <c r="RY9" s="175">
        <v>27</v>
      </c>
      <c r="RZ9" s="139">
        <v>4.8258064516129027</v>
      </c>
      <c r="SA9" s="140">
        <f t="shared" si="61"/>
        <v>130.29677419354837</v>
      </c>
      <c r="SB9" s="130"/>
      <c r="SC9" s="528"/>
      <c r="SD9" s="143" t="s">
        <v>68</v>
      </c>
      <c r="SE9" s="144">
        <v>7</v>
      </c>
      <c r="SF9" s="137" t="s">
        <v>36</v>
      </c>
      <c r="SG9" s="175">
        <v>11</v>
      </c>
      <c r="SH9" s="139">
        <v>4.8258064516129027</v>
      </c>
      <c r="SI9" s="140">
        <f t="shared" si="62"/>
        <v>53.08387096774193</v>
      </c>
      <c r="SJ9" s="130"/>
      <c r="SK9" s="528"/>
      <c r="SL9" s="143" t="s">
        <v>68</v>
      </c>
      <c r="SM9" s="144">
        <v>10</v>
      </c>
      <c r="SN9" s="137" t="s">
        <v>36</v>
      </c>
      <c r="SO9" s="175">
        <v>27</v>
      </c>
      <c r="SP9" s="139">
        <v>4.8258064516129027</v>
      </c>
      <c r="SQ9" s="140">
        <f t="shared" si="63"/>
        <v>130.29677419354837</v>
      </c>
      <c r="SR9" s="130"/>
      <c r="SS9" s="528"/>
      <c r="ST9" s="143" t="s">
        <v>68</v>
      </c>
      <c r="SU9" s="144">
        <v>8</v>
      </c>
      <c r="SV9" s="137" t="s">
        <v>36</v>
      </c>
      <c r="SW9" s="175">
        <v>35</v>
      </c>
      <c r="SX9" s="139">
        <v>4.8258064516129027</v>
      </c>
      <c r="SY9" s="140">
        <f t="shared" si="64"/>
        <v>168.90322580645159</v>
      </c>
      <c r="SZ9" s="130"/>
      <c r="TA9" s="528"/>
      <c r="TB9" s="143" t="s">
        <v>68</v>
      </c>
      <c r="TC9" s="144">
        <v>14</v>
      </c>
      <c r="TD9" s="137" t="s">
        <v>36</v>
      </c>
      <c r="TE9" s="175">
        <v>50</v>
      </c>
      <c r="TF9" s="139">
        <v>4.8258064516129027</v>
      </c>
      <c r="TG9" s="140">
        <f t="shared" si="65"/>
        <v>241.29032258064512</v>
      </c>
      <c r="TH9" s="130"/>
      <c r="TI9" s="528"/>
    </row>
    <row r="10" spans="2:529">
      <c r="B10" s="145"/>
      <c r="C10" s="146"/>
      <c r="D10" s="137" t="s">
        <v>14</v>
      </c>
      <c r="E10" s="138">
        <v>138</v>
      </c>
      <c r="F10" s="139">
        <v>1.7825454545454547</v>
      </c>
      <c r="G10" s="140">
        <f t="shared" si="0"/>
        <v>245.99127272727273</v>
      </c>
      <c r="H10" s="147">
        <f>SUM(G9:G10)</f>
        <v>250.81707917888562</v>
      </c>
      <c r="I10" s="528"/>
      <c r="J10" s="145"/>
      <c r="K10" s="146"/>
      <c r="L10" s="137" t="s">
        <v>14</v>
      </c>
      <c r="M10" s="138">
        <v>120</v>
      </c>
      <c r="N10" s="139">
        <v>1.7825454545454547</v>
      </c>
      <c r="O10" s="140">
        <f t="shared" si="1"/>
        <v>213.90545454545455</v>
      </c>
      <c r="P10" s="147">
        <f>SUM(O9:O10)</f>
        <v>368.33126099706743</v>
      </c>
      <c r="Q10" s="528"/>
      <c r="R10" s="145"/>
      <c r="S10" s="146"/>
      <c r="T10" s="137" t="s">
        <v>14</v>
      </c>
      <c r="U10" s="138">
        <v>0</v>
      </c>
      <c r="V10" s="139">
        <v>1.7825454545454547</v>
      </c>
      <c r="W10" s="140">
        <f t="shared" si="2"/>
        <v>0</v>
      </c>
      <c r="X10" s="147">
        <f>SUM(W9:W10)</f>
        <v>144.77419354838707</v>
      </c>
      <c r="Y10" s="528"/>
      <c r="Z10" s="145"/>
      <c r="AA10" s="146"/>
      <c r="AB10" s="137" t="s">
        <v>14</v>
      </c>
      <c r="AC10" s="138">
        <v>541</v>
      </c>
      <c r="AD10" s="139">
        <v>1.7825454545454547</v>
      </c>
      <c r="AE10" s="140">
        <f t="shared" si="3"/>
        <v>964.35709090909097</v>
      </c>
      <c r="AF10" s="147">
        <f>SUM(AE9:AE10)</f>
        <v>974.00870381231675</v>
      </c>
      <c r="AG10" s="528"/>
      <c r="AH10" s="145"/>
      <c r="AI10" s="146"/>
      <c r="AJ10" s="137" t="s">
        <v>14</v>
      </c>
      <c r="AK10" s="138">
        <v>0</v>
      </c>
      <c r="AL10" s="139">
        <v>1.7825454545454547</v>
      </c>
      <c r="AM10" s="140">
        <f t="shared" si="4"/>
        <v>0</v>
      </c>
      <c r="AN10" s="147">
        <f>SUM(AM9:AM10)</f>
        <v>159.25161290322578</v>
      </c>
      <c r="AO10" s="528"/>
      <c r="AP10" s="145"/>
      <c r="AQ10" s="146"/>
      <c r="AR10" s="137" t="s">
        <v>14</v>
      </c>
      <c r="AS10" s="138"/>
      <c r="AT10" s="139">
        <v>1.7825454545454547</v>
      </c>
      <c r="AU10" s="140">
        <f t="shared" si="5"/>
        <v>0</v>
      </c>
      <c r="AV10" s="147">
        <f>SUM(AU9:AU10)</f>
        <v>0</v>
      </c>
      <c r="AW10" s="528"/>
      <c r="AX10" s="145"/>
      <c r="AY10" s="146"/>
      <c r="AZ10" s="137" t="s">
        <v>14</v>
      </c>
      <c r="BA10" s="138">
        <v>1746</v>
      </c>
      <c r="BB10" s="139">
        <v>1.7825454545454547</v>
      </c>
      <c r="BC10" s="140">
        <f t="shared" si="6"/>
        <v>3112.3243636363636</v>
      </c>
      <c r="BD10" s="147">
        <f>SUM(BC9:BC10)</f>
        <v>3112.3243636363636</v>
      </c>
      <c r="BE10" s="528"/>
      <c r="BF10" s="145"/>
      <c r="BG10" s="146"/>
      <c r="BH10" s="137" t="s">
        <v>14</v>
      </c>
      <c r="BI10" s="138">
        <v>898</v>
      </c>
      <c r="BJ10" s="139">
        <v>1.7825454545454547</v>
      </c>
      <c r="BK10" s="140">
        <f t="shared" si="7"/>
        <v>1600.7258181818183</v>
      </c>
      <c r="BL10" s="147">
        <f>SUM(BK9:BK10)</f>
        <v>1615.2032375366571</v>
      </c>
      <c r="BM10" s="528"/>
      <c r="BN10" s="145"/>
      <c r="BO10" s="146"/>
      <c r="BP10" s="137" t="s">
        <v>14</v>
      </c>
      <c r="BQ10" s="138">
        <v>20</v>
      </c>
      <c r="BR10" s="139">
        <v>1.7825454545454547</v>
      </c>
      <c r="BS10" s="140">
        <f t="shared" si="8"/>
        <v>35.650909090909096</v>
      </c>
      <c r="BT10" s="147">
        <f>SUM(BS9:BS10)</f>
        <v>35.650909090909096</v>
      </c>
      <c r="BU10" s="528"/>
      <c r="BV10" s="536"/>
      <c r="BW10" s="537"/>
      <c r="BX10" s="559" t="s">
        <v>14</v>
      </c>
      <c r="BY10" s="560"/>
      <c r="BZ10" s="561">
        <v>1.7825454545454547</v>
      </c>
      <c r="CA10" s="562">
        <f t="shared" si="9"/>
        <v>0</v>
      </c>
      <c r="CB10" s="566">
        <f>SUM(CA9:CA10)</f>
        <v>0</v>
      </c>
      <c r="CC10" s="528"/>
      <c r="CD10" s="536"/>
      <c r="CE10" s="537"/>
      <c r="CF10" s="559" t="s">
        <v>14</v>
      </c>
      <c r="CG10" s="560"/>
      <c r="CH10" s="561">
        <v>1.7825454545454547</v>
      </c>
      <c r="CI10" s="562">
        <f t="shared" si="10"/>
        <v>0</v>
      </c>
      <c r="CJ10" s="566">
        <f>SUM(CI9:CI10)</f>
        <v>0</v>
      </c>
      <c r="CK10" s="528"/>
      <c r="CL10" s="145"/>
      <c r="CM10" s="146"/>
      <c r="CN10" s="137" t="s">
        <v>14</v>
      </c>
      <c r="CO10" s="138">
        <v>1372</v>
      </c>
      <c r="CP10" s="139">
        <v>1.7825454545454547</v>
      </c>
      <c r="CQ10" s="140">
        <f t="shared" si="11"/>
        <v>2445.6523636363636</v>
      </c>
      <c r="CR10" s="147">
        <f>SUM(CQ9:CQ10)</f>
        <v>2445.6523636363636</v>
      </c>
      <c r="CS10" s="528"/>
      <c r="CT10" s="145"/>
      <c r="CU10" s="146"/>
      <c r="CV10" s="137" t="s">
        <v>14</v>
      </c>
      <c r="CW10" s="138">
        <v>898</v>
      </c>
      <c r="CX10" s="139">
        <v>1.7825454545454547</v>
      </c>
      <c r="CY10" s="140">
        <f t="shared" si="12"/>
        <v>1600.7258181818183</v>
      </c>
      <c r="CZ10" s="147">
        <f>SUM(CY9:CY10)</f>
        <v>1615.2032375366571</v>
      </c>
      <c r="DA10" s="528"/>
      <c r="DB10" s="145"/>
      <c r="DC10" s="146"/>
      <c r="DD10" s="137" t="s">
        <v>14</v>
      </c>
      <c r="DE10" s="138">
        <v>0</v>
      </c>
      <c r="DF10" s="139">
        <v>1.7825454545454547</v>
      </c>
      <c r="DG10" s="140">
        <f t="shared" si="13"/>
        <v>0</v>
      </c>
      <c r="DH10" s="147">
        <f>SUM(DG9:DG10)</f>
        <v>1722.8129032258062</v>
      </c>
      <c r="DI10" s="528"/>
      <c r="DJ10" s="145"/>
      <c r="DK10" s="146"/>
      <c r="DL10" s="137" t="s">
        <v>14</v>
      </c>
      <c r="DM10" s="138">
        <v>0</v>
      </c>
      <c r="DN10" s="170">
        <v>1.7825454545454547</v>
      </c>
      <c r="DO10" s="140">
        <f t="shared" si="14"/>
        <v>0</v>
      </c>
      <c r="DP10" s="147">
        <f>SUM(DO9:DO10)</f>
        <v>275.07096774193548</v>
      </c>
      <c r="DQ10" s="528"/>
      <c r="DR10" s="145"/>
      <c r="DS10" s="146"/>
      <c r="DT10" s="137" t="s">
        <v>14</v>
      </c>
      <c r="DU10" s="138"/>
      <c r="DV10" s="170">
        <v>1.7825454545454547</v>
      </c>
      <c r="DW10" s="140">
        <f t="shared" si="15"/>
        <v>0</v>
      </c>
      <c r="DX10" s="147">
        <f>SUM(DW9:DW10)</f>
        <v>0</v>
      </c>
      <c r="DY10" s="528"/>
      <c r="DZ10" s="145"/>
      <c r="EA10" s="146"/>
      <c r="EB10" s="137" t="s">
        <v>14</v>
      </c>
      <c r="EC10" s="138">
        <v>169</v>
      </c>
      <c r="ED10" s="170">
        <v>1.7825454545454547</v>
      </c>
      <c r="EE10" s="140">
        <f t="shared" si="16"/>
        <v>301.25018181818183</v>
      </c>
      <c r="EF10" s="147">
        <f>SUM(EE9:EE10)</f>
        <v>1049.2501818181818</v>
      </c>
      <c r="EG10" s="528"/>
      <c r="EH10" s="145"/>
      <c r="EI10" s="146"/>
      <c r="EJ10" s="137" t="s">
        <v>14</v>
      </c>
      <c r="EK10" s="138">
        <v>1834</v>
      </c>
      <c r="EL10" s="170">
        <v>1.7825454545454547</v>
      </c>
      <c r="EM10" s="140">
        <f t="shared" si="17"/>
        <v>3269.1883636363636</v>
      </c>
      <c r="EN10" s="147">
        <f>SUM(EM9:EM10)</f>
        <v>3399.4851378299122</v>
      </c>
      <c r="EO10" s="528"/>
      <c r="EP10" s="145"/>
      <c r="EQ10" s="146"/>
      <c r="ER10" s="137" t="s">
        <v>14</v>
      </c>
      <c r="ES10" s="138">
        <v>664</v>
      </c>
      <c r="ET10" s="170">
        <v>1.7825454545454547</v>
      </c>
      <c r="EU10" s="140">
        <f t="shared" si="18"/>
        <v>1183.6101818181819</v>
      </c>
      <c r="EV10" s="147">
        <f>SUM(EU9:EU10)</f>
        <v>1217.3908269794722</v>
      </c>
      <c r="EW10" s="528"/>
      <c r="EX10" s="145"/>
      <c r="EY10" s="146"/>
      <c r="EZ10" s="137" t="s">
        <v>14</v>
      </c>
      <c r="FA10" s="138"/>
      <c r="FB10" s="170">
        <v>1.7825454545454547</v>
      </c>
      <c r="FC10" s="140">
        <f t="shared" si="19"/>
        <v>0</v>
      </c>
      <c r="FD10" s="147">
        <f>SUM(FC9:FC10)</f>
        <v>0</v>
      </c>
      <c r="FE10" s="528"/>
      <c r="FF10" s="145"/>
      <c r="FG10" s="146"/>
      <c r="FH10" s="137" t="s">
        <v>14</v>
      </c>
      <c r="FI10" s="138"/>
      <c r="FJ10" s="170">
        <v>1.7825454545454547</v>
      </c>
      <c r="FK10" s="140">
        <f t="shared" si="20"/>
        <v>0</v>
      </c>
      <c r="FL10" s="147">
        <f>SUM(FK9:FK10)</f>
        <v>0</v>
      </c>
      <c r="FM10" s="528"/>
      <c r="FN10" s="145"/>
      <c r="FO10" s="146"/>
      <c r="FP10" s="137" t="s">
        <v>14</v>
      </c>
      <c r="FQ10" s="138"/>
      <c r="FR10" s="170">
        <v>1.7825454545454547</v>
      </c>
      <c r="FS10" s="140">
        <f t="shared" si="21"/>
        <v>0</v>
      </c>
      <c r="FT10" s="147">
        <f>SUM(FS9:FS10)</f>
        <v>0</v>
      </c>
      <c r="FU10" s="528"/>
      <c r="FV10" s="145"/>
      <c r="FW10" s="146"/>
      <c r="FX10" s="137" t="s">
        <v>14</v>
      </c>
      <c r="FY10" s="138"/>
      <c r="FZ10" s="170">
        <v>1.7825454545454547</v>
      </c>
      <c r="GA10" s="140">
        <f t="shared" si="22"/>
        <v>0</v>
      </c>
      <c r="GB10" s="147">
        <f>SUM(GA9:GA10)</f>
        <v>0</v>
      </c>
      <c r="GC10" s="528"/>
      <c r="GD10" s="145"/>
      <c r="GE10" s="146"/>
      <c r="GF10" s="137" t="s">
        <v>14</v>
      </c>
      <c r="GG10" s="138"/>
      <c r="GH10" s="170">
        <v>1.7825454545454547</v>
      </c>
      <c r="GI10" s="140">
        <f t="shared" si="23"/>
        <v>0</v>
      </c>
      <c r="GJ10" s="147">
        <f>SUM(GI9:GI10)</f>
        <v>0</v>
      </c>
      <c r="GK10" s="528"/>
      <c r="GL10" s="145"/>
      <c r="GM10" s="146"/>
      <c r="GN10" s="137" t="s">
        <v>14</v>
      </c>
      <c r="GO10" s="175">
        <v>898</v>
      </c>
      <c r="GP10" s="139">
        <v>1.7825454545454547</v>
      </c>
      <c r="GQ10" s="140">
        <f t="shared" si="24"/>
        <v>1600.7258181818183</v>
      </c>
      <c r="GR10" s="147">
        <f>SUM(GQ9:GQ10)</f>
        <v>1600.7258181818183</v>
      </c>
      <c r="GS10" s="528"/>
      <c r="GT10" s="145"/>
      <c r="GU10" s="146"/>
      <c r="GV10" s="137" t="s">
        <v>14</v>
      </c>
      <c r="GW10" s="175">
        <v>0</v>
      </c>
      <c r="GX10" s="139">
        <v>1.7825454545454547</v>
      </c>
      <c r="GY10" s="140">
        <f t="shared" si="25"/>
        <v>0</v>
      </c>
      <c r="GZ10" s="147">
        <f>SUM(GY9:GY10)</f>
        <v>1722.8129032258062</v>
      </c>
      <c r="HA10" s="528"/>
      <c r="HB10" s="145"/>
      <c r="HC10" s="146"/>
      <c r="HD10" s="137" t="s">
        <v>14</v>
      </c>
      <c r="HE10" s="175">
        <v>0</v>
      </c>
      <c r="HF10" s="139">
        <v>1.7825454545454547</v>
      </c>
      <c r="HG10" s="140">
        <f t="shared" si="26"/>
        <v>0</v>
      </c>
      <c r="HH10" s="147">
        <f>SUM(HG9:HG10)</f>
        <v>144.77419354838707</v>
      </c>
      <c r="HI10" s="528"/>
      <c r="HJ10" s="145"/>
      <c r="HK10" s="146"/>
      <c r="HL10" s="137" t="s">
        <v>14</v>
      </c>
      <c r="HM10" s="175">
        <v>7</v>
      </c>
      <c r="HN10" s="139">
        <v>1.7825454545454547</v>
      </c>
      <c r="HO10" s="140">
        <f t="shared" si="27"/>
        <v>12.477818181818183</v>
      </c>
      <c r="HP10" s="147">
        <f>SUM(HO9:HO10)</f>
        <v>12.477818181818183</v>
      </c>
      <c r="HQ10" s="528"/>
      <c r="HR10" s="145"/>
      <c r="HS10" s="146"/>
      <c r="HT10" s="137" t="s">
        <v>14</v>
      </c>
      <c r="HU10" s="175">
        <v>399</v>
      </c>
      <c r="HV10" s="139">
        <v>1.7825454545454547</v>
      </c>
      <c r="HW10" s="140">
        <f t="shared" si="28"/>
        <v>711.23563636363644</v>
      </c>
      <c r="HX10" s="147">
        <f>SUM(HW9:HW10)</f>
        <v>711.23563636363644</v>
      </c>
      <c r="HY10" s="528"/>
      <c r="HZ10" s="145"/>
      <c r="IA10" s="146"/>
      <c r="IB10" s="137" t="s">
        <v>14</v>
      </c>
      <c r="IC10" s="175">
        <v>507</v>
      </c>
      <c r="ID10" s="139">
        <v>1.7825454545454547</v>
      </c>
      <c r="IE10" s="140">
        <f t="shared" si="29"/>
        <v>903.75054545454554</v>
      </c>
      <c r="IF10" s="147">
        <f>SUM(IE9:IE10)</f>
        <v>971.31183577712613</v>
      </c>
      <c r="IG10" s="528"/>
      <c r="IH10" s="145"/>
      <c r="II10" s="146"/>
      <c r="IJ10" s="137" t="s">
        <v>14</v>
      </c>
      <c r="IK10" s="175">
        <v>364</v>
      </c>
      <c r="IL10" s="139">
        <v>1.7825454545454547</v>
      </c>
      <c r="IM10" s="140">
        <f t="shared" si="30"/>
        <v>648.84654545454555</v>
      </c>
      <c r="IN10" s="147">
        <f>SUM(IM9:IM10)</f>
        <v>701.93041642228752</v>
      </c>
      <c r="IO10" s="528"/>
      <c r="IP10" s="145"/>
      <c r="IQ10" s="146"/>
      <c r="IR10" s="137" t="s">
        <v>14</v>
      </c>
      <c r="IS10" s="175">
        <v>801</v>
      </c>
      <c r="IT10" s="139">
        <v>1.7825454545454547</v>
      </c>
      <c r="IU10" s="140">
        <f t="shared" si="31"/>
        <v>1427.8189090909091</v>
      </c>
      <c r="IV10" s="147">
        <f>SUM(IU9:IU10)</f>
        <v>1447.1221348973606</v>
      </c>
      <c r="IW10" s="528"/>
      <c r="IX10" s="145"/>
      <c r="IY10" s="146"/>
      <c r="IZ10" s="137" t="s">
        <v>14</v>
      </c>
      <c r="JA10" s="175">
        <v>38</v>
      </c>
      <c r="JB10" s="139">
        <v>1.7825454545454547</v>
      </c>
      <c r="JC10" s="140">
        <f t="shared" si="32"/>
        <v>67.736727272727279</v>
      </c>
      <c r="JD10" s="147">
        <f>SUM(JC9:JC10)</f>
        <v>482.75608211143685</v>
      </c>
      <c r="JE10" s="528"/>
      <c r="JF10" s="145"/>
      <c r="JG10" s="146"/>
      <c r="JH10" s="137" t="s">
        <v>14</v>
      </c>
      <c r="JI10" s="175">
        <v>1751</v>
      </c>
      <c r="JJ10" s="139">
        <v>1.7825454545454547</v>
      </c>
      <c r="JK10" s="140">
        <f t="shared" si="33"/>
        <v>3121.237090909091</v>
      </c>
      <c r="JL10" s="147">
        <f>SUM(JK9:JK10)</f>
        <v>3150.1919296187684</v>
      </c>
      <c r="JM10" s="528"/>
      <c r="JN10" s="145"/>
      <c r="JO10" s="146"/>
      <c r="JP10" s="137" t="s">
        <v>14</v>
      </c>
      <c r="JQ10" s="175">
        <v>1360</v>
      </c>
      <c r="JR10" s="139">
        <v>1.7825454545454547</v>
      </c>
      <c r="JS10" s="140">
        <f t="shared" si="34"/>
        <v>2424.2618181818184</v>
      </c>
      <c r="JT10" s="147">
        <f>SUM(JS9:JS10)</f>
        <v>2540.0811730205282</v>
      </c>
      <c r="JU10" s="528"/>
      <c r="JV10" s="145"/>
      <c r="JW10" s="146"/>
      <c r="JX10" s="137" t="s">
        <v>14</v>
      </c>
      <c r="JY10" s="175">
        <v>162</v>
      </c>
      <c r="JZ10" s="139">
        <v>1.7825454545454547</v>
      </c>
      <c r="KA10" s="140">
        <f t="shared" si="35"/>
        <v>288.77236363636365</v>
      </c>
      <c r="KB10" s="147">
        <f>SUM(KA9:KA10)</f>
        <v>288.77236363636365</v>
      </c>
      <c r="KC10" s="528"/>
      <c r="KD10" s="145"/>
      <c r="KE10" s="146"/>
      <c r="KF10" s="137" t="s">
        <v>14</v>
      </c>
      <c r="KG10" s="175">
        <v>0</v>
      </c>
      <c r="KH10" s="139">
        <v>1.7825454545454547</v>
      </c>
      <c r="KI10" s="140">
        <f t="shared" si="36"/>
        <v>0</v>
      </c>
      <c r="KJ10" s="147">
        <f>SUM(KI9:KI10)</f>
        <v>670.78709677419351</v>
      </c>
      <c r="KK10" s="528"/>
      <c r="KL10" s="145"/>
      <c r="KM10" s="146"/>
      <c r="KN10" s="137" t="s">
        <v>14</v>
      </c>
      <c r="KO10" s="175">
        <v>120</v>
      </c>
      <c r="KP10" s="139">
        <v>1.7825454545454547</v>
      </c>
      <c r="KQ10" s="140">
        <f t="shared" si="37"/>
        <v>213.90545454545455</v>
      </c>
      <c r="KR10" s="147">
        <f>SUM(KQ9:KQ10)</f>
        <v>213.90545454545455</v>
      </c>
      <c r="KS10" s="528"/>
      <c r="KT10" s="145"/>
      <c r="KU10" s="146"/>
      <c r="KV10" s="137" t="s">
        <v>14</v>
      </c>
      <c r="KW10" s="175">
        <v>1057</v>
      </c>
      <c r="KX10" s="139">
        <v>1.7825454545454547</v>
      </c>
      <c r="KY10" s="140">
        <f t="shared" si="38"/>
        <v>1884.1505454545456</v>
      </c>
      <c r="KZ10" s="147">
        <f>SUM(KY9:KY10)</f>
        <v>1884.1505454545456</v>
      </c>
      <c r="LA10" s="528"/>
      <c r="LB10" s="145"/>
      <c r="LC10" s="146"/>
      <c r="LD10" s="137" t="s">
        <v>14</v>
      </c>
      <c r="LE10" s="175">
        <v>227</v>
      </c>
      <c r="LF10" s="139">
        <v>1.7825454545454547</v>
      </c>
      <c r="LG10" s="140">
        <f t="shared" si="39"/>
        <v>404.6378181818182</v>
      </c>
      <c r="LH10" s="147">
        <f>SUM(LG9:LG10)</f>
        <v>1659.3474956011728</v>
      </c>
      <c r="LI10" s="528"/>
      <c r="LJ10" s="145"/>
      <c r="LK10" s="146"/>
      <c r="LL10" s="137" t="s">
        <v>14</v>
      </c>
      <c r="LM10" s="175">
        <v>624</v>
      </c>
      <c r="LN10" s="139">
        <v>1.7825454545454547</v>
      </c>
      <c r="LO10" s="140">
        <f t="shared" si="40"/>
        <v>1112.3083636363638</v>
      </c>
      <c r="LP10" s="147">
        <f>SUM(LO9:LO10)</f>
        <v>1126.7857829912025</v>
      </c>
      <c r="LQ10" s="528"/>
      <c r="LR10" s="145"/>
      <c r="LS10" s="146"/>
      <c r="LT10" s="137" t="s">
        <v>14</v>
      </c>
      <c r="LU10" s="175">
        <v>271</v>
      </c>
      <c r="LV10" s="139">
        <v>1.7825454545454547</v>
      </c>
      <c r="LW10" s="140">
        <f t="shared" si="41"/>
        <v>483.06981818181822</v>
      </c>
      <c r="LX10" s="147">
        <f>SUM(LW9:LW10)</f>
        <v>487.89562463343111</v>
      </c>
      <c r="LY10" s="528"/>
      <c r="LZ10" s="145"/>
      <c r="MA10" s="146"/>
      <c r="MB10" s="137" t="s">
        <v>14</v>
      </c>
      <c r="MC10" s="175">
        <v>443</v>
      </c>
      <c r="MD10" s="139">
        <v>1.7825454545454547</v>
      </c>
      <c r="ME10" s="140">
        <f t="shared" si="42"/>
        <v>789.66763636363646</v>
      </c>
      <c r="MF10" s="147">
        <f>SUM(ME9:ME10)</f>
        <v>876.53215249266873</v>
      </c>
      <c r="MG10" s="528"/>
      <c r="MH10" s="145"/>
      <c r="MI10" s="146"/>
      <c r="MJ10" s="137" t="s">
        <v>14</v>
      </c>
      <c r="MK10" s="175">
        <v>509</v>
      </c>
      <c r="ML10" s="139">
        <v>1.7825454545454547</v>
      </c>
      <c r="MM10" s="140">
        <f t="shared" si="43"/>
        <v>907.31563636363637</v>
      </c>
      <c r="MN10" s="147">
        <f>SUM(MM9:MM10)</f>
        <v>1018.3091847507332</v>
      </c>
      <c r="MO10" s="528"/>
      <c r="MP10" s="145"/>
      <c r="MQ10" s="146"/>
      <c r="MR10" s="137" t="s">
        <v>14</v>
      </c>
      <c r="MS10" s="175">
        <v>224</v>
      </c>
      <c r="MT10" s="139">
        <v>1.7825454545454547</v>
      </c>
      <c r="MU10" s="140">
        <f t="shared" si="44"/>
        <v>399.29018181818185</v>
      </c>
      <c r="MV10" s="147">
        <f>SUM(MU9:MU10)</f>
        <v>495.8063108504399</v>
      </c>
      <c r="MW10" s="528"/>
      <c r="MX10" s="145"/>
      <c r="MY10" s="146"/>
      <c r="MZ10" s="137" t="s">
        <v>14</v>
      </c>
      <c r="NA10" s="175">
        <v>122</v>
      </c>
      <c r="NB10" s="139">
        <v>1.7825454545454547</v>
      </c>
      <c r="NC10" s="140">
        <f t="shared" si="45"/>
        <v>217.47054545454546</v>
      </c>
      <c r="ND10" s="147">
        <f>SUM(NC9:NC10)</f>
        <v>236.77377126099708</v>
      </c>
      <c r="NE10" s="528"/>
      <c r="NF10" s="145"/>
      <c r="NG10" s="146"/>
      <c r="NH10" s="137" t="s">
        <v>14</v>
      </c>
      <c r="NI10" s="175">
        <v>284</v>
      </c>
      <c r="NJ10" s="139">
        <v>1.7825454545454547</v>
      </c>
      <c r="NK10" s="140">
        <f t="shared" si="46"/>
        <v>506.24290909090911</v>
      </c>
      <c r="NL10" s="147">
        <f>SUM(NK9:NK10)</f>
        <v>549.67516715542524</v>
      </c>
      <c r="NM10" s="528"/>
      <c r="NN10" s="145"/>
      <c r="NO10" s="146"/>
      <c r="NP10" s="137" t="s">
        <v>14</v>
      </c>
      <c r="NQ10" s="175">
        <v>178</v>
      </c>
      <c r="NR10" s="139">
        <v>1.7825454545454547</v>
      </c>
      <c r="NS10" s="140">
        <f t="shared" si="47"/>
        <v>317.29309090909095</v>
      </c>
      <c r="NT10" s="147">
        <f>SUM(NS9:NS10)</f>
        <v>322.11889736070384</v>
      </c>
      <c r="NU10" s="528"/>
      <c r="NV10" s="145"/>
      <c r="NW10" s="146"/>
      <c r="NX10" s="137" t="s">
        <v>14</v>
      </c>
      <c r="NY10" s="175">
        <v>200</v>
      </c>
      <c r="NZ10" s="139">
        <v>1.7825454545454547</v>
      </c>
      <c r="OA10" s="140">
        <f t="shared" si="48"/>
        <v>356.50909090909096</v>
      </c>
      <c r="OB10" s="147">
        <f>SUM(OA9:OA10)</f>
        <v>356.50909090909096</v>
      </c>
      <c r="OC10" s="528"/>
      <c r="OD10" s="145"/>
      <c r="OE10" s="146"/>
      <c r="OF10" s="137" t="s">
        <v>14</v>
      </c>
      <c r="OG10" s="175">
        <v>30</v>
      </c>
      <c r="OH10" s="139">
        <v>1.7825454545454547</v>
      </c>
      <c r="OI10" s="140">
        <f t="shared" si="49"/>
        <v>53.476363636363637</v>
      </c>
      <c r="OJ10" s="147">
        <f>SUM(OI9:OI10)</f>
        <v>77.605395894428142</v>
      </c>
      <c r="OK10" s="528"/>
      <c r="OL10" s="145"/>
      <c r="OM10" s="146"/>
      <c r="ON10" s="137" t="s">
        <v>14</v>
      </c>
      <c r="OO10" s="175">
        <v>33</v>
      </c>
      <c r="OP10" s="139">
        <v>1.7825454545454547</v>
      </c>
      <c r="OQ10" s="140">
        <f t="shared" si="50"/>
        <v>58.824000000000005</v>
      </c>
      <c r="OR10" s="147">
        <f>SUM(OQ9:OQ10)</f>
        <v>92.604645161290321</v>
      </c>
      <c r="OS10" s="528"/>
      <c r="OT10" s="145"/>
      <c r="OU10" s="146"/>
      <c r="OV10" s="137" t="s">
        <v>14</v>
      </c>
      <c r="OW10" s="175"/>
      <c r="OX10" s="139">
        <v>1.7825454545454547</v>
      </c>
      <c r="OY10" s="140">
        <f t="shared" si="51"/>
        <v>0</v>
      </c>
      <c r="OZ10" s="147">
        <f>SUM(OY9:OY10)</f>
        <v>0</v>
      </c>
      <c r="PA10" s="528"/>
      <c r="PB10" s="145"/>
      <c r="PC10" s="146"/>
      <c r="PD10" s="137" t="s">
        <v>14</v>
      </c>
      <c r="PE10" s="175"/>
      <c r="PF10" s="139">
        <v>1.7825454545454547</v>
      </c>
      <c r="PG10" s="140">
        <f t="shared" si="52"/>
        <v>0</v>
      </c>
      <c r="PH10" s="147">
        <f>SUM(PG9:PG10)</f>
        <v>0</v>
      </c>
      <c r="PI10" s="528"/>
      <c r="PJ10" s="145"/>
      <c r="PK10" s="146"/>
      <c r="PL10" s="137" t="s">
        <v>14</v>
      </c>
      <c r="PM10" s="175"/>
      <c r="PN10" s="139">
        <v>1.7825454545454547</v>
      </c>
      <c r="PO10" s="140">
        <f t="shared" si="53"/>
        <v>0</v>
      </c>
      <c r="PP10" s="147">
        <f>SUM(PO9:PO10)</f>
        <v>4.8258064516129027</v>
      </c>
      <c r="PQ10" s="528"/>
      <c r="PR10" s="145"/>
      <c r="PS10" s="146"/>
      <c r="PT10" s="137" t="s">
        <v>14</v>
      </c>
      <c r="PU10" s="175"/>
      <c r="PV10" s="139">
        <v>1.7825454545454547</v>
      </c>
      <c r="PW10" s="140">
        <f t="shared" si="54"/>
        <v>0</v>
      </c>
      <c r="PX10" s="147">
        <f>SUM(PW9:PW10)</f>
        <v>0</v>
      </c>
      <c r="PY10" s="528"/>
      <c r="PZ10" s="145"/>
      <c r="QA10" s="146"/>
      <c r="QB10" s="137" t="s">
        <v>14</v>
      </c>
      <c r="QC10" s="175">
        <v>51</v>
      </c>
      <c r="QD10" s="139">
        <v>1.7825454545454547</v>
      </c>
      <c r="QE10" s="140">
        <f t="shared" si="55"/>
        <v>90.909818181818181</v>
      </c>
      <c r="QF10" s="147">
        <f>SUM(QE9:QE10)</f>
        <v>119.8646568914956</v>
      </c>
      <c r="QG10" s="528"/>
      <c r="QH10" s="145"/>
      <c r="QI10" s="146"/>
      <c r="QJ10" s="137" t="s">
        <v>14</v>
      </c>
      <c r="QK10" s="175">
        <v>96</v>
      </c>
      <c r="QL10" s="139">
        <v>1.7825454545454547</v>
      </c>
      <c r="QM10" s="140">
        <f t="shared" si="56"/>
        <v>171.12436363636365</v>
      </c>
      <c r="QN10" s="147">
        <f>SUM(QM9:QM10)</f>
        <v>175.95017008797655</v>
      </c>
      <c r="QO10" s="528"/>
      <c r="QP10" s="145"/>
      <c r="QQ10" s="146"/>
      <c r="QR10" s="137" t="s">
        <v>14</v>
      </c>
      <c r="QS10" s="175">
        <v>20</v>
      </c>
      <c r="QT10" s="139">
        <v>1.7825454545454547</v>
      </c>
      <c r="QU10" s="140">
        <f t="shared" si="57"/>
        <v>35.650909090909096</v>
      </c>
      <c r="QV10" s="147">
        <f>SUM(QU9:QU10)</f>
        <v>59.779941348973608</v>
      </c>
      <c r="QW10" s="528"/>
      <c r="QX10" s="145"/>
      <c r="QY10" s="146"/>
      <c r="QZ10" s="137" t="s">
        <v>14</v>
      </c>
      <c r="RA10" s="175"/>
      <c r="RB10" s="139">
        <v>1.7825454545454547</v>
      </c>
      <c r="RC10" s="140">
        <f t="shared" si="58"/>
        <v>0</v>
      </c>
      <c r="RD10" s="147">
        <f>SUM(RC9:RC10)</f>
        <v>0</v>
      </c>
      <c r="RE10" s="528"/>
      <c r="RF10" s="145"/>
      <c r="RG10" s="146"/>
      <c r="RH10" s="137" t="s">
        <v>14</v>
      </c>
      <c r="RI10" s="175"/>
      <c r="RJ10" s="139">
        <v>1.7825454545454547</v>
      </c>
      <c r="RK10" s="140">
        <f t="shared" si="59"/>
        <v>0</v>
      </c>
      <c r="RL10" s="147">
        <f>SUM(RK9:RK10)</f>
        <v>0</v>
      </c>
      <c r="RM10" s="528"/>
      <c r="RN10" s="145"/>
      <c r="RO10" s="146"/>
      <c r="RP10" s="137" t="s">
        <v>14</v>
      </c>
      <c r="RQ10" s="175">
        <v>76</v>
      </c>
      <c r="RR10" s="139">
        <v>1.7825454545454547</v>
      </c>
      <c r="RS10" s="140">
        <f t="shared" si="60"/>
        <v>135.47345454545456</v>
      </c>
      <c r="RT10" s="147">
        <f>SUM(RS9:RS10)</f>
        <v>579.44764809384162</v>
      </c>
      <c r="RU10" s="528"/>
      <c r="RV10" s="145"/>
      <c r="RW10" s="146"/>
      <c r="RX10" s="137" t="s">
        <v>14</v>
      </c>
      <c r="RY10" s="175">
        <v>89</v>
      </c>
      <c r="RZ10" s="139">
        <v>1.7825454545454547</v>
      </c>
      <c r="SA10" s="140">
        <f t="shared" si="61"/>
        <v>158.64654545454547</v>
      </c>
      <c r="SB10" s="147">
        <f>SUM(SA9:SA10)</f>
        <v>288.94331964809385</v>
      </c>
      <c r="SC10" s="528"/>
      <c r="SD10" s="145"/>
      <c r="SE10" s="146"/>
      <c r="SF10" s="137" t="s">
        <v>14</v>
      </c>
      <c r="SG10" s="175">
        <v>98</v>
      </c>
      <c r="SH10" s="139">
        <v>1.7825454545454547</v>
      </c>
      <c r="SI10" s="140">
        <f t="shared" si="62"/>
        <v>174.68945454545457</v>
      </c>
      <c r="SJ10" s="147">
        <f>SUM(SI9:SI10)</f>
        <v>227.77332551319648</v>
      </c>
      <c r="SK10" s="528"/>
      <c r="SL10" s="145"/>
      <c r="SM10" s="146"/>
      <c r="SN10" s="137" t="s">
        <v>14</v>
      </c>
      <c r="SO10" s="175">
        <v>65</v>
      </c>
      <c r="SP10" s="139">
        <v>1.7825454545454547</v>
      </c>
      <c r="SQ10" s="140">
        <f t="shared" si="63"/>
        <v>115.86545454545455</v>
      </c>
      <c r="SR10" s="147">
        <f>SUM(SQ9:SQ10)</f>
        <v>246.16222873900293</v>
      </c>
      <c r="SS10" s="528"/>
      <c r="ST10" s="145"/>
      <c r="SU10" s="146"/>
      <c r="SV10" s="137" t="s">
        <v>14</v>
      </c>
      <c r="SW10" s="175">
        <v>10</v>
      </c>
      <c r="SX10" s="139">
        <v>1.7825454545454547</v>
      </c>
      <c r="SY10" s="140">
        <f t="shared" si="64"/>
        <v>17.825454545454548</v>
      </c>
      <c r="SZ10" s="147">
        <f>SUM(SY9:SY10)</f>
        <v>186.72868035190612</v>
      </c>
      <c r="TA10" s="528"/>
      <c r="TB10" s="145"/>
      <c r="TC10" s="146"/>
      <c r="TD10" s="137" t="s">
        <v>14</v>
      </c>
      <c r="TE10" s="175">
        <v>457</v>
      </c>
      <c r="TF10" s="139">
        <v>1.7825454545454547</v>
      </c>
      <c r="TG10" s="140">
        <f t="shared" si="65"/>
        <v>814.62327272727282</v>
      </c>
      <c r="TH10" s="147">
        <f>SUM(TG9:TG10)</f>
        <v>1055.9135953079181</v>
      </c>
      <c r="TI10" s="528"/>
    </row>
    <row r="11" spans="2:529">
      <c r="B11" s="143" t="s">
        <v>69</v>
      </c>
      <c r="C11" s="144">
        <v>10</v>
      </c>
      <c r="D11" s="137" t="s">
        <v>70</v>
      </c>
      <c r="E11" s="138">
        <v>66</v>
      </c>
      <c r="F11" s="148">
        <v>9.9903614457831331</v>
      </c>
      <c r="G11" s="140">
        <f t="shared" si="0"/>
        <v>659.36385542168682</v>
      </c>
      <c r="H11" s="149"/>
      <c r="I11" s="528"/>
      <c r="J11" s="143" t="s">
        <v>69</v>
      </c>
      <c r="K11" s="144">
        <v>5</v>
      </c>
      <c r="L11" s="137" t="s">
        <v>70</v>
      </c>
      <c r="M11" s="138">
        <v>46</v>
      </c>
      <c r="N11" s="148">
        <v>9.9903614457831331</v>
      </c>
      <c r="O11" s="140">
        <f t="shared" si="1"/>
        <v>459.55662650602414</v>
      </c>
      <c r="P11" s="149"/>
      <c r="Q11" s="528"/>
      <c r="R11" s="143" t="s">
        <v>69</v>
      </c>
      <c r="S11" s="144">
        <v>6</v>
      </c>
      <c r="T11" s="137" t="s">
        <v>70</v>
      </c>
      <c r="U11" s="138">
        <v>64</v>
      </c>
      <c r="V11" s="148">
        <v>9.9903614457831331</v>
      </c>
      <c r="W11" s="140">
        <f t="shared" si="2"/>
        <v>639.38313253012052</v>
      </c>
      <c r="X11" s="149"/>
      <c r="Y11" s="528"/>
      <c r="Z11" s="143" t="s">
        <v>69</v>
      </c>
      <c r="AA11" s="144">
        <v>6</v>
      </c>
      <c r="AB11" s="137" t="s">
        <v>70</v>
      </c>
      <c r="AC11" s="138">
        <v>12</v>
      </c>
      <c r="AD11" s="148">
        <v>9.9903614457831331</v>
      </c>
      <c r="AE11" s="140">
        <f t="shared" si="3"/>
        <v>119.8843373493976</v>
      </c>
      <c r="AF11" s="149"/>
      <c r="AG11" s="528"/>
      <c r="AH11" s="143" t="s">
        <v>69</v>
      </c>
      <c r="AI11" s="144">
        <v>5</v>
      </c>
      <c r="AJ11" s="137" t="s">
        <v>70</v>
      </c>
      <c r="AK11" s="138">
        <v>57</v>
      </c>
      <c r="AL11" s="148">
        <v>9.9903614457831331</v>
      </c>
      <c r="AM11" s="140">
        <f t="shared" si="4"/>
        <v>569.45060240963858</v>
      </c>
      <c r="AN11" s="149"/>
      <c r="AO11" s="528"/>
      <c r="AP11" s="143" t="s">
        <v>69</v>
      </c>
      <c r="AQ11" s="144"/>
      <c r="AR11" s="137" t="s">
        <v>70</v>
      </c>
      <c r="AS11" s="138"/>
      <c r="AT11" s="148">
        <v>9.9903614457831331</v>
      </c>
      <c r="AU11" s="140">
        <f t="shared" si="5"/>
        <v>0</v>
      </c>
      <c r="AV11" s="149"/>
      <c r="AW11" s="528"/>
      <c r="AX11" s="143" t="s">
        <v>69</v>
      </c>
      <c r="AY11" s="144">
        <v>21</v>
      </c>
      <c r="AZ11" s="137" t="s">
        <v>70</v>
      </c>
      <c r="BA11" s="138">
        <v>177</v>
      </c>
      <c r="BB11" s="148">
        <v>9.9903614457831331</v>
      </c>
      <c r="BC11" s="140">
        <f t="shared" si="6"/>
        <v>1768.2939759036146</v>
      </c>
      <c r="BD11" s="149"/>
      <c r="BE11" s="528"/>
      <c r="BF11" s="143" t="s">
        <v>69</v>
      </c>
      <c r="BG11" s="144">
        <v>16</v>
      </c>
      <c r="BH11" s="137" t="s">
        <v>70</v>
      </c>
      <c r="BI11" s="138">
        <v>83</v>
      </c>
      <c r="BJ11" s="148">
        <v>9.9903614457831331</v>
      </c>
      <c r="BK11" s="140">
        <f t="shared" si="7"/>
        <v>829.2</v>
      </c>
      <c r="BL11" s="149"/>
      <c r="BM11" s="528"/>
      <c r="BN11" s="143" t="s">
        <v>69</v>
      </c>
      <c r="BO11" s="144">
        <v>10</v>
      </c>
      <c r="BP11" s="137" t="s">
        <v>70</v>
      </c>
      <c r="BQ11" s="138">
        <v>81</v>
      </c>
      <c r="BR11" s="148">
        <v>9.9903614457831331</v>
      </c>
      <c r="BS11" s="140">
        <f t="shared" si="8"/>
        <v>809.21927710843374</v>
      </c>
      <c r="BT11" s="149"/>
      <c r="BU11" s="528"/>
      <c r="BV11" s="564" t="s">
        <v>69</v>
      </c>
      <c r="BW11" s="565"/>
      <c r="BX11" s="559" t="s">
        <v>70</v>
      </c>
      <c r="BY11" s="560"/>
      <c r="BZ11" s="567">
        <v>9.9903614457831331</v>
      </c>
      <c r="CA11" s="562">
        <f t="shared" si="9"/>
        <v>0</v>
      </c>
      <c r="CB11" s="568"/>
      <c r="CC11" s="528"/>
      <c r="CD11" s="564" t="s">
        <v>69</v>
      </c>
      <c r="CE11" s="565"/>
      <c r="CF11" s="559" t="s">
        <v>70</v>
      </c>
      <c r="CG11" s="560"/>
      <c r="CH11" s="567">
        <v>9.9903614457831331</v>
      </c>
      <c r="CI11" s="562">
        <f t="shared" si="10"/>
        <v>0</v>
      </c>
      <c r="CJ11" s="568"/>
      <c r="CK11" s="528"/>
      <c r="CL11" s="143" t="s">
        <v>69</v>
      </c>
      <c r="CM11" s="144">
        <v>18</v>
      </c>
      <c r="CN11" s="137" t="s">
        <v>70</v>
      </c>
      <c r="CO11" s="138">
        <v>80</v>
      </c>
      <c r="CP11" s="148">
        <v>9.9903614457831331</v>
      </c>
      <c r="CQ11" s="140">
        <f t="shared" si="11"/>
        <v>799.22891566265071</v>
      </c>
      <c r="CR11" s="149"/>
      <c r="CS11" s="528"/>
      <c r="CT11" s="143" t="s">
        <v>69</v>
      </c>
      <c r="CU11" s="144">
        <v>16</v>
      </c>
      <c r="CV11" s="137" t="s">
        <v>70</v>
      </c>
      <c r="CW11" s="138">
        <v>83</v>
      </c>
      <c r="CX11" s="148">
        <v>9.9903614457831331</v>
      </c>
      <c r="CY11" s="140">
        <f t="shared" si="12"/>
        <v>829.2</v>
      </c>
      <c r="CZ11" s="149"/>
      <c r="DA11" s="528"/>
      <c r="DB11" s="143" t="s">
        <v>69</v>
      </c>
      <c r="DC11" s="144">
        <v>12</v>
      </c>
      <c r="DD11" s="137" t="s">
        <v>70</v>
      </c>
      <c r="DE11" s="138">
        <v>88</v>
      </c>
      <c r="DF11" s="148">
        <v>9.9903614457831331</v>
      </c>
      <c r="DG11" s="140">
        <f t="shared" si="13"/>
        <v>879.15180722891569</v>
      </c>
      <c r="DH11" s="149"/>
      <c r="DI11" s="528"/>
      <c r="DJ11" s="143" t="s">
        <v>69</v>
      </c>
      <c r="DK11" s="144">
        <v>12</v>
      </c>
      <c r="DL11" s="137" t="s">
        <v>70</v>
      </c>
      <c r="DM11" s="138">
        <v>9</v>
      </c>
      <c r="DN11" s="171">
        <v>9.9903614457831331</v>
      </c>
      <c r="DO11" s="140">
        <f t="shared" si="14"/>
        <v>89.913253012048202</v>
      </c>
      <c r="DP11" s="149"/>
      <c r="DQ11" s="528"/>
      <c r="DR11" s="143" t="s">
        <v>69</v>
      </c>
      <c r="DS11" s="144"/>
      <c r="DT11" s="137" t="s">
        <v>70</v>
      </c>
      <c r="DU11" s="138"/>
      <c r="DV11" s="171">
        <v>9.9903614457831331</v>
      </c>
      <c r="DW11" s="140">
        <f t="shared" si="15"/>
        <v>0</v>
      </c>
      <c r="DX11" s="149"/>
      <c r="DY11" s="528"/>
      <c r="DZ11" s="143" t="s">
        <v>69</v>
      </c>
      <c r="EA11" s="144">
        <v>20</v>
      </c>
      <c r="EB11" s="137" t="s">
        <v>70</v>
      </c>
      <c r="EC11" s="138">
        <v>128</v>
      </c>
      <c r="ED11" s="171">
        <v>9.9903614457831331</v>
      </c>
      <c r="EE11" s="140">
        <f t="shared" si="16"/>
        <v>1278.766265060241</v>
      </c>
      <c r="EF11" s="149"/>
      <c r="EG11" s="528"/>
      <c r="EH11" s="143" t="s">
        <v>69</v>
      </c>
      <c r="EI11" s="144">
        <v>64</v>
      </c>
      <c r="EJ11" s="137" t="s">
        <v>70</v>
      </c>
      <c r="EK11" s="138">
        <v>326</v>
      </c>
      <c r="EL11" s="171">
        <v>9.9903614457831331</v>
      </c>
      <c r="EM11" s="140">
        <f t="shared" si="17"/>
        <v>3256.8578313253015</v>
      </c>
      <c r="EN11" s="149"/>
      <c r="EO11" s="528"/>
      <c r="EP11" s="143" t="s">
        <v>69</v>
      </c>
      <c r="EQ11" s="144">
        <v>26</v>
      </c>
      <c r="ER11" s="137" t="s">
        <v>70</v>
      </c>
      <c r="ES11" s="138">
        <v>256</v>
      </c>
      <c r="ET11" s="171">
        <v>9.9903614457831331</v>
      </c>
      <c r="EU11" s="140">
        <f t="shared" si="18"/>
        <v>2557.5325301204821</v>
      </c>
      <c r="EV11" s="149"/>
      <c r="EW11" s="528"/>
      <c r="EX11" s="143" t="s">
        <v>69</v>
      </c>
      <c r="EY11" s="144"/>
      <c r="EZ11" s="137" t="s">
        <v>70</v>
      </c>
      <c r="FA11" s="138"/>
      <c r="FB11" s="171">
        <v>9.9903614457831331</v>
      </c>
      <c r="FC11" s="140">
        <f t="shared" si="19"/>
        <v>0</v>
      </c>
      <c r="FD11" s="149"/>
      <c r="FE11" s="528"/>
      <c r="FF11" s="143" t="s">
        <v>69</v>
      </c>
      <c r="FG11" s="144"/>
      <c r="FH11" s="137" t="s">
        <v>70</v>
      </c>
      <c r="FI11" s="138"/>
      <c r="FJ11" s="171">
        <v>9.9903614457831331</v>
      </c>
      <c r="FK11" s="140">
        <f t="shared" si="20"/>
        <v>0</v>
      </c>
      <c r="FL11" s="149"/>
      <c r="FM11" s="528"/>
      <c r="FN11" s="143" t="s">
        <v>69</v>
      </c>
      <c r="FO11" s="144"/>
      <c r="FP11" s="137" t="s">
        <v>70</v>
      </c>
      <c r="FQ11" s="138"/>
      <c r="FR11" s="171">
        <v>9.9903614457831331</v>
      </c>
      <c r="FS11" s="140">
        <f t="shared" si="21"/>
        <v>0</v>
      </c>
      <c r="FT11" s="149"/>
      <c r="FU11" s="528"/>
      <c r="FV11" s="143" t="s">
        <v>69</v>
      </c>
      <c r="FW11" s="144"/>
      <c r="FX11" s="137" t="s">
        <v>70</v>
      </c>
      <c r="FY11" s="138"/>
      <c r="FZ11" s="171">
        <v>9.9903614457831331</v>
      </c>
      <c r="GA11" s="140">
        <f t="shared" si="22"/>
        <v>0</v>
      </c>
      <c r="GB11" s="149"/>
      <c r="GC11" s="528"/>
      <c r="GD11" s="143" t="s">
        <v>69</v>
      </c>
      <c r="GE11" s="144"/>
      <c r="GF11" s="137" t="s">
        <v>70</v>
      </c>
      <c r="GG11" s="138"/>
      <c r="GH11" s="171">
        <v>9.9903614457831331</v>
      </c>
      <c r="GI11" s="140">
        <f t="shared" si="23"/>
        <v>0</v>
      </c>
      <c r="GJ11" s="149"/>
      <c r="GK11" s="528"/>
      <c r="GL11" s="143" t="s">
        <v>69</v>
      </c>
      <c r="GM11" s="144">
        <v>14</v>
      </c>
      <c r="GN11" s="137" t="s">
        <v>70</v>
      </c>
      <c r="GO11" s="175">
        <v>83</v>
      </c>
      <c r="GP11" s="148">
        <v>9.9903614457831331</v>
      </c>
      <c r="GQ11" s="140">
        <f t="shared" si="24"/>
        <v>829.2</v>
      </c>
      <c r="GR11" s="149"/>
      <c r="GS11" s="528"/>
      <c r="GT11" s="143" t="s">
        <v>69</v>
      </c>
      <c r="GU11" s="144">
        <v>12</v>
      </c>
      <c r="GV11" s="137" t="s">
        <v>70</v>
      </c>
      <c r="GW11" s="175">
        <v>88</v>
      </c>
      <c r="GX11" s="148">
        <v>9.9903614457831331</v>
      </c>
      <c r="GY11" s="140">
        <f t="shared" si="25"/>
        <v>879.15180722891569</v>
      </c>
      <c r="GZ11" s="149"/>
      <c r="HA11" s="528"/>
      <c r="HB11" s="143" t="s">
        <v>69</v>
      </c>
      <c r="HC11" s="144">
        <v>4</v>
      </c>
      <c r="HD11" s="137" t="s">
        <v>70</v>
      </c>
      <c r="HE11" s="175">
        <v>64</v>
      </c>
      <c r="HF11" s="148">
        <v>9.9903614457831331</v>
      </c>
      <c r="HG11" s="140">
        <f t="shared" si="26"/>
        <v>639.38313253012052</v>
      </c>
      <c r="HH11" s="149"/>
      <c r="HI11" s="528"/>
      <c r="HJ11" s="143" t="s">
        <v>69</v>
      </c>
      <c r="HK11" s="144">
        <v>20</v>
      </c>
      <c r="HL11" s="137" t="s">
        <v>70</v>
      </c>
      <c r="HM11" s="175">
        <v>55</v>
      </c>
      <c r="HN11" s="148">
        <v>9.9903614457831331</v>
      </c>
      <c r="HO11" s="140">
        <f t="shared" si="27"/>
        <v>549.46987951807228</v>
      </c>
      <c r="HP11" s="149"/>
      <c r="HQ11" s="528"/>
      <c r="HR11" s="143" t="s">
        <v>69</v>
      </c>
      <c r="HS11" s="144">
        <v>18</v>
      </c>
      <c r="HT11" s="137" t="s">
        <v>70</v>
      </c>
      <c r="HU11" s="175">
        <v>97</v>
      </c>
      <c r="HV11" s="148">
        <v>9.9903614457831331</v>
      </c>
      <c r="HW11" s="140">
        <f t="shared" si="28"/>
        <v>969.06506024096393</v>
      </c>
      <c r="HX11" s="149"/>
      <c r="HY11" s="528"/>
      <c r="HZ11" s="143" t="s">
        <v>69</v>
      </c>
      <c r="IA11" s="144">
        <v>28</v>
      </c>
      <c r="IB11" s="137" t="s">
        <v>70</v>
      </c>
      <c r="IC11" s="175">
        <v>87</v>
      </c>
      <c r="ID11" s="148">
        <v>9.9903614457831331</v>
      </c>
      <c r="IE11" s="140">
        <f t="shared" si="29"/>
        <v>869.16144578313254</v>
      </c>
      <c r="IF11" s="149"/>
      <c r="IG11" s="528"/>
      <c r="IH11" s="143" t="s">
        <v>69</v>
      </c>
      <c r="II11" s="144">
        <v>19</v>
      </c>
      <c r="IJ11" s="137" t="s">
        <v>70</v>
      </c>
      <c r="IK11" s="175">
        <v>50</v>
      </c>
      <c r="IL11" s="148">
        <v>9.9903614457831331</v>
      </c>
      <c r="IM11" s="140">
        <f t="shared" si="30"/>
        <v>499.51807228915663</v>
      </c>
      <c r="IN11" s="149"/>
      <c r="IO11" s="528"/>
      <c r="IP11" s="143" t="s">
        <v>69</v>
      </c>
      <c r="IQ11" s="144">
        <v>28</v>
      </c>
      <c r="IR11" s="137" t="s">
        <v>70</v>
      </c>
      <c r="IS11" s="175">
        <v>92</v>
      </c>
      <c r="IT11" s="148">
        <v>9.9903614457831331</v>
      </c>
      <c r="IU11" s="140">
        <f t="shared" si="31"/>
        <v>919.11325301204829</v>
      </c>
      <c r="IV11" s="149"/>
      <c r="IW11" s="528"/>
      <c r="IX11" s="143" t="s">
        <v>69</v>
      </c>
      <c r="IY11" s="144">
        <v>16</v>
      </c>
      <c r="IZ11" s="137" t="s">
        <v>70</v>
      </c>
      <c r="JA11" s="175">
        <v>94</v>
      </c>
      <c r="JB11" s="148">
        <v>9.9903614457831331</v>
      </c>
      <c r="JC11" s="140">
        <f t="shared" si="32"/>
        <v>939.09397590361448</v>
      </c>
      <c r="JD11" s="149"/>
      <c r="JE11" s="528"/>
      <c r="JF11" s="143" t="s">
        <v>69</v>
      </c>
      <c r="JG11" s="144">
        <v>6</v>
      </c>
      <c r="JH11" s="137" t="s">
        <v>70</v>
      </c>
      <c r="JI11" s="175">
        <v>35</v>
      </c>
      <c r="JJ11" s="148">
        <v>9.9903614457831331</v>
      </c>
      <c r="JK11" s="140">
        <f t="shared" si="33"/>
        <v>349.66265060240966</v>
      </c>
      <c r="JL11" s="149"/>
      <c r="JM11" s="528"/>
      <c r="JN11" s="143" t="s">
        <v>69</v>
      </c>
      <c r="JO11" s="144">
        <v>7</v>
      </c>
      <c r="JP11" s="137" t="s">
        <v>70</v>
      </c>
      <c r="JQ11" s="175">
        <v>48</v>
      </c>
      <c r="JR11" s="148">
        <v>9.9903614457831331</v>
      </c>
      <c r="JS11" s="140">
        <f t="shared" si="34"/>
        <v>479.53734939759039</v>
      </c>
      <c r="JT11" s="149"/>
      <c r="JU11" s="528"/>
      <c r="JV11" s="143" t="s">
        <v>69</v>
      </c>
      <c r="JW11" s="144">
        <v>25</v>
      </c>
      <c r="JX11" s="137" t="s">
        <v>70</v>
      </c>
      <c r="JY11" s="175">
        <v>157</v>
      </c>
      <c r="JZ11" s="148">
        <v>9.9903614457831331</v>
      </c>
      <c r="KA11" s="140">
        <f t="shared" si="35"/>
        <v>1568.4867469879518</v>
      </c>
      <c r="KB11" s="149"/>
      <c r="KC11" s="528"/>
      <c r="KD11" s="143" t="s">
        <v>69</v>
      </c>
      <c r="KE11" s="144">
        <v>10</v>
      </c>
      <c r="KF11" s="137" t="s">
        <v>70</v>
      </c>
      <c r="KG11" s="175">
        <v>66</v>
      </c>
      <c r="KH11" s="148">
        <v>9.9903614457831331</v>
      </c>
      <c r="KI11" s="140">
        <f t="shared" si="36"/>
        <v>659.36385542168682</v>
      </c>
      <c r="KJ11" s="149"/>
      <c r="KK11" s="528"/>
      <c r="KL11" s="143" t="s">
        <v>69</v>
      </c>
      <c r="KM11" s="144">
        <v>5</v>
      </c>
      <c r="KN11" s="137" t="s">
        <v>70</v>
      </c>
      <c r="KO11" s="175">
        <v>46</v>
      </c>
      <c r="KP11" s="148">
        <v>9.9903614457831331</v>
      </c>
      <c r="KQ11" s="140">
        <f t="shared" si="37"/>
        <v>459.55662650602414</v>
      </c>
      <c r="KR11" s="149"/>
      <c r="KS11" s="528"/>
      <c r="KT11" s="143" t="s">
        <v>69</v>
      </c>
      <c r="KU11" s="144">
        <v>15</v>
      </c>
      <c r="KV11" s="137" t="s">
        <v>70</v>
      </c>
      <c r="KW11" s="175">
        <v>122</v>
      </c>
      <c r="KX11" s="148">
        <v>9.9903614457831331</v>
      </c>
      <c r="KY11" s="140">
        <f t="shared" si="38"/>
        <v>1218.8240963855421</v>
      </c>
      <c r="KZ11" s="149"/>
      <c r="LA11" s="528"/>
      <c r="LB11" s="143" t="s">
        <v>69</v>
      </c>
      <c r="LC11" s="144">
        <v>23</v>
      </c>
      <c r="LD11" s="137" t="s">
        <v>70</v>
      </c>
      <c r="LE11" s="175">
        <v>122</v>
      </c>
      <c r="LF11" s="148">
        <v>9.9903614457831331</v>
      </c>
      <c r="LG11" s="140">
        <f t="shared" si="39"/>
        <v>1218.8240963855421</v>
      </c>
      <c r="LH11" s="149"/>
      <c r="LI11" s="528"/>
      <c r="LJ11" s="143" t="s">
        <v>69</v>
      </c>
      <c r="LK11" s="144">
        <v>14</v>
      </c>
      <c r="LL11" s="137" t="s">
        <v>70</v>
      </c>
      <c r="LM11" s="175">
        <v>81</v>
      </c>
      <c r="LN11" s="148">
        <v>9.9903614457831331</v>
      </c>
      <c r="LO11" s="140">
        <f t="shared" si="40"/>
        <v>809.21927710843374</v>
      </c>
      <c r="LP11" s="149"/>
      <c r="LQ11" s="528"/>
      <c r="LR11" s="143" t="s">
        <v>69</v>
      </c>
      <c r="LS11" s="144">
        <v>7</v>
      </c>
      <c r="LT11" s="137" t="s">
        <v>70</v>
      </c>
      <c r="LU11" s="175">
        <v>20</v>
      </c>
      <c r="LV11" s="148">
        <v>9.9903614457831331</v>
      </c>
      <c r="LW11" s="140">
        <f t="shared" si="41"/>
        <v>199.80722891566268</v>
      </c>
      <c r="LX11" s="149"/>
      <c r="LY11" s="528"/>
      <c r="LZ11" s="143" t="s">
        <v>69</v>
      </c>
      <c r="MA11" s="144">
        <v>29</v>
      </c>
      <c r="MB11" s="137" t="s">
        <v>70</v>
      </c>
      <c r="MC11" s="175">
        <v>137</v>
      </c>
      <c r="MD11" s="148">
        <v>9.9903614457831331</v>
      </c>
      <c r="ME11" s="140">
        <f t="shared" si="42"/>
        <v>1368.6795180722893</v>
      </c>
      <c r="MF11" s="149"/>
      <c r="MG11" s="528"/>
      <c r="MH11" s="143" t="s">
        <v>69</v>
      </c>
      <c r="MI11" s="144">
        <v>24</v>
      </c>
      <c r="MJ11" s="137" t="s">
        <v>70</v>
      </c>
      <c r="MK11" s="175">
        <v>150</v>
      </c>
      <c r="ML11" s="148">
        <v>9.9903614457831331</v>
      </c>
      <c r="MM11" s="140">
        <f t="shared" si="43"/>
        <v>1498.5542168674699</v>
      </c>
      <c r="MN11" s="149"/>
      <c r="MO11" s="528"/>
      <c r="MP11" s="143" t="s">
        <v>69</v>
      </c>
      <c r="MQ11" s="144">
        <v>19</v>
      </c>
      <c r="MR11" s="137" t="s">
        <v>70</v>
      </c>
      <c r="MS11" s="175">
        <v>81</v>
      </c>
      <c r="MT11" s="148">
        <v>9.9903614457831331</v>
      </c>
      <c r="MU11" s="140">
        <f t="shared" si="44"/>
        <v>809.21927710843374</v>
      </c>
      <c r="MV11" s="149"/>
      <c r="MW11" s="528"/>
      <c r="MX11" s="143" t="s">
        <v>69</v>
      </c>
      <c r="MY11" s="144">
        <v>7</v>
      </c>
      <c r="MZ11" s="137" t="s">
        <v>70</v>
      </c>
      <c r="NA11" s="175">
        <v>25</v>
      </c>
      <c r="NB11" s="148">
        <v>9.9903614457831331</v>
      </c>
      <c r="NC11" s="140">
        <f t="shared" si="45"/>
        <v>249.75903614457832</v>
      </c>
      <c r="ND11" s="149"/>
      <c r="NE11" s="528"/>
      <c r="NF11" s="143" t="s">
        <v>69</v>
      </c>
      <c r="NG11" s="144">
        <v>19</v>
      </c>
      <c r="NH11" s="137" t="s">
        <v>70</v>
      </c>
      <c r="NI11" s="175">
        <v>69</v>
      </c>
      <c r="NJ11" s="148">
        <v>9.9903614457831331</v>
      </c>
      <c r="NK11" s="140">
        <f t="shared" si="46"/>
        <v>689.33493975903616</v>
      </c>
      <c r="NL11" s="149"/>
      <c r="NM11" s="528"/>
      <c r="NN11" s="143" t="s">
        <v>69</v>
      </c>
      <c r="NO11" s="144">
        <v>5</v>
      </c>
      <c r="NP11" s="137" t="s">
        <v>70</v>
      </c>
      <c r="NQ11" s="175">
        <v>13</v>
      </c>
      <c r="NR11" s="148">
        <v>9.9903614457831331</v>
      </c>
      <c r="NS11" s="140">
        <f t="shared" si="47"/>
        <v>129.87469879518073</v>
      </c>
      <c r="NT11" s="149"/>
      <c r="NU11" s="528"/>
      <c r="NV11" s="143" t="s">
        <v>69</v>
      </c>
      <c r="NW11" s="144">
        <v>4</v>
      </c>
      <c r="NX11" s="137" t="s">
        <v>70</v>
      </c>
      <c r="NY11" s="175">
        <v>10</v>
      </c>
      <c r="NZ11" s="148">
        <v>9.9903614457831331</v>
      </c>
      <c r="OA11" s="140">
        <f t="shared" si="48"/>
        <v>99.903614457831338</v>
      </c>
      <c r="OB11" s="149"/>
      <c r="OC11" s="528"/>
      <c r="OD11" s="143" t="s">
        <v>69</v>
      </c>
      <c r="OE11" s="144">
        <v>15</v>
      </c>
      <c r="OF11" s="137" t="s">
        <v>70</v>
      </c>
      <c r="OG11" s="175">
        <v>75</v>
      </c>
      <c r="OH11" s="148">
        <v>9.9903614457831331</v>
      </c>
      <c r="OI11" s="140">
        <f t="shared" si="49"/>
        <v>749.27710843373495</v>
      </c>
      <c r="OJ11" s="149"/>
      <c r="OK11" s="528"/>
      <c r="OL11" s="143" t="s">
        <v>69</v>
      </c>
      <c r="OM11" s="144">
        <v>6</v>
      </c>
      <c r="ON11" s="137" t="s">
        <v>70</v>
      </c>
      <c r="OO11" s="175">
        <v>13</v>
      </c>
      <c r="OP11" s="148">
        <v>9.9903614457831331</v>
      </c>
      <c r="OQ11" s="140">
        <f t="shared" si="50"/>
        <v>129.87469879518073</v>
      </c>
      <c r="OR11" s="149"/>
      <c r="OS11" s="528"/>
      <c r="OT11" s="143" t="s">
        <v>69</v>
      </c>
      <c r="OU11" s="144"/>
      <c r="OV11" s="137" t="s">
        <v>70</v>
      </c>
      <c r="OW11" s="175"/>
      <c r="OX11" s="148">
        <v>9.9903614457831331</v>
      </c>
      <c r="OY11" s="140">
        <f t="shared" si="51"/>
        <v>0</v>
      </c>
      <c r="OZ11" s="149"/>
      <c r="PA11" s="528"/>
      <c r="PB11" s="143" t="s">
        <v>69</v>
      </c>
      <c r="PC11" s="144"/>
      <c r="PD11" s="137" t="s">
        <v>70</v>
      </c>
      <c r="PE11" s="175"/>
      <c r="PF11" s="148">
        <v>9.9903614457831331</v>
      </c>
      <c r="PG11" s="140">
        <f t="shared" si="52"/>
        <v>0</v>
      </c>
      <c r="PH11" s="149"/>
      <c r="PI11" s="528"/>
      <c r="PJ11" s="143" t="s">
        <v>69</v>
      </c>
      <c r="PK11" s="144">
        <v>4</v>
      </c>
      <c r="PL11" s="137" t="s">
        <v>70</v>
      </c>
      <c r="PM11" s="175">
        <v>15</v>
      </c>
      <c r="PN11" s="148">
        <v>9.9903614457831331</v>
      </c>
      <c r="PO11" s="140">
        <f t="shared" si="53"/>
        <v>149.85542168674701</v>
      </c>
      <c r="PP11" s="149"/>
      <c r="PQ11" s="528"/>
      <c r="PR11" s="143" t="s">
        <v>69</v>
      </c>
      <c r="PS11" s="144">
        <v>2</v>
      </c>
      <c r="PT11" s="137" t="s">
        <v>70</v>
      </c>
      <c r="PU11" s="175">
        <v>8</v>
      </c>
      <c r="PV11" s="148">
        <v>9.9903614457831331</v>
      </c>
      <c r="PW11" s="140">
        <f t="shared" si="54"/>
        <v>79.922891566265065</v>
      </c>
      <c r="PX11" s="149"/>
      <c r="PY11" s="528"/>
      <c r="PZ11" s="143" t="s">
        <v>69</v>
      </c>
      <c r="QA11" s="144">
        <v>6</v>
      </c>
      <c r="QB11" s="137" t="s">
        <v>70</v>
      </c>
      <c r="QC11" s="175">
        <v>86</v>
      </c>
      <c r="QD11" s="148">
        <v>9.9903614457831331</v>
      </c>
      <c r="QE11" s="140">
        <f t="shared" si="55"/>
        <v>859.1710843373495</v>
      </c>
      <c r="QF11" s="149"/>
      <c r="QG11" s="528"/>
      <c r="QH11" s="143" t="s">
        <v>69</v>
      </c>
      <c r="QI11" s="144">
        <v>11</v>
      </c>
      <c r="QJ11" s="137" t="s">
        <v>70</v>
      </c>
      <c r="QK11" s="175">
        <v>44</v>
      </c>
      <c r="QL11" s="148">
        <v>9.9903614457831331</v>
      </c>
      <c r="QM11" s="140">
        <f t="shared" si="56"/>
        <v>439.57590361445784</v>
      </c>
      <c r="QN11" s="149"/>
      <c r="QO11" s="528"/>
      <c r="QP11" s="143" t="s">
        <v>69</v>
      </c>
      <c r="QQ11" s="144">
        <v>13</v>
      </c>
      <c r="QR11" s="137" t="s">
        <v>70</v>
      </c>
      <c r="QS11" s="175">
        <v>64</v>
      </c>
      <c r="QT11" s="148">
        <v>9.9903614457831331</v>
      </c>
      <c r="QU11" s="140">
        <f t="shared" si="57"/>
        <v>639.38313253012052</v>
      </c>
      <c r="QV11" s="149"/>
      <c r="QW11" s="528"/>
      <c r="QX11" s="143" t="s">
        <v>69</v>
      </c>
      <c r="QY11" s="144"/>
      <c r="QZ11" s="137" t="s">
        <v>70</v>
      </c>
      <c r="RA11" s="175"/>
      <c r="RB11" s="148">
        <v>9.9903614457831331</v>
      </c>
      <c r="RC11" s="140">
        <f t="shared" si="58"/>
        <v>0</v>
      </c>
      <c r="RD11" s="149"/>
      <c r="RE11" s="528"/>
      <c r="RF11" s="143" t="s">
        <v>69</v>
      </c>
      <c r="RG11" s="144"/>
      <c r="RH11" s="137" t="s">
        <v>70</v>
      </c>
      <c r="RI11" s="175"/>
      <c r="RJ11" s="148">
        <v>9.9903614457831331</v>
      </c>
      <c r="RK11" s="140">
        <f t="shared" si="59"/>
        <v>0</v>
      </c>
      <c r="RL11" s="149"/>
      <c r="RM11" s="528"/>
      <c r="RN11" s="143" t="s">
        <v>69</v>
      </c>
      <c r="RO11" s="144">
        <v>23</v>
      </c>
      <c r="RP11" s="137" t="s">
        <v>70</v>
      </c>
      <c r="RQ11" s="175">
        <v>97</v>
      </c>
      <c r="RR11" s="148">
        <v>9.9903614457831331</v>
      </c>
      <c r="RS11" s="140">
        <f t="shared" si="60"/>
        <v>969.06506024096393</v>
      </c>
      <c r="RT11" s="149"/>
      <c r="RU11" s="528"/>
      <c r="RV11" s="143" t="s">
        <v>69</v>
      </c>
      <c r="RW11" s="144">
        <v>11</v>
      </c>
      <c r="RX11" s="137" t="s">
        <v>70</v>
      </c>
      <c r="RY11" s="175">
        <v>41</v>
      </c>
      <c r="RZ11" s="148">
        <v>9.9903614457831331</v>
      </c>
      <c r="SA11" s="140">
        <f t="shared" si="61"/>
        <v>409.60481927710845</v>
      </c>
      <c r="SB11" s="149"/>
      <c r="SC11" s="528"/>
      <c r="SD11" s="143" t="s">
        <v>69</v>
      </c>
      <c r="SE11" s="144">
        <v>14</v>
      </c>
      <c r="SF11" s="137" t="s">
        <v>70</v>
      </c>
      <c r="SG11" s="175">
        <v>71</v>
      </c>
      <c r="SH11" s="148">
        <v>9.9903614457831331</v>
      </c>
      <c r="SI11" s="140">
        <f t="shared" si="62"/>
        <v>709.31566265060246</v>
      </c>
      <c r="SJ11" s="149"/>
      <c r="SK11" s="528"/>
      <c r="SL11" s="143" t="s">
        <v>69</v>
      </c>
      <c r="SM11" s="144">
        <v>16</v>
      </c>
      <c r="SN11" s="137" t="s">
        <v>70</v>
      </c>
      <c r="SO11" s="175">
        <v>47</v>
      </c>
      <c r="SP11" s="148">
        <v>9.9903614457831331</v>
      </c>
      <c r="SQ11" s="140">
        <f t="shared" si="63"/>
        <v>469.54698795180724</v>
      </c>
      <c r="SR11" s="149"/>
      <c r="SS11" s="528"/>
      <c r="ST11" s="143" t="s">
        <v>69</v>
      </c>
      <c r="SU11" s="144">
        <v>22</v>
      </c>
      <c r="SV11" s="137" t="s">
        <v>70</v>
      </c>
      <c r="SW11" s="175">
        <v>146</v>
      </c>
      <c r="SX11" s="148">
        <v>9.9903614457831331</v>
      </c>
      <c r="SY11" s="140">
        <f t="shared" si="64"/>
        <v>1458.5927710843375</v>
      </c>
      <c r="SZ11" s="149"/>
      <c r="TA11" s="528"/>
      <c r="TB11" s="143" t="s">
        <v>69</v>
      </c>
      <c r="TC11" s="144">
        <v>17</v>
      </c>
      <c r="TD11" s="137" t="s">
        <v>70</v>
      </c>
      <c r="TE11" s="175">
        <v>100</v>
      </c>
      <c r="TF11" s="148">
        <v>9.9903614457831331</v>
      </c>
      <c r="TG11" s="140">
        <f t="shared" si="65"/>
        <v>999.03614457831327</v>
      </c>
      <c r="TH11" s="149"/>
      <c r="TI11" s="528"/>
    </row>
    <row r="12" spans="2:529">
      <c r="B12" s="143"/>
      <c r="C12" s="146"/>
      <c r="D12" s="137" t="s">
        <v>11</v>
      </c>
      <c r="E12" s="138">
        <v>0</v>
      </c>
      <c r="F12" s="148">
        <v>3.5994117647058825</v>
      </c>
      <c r="G12" s="140">
        <f t="shared" si="0"/>
        <v>0</v>
      </c>
      <c r="H12" s="150"/>
      <c r="I12" s="528"/>
      <c r="J12" s="143"/>
      <c r="K12" s="146"/>
      <c r="L12" s="137" t="s">
        <v>11</v>
      </c>
      <c r="M12" s="138">
        <v>26</v>
      </c>
      <c r="N12" s="148">
        <v>3.5994117647058825</v>
      </c>
      <c r="O12" s="140">
        <f t="shared" si="1"/>
        <v>93.584705882352949</v>
      </c>
      <c r="P12" s="150"/>
      <c r="Q12" s="528"/>
      <c r="R12" s="143"/>
      <c r="S12" s="146"/>
      <c r="T12" s="137" t="s">
        <v>11</v>
      </c>
      <c r="U12" s="138">
        <v>2</v>
      </c>
      <c r="V12" s="148">
        <v>3.5994117647058825</v>
      </c>
      <c r="W12" s="140">
        <f t="shared" si="2"/>
        <v>7.1988235294117651</v>
      </c>
      <c r="X12" s="150"/>
      <c r="Y12" s="528"/>
      <c r="Z12" s="143"/>
      <c r="AA12" s="146"/>
      <c r="AB12" s="137" t="s">
        <v>11</v>
      </c>
      <c r="AC12" s="138">
        <v>12</v>
      </c>
      <c r="AD12" s="148">
        <v>3.5994117647058825</v>
      </c>
      <c r="AE12" s="140">
        <f t="shared" si="3"/>
        <v>43.19294117647059</v>
      </c>
      <c r="AF12" s="150"/>
      <c r="AG12" s="528"/>
      <c r="AH12" s="143"/>
      <c r="AI12" s="146"/>
      <c r="AJ12" s="137" t="s">
        <v>11</v>
      </c>
      <c r="AK12" s="138">
        <v>0</v>
      </c>
      <c r="AL12" s="148">
        <v>3.5994117647058825</v>
      </c>
      <c r="AM12" s="140">
        <f t="shared" si="4"/>
        <v>0</v>
      </c>
      <c r="AN12" s="150"/>
      <c r="AO12" s="528"/>
      <c r="AP12" s="143"/>
      <c r="AQ12" s="146"/>
      <c r="AR12" s="137" t="s">
        <v>11</v>
      </c>
      <c r="AS12" s="138"/>
      <c r="AT12" s="148">
        <v>3.5994117647058825</v>
      </c>
      <c r="AU12" s="140">
        <f t="shared" si="5"/>
        <v>0</v>
      </c>
      <c r="AV12" s="150"/>
      <c r="AW12" s="528"/>
      <c r="AX12" s="143"/>
      <c r="AY12" s="146"/>
      <c r="AZ12" s="137" t="s">
        <v>11</v>
      </c>
      <c r="BA12" s="138">
        <v>8</v>
      </c>
      <c r="BB12" s="148">
        <v>3.5994117647058825</v>
      </c>
      <c r="BC12" s="140">
        <f t="shared" si="6"/>
        <v>28.79529411764706</v>
      </c>
      <c r="BD12" s="150"/>
      <c r="BE12" s="528"/>
      <c r="BF12" s="143"/>
      <c r="BG12" s="146"/>
      <c r="BH12" s="137" t="s">
        <v>11</v>
      </c>
      <c r="BI12" s="138">
        <v>14</v>
      </c>
      <c r="BJ12" s="148">
        <v>3.5994117647058825</v>
      </c>
      <c r="BK12" s="140">
        <f t="shared" si="7"/>
        <v>50.391764705882352</v>
      </c>
      <c r="BL12" s="150"/>
      <c r="BM12" s="528"/>
      <c r="BN12" s="143"/>
      <c r="BO12" s="146"/>
      <c r="BP12" s="137" t="s">
        <v>11</v>
      </c>
      <c r="BQ12" s="138">
        <v>0</v>
      </c>
      <c r="BR12" s="148">
        <v>3.5994117647058825</v>
      </c>
      <c r="BS12" s="140">
        <f t="shared" si="8"/>
        <v>0</v>
      </c>
      <c r="BT12" s="150"/>
      <c r="BU12" s="528"/>
      <c r="BV12" s="564"/>
      <c r="BW12" s="537"/>
      <c r="BX12" s="559" t="s">
        <v>11</v>
      </c>
      <c r="BY12" s="560"/>
      <c r="BZ12" s="567">
        <v>3.5994117647058825</v>
      </c>
      <c r="CA12" s="562">
        <f t="shared" si="9"/>
        <v>0</v>
      </c>
      <c r="CB12" s="569"/>
      <c r="CC12" s="528"/>
      <c r="CD12" s="564"/>
      <c r="CE12" s="537"/>
      <c r="CF12" s="559" t="s">
        <v>11</v>
      </c>
      <c r="CG12" s="560"/>
      <c r="CH12" s="567">
        <v>3.5994117647058825</v>
      </c>
      <c r="CI12" s="562">
        <f t="shared" si="10"/>
        <v>0</v>
      </c>
      <c r="CJ12" s="569"/>
      <c r="CK12" s="528"/>
      <c r="CL12" s="143"/>
      <c r="CM12" s="146"/>
      <c r="CN12" s="137" t="s">
        <v>11</v>
      </c>
      <c r="CO12" s="138">
        <v>0</v>
      </c>
      <c r="CP12" s="148">
        <v>3.5994117647058825</v>
      </c>
      <c r="CQ12" s="140">
        <f t="shared" si="11"/>
        <v>0</v>
      </c>
      <c r="CR12" s="150"/>
      <c r="CS12" s="528"/>
      <c r="CT12" s="143"/>
      <c r="CU12" s="146"/>
      <c r="CV12" s="137" t="s">
        <v>11</v>
      </c>
      <c r="CW12" s="138">
        <v>14</v>
      </c>
      <c r="CX12" s="148">
        <v>3.5994117647058825</v>
      </c>
      <c r="CY12" s="140">
        <f t="shared" si="12"/>
        <v>50.391764705882352</v>
      </c>
      <c r="CZ12" s="150"/>
      <c r="DA12" s="528"/>
      <c r="DB12" s="143"/>
      <c r="DC12" s="146"/>
      <c r="DD12" s="137" t="s">
        <v>11</v>
      </c>
      <c r="DE12" s="138">
        <v>2</v>
      </c>
      <c r="DF12" s="148">
        <v>3.5994117647058825</v>
      </c>
      <c r="DG12" s="140">
        <f t="shared" si="13"/>
        <v>7.1988235294117651</v>
      </c>
      <c r="DH12" s="150"/>
      <c r="DI12" s="528"/>
      <c r="DJ12" s="143"/>
      <c r="DK12" s="146"/>
      <c r="DL12" s="137" t="s">
        <v>11</v>
      </c>
      <c r="DM12" s="138">
        <v>87</v>
      </c>
      <c r="DN12" s="171">
        <v>3.5994117647058825</v>
      </c>
      <c r="DO12" s="140">
        <f t="shared" si="14"/>
        <v>313.1488235294118</v>
      </c>
      <c r="DP12" s="150"/>
      <c r="DQ12" s="528"/>
      <c r="DR12" s="143"/>
      <c r="DS12" s="146"/>
      <c r="DT12" s="137" t="s">
        <v>11</v>
      </c>
      <c r="DU12" s="138"/>
      <c r="DV12" s="171">
        <v>3.5994117647058825</v>
      </c>
      <c r="DW12" s="140">
        <f t="shared" si="15"/>
        <v>0</v>
      </c>
      <c r="DX12" s="150"/>
      <c r="DY12" s="528"/>
      <c r="DZ12" s="143"/>
      <c r="EA12" s="146"/>
      <c r="EB12" s="137" t="s">
        <v>11</v>
      </c>
      <c r="EC12" s="138">
        <v>0</v>
      </c>
      <c r="ED12" s="171">
        <v>3.5994117647058825</v>
      </c>
      <c r="EE12" s="140">
        <f t="shared" si="16"/>
        <v>0</v>
      </c>
      <c r="EF12" s="150"/>
      <c r="EG12" s="528"/>
      <c r="EH12" s="143"/>
      <c r="EI12" s="146"/>
      <c r="EJ12" s="137" t="s">
        <v>11</v>
      </c>
      <c r="EK12" s="138">
        <v>38</v>
      </c>
      <c r="EL12" s="171">
        <v>3.5994117647058825</v>
      </c>
      <c r="EM12" s="140">
        <f t="shared" si="17"/>
        <v>136.77764705882353</v>
      </c>
      <c r="EN12" s="150"/>
      <c r="EO12" s="528"/>
      <c r="EP12" s="143"/>
      <c r="EQ12" s="146"/>
      <c r="ER12" s="137" t="s">
        <v>11</v>
      </c>
      <c r="ES12" s="138">
        <v>0</v>
      </c>
      <c r="ET12" s="171">
        <v>3.5994117647058825</v>
      </c>
      <c r="EU12" s="140">
        <f t="shared" si="18"/>
        <v>0</v>
      </c>
      <c r="EV12" s="150"/>
      <c r="EW12" s="528"/>
      <c r="EX12" s="143"/>
      <c r="EY12" s="146"/>
      <c r="EZ12" s="137" t="s">
        <v>11</v>
      </c>
      <c r="FA12" s="138"/>
      <c r="FB12" s="171">
        <v>3.5994117647058825</v>
      </c>
      <c r="FC12" s="140">
        <f t="shared" si="19"/>
        <v>0</v>
      </c>
      <c r="FD12" s="150"/>
      <c r="FE12" s="528"/>
      <c r="FF12" s="143"/>
      <c r="FG12" s="146"/>
      <c r="FH12" s="137" t="s">
        <v>11</v>
      </c>
      <c r="FI12" s="138"/>
      <c r="FJ12" s="171">
        <v>3.5994117647058825</v>
      </c>
      <c r="FK12" s="140">
        <f t="shared" si="20"/>
        <v>0</v>
      </c>
      <c r="FL12" s="150"/>
      <c r="FM12" s="528"/>
      <c r="FN12" s="143"/>
      <c r="FO12" s="146"/>
      <c r="FP12" s="137" t="s">
        <v>11</v>
      </c>
      <c r="FQ12" s="138"/>
      <c r="FR12" s="171">
        <v>3.5994117647058825</v>
      </c>
      <c r="FS12" s="140">
        <f t="shared" si="21"/>
        <v>0</v>
      </c>
      <c r="FT12" s="150"/>
      <c r="FU12" s="528"/>
      <c r="FV12" s="143"/>
      <c r="FW12" s="146"/>
      <c r="FX12" s="137" t="s">
        <v>11</v>
      </c>
      <c r="FY12" s="138"/>
      <c r="FZ12" s="171">
        <v>3.5994117647058825</v>
      </c>
      <c r="GA12" s="140">
        <f t="shared" si="22"/>
        <v>0</v>
      </c>
      <c r="GB12" s="150"/>
      <c r="GC12" s="528"/>
      <c r="GD12" s="143"/>
      <c r="GE12" s="146"/>
      <c r="GF12" s="137" t="s">
        <v>11</v>
      </c>
      <c r="GG12" s="138"/>
      <c r="GH12" s="171">
        <v>3.5994117647058825</v>
      </c>
      <c r="GI12" s="140">
        <f t="shared" si="23"/>
        <v>0</v>
      </c>
      <c r="GJ12" s="150"/>
      <c r="GK12" s="528"/>
      <c r="GL12" s="143"/>
      <c r="GM12" s="146"/>
      <c r="GN12" s="137" t="s">
        <v>11</v>
      </c>
      <c r="GO12" s="175">
        <v>14</v>
      </c>
      <c r="GP12" s="148">
        <v>3.5994117647058825</v>
      </c>
      <c r="GQ12" s="140">
        <f t="shared" si="24"/>
        <v>50.391764705882352</v>
      </c>
      <c r="GR12" s="150"/>
      <c r="GS12" s="528"/>
      <c r="GT12" s="143"/>
      <c r="GU12" s="146"/>
      <c r="GV12" s="137" t="s">
        <v>11</v>
      </c>
      <c r="GW12" s="175">
        <v>2</v>
      </c>
      <c r="GX12" s="148">
        <v>3.5994117647058825</v>
      </c>
      <c r="GY12" s="140">
        <f t="shared" si="25"/>
        <v>7.1988235294117651</v>
      </c>
      <c r="GZ12" s="150"/>
      <c r="HA12" s="528"/>
      <c r="HB12" s="143"/>
      <c r="HC12" s="146"/>
      <c r="HD12" s="137" t="s">
        <v>11</v>
      </c>
      <c r="HE12" s="175">
        <v>0</v>
      </c>
      <c r="HF12" s="148">
        <v>3.5994117647058825</v>
      </c>
      <c r="HG12" s="140">
        <f t="shared" si="26"/>
        <v>0</v>
      </c>
      <c r="HH12" s="150"/>
      <c r="HI12" s="528"/>
      <c r="HJ12" s="143"/>
      <c r="HK12" s="146"/>
      <c r="HL12" s="137" t="s">
        <v>11</v>
      </c>
      <c r="HM12" s="175">
        <v>0</v>
      </c>
      <c r="HN12" s="148">
        <v>3.5994117647058825</v>
      </c>
      <c r="HO12" s="140">
        <f t="shared" si="27"/>
        <v>0</v>
      </c>
      <c r="HP12" s="150"/>
      <c r="HQ12" s="528"/>
      <c r="HR12" s="143"/>
      <c r="HS12" s="146"/>
      <c r="HT12" s="137" t="s">
        <v>11</v>
      </c>
      <c r="HU12" s="175">
        <v>0</v>
      </c>
      <c r="HV12" s="148">
        <v>3.5994117647058825</v>
      </c>
      <c r="HW12" s="140">
        <f t="shared" si="28"/>
        <v>0</v>
      </c>
      <c r="HX12" s="150"/>
      <c r="HY12" s="528"/>
      <c r="HZ12" s="143"/>
      <c r="IA12" s="146"/>
      <c r="IB12" s="137" t="s">
        <v>11</v>
      </c>
      <c r="IC12" s="175">
        <v>0</v>
      </c>
      <c r="ID12" s="148">
        <v>3.5994117647058825</v>
      </c>
      <c r="IE12" s="140">
        <f t="shared" si="29"/>
        <v>0</v>
      </c>
      <c r="IF12" s="150"/>
      <c r="IG12" s="528"/>
      <c r="IH12" s="143"/>
      <c r="II12" s="146"/>
      <c r="IJ12" s="137" t="s">
        <v>11</v>
      </c>
      <c r="IK12" s="175">
        <v>0</v>
      </c>
      <c r="IL12" s="148">
        <v>3.5994117647058825</v>
      </c>
      <c r="IM12" s="140">
        <f t="shared" si="30"/>
        <v>0</v>
      </c>
      <c r="IN12" s="150"/>
      <c r="IO12" s="528"/>
      <c r="IP12" s="143"/>
      <c r="IQ12" s="146"/>
      <c r="IR12" s="137" t="s">
        <v>11</v>
      </c>
      <c r="IS12" s="175">
        <v>16</v>
      </c>
      <c r="IT12" s="148">
        <v>3.5994117647058825</v>
      </c>
      <c r="IU12" s="140">
        <f t="shared" si="31"/>
        <v>57.590588235294121</v>
      </c>
      <c r="IV12" s="150"/>
      <c r="IW12" s="528"/>
      <c r="IX12" s="143"/>
      <c r="IY12" s="146"/>
      <c r="IZ12" s="137" t="s">
        <v>11</v>
      </c>
      <c r="JA12" s="175">
        <v>0</v>
      </c>
      <c r="JB12" s="148">
        <v>3.5994117647058825</v>
      </c>
      <c r="JC12" s="140">
        <f t="shared" si="32"/>
        <v>0</v>
      </c>
      <c r="JD12" s="150"/>
      <c r="JE12" s="528"/>
      <c r="JF12" s="143"/>
      <c r="JG12" s="146"/>
      <c r="JH12" s="137" t="s">
        <v>11</v>
      </c>
      <c r="JI12" s="175">
        <v>0</v>
      </c>
      <c r="JJ12" s="148">
        <v>3.5994117647058825</v>
      </c>
      <c r="JK12" s="140">
        <f t="shared" si="33"/>
        <v>0</v>
      </c>
      <c r="JL12" s="150"/>
      <c r="JM12" s="528"/>
      <c r="JN12" s="143"/>
      <c r="JO12" s="146"/>
      <c r="JP12" s="137" t="s">
        <v>11</v>
      </c>
      <c r="JQ12" s="175">
        <v>0</v>
      </c>
      <c r="JR12" s="148">
        <v>3.5994117647058825</v>
      </c>
      <c r="JS12" s="140">
        <f t="shared" si="34"/>
        <v>0</v>
      </c>
      <c r="JT12" s="150"/>
      <c r="JU12" s="528"/>
      <c r="JV12" s="143"/>
      <c r="JW12" s="146"/>
      <c r="JX12" s="137" t="s">
        <v>11</v>
      </c>
      <c r="JY12" s="175">
        <v>0</v>
      </c>
      <c r="JZ12" s="148">
        <v>3.5994117647058825</v>
      </c>
      <c r="KA12" s="140">
        <f t="shared" si="35"/>
        <v>0</v>
      </c>
      <c r="KB12" s="150"/>
      <c r="KC12" s="528"/>
      <c r="KD12" s="143"/>
      <c r="KE12" s="146"/>
      <c r="KF12" s="137" t="s">
        <v>11</v>
      </c>
      <c r="KG12" s="175">
        <v>0</v>
      </c>
      <c r="KH12" s="148">
        <v>3.5994117647058825</v>
      </c>
      <c r="KI12" s="140">
        <f t="shared" si="36"/>
        <v>0</v>
      </c>
      <c r="KJ12" s="150"/>
      <c r="KK12" s="528"/>
      <c r="KL12" s="143"/>
      <c r="KM12" s="146"/>
      <c r="KN12" s="137" t="s">
        <v>11</v>
      </c>
      <c r="KO12" s="175">
        <v>26</v>
      </c>
      <c r="KP12" s="148">
        <v>3.5994117647058799</v>
      </c>
      <c r="KQ12" s="140">
        <f t="shared" si="37"/>
        <v>93.584705882352878</v>
      </c>
      <c r="KR12" s="150"/>
      <c r="KS12" s="528"/>
      <c r="KT12" s="143"/>
      <c r="KU12" s="146"/>
      <c r="KV12" s="137" t="s">
        <v>11</v>
      </c>
      <c r="KW12" s="175">
        <v>1</v>
      </c>
      <c r="KX12" s="148">
        <v>3.5994117647058825</v>
      </c>
      <c r="KY12" s="140">
        <f t="shared" si="38"/>
        <v>3.5994117647058825</v>
      </c>
      <c r="KZ12" s="150"/>
      <c r="LA12" s="528"/>
      <c r="LB12" s="143"/>
      <c r="LC12" s="146"/>
      <c r="LD12" s="137" t="s">
        <v>11</v>
      </c>
      <c r="LE12" s="175">
        <v>3</v>
      </c>
      <c r="LF12" s="148">
        <v>3.5994117647058825</v>
      </c>
      <c r="LG12" s="140">
        <f t="shared" si="39"/>
        <v>10.798235294117648</v>
      </c>
      <c r="LH12" s="150"/>
      <c r="LI12" s="528"/>
      <c r="LJ12" s="143"/>
      <c r="LK12" s="146"/>
      <c r="LL12" s="137" t="s">
        <v>11</v>
      </c>
      <c r="LM12" s="175">
        <v>0</v>
      </c>
      <c r="LN12" s="148">
        <v>3.5994117647058825</v>
      </c>
      <c r="LO12" s="140">
        <f t="shared" si="40"/>
        <v>0</v>
      </c>
      <c r="LP12" s="150"/>
      <c r="LQ12" s="528"/>
      <c r="LR12" s="143"/>
      <c r="LS12" s="146"/>
      <c r="LT12" s="137" t="s">
        <v>11</v>
      </c>
      <c r="LU12" s="175">
        <v>2</v>
      </c>
      <c r="LV12" s="148">
        <v>3.5994117647058825</v>
      </c>
      <c r="LW12" s="140">
        <f t="shared" si="41"/>
        <v>7.1988235294117651</v>
      </c>
      <c r="LX12" s="150"/>
      <c r="LY12" s="528"/>
      <c r="LZ12" s="143"/>
      <c r="MA12" s="146"/>
      <c r="MB12" s="137" t="s">
        <v>11</v>
      </c>
      <c r="MC12" s="175">
        <v>0</v>
      </c>
      <c r="MD12" s="148">
        <v>3.5994117647058825</v>
      </c>
      <c r="ME12" s="140">
        <f t="shared" si="42"/>
        <v>0</v>
      </c>
      <c r="MF12" s="150"/>
      <c r="MG12" s="528"/>
      <c r="MH12" s="143"/>
      <c r="MI12" s="146"/>
      <c r="MJ12" s="137" t="s">
        <v>11</v>
      </c>
      <c r="MK12" s="175">
        <v>25</v>
      </c>
      <c r="ML12" s="148">
        <v>3.5994117647058825</v>
      </c>
      <c r="MM12" s="140">
        <f t="shared" si="43"/>
        <v>89.985294117647058</v>
      </c>
      <c r="MN12" s="150"/>
      <c r="MO12" s="528"/>
      <c r="MP12" s="143"/>
      <c r="MQ12" s="146"/>
      <c r="MR12" s="137" t="s">
        <v>11</v>
      </c>
      <c r="MS12" s="175">
        <v>3</v>
      </c>
      <c r="MT12" s="148">
        <v>3.5994117647058825</v>
      </c>
      <c r="MU12" s="140">
        <f t="shared" si="44"/>
        <v>10.798235294117648</v>
      </c>
      <c r="MV12" s="150"/>
      <c r="MW12" s="528"/>
      <c r="MX12" s="143"/>
      <c r="MY12" s="146"/>
      <c r="MZ12" s="137" t="s">
        <v>11</v>
      </c>
      <c r="NA12" s="175">
        <v>6</v>
      </c>
      <c r="NB12" s="148">
        <v>3.5994117647058825</v>
      </c>
      <c r="NC12" s="140">
        <f t="shared" si="45"/>
        <v>21.596470588235295</v>
      </c>
      <c r="ND12" s="150"/>
      <c r="NE12" s="528"/>
      <c r="NF12" s="143"/>
      <c r="NG12" s="146"/>
      <c r="NH12" s="137" t="s">
        <v>11</v>
      </c>
      <c r="NI12" s="175">
        <v>1</v>
      </c>
      <c r="NJ12" s="148">
        <v>3.5994117647058825</v>
      </c>
      <c r="NK12" s="140">
        <f t="shared" si="46"/>
        <v>3.5994117647058825</v>
      </c>
      <c r="NL12" s="150"/>
      <c r="NM12" s="528"/>
      <c r="NN12" s="143"/>
      <c r="NO12" s="146"/>
      <c r="NP12" s="137" t="s">
        <v>11</v>
      </c>
      <c r="NQ12" s="175"/>
      <c r="NR12" s="148">
        <v>3.5994117647058825</v>
      </c>
      <c r="NS12" s="140">
        <f t="shared" si="47"/>
        <v>0</v>
      </c>
      <c r="NT12" s="150"/>
      <c r="NU12" s="528"/>
      <c r="NV12" s="143"/>
      <c r="NW12" s="146"/>
      <c r="NX12" s="137" t="s">
        <v>11</v>
      </c>
      <c r="NY12" s="175">
        <v>0</v>
      </c>
      <c r="NZ12" s="148">
        <v>3.5994117647058825</v>
      </c>
      <c r="OA12" s="140">
        <f t="shared" si="48"/>
        <v>0</v>
      </c>
      <c r="OB12" s="150"/>
      <c r="OC12" s="528"/>
      <c r="OD12" s="143"/>
      <c r="OE12" s="146"/>
      <c r="OF12" s="137" t="s">
        <v>11</v>
      </c>
      <c r="OG12" s="175">
        <v>3</v>
      </c>
      <c r="OH12" s="148">
        <v>3.5994117647058825</v>
      </c>
      <c r="OI12" s="140">
        <f t="shared" si="49"/>
        <v>10.798235294117648</v>
      </c>
      <c r="OJ12" s="150"/>
      <c r="OK12" s="528"/>
      <c r="OL12" s="143"/>
      <c r="OM12" s="146"/>
      <c r="ON12" s="137" t="s">
        <v>11</v>
      </c>
      <c r="OO12" s="175">
        <v>4</v>
      </c>
      <c r="OP12" s="148">
        <v>3.5994117647058825</v>
      </c>
      <c r="OQ12" s="140">
        <f t="shared" si="50"/>
        <v>14.39764705882353</v>
      </c>
      <c r="OR12" s="150"/>
      <c r="OS12" s="528"/>
      <c r="OT12" s="143"/>
      <c r="OU12" s="146"/>
      <c r="OV12" s="137" t="s">
        <v>11</v>
      </c>
      <c r="OW12" s="175"/>
      <c r="OX12" s="148">
        <v>3.5994117647058825</v>
      </c>
      <c r="OY12" s="140">
        <f t="shared" si="51"/>
        <v>0</v>
      </c>
      <c r="OZ12" s="150"/>
      <c r="PA12" s="528"/>
      <c r="PB12" s="143"/>
      <c r="PC12" s="146"/>
      <c r="PD12" s="137" t="s">
        <v>11</v>
      </c>
      <c r="PE12" s="175"/>
      <c r="PF12" s="148">
        <v>3.5994117647058825</v>
      </c>
      <c r="PG12" s="140">
        <f t="shared" si="52"/>
        <v>0</v>
      </c>
      <c r="PH12" s="150"/>
      <c r="PI12" s="528"/>
      <c r="PJ12" s="143"/>
      <c r="PK12" s="146"/>
      <c r="PL12" s="137" t="s">
        <v>11</v>
      </c>
      <c r="PM12" s="175"/>
      <c r="PN12" s="148">
        <v>3.5994117647058825</v>
      </c>
      <c r="PO12" s="140">
        <f t="shared" si="53"/>
        <v>0</v>
      </c>
      <c r="PP12" s="150"/>
      <c r="PQ12" s="528"/>
      <c r="PR12" s="143"/>
      <c r="PS12" s="146"/>
      <c r="PT12" s="137" t="s">
        <v>11</v>
      </c>
      <c r="PU12" s="175"/>
      <c r="PV12" s="148">
        <v>3.5994117647058825</v>
      </c>
      <c r="PW12" s="140">
        <f t="shared" si="54"/>
        <v>0</v>
      </c>
      <c r="PX12" s="150"/>
      <c r="PY12" s="528"/>
      <c r="PZ12" s="143"/>
      <c r="QA12" s="146"/>
      <c r="QB12" s="137" t="s">
        <v>11</v>
      </c>
      <c r="QC12" s="175"/>
      <c r="QD12" s="148">
        <v>3.5994117647058825</v>
      </c>
      <c r="QE12" s="140">
        <f t="shared" si="55"/>
        <v>0</v>
      </c>
      <c r="QF12" s="150"/>
      <c r="QG12" s="528"/>
      <c r="QH12" s="143"/>
      <c r="QI12" s="146"/>
      <c r="QJ12" s="137" t="s">
        <v>11</v>
      </c>
      <c r="QK12" s="175"/>
      <c r="QL12" s="148">
        <v>3.5994117647058825</v>
      </c>
      <c r="QM12" s="140">
        <f t="shared" si="56"/>
        <v>0</v>
      </c>
      <c r="QN12" s="150"/>
      <c r="QO12" s="528"/>
      <c r="QP12" s="143"/>
      <c r="QQ12" s="146"/>
      <c r="QR12" s="137" t="s">
        <v>11</v>
      </c>
      <c r="QS12" s="175"/>
      <c r="QT12" s="148">
        <v>3.5994117647058825</v>
      </c>
      <c r="QU12" s="140">
        <f t="shared" si="57"/>
        <v>0</v>
      </c>
      <c r="QV12" s="150"/>
      <c r="QW12" s="528"/>
      <c r="QX12" s="143"/>
      <c r="QY12" s="146"/>
      <c r="QZ12" s="137" t="s">
        <v>11</v>
      </c>
      <c r="RA12" s="175"/>
      <c r="RB12" s="148">
        <v>3.5994117647058825</v>
      </c>
      <c r="RC12" s="140">
        <f t="shared" si="58"/>
        <v>0</v>
      </c>
      <c r="RD12" s="150"/>
      <c r="RE12" s="528"/>
      <c r="RF12" s="143"/>
      <c r="RG12" s="146"/>
      <c r="RH12" s="137" t="s">
        <v>11</v>
      </c>
      <c r="RI12" s="175"/>
      <c r="RJ12" s="148">
        <v>3.5994117647058825</v>
      </c>
      <c r="RK12" s="140">
        <f t="shared" si="59"/>
        <v>0</v>
      </c>
      <c r="RL12" s="150"/>
      <c r="RM12" s="528"/>
      <c r="RN12" s="143"/>
      <c r="RO12" s="146"/>
      <c r="RP12" s="137" t="s">
        <v>11</v>
      </c>
      <c r="RQ12" s="175"/>
      <c r="RR12" s="148">
        <v>3.5994117647058825</v>
      </c>
      <c r="RS12" s="140">
        <f t="shared" si="60"/>
        <v>0</v>
      </c>
      <c r="RT12" s="150"/>
      <c r="RU12" s="528"/>
      <c r="RV12" s="143"/>
      <c r="RW12" s="146"/>
      <c r="RX12" s="137" t="s">
        <v>11</v>
      </c>
      <c r="RY12" s="175">
        <v>4</v>
      </c>
      <c r="RZ12" s="148">
        <v>3.5994117647058825</v>
      </c>
      <c r="SA12" s="140">
        <f t="shared" si="61"/>
        <v>14.39764705882353</v>
      </c>
      <c r="SB12" s="150"/>
      <c r="SC12" s="528"/>
      <c r="SD12" s="143"/>
      <c r="SE12" s="146"/>
      <c r="SF12" s="137" t="s">
        <v>11</v>
      </c>
      <c r="SG12" s="175">
        <v>7</v>
      </c>
      <c r="SH12" s="148">
        <v>3.5994117647058825</v>
      </c>
      <c r="SI12" s="140">
        <f t="shared" si="62"/>
        <v>25.195882352941176</v>
      </c>
      <c r="SJ12" s="150"/>
      <c r="SK12" s="528"/>
      <c r="SL12" s="143"/>
      <c r="SM12" s="146"/>
      <c r="SN12" s="137" t="s">
        <v>11</v>
      </c>
      <c r="SO12" s="175">
        <v>8</v>
      </c>
      <c r="SP12" s="148">
        <v>3.5994117647058825</v>
      </c>
      <c r="SQ12" s="140">
        <f t="shared" si="63"/>
        <v>28.79529411764706</v>
      </c>
      <c r="SR12" s="150"/>
      <c r="SS12" s="528"/>
      <c r="ST12" s="143"/>
      <c r="SU12" s="146"/>
      <c r="SV12" s="137" t="s">
        <v>11</v>
      </c>
      <c r="SW12" s="175"/>
      <c r="SX12" s="148">
        <v>3.5994117647058825</v>
      </c>
      <c r="SY12" s="140">
        <f t="shared" si="64"/>
        <v>0</v>
      </c>
      <c r="SZ12" s="150"/>
      <c r="TA12" s="528"/>
      <c r="TB12" s="143"/>
      <c r="TC12" s="146"/>
      <c r="TD12" s="137" t="s">
        <v>11</v>
      </c>
      <c r="TE12" s="175"/>
      <c r="TF12" s="148">
        <v>3.5994117647058825</v>
      </c>
      <c r="TG12" s="140">
        <f t="shared" si="65"/>
        <v>0</v>
      </c>
      <c r="TH12" s="150"/>
      <c r="TI12" s="528"/>
    </row>
    <row r="13" spans="2:529">
      <c r="B13" s="151"/>
      <c r="C13" s="152"/>
      <c r="D13" s="153" t="s">
        <v>71</v>
      </c>
      <c r="E13" s="138">
        <v>0</v>
      </c>
      <c r="F13" s="148">
        <v>3.8876190476190478</v>
      </c>
      <c r="G13" s="140">
        <f t="shared" si="0"/>
        <v>0</v>
      </c>
      <c r="H13" s="154">
        <f>SUM(G11:G13)</f>
        <v>659.36385542168682</v>
      </c>
      <c r="I13" s="528"/>
      <c r="J13" s="151"/>
      <c r="K13" s="152"/>
      <c r="L13" s="153" t="s">
        <v>71</v>
      </c>
      <c r="M13" s="138">
        <v>0</v>
      </c>
      <c r="N13" s="148">
        <v>3.8876190476190478</v>
      </c>
      <c r="O13" s="140">
        <f t="shared" si="1"/>
        <v>0</v>
      </c>
      <c r="P13" s="154">
        <f>SUM(O11:O13)</f>
        <v>553.14133238837712</v>
      </c>
      <c r="Q13" s="528"/>
      <c r="R13" s="151"/>
      <c r="S13" s="152"/>
      <c r="T13" s="153" t="s">
        <v>71</v>
      </c>
      <c r="U13" s="138">
        <v>9</v>
      </c>
      <c r="V13" s="148">
        <v>3.8876190476190478</v>
      </c>
      <c r="W13" s="140">
        <f t="shared" si="2"/>
        <v>34.988571428571433</v>
      </c>
      <c r="X13" s="154">
        <f>SUM(W11:W13)</f>
        <v>681.57052748810372</v>
      </c>
      <c r="Y13" s="528"/>
      <c r="Z13" s="151"/>
      <c r="AA13" s="152"/>
      <c r="AB13" s="153" t="s">
        <v>71</v>
      </c>
      <c r="AC13" s="138">
        <v>6</v>
      </c>
      <c r="AD13" s="148">
        <v>3.8876190476190478</v>
      </c>
      <c r="AE13" s="140">
        <f t="shared" si="3"/>
        <v>23.325714285714287</v>
      </c>
      <c r="AF13" s="154">
        <f>SUM(AE11:AE13)</f>
        <v>186.40299281158249</v>
      </c>
      <c r="AG13" s="528"/>
      <c r="AH13" s="151"/>
      <c r="AI13" s="152"/>
      <c r="AJ13" s="153" t="s">
        <v>71</v>
      </c>
      <c r="AK13" s="138">
        <v>9</v>
      </c>
      <c r="AL13" s="148">
        <v>3.8876190476190478</v>
      </c>
      <c r="AM13" s="140">
        <f t="shared" si="4"/>
        <v>34.988571428571433</v>
      </c>
      <c r="AN13" s="154">
        <f>SUM(AM11:AM13)</f>
        <v>604.43917383820997</v>
      </c>
      <c r="AO13" s="528"/>
      <c r="AP13" s="151"/>
      <c r="AQ13" s="152"/>
      <c r="AR13" s="153" t="s">
        <v>71</v>
      </c>
      <c r="AS13" s="138"/>
      <c r="AT13" s="148">
        <v>3.8876190476190478</v>
      </c>
      <c r="AU13" s="140">
        <f t="shared" si="5"/>
        <v>0</v>
      </c>
      <c r="AV13" s="154">
        <f>SUM(AU11:AU13)</f>
        <v>0</v>
      </c>
      <c r="AW13" s="528"/>
      <c r="AX13" s="151"/>
      <c r="AY13" s="152"/>
      <c r="AZ13" s="153" t="s">
        <v>71</v>
      </c>
      <c r="BA13" s="138">
        <v>0</v>
      </c>
      <c r="BB13" s="148">
        <v>3.8876190476190478</v>
      </c>
      <c r="BC13" s="140">
        <f t="shared" si="6"/>
        <v>0</v>
      </c>
      <c r="BD13" s="154">
        <f>SUM(BC11:BC13)</f>
        <v>1797.0892700212617</v>
      </c>
      <c r="BE13" s="528"/>
      <c r="BF13" s="151"/>
      <c r="BG13" s="152"/>
      <c r="BH13" s="153" t="s">
        <v>71</v>
      </c>
      <c r="BI13" s="138">
        <v>53</v>
      </c>
      <c r="BJ13" s="148">
        <v>3.8876190476190478</v>
      </c>
      <c r="BK13" s="140">
        <f t="shared" si="7"/>
        <v>206.04380952380953</v>
      </c>
      <c r="BL13" s="154">
        <f>SUM(BK11:BK13)</f>
        <v>1085.6355742296919</v>
      </c>
      <c r="BM13" s="528"/>
      <c r="BN13" s="151"/>
      <c r="BO13" s="152"/>
      <c r="BP13" s="153" t="s">
        <v>71</v>
      </c>
      <c r="BQ13" s="138">
        <v>0</v>
      </c>
      <c r="BR13" s="148">
        <v>3.8876190476190478</v>
      </c>
      <c r="BS13" s="140">
        <f t="shared" si="8"/>
        <v>0</v>
      </c>
      <c r="BT13" s="154">
        <f>SUM(BS11:BS13)</f>
        <v>809.21927710843374</v>
      </c>
      <c r="BU13" s="528"/>
      <c r="BV13" s="543"/>
      <c r="BW13" s="544"/>
      <c r="BX13" s="570" t="s">
        <v>71</v>
      </c>
      <c r="BY13" s="560"/>
      <c r="BZ13" s="567">
        <v>3.8876190476190478</v>
      </c>
      <c r="CA13" s="562">
        <f t="shared" si="9"/>
        <v>0</v>
      </c>
      <c r="CB13" s="571">
        <f>SUM(CA11:CA13)</f>
        <v>0</v>
      </c>
      <c r="CC13" s="528"/>
      <c r="CD13" s="543"/>
      <c r="CE13" s="544"/>
      <c r="CF13" s="570" t="s">
        <v>71</v>
      </c>
      <c r="CG13" s="560"/>
      <c r="CH13" s="567">
        <v>3.8876190476190478</v>
      </c>
      <c r="CI13" s="562">
        <f t="shared" si="10"/>
        <v>0</v>
      </c>
      <c r="CJ13" s="571">
        <f>SUM(CI11:CI13)</f>
        <v>0</v>
      </c>
      <c r="CK13" s="528"/>
      <c r="CL13" s="151"/>
      <c r="CM13" s="152"/>
      <c r="CN13" s="153" t="s">
        <v>71</v>
      </c>
      <c r="CO13" s="138">
        <v>24</v>
      </c>
      <c r="CP13" s="148">
        <v>3.8876190476190478</v>
      </c>
      <c r="CQ13" s="140">
        <f t="shared" si="11"/>
        <v>93.30285714285715</v>
      </c>
      <c r="CR13" s="154">
        <f>SUM(CQ11:CQ13)</f>
        <v>892.5317728055079</v>
      </c>
      <c r="CS13" s="528"/>
      <c r="CT13" s="151"/>
      <c r="CU13" s="152"/>
      <c r="CV13" s="153" t="s">
        <v>71</v>
      </c>
      <c r="CW13" s="138">
        <v>53</v>
      </c>
      <c r="CX13" s="148">
        <v>3.8876190476190478</v>
      </c>
      <c r="CY13" s="140">
        <f t="shared" si="12"/>
        <v>206.04380952380953</v>
      </c>
      <c r="CZ13" s="154">
        <f>SUM(CY11:CY13)</f>
        <v>1085.6355742296919</v>
      </c>
      <c r="DA13" s="528"/>
      <c r="DB13" s="151"/>
      <c r="DC13" s="152"/>
      <c r="DD13" s="153" t="s">
        <v>71</v>
      </c>
      <c r="DE13" s="138">
        <v>9</v>
      </c>
      <c r="DF13" s="148">
        <v>3.8876190476190478</v>
      </c>
      <c r="DG13" s="140">
        <f t="shared" si="13"/>
        <v>34.988571428571433</v>
      </c>
      <c r="DH13" s="154">
        <f>SUM(DG11:DG13)</f>
        <v>921.33920218689889</v>
      </c>
      <c r="DI13" s="528"/>
      <c r="DJ13" s="151"/>
      <c r="DK13" s="152"/>
      <c r="DL13" s="153" t="s">
        <v>71</v>
      </c>
      <c r="DM13" s="138">
        <v>16</v>
      </c>
      <c r="DN13" s="171">
        <v>3.8876190476190478</v>
      </c>
      <c r="DO13" s="140">
        <f t="shared" si="14"/>
        <v>62.201904761904764</v>
      </c>
      <c r="DP13" s="154">
        <f>SUM(DO11:DO13)</f>
        <v>465.26398130336474</v>
      </c>
      <c r="DQ13" s="528"/>
      <c r="DR13" s="151"/>
      <c r="DS13" s="152"/>
      <c r="DT13" s="153" t="s">
        <v>71</v>
      </c>
      <c r="DU13" s="138"/>
      <c r="DV13" s="171">
        <v>3.8876190476190478</v>
      </c>
      <c r="DW13" s="140">
        <f t="shared" si="15"/>
        <v>0</v>
      </c>
      <c r="DX13" s="154">
        <f>SUM(DW11:DW13)</f>
        <v>0</v>
      </c>
      <c r="DY13" s="528"/>
      <c r="DZ13" s="151"/>
      <c r="EA13" s="152"/>
      <c r="EB13" s="153" t="s">
        <v>71</v>
      </c>
      <c r="EC13" s="138">
        <v>0</v>
      </c>
      <c r="ED13" s="171">
        <v>3.8876190476190478</v>
      </c>
      <c r="EE13" s="140">
        <f t="shared" si="16"/>
        <v>0</v>
      </c>
      <c r="EF13" s="154">
        <f>SUM(EE11:EE13)</f>
        <v>1278.766265060241</v>
      </c>
      <c r="EG13" s="528"/>
      <c r="EH13" s="151"/>
      <c r="EI13" s="152"/>
      <c r="EJ13" s="153" t="s">
        <v>71</v>
      </c>
      <c r="EK13" s="138">
        <v>0</v>
      </c>
      <c r="EL13" s="171">
        <v>3.8876190476190478</v>
      </c>
      <c r="EM13" s="140">
        <f t="shared" si="17"/>
        <v>0</v>
      </c>
      <c r="EN13" s="154">
        <f>SUM(EM11:EM13)</f>
        <v>3393.6354783841252</v>
      </c>
      <c r="EO13" s="528"/>
      <c r="EP13" s="151"/>
      <c r="EQ13" s="152"/>
      <c r="ER13" s="153" t="s">
        <v>71</v>
      </c>
      <c r="ES13" s="138">
        <v>0</v>
      </c>
      <c r="ET13" s="171">
        <v>3.8876190476190478</v>
      </c>
      <c r="EU13" s="140">
        <f t="shared" si="18"/>
        <v>0</v>
      </c>
      <c r="EV13" s="154">
        <f>SUM(EU11:EU13)</f>
        <v>2557.5325301204821</v>
      </c>
      <c r="EW13" s="528"/>
      <c r="EX13" s="151"/>
      <c r="EY13" s="152"/>
      <c r="EZ13" s="153" t="s">
        <v>71</v>
      </c>
      <c r="FA13" s="138"/>
      <c r="FB13" s="171">
        <v>3.8876190476190478</v>
      </c>
      <c r="FC13" s="140">
        <f t="shared" si="19"/>
        <v>0</v>
      </c>
      <c r="FD13" s="154">
        <f>SUM(FC11:FC13)</f>
        <v>0</v>
      </c>
      <c r="FE13" s="528"/>
      <c r="FF13" s="151"/>
      <c r="FG13" s="152"/>
      <c r="FH13" s="153" t="s">
        <v>71</v>
      </c>
      <c r="FI13" s="138"/>
      <c r="FJ13" s="171">
        <v>3.8876190476190478</v>
      </c>
      <c r="FK13" s="140">
        <f t="shared" si="20"/>
        <v>0</v>
      </c>
      <c r="FL13" s="154">
        <f>SUM(FK11:FK13)</f>
        <v>0</v>
      </c>
      <c r="FM13" s="528"/>
      <c r="FN13" s="151"/>
      <c r="FO13" s="152"/>
      <c r="FP13" s="153" t="s">
        <v>71</v>
      </c>
      <c r="FQ13" s="138"/>
      <c r="FR13" s="171">
        <v>3.8876190476190478</v>
      </c>
      <c r="FS13" s="140">
        <f t="shared" si="21"/>
        <v>0</v>
      </c>
      <c r="FT13" s="154">
        <f>SUM(FS11:FS13)</f>
        <v>0</v>
      </c>
      <c r="FU13" s="528"/>
      <c r="FV13" s="151"/>
      <c r="FW13" s="152"/>
      <c r="FX13" s="153" t="s">
        <v>71</v>
      </c>
      <c r="FY13" s="138"/>
      <c r="FZ13" s="171">
        <v>3.8876190476190478</v>
      </c>
      <c r="GA13" s="140">
        <f t="shared" si="22"/>
        <v>0</v>
      </c>
      <c r="GB13" s="154">
        <f>SUM(GA11:GA13)</f>
        <v>0</v>
      </c>
      <c r="GC13" s="528"/>
      <c r="GD13" s="151"/>
      <c r="GE13" s="152"/>
      <c r="GF13" s="153" t="s">
        <v>71</v>
      </c>
      <c r="GG13" s="138"/>
      <c r="GH13" s="171">
        <v>3.8876190476190478</v>
      </c>
      <c r="GI13" s="140">
        <f t="shared" si="23"/>
        <v>0</v>
      </c>
      <c r="GJ13" s="154">
        <f>SUM(GI11:GI13)</f>
        <v>0</v>
      </c>
      <c r="GK13" s="528"/>
      <c r="GL13" s="151"/>
      <c r="GM13" s="152"/>
      <c r="GN13" s="153" t="s">
        <v>71</v>
      </c>
      <c r="GO13" s="175">
        <v>0</v>
      </c>
      <c r="GP13" s="148">
        <v>3.8876190476190478</v>
      </c>
      <c r="GQ13" s="140">
        <f t="shared" si="24"/>
        <v>0</v>
      </c>
      <c r="GR13" s="154">
        <f>SUM(GQ11:GQ13)</f>
        <v>879.59176470588238</v>
      </c>
      <c r="GS13" s="528"/>
      <c r="GT13" s="151"/>
      <c r="GU13" s="152"/>
      <c r="GV13" s="153" t="s">
        <v>71</v>
      </c>
      <c r="GW13" s="175">
        <v>9</v>
      </c>
      <c r="GX13" s="148">
        <v>3.8876190476190478</v>
      </c>
      <c r="GY13" s="140">
        <f t="shared" si="25"/>
        <v>34.988571428571433</v>
      </c>
      <c r="GZ13" s="154">
        <f>SUM(GY11:GY13)</f>
        <v>921.33920218689889</v>
      </c>
      <c r="HA13" s="528"/>
      <c r="HB13" s="151"/>
      <c r="HC13" s="152"/>
      <c r="HD13" s="153" t="s">
        <v>71</v>
      </c>
      <c r="HE13" s="175">
        <v>0</v>
      </c>
      <c r="HF13" s="148">
        <v>3.8876190476190478</v>
      </c>
      <c r="HG13" s="140">
        <f t="shared" si="26"/>
        <v>0</v>
      </c>
      <c r="HH13" s="154">
        <f>SUM(HG11:HG13)</f>
        <v>639.38313253012052</v>
      </c>
      <c r="HI13" s="528"/>
      <c r="HJ13" s="151"/>
      <c r="HK13" s="152"/>
      <c r="HL13" s="153" t="s">
        <v>71</v>
      </c>
      <c r="HM13" s="175">
        <v>3</v>
      </c>
      <c r="HN13" s="148">
        <v>3.8876190476190478</v>
      </c>
      <c r="HO13" s="140">
        <f t="shared" si="27"/>
        <v>11.662857142857144</v>
      </c>
      <c r="HP13" s="154">
        <f>SUM(HO11:HO13)</f>
        <v>561.13273666092937</v>
      </c>
      <c r="HQ13" s="528"/>
      <c r="HR13" s="151"/>
      <c r="HS13" s="152"/>
      <c r="HT13" s="153" t="s">
        <v>71</v>
      </c>
      <c r="HU13" s="175">
        <v>60</v>
      </c>
      <c r="HV13" s="148">
        <v>3.8876190476190478</v>
      </c>
      <c r="HW13" s="140">
        <f t="shared" si="28"/>
        <v>233.25714285714287</v>
      </c>
      <c r="HX13" s="154">
        <f>SUM(HW11:HW13)</f>
        <v>1202.3222030981069</v>
      </c>
      <c r="HY13" s="528"/>
      <c r="HZ13" s="151"/>
      <c r="IA13" s="152"/>
      <c r="IB13" s="153" t="s">
        <v>71</v>
      </c>
      <c r="IC13" s="175">
        <v>44</v>
      </c>
      <c r="ID13" s="148">
        <v>3.8876190476190478</v>
      </c>
      <c r="IE13" s="140">
        <f t="shared" si="29"/>
        <v>171.05523809523811</v>
      </c>
      <c r="IF13" s="154">
        <f>SUM(IE11:IE13)</f>
        <v>1040.2166838783705</v>
      </c>
      <c r="IG13" s="528"/>
      <c r="IH13" s="151"/>
      <c r="II13" s="152"/>
      <c r="IJ13" s="153" t="s">
        <v>71</v>
      </c>
      <c r="IK13" s="175">
        <v>56</v>
      </c>
      <c r="IL13" s="148">
        <v>3.8876190476190478</v>
      </c>
      <c r="IM13" s="140">
        <f t="shared" si="30"/>
        <v>217.70666666666668</v>
      </c>
      <c r="IN13" s="154">
        <f>SUM(IM11:IM13)</f>
        <v>717.22473895582334</v>
      </c>
      <c r="IO13" s="528"/>
      <c r="IP13" s="151"/>
      <c r="IQ13" s="152"/>
      <c r="IR13" s="153" t="s">
        <v>71</v>
      </c>
      <c r="IS13" s="175">
        <v>0</v>
      </c>
      <c r="IT13" s="148">
        <v>3.8876190476190478</v>
      </c>
      <c r="IU13" s="140">
        <f t="shared" si="31"/>
        <v>0</v>
      </c>
      <c r="IV13" s="154">
        <f>SUM(IU11:IU13)</f>
        <v>976.70384124734244</v>
      </c>
      <c r="IW13" s="528"/>
      <c r="IX13" s="151"/>
      <c r="IY13" s="152"/>
      <c r="IZ13" s="153" t="s">
        <v>71</v>
      </c>
      <c r="JA13" s="175">
        <v>0</v>
      </c>
      <c r="JB13" s="148">
        <v>3.8876190476190478</v>
      </c>
      <c r="JC13" s="140">
        <f t="shared" si="32"/>
        <v>0</v>
      </c>
      <c r="JD13" s="154">
        <f>SUM(JC11:JC13)</f>
        <v>939.09397590361448</v>
      </c>
      <c r="JE13" s="528"/>
      <c r="JF13" s="151"/>
      <c r="JG13" s="152"/>
      <c r="JH13" s="153" t="s">
        <v>71</v>
      </c>
      <c r="JI13" s="175">
        <v>0</v>
      </c>
      <c r="JJ13" s="148">
        <v>3.8876190476190478</v>
      </c>
      <c r="JK13" s="140">
        <f t="shared" si="33"/>
        <v>0</v>
      </c>
      <c r="JL13" s="154">
        <f>SUM(JK11:JK13)</f>
        <v>349.66265060240966</v>
      </c>
      <c r="JM13" s="528"/>
      <c r="JN13" s="151"/>
      <c r="JO13" s="152"/>
      <c r="JP13" s="153" t="s">
        <v>71</v>
      </c>
      <c r="JQ13" s="175">
        <v>0</v>
      </c>
      <c r="JR13" s="148">
        <v>3.8876190476190478</v>
      </c>
      <c r="JS13" s="140">
        <f t="shared" si="34"/>
        <v>0</v>
      </c>
      <c r="JT13" s="154">
        <f>SUM(JS11:JS13)</f>
        <v>479.53734939759039</v>
      </c>
      <c r="JU13" s="528"/>
      <c r="JV13" s="151"/>
      <c r="JW13" s="152"/>
      <c r="JX13" s="153" t="s">
        <v>71</v>
      </c>
      <c r="JY13" s="175">
        <v>0</v>
      </c>
      <c r="JZ13" s="148">
        <v>3.8876190476190478</v>
      </c>
      <c r="KA13" s="140">
        <f t="shared" si="35"/>
        <v>0</v>
      </c>
      <c r="KB13" s="154">
        <f>SUM(KA11:KA13)</f>
        <v>1568.4867469879518</v>
      </c>
      <c r="KC13" s="528"/>
      <c r="KD13" s="151"/>
      <c r="KE13" s="152"/>
      <c r="KF13" s="153" t="s">
        <v>71</v>
      </c>
      <c r="KG13" s="175">
        <v>0</v>
      </c>
      <c r="KH13" s="148">
        <v>3.8876190476190478</v>
      </c>
      <c r="KI13" s="140">
        <f t="shared" si="36"/>
        <v>0</v>
      </c>
      <c r="KJ13" s="154">
        <f>SUM(KI11:KI13)</f>
        <v>659.36385542168682</v>
      </c>
      <c r="KK13" s="528"/>
      <c r="KL13" s="151"/>
      <c r="KM13" s="152"/>
      <c r="KN13" s="153" t="s">
        <v>71</v>
      </c>
      <c r="KO13" s="175">
        <v>0</v>
      </c>
      <c r="KP13" s="148">
        <v>3.8876190476190478</v>
      </c>
      <c r="KQ13" s="140">
        <f t="shared" si="37"/>
        <v>0</v>
      </c>
      <c r="KR13" s="154">
        <f>SUM(KQ11:KQ13)</f>
        <v>553.14133238837701</v>
      </c>
      <c r="KS13" s="528"/>
      <c r="KT13" s="151"/>
      <c r="KU13" s="152"/>
      <c r="KV13" s="153" t="s">
        <v>71</v>
      </c>
      <c r="KW13" s="175">
        <v>0</v>
      </c>
      <c r="KX13" s="148">
        <v>3.8876190476190478</v>
      </c>
      <c r="KY13" s="140">
        <f t="shared" si="38"/>
        <v>0</v>
      </c>
      <c r="KZ13" s="154">
        <f>SUM(KY11:KY13)</f>
        <v>1222.4235081502479</v>
      </c>
      <c r="LA13" s="528"/>
      <c r="LB13" s="151"/>
      <c r="LC13" s="152"/>
      <c r="LD13" s="153" t="s">
        <v>71</v>
      </c>
      <c r="LE13" s="175">
        <v>0</v>
      </c>
      <c r="LF13" s="148">
        <v>3.8876190476190478</v>
      </c>
      <c r="LG13" s="140">
        <f t="shared" si="39"/>
        <v>0</v>
      </c>
      <c r="LH13" s="154">
        <f>SUM(LG11:LG13)</f>
        <v>1229.6223316796597</v>
      </c>
      <c r="LI13" s="528"/>
      <c r="LJ13" s="151"/>
      <c r="LK13" s="152"/>
      <c r="LL13" s="153" t="s">
        <v>71</v>
      </c>
      <c r="LM13" s="175">
        <v>11</v>
      </c>
      <c r="LN13" s="148">
        <v>3.8876190476190478</v>
      </c>
      <c r="LO13" s="140">
        <f t="shared" si="40"/>
        <v>42.763809523809527</v>
      </c>
      <c r="LP13" s="154">
        <f>SUM(LO11:LO13)</f>
        <v>851.98308663224327</v>
      </c>
      <c r="LQ13" s="528"/>
      <c r="LR13" s="151"/>
      <c r="LS13" s="152"/>
      <c r="LT13" s="153" t="s">
        <v>71</v>
      </c>
      <c r="LU13" s="175">
        <v>12</v>
      </c>
      <c r="LV13" s="148">
        <v>3.8876190476190478</v>
      </c>
      <c r="LW13" s="140">
        <f t="shared" si="41"/>
        <v>46.651428571428575</v>
      </c>
      <c r="LX13" s="154">
        <f>SUM(LW11:LW13)</f>
        <v>253.657481016503</v>
      </c>
      <c r="LY13" s="528"/>
      <c r="LZ13" s="151"/>
      <c r="MA13" s="152"/>
      <c r="MB13" s="153" t="s">
        <v>71</v>
      </c>
      <c r="MC13" s="175">
        <v>23</v>
      </c>
      <c r="MD13" s="148">
        <v>3.8876190476190478</v>
      </c>
      <c r="ME13" s="140">
        <f t="shared" si="42"/>
        <v>89.415238095238095</v>
      </c>
      <c r="MF13" s="154">
        <f>SUM(ME11:ME13)</f>
        <v>1458.0947561675273</v>
      </c>
      <c r="MG13" s="528"/>
      <c r="MH13" s="151"/>
      <c r="MI13" s="152"/>
      <c r="MJ13" s="153" t="s">
        <v>71</v>
      </c>
      <c r="MK13" s="175">
        <v>24</v>
      </c>
      <c r="ML13" s="148">
        <v>3.8876190476190478</v>
      </c>
      <c r="MM13" s="140">
        <f t="shared" si="43"/>
        <v>93.30285714285715</v>
      </c>
      <c r="MN13" s="154">
        <f>SUM(MM11:MM13)</f>
        <v>1681.8423681279742</v>
      </c>
      <c r="MO13" s="528"/>
      <c r="MP13" s="151"/>
      <c r="MQ13" s="152"/>
      <c r="MR13" s="153" t="s">
        <v>71</v>
      </c>
      <c r="MS13" s="175">
        <v>14</v>
      </c>
      <c r="MT13" s="148">
        <v>3.8876190476190478</v>
      </c>
      <c r="MU13" s="140">
        <f t="shared" si="44"/>
        <v>54.426666666666669</v>
      </c>
      <c r="MV13" s="154">
        <f>SUM(MU11:MU13)</f>
        <v>874.44417906921797</v>
      </c>
      <c r="MW13" s="528"/>
      <c r="MX13" s="151"/>
      <c r="MY13" s="152"/>
      <c r="MZ13" s="153" t="s">
        <v>71</v>
      </c>
      <c r="NA13" s="175">
        <v>25</v>
      </c>
      <c r="NB13" s="148">
        <v>3.8876190476190478</v>
      </c>
      <c r="NC13" s="140">
        <f t="shared" si="45"/>
        <v>97.19047619047619</v>
      </c>
      <c r="ND13" s="154">
        <f>SUM(NC11:NC13)</f>
        <v>368.54598292328984</v>
      </c>
      <c r="NE13" s="528"/>
      <c r="NF13" s="151"/>
      <c r="NG13" s="152"/>
      <c r="NH13" s="153" t="s">
        <v>71</v>
      </c>
      <c r="NI13" s="175">
        <v>9</v>
      </c>
      <c r="NJ13" s="148">
        <v>3.8876190476190478</v>
      </c>
      <c r="NK13" s="140">
        <f t="shared" si="46"/>
        <v>34.988571428571433</v>
      </c>
      <c r="NL13" s="154">
        <f>SUM(NK11:NK13)</f>
        <v>727.92292295231346</v>
      </c>
      <c r="NM13" s="528"/>
      <c r="NN13" s="151"/>
      <c r="NO13" s="152"/>
      <c r="NP13" s="153" t="s">
        <v>71</v>
      </c>
      <c r="NQ13" s="175"/>
      <c r="NR13" s="148">
        <v>3.8876190476190478</v>
      </c>
      <c r="NS13" s="140">
        <f t="shared" si="47"/>
        <v>0</v>
      </c>
      <c r="NT13" s="154">
        <f>SUM(NS11:NS13)</f>
        <v>129.87469879518073</v>
      </c>
      <c r="NU13" s="528"/>
      <c r="NV13" s="151"/>
      <c r="NW13" s="152"/>
      <c r="NX13" s="153" t="s">
        <v>71</v>
      </c>
      <c r="NY13" s="175">
        <v>0</v>
      </c>
      <c r="NZ13" s="148">
        <v>3.8876190476190478</v>
      </c>
      <c r="OA13" s="140">
        <f t="shared" si="48"/>
        <v>0</v>
      </c>
      <c r="OB13" s="154">
        <f>SUM(OA11:OA13)</f>
        <v>99.903614457831338</v>
      </c>
      <c r="OC13" s="528"/>
      <c r="OD13" s="151"/>
      <c r="OE13" s="152"/>
      <c r="OF13" s="153" t="s">
        <v>71</v>
      </c>
      <c r="OG13" s="175">
        <v>2</v>
      </c>
      <c r="OH13" s="148">
        <v>3.8876190476190478</v>
      </c>
      <c r="OI13" s="140">
        <f t="shared" si="49"/>
        <v>7.7752380952380955</v>
      </c>
      <c r="OJ13" s="154">
        <f>SUM(OI11:OI13)</f>
        <v>767.85058182309069</v>
      </c>
      <c r="OK13" s="528"/>
      <c r="OL13" s="151"/>
      <c r="OM13" s="152"/>
      <c r="ON13" s="153" t="s">
        <v>71</v>
      </c>
      <c r="OO13" s="175"/>
      <c r="OP13" s="148">
        <v>3.8876190476190478</v>
      </c>
      <c r="OQ13" s="140">
        <f t="shared" si="50"/>
        <v>0</v>
      </c>
      <c r="OR13" s="154">
        <f>SUM(OQ11:OQ13)</f>
        <v>144.27234585400427</v>
      </c>
      <c r="OS13" s="528"/>
      <c r="OT13" s="151"/>
      <c r="OU13" s="152"/>
      <c r="OV13" s="153" t="s">
        <v>71</v>
      </c>
      <c r="OW13" s="175"/>
      <c r="OX13" s="148">
        <v>3.8876190476190478</v>
      </c>
      <c r="OY13" s="140">
        <f t="shared" si="51"/>
        <v>0</v>
      </c>
      <c r="OZ13" s="154">
        <f>SUM(OY11:OY13)</f>
        <v>0</v>
      </c>
      <c r="PA13" s="528"/>
      <c r="PB13" s="151"/>
      <c r="PC13" s="152"/>
      <c r="PD13" s="153" t="s">
        <v>71</v>
      </c>
      <c r="PE13" s="175"/>
      <c r="PF13" s="148">
        <v>3.8876190476190478</v>
      </c>
      <c r="PG13" s="140">
        <f t="shared" si="52"/>
        <v>0</v>
      </c>
      <c r="PH13" s="154">
        <f>SUM(PG11:PG13)</f>
        <v>0</v>
      </c>
      <c r="PI13" s="528"/>
      <c r="PJ13" s="151"/>
      <c r="PK13" s="152"/>
      <c r="PL13" s="153" t="s">
        <v>71</v>
      </c>
      <c r="PM13" s="175"/>
      <c r="PN13" s="148">
        <v>3.8876190476190478</v>
      </c>
      <c r="PO13" s="140">
        <f t="shared" si="53"/>
        <v>0</v>
      </c>
      <c r="PP13" s="154">
        <f>SUM(PO11:PO13)</f>
        <v>149.85542168674701</v>
      </c>
      <c r="PQ13" s="528"/>
      <c r="PR13" s="151"/>
      <c r="PS13" s="152"/>
      <c r="PT13" s="153" t="s">
        <v>71</v>
      </c>
      <c r="PU13" s="175"/>
      <c r="PV13" s="148">
        <v>3.8876190476190478</v>
      </c>
      <c r="PW13" s="140">
        <f t="shared" si="54"/>
        <v>0</v>
      </c>
      <c r="PX13" s="154">
        <f>SUM(PW11:PW13)</f>
        <v>79.922891566265065</v>
      </c>
      <c r="PY13" s="528"/>
      <c r="PZ13" s="151"/>
      <c r="QA13" s="152"/>
      <c r="QB13" s="153" t="s">
        <v>71</v>
      </c>
      <c r="QC13" s="175"/>
      <c r="QD13" s="148">
        <v>3.8876190476190478</v>
      </c>
      <c r="QE13" s="140">
        <f t="shared" si="55"/>
        <v>0</v>
      </c>
      <c r="QF13" s="154">
        <f>SUM(QE11:QE13)</f>
        <v>859.1710843373495</v>
      </c>
      <c r="QG13" s="528"/>
      <c r="QH13" s="151"/>
      <c r="QI13" s="152"/>
      <c r="QJ13" s="153" t="s">
        <v>71</v>
      </c>
      <c r="QK13" s="175"/>
      <c r="QL13" s="148">
        <v>3.8876190476190478</v>
      </c>
      <c r="QM13" s="140">
        <f t="shared" si="56"/>
        <v>0</v>
      </c>
      <c r="QN13" s="154">
        <f>SUM(QM11:QM13)</f>
        <v>439.57590361445784</v>
      </c>
      <c r="QO13" s="528"/>
      <c r="QP13" s="151"/>
      <c r="QQ13" s="152"/>
      <c r="QR13" s="153" t="s">
        <v>71</v>
      </c>
      <c r="QS13" s="175">
        <v>2</v>
      </c>
      <c r="QT13" s="148">
        <v>3.8876190476190478</v>
      </c>
      <c r="QU13" s="140">
        <f t="shared" si="57"/>
        <v>7.7752380952380955</v>
      </c>
      <c r="QV13" s="154">
        <f>SUM(QU11:QU13)</f>
        <v>647.15837062535866</v>
      </c>
      <c r="QW13" s="528"/>
      <c r="QX13" s="151"/>
      <c r="QY13" s="152"/>
      <c r="QZ13" s="153" t="s">
        <v>71</v>
      </c>
      <c r="RA13" s="175"/>
      <c r="RB13" s="148">
        <v>3.8876190476190478</v>
      </c>
      <c r="RC13" s="140">
        <f t="shared" si="58"/>
        <v>0</v>
      </c>
      <c r="RD13" s="154">
        <f>SUM(RC11:RC13)</f>
        <v>0</v>
      </c>
      <c r="RE13" s="528"/>
      <c r="RF13" s="151"/>
      <c r="RG13" s="152"/>
      <c r="RH13" s="153" t="s">
        <v>71</v>
      </c>
      <c r="RI13" s="175"/>
      <c r="RJ13" s="148">
        <v>3.8876190476190478</v>
      </c>
      <c r="RK13" s="140">
        <f t="shared" si="59"/>
        <v>0</v>
      </c>
      <c r="RL13" s="154">
        <f>SUM(RK11:RK13)</f>
        <v>0</v>
      </c>
      <c r="RM13" s="528"/>
      <c r="RN13" s="151"/>
      <c r="RO13" s="152"/>
      <c r="RP13" s="153" t="s">
        <v>71</v>
      </c>
      <c r="RQ13" s="175">
        <v>13</v>
      </c>
      <c r="RR13" s="148">
        <v>3.8876190476190478</v>
      </c>
      <c r="RS13" s="140">
        <f t="shared" si="60"/>
        <v>50.539047619047622</v>
      </c>
      <c r="RT13" s="154">
        <f>SUM(RS11:RS13)</f>
        <v>1019.6041078600116</v>
      </c>
      <c r="RU13" s="528"/>
      <c r="RV13" s="151"/>
      <c r="RW13" s="152"/>
      <c r="RX13" s="153" t="s">
        <v>71</v>
      </c>
      <c r="RY13" s="175">
        <v>5</v>
      </c>
      <c r="RZ13" s="148">
        <v>3.8876190476190478</v>
      </c>
      <c r="SA13" s="140">
        <f t="shared" si="61"/>
        <v>19.43809523809524</v>
      </c>
      <c r="SB13" s="154">
        <f>SUM(SA11:SA13)</f>
        <v>443.44056157402719</v>
      </c>
      <c r="SC13" s="528"/>
      <c r="SD13" s="151"/>
      <c r="SE13" s="152"/>
      <c r="SF13" s="153" t="s">
        <v>71</v>
      </c>
      <c r="SG13" s="175">
        <v>1</v>
      </c>
      <c r="SH13" s="148">
        <v>3.8876190476190478</v>
      </c>
      <c r="SI13" s="140">
        <f t="shared" si="62"/>
        <v>3.8876190476190478</v>
      </c>
      <c r="SJ13" s="154">
        <f>SUM(SI11:SI13)</f>
        <v>738.39916405116276</v>
      </c>
      <c r="SK13" s="528"/>
      <c r="SL13" s="151"/>
      <c r="SM13" s="152"/>
      <c r="SN13" s="153" t="s">
        <v>71</v>
      </c>
      <c r="SO13" s="175">
        <v>4</v>
      </c>
      <c r="SP13" s="148">
        <v>3.8876190476190478</v>
      </c>
      <c r="SQ13" s="140">
        <f t="shared" si="63"/>
        <v>15.550476190476191</v>
      </c>
      <c r="SR13" s="154">
        <f>SUM(SQ11:SQ13)</f>
        <v>513.89275825993047</v>
      </c>
      <c r="SS13" s="528"/>
      <c r="ST13" s="151"/>
      <c r="SU13" s="152"/>
      <c r="SV13" s="153" t="s">
        <v>71</v>
      </c>
      <c r="SW13" s="175"/>
      <c r="SX13" s="148">
        <v>3.8876190476190478</v>
      </c>
      <c r="SY13" s="140">
        <f t="shared" si="64"/>
        <v>0</v>
      </c>
      <c r="SZ13" s="154">
        <f>SUM(SY11:SY13)</f>
        <v>1458.5927710843375</v>
      </c>
      <c r="TA13" s="528"/>
      <c r="TB13" s="151"/>
      <c r="TC13" s="152"/>
      <c r="TD13" s="153" t="s">
        <v>71</v>
      </c>
      <c r="TE13" s="175">
        <v>6</v>
      </c>
      <c r="TF13" s="148">
        <v>3.8876190476190478</v>
      </c>
      <c r="TG13" s="140">
        <f t="shared" si="65"/>
        <v>23.325714285714287</v>
      </c>
      <c r="TH13" s="154">
        <f>SUM(TG11:TG13)</f>
        <v>1022.3618588640276</v>
      </c>
      <c r="TI13" s="528"/>
    </row>
    <row r="14" spans="2:529">
      <c r="B14" s="155" t="s">
        <v>72</v>
      </c>
      <c r="C14" s="156">
        <v>23</v>
      </c>
      <c r="D14" s="157" t="s">
        <v>10</v>
      </c>
      <c r="E14" s="138">
        <v>151</v>
      </c>
      <c r="F14" s="139">
        <v>7.5448192771084326</v>
      </c>
      <c r="G14" s="140">
        <f t="shared" si="0"/>
        <v>1139.2677108433734</v>
      </c>
      <c r="H14" s="149"/>
      <c r="I14" s="528"/>
      <c r="J14" s="155" t="s">
        <v>72</v>
      </c>
      <c r="K14" s="156">
        <v>16</v>
      </c>
      <c r="L14" s="157" t="s">
        <v>10</v>
      </c>
      <c r="M14" s="138">
        <v>151</v>
      </c>
      <c r="N14" s="139">
        <v>7.5448192771084326</v>
      </c>
      <c r="O14" s="140">
        <f t="shared" si="1"/>
        <v>1139.2677108433734</v>
      </c>
      <c r="P14" s="149"/>
      <c r="Q14" s="528"/>
      <c r="R14" s="155" t="s">
        <v>72</v>
      </c>
      <c r="S14" s="156">
        <v>8</v>
      </c>
      <c r="T14" s="157" t="s">
        <v>10</v>
      </c>
      <c r="U14" s="138">
        <v>88</v>
      </c>
      <c r="V14" s="139">
        <v>7.5448192771084326</v>
      </c>
      <c r="W14" s="140">
        <f t="shared" si="2"/>
        <v>663.94409638554203</v>
      </c>
      <c r="X14" s="149"/>
      <c r="Y14" s="528"/>
      <c r="Z14" s="155" t="s">
        <v>72</v>
      </c>
      <c r="AA14" s="156">
        <v>2</v>
      </c>
      <c r="AB14" s="157" t="s">
        <v>10</v>
      </c>
      <c r="AC14" s="138">
        <v>11</v>
      </c>
      <c r="AD14" s="139">
        <v>7.5448192771084326</v>
      </c>
      <c r="AE14" s="140">
        <f t="shared" si="3"/>
        <v>82.993012048192753</v>
      </c>
      <c r="AF14" s="149"/>
      <c r="AG14" s="528"/>
      <c r="AH14" s="155" t="s">
        <v>72</v>
      </c>
      <c r="AI14" s="156">
        <v>11</v>
      </c>
      <c r="AJ14" s="157" t="s">
        <v>10</v>
      </c>
      <c r="AK14" s="138">
        <v>87</v>
      </c>
      <c r="AL14" s="139">
        <v>7.5448192771084326</v>
      </c>
      <c r="AM14" s="140">
        <f t="shared" si="4"/>
        <v>656.39927710843358</v>
      </c>
      <c r="AN14" s="149"/>
      <c r="AO14" s="528"/>
      <c r="AP14" s="155" t="s">
        <v>72</v>
      </c>
      <c r="AQ14" s="156"/>
      <c r="AR14" s="157" t="s">
        <v>10</v>
      </c>
      <c r="AS14" s="138"/>
      <c r="AT14" s="139">
        <v>7.5448192771084326</v>
      </c>
      <c r="AU14" s="140">
        <f t="shared" si="5"/>
        <v>0</v>
      </c>
      <c r="AV14" s="149"/>
      <c r="AW14" s="528"/>
      <c r="AX14" s="155" t="s">
        <v>72</v>
      </c>
      <c r="AY14" s="156">
        <v>25</v>
      </c>
      <c r="AZ14" s="157" t="s">
        <v>10</v>
      </c>
      <c r="BA14" s="138">
        <v>324</v>
      </c>
      <c r="BB14" s="139">
        <v>7.5448192771084326</v>
      </c>
      <c r="BC14" s="140">
        <f t="shared" si="6"/>
        <v>2444.5214457831321</v>
      </c>
      <c r="BD14" s="149"/>
      <c r="BE14" s="528"/>
      <c r="BF14" s="155" t="s">
        <v>72</v>
      </c>
      <c r="BG14" s="156">
        <v>12</v>
      </c>
      <c r="BH14" s="157" t="s">
        <v>10</v>
      </c>
      <c r="BI14" s="138">
        <v>184</v>
      </c>
      <c r="BJ14" s="139">
        <v>7.5448192771084326</v>
      </c>
      <c r="BK14" s="140">
        <f t="shared" si="7"/>
        <v>1388.2467469879516</v>
      </c>
      <c r="BL14" s="149"/>
      <c r="BM14" s="528"/>
      <c r="BN14" s="155" t="s">
        <v>72</v>
      </c>
      <c r="BO14" s="156">
        <v>8</v>
      </c>
      <c r="BP14" s="157" t="s">
        <v>10</v>
      </c>
      <c r="BQ14" s="138">
        <v>169</v>
      </c>
      <c r="BR14" s="139">
        <v>7.5448192771084326</v>
      </c>
      <c r="BS14" s="140">
        <f t="shared" si="8"/>
        <v>1275.0744578313252</v>
      </c>
      <c r="BT14" s="149"/>
      <c r="BU14" s="528"/>
      <c r="BV14" s="572" t="s">
        <v>72</v>
      </c>
      <c r="BW14" s="573"/>
      <c r="BX14" s="574" t="s">
        <v>10</v>
      </c>
      <c r="BY14" s="560"/>
      <c r="BZ14" s="561">
        <v>7.5448192771084326</v>
      </c>
      <c r="CA14" s="562">
        <f t="shared" si="9"/>
        <v>0</v>
      </c>
      <c r="CB14" s="568"/>
      <c r="CC14" s="528"/>
      <c r="CD14" s="572" t="s">
        <v>72</v>
      </c>
      <c r="CE14" s="573"/>
      <c r="CF14" s="574" t="s">
        <v>10</v>
      </c>
      <c r="CG14" s="560"/>
      <c r="CH14" s="561">
        <v>7.5448192771084326</v>
      </c>
      <c r="CI14" s="562">
        <f t="shared" si="10"/>
        <v>0</v>
      </c>
      <c r="CJ14" s="568"/>
      <c r="CK14" s="528"/>
      <c r="CL14" s="155" t="s">
        <v>72</v>
      </c>
      <c r="CM14" s="156">
        <v>20</v>
      </c>
      <c r="CN14" s="157" t="s">
        <v>10</v>
      </c>
      <c r="CO14" s="138">
        <v>431</v>
      </c>
      <c r="CP14" s="139">
        <v>7.5448192771084326</v>
      </c>
      <c r="CQ14" s="140">
        <f t="shared" si="11"/>
        <v>3251.8171084337346</v>
      </c>
      <c r="CR14" s="149"/>
      <c r="CS14" s="528"/>
      <c r="CT14" s="155" t="s">
        <v>72</v>
      </c>
      <c r="CU14" s="156">
        <v>12</v>
      </c>
      <c r="CV14" s="157" t="s">
        <v>10</v>
      </c>
      <c r="CW14" s="138">
        <v>184</v>
      </c>
      <c r="CX14" s="139">
        <v>7.5448192771084326</v>
      </c>
      <c r="CY14" s="140">
        <f t="shared" si="12"/>
        <v>1388.2467469879516</v>
      </c>
      <c r="CZ14" s="149"/>
      <c r="DA14" s="528"/>
      <c r="DB14" s="155" t="s">
        <v>72</v>
      </c>
      <c r="DC14" s="156">
        <v>13</v>
      </c>
      <c r="DD14" s="157" t="s">
        <v>10</v>
      </c>
      <c r="DE14" s="138">
        <v>139</v>
      </c>
      <c r="DF14" s="139">
        <v>7.5448192771084326</v>
      </c>
      <c r="DG14" s="140">
        <f t="shared" si="13"/>
        <v>1048.729879518072</v>
      </c>
      <c r="DH14" s="149"/>
      <c r="DI14" s="528"/>
      <c r="DJ14" s="155" t="s">
        <v>72</v>
      </c>
      <c r="DK14" s="156">
        <v>10</v>
      </c>
      <c r="DL14" s="157" t="s">
        <v>10</v>
      </c>
      <c r="DM14" s="138">
        <v>13</v>
      </c>
      <c r="DN14" s="170">
        <v>7.5448192771084326</v>
      </c>
      <c r="DO14" s="140">
        <f t="shared" si="14"/>
        <v>98.082650602409629</v>
      </c>
      <c r="DP14" s="149"/>
      <c r="DQ14" s="528"/>
      <c r="DR14" s="155" t="s">
        <v>72</v>
      </c>
      <c r="DS14" s="156"/>
      <c r="DT14" s="157" t="s">
        <v>10</v>
      </c>
      <c r="DU14" s="138"/>
      <c r="DV14" s="170">
        <v>7.5448192771084326</v>
      </c>
      <c r="DW14" s="140">
        <f t="shared" si="15"/>
        <v>0</v>
      </c>
      <c r="DX14" s="149"/>
      <c r="DY14" s="528"/>
      <c r="DZ14" s="155" t="s">
        <v>72</v>
      </c>
      <c r="EA14" s="156">
        <v>22</v>
      </c>
      <c r="EB14" s="157" t="s">
        <v>10</v>
      </c>
      <c r="EC14" s="138">
        <v>75</v>
      </c>
      <c r="ED14" s="170">
        <v>7.5448192771084326</v>
      </c>
      <c r="EE14" s="140">
        <f t="shared" si="16"/>
        <v>565.86144578313247</v>
      </c>
      <c r="EF14" s="149"/>
      <c r="EG14" s="528"/>
      <c r="EH14" s="155" t="s">
        <v>72</v>
      </c>
      <c r="EI14" s="156">
        <v>67</v>
      </c>
      <c r="EJ14" s="157" t="s">
        <v>10</v>
      </c>
      <c r="EK14" s="138">
        <v>183</v>
      </c>
      <c r="EL14" s="170">
        <v>7.5448192771084326</v>
      </c>
      <c r="EM14" s="140">
        <f t="shared" si="17"/>
        <v>1380.7019277108432</v>
      </c>
      <c r="EN14" s="149"/>
      <c r="EO14" s="528"/>
      <c r="EP14" s="155" t="s">
        <v>72</v>
      </c>
      <c r="EQ14" s="156">
        <v>46</v>
      </c>
      <c r="ER14" s="157" t="s">
        <v>10</v>
      </c>
      <c r="ES14" s="138">
        <v>271</v>
      </c>
      <c r="ET14" s="170">
        <v>7.5448192771084326</v>
      </c>
      <c r="EU14" s="140">
        <f t="shared" si="18"/>
        <v>2044.6460240963852</v>
      </c>
      <c r="EV14" s="149"/>
      <c r="EW14" s="528"/>
      <c r="EX14" s="155" t="s">
        <v>72</v>
      </c>
      <c r="EY14" s="156"/>
      <c r="EZ14" s="157" t="s">
        <v>10</v>
      </c>
      <c r="FA14" s="138"/>
      <c r="FB14" s="170">
        <v>7.5448192771084326</v>
      </c>
      <c r="FC14" s="140">
        <f t="shared" si="19"/>
        <v>0</v>
      </c>
      <c r="FD14" s="149"/>
      <c r="FE14" s="528"/>
      <c r="FF14" s="155" t="s">
        <v>72</v>
      </c>
      <c r="FG14" s="156"/>
      <c r="FH14" s="157" t="s">
        <v>10</v>
      </c>
      <c r="FI14" s="138"/>
      <c r="FJ14" s="170">
        <v>7.5448192771084326</v>
      </c>
      <c r="FK14" s="140">
        <f t="shared" si="20"/>
        <v>0</v>
      </c>
      <c r="FL14" s="149"/>
      <c r="FM14" s="528"/>
      <c r="FN14" s="155" t="s">
        <v>72</v>
      </c>
      <c r="FO14" s="156"/>
      <c r="FP14" s="157" t="s">
        <v>10</v>
      </c>
      <c r="FQ14" s="138"/>
      <c r="FR14" s="170">
        <v>7.5448192771084326</v>
      </c>
      <c r="FS14" s="140">
        <f t="shared" si="21"/>
        <v>0</v>
      </c>
      <c r="FT14" s="149"/>
      <c r="FU14" s="528"/>
      <c r="FV14" s="155" t="s">
        <v>72</v>
      </c>
      <c r="FW14" s="156"/>
      <c r="FX14" s="157" t="s">
        <v>10</v>
      </c>
      <c r="FY14" s="138"/>
      <c r="FZ14" s="170">
        <v>7.5448192771084326</v>
      </c>
      <c r="GA14" s="140">
        <f t="shared" si="22"/>
        <v>0</v>
      </c>
      <c r="GB14" s="149"/>
      <c r="GC14" s="528"/>
      <c r="GD14" s="155" t="s">
        <v>72</v>
      </c>
      <c r="GE14" s="156"/>
      <c r="GF14" s="157" t="s">
        <v>10</v>
      </c>
      <c r="GG14" s="138"/>
      <c r="GH14" s="170">
        <v>7.5448192771084326</v>
      </c>
      <c r="GI14" s="140">
        <f t="shared" si="23"/>
        <v>0</v>
      </c>
      <c r="GJ14" s="149"/>
      <c r="GK14" s="528"/>
      <c r="GL14" s="155" t="s">
        <v>72</v>
      </c>
      <c r="GM14" s="156">
        <v>11</v>
      </c>
      <c r="GN14" s="157" t="s">
        <v>10</v>
      </c>
      <c r="GO14" s="175">
        <v>184</v>
      </c>
      <c r="GP14" s="139">
        <v>7.5448192771084326</v>
      </c>
      <c r="GQ14" s="140">
        <f t="shared" si="24"/>
        <v>1388.2467469879516</v>
      </c>
      <c r="GR14" s="149"/>
      <c r="GS14" s="528"/>
      <c r="GT14" s="155" t="s">
        <v>72</v>
      </c>
      <c r="GU14" s="156">
        <v>13</v>
      </c>
      <c r="GV14" s="157" t="s">
        <v>10</v>
      </c>
      <c r="GW14" s="175">
        <v>139</v>
      </c>
      <c r="GX14" s="139">
        <v>7.5448192771084326</v>
      </c>
      <c r="GY14" s="140">
        <f t="shared" si="25"/>
        <v>1048.729879518072</v>
      </c>
      <c r="GZ14" s="149"/>
      <c r="HA14" s="528"/>
      <c r="HB14" s="155" t="s">
        <v>72</v>
      </c>
      <c r="HC14" s="156">
        <v>7</v>
      </c>
      <c r="HD14" s="157" t="s">
        <v>10</v>
      </c>
      <c r="HE14" s="175">
        <v>88</v>
      </c>
      <c r="HF14" s="139">
        <v>7.5448192771084326</v>
      </c>
      <c r="HG14" s="140">
        <f t="shared" si="26"/>
        <v>663.94409638554203</v>
      </c>
      <c r="HH14" s="149"/>
      <c r="HI14" s="528"/>
      <c r="HJ14" s="155" t="s">
        <v>72</v>
      </c>
      <c r="HK14" s="156">
        <v>32</v>
      </c>
      <c r="HL14" s="157" t="s">
        <v>10</v>
      </c>
      <c r="HM14" s="175">
        <v>209</v>
      </c>
      <c r="HN14" s="139">
        <v>7.5448192771084326</v>
      </c>
      <c r="HO14" s="140">
        <f t="shared" si="27"/>
        <v>1576.8672289156625</v>
      </c>
      <c r="HP14" s="149"/>
      <c r="HQ14" s="528"/>
      <c r="HR14" s="155" t="s">
        <v>72</v>
      </c>
      <c r="HS14" s="156">
        <v>40</v>
      </c>
      <c r="HT14" s="157" t="s">
        <v>10</v>
      </c>
      <c r="HU14" s="175">
        <v>379</v>
      </c>
      <c r="HV14" s="139">
        <v>7.5448192771084326</v>
      </c>
      <c r="HW14" s="140">
        <f t="shared" si="28"/>
        <v>2859.4865060240959</v>
      </c>
      <c r="HX14" s="149"/>
      <c r="HY14" s="528"/>
      <c r="HZ14" s="155" t="s">
        <v>72</v>
      </c>
      <c r="IA14" s="156">
        <v>31</v>
      </c>
      <c r="IB14" s="157" t="s">
        <v>10</v>
      </c>
      <c r="IC14" s="175">
        <v>105</v>
      </c>
      <c r="ID14" s="139">
        <v>7.5448192771084326</v>
      </c>
      <c r="IE14" s="140">
        <f t="shared" si="29"/>
        <v>792.20602409638548</v>
      </c>
      <c r="IF14" s="149"/>
      <c r="IG14" s="528"/>
      <c r="IH14" s="155" t="s">
        <v>72</v>
      </c>
      <c r="II14" s="156">
        <v>26</v>
      </c>
      <c r="IJ14" s="157" t="s">
        <v>10</v>
      </c>
      <c r="IK14" s="175">
        <v>197</v>
      </c>
      <c r="IL14" s="139">
        <v>7.5448192771084326</v>
      </c>
      <c r="IM14" s="140">
        <f t="shared" si="30"/>
        <v>1486.3293975903612</v>
      </c>
      <c r="IN14" s="149"/>
      <c r="IO14" s="528"/>
      <c r="IP14" s="155" t="s">
        <v>72</v>
      </c>
      <c r="IQ14" s="156">
        <v>31</v>
      </c>
      <c r="IR14" s="157" t="s">
        <v>10</v>
      </c>
      <c r="IS14" s="175">
        <v>191</v>
      </c>
      <c r="IT14" s="139">
        <v>7.5448192771084326</v>
      </c>
      <c r="IU14" s="140">
        <f t="shared" si="31"/>
        <v>1441.0604819277107</v>
      </c>
      <c r="IV14" s="149"/>
      <c r="IW14" s="528"/>
      <c r="IX14" s="155" t="s">
        <v>72</v>
      </c>
      <c r="IY14" s="156">
        <v>20</v>
      </c>
      <c r="IZ14" s="157" t="s">
        <v>10</v>
      </c>
      <c r="JA14" s="175">
        <v>91</v>
      </c>
      <c r="JB14" s="139">
        <v>7.5448192771084326</v>
      </c>
      <c r="JC14" s="140">
        <f t="shared" si="32"/>
        <v>686.57855421686736</v>
      </c>
      <c r="JD14" s="149"/>
      <c r="JE14" s="528"/>
      <c r="JF14" s="155" t="s">
        <v>72</v>
      </c>
      <c r="JG14" s="156">
        <v>13</v>
      </c>
      <c r="JH14" s="157" t="s">
        <v>10</v>
      </c>
      <c r="JI14" s="175">
        <v>166</v>
      </c>
      <c r="JJ14" s="139">
        <v>7.5448192771084326</v>
      </c>
      <c r="JK14" s="140">
        <f t="shared" si="33"/>
        <v>1252.4399999999998</v>
      </c>
      <c r="JL14" s="149"/>
      <c r="JM14" s="528"/>
      <c r="JN14" s="155" t="s">
        <v>72</v>
      </c>
      <c r="JO14" s="156">
        <v>16</v>
      </c>
      <c r="JP14" s="157" t="s">
        <v>10</v>
      </c>
      <c r="JQ14" s="175">
        <v>261</v>
      </c>
      <c r="JR14" s="139">
        <v>7.5448192771084326</v>
      </c>
      <c r="JS14" s="140">
        <f t="shared" si="34"/>
        <v>1969.197831325301</v>
      </c>
      <c r="JT14" s="149"/>
      <c r="JU14" s="528"/>
      <c r="JV14" s="155" t="s">
        <v>72</v>
      </c>
      <c r="JW14" s="156">
        <v>56</v>
      </c>
      <c r="JX14" s="157" t="s">
        <v>10</v>
      </c>
      <c r="JY14" s="175">
        <v>558</v>
      </c>
      <c r="JZ14" s="139">
        <v>7.5448192771084326</v>
      </c>
      <c r="KA14" s="140">
        <f t="shared" si="35"/>
        <v>4210.0091566265055</v>
      </c>
      <c r="KB14" s="149"/>
      <c r="KC14" s="528"/>
      <c r="KD14" s="155" t="s">
        <v>72</v>
      </c>
      <c r="KE14" s="156">
        <v>23</v>
      </c>
      <c r="KF14" s="157" t="s">
        <v>10</v>
      </c>
      <c r="KG14" s="175">
        <v>151</v>
      </c>
      <c r="KH14" s="139">
        <v>7.5448192771084326</v>
      </c>
      <c r="KI14" s="140">
        <f t="shared" si="36"/>
        <v>1139.2677108433734</v>
      </c>
      <c r="KJ14" s="149"/>
      <c r="KK14" s="528"/>
      <c r="KL14" s="155" t="s">
        <v>72</v>
      </c>
      <c r="KM14" s="156">
        <v>13</v>
      </c>
      <c r="KN14" s="157" t="s">
        <v>10</v>
      </c>
      <c r="KO14" s="175">
        <v>151</v>
      </c>
      <c r="KP14" s="139">
        <v>7.5448192771084326</v>
      </c>
      <c r="KQ14" s="140">
        <f t="shared" si="37"/>
        <v>1139.2677108433734</v>
      </c>
      <c r="KR14" s="149"/>
      <c r="KS14" s="528"/>
      <c r="KT14" s="155" t="s">
        <v>72</v>
      </c>
      <c r="KU14" s="156">
        <v>22</v>
      </c>
      <c r="KV14" s="157" t="s">
        <v>10</v>
      </c>
      <c r="KW14" s="175">
        <v>216</v>
      </c>
      <c r="KX14" s="139">
        <v>7.5448192771084326</v>
      </c>
      <c r="KY14" s="140">
        <f t="shared" si="38"/>
        <v>1629.6809638554214</v>
      </c>
      <c r="KZ14" s="149"/>
      <c r="LA14" s="528"/>
      <c r="LB14" s="155" t="s">
        <v>72</v>
      </c>
      <c r="LC14" s="156">
        <v>38</v>
      </c>
      <c r="LD14" s="157" t="s">
        <v>10</v>
      </c>
      <c r="LE14" s="175">
        <v>248</v>
      </c>
      <c r="LF14" s="139">
        <v>7.5448192771084326</v>
      </c>
      <c r="LG14" s="140">
        <f t="shared" si="39"/>
        <v>1871.1151807228912</v>
      </c>
      <c r="LH14" s="149"/>
      <c r="LI14" s="528"/>
      <c r="LJ14" s="155" t="s">
        <v>72</v>
      </c>
      <c r="LK14" s="156">
        <v>23</v>
      </c>
      <c r="LL14" s="157" t="s">
        <v>10</v>
      </c>
      <c r="LM14" s="175">
        <v>67</v>
      </c>
      <c r="LN14" s="139">
        <v>7.5448192771084326</v>
      </c>
      <c r="LO14" s="140">
        <f t="shared" si="40"/>
        <v>505.50289156626496</v>
      </c>
      <c r="LP14" s="149"/>
      <c r="LQ14" s="528"/>
      <c r="LR14" s="155" t="s">
        <v>72</v>
      </c>
      <c r="LS14" s="156">
        <v>7</v>
      </c>
      <c r="LT14" s="157" t="s">
        <v>10</v>
      </c>
      <c r="LU14" s="175">
        <v>9</v>
      </c>
      <c r="LV14" s="139">
        <v>7.5448192771084326</v>
      </c>
      <c r="LW14" s="140">
        <f t="shared" si="41"/>
        <v>67.903373493975892</v>
      </c>
      <c r="LX14" s="149"/>
      <c r="LY14" s="528"/>
      <c r="LZ14" s="155" t="s">
        <v>72</v>
      </c>
      <c r="MA14" s="156">
        <v>31</v>
      </c>
      <c r="MB14" s="157" t="s">
        <v>10</v>
      </c>
      <c r="MC14" s="175">
        <v>181</v>
      </c>
      <c r="MD14" s="139">
        <v>7.5448192771084326</v>
      </c>
      <c r="ME14" s="140">
        <f t="shared" si="42"/>
        <v>1365.6122891566263</v>
      </c>
      <c r="MF14" s="149"/>
      <c r="MG14" s="528"/>
      <c r="MH14" s="155" t="s">
        <v>72</v>
      </c>
      <c r="MI14" s="156">
        <v>20</v>
      </c>
      <c r="MJ14" s="157" t="s">
        <v>10</v>
      </c>
      <c r="MK14" s="175">
        <v>90</v>
      </c>
      <c r="ML14" s="139">
        <v>7.5448192771084326</v>
      </c>
      <c r="MM14" s="140">
        <f t="shared" si="43"/>
        <v>679.03373493975892</v>
      </c>
      <c r="MN14" s="149"/>
      <c r="MO14" s="528"/>
      <c r="MP14" s="155" t="s">
        <v>72</v>
      </c>
      <c r="MQ14" s="156">
        <v>14</v>
      </c>
      <c r="MR14" s="157" t="s">
        <v>10</v>
      </c>
      <c r="MS14" s="175">
        <v>32</v>
      </c>
      <c r="MT14" s="139">
        <v>7.5448192771084326</v>
      </c>
      <c r="MU14" s="140">
        <f t="shared" si="44"/>
        <v>241.43421686746984</v>
      </c>
      <c r="MV14" s="149"/>
      <c r="MW14" s="528"/>
      <c r="MX14" s="155" t="s">
        <v>72</v>
      </c>
      <c r="MY14" s="156">
        <v>21</v>
      </c>
      <c r="MZ14" s="157" t="s">
        <v>10</v>
      </c>
      <c r="NA14" s="175">
        <v>57</v>
      </c>
      <c r="NB14" s="139">
        <v>7.5448192771084326</v>
      </c>
      <c r="NC14" s="140">
        <f t="shared" si="45"/>
        <v>430.05469879518068</v>
      </c>
      <c r="ND14" s="149"/>
      <c r="NE14" s="528"/>
      <c r="NF14" s="155" t="s">
        <v>72</v>
      </c>
      <c r="NG14" s="156">
        <v>29</v>
      </c>
      <c r="NH14" s="157" t="s">
        <v>10</v>
      </c>
      <c r="NI14" s="175">
        <v>272</v>
      </c>
      <c r="NJ14" s="139">
        <v>7.5448192771084326</v>
      </c>
      <c r="NK14" s="140">
        <f t="shared" si="46"/>
        <v>2052.1908433734939</v>
      </c>
      <c r="NL14" s="149"/>
      <c r="NM14" s="528"/>
      <c r="NN14" s="155" t="s">
        <v>72</v>
      </c>
      <c r="NO14" s="156">
        <v>28</v>
      </c>
      <c r="NP14" s="157" t="s">
        <v>10</v>
      </c>
      <c r="NQ14" s="175">
        <v>115</v>
      </c>
      <c r="NR14" s="139">
        <v>7.5448192771084326</v>
      </c>
      <c r="NS14" s="140">
        <f t="shared" si="47"/>
        <v>867.6542168674697</v>
      </c>
      <c r="NT14" s="149"/>
      <c r="NU14" s="528"/>
      <c r="NV14" s="155" t="s">
        <v>72</v>
      </c>
      <c r="NW14" s="156">
        <v>15</v>
      </c>
      <c r="NX14" s="157" t="s">
        <v>10</v>
      </c>
      <c r="NY14" s="175">
        <v>94</v>
      </c>
      <c r="NZ14" s="139">
        <v>7.5448192771084326</v>
      </c>
      <c r="OA14" s="140">
        <f t="shared" si="48"/>
        <v>709.2130120481927</v>
      </c>
      <c r="OB14" s="149"/>
      <c r="OC14" s="528"/>
      <c r="OD14" s="155" t="s">
        <v>72</v>
      </c>
      <c r="OE14" s="156">
        <v>25</v>
      </c>
      <c r="OF14" s="157" t="s">
        <v>10</v>
      </c>
      <c r="OG14" s="175">
        <v>248</v>
      </c>
      <c r="OH14" s="139">
        <v>7.5448192771084326</v>
      </c>
      <c r="OI14" s="140">
        <f t="shared" si="49"/>
        <v>1871.1151807228912</v>
      </c>
      <c r="OJ14" s="149"/>
      <c r="OK14" s="528"/>
      <c r="OL14" s="155" t="s">
        <v>72</v>
      </c>
      <c r="OM14" s="156">
        <v>21</v>
      </c>
      <c r="ON14" s="157" t="s">
        <v>10</v>
      </c>
      <c r="OO14" s="175">
        <v>201</v>
      </c>
      <c r="OP14" s="139">
        <v>7.5448192771084326</v>
      </c>
      <c r="OQ14" s="140">
        <f t="shared" si="50"/>
        <v>1516.5086746987949</v>
      </c>
      <c r="OR14" s="149"/>
      <c r="OS14" s="528"/>
      <c r="OT14" s="155" t="s">
        <v>72</v>
      </c>
      <c r="OU14" s="156"/>
      <c r="OV14" s="157" t="s">
        <v>10</v>
      </c>
      <c r="OW14" s="175"/>
      <c r="OX14" s="139">
        <v>7.5448192771084326</v>
      </c>
      <c r="OY14" s="140">
        <f t="shared" si="51"/>
        <v>0</v>
      </c>
      <c r="OZ14" s="149"/>
      <c r="PA14" s="528"/>
      <c r="PB14" s="155" t="s">
        <v>72</v>
      </c>
      <c r="PC14" s="156"/>
      <c r="PD14" s="157" t="s">
        <v>10</v>
      </c>
      <c r="PE14" s="175"/>
      <c r="PF14" s="139">
        <v>7.5448192771084326</v>
      </c>
      <c r="PG14" s="140">
        <f t="shared" si="52"/>
        <v>0</v>
      </c>
      <c r="PH14" s="149"/>
      <c r="PI14" s="528"/>
      <c r="PJ14" s="155" t="s">
        <v>72</v>
      </c>
      <c r="PK14" s="156">
        <v>1</v>
      </c>
      <c r="PL14" s="157" t="s">
        <v>10</v>
      </c>
      <c r="PM14" s="175">
        <v>7</v>
      </c>
      <c r="PN14" s="139">
        <v>7.5448192771084326</v>
      </c>
      <c r="PO14" s="140">
        <f t="shared" si="53"/>
        <v>52.81373493975903</v>
      </c>
      <c r="PP14" s="149"/>
      <c r="PQ14" s="528"/>
      <c r="PR14" s="155" t="s">
        <v>72</v>
      </c>
      <c r="PS14" s="156"/>
      <c r="PT14" s="157" t="s">
        <v>10</v>
      </c>
      <c r="PU14" s="175"/>
      <c r="PV14" s="139">
        <v>7.5448192771084326</v>
      </c>
      <c r="PW14" s="140">
        <f t="shared" si="54"/>
        <v>0</v>
      </c>
      <c r="PX14" s="149"/>
      <c r="PY14" s="528"/>
      <c r="PZ14" s="155" t="s">
        <v>72</v>
      </c>
      <c r="QA14" s="156">
        <v>4</v>
      </c>
      <c r="QB14" s="157" t="s">
        <v>10</v>
      </c>
      <c r="QC14" s="175">
        <v>15</v>
      </c>
      <c r="QD14" s="139">
        <v>7.5448192771084326</v>
      </c>
      <c r="QE14" s="140">
        <f t="shared" si="55"/>
        <v>113.17228915662649</v>
      </c>
      <c r="QF14" s="149"/>
      <c r="QG14" s="528"/>
      <c r="QH14" s="155" t="s">
        <v>72</v>
      </c>
      <c r="QI14" s="156">
        <v>21</v>
      </c>
      <c r="QJ14" s="157" t="s">
        <v>10</v>
      </c>
      <c r="QK14" s="175">
        <v>204</v>
      </c>
      <c r="QL14" s="139">
        <v>7.5448192771084326</v>
      </c>
      <c r="QM14" s="140">
        <f t="shared" si="56"/>
        <v>1539.1431325301203</v>
      </c>
      <c r="QN14" s="149"/>
      <c r="QO14" s="528"/>
      <c r="QP14" s="155" t="s">
        <v>72</v>
      </c>
      <c r="QQ14" s="156">
        <v>26</v>
      </c>
      <c r="QR14" s="157" t="s">
        <v>10</v>
      </c>
      <c r="QS14" s="175">
        <v>229</v>
      </c>
      <c r="QT14" s="139">
        <v>7.5448192771084326</v>
      </c>
      <c r="QU14" s="140">
        <f t="shared" si="57"/>
        <v>1727.763614457831</v>
      </c>
      <c r="QV14" s="149"/>
      <c r="QW14" s="528"/>
      <c r="QX14" s="155" t="s">
        <v>72</v>
      </c>
      <c r="QY14" s="156"/>
      <c r="QZ14" s="157" t="s">
        <v>10</v>
      </c>
      <c r="RA14" s="175"/>
      <c r="RB14" s="139">
        <v>7.5448192771084326</v>
      </c>
      <c r="RC14" s="140">
        <f t="shared" si="58"/>
        <v>0</v>
      </c>
      <c r="RD14" s="149"/>
      <c r="RE14" s="528"/>
      <c r="RF14" s="155" t="s">
        <v>72</v>
      </c>
      <c r="RG14" s="156"/>
      <c r="RH14" s="157" t="s">
        <v>10</v>
      </c>
      <c r="RI14" s="175"/>
      <c r="RJ14" s="139">
        <v>7.5448192771084326</v>
      </c>
      <c r="RK14" s="140">
        <f t="shared" si="59"/>
        <v>0</v>
      </c>
      <c r="RL14" s="149"/>
      <c r="RM14" s="528"/>
      <c r="RN14" s="155" t="s">
        <v>72</v>
      </c>
      <c r="RO14" s="156">
        <v>25</v>
      </c>
      <c r="RP14" s="157" t="s">
        <v>10</v>
      </c>
      <c r="RQ14" s="175">
        <v>388</v>
      </c>
      <c r="RR14" s="139">
        <v>7.5448192771084326</v>
      </c>
      <c r="RS14" s="140">
        <f t="shared" si="60"/>
        <v>2927.3898795180717</v>
      </c>
      <c r="RT14" s="149"/>
      <c r="RU14" s="528"/>
      <c r="RV14" s="155" t="s">
        <v>72</v>
      </c>
      <c r="RW14" s="156">
        <v>13</v>
      </c>
      <c r="RX14" s="157" t="s">
        <v>10</v>
      </c>
      <c r="RY14" s="175">
        <v>213</v>
      </c>
      <c r="RZ14" s="139">
        <v>7.5448192771084326</v>
      </c>
      <c r="SA14" s="140">
        <f t="shared" si="61"/>
        <v>1607.0465060240961</v>
      </c>
      <c r="SB14" s="149"/>
      <c r="SC14" s="528"/>
      <c r="SD14" s="155" t="s">
        <v>72</v>
      </c>
      <c r="SE14" s="156">
        <v>15</v>
      </c>
      <c r="SF14" s="157" t="s">
        <v>10</v>
      </c>
      <c r="SG14" s="175">
        <v>97</v>
      </c>
      <c r="SH14" s="139">
        <v>7.5448192771084326</v>
      </c>
      <c r="SI14" s="140">
        <f t="shared" si="62"/>
        <v>731.84746987951792</v>
      </c>
      <c r="SJ14" s="149"/>
      <c r="SK14" s="528"/>
      <c r="SL14" s="155" t="s">
        <v>72</v>
      </c>
      <c r="SM14" s="156">
        <v>13</v>
      </c>
      <c r="SN14" s="157" t="s">
        <v>10</v>
      </c>
      <c r="SO14" s="175">
        <v>127</v>
      </c>
      <c r="SP14" s="139">
        <v>7.5448192771084326</v>
      </c>
      <c r="SQ14" s="140">
        <f t="shared" si="63"/>
        <v>958.19204819277093</v>
      </c>
      <c r="SR14" s="149"/>
      <c r="SS14" s="528"/>
      <c r="ST14" s="155" t="s">
        <v>72</v>
      </c>
      <c r="SU14" s="156">
        <v>1</v>
      </c>
      <c r="SV14" s="157" t="s">
        <v>10</v>
      </c>
      <c r="SW14" s="175">
        <v>8</v>
      </c>
      <c r="SX14" s="139">
        <v>7.5448192771084326</v>
      </c>
      <c r="SY14" s="140">
        <f t="shared" si="64"/>
        <v>60.358554216867461</v>
      </c>
      <c r="SZ14" s="149"/>
      <c r="TA14" s="528"/>
      <c r="TB14" s="155" t="s">
        <v>72</v>
      </c>
      <c r="TC14" s="156">
        <v>8</v>
      </c>
      <c r="TD14" s="157" t="s">
        <v>10</v>
      </c>
      <c r="TE14" s="175">
        <v>50</v>
      </c>
      <c r="TF14" s="139">
        <v>7.5448192771084326</v>
      </c>
      <c r="TG14" s="140">
        <f t="shared" si="65"/>
        <v>377.24096385542163</v>
      </c>
      <c r="TH14" s="149"/>
      <c r="TI14" s="528"/>
    </row>
    <row r="15" spans="2:529">
      <c r="B15" s="143"/>
      <c r="C15" s="142"/>
      <c r="D15" s="157" t="s">
        <v>11</v>
      </c>
      <c r="E15" s="138">
        <v>80</v>
      </c>
      <c r="F15" s="139">
        <v>3.3801234567901237</v>
      </c>
      <c r="G15" s="140">
        <f t="shared" si="0"/>
        <v>270.40987654320992</v>
      </c>
      <c r="H15" s="154">
        <f>SUM(G14:G15)</f>
        <v>1409.6775873865834</v>
      </c>
      <c r="I15" s="528"/>
      <c r="J15" s="143"/>
      <c r="K15" s="142"/>
      <c r="L15" s="157" t="s">
        <v>11</v>
      </c>
      <c r="M15" s="138">
        <v>20</v>
      </c>
      <c r="N15" s="139">
        <v>3.3801234567901237</v>
      </c>
      <c r="O15" s="140">
        <f t="shared" si="1"/>
        <v>67.60246913580248</v>
      </c>
      <c r="P15" s="154">
        <f>SUM(O14:O15)</f>
        <v>1206.8701799791759</v>
      </c>
      <c r="Q15" s="528"/>
      <c r="R15" s="143"/>
      <c r="S15" s="142"/>
      <c r="T15" s="157" t="s">
        <v>11</v>
      </c>
      <c r="U15" s="138">
        <v>14</v>
      </c>
      <c r="V15" s="139">
        <v>3.3801234567901237</v>
      </c>
      <c r="W15" s="140">
        <f t="shared" si="2"/>
        <v>47.321728395061733</v>
      </c>
      <c r="X15" s="154">
        <f>SUM(W14:W15)</f>
        <v>711.26582478060379</v>
      </c>
      <c r="Y15" s="528"/>
      <c r="Z15" s="143"/>
      <c r="AA15" s="142"/>
      <c r="AB15" s="157" t="s">
        <v>11</v>
      </c>
      <c r="AC15" s="138">
        <v>0</v>
      </c>
      <c r="AD15" s="139">
        <v>3.3801234567901237</v>
      </c>
      <c r="AE15" s="140">
        <f t="shared" si="3"/>
        <v>0</v>
      </c>
      <c r="AF15" s="154">
        <f>SUM(AE14:AE15)</f>
        <v>82.993012048192753</v>
      </c>
      <c r="AG15" s="528"/>
      <c r="AH15" s="143"/>
      <c r="AI15" s="142"/>
      <c r="AJ15" s="157" t="s">
        <v>11</v>
      </c>
      <c r="AK15" s="138">
        <v>16</v>
      </c>
      <c r="AL15" s="139">
        <v>3.3801234567901237</v>
      </c>
      <c r="AM15" s="140">
        <f t="shared" si="4"/>
        <v>54.081975308641979</v>
      </c>
      <c r="AN15" s="154">
        <f>SUM(AM14:AM15)</f>
        <v>710.48125241707555</v>
      </c>
      <c r="AO15" s="528"/>
      <c r="AP15" s="143"/>
      <c r="AQ15" s="142"/>
      <c r="AR15" s="157" t="s">
        <v>11</v>
      </c>
      <c r="AS15" s="138"/>
      <c r="AT15" s="139">
        <v>3.3801234567901237</v>
      </c>
      <c r="AU15" s="140">
        <f t="shared" si="5"/>
        <v>0</v>
      </c>
      <c r="AV15" s="154">
        <f>SUM(AU14:AU15)</f>
        <v>0</v>
      </c>
      <c r="AW15" s="528"/>
      <c r="AX15" s="143"/>
      <c r="AY15" s="142"/>
      <c r="AZ15" s="157" t="s">
        <v>11</v>
      </c>
      <c r="BA15" s="138">
        <v>33</v>
      </c>
      <c r="BB15" s="139">
        <v>3.3801234567901237</v>
      </c>
      <c r="BC15" s="140">
        <f t="shared" si="6"/>
        <v>111.54407407407409</v>
      </c>
      <c r="BD15" s="154">
        <f>SUM(BC14:BC15)</f>
        <v>2556.0655198572063</v>
      </c>
      <c r="BE15" s="528"/>
      <c r="BF15" s="143"/>
      <c r="BG15" s="142"/>
      <c r="BH15" s="157" t="s">
        <v>11</v>
      </c>
      <c r="BI15" s="138">
        <v>13</v>
      </c>
      <c r="BJ15" s="139">
        <v>3.3801234567901237</v>
      </c>
      <c r="BK15" s="140">
        <f t="shared" si="7"/>
        <v>43.94160493827161</v>
      </c>
      <c r="BL15" s="154">
        <f>SUM(BK14:BK15)</f>
        <v>1432.1883519262233</v>
      </c>
      <c r="BM15" s="528"/>
      <c r="BN15" s="143"/>
      <c r="BO15" s="142"/>
      <c r="BP15" s="157" t="s">
        <v>11</v>
      </c>
      <c r="BQ15" s="138">
        <v>0</v>
      </c>
      <c r="BR15" s="139">
        <v>3.3801234567901237</v>
      </c>
      <c r="BS15" s="140">
        <f t="shared" si="8"/>
        <v>0</v>
      </c>
      <c r="BT15" s="154">
        <f>SUM(BS14:BS15)</f>
        <v>1275.0744578313252</v>
      </c>
      <c r="BU15" s="528"/>
      <c r="BV15" s="564"/>
      <c r="BW15" s="533"/>
      <c r="BX15" s="574" t="s">
        <v>11</v>
      </c>
      <c r="BY15" s="560"/>
      <c r="BZ15" s="561">
        <v>3.3801234567901237</v>
      </c>
      <c r="CA15" s="562">
        <f t="shared" si="9"/>
        <v>0</v>
      </c>
      <c r="CB15" s="571">
        <f>SUM(CA14:CA15)</f>
        <v>0</v>
      </c>
      <c r="CC15" s="528"/>
      <c r="CD15" s="564"/>
      <c r="CE15" s="533"/>
      <c r="CF15" s="574" t="s">
        <v>11</v>
      </c>
      <c r="CG15" s="560"/>
      <c r="CH15" s="561">
        <v>3.3801234567901237</v>
      </c>
      <c r="CI15" s="562">
        <f t="shared" si="10"/>
        <v>0</v>
      </c>
      <c r="CJ15" s="571">
        <f>SUM(CI14:CI15)</f>
        <v>0</v>
      </c>
      <c r="CK15" s="528"/>
      <c r="CL15" s="143"/>
      <c r="CM15" s="142"/>
      <c r="CN15" s="157" t="s">
        <v>11</v>
      </c>
      <c r="CO15" s="138">
        <v>6</v>
      </c>
      <c r="CP15" s="139">
        <v>3.3801234567901237</v>
      </c>
      <c r="CQ15" s="140">
        <f t="shared" si="11"/>
        <v>20.280740740740743</v>
      </c>
      <c r="CR15" s="154">
        <f>SUM(CQ14:CQ15)</f>
        <v>3272.0978491744754</v>
      </c>
      <c r="CS15" s="528"/>
      <c r="CT15" s="143"/>
      <c r="CU15" s="142"/>
      <c r="CV15" s="157" t="s">
        <v>11</v>
      </c>
      <c r="CW15" s="138">
        <v>13</v>
      </c>
      <c r="CX15" s="139">
        <v>3.3801234567901237</v>
      </c>
      <c r="CY15" s="140">
        <f t="shared" si="12"/>
        <v>43.94160493827161</v>
      </c>
      <c r="CZ15" s="154">
        <f>SUM(CY14:CY15)</f>
        <v>1432.1883519262233</v>
      </c>
      <c r="DA15" s="528"/>
      <c r="DB15" s="143"/>
      <c r="DC15" s="142"/>
      <c r="DD15" s="157" t="s">
        <v>11</v>
      </c>
      <c r="DE15" s="138">
        <v>6</v>
      </c>
      <c r="DF15" s="139">
        <v>3.3801234567901237</v>
      </c>
      <c r="DG15" s="140">
        <f t="shared" si="13"/>
        <v>20.280740740740743</v>
      </c>
      <c r="DH15" s="154">
        <f>SUM(DG14:DG15)</f>
        <v>1069.0106202588129</v>
      </c>
      <c r="DI15" s="528"/>
      <c r="DJ15" s="143"/>
      <c r="DK15" s="142"/>
      <c r="DL15" s="157" t="s">
        <v>11</v>
      </c>
      <c r="DM15" s="138">
        <v>145</v>
      </c>
      <c r="DN15" s="170">
        <v>3.3801234567901237</v>
      </c>
      <c r="DO15" s="140">
        <f t="shared" si="14"/>
        <v>490.11790123456797</v>
      </c>
      <c r="DP15" s="154">
        <f>SUM(DO14:DO15)</f>
        <v>588.20055183697764</v>
      </c>
      <c r="DQ15" s="528"/>
      <c r="DR15" s="143"/>
      <c r="DS15" s="142"/>
      <c r="DT15" s="157" t="s">
        <v>11</v>
      </c>
      <c r="DU15" s="138"/>
      <c r="DV15" s="170">
        <v>3.3801234567901237</v>
      </c>
      <c r="DW15" s="140">
        <f t="shared" si="15"/>
        <v>0</v>
      </c>
      <c r="DX15" s="154">
        <f>SUM(DW14:DW15)</f>
        <v>0</v>
      </c>
      <c r="DY15" s="528"/>
      <c r="DZ15" s="143"/>
      <c r="EA15" s="142"/>
      <c r="EB15" s="157" t="s">
        <v>11</v>
      </c>
      <c r="EC15" s="138">
        <v>172</v>
      </c>
      <c r="ED15" s="170">
        <v>3.3801234567901237</v>
      </c>
      <c r="EE15" s="140">
        <f t="shared" si="16"/>
        <v>581.38123456790129</v>
      </c>
      <c r="EF15" s="154">
        <f>SUM(EE14:EE15)</f>
        <v>1147.2426803510339</v>
      </c>
      <c r="EG15" s="528"/>
      <c r="EH15" s="143"/>
      <c r="EI15" s="142"/>
      <c r="EJ15" s="157" t="s">
        <v>11</v>
      </c>
      <c r="EK15" s="138">
        <v>289</v>
      </c>
      <c r="EL15" s="170">
        <v>3.3801234567901237</v>
      </c>
      <c r="EM15" s="140">
        <f t="shared" si="17"/>
        <v>976.85567901234572</v>
      </c>
      <c r="EN15" s="154">
        <f>SUM(EM14:EM15)</f>
        <v>2357.5576067231887</v>
      </c>
      <c r="EO15" s="528"/>
      <c r="EP15" s="143"/>
      <c r="EQ15" s="142"/>
      <c r="ER15" s="157" t="s">
        <v>11</v>
      </c>
      <c r="ES15" s="138">
        <v>198</v>
      </c>
      <c r="ET15" s="170">
        <v>3.3801234567901237</v>
      </c>
      <c r="EU15" s="140">
        <f t="shared" si="18"/>
        <v>669.26444444444451</v>
      </c>
      <c r="EV15" s="154">
        <f>SUM(EU14:EU15)</f>
        <v>2713.9104685408297</v>
      </c>
      <c r="EW15" s="528"/>
      <c r="EX15" s="143"/>
      <c r="EY15" s="142"/>
      <c r="EZ15" s="157" t="s">
        <v>11</v>
      </c>
      <c r="FA15" s="138"/>
      <c r="FB15" s="170">
        <v>3.3801234567901237</v>
      </c>
      <c r="FC15" s="140">
        <f t="shared" si="19"/>
        <v>0</v>
      </c>
      <c r="FD15" s="154">
        <f>SUM(FC14:FC15)</f>
        <v>0</v>
      </c>
      <c r="FE15" s="528"/>
      <c r="FF15" s="143"/>
      <c r="FG15" s="142"/>
      <c r="FH15" s="157" t="s">
        <v>11</v>
      </c>
      <c r="FI15" s="138"/>
      <c r="FJ15" s="170">
        <v>3.3801234567901237</v>
      </c>
      <c r="FK15" s="140">
        <f t="shared" si="20"/>
        <v>0</v>
      </c>
      <c r="FL15" s="154">
        <f>SUM(FK14:FK15)</f>
        <v>0</v>
      </c>
      <c r="FM15" s="528"/>
      <c r="FN15" s="143"/>
      <c r="FO15" s="142"/>
      <c r="FP15" s="157" t="s">
        <v>11</v>
      </c>
      <c r="FQ15" s="138"/>
      <c r="FR15" s="170">
        <v>3.3801234567901237</v>
      </c>
      <c r="FS15" s="140">
        <f t="shared" si="21"/>
        <v>0</v>
      </c>
      <c r="FT15" s="154">
        <f>SUM(FS14:FS15)</f>
        <v>0</v>
      </c>
      <c r="FU15" s="528"/>
      <c r="FV15" s="143"/>
      <c r="FW15" s="142"/>
      <c r="FX15" s="157" t="s">
        <v>11</v>
      </c>
      <c r="FY15" s="138"/>
      <c r="FZ15" s="170">
        <v>3.3801234567901237</v>
      </c>
      <c r="GA15" s="140">
        <f t="shared" si="22"/>
        <v>0</v>
      </c>
      <c r="GB15" s="154">
        <f>SUM(GA14:GA15)</f>
        <v>0</v>
      </c>
      <c r="GC15" s="528"/>
      <c r="GD15" s="143"/>
      <c r="GE15" s="142"/>
      <c r="GF15" s="157" t="s">
        <v>11</v>
      </c>
      <c r="GG15" s="138"/>
      <c r="GH15" s="170">
        <v>3.3801234567901237</v>
      </c>
      <c r="GI15" s="140">
        <f t="shared" si="23"/>
        <v>0</v>
      </c>
      <c r="GJ15" s="154">
        <f>SUM(GI14:GI15)</f>
        <v>0</v>
      </c>
      <c r="GK15" s="528"/>
      <c r="GL15" s="143"/>
      <c r="GM15" s="142"/>
      <c r="GN15" s="157" t="s">
        <v>11</v>
      </c>
      <c r="GO15" s="175">
        <v>13</v>
      </c>
      <c r="GP15" s="139">
        <v>3.3801234567901237</v>
      </c>
      <c r="GQ15" s="140">
        <f t="shared" si="24"/>
        <v>43.94160493827161</v>
      </c>
      <c r="GR15" s="154">
        <f>SUM(GQ14:GQ15)</f>
        <v>1432.1883519262233</v>
      </c>
      <c r="GS15" s="528"/>
      <c r="GT15" s="143"/>
      <c r="GU15" s="142"/>
      <c r="GV15" s="157" t="s">
        <v>11</v>
      </c>
      <c r="GW15" s="175">
        <v>6</v>
      </c>
      <c r="GX15" s="139">
        <v>3.3801234567901237</v>
      </c>
      <c r="GY15" s="140">
        <f t="shared" si="25"/>
        <v>20.280740740740743</v>
      </c>
      <c r="GZ15" s="154">
        <f>SUM(GY14:GY15)</f>
        <v>1069.0106202588129</v>
      </c>
      <c r="HA15" s="528"/>
      <c r="HB15" s="143"/>
      <c r="HC15" s="142"/>
      <c r="HD15" s="157" t="s">
        <v>11</v>
      </c>
      <c r="HE15" s="175">
        <v>14</v>
      </c>
      <c r="HF15" s="139">
        <v>3.3801234567901237</v>
      </c>
      <c r="HG15" s="140">
        <f t="shared" si="26"/>
        <v>47.321728395061733</v>
      </c>
      <c r="HH15" s="154">
        <f>SUM(HG14:HG15)</f>
        <v>711.26582478060379</v>
      </c>
      <c r="HI15" s="528"/>
      <c r="HJ15" s="143"/>
      <c r="HK15" s="142"/>
      <c r="HL15" s="157" t="s">
        <v>11</v>
      </c>
      <c r="HM15" s="175">
        <v>70</v>
      </c>
      <c r="HN15" s="139">
        <v>3.3801234567901237</v>
      </c>
      <c r="HO15" s="140">
        <f t="shared" si="27"/>
        <v>236.60864197530867</v>
      </c>
      <c r="HP15" s="154">
        <f>SUM(HO14:HO15)</f>
        <v>1813.4758708909712</v>
      </c>
      <c r="HQ15" s="528"/>
      <c r="HR15" s="143"/>
      <c r="HS15" s="142"/>
      <c r="HT15" s="157" t="s">
        <v>11</v>
      </c>
      <c r="HU15" s="175">
        <v>114</v>
      </c>
      <c r="HV15" s="139">
        <v>3.3801234567901237</v>
      </c>
      <c r="HW15" s="140">
        <f t="shared" si="28"/>
        <v>385.33407407407412</v>
      </c>
      <c r="HX15" s="154">
        <f>SUM(HW14:HW15)</f>
        <v>3244.82058009817</v>
      </c>
      <c r="HY15" s="528"/>
      <c r="HZ15" s="143"/>
      <c r="IA15" s="142"/>
      <c r="IB15" s="157" t="s">
        <v>11</v>
      </c>
      <c r="IC15" s="175">
        <v>90</v>
      </c>
      <c r="ID15" s="139">
        <v>3.3801234567901237</v>
      </c>
      <c r="IE15" s="140">
        <f t="shared" si="29"/>
        <v>304.21111111111111</v>
      </c>
      <c r="IF15" s="154">
        <f>SUM(IE14:IE15)</f>
        <v>1096.4171352074966</v>
      </c>
      <c r="IG15" s="528"/>
      <c r="IH15" s="143"/>
      <c r="II15" s="142"/>
      <c r="IJ15" s="157" t="s">
        <v>11</v>
      </c>
      <c r="IK15" s="175">
        <v>0</v>
      </c>
      <c r="IL15" s="139">
        <v>3.3801234567901237</v>
      </c>
      <c r="IM15" s="140">
        <f t="shared" si="30"/>
        <v>0</v>
      </c>
      <c r="IN15" s="154">
        <f>SUM(IM14:IM15)</f>
        <v>1486.3293975903612</v>
      </c>
      <c r="IO15" s="528"/>
      <c r="IP15" s="143"/>
      <c r="IQ15" s="142"/>
      <c r="IR15" s="157" t="s">
        <v>11</v>
      </c>
      <c r="IS15" s="175">
        <v>116</v>
      </c>
      <c r="IT15" s="139">
        <v>3.3801234567901237</v>
      </c>
      <c r="IU15" s="140">
        <f t="shared" si="31"/>
        <v>392.09432098765433</v>
      </c>
      <c r="IV15" s="154">
        <f>SUM(IU14:IU15)</f>
        <v>1833.1548029153651</v>
      </c>
      <c r="IW15" s="528"/>
      <c r="IX15" s="143"/>
      <c r="IY15" s="142"/>
      <c r="IZ15" s="157" t="s">
        <v>11</v>
      </c>
      <c r="JA15" s="175">
        <v>71</v>
      </c>
      <c r="JB15" s="139">
        <v>3.3801234567901237</v>
      </c>
      <c r="JC15" s="140">
        <f t="shared" si="32"/>
        <v>239.98876543209877</v>
      </c>
      <c r="JD15" s="154">
        <f>SUM(JC14:JC15)</f>
        <v>926.56731964896608</v>
      </c>
      <c r="JE15" s="528"/>
      <c r="JF15" s="143"/>
      <c r="JG15" s="142"/>
      <c r="JH15" s="157" t="s">
        <v>11</v>
      </c>
      <c r="JI15" s="175">
        <v>51</v>
      </c>
      <c r="JJ15" s="139">
        <v>3.3801234567901237</v>
      </c>
      <c r="JK15" s="140">
        <f t="shared" si="33"/>
        <v>172.38629629629631</v>
      </c>
      <c r="JL15" s="154">
        <f>SUM(JK14:JK15)</f>
        <v>1424.8262962962961</v>
      </c>
      <c r="JM15" s="528"/>
      <c r="JN15" s="143"/>
      <c r="JO15" s="142"/>
      <c r="JP15" s="157" t="s">
        <v>11</v>
      </c>
      <c r="JQ15" s="175">
        <v>76</v>
      </c>
      <c r="JR15" s="139">
        <v>3.3801234567901237</v>
      </c>
      <c r="JS15" s="140">
        <f t="shared" si="34"/>
        <v>256.8893827160494</v>
      </c>
      <c r="JT15" s="154">
        <f>SUM(JS14:JS15)</f>
        <v>2226.0872140413503</v>
      </c>
      <c r="JU15" s="528"/>
      <c r="JV15" s="143"/>
      <c r="JW15" s="142"/>
      <c r="JX15" s="157" t="s">
        <v>11</v>
      </c>
      <c r="JY15" s="175">
        <v>163</v>
      </c>
      <c r="JZ15" s="139">
        <v>3.3801234567901237</v>
      </c>
      <c r="KA15" s="140">
        <f t="shared" si="35"/>
        <v>550.96012345679014</v>
      </c>
      <c r="KB15" s="154">
        <f>SUM(KA14:KA15)</f>
        <v>4760.9692800832954</v>
      </c>
      <c r="KC15" s="528"/>
      <c r="KD15" s="143"/>
      <c r="KE15" s="142"/>
      <c r="KF15" s="157" t="s">
        <v>11</v>
      </c>
      <c r="KG15" s="175">
        <v>80</v>
      </c>
      <c r="KH15" s="139">
        <v>3.3801234567901237</v>
      </c>
      <c r="KI15" s="140">
        <f t="shared" si="36"/>
        <v>270.40987654320992</v>
      </c>
      <c r="KJ15" s="154">
        <f>SUM(KI14:KI15)</f>
        <v>1409.6775873865834</v>
      </c>
      <c r="KK15" s="528"/>
      <c r="KL15" s="143"/>
      <c r="KM15" s="142"/>
      <c r="KN15" s="157" t="s">
        <v>11</v>
      </c>
      <c r="KO15" s="175">
        <v>20</v>
      </c>
      <c r="KP15" s="139">
        <v>3.3801234567901237</v>
      </c>
      <c r="KQ15" s="140">
        <f t="shared" si="37"/>
        <v>67.60246913580248</v>
      </c>
      <c r="KR15" s="154">
        <f>SUM(KQ14:KQ15)</f>
        <v>1206.8701799791759</v>
      </c>
      <c r="KS15" s="528"/>
      <c r="KT15" s="143"/>
      <c r="KU15" s="142"/>
      <c r="KV15" s="157" t="s">
        <v>11</v>
      </c>
      <c r="KW15" s="175">
        <v>93</v>
      </c>
      <c r="KX15" s="139">
        <v>3.3801234567901237</v>
      </c>
      <c r="KY15" s="140">
        <f t="shared" si="38"/>
        <v>314.35148148148153</v>
      </c>
      <c r="KZ15" s="154">
        <f>SUM(KY14:KY15)</f>
        <v>1944.032445336903</v>
      </c>
      <c r="LA15" s="528"/>
      <c r="LB15" s="143"/>
      <c r="LC15" s="142"/>
      <c r="LD15" s="157" t="s">
        <v>11</v>
      </c>
      <c r="LE15" s="175">
        <v>49</v>
      </c>
      <c r="LF15" s="139">
        <v>3.3801234567901237</v>
      </c>
      <c r="LG15" s="140">
        <f t="shared" si="39"/>
        <v>165.62604938271608</v>
      </c>
      <c r="LH15" s="154">
        <f>SUM(LG14:LG15)</f>
        <v>2036.7412301056072</v>
      </c>
      <c r="LI15" s="528"/>
      <c r="LJ15" s="143"/>
      <c r="LK15" s="142"/>
      <c r="LL15" s="157" t="s">
        <v>11</v>
      </c>
      <c r="LM15" s="175">
        <v>70</v>
      </c>
      <c r="LN15" s="139">
        <v>3.3801234567901237</v>
      </c>
      <c r="LO15" s="140">
        <f t="shared" si="40"/>
        <v>236.60864197530867</v>
      </c>
      <c r="LP15" s="154">
        <f>SUM(LO14:LO15)</f>
        <v>742.11153354157364</v>
      </c>
      <c r="LQ15" s="528"/>
      <c r="LR15" s="143"/>
      <c r="LS15" s="142"/>
      <c r="LT15" s="157" t="s">
        <v>11</v>
      </c>
      <c r="LU15" s="175">
        <v>10</v>
      </c>
      <c r="LV15" s="139">
        <v>3.3801234567901237</v>
      </c>
      <c r="LW15" s="140">
        <f t="shared" si="41"/>
        <v>33.80123456790124</v>
      </c>
      <c r="LX15" s="154">
        <f>SUM(LW14:LW15)</f>
        <v>101.70460806187714</v>
      </c>
      <c r="LY15" s="528"/>
      <c r="LZ15" s="143"/>
      <c r="MA15" s="142"/>
      <c r="MB15" s="157" t="s">
        <v>11</v>
      </c>
      <c r="MC15" s="175">
        <v>95</v>
      </c>
      <c r="MD15" s="139">
        <v>3.3801234567901237</v>
      </c>
      <c r="ME15" s="140">
        <f t="shared" si="42"/>
        <v>321.11172839506173</v>
      </c>
      <c r="MF15" s="154">
        <f>SUM(ME14:ME15)</f>
        <v>1686.7240175516881</v>
      </c>
      <c r="MG15" s="528"/>
      <c r="MH15" s="143"/>
      <c r="MI15" s="142"/>
      <c r="MJ15" s="157" t="s">
        <v>11</v>
      </c>
      <c r="MK15" s="175">
        <v>71</v>
      </c>
      <c r="ML15" s="139">
        <v>3.3801234567901237</v>
      </c>
      <c r="MM15" s="140">
        <f t="shared" si="43"/>
        <v>239.98876543209877</v>
      </c>
      <c r="MN15" s="154">
        <f>SUM(MM14:MM15)</f>
        <v>919.02250037185763</v>
      </c>
      <c r="MO15" s="528"/>
      <c r="MP15" s="143"/>
      <c r="MQ15" s="142"/>
      <c r="MR15" s="157" t="s">
        <v>11</v>
      </c>
      <c r="MS15" s="175">
        <v>61</v>
      </c>
      <c r="MT15" s="139">
        <v>3.3801234567901237</v>
      </c>
      <c r="MU15" s="140">
        <f t="shared" si="44"/>
        <v>206.18753086419756</v>
      </c>
      <c r="MV15" s="154">
        <f>SUM(MU14:MU15)</f>
        <v>447.62174773166737</v>
      </c>
      <c r="MW15" s="528"/>
      <c r="MX15" s="143"/>
      <c r="MY15" s="142"/>
      <c r="MZ15" s="157" t="s">
        <v>11</v>
      </c>
      <c r="NA15" s="175">
        <v>123</v>
      </c>
      <c r="NB15" s="139">
        <v>3.3801234567901237</v>
      </c>
      <c r="NC15" s="140">
        <f t="shared" si="45"/>
        <v>415.75518518518521</v>
      </c>
      <c r="ND15" s="154">
        <f>SUM(NC14:NC15)</f>
        <v>845.80988398036584</v>
      </c>
      <c r="NE15" s="528"/>
      <c r="NF15" s="143"/>
      <c r="NG15" s="142"/>
      <c r="NH15" s="157" t="s">
        <v>11</v>
      </c>
      <c r="NI15" s="175">
        <v>53</v>
      </c>
      <c r="NJ15" s="139">
        <v>3.3801234567901237</v>
      </c>
      <c r="NK15" s="140">
        <f t="shared" si="46"/>
        <v>179.14654320987657</v>
      </c>
      <c r="NL15" s="154">
        <f>SUM(NK14:NK15)</f>
        <v>2231.3373865833705</v>
      </c>
      <c r="NM15" s="528"/>
      <c r="NN15" s="143"/>
      <c r="NO15" s="142"/>
      <c r="NP15" s="157" t="s">
        <v>11</v>
      </c>
      <c r="NQ15" s="175">
        <v>139</v>
      </c>
      <c r="NR15" s="139">
        <v>3.3801234567901237</v>
      </c>
      <c r="NS15" s="140">
        <f t="shared" si="47"/>
        <v>469.83716049382718</v>
      </c>
      <c r="NT15" s="154">
        <f>SUM(NS14:NS15)</f>
        <v>1337.4913773612968</v>
      </c>
      <c r="NU15" s="528"/>
      <c r="NV15" s="143"/>
      <c r="NW15" s="142"/>
      <c r="NX15" s="157" t="s">
        <v>11</v>
      </c>
      <c r="NY15" s="175">
        <v>6</v>
      </c>
      <c r="NZ15" s="139">
        <v>3.3801234567901237</v>
      </c>
      <c r="OA15" s="140">
        <f t="shared" si="48"/>
        <v>20.280740740740743</v>
      </c>
      <c r="OB15" s="154">
        <f>SUM(OA14:OA15)</f>
        <v>729.49375278893342</v>
      </c>
      <c r="OC15" s="528"/>
      <c r="OD15" s="143"/>
      <c r="OE15" s="142"/>
      <c r="OF15" s="157" t="s">
        <v>11</v>
      </c>
      <c r="OG15" s="175">
        <v>38</v>
      </c>
      <c r="OH15" s="139">
        <v>3.3801234567901237</v>
      </c>
      <c r="OI15" s="140">
        <f t="shared" si="49"/>
        <v>128.4446913580247</v>
      </c>
      <c r="OJ15" s="154">
        <f>SUM(OI14:OI15)</f>
        <v>1999.559872080916</v>
      </c>
      <c r="OK15" s="528"/>
      <c r="OL15" s="143"/>
      <c r="OM15" s="142"/>
      <c r="ON15" s="157" t="s">
        <v>11</v>
      </c>
      <c r="OO15" s="175">
        <v>10</v>
      </c>
      <c r="OP15" s="139">
        <v>3.3801234567901237</v>
      </c>
      <c r="OQ15" s="140">
        <f t="shared" si="50"/>
        <v>33.80123456790124</v>
      </c>
      <c r="OR15" s="154">
        <f>SUM(OQ14:OQ15)</f>
        <v>1550.3099092666962</v>
      </c>
      <c r="OS15" s="528"/>
      <c r="OT15" s="143"/>
      <c r="OU15" s="142"/>
      <c r="OV15" s="157" t="s">
        <v>11</v>
      </c>
      <c r="OW15" s="175"/>
      <c r="OX15" s="139">
        <v>3.3801234567901237</v>
      </c>
      <c r="OY15" s="140">
        <f t="shared" si="51"/>
        <v>0</v>
      </c>
      <c r="OZ15" s="154">
        <f>SUM(OY14:OY15)</f>
        <v>0</v>
      </c>
      <c r="PA15" s="528"/>
      <c r="PB15" s="143"/>
      <c r="PC15" s="142"/>
      <c r="PD15" s="157" t="s">
        <v>11</v>
      </c>
      <c r="PE15" s="175"/>
      <c r="PF15" s="139">
        <v>3.3801234567901237</v>
      </c>
      <c r="PG15" s="140">
        <f t="shared" si="52"/>
        <v>0</v>
      </c>
      <c r="PH15" s="154">
        <f>SUM(PG14:PG15)</f>
        <v>0</v>
      </c>
      <c r="PI15" s="528"/>
      <c r="PJ15" s="143"/>
      <c r="PK15" s="142"/>
      <c r="PL15" s="157" t="s">
        <v>11</v>
      </c>
      <c r="PM15" s="175"/>
      <c r="PN15" s="139">
        <v>3.3801234567901237</v>
      </c>
      <c r="PO15" s="140">
        <f t="shared" si="53"/>
        <v>0</v>
      </c>
      <c r="PP15" s="154">
        <f>SUM(PO14:PO15)</f>
        <v>52.81373493975903</v>
      </c>
      <c r="PQ15" s="528"/>
      <c r="PR15" s="143"/>
      <c r="PS15" s="142"/>
      <c r="PT15" s="157" t="s">
        <v>11</v>
      </c>
      <c r="PU15" s="175"/>
      <c r="PV15" s="139">
        <v>3.3801234567901237</v>
      </c>
      <c r="PW15" s="140">
        <f t="shared" si="54"/>
        <v>0</v>
      </c>
      <c r="PX15" s="154">
        <f>SUM(PW14:PW15)</f>
        <v>0</v>
      </c>
      <c r="PY15" s="528"/>
      <c r="PZ15" s="143"/>
      <c r="QA15" s="142"/>
      <c r="QB15" s="157" t="s">
        <v>11</v>
      </c>
      <c r="QC15" s="175">
        <v>6</v>
      </c>
      <c r="QD15" s="139">
        <v>3.3801234567901237</v>
      </c>
      <c r="QE15" s="140">
        <f t="shared" si="55"/>
        <v>20.280740740740743</v>
      </c>
      <c r="QF15" s="154">
        <f>SUM(QE14:QE15)</f>
        <v>133.45302989736723</v>
      </c>
      <c r="QG15" s="528"/>
      <c r="QH15" s="143"/>
      <c r="QI15" s="142"/>
      <c r="QJ15" s="157" t="s">
        <v>11</v>
      </c>
      <c r="QK15" s="175">
        <v>8</v>
      </c>
      <c r="QL15" s="139">
        <v>3.3801234567901237</v>
      </c>
      <c r="QM15" s="140">
        <f t="shared" si="56"/>
        <v>27.04098765432099</v>
      </c>
      <c r="QN15" s="154">
        <f>SUM(QM14:QM15)</f>
        <v>1566.1841201844413</v>
      </c>
      <c r="QO15" s="528"/>
      <c r="QP15" s="143"/>
      <c r="QQ15" s="142"/>
      <c r="QR15" s="157" t="s">
        <v>11</v>
      </c>
      <c r="QS15" s="175">
        <v>53</v>
      </c>
      <c r="QT15" s="139">
        <v>3.3801234567901237</v>
      </c>
      <c r="QU15" s="140">
        <f t="shared" si="57"/>
        <v>179.14654320987657</v>
      </c>
      <c r="QV15" s="154">
        <f>SUM(QU14:QU15)</f>
        <v>1906.9101576677076</v>
      </c>
      <c r="QW15" s="528"/>
      <c r="QX15" s="143"/>
      <c r="QY15" s="142"/>
      <c r="QZ15" s="157" t="s">
        <v>11</v>
      </c>
      <c r="RA15" s="175"/>
      <c r="RB15" s="139">
        <v>3.3801234567901237</v>
      </c>
      <c r="RC15" s="140">
        <f t="shared" si="58"/>
        <v>0</v>
      </c>
      <c r="RD15" s="154">
        <f>SUM(RC14:RC15)</f>
        <v>0</v>
      </c>
      <c r="RE15" s="528"/>
      <c r="RF15" s="143"/>
      <c r="RG15" s="142"/>
      <c r="RH15" s="157" t="s">
        <v>11</v>
      </c>
      <c r="RI15" s="175"/>
      <c r="RJ15" s="139">
        <v>3.3801234567901237</v>
      </c>
      <c r="RK15" s="140">
        <f t="shared" si="59"/>
        <v>0</v>
      </c>
      <c r="RL15" s="154">
        <f>SUM(RK14:RK15)</f>
        <v>0</v>
      </c>
      <c r="RM15" s="528"/>
      <c r="RN15" s="143"/>
      <c r="RO15" s="142"/>
      <c r="RP15" s="157" t="s">
        <v>11</v>
      </c>
      <c r="RQ15" s="175">
        <v>31</v>
      </c>
      <c r="RR15" s="139">
        <v>3.3801234567901237</v>
      </c>
      <c r="RS15" s="140">
        <f t="shared" si="60"/>
        <v>104.78382716049383</v>
      </c>
      <c r="RT15" s="154">
        <f>SUM(RS14:RS15)</f>
        <v>3032.1737066785654</v>
      </c>
      <c r="RU15" s="528"/>
      <c r="RV15" s="143"/>
      <c r="RW15" s="142"/>
      <c r="RX15" s="157" t="s">
        <v>11</v>
      </c>
      <c r="RY15" s="175">
        <v>27</v>
      </c>
      <c r="RZ15" s="139">
        <v>3.3801234567901237</v>
      </c>
      <c r="SA15" s="140">
        <f t="shared" si="61"/>
        <v>91.263333333333335</v>
      </c>
      <c r="SB15" s="154">
        <f>SUM(SA14:SA15)</f>
        <v>1698.3098393574294</v>
      </c>
      <c r="SC15" s="528"/>
      <c r="SD15" s="143"/>
      <c r="SE15" s="142"/>
      <c r="SF15" s="157" t="s">
        <v>11</v>
      </c>
      <c r="SG15" s="175">
        <v>39</v>
      </c>
      <c r="SH15" s="139">
        <v>3.3801234567901237</v>
      </c>
      <c r="SI15" s="140">
        <f t="shared" si="62"/>
        <v>131.82481481481483</v>
      </c>
      <c r="SJ15" s="154">
        <f>SUM(SI14:SI15)</f>
        <v>863.6722846943328</v>
      </c>
      <c r="SK15" s="528"/>
      <c r="SL15" s="143"/>
      <c r="SM15" s="142"/>
      <c r="SN15" s="157" t="s">
        <v>11</v>
      </c>
      <c r="SO15" s="175">
        <v>3</v>
      </c>
      <c r="SP15" s="139">
        <v>3.3801234567901237</v>
      </c>
      <c r="SQ15" s="140">
        <f t="shared" si="63"/>
        <v>10.140370370370372</v>
      </c>
      <c r="SR15" s="154">
        <f>SUM(SQ14:SQ15)</f>
        <v>968.33241856314135</v>
      </c>
      <c r="SS15" s="528"/>
      <c r="ST15" s="143"/>
      <c r="SU15" s="142"/>
      <c r="SV15" s="157" t="s">
        <v>11</v>
      </c>
      <c r="SW15" s="175"/>
      <c r="SX15" s="139">
        <v>3.3801234567901237</v>
      </c>
      <c r="SY15" s="140">
        <f t="shared" si="64"/>
        <v>0</v>
      </c>
      <c r="SZ15" s="154">
        <f>SUM(SY14:SY15)</f>
        <v>60.358554216867461</v>
      </c>
      <c r="TA15" s="528"/>
      <c r="TB15" s="143"/>
      <c r="TC15" s="142"/>
      <c r="TD15" s="157" t="s">
        <v>11</v>
      </c>
      <c r="TE15" s="175"/>
      <c r="TF15" s="139">
        <v>3.3801234567901237</v>
      </c>
      <c r="TG15" s="140">
        <f t="shared" si="65"/>
        <v>0</v>
      </c>
      <c r="TH15" s="154">
        <f>SUM(TG14:TG15)</f>
        <v>377.24096385542163</v>
      </c>
      <c r="TI15" s="528"/>
    </row>
    <row r="16" spans="2:529">
      <c r="B16" s="143" t="s">
        <v>73</v>
      </c>
      <c r="C16" s="144">
        <v>7</v>
      </c>
      <c r="D16" s="157" t="s">
        <v>20</v>
      </c>
      <c r="E16" s="529">
        <v>3</v>
      </c>
      <c r="F16" s="139">
        <v>7.2535483870967745</v>
      </c>
      <c r="G16" s="140">
        <f t="shared" si="0"/>
        <v>21.760645161290324</v>
      </c>
      <c r="H16" s="158"/>
      <c r="I16" s="528"/>
      <c r="J16" s="143" t="s">
        <v>73</v>
      </c>
      <c r="K16" s="144">
        <v>7</v>
      </c>
      <c r="L16" s="157" t="s">
        <v>20</v>
      </c>
      <c r="M16" s="138">
        <v>16</v>
      </c>
      <c r="N16" s="139">
        <v>7.2535483870967745</v>
      </c>
      <c r="O16" s="140">
        <f t="shared" si="1"/>
        <v>116.05677419354839</v>
      </c>
      <c r="P16" s="158"/>
      <c r="Q16" s="528"/>
      <c r="R16" s="143" t="s">
        <v>73</v>
      </c>
      <c r="S16" s="144">
        <v>4</v>
      </c>
      <c r="T16" s="157" t="s">
        <v>20</v>
      </c>
      <c r="U16" s="138">
        <v>19</v>
      </c>
      <c r="V16" s="139">
        <v>7.2535483870967745</v>
      </c>
      <c r="W16" s="140">
        <f t="shared" si="2"/>
        <v>137.81741935483871</v>
      </c>
      <c r="X16" s="158"/>
      <c r="Y16" s="528"/>
      <c r="Z16" s="143" t="s">
        <v>73</v>
      </c>
      <c r="AA16" s="144">
        <v>5</v>
      </c>
      <c r="AB16" s="157" t="s">
        <v>20</v>
      </c>
      <c r="AC16" s="138">
        <v>15</v>
      </c>
      <c r="AD16" s="139">
        <v>7.2535483870967745</v>
      </c>
      <c r="AE16" s="140">
        <f t="shared" si="3"/>
        <v>108.80322580645162</v>
      </c>
      <c r="AF16" s="158"/>
      <c r="AG16" s="528"/>
      <c r="AH16" s="143" t="s">
        <v>73</v>
      </c>
      <c r="AI16" s="144">
        <v>10</v>
      </c>
      <c r="AJ16" s="157" t="s">
        <v>20</v>
      </c>
      <c r="AK16" s="138">
        <v>13</v>
      </c>
      <c r="AL16" s="139">
        <v>7.2535483870967745</v>
      </c>
      <c r="AM16" s="140">
        <f t="shared" si="4"/>
        <v>94.296129032258065</v>
      </c>
      <c r="AN16" s="158"/>
      <c r="AO16" s="528"/>
      <c r="AP16" s="143" t="s">
        <v>73</v>
      </c>
      <c r="AQ16" s="144"/>
      <c r="AR16" s="157" t="s">
        <v>20</v>
      </c>
      <c r="AS16" s="138"/>
      <c r="AT16" s="139">
        <v>7.2535483870967745</v>
      </c>
      <c r="AU16" s="140">
        <f t="shared" si="5"/>
        <v>0</v>
      </c>
      <c r="AV16" s="158"/>
      <c r="AW16" s="528"/>
      <c r="AX16" s="143" t="s">
        <v>73</v>
      </c>
      <c r="AY16" s="144">
        <v>8</v>
      </c>
      <c r="AZ16" s="157" t="s">
        <v>20</v>
      </c>
      <c r="BA16" s="138">
        <v>48</v>
      </c>
      <c r="BB16" s="139">
        <v>7.2535483870967745</v>
      </c>
      <c r="BC16" s="140">
        <f t="shared" si="6"/>
        <v>348.17032258064518</v>
      </c>
      <c r="BD16" s="158"/>
      <c r="BE16" s="528"/>
      <c r="BF16" s="143" t="s">
        <v>73</v>
      </c>
      <c r="BG16" s="144">
        <v>4</v>
      </c>
      <c r="BH16" s="157" t="s">
        <v>20</v>
      </c>
      <c r="BI16" s="138">
        <v>16</v>
      </c>
      <c r="BJ16" s="139">
        <v>7.2535483870967745</v>
      </c>
      <c r="BK16" s="140">
        <f t="shared" si="7"/>
        <v>116.05677419354839</v>
      </c>
      <c r="BL16" s="158"/>
      <c r="BM16" s="528"/>
      <c r="BN16" s="143" t="s">
        <v>73</v>
      </c>
      <c r="BO16" s="144">
        <v>1</v>
      </c>
      <c r="BP16" s="157" t="s">
        <v>20</v>
      </c>
      <c r="BQ16" s="138">
        <v>20</v>
      </c>
      <c r="BR16" s="139">
        <v>7.2535483870967745</v>
      </c>
      <c r="BS16" s="140">
        <f t="shared" si="8"/>
        <v>145.07096774193548</v>
      </c>
      <c r="BT16" s="158"/>
      <c r="BU16" s="528"/>
      <c r="BV16" s="564" t="s">
        <v>73</v>
      </c>
      <c r="BW16" s="565"/>
      <c r="BX16" s="574" t="s">
        <v>20</v>
      </c>
      <c r="BY16" s="560"/>
      <c r="BZ16" s="561">
        <v>7.2535483870967745</v>
      </c>
      <c r="CA16" s="562">
        <f t="shared" si="9"/>
        <v>0</v>
      </c>
      <c r="CB16" s="540"/>
      <c r="CC16" s="528"/>
      <c r="CD16" s="564" t="s">
        <v>73</v>
      </c>
      <c r="CE16" s="565"/>
      <c r="CF16" s="574" t="s">
        <v>20</v>
      </c>
      <c r="CG16" s="560"/>
      <c r="CH16" s="561">
        <v>7.2535483870967745</v>
      </c>
      <c r="CI16" s="562">
        <f t="shared" si="10"/>
        <v>0</v>
      </c>
      <c r="CJ16" s="540"/>
      <c r="CK16" s="528"/>
      <c r="CL16" s="143" t="s">
        <v>73</v>
      </c>
      <c r="CM16" s="144">
        <v>4</v>
      </c>
      <c r="CN16" s="157" t="s">
        <v>20</v>
      </c>
      <c r="CO16" s="138">
        <v>9</v>
      </c>
      <c r="CP16" s="139">
        <v>7.2535483870967745</v>
      </c>
      <c r="CQ16" s="140">
        <f t="shared" si="11"/>
        <v>65.281935483870967</v>
      </c>
      <c r="CR16" s="158"/>
      <c r="CS16" s="528"/>
      <c r="CT16" s="143" t="s">
        <v>73</v>
      </c>
      <c r="CU16" s="144">
        <v>4</v>
      </c>
      <c r="CV16" s="157" t="s">
        <v>20</v>
      </c>
      <c r="CW16" s="138">
        <v>16</v>
      </c>
      <c r="CX16" s="139">
        <v>7.2535483870967745</v>
      </c>
      <c r="CY16" s="140">
        <f t="shared" si="12"/>
        <v>116.05677419354839</v>
      </c>
      <c r="CZ16" s="158"/>
      <c r="DA16" s="528"/>
      <c r="DB16" s="143" t="s">
        <v>73</v>
      </c>
      <c r="DC16" s="144">
        <v>5</v>
      </c>
      <c r="DD16" s="157" t="s">
        <v>20</v>
      </c>
      <c r="DE16" s="138">
        <v>29</v>
      </c>
      <c r="DF16" s="139">
        <v>7.2535483870967745</v>
      </c>
      <c r="DG16" s="140">
        <f t="shared" si="13"/>
        <v>210.35290322580647</v>
      </c>
      <c r="DH16" s="158"/>
      <c r="DI16" s="528"/>
      <c r="DJ16" s="143" t="s">
        <v>73</v>
      </c>
      <c r="DK16" s="144"/>
      <c r="DL16" s="157" t="s">
        <v>20</v>
      </c>
      <c r="DM16" s="138">
        <v>0</v>
      </c>
      <c r="DN16" s="170">
        <v>7.2535483870967745</v>
      </c>
      <c r="DO16" s="140">
        <f t="shared" si="14"/>
        <v>0</v>
      </c>
      <c r="DP16" s="158"/>
      <c r="DQ16" s="528"/>
      <c r="DR16" s="143" t="s">
        <v>73</v>
      </c>
      <c r="DS16" s="144"/>
      <c r="DT16" s="157" t="s">
        <v>20</v>
      </c>
      <c r="DU16" s="138"/>
      <c r="DV16" s="170">
        <v>7.2535483870967745</v>
      </c>
      <c r="DW16" s="140">
        <f t="shared" si="15"/>
        <v>0</v>
      </c>
      <c r="DX16" s="158"/>
      <c r="DY16" s="528"/>
      <c r="DZ16" s="143" t="s">
        <v>73</v>
      </c>
      <c r="EA16" s="144">
        <v>39</v>
      </c>
      <c r="EB16" s="157" t="s">
        <v>20</v>
      </c>
      <c r="EC16" s="138">
        <v>122</v>
      </c>
      <c r="ED16" s="170">
        <v>7.2535483870967745</v>
      </c>
      <c r="EE16" s="140">
        <f t="shared" si="16"/>
        <v>884.93290322580651</v>
      </c>
      <c r="EF16" s="158"/>
      <c r="EG16" s="528"/>
      <c r="EH16" s="143" t="s">
        <v>73</v>
      </c>
      <c r="EI16" s="144">
        <v>55</v>
      </c>
      <c r="EJ16" s="157" t="s">
        <v>20</v>
      </c>
      <c r="EK16" s="138">
        <v>92</v>
      </c>
      <c r="EL16" s="170">
        <v>7.2535483870967745</v>
      </c>
      <c r="EM16" s="140">
        <f t="shared" si="17"/>
        <v>667.32645161290327</v>
      </c>
      <c r="EN16" s="158"/>
      <c r="EO16" s="528"/>
      <c r="EP16" s="143" t="s">
        <v>73</v>
      </c>
      <c r="EQ16" s="144">
        <v>21</v>
      </c>
      <c r="ER16" s="157" t="s">
        <v>20</v>
      </c>
      <c r="ES16" s="138">
        <v>44</v>
      </c>
      <c r="ET16" s="170">
        <v>7.2535483870967745</v>
      </c>
      <c r="EU16" s="140">
        <f t="shared" si="18"/>
        <v>319.15612903225809</v>
      </c>
      <c r="EV16" s="158"/>
      <c r="EW16" s="528"/>
      <c r="EX16" s="143" t="s">
        <v>73</v>
      </c>
      <c r="EY16" s="144"/>
      <c r="EZ16" s="157" t="s">
        <v>20</v>
      </c>
      <c r="FA16" s="138"/>
      <c r="FB16" s="170">
        <v>7.2535483870967745</v>
      </c>
      <c r="FC16" s="140">
        <f t="shared" si="19"/>
        <v>0</v>
      </c>
      <c r="FD16" s="158"/>
      <c r="FE16" s="528"/>
      <c r="FF16" s="143" t="s">
        <v>73</v>
      </c>
      <c r="FG16" s="144"/>
      <c r="FH16" s="157" t="s">
        <v>20</v>
      </c>
      <c r="FI16" s="138"/>
      <c r="FJ16" s="170">
        <v>7.2535483870967745</v>
      </c>
      <c r="FK16" s="140">
        <f t="shared" si="20"/>
        <v>0</v>
      </c>
      <c r="FL16" s="158"/>
      <c r="FM16" s="528"/>
      <c r="FN16" s="143" t="s">
        <v>73</v>
      </c>
      <c r="FO16" s="144"/>
      <c r="FP16" s="157" t="s">
        <v>20</v>
      </c>
      <c r="FQ16" s="138"/>
      <c r="FR16" s="170">
        <v>7.2535483870967745</v>
      </c>
      <c r="FS16" s="140">
        <f t="shared" si="21"/>
        <v>0</v>
      </c>
      <c r="FT16" s="158"/>
      <c r="FU16" s="528"/>
      <c r="FV16" s="143" t="s">
        <v>73</v>
      </c>
      <c r="FW16" s="144"/>
      <c r="FX16" s="157" t="s">
        <v>20</v>
      </c>
      <c r="FY16" s="138"/>
      <c r="FZ16" s="170">
        <v>7.2535483870967745</v>
      </c>
      <c r="GA16" s="140">
        <f t="shared" si="22"/>
        <v>0</v>
      </c>
      <c r="GB16" s="158"/>
      <c r="GC16" s="528"/>
      <c r="GD16" s="143" t="s">
        <v>73</v>
      </c>
      <c r="GE16" s="144"/>
      <c r="GF16" s="157" t="s">
        <v>20</v>
      </c>
      <c r="GG16" s="138"/>
      <c r="GH16" s="170">
        <v>7.2535483870967745</v>
      </c>
      <c r="GI16" s="140">
        <f t="shared" si="23"/>
        <v>0</v>
      </c>
      <c r="GJ16" s="158"/>
      <c r="GK16" s="528"/>
      <c r="GL16" s="143" t="s">
        <v>73</v>
      </c>
      <c r="GM16" s="144">
        <v>3</v>
      </c>
      <c r="GN16" s="157" t="s">
        <v>20</v>
      </c>
      <c r="GO16" s="175">
        <v>16</v>
      </c>
      <c r="GP16" s="139">
        <v>7.2535483870967745</v>
      </c>
      <c r="GQ16" s="140">
        <f t="shared" si="24"/>
        <v>116.05677419354839</v>
      </c>
      <c r="GR16" s="158"/>
      <c r="GS16" s="528"/>
      <c r="GT16" s="143" t="s">
        <v>73</v>
      </c>
      <c r="GU16" s="144">
        <v>1</v>
      </c>
      <c r="GV16" s="157" t="s">
        <v>20</v>
      </c>
      <c r="GW16" s="175">
        <v>0</v>
      </c>
      <c r="GX16" s="139">
        <v>7.2535483870967745</v>
      </c>
      <c r="GY16" s="140">
        <f t="shared" si="25"/>
        <v>0</v>
      </c>
      <c r="GZ16" s="158"/>
      <c r="HA16" s="528"/>
      <c r="HB16" s="143" t="s">
        <v>73</v>
      </c>
      <c r="HC16" s="144">
        <v>4</v>
      </c>
      <c r="HD16" s="157" t="s">
        <v>20</v>
      </c>
      <c r="HE16" s="175">
        <v>19</v>
      </c>
      <c r="HF16" s="139">
        <v>7.2535483870967745</v>
      </c>
      <c r="HG16" s="140">
        <f t="shared" si="26"/>
        <v>137.81741935483871</v>
      </c>
      <c r="HH16" s="158"/>
      <c r="HI16" s="528"/>
      <c r="HJ16" s="143" t="s">
        <v>73</v>
      </c>
      <c r="HK16" s="144">
        <v>11</v>
      </c>
      <c r="HL16" s="157" t="s">
        <v>20</v>
      </c>
      <c r="HM16" s="175">
        <v>30</v>
      </c>
      <c r="HN16" s="139">
        <v>7.2535483870967745</v>
      </c>
      <c r="HO16" s="140">
        <f t="shared" si="27"/>
        <v>217.60645161290324</v>
      </c>
      <c r="HP16" s="158"/>
      <c r="HQ16" s="528"/>
      <c r="HR16" s="143" t="s">
        <v>73</v>
      </c>
      <c r="HS16" s="144">
        <v>19</v>
      </c>
      <c r="HT16" s="157" t="s">
        <v>20</v>
      </c>
      <c r="HU16" s="175">
        <v>17</v>
      </c>
      <c r="HV16" s="139">
        <v>7.2535483870967745</v>
      </c>
      <c r="HW16" s="140">
        <f t="shared" si="28"/>
        <v>123.31032258064516</v>
      </c>
      <c r="HX16" s="158"/>
      <c r="HY16" s="528"/>
      <c r="HZ16" s="143" t="s">
        <v>73</v>
      </c>
      <c r="IA16" s="144">
        <v>24</v>
      </c>
      <c r="IB16" s="157" t="s">
        <v>20</v>
      </c>
      <c r="IC16" s="175">
        <v>204</v>
      </c>
      <c r="ID16" s="139">
        <v>7.2535483870967745</v>
      </c>
      <c r="IE16" s="140">
        <f t="shared" si="29"/>
        <v>1479.723870967742</v>
      </c>
      <c r="IF16" s="158"/>
      <c r="IG16" s="528"/>
      <c r="IH16" s="143" t="s">
        <v>73</v>
      </c>
      <c r="II16" s="144">
        <v>22</v>
      </c>
      <c r="IJ16" s="157" t="s">
        <v>20</v>
      </c>
      <c r="IK16" s="175">
        <v>182</v>
      </c>
      <c r="IL16" s="139">
        <v>7.2535483870967745</v>
      </c>
      <c r="IM16" s="140">
        <f t="shared" si="30"/>
        <v>1320.145806451613</v>
      </c>
      <c r="IN16" s="158"/>
      <c r="IO16" s="528"/>
      <c r="IP16" s="143" t="s">
        <v>73</v>
      </c>
      <c r="IQ16" s="144">
        <v>11</v>
      </c>
      <c r="IR16" s="157" t="s">
        <v>20</v>
      </c>
      <c r="IS16" s="175">
        <v>34</v>
      </c>
      <c r="IT16" s="139">
        <v>7.2535483870967745</v>
      </c>
      <c r="IU16" s="140">
        <f t="shared" si="31"/>
        <v>246.62064516129033</v>
      </c>
      <c r="IV16" s="158"/>
      <c r="IW16" s="528"/>
      <c r="IX16" s="143" t="s">
        <v>73</v>
      </c>
      <c r="IY16" s="144">
        <v>13</v>
      </c>
      <c r="IZ16" s="157" t="s">
        <v>20</v>
      </c>
      <c r="JA16" s="175">
        <v>120</v>
      </c>
      <c r="JB16" s="139">
        <v>7.2535483870967745</v>
      </c>
      <c r="JC16" s="140">
        <f t="shared" si="32"/>
        <v>870.42580645161297</v>
      </c>
      <c r="JD16" s="158"/>
      <c r="JE16" s="528"/>
      <c r="JF16" s="143" t="s">
        <v>73</v>
      </c>
      <c r="JG16" s="144">
        <v>3</v>
      </c>
      <c r="JH16" s="157" t="s">
        <v>20</v>
      </c>
      <c r="JI16" s="175">
        <v>5</v>
      </c>
      <c r="JJ16" s="139">
        <v>7.2535483870967745</v>
      </c>
      <c r="JK16" s="140">
        <f t="shared" si="33"/>
        <v>36.267741935483869</v>
      </c>
      <c r="JL16" s="158"/>
      <c r="JM16" s="528"/>
      <c r="JN16" s="143" t="s">
        <v>73</v>
      </c>
      <c r="JO16" s="144">
        <v>6</v>
      </c>
      <c r="JP16" s="157" t="s">
        <v>20</v>
      </c>
      <c r="JQ16" s="175">
        <v>15</v>
      </c>
      <c r="JR16" s="139">
        <v>7.2535483870967745</v>
      </c>
      <c r="JS16" s="140">
        <f t="shared" si="34"/>
        <v>108.80322580645162</v>
      </c>
      <c r="JT16" s="158"/>
      <c r="JU16" s="528"/>
      <c r="JV16" s="143" t="s">
        <v>73</v>
      </c>
      <c r="JW16" s="144">
        <v>21</v>
      </c>
      <c r="JX16" s="157" t="s">
        <v>20</v>
      </c>
      <c r="JY16" s="175">
        <v>35</v>
      </c>
      <c r="JZ16" s="139">
        <v>7.2535483870967745</v>
      </c>
      <c r="KA16" s="140">
        <f t="shared" si="35"/>
        <v>253.8741935483871</v>
      </c>
      <c r="KB16" s="158"/>
      <c r="KC16" s="528"/>
      <c r="KD16" s="143" t="s">
        <v>73</v>
      </c>
      <c r="KE16" s="144">
        <v>0</v>
      </c>
      <c r="KF16" s="157" t="s">
        <v>20</v>
      </c>
      <c r="KG16" s="175">
        <v>0</v>
      </c>
      <c r="KH16" s="139">
        <v>7.2535483870967745</v>
      </c>
      <c r="KI16" s="140">
        <f t="shared" si="36"/>
        <v>0</v>
      </c>
      <c r="KJ16" s="158"/>
      <c r="KK16" s="528"/>
      <c r="KL16" s="143" t="s">
        <v>73</v>
      </c>
      <c r="KM16" s="144">
        <v>0</v>
      </c>
      <c r="KN16" s="157" t="s">
        <v>20</v>
      </c>
      <c r="KO16" s="175">
        <v>0</v>
      </c>
      <c r="KP16" s="139">
        <v>7.2535483870967745</v>
      </c>
      <c r="KQ16" s="140">
        <f t="shared" si="37"/>
        <v>0</v>
      </c>
      <c r="KR16" s="158"/>
      <c r="KS16" s="528"/>
      <c r="KT16" s="143" t="s">
        <v>73</v>
      </c>
      <c r="KU16" s="144">
        <v>11</v>
      </c>
      <c r="KV16" s="157" t="s">
        <v>20</v>
      </c>
      <c r="KW16" s="175">
        <v>12</v>
      </c>
      <c r="KX16" s="139">
        <v>7.2535483870967745</v>
      </c>
      <c r="KY16" s="140">
        <f t="shared" si="38"/>
        <v>87.042580645161294</v>
      </c>
      <c r="KZ16" s="158"/>
      <c r="LA16" s="528"/>
      <c r="LB16" s="143" t="s">
        <v>73</v>
      </c>
      <c r="LC16" s="144">
        <v>22</v>
      </c>
      <c r="LD16" s="157" t="s">
        <v>20</v>
      </c>
      <c r="LE16" s="175">
        <v>62</v>
      </c>
      <c r="LF16" s="139">
        <v>7.2535483870967745</v>
      </c>
      <c r="LG16" s="140">
        <f t="shared" si="39"/>
        <v>449.72</v>
      </c>
      <c r="LH16" s="158"/>
      <c r="LI16" s="528"/>
      <c r="LJ16" s="143" t="s">
        <v>73</v>
      </c>
      <c r="LK16" s="144">
        <v>19</v>
      </c>
      <c r="LL16" s="157" t="s">
        <v>20</v>
      </c>
      <c r="LM16" s="175">
        <v>45</v>
      </c>
      <c r="LN16" s="139">
        <v>7.2535483870967745</v>
      </c>
      <c r="LO16" s="140">
        <f t="shared" si="40"/>
        <v>326.40967741935486</v>
      </c>
      <c r="LP16" s="158"/>
      <c r="LQ16" s="528"/>
      <c r="LR16" s="143" t="s">
        <v>73</v>
      </c>
      <c r="LS16" s="144">
        <v>17</v>
      </c>
      <c r="LT16" s="157" t="s">
        <v>20</v>
      </c>
      <c r="LU16" s="175">
        <v>21</v>
      </c>
      <c r="LV16" s="139">
        <v>7.2535483870967745</v>
      </c>
      <c r="LW16" s="140">
        <f t="shared" si="41"/>
        <v>152.32451612903228</v>
      </c>
      <c r="LX16" s="158"/>
      <c r="LY16" s="528"/>
      <c r="LZ16" s="143" t="s">
        <v>73</v>
      </c>
      <c r="MA16" s="144">
        <v>37</v>
      </c>
      <c r="MB16" s="157" t="s">
        <v>20</v>
      </c>
      <c r="MC16" s="175">
        <v>112</v>
      </c>
      <c r="MD16" s="139">
        <v>7.2535483870967745</v>
      </c>
      <c r="ME16" s="140">
        <f t="shared" si="42"/>
        <v>812.3974193548388</v>
      </c>
      <c r="MF16" s="158"/>
      <c r="MG16" s="528"/>
      <c r="MH16" s="143" t="s">
        <v>73</v>
      </c>
      <c r="MI16" s="144">
        <v>35</v>
      </c>
      <c r="MJ16" s="157" t="s">
        <v>20</v>
      </c>
      <c r="MK16" s="175">
        <v>83</v>
      </c>
      <c r="ML16" s="139">
        <v>7.2535483870967745</v>
      </c>
      <c r="MM16" s="140">
        <f t="shared" si="43"/>
        <v>602.04451612903233</v>
      </c>
      <c r="MN16" s="158"/>
      <c r="MO16" s="528"/>
      <c r="MP16" s="143" t="s">
        <v>73</v>
      </c>
      <c r="MQ16" s="144">
        <v>18</v>
      </c>
      <c r="MR16" s="157" t="s">
        <v>20</v>
      </c>
      <c r="MS16" s="175">
        <v>32</v>
      </c>
      <c r="MT16" s="139">
        <v>7.2535483870967745</v>
      </c>
      <c r="MU16" s="140">
        <f t="shared" si="44"/>
        <v>232.11354838709678</v>
      </c>
      <c r="MV16" s="158"/>
      <c r="MW16" s="528"/>
      <c r="MX16" s="143" t="s">
        <v>73</v>
      </c>
      <c r="MY16" s="144">
        <v>2</v>
      </c>
      <c r="MZ16" s="157" t="s">
        <v>20</v>
      </c>
      <c r="NA16" s="175">
        <v>4</v>
      </c>
      <c r="NB16" s="139">
        <v>7.2535483870967745</v>
      </c>
      <c r="NC16" s="140">
        <f t="shared" si="45"/>
        <v>29.014193548387098</v>
      </c>
      <c r="ND16" s="158"/>
      <c r="NE16" s="528"/>
      <c r="NF16" s="143" t="s">
        <v>73</v>
      </c>
      <c r="NG16" s="144">
        <v>17</v>
      </c>
      <c r="NH16" s="157" t="s">
        <v>20</v>
      </c>
      <c r="NI16" s="175">
        <v>68</v>
      </c>
      <c r="NJ16" s="139">
        <v>7.2535483870967745</v>
      </c>
      <c r="NK16" s="140">
        <f t="shared" si="46"/>
        <v>493.24129032258065</v>
      </c>
      <c r="NL16" s="158"/>
      <c r="NM16" s="528"/>
      <c r="NN16" s="143" t="s">
        <v>73</v>
      </c>
      <c r="NO16" s="144">
        <v>9</v>
      </c>
      <c r="NP16" s="157" t="s">
        <v>20</v>
      </c>
      <c r="NQ16" s="175">
        <v>22</v>
      </c>
      <c r="NR16" s="139">
        <v>7.2535483870967745</v>
      </c>
      <c r="NS16" s="140">
        <f t="shared" si="47"/>
        <v>159.57806451612905</v>
      </c>
      <c r="NT16" s="158"/>
      <c r="NU16" s="528"/>
      <c r="NV16" s="143" t="s">
        <v>73</v>
      </c>
      <c r="NW16" s="144">
        <v>7</v>
      </c>
      <c r="NX16" s="157" t="s">
        <v>20</v>
      </c>
      <c r="NY16" s="175">
        <v>15</v>
      </c>
      <c r="NZ16" s="139">
        <v>7.2535483870967745</v>
      </c>
      <c r="OA16" s="140">
        <f t="shared" si="48"/>
        <v>108.80322580645162</v>
      </c>
      <c r="OB16" s="158"/>
      <c r="OC16" s="528"/>
      <c r="OD16" s="143" t="s">
        <v>73</v>
      </c>
      <c r="OE16" s="144">
        <v>8</v>
      </c>
      <c r="OF16" s="157" t="s">
        <v>20</v>
      </c>
      <c r="OG16" s="175">
        <v>40</v>
      </c>
      <c r="OH16" s="139">
        <v>7.2535483870967745</v>
      </c>
      <c r="OI16" s="140">
        <f t="shared" si="49"/>
        <v>290.14193548387095</v>
      </c>
      <c r="OJ16" s="158"/>
      <c r="OK16" s="528"/>
      <c r="OL16" s="143" t="s">
        <v>73</v>
      </c>
      <c r="OM16" s="144">
        <v>12</v>
      </c>
      <c r="ON16" s="157" t="s">
        <v>20</v>
      </c>
      <c r="OO16" s="175">
        <v>15</v>
      </c>
      <c r="OP16" s="139">
        <v>7.2535483870967745</v>
      </c>
      <c r="OQ16" s="140">
        <f t="shared" si="50"/>
        <v>108.80322580645162</v>
      </c>
      <c r="OR16" s="158"/>
      <c r="OS16" s="528"/>
      <c r="OT16" s="143" t="s">
        <v>73</v>
      </c>
      <c r="OU16" s="144"/>
      <c r="OV16" s="157" t="s">
        <v>20</v>
      </c>
      <c r="OW16" s="175"/>
      <c r="OX16" s="139">
        <v>7.2535483870967745</v>
      </c>
      <c r="OY16" s="140">
        <f t="shared" si="51"/>
        <v>0</v>
      </c>
      <c r="OZ16" s="158"/>
      <c r="PA16" s="528"/>
      <c r="PB16" s="143" t="s">
        <v>73</v>
      </c>
      <c r="PC16" s="144"/>
      <c r="PD16" s="157" t="s">
        <v>20</v>
      </c>
      <c r="PE16" s="175"/>
      <c r="PF16" s="139">
        <v>7.2535483870967745</v>
      </c>
      <c r="PG16" s="140">
        <f t="shared" si="52"/>
        <v>0</v>
      </c>
      <c r="PH16" s="158"/>
      <c r="PI16" s="528"/>
      <c r="PJ16" s="143" t="s">
        <v>73</v>
      </c>
      <c r="PK16" s="144">
        <v>2</v>
      </c>
      <c r="PL16" s="157" t="s">
        <v>20</v>
      </c>
      <c r="PM16" s="175">
        <v>13</v>
      </c>
      <c r="PN16" s="139">
        <v>7.2535483870967745</v>
      </c>
      <c r="PO16" s="140">
        <f t="shared" si="53"/>
        <v>94.296129032258065</v>
      </c>
      <c r="PP16" s="158"/>
      <c r="PQ16" s="528"/>
      <c r="PR16" s="143" t="s">
        <v>73</v>
      </c>
      <c r="PS16" s="144">
        <v>2</v>
      </c>
      <c r="PT16" s="157" t="s">
        <v>20</v>
      </c>
      <c r="PU16" s="175"/>
      <c r="PV16" s="139">
        <v>7.2535483870967745</v>
      </c>
      <c r="PW16" s="140">
        <f t="shared" si="54"/>
        <v>0</v>
      </c>
      <c r="PX16" s="158"/>
      <c r="PY16" s="528"/>
      <c r="PZ16" s="143" t="s">
        <v>73</v>
      </c>
      <c r="QA16" s="144">
        <v>4</v>
      </c>
      <c r="QB16" s="157" t="s">
        <v>20</v>
      </c>
      <c r="QC16" s="175">
        <v>27</v>
      </c>
      <c r="QD16" s="139">
        <v>7.2535483870967745</v>
      </c>
      <c r="QE16" s="140">
        <f t="shared" si="55"/>
        <v>195.8458064516129</v>
      </c>
      <c r="QF16" s="158"/>
      <c r="QG16" s="528"/>
      <c r="QH16" s="143" t="s">
        <v>73</v>
      </c>
      <c r="QI16" s="144">
        <v>12</v>
      </c>
      <c r="QJ16" s="157" t="s">
        <v>20</v>
      </c>
      <c r="QK16" s="175">
        <v>52</v>
      </c>
      <c r="QL16" s="139">
        <v>7.2535483870967745</v>
      </c>
      <c r="QM16" s="140">
        <f t="shared" si="56"/>
        <v>377.18451612903226</v>
      </c>
      <c r="QN16" s="158"/>
      <c r="QO16" s="528"/>
      <c r="QP16" s="143" t="s">
        <v>73</v>
      </c>
      <c r="QQ16" s="144">
        <v>1</v>
      </c>
      <c r="QR16" s="157" t="s">
        <v>20</v>
      </c>
      <c r="QS16" s="175">
        <v>5</v>
      </c>
      <c r="QT16" s="139">
        <v>7.2535483870967745</v>
      </c>
      <c r="QU16" s="140">
        <f t="shared" si="57"/>
        <v>36.267741935483869</v>
      </c>
      <c r="QV16" s="158"/>
      <c r="QW16" s="528"/>
      <c r="QX16" s="143" t="s">
        <v>73</v>
      </c>
      <c r="QY16" s="144"/>
      <c r="QZ16" s="157" t="s">
        <v>20</v>
      </c>
      <c r="RA16" s="175"/>
      <c r="RB16" s="139">
        <v>7.2535483870967745</v>
      </c>
      <c r="RC16" s="140">
        <f t="shared" si="58"/>
        <v>0</v>
      </c>
      <c r="RD16" s="158"/>
      <c r="RE16" s="528"/>
      <c r="RF16" s="143" t="s">
        <v>73</v>
      </c>
      <c r="RG16" s="144"/>
      <c r="RH16" s="157" t="s">
        <v>20</v>
      </c>
      <c r="RI16" s="175"/>
      <c r="RJ16" s="139">
        <v>7.2535483870967745</v>
      </c>
      <c r="RK16" s="140">
        <f t="shared" si="59"/>
        <v>0</v>
      </c>
      <c r="RL16" s="158"/>
      <c r="RM16" s="528"/>
      <c r="RN16" s="143" t="s">
        <v>73</v>
      </c>
      <c r="RO16" s="144">
        <v>7</v>
      </c>
      <c r="RP16" s="157" t="s">
        <v>20</v>
      </c>
      <c r="RQ16" s="175">
        <v>23</v>
      </c>
      <c r="RR16" s="139">
        <v>7.2535483870967745</v>
      </c>
      <c r="RS16" s="140">
        <f t="shared" si="60"/>
        <v>166.83161290322582</v>
      </c>
      <c r="RT16" s="158"/>
      <c r="RU16" s="528"/>
      <c r="RV16" s="143" t="s">
        <v>73</v>
      </c>
      <c r="RW16" s="144">
        <v>6</v>
      </c>
      <c r="RX16" s="157" t="s">
        <v>20</v>
      </c>
      <c r="RY16" s="175">
        <v>14</v>
      </c>
      <c r="RZ16" s="139">
        <v>7.2535483870967745</v>
      </c>
      <c r="SA16" s="140">
        <f t="shared" si="61"/>
        <v>101.54967741935485</v>
      </c>
      <c r="SB16" s="158"/>
      <c r="SC16" s="528"/>
      <c r="SD16" s="143" t="s">
        <v>73</v>
      </c>
      <c r="SE16" s="144">
        <v>10</v>
      </c>
      <c r="SF16" s="157" t="s">
        <v>20</v>
      </c>
      <c r="SG16" s="175">
        <v>74</v>
      </c>
      <c r="SH16" s="139">
        <v>7.2535483870967745</v>
      </c>
      <c r="SI16" s="140">
        <f t="shared" si="62"/>
        <v>536.76258064516128</v>
      </c>
      <c r="SJ16" s="158"/>
      <c r="SK16" s="528"/>
      <c r="SL16" s="143" t="s">
        <v>73</v>
      </c>
      <c r="SM16" s="144">
        <v>18</v>
      </c>
      <c r="SN16" s="157" t="s">
        <v>20</v>
      </c>
      <c r="SO16" s="175">
        <v>33</v>
      </c>
      <c r="SP16" s="139">
        <v>7.2535483870967745</v>
      </c>
      <c r="SQ16" s="140">
        <f t="shared" si="63"/>
        <v>239.36709677419356</v>
      </c>
      <c r="SR16" s="158"/>
      <c r="SS16" s="528"/>
      <c r="ST16" s="143" t="s">
        <v>73</v>
      </c>
      <c r="SU16" s="144">
        <v>11</v>
      </c>
      <c r="SV16" s="157" t="s">
        <v>20</v>
      </c>
      <c r="SW16" s="175">
        <v>35</v>
      </c>
      <c r="SX16" s="139">
        <v>7.2535483870967745</v>
      </c>
      <c r="SY16" s="140">
        <f t="shared" si="64"/>
        <v>253.8741935483871</v>
      </c>
      <c r="SZ16" s="158"/>
      <c r="TA16" s="528"/>
      <c r="TB16" s="143" t="s">
        <v>73</v>
      </c>
      <c r="TC16" s="144">
        <v>24</v>
      </c>
      <c r="TD16" s="157" t="s">
        <v>20</v>
      </c>
      <c r="TE16" s="175">
        <v>38</v>
      </c>
      <c r="TF16" s="139">
        <v>7.2535483870967745</v>
      </c>
      <c r="TG16" s="140">
        <f t="shared" si="65"/>
        <v>275.63483870967741</v>
      </c>
      <c r="TH16" s="158"/>
      <c r="TI16" s="528"/>
    </row>
    <row r="17" spans="2:529">
      <c r="B17" s="145"/>
      <c r="C17" s="146"/>
      <c r="D17" s="157" t="s">
        <v>74</v>
      </c>
      <c r="E17" s="529">
        <v>2</v>
      </c>
      <c r="F17" s="139">
        <v>2.9491111111111112</v>
      </c>
      <c r="G17" s="140">
        <f t="shared" si="0"/>
        <v>5.8982222222222225</v>
      </c>
      <c r="H17" s="159">
        <f>SUM(G16:G17)</f>
        <v>27.658867383512547</v>
      </c>
      <c r="I17" s="528"/>
      <c r="J17" s="145"/>
      <c r="K17" s="146"/>
      <c r="L17" s="157" t="s">
        <v>74</v>
      </c>
      <c r="M17" s="138">
        <v>7</v>
      </c>
      <c r="N17" s="139">
        <v>2.9491111111111112</v>
      </c>
      <c r="O17" s="140">
        <f t="shared" si="1"/>
        <v>20.643777777777778</v>
      </c>
      <c r="P17" s="159">
        <f>SUM(O16:O17)</f>
        <v>136.70055197132618</v>
      </c>
      <c r="Q17" s="528"/>
      <c r="R17" s="145"/>
      <c r="S17" s="146"/>
      <c r="T17" s="157" t="s">
        <v>74</v>
      </c>
      <c r="U17" s="138">
        <v>120</v>
      </c>
      <c r="V17" s="139">
        <v>2.9491111111111112</v>
      </c>
      <c r="W17" s="140">
        <f t="shared" si="2"/>
        <v>353.89333333333337</v>
      </c>
      <c r="X17" s="159">
        <f>SUM(W16:W17)</f>
        <v>491.71075268817208</v>
      </c>
      <c r="Y17" s="528"/>
      <c r="Z17" s="145"/>
      <c r="AA17" s="146"/>
      <c r="AB17" s="157" t="s">
        <v>74</v>
      </c>
      <c r="AC17" s="138">
        <v>28</v>
      </c>
      <c r="AD17" s="139">
        <v>2.9491111111111112</v>
      </c>
      <c r="AE17" s="140">
        <f t="shared" si="3"/>
        <v>82.575111111111113</v>
      </c>
      <c r="AF17" s="159">
        <f>SUM(AE16:AE17)</f>
        <v>191.37833691756273</v>
      </c>
      <c r="AG17" s="528"/>
      <c r="AH17" s="145"/>
      <c r="AI17" s="146"/>
      <c r="AJ17" s="157" t="s">
        <v>74</v>
      </c>
      <c r="AK17" s="138">
        <v>145</v>
      </c>
      <c r="AL17" s="139">
        <v>2.9491111111111112</v>
      </c>
      <c r="AM17" s="140">
        <f t="shared" si="4"/>
        <v>427.62111111111113</v>
      </c>
      <c r="AN17" s="159">
        <f>SUM(AM16:AM17)</f>
        <v>521.91724014336921</v>
      </c>
      <c r="AO17" s="528"/>
      <c r="AP17" s="145"/>
      <c r="AQ17" s="146"/>
      <c r="AR17" s="157" t="s">
        <v>74</v>
      </c>
      <c r="AS17" s="138"/>
      <c r="AT17" s="139">
        <v>2.9491111111111112</v>
      </c>
      <c r="AU17" s="140">
        <f t="shared" si="5"/>
        <v>0</v>
      </c>
      <c r="AV17" s="159">
        <f>SUM(AU16:AU17)</f>
        <v>0</v>
      </c>
      <c r="AW17" s="528"/>
      <c r="AX17" s="145"/>
      <c r="AY17" s="146"/>
      <c r="AZ17" s="157" t="s">
        <v>74</v>
      </c>
      <c r="BA17" s="138">
        <v>333</v>
      </c>
      <c r="BB17" s="139">
        <v>2.9491111111111112</v>
      </c>
      <c r="BC17" s="140">
        <f t="shared" si="6"/>
        <v>982.05400000000009</v>
      </c>
      <c r="BD17" s="159">
        <f>SUM(BC16:BC17)</f>
        <v>1330.2243225806453</v>
      </c>
      <c r="BE17" s="528"/>
      <c r="BF17" s="145"/>
      <c r="BG17" s="146"/>
      <c r="BH17" s="157" t="s">
        <v>74</v>
      </c>
      <c r="BI17" s="138">
        <v>450</v>
      </c>
      <c r="BJ17" s="139">
        <v>2.9491111111111112</v>
      </c>
      <c r="BK17" s="140">
        <f t="shared" si="7"/>
        <v>1327.1000000000001</v>
      </c>
      <c r="BL17" s="159">
        <f>SUM(BK16:BK17)</f>
        <v>1443.1567741935485</v>
      </c>
      <c r="BM17" s="528"/>
      <c r="BN17" s="145"/>
      <c r="BO17" s="146"/>
      <c r="BP17" s="157" t="s">
        <v>74</v>
      </c>
      <c r="BQ17" s="138">
        <v>0</v>
      </c>
      <c r="BR17" s="139">
        <v>2.9491111111111112</v>
      </c>
      <c r="BS17" s="140">
        <f t="shared" si="8"/>
        <v>0</v>
      </c>
      <c r="BT17" s="159">
        <f>SUM(BS16:BS17)</f>
        <v>145.07096774193548</v>
      </c>
      <c r="BU17" s="528"/>
      <c r="BV17" s="536"/>
      <c r="BW17" s="537"/>
      <c r="BX17" s="574" t="s">
        <v>74</v>
      </c>
      <c r="BY17" s="560"/>
      <c r="BZ17" s="561">
        <v>2.9491111111111112</v>
      </c>
      <c r="CA17" s="562">
        <f t="shared" si="9"/>
        <v>0</v>
      </c>
      <c r="CB17" s="575">
        <f>SUM(CA16:CA17)</f>
        <v>0</v>
      </c>
      <c r="CC17" s="528"/>
      <c r="CD17" s="536"/>
      <c r="CE17" s="537"/>
      <c r="CF17" s="574" t="s">
        <v>74</v>
      </c>
      <c r="CG17" s="560"/>
      <c r="CH17" s="561">
        <v>2.9491111111111112</v>
      </c>
      <c r="CI17" s="562">
        <f t="shared" si="10"/>
        <v>0</v>
      </c>
      <c r="CJ17" s="575">
        <f>SUM(CI16:CI17)</f>
        <v>0</v>
      </c>
      <c r="CK17" s="528"/>
      <c r="CL17" s="145"/>
      <c r="CM17" s="146"/>
      <c r="CN17" s="157" t="s">
        <v>74</v>
      </c>
      <c r="CO17" s="138">
        <v>6</v>
      </c>
      <c r="CP17" s="139">
        <v>2.9491111111111112</v>
      </c>
      <c r="CQ17" s="140">
        <f t="shared" si="11"/>
        <v>17.694666666666667</v>
      </c>
      <c r="CR17" s="159">
        <f>SUM(CQ16:CQ17)</f>
        <v>82.97660215053763</v>
      </c>
      <c r="CS17" s="528"/>
      <c r="CT17" s="145"/>
      <c r="CU17" s="146"/>
      <c r="CV17" s="157" t="s">
        <v>74</v>
      </c>
      <c r="CW17" s="138">
        <v>450</v>
      </c>
      <c r="CX17" s="139">
        <v>2.9491111111111112</v>
      </c>
      <c r="CY17" s="140">
        <f t="shared" si="12"/>
        <v>1327.1000000000001</v>
      </c>
      <c r="CZ17" s="159">
        <f>SUM(CY16:CY17)</f>
        <v>1443.1567741935485</v>
      </c>
      <c r="DA17" s="528"/>
      <c r="DB17" s="145"/>
      <c r="DC17" s="146"/>
      <c r="DD17" s="157" t="s">
        <v>74</v>
      </c>
      <c r="DE17" s="138">
        <v>300</v>
      </c>
      <c r="DF17" s="139">
        <v>2.9491111111111112</v>
      </c>
      <c r="DG17" s="140">
        <f t="shared" si="13"/>
        <v>884.73333333333335</v>
      </c>
      <c r="DH17" s="159">
        <f>SUM(DG16:DG17)</f>
        <v>1095.0862365591397</v>
      </c>
      <c r="DI17" s="528"/>
      <c r="DJ17" s="145"/>
      <c r="DK17" s="146"/>
      <c r="DL17" s="157" t="s">
        <v>74</v>
      </c>
      <c r="DM17" s="138">
        <v>0</v>
      </c>
      <c r="DN17" s="170">
        <v>2.9491111111111112</v>
      </c>
      <c r="DO17" s="140">
        <f t="shared" si="14"/>
        <v>0</v>
      </c>
      <c r="DP17" s="159">
        <f>SUM(DO16:DO17)</f>
        <v>0</v>
      </c>
      <c r="DQ17" s="528"/>
      <c r="DR17" s="145"/>
      <c r="DS17" s="146"/>
      <c r="DT17" s="157" t="s">
        <v>74</v>
      </c>
      <c r="DU17" s="138"/>
      <c r="DV17" s="170">
        <v>2.9491111111111112</v>
      </c>
      <c r="DW17" s="140">
        <f t="shared" si="15"/>
        <v>0</v>
      </c>
      <c r="DX17" s="159">
        <f>SUM(DW16:DW17)</f>
        <v>0</v>
      </c>
      <c r="DY17" s="528"/>
      <c r="DZ17" s="145"/>
      <c r="EA17" s="146"/>
      <c r="EB17" s="157" t="s">
        <v>74</v>
      </c>
      <c r="EC17" s="138">
        <v>107</v>
      </c>
      <c r="ED17" s="170">
        <v>2.9491111111111112</v>
      </c>
      <c r="EE17" s="140">
        <f t="shared" si="16"/>
        <v>315.55488888888891</v>
      </c>
      <c r="EF17" s="159">
        <f>SUM(EE16:EE17)</f>
        <v>1200.4877921146954</v>
      </c>
      <c r="EG17" s="528"/>
      <c r="EH17" s="145"/>
      <c r="EI17" s="146"/>
      <c r="EJ17" s="157" t="s">
        <v>74</v>
      </c>
      <c r="EK17" s="138">
        <v>498</v>
      </c>
      <c r="EL17" s="170">
        <v>2.9491111111111112</v>
      </c>
      <c r="EM17" s="140">
        <f t="shared" si="17"/>
        <v>1468.6573333333333</v>
      </c>
      <c r="EN17" s="159">
        <f>SUM(EM16:EM17)</f>
        <v>2135.9837849462365</v>
      </c>
      <c r="EO17" s="528"/>
      <c r="EP17" s="145"/>
      <c r="EQ17" s="146"/>
      <c r="ER17" s="157" t="s">
        <v>74</v>
      </c>
      <c r="ES17" s="138">
        <v>96</v>
      </c>
      <c r="ET17" s="170">
        <v>2.9491111111111112</v>
      </c>
      <c r="EU17" s="140">
        <f t="shared" si="18"/>
        <v>283.11466666666666</v>
      </c>
      <c r="EV17" s="159">
        <f>SUM(EU16:EU17)</f>
        <v>602.27079569892476</v>
      </c>
      <c r="EW17" s="528"/>
      <c r="EX17" s="145"/>
      <c r="EY17" s="146"/>
      <c r="EZ17" s="157" t="s">
        <v>74</v>
      </c>
      <c r="FA17" s="138"/>
      <c r="FB17" s="170">
        <v>2.9491111111111112</v>
      </c>
      <c r="FC17" s="140">
        <f t="shared" si="19"/>
        <v>0</v>
      </c>
      <c r="FD17" s="159">
        <f>SUM(FC16:FC17)</f>
        <v>0</v>
      </c>
      <c r="FE17" s="528"/>
      <c r="FF17" s="145"/>
      <c r="FG17" s="146"/>
      <c r="FH17" s="157" t="s">
        <v>74</v>
      </c>
      <c r="FI17" s="138"/>
      <c r="FJ17" s="170">
        <v>2.9491111111111112</v>
      </c>
      <c r="FK17" s="140">
        <f t="shared" si="20"/>
        <v>0</v>
      </c>
      <c r="FL17" s="159">
        <f>SUM(FK16:FK17)</f>
        <v>0</v>
      </c>
      <c r="FM17" s="528"/>
      <c r="FN17" s="145"/>
      <c r="FO17" s="146"/>
      <c r="FP17" s="157" t="s">
        <v>74</v>
      </c>
      <c r="FQ17" s="138"/>
      <c r="FR17" s="170">
        <v>2.9491111111111112</v>
      </c>
      <c r="FS17" s="140">
        <f t="shared" si="21"/>
        <v>0</v>
      </c>
      <c r="FT17" s="159">
        <f>SUM(FS16:FS17)</f>
        <v>0</v>
      </c>
      <c r="FU17" s="528"/>
      <c r="FV17" s="145"/>
      <c r="FW17" s="146"/>
      <c r="FX17" s="157" t="s">
        <v>74</v>
      </c>
      <c r="FY17" s="138"/>
      <c r="FZ17" s="170">
        <v>2.9491111111111112</v>
      </c>
      <c r="GA17" s="140">
        <f t="shared" si="22"/>
        <v>0</v>
      </c>
      <c r="GB17" s="159">
        <f>SUM(GA16:GA17)</f>
        <v>0</v>
      </c>
      <c r="GC17" s="528"/>
      <c r="GD17" s="145"/>
      <c r="GE17" s="146"/>
      <c r="GF17" s="157" t="s">
        <v>74</v>
      </c>
      <c r="GG17" s="138"/>
      <c r="GH17" s="170">
        <v>2.9491111111111112</v>
      </c>
      <c r="GI17" s="140">
        <f t="shared" si="23"/>
        <v>0</v>
      </c>
      <c r="GJ17" s="159">
        <f>SUM(GI16:GI17)</f>
        <v>0</v>
      </c>
      <c r="GK17" s="528"/>
      <c r="GL17" s="145"/>
      <c r="GM17" s="146"/>
      <c r="GN17" s="157" t="s">
        <v>74</v>
      </c>
      <c r="GO17" s="175">
        <v>0</v>
      </c>
      <c r="GP17" s="139">
        <v>2.9491111111111112</v>
      </c>
      <c r="GQ17" s="140">
        <f t="shared" si="24"/>
        <v>0</v>
      </c>
      <c r="GR17" s="159">
        <f>SUM(GQ16:GQ17)</f>
        <v>116.05677419354839</v>
      </c>
      <c r="GS17" s="528"/>
      <c r="GT17" s="145"/>
      <c r="GU17" s="146"/>
      <c r="GV17" s="157" t="s">
        <v>74</v>
      </c>
      <c r="GW17" s="175">
        <v>300</v>
      </c>
      <c r="GX17" s="139">
        <v>2.9491111111111112</v>
      </c>
      <c r="GY17" s="140">
        <f t="shared" si="25"/>
        <v>884.73333333333335</v>
      </c>
      <c r="GZ17" s="159">
        <f>SUM(GY16:GY17)</f>
        <v>884.73333333333335</v>
      </c>
      <c r="HA17" s="528"/>
      <c r="HB17" s="145"/>
      <c r="HC17" s="146"/>
      <c r="HD17" s="157" t="s">
        <v>74</v>
      </c>
      <c r="HE17" s="175">
        <v>120</v>
      </c>
      <c r="HF17" s="139">
        <v>2.9491111111111112</v>
      </c>
      <c r="HG17" s="140">
        <f t="shared" si="26"/>
        <v>353.89333333333337</v>
      </c>
      <c r="HH17" s="159">
        <f>SUM(HG16:HG17)</f>
        <v>491.71075268817208</v>
      </c>
      <c r="HI17" s="528"/>
      <c r="HJ17" s="145"/>
      <c r="HK17" s="146"/>
      <c r="HL17" s="157" t="s">
        <v>74</v>
      </c>
      <c r="HM17" s="175">
        <v>74</v>
      </c>
      <c r="HN17" s="139">
        <v>2.9491111111111112</v>
      </c>
      <c r="HO17" s="140">
        <f t="shared" si="27"/>
        <v>218.23422222222223</v>
      </c>
      <c r="HP17" s="159">
        <f>SUM(HO16:HO17)</f>
        <v>435.84067383512547</v>
      </c>
      <c r="HQ17" s="528"/>
      <c r="HR17" s="145"/>
      <c r="HS17" s="146"/>
      <c r="HT17" s="157" t="s">
        <v>74</v>
      </c>
      <c r="HU17" s="175">
        <v>448</v>
      </c>
      <c r="HV17" s="139">
        <v>2.9491111111111112</v>
      </c>
      <c r="HW17" s="140">
        <f t="shared" si="28"/>
        <v>1321.2017777777778</v>
      </c>
      <c r="HX17" s="159">
        <f>SUM(HW16:HW17)</f>
        <v>1444.5121003584229</v>
      </c>
      <c r="HY17" s="528"/>
      <c r="HZ17" s="145"/>
      <c r="IA17" s="146"/>
      <c r="IB17" s="157" t="s">
        <v>74</v>
      </c>
      <c r="IC17" s="175">
        <v>62</v>
      </c>
      <c r="ID17" s="139">
        <v>2.9491111111111112</v>
      </c>
      <c r="IE17" s="140">
        <f t="shared" si="29"/>
        <v>182.8448888888889</v>
      </c>
      <c r="IF17" s="159">
        <f>SUM(IE16:IE17)</f>
        <v>1662.5687598566308</v>
      </c>
      <c r="IG17" s="528"/>
      <c r="IH17" s="145"/>
      <c r="II17" s="146"/>
      <c r="IJ17" s="157" t="s">
        <v>74</v>
      </c>
      <c r="IK17" s="175">
        <v>171</v>
      </c>
      <c r="IL17" s="139">
        <v>2.9491111111111112</v>
      </c>
      <c r="IM17" s="140">
        <f t="shared" si="30"/>
        <v>504.298</v>
      </c>
      <c r="IN17" s="159">
        <f>SUM(IM16:IM17)</f>
        <v>1824.443806451613</v>
      </c>
      <c r="IO17" s="528"/>
      <c r="IP17" s="145"/>
      <c r="IQ17" s="146"/>
      <c r="IR17" s="157" t="s">
        <v>74</v>
      </c>
      <c r="IS17" s="175">
        <v>0</v>
      </c>
      <c r="IT17" s="139">
        <v>2.9491111111111112</v>
      </c>
      <c r="IU17" s="140">
        <f t="shared" si="31"/>
        <v>0</v>
      </c>
      <c r="IV17" s="159">
        <f>SUM(IU16:IU17)</f>
        <v>246.62064516129033</v>
      </c>
      <c r="IW17" s="528"/>
      <c r="IX17" s="145"/>
      <c r="IY17" s="146"/>
      <c r="IZ17" s="157" t="s">
        <v>74</v>
      </c>
      <c r="JA17" s="175">
        <v>137</v>
      </c>
      <c r="JB17" s="139">
        <v>2.9491111111111112</v>
      </c>
      <c r="JC17" s="140">
        <f t="shared" si="32"/>
        <v>404.02822222222221</v>
      </c>
      <c r="JD17" s="159">
        <f>SUM(JC16:JC17)</f>
        <v>1274.4540286738352</v>
      </c>
      <c r="JE17" s="528"/>
      <c r="JF17" s="145"/>
      <c r="JG17" s="146"/>
      <c r="JH17" s="157" t="s">
        <v>74</v>
      </c>
      <c r="JI17" s="175">
        <v>0</v>
      </c>
      <c r="JJ17" s="139">
        <v>2.9491111111111112</v>
      </c>
      <c r="JK17" s="140">
        <f t="shared" si="33"/>
        <v>0</v>
      </c>
      <c r="JL17" s="159">
        <f>SUM(JK16:JK17)</f>
        <v>36.267741935483869</v>
      </c>
      <c r="JM17" s="528"/>
      <c r="JN17" s="145"/>
      <c r="JO17" s="146"/>
      <c r="JP17" s="157" t="s">
        <v>74</v>
      </c>
      <c r="JQ17" s="175">
        <v>144</v>
      </c>
      <c r="JR17" s="139">
        <v>2.9491111111111112</v>
      </c>
      <c r="JS17" s="140">
        <f t="shared" si="34"/>
        <v>424.67200000000003</v>
      </c>
      <c r="JT17" s="159">
        <f>SUM(JS16:JS17)</f>
        <v>533.47522580645159</v>
      </c>
      <c r="JU17" s="528"/>
      <c r="JV17" s="145"/>
      <c r="JW17" s="146"/>
      <c r="JX17" s="157" t="s">
        <v>74</v>
      </c>
      <c r="JY17" s="175">
        <v>395</v>
      </c>
      <c r="JZ17" s="139">
        <v>2.9491111111111112</v>
      </c>
      <c r="KA17" s="140">
        <f t="shared" si="35"/>
        <v>1164.8988888888889</v>
      </c>
      <c r="KB17" s="159">
        <f>SUM(KA16:KA17)</f>
        <v>1418.7730824372761</v>
      </c>
      <c r="KC17" s="528"/>
      <c r="KD17" s="145"/>
      <c r="KE17" s="146"/>
      <c r="KF17" s="157" t="s">
        <v>74</v>
      </c>
      <c r="KG17" s="175">
        <v>0</v>
      </c>
      <c r="KH17" s="139">
        <v>2.9491111111111112</v>
      </c>
      <c r="KI17" s="140">
        <f t="shared" si="36"/>
        <v>0</v>
      </c>
      <c r="KJ17" s="159">
        <f>SUM(KI16:KI17)</f>
        <v>0</v>
      </c>
      <c r="KK17" s="528"/>
      <c r="KL17" s="145"/>
      <c r="KM17" s="146"/>
      <c r="KN17" s="157" t="s">
        <v>74</v>
      </c>
      <c r="KO17" s="175">
        <v>0</v>
      </c>
      <c r="KP17" s="139">
        <v>2.9491111111111112</v>
      </c>
      <c r="KQ17" s="140">
        <f t="shared" si="37"/>
        <v>0</v>
      </c>
      <c r="KR17" s="159">
        <f>SUM(KQ16:KQ17)</f>
        <v>0</v>
      </c>
      <c r="KS17" s="528"/>
      <c r="KT17" s="145"/>
      <c r="KU17" s="146"/>
      <c r="KV17" s="157" t="s">
        <v>74</v>
      </c>
      <c r="KW17" s="175">
        <v>163</v>
      </c>
      <c r="KX17" s="139">
        <v>2.9491111111111112</v>
      </c>
      <c r="KY17" s="140">
        <f t="shared" si="38"/>
        <v>480.70511111111114</v>
      </c>
      <c r="KZ17" s="159">
        <f>SUM(KY16:KY17)</f>
        <v>567.74769175627239</v>
      </c>
      <c r="LA17" s="528"/>
      <c r="LB17" s="145"/>
      <c r="LC17" s="146"/>
      <c r="LD17" s="157" t="s">
        <v>74</v>
      </c>
      <c r="LE17" s="175">
        <v>157</v>
      </c>
      <c r="LF17" s="139">
        <v>2.9491111111111112</v>
      </c>
      <c r="LG17" s="140">
        <f t="shared" si="39"/>
        <v>463.01044444444449</v>
      </c>
      <c r="LH17" s="159">
        <f>SUM(LG16:LG17)</f>
        <v>912.73044444444452</v>
      </c>
      <c r="LI17" s="528"/>
      <c r="LJ17" s="145"/>
      <c r="LK17" s="146"/>
      <c r="LL17" s="157" t="s">
        <v>74</v>
      </c>
      <c r="LM17" s="175">
        <v>433</v>
      </c>
      <c r="LN17" s="139">
        <v>2.9491111111111112</v>
      </c>
      <c r="LO17" s="140">
        <f t="shared" si="40"/>
        <v>1276.9651111111111</v>
      </c>
      <c r="LP17" s="159">
        <f>SUM(LO16:LO17)</f>
        <v>1603.374788530466</v>
      </c>
      <c r="LQ17" s="528"/>
      <c r="LR17" s="145"/>
      <c r="LS17" s="146"/>
      <c r="LT17" s="157" t="s">
        <v>74</v>
      </c>
      <c r="LU17" s="175">
        <v>107</v>
      </c>
      <c r="LV17" s="139">
        <v>2.9491111111111112</v>
      </c>
      <c r="LW17" s="140">
        <f t="shared" si="41"/>
        <v>315.55488888888891</v>
      </c>
      <c r="LX17" s="159">
        <f>SUM(LW16:LW17)</f>
        <v>467.87940501792116</v>
      </c>
      <c r="LY17" s="528"/>
      <c r="LZ17" s="145"/>
      <c r="MA17" s="146"/>
      <c r="MB17" s="157" t="s">
        <v>74</v>
      </c>
      <c r="MC17" s="175">
        <v>447</v>
      </c>
      <c r="MD17" s="139">
        <v>2.9491111111111112</v>
      </c>
      <c r="ME17" s="140">
        <f t="shared" si="42"/>
        <v>1318.2526666666668</v>
      </c>
      <c r="MF17" s="159">
        <f>SUM(ME16:ME17)</f>
        <v>2130.6500860215056</v>
      </c>
      <c r="MG17" s="528"/>
      <c r="MH17" s="145"/>
      <c r="MI17" s="146"/>
      <c r="MJ17" s="157" t="s">
        <v>74</v>
      </c>
      <c r="MK17" s="175">
        <v>1008</v>
      </c>
      <c r="ML17" s="139">
        <v>2.9491111111111112</v>
      </c>
      <c r="MM17" s="140">
        <f t="shared" si="43"/>
        <v>2972.7040000000002</v>
      </c>
      <c r="MN17" s="159">
        <f>SUM(MM16:MM17)</f>
        <v>3574.7485161290324</v>
      </c>
      <c r="MO17" s="528"/>
      <c r="MP17" s="145"/>
      <c r="MQ17" s="146"/>
      <c r="MR17" s="157" t="s">
        <v>74</v>
      </c>
      <c r="MS17" s="175">
        <v>127</v>
      </c>
      <c r="MT17" s="139">
        <v>2.9491111111111112</v>
      </c>
      <c r="MU17" s="140">
        <f t="shared" si="44"/>
        <v>374.53711111111113</v>
      </c>
      <c r="MV17" s="159">
        <f>SUM(MU16:MU17)</f>
        <v>606.65065949820792</v>
      </c>
      <c r="MW17" s="528"/>
      <c r="MX17" s="145"/>
      <c r="MY17" s="146"/>
      <c r="MZ17" s="157" t="s">
        <v>74</v>
      </c>
      <c r="NA17" s="175">
        <v>15</v>
      </c>
      <c r="NB17" s="139">
        <v>2.9491111111111112</v>
      </c>
      <c r="NC17" s="140">
        <f t="shared" si="45"/>
        <v>44.236666666666672</v>
      </c>
      <c r="ND17" s="159">
        <f>SUM(NC16:NC17)</f>
        <v>73.250860215053763</v>
      </c>
      <c r="NE17" s="528"/>
      <c r="NF17" s="145"/>
      <c r="NG17" s="146"/>
      <c r="NH17" s="157" t="s">
        <v>74</v>
      </c>
      <c r="NI17" s="175">
        <v>58</v>
      </c>
      <c r="NJ17" s="139">
        <v>2.9491111111111112</v>
      </c>
      <c r="NK17" s="140">
        <f t="shared" si="46"/>
        <v>171.04844444444444</v>
      </c>
      <c r="NL17" s="159">
        <f>SUM(NK16:NK17)</f>
        <v>664.28973476702504</v>
      </c>
      <c r="NM17" s="528"/>
      <c r="NN17" s="145"/>
      <c r="NO17" s="146"/>
      <c r="NP17" s="157" t="s">
        <v>74</v>
      </c>
      <c r="NQ17" s="175">
        <v>25</v>
      </c>
      <c r="NR17" s="139">
        <v>2.9491111111111112</v>
      </c>
      <c r="NS17" s="140">
        <f t="shared" si="47"/>
        <v>73.727777777777774</v>
      </c>
      <c r="NT17" s="159">
        <f>SUM(NS16:NS17)</f>
        <v>233.30584229390684</v>
      </c>
      <c r="NU17" s="528"/>
      <c r="NV17" s="145"/>
      <c r="NW17" s="146"/>
      <c r="NX17" s="157" t="s">
        <v>74</v>
      </c>
      <c r="NY17" s="175">
        <v>31</v>
      </c>
      <c r="NZ17" s="139">
        <v>2.9491111111111112</v>
      </c>
      <c r="OA17" s="140">
        <f t="shared" si="48"/>
        <v>91.422444444444452</v>
      </c>
      <c r="OB17" s="159">
        <f>SUM(OA16:OA17)</f>
        <v>200.22567025089609</v>
      </c>
      <c r="OC17" s="528"/>
      <c r="OD17" s="145"/>
      <c r="OE17" s="146"/>
      <c r="OF17" s="157" t="s">
        <v>74</v>
      </c>
      <c r="OG17" s="175">
        <v>86</v>
      </c>
      <c r="OH17" s="139">
        <v>2.9491111111111112</v>
      </c>
      <c r="OI17" s="140">
        <f t="shared" si="49"/>
        <v>253.62355555555555</v>
      </c>
      <c r="OJ17" s="159">
        <f>SUM(OI16:OI17)</f>
        <v>543.76549103942648</v>
      </c>
      <c r="OK17" s="528"/>
      <c r="OL17" s="145"/>
      <c r="OM17" s="146"/>
      <c r="ON17" s="157" t="s">
        <v>74</v>
      </c>
      <c r="OO17" s="175">
        <v>225</v>
      </c>
      <c r="OP17" s="139">
        <v>2.9491111111111112</v>
      </c>
      <c r="OQ17" s="140">
        <f t="shared" si="50"/>
        <v>663.55000000000007</v>
      </c>
      <c r="OR17" s="159">
        <f>SUM(OQ16:OQ17)</f>
        <v>772.35322580645175</v>
      </c>
      <c r="OS17" s="528"/>
      <c r="OT17" s="145"/>
      <c r="OU17" s="146"/>
      <c r="OV17" s="157" t="s">
        <v>74</v>
      </c>
      <c r="OW17" s="175"/>
      <c r="OX17" s="139">
        <v>2.9491111111111112</v>
      </c>
      <c r="OY17" s="140">
        <f t="shared" si="51"/>
        <v>0</v>
      </c>
      <c r="OZ17" s="159">
        <f>SUM(OY16:OY17)</f>
        <v>0</v>
      </c>
      <c r="PA17" s="528"/>
      <c r="PB17" s="145"/>
      <c r="PC17" s="146"/>
      <c r="PD17" s="157" t="s">
        <v>74</v>
      </c>
      <c r="PE17" s="175"/>
      <c r="PF17" s="139">
        <v>2.9491111111111112</v>
      </c>
      <c r="PG17" s="140">
        <f t="shared" si="52"/>
        <v>0</v>
      </c>
      <c r="PH17" s="159">
        <f>SUM(PG16:PG17)</f>
        <v>0</v>
      </c>
      <c r="PI17" s="528"/>
      <c r="PJ17" s="145"/>
      <c r="PK17" s="146"/>
      <c r="PL17" s="157" t="s">
        <v>74</v>
      </c>
      <c r="PM17" s="175">
        <v>35</v>
      </c>
      <c r="PN17" s="139">
        <v>2.9491111111111112</v>
      </c>
      <c r="PO17" s="140">
        <f t="shared" si="53"/>
        <v>103.2188888888889</v>
      </c>
      <c r="PP17" s="159">
        <f>SUM(PO16:PO17)</f>
        <v>197.51501792114698</v>
      </c>
      <c r="PQ17" s="528"/>
      <c r="PR17" s="145"/>
      <c r="PS17" s="146"/>
      <c r="PT17" s="157" t="s">
        <v>74</v>
      </c>
      <c r="PU17" s="175">
        <v>9</v>
      </c>
      <c r="PV17" s="139">
        <v>2.9491111111111112</v>
      </c>
      <c r="PW17" s="140">
        <f t="shared" si="54"/>
        <v>26.542000000000002</v>
      </c>
      <c r="PX17" s="159">
        <f>SUM(PW16:PW17)</f>
        <v>26.542000000000002</v>
      </c>
      <c r="PY17" s="528"/>
      <c r="PZ17" s="145"/>
      <c r="QA17" s="146"/>
      <c r="QB17" s="157" t="s">
        <v>74</v>
      </c>
      <c r="QC17" s="175"/>
      <c r="QD17" s="139">
        <v>2.9491111111111112</v>
      </c>
      <c r="QE17" s="140">
        <f t="shared" si="55"/>
        <v>0</v>
      </c>
      <c r="QF17" s="159">
        <f>SUM(QE16:QE17)</f>
        <v>195.8458064516129</v>
      </c>
      <c r="QG17" s="528"/>
      <c r="QH17" s="145"/>
      <c r="QI17" s="146"/>
      <c r="QJ17" s="157" t="s">
        <v>74</v>
      </c>
      <c r="QK17" s="175">
        <v>8</v>
      </c>
      <c r="QL17" s="139">
        <v>2.9491111111111112</v>
      </c>
      <c r="QM17" s="140">
        <f t="shared" si="56"/>
        <v>23.59288888888889</v>
      </c>
      <c r="QN17" s="159">
        <f>SUM(QM16:QM17)</f>
        <v>400.77740501792113</v>
      </c>
      <c r="QO17" s="528"/>
      <c r="QP17" s="145"/>
      <c r="QQ17" s="146"/>
      <c r="QR17" s="157" t="s">
        <v>74</v>
      </c>
      <c r="QS17" s="175"/>
      <c r="QT17" s="139">
        <v>2.9491111111111112</v>
      </c>
      <c r="QU17" s="140">
        <f t="shared" si="57"/>
        <v>0</v>
      </c>
      <c r="QV17" s="159">
        <f>SUM(QU16:QU17)</f>
        <v>36.267741935483869</v>
      </c>
      <c r="QW17" s="528"/>
      <c r="QX17" s="145"/>
      <c r="QY17" s="146"/>
      <c r="QZ17" s="157" t="s">
        <v>74</v>
      </c>
      <c r="RA17" s="175"/>
      <c r="RB17" s="139">
        <v>2.9491111111111112</v>
      </c>
      <c r="RC17" s="140">
        <f t="shared" si="58"/>
        <v>0</v>
      </c>
      <c r="RD17" s="159">
        <f>SUM(RC16:RC17)</f>
        <v>0</v>
      </c>
      <c r="RE17" s="528"/>
      <c r="RF17" s="145"/>
      <c r="RG17" s="146"/>
      <c r="RH17" s="157" t="s">
        <v>74</v>
      </c>
      <c r="RI17" s="175"/>
      <c r="RJ17" s="139">
        <v>2.9491111111111112</v>
      </c>
      <c r="RK17" s="140">
        <f t="shared" si="59"/>
        <v>0</v>
      </c>
      <c r="RL17" s="159">
        <f>SUM(RK16:RK17)</f>
        <v>0</v>
      </c>
      <c r="RM17" s="528"/>
      <c r="RN17" s="145"/>
      <c r="RO17" s="146"/>
      <c r="RP17" s="157" t="s">
        <v>74</v>
      </c>
      <c r="RQ17" s="175">
        <v>3</v>
      </c>
      <c r="RR17" s="139">
        <v>2.9491111111111112</v>
      </c>
      <c r="RS17" s="140">
        <f t="shared" si="60"/>
        <v>8.8473333333333333</v>
      </c>
      <c r="RT17" s="159">
        <f>SUM(RS16:RS17)</f>
        <v>175.67894623655914</v>
      </c>
      <c r="RU17" s="528"/>
      <c r="RV17" s="145"/>
      <c r="RW17" s="146"/>
      <c r="RX17" s="157" t="s">
        <v>74</v>
      </c>
      <c r="RY17" s="175">
        <v>137</v>
      </c>
      <c r="RZ17" s="139">
        <v>2.9491111111111112</v>
      </c>
      <c r="SA17" s="140">
        <f t="shared" si="61"/>
        <v>404.02822222222221</v>
      </c>
      <c r="SB17" s="159">
        <f>SUM(SA16:SA17)</f>
        <v>505.57789964157706</v>
      </c>
      <c r="SC17" s="528"/>
      <c r="SD17" s="145"/>
      <c r="SE17" s="146"/>
      <c r="SF17" s="157" t="s">
        <v>74</v>
      </c>
      <c r="SG17" s="175">
        <v>45</v>
      </c>
      <c r="SH17" s="139">
        <v>2.9491111111111112</v>
      </c>
      <c r="SI17" s="140">
        <f t="shared" si="62"/>
        <v>132.71</v>
      </c>
      <c r="SJ17" s="159">
        <f>SUM(SI16:SI17)</f>
        <v>669.47258064516132</v>
      </c>
      <c r="SK17" s="528"/>
      <c r="SL17" s="145"/>
      <c r="SM17" s="146"/>
      <c r="SN17" s="157" t="s">
        <v>74</v>
      </c>
      <c r="SO17" s="175">
        <v>377</v>
      </c>
      <c r="SP17" s="139">
        <v>2.9491111111111112</v>
      </c>
      <c r="SQ17" s="140">
        <f t="shared" si="63"/>
        <v>1111.8148888888888</v>
      </c>
      <c r="SR17" s="159">
        <f>SUM(SQ16:SQ17)</f>
        <v>1351.1819856630823</v>
      </c>
      <c r="SS17" s="528"/>
      <c r="ST17" s="145"/>
      <c r="SU17" s="146"/>
      <c r="SV17" s="157" t="s">
        <v>74</v>
      </c>
      <c r="SW17" s="175">
        <v>15</v>
      </c>
      <c r="SX17" s="139">
        <v>2.9491111111111112</v>
      </c>
      <c r="SY17" s="140">
        <f t="shared" si="64"/>
        <v>44.236666666666672</v>
      </c>
      <c r="SZ17" s="159">
        <f>SUM(SY16:SY17)</f>
        <v>298.11086021505378</v>
      </c>
      <c r="TA17" s="528"/>
      <c r="TB17" s="145"/>
      <c r="TC17" s="146"/>
      <c r="TD17" s="157" t="s">
        <v>74</v>
      </c>
      <c r="TE17" s="175">
        <v>612</v>
      </c>
      <c r="TF17" s="139">
        <v>2.9491111111111112</v>
      </c>
      <c r="TG17" s="140">
        <f t="shared" si="65"/>
        <v>1804.856</v>
      </c>
      <c r="TH17" s="159">
        <f>SUM(TG16:TG17)</f>
        <v>2080.4908387096775</v>
      </c>
      <c r="TI17" s="528"/>
    </row>
    <row r="18" spans="2:529">
      <c r="B18" s="143" t="s">
        <v>75</v>
      </c>
      <c r="C18" s="144">
        <v>16</v>
      </c>
      <c r="D18" s="160" t="s">
        <v>76</v>
      </c>
      <c r="E18" s="138">
        <v>47</v>
      </c>
      <c r="F18" s="139">
        <v>7.3735593220338993</v>
      </c>
      <c r="G18" s="140">
        <f t="shared" si="0"/>
        <v>346.55728813559324</v>
      </c>
      <c r="H18" s="158"/>
      <c r="I18" s="528"/>
      <c r="J18" s="143" t="s">
        <v>75</v>
      </c>
      <c r="K18" s="144">
        <v>12</v>
      </c>
      <c r="L18" s="160" t="s">
        <v>76</v>
      </c>
      <c r="M18" s="138">
        <v>40</v>
      </c>
      <c r="N18" s="139">
        <v>7.3735593220338993</v>
      </c>
      <c r="O18" s="140">
        <f t="shared" si="1"/>
        <v>294.94237288135599</v>
      </c>
      <c r="P18" s="158"/>
      <c r="Q18" s="528"/>
      <c r="R18" s="143" t="s">
        <v>75</v>
      </c>
      <c r="S18" s="144"/>
      <c r="T18" s="160" t="s">
        <v>76</v>
      </c>
      <c r="U18" s="138">
        <v>0</v>
      </c>
      <c r="V18" s="139">
        <v>7.3735593220338993</v>
      </c>
      <c r="W18" s="140">
        <f t="shared" si="2"/>
        <v>0</v>
      </c>
      <c r="X18" s="158"/>
      <c r="Y18" s="528"/>
      <c r="Z18" s="143" t="s">
        <v>75</v>
      </c>
      <c r="AA18" s="144">
        <v>14</v>
      </c>
      <c r="AB18" s="160" t="s">
        <v>76</v>
      </c>
      <c r="AC18" s="138">
        <v>57</v>
      </c>
      <c r="AD18" s="139">
        <v>7.3735593220338993</v>
      </c>
      <c r="AE18" s="140">
        <f t="shared" si="3"/>
        <v>420.29288135593225</v>
      </c>
      <c r="AF18" s="158"/>
      <c r="AG18" s="528"/>
      <c r="AH18" s="143" t="s">
        <v>75</v>
      </c>
      <c r="AI18" s="144"/>
      <c r="AJ18" s="160" t="s">
        <v>76</v>
      </c>
      <c r="AK18" s="138">
        <v>0</v>
      </c>
      <c r="AL18" s="139">
        <v>7.3735593220338993</v>
      </c>
      <c r="AM18" s="140">
        <f t="shared" si="4"/>
        <v>0</v>
      </c>
      <c r="AN18" s="158"/>
      <c r="AO18" s="528"/>
      <c r="AP18" s="143" t="s">
        <v>75</v>
      </c>
      <c r="AQ18" s="144"/>
      <c r="AR18" s="160" t="s">
        <v>76</v>
      </c>
      <c r="AS18" s="138"/>
      <c r="AT18" s="139">
        <v>7.3735593220338993</v>
      </c>
      <c r="AU18" s="140">
        <f t="shared" si="5"/>
        <v>0</v>
      </c>
      <c r="AV18" s="158"/>
      <c r="AW18" s="528"/>
      <c r="AX18" s="143" t="s">
        <v>75</v>
      </c>
      <c r="AY18" s="144">
        <v>22</v>
      </c>
      <c r="AZ18" s="160" t="s">
        <v>76</v>
      </c>
      <c r="BA18" s="138">
        <v>70</v>
      </c>
      <c r="BB18" s="139">
        <v>7.3735593220338993</v>
      </c>
      <c r="BC18" s="140">
        <f t="shared" si="6"/>
        <v>516.14915254237292</v>
      </c>
      <c r="BD18" s="158"/>
      <c r="BE18" s="528"/>
      <c r="BF18" s="143" t="s">
        <v>75</v>
      </c>
      <c r="BG18" s="144">
        <v>20</v>
      </c>
      <c r="BH18" s="160" t="s">
        <v>76</v>
      </c>
      <c r="BI18" s="138">
        <v>53</v>
      </c>
      <c r="BJ18" s="139">
        <v>7.3735593220338993</v>
      </c>
      <c r="BK18" s="140">
        <f t="shared" si="7"/>
        <v>390.79864406779666</v>
      </c>
      <c r="BL18" s="158"/>
      <c r="BM18" s="528"/>
      <c r="BN18" s="143" t="s">
        <v>75</v>
      </c>
      <c r="BO18" s="144">
        <v>5</v>
      </c>
      <c r="BP18" s="160" t="s">
        <v>76</v>
      </c>
      <c r="BQ18" s="138">
        <v>34</v>
      </c>
      <c r="BR18" s="139">
        <v>7.3735593220338993</v>
      </c>
      <c r="BS18" s="140">
        <f t="shared" si="8"/>
        <v>250.70101694915257</v>
      </c>
      <c r="BT18" s="158"/>
      <c r="BU18" s="528"/>
      <c r="BV18" s="564" t="s">
        <v>75</v>
      </c>
      <c r="BW18" s="565"/>
      <c r="BX18" s="576" t="s">
        <v>76</v>
      </c>
      <c r="BY18" s="560"/>
      <c r="BZ18" s="561">
        <v>7.3735593220338993</v>
      </c>
      <c r="CA18" s="562">
        <f t="shared" si="9"/>
        <v>0</v>
      </c>
      <c r="CB18" s="540"/>
      <c r="CC18" s="528"/>
      <c r="CD18" s="564" t="s">
        <v>75</v>
      </c>
      <c r="CE18" s="565"/>
      <c r="CF18" s="576" t="s">
        <v>76</v>
      </c>
      <c r="CG18" s="560"/>
      <c r="CH18" s="561">
        <v>7.3735593220338993</v>
      </c>
      <c r="CI18" s="562">
        <f t="shared" si="10"/>
        <v>0</v>
      </c>
      <c r="CJ18" s="540"/>
      <c r="CK18" s="528"/>
      <c r="CL18" s="143" t="s">
        <v>75</v>
      </c>
      <c r="CM18" s="144">
        <v>34</v>
      </c>
      <c r="CN18" s="160" t="s">
        <v>76</v>
      </c>
      <c r="CO18" s="138">
        <v>98</v>
      </c>
      <c r="CP18" s="139">
        <v>7.3735593220338993</v>
      </c>
      <c r="CQ18" s="140">
        <f t="shared" si="11"/>
        <v>722.60881355932213</v>
      </c>
      <c r="CR18" s="158"/>
      <c r="CS18" s="528"/>
      <c r="CT18" s="143" t="s">
        <v>75</v>
      </c>
      <c r="CU18" s="144">
        <v>20</v>
      </c>
      <c r="CV18" s="160" t="s">
        <v>76</v>
      </c>
      <c r="CW18" s="138">
        <v>53</v>
      </c>
      <c r="CX18" s="139">
        <v>7.3735593220338993</v>
      </c>
      <c r="CY18" s="140">
        <f t="shared" si="12"/>
        <v>390.79864406779666</v>
      </c>
      <c r="CZ18" s="158"/>
      <c r="DA18" s="528"/>
      <c r="DB18" s="143" t="s">
        <v>75</v>
      </c>
      <c r="DC18" s="144">
        <v>52</v>
      </c>
      <c r="DD18" s="160" t="s">
        <v>76</v>
      </c>
      <c r="DE18" s="138">
        <v>136</v>
      </c>
      <c r="DF18" s="139">
        <v>7.3735593220338993</v>
      </c>
      <c r="DG18" s="140">
        <f t="shared" si="13"/>
        <v>1002.8040677966103</v>
      </c>
      <c r="DH18" s="158"/>
      <c r="DI18" s="528"/>
      <c r="DJ18" s="143" t="s">
        <v>75</v>
      </c>
      <c r="DK18" s="144"/>
      <c r="DL18" s="160" t="s">
        <v>76</v>
      </c>
      <c r="DM18" s="138">
        <v>0</v>
      </c>
      <c r="DN18" s="170">
        <v>7.3735593220338993</v>
      </c>
      <c r="DO18" s="140">
        <f t="shared" si="14"/>
        <v>0</v>
      </c>
      <c r="DP18" s="158"/>
      <c r="DQ18" s="528"/>
      <c r="DR18" s="143" t="s">
        <v>75</v>
      </c>
      <c r="DS18" s="144"/>
      <c r="DT18" s="160" t="s">
        <v>76</v>
      </c>
      <c r="DU18" s="138"/>
      <c r="DV18" s="170">
        <v>7.3735593220338993</v>
      </c>
      <c r="DW18" s="140">
        <f t="shared" si="15"/>
        <v>0</v>
      </c>
      <c r="DX18" s="158"/>
      <c r="DY18" s="528"/>
      <c r="DZ18" s="143" t="s">
        <v>75</v>
      </c>
      <c r="EA18" s="144">
        <v>20</v>
      </c>
      <c r="EB18" s="160" t="s">
        <v>76</v>
      </c>
      <c r="EC18" s="138">
        <v>83</v>
      </c>
      <c r="ED18" s="170">
        <v>7.3735593220338993</v>
      </c>
      <c r="EE18" s="140">
        <f t="shared" si="16"/>
        <v>612.00542372881364</v>
      </c>
      <c r="EF18" s="158"/>
      <c r="EG18" s="528"/>
      <c r="EH18" s="143" t="s">
        <v>75</v>
      </c>
      <c r="EI18" s="144">
        <v>49</v>
      </c>
      <c r="EJ18" s="160" t="s">
        <v>76</v>
      </c>
      <c r="EK18" s="138">
        <v>231</v>
      </c>
      <c r="EL18" s="170">
        <v>7.3735593220338993</v>
      </c>
      <c r="EM18" s="140">
        <f t="shared" si="17"/>
        <v>1703.2922033898308</v>
      </c>
      <c r="EN18" s="158"/>
      <c r="EO18" s="528"/>
      <c r="EP18" s="143" t="s">
        <v>75</v>
      </c>
      <c r="EQ18" s="144">
        <v>28</v>
      </c>
      <c r="ER18" s="160" t="s">
        <v>76</v>
      </c>
      <c r="ES18" s="138">
        <v>104</v>
      </c>
      <c r="ET18" s="170">
        <v>7.3735593220338993</v>
      </c>
      <c r="EU18" s="140">
        <f t="shared" si="18"/>
        <v>766.85016949152555</v>
      </c>
      <c r="EV18" s="158"/>
      <c r="EW18" s="528"/>
      <c r="EX18" s="143" t="s">
        <v>75</v>
      </c>
      <c r="EY18" s="144"/>
      <c r="EZ18" s="160" t="s">
        <v>76</v>
      </c>
      <c r="FA18" s="138"/>
      <c r="FB18" s="170">
        <v>7.3735593220338993</v>
      </c>
      <c r="FC18" s="140">
        <f t="shared" si="19"/>
        <v>0</v>
      </c>
      <c r="FD18" s="158"/>
      <c r="FE18" s="528"/>
      <c r="FF18" s="143" t="s">
        <v>75</v>
      </c>
      <c r="FG18" s="144"/>
      <c r="FH18" s="160" t="s">
        <v>76</v>
      </c>
      <c r="FI18" s="138"/>
      <c r="FJ18" s="170">
        <v>7.3735593220338993</v>
      </c>
      <c r="FK18" s="140">
        <f t="shared" si="20"/>
        <v>0</v>
      </c>
      <c r="FL18" s="158"/>
      <c r="FM18" s="528"/>
      <c r="FN18" s="143" t="s">
        <v>75</v>
      </c>
      <c r="FO18" s="144"/>
      <c r="FP18" s="160" t="s">
        <v>76</v>
      </c>
      <c r="FQ18" s="138"/>
      <c r="FR18" s="170">
        <v>7.3735593220338993</v>
      </c>
      <c r="FS18" s="140">
        <f t="shared" si="21"/>
        <v>0</v>
      </c>
      <c r="FT18" s="158"/>
      <c r="FU18" s="528"/>
      <c r="FV18" s="143" t="s">
        <v>75</v>
      </c>
      <c r="FW18" s="144"/>
      <c r="FX18" s="160" t="s">
        <v>76</v>
      </c>
      <c r="FY18" s="138"/>
      <c r="FZ18" s="170">
        <v>7.3735593220338993</v>
      </c>
      <c r="GA18" s="140">
        <f t="shared" si="22"/>
        <v>0</v>
      </c>
      <c r="GB18" s="158"/>
      <c r="GC18" s="528"/>
      <c r="GD18" s="143" t="s">
        <v>75</v>
      </c>
      <c r="GE18" s="144"/>
      <c r="GF18" s="160" t="s">
        <v>76</v>
      </c>
      <c r="GG18" s="138"/>
      <c r="GH18" s="170">
        <v>7.3735593220338993</v>
      </c>
      <c r="GI18" s="140">
        <f t="shared" si="23"/>
        <v>0</v>
      </c>
      <c r="GJ18" s="158"/>
      <c r="GK18" s="528"/>
      <c r="GL18" s="143" t="s">
        <v>75</v>
      </c>
      <c r="GM18" s="144">
        <v>17</v>
      </c>
      <c r="GN18" s="160" t="s">
        <v>76</v>
      </c>
      <c r="GO18" s="175">
        <v>53</v>
      </c>
      <c r="GP18" s="139">
        <v>7.3735593220338993</v>
      </c>
      <c r="GQ18" s="140">
        <f t="shared" si="24"/>
        <v>390.79864406779666</v>
      </c>
      <c r="GR18" s="158"/>
      <c r="GS18" s="528"/>
      <c r="GT18" s="143" t="s">
        <v>75</v>
      </c>
      <c r="GU18" s="144">
        <v>45</v>
      </c>
      <c r="GV18" s="160" t="s">
        <v>76</v>
      </c>
      <c r="GW18" s="175">
        <v>136</v>
      </c>
      <c r="GX18" s="139">
        <v>7.3735593220338993</v>
      </c>
      <c r="GY18" s="140">
        <f t="shared" si="25"/>
        <v>1002.8040677966103</v>
      </c>
      <c r="GZ18" s="158"/>
      <c r="HA18" s="528"/>
      <c r="HB18" s="143" t="s">
        <v>75</v>
      </c>
      <c r="HC18" s="144">
        <v>0</v>
      </c>
      <c r="HD18" s="160" t="s">
        <v>76</v>
      </c>
      <c r="HE18" s="175">
        <v>0</v>
      </c>
      <c r="HF18" s="139">
        <v>7.3735593220338993</v>
      </c>
      <c r="HG18" s="140">
        <f t="shared" si="26"/>
        <v>0</v>
      </c>
      <c r="HH18" s="158"/>
      <c r="HI18" s="528"/>
      <c r="HJ18" s="143" t="s">
        <v>75</v>
      </c>
      <c r="HK18" s="144">
        <v>49</v>
      </c>
      <c r="HL18" s="160" t="s">
        <v>76</v>
      </c>
      <c r="HM18" s="175">
        <v>272</v>
      </c>
      <c r="HN18" s="139">
        <v>7.3735593220338993</v>
      </c>
      <c r="HO18" s="140">
        <f t="shared" si="27"/>
        <v>2005.6081355932206</v>
      </c>
      <c r="HP18" s="158"/>
      <c r="HQ18" s="528"/>
      <c r="HR18" s="143" t="s">
        <v>75</v>
      </c>
      <c r="HS18" s="144">
        <v>52</v>
      </c>
      <c r="HT18" s="160" t="s">
        <v>76</v>
      </c>
      <c r="HU18" s="175">
        <v>320</v>
      </c>
      <c r="HV18" s="139">
        <v>7.3735593220338993</v>
      </c>
      <c r="HW18" s="140">
        <f t="shared" si="28"/>
        <v>2359.5389830508479</v>
      </c>
      <c r="HX18" s="158"/>
      <c r="HY18" s="528"/>
      <c r="HZ18" s="143" t="s">
        <v>75</v>
      </c>
      <c r="IA18" s="144">
        <v>52</v>
      </c>
      <c r="IB18" s="160" t="s">
        <v>76</v>
      </c>
      <c r="IC18" s="175">
        <v>194</v>
      </c>
      <c r="ID18" s="139">
        <v>7.3735593220338993</v>
      </c>
      <c r="IE18" s="140">
        <f t="shared" si="29"/>
        <v>1430.4705084745765</v>
      </c>
      <c r="IF18" s="158"/>
      <c r="IG18" s="528"/>
      <c r="IH18" s="143" t="s">
        <v>75</v>
      </c>
      <c r="II18" s="144">
        <v>51</v>
      </c>
      <c r="IJ18" s="160" t="s">
        <v>76</v>
      </c>
      <c r="IK18" s="175">
        <v>198</v>
      </c>
      <c r="IL18" s="139">
        <v>7.3735593220338993</v>
      </c>
      <c r="IM18" s="140">
        <f t="shared" si="30"/>
        <v>1459.964745762712</v>
      </c>
      <c r="IN18" s="158"/>
      <c r="IO18" s="528"/>
      <c r="IP18" s="143" t="s">
        <v>75</v>
      </c>
      <c r="IQ18" s="144">
        <v>58</v>
      </c>
      <c r="IR18" s="160" t="s">
        <v>76</v>
      </c>
      <c r="IS18" s="175">
        <v>236</v>
      </c>
      <c r="IT18" s="139">
        <v>7.3735593220338993</v>
      </c>
      <c r="IU18" s="140">
        <f t="shared" si="31"/>
        <v>1740.1600000000003</v>
      </c>
      <c r="IV18" s="158"/>
      <c r="IW18" s="528"/>
      <c r="IX18" s="143" t="s">
        <v>75</v>
      </c>
      <c r="IY18" s="144">
        <v>27</v>
      </c>
      <c r="IZ18" s="160" t="s">
        <v>76</v>
      </c>
      <c r="JA18" s="175">
        <v>94</v>
      </c>
      <c r="JB18" s="139">
        <v>7.3735593220338993</v>
      </c>
      <c r="JC18" s="140">
        <f t="shared" si="32"/>
        <v>693.11457627118648</v>
      </c>
      <c r="JD18" s="158"/>
      <c r="JE18" s="528"/>
      <c r="JF18" s="143" t="s">
        <v>75</v>
      </c>
      <c r="JG18" s="144">
        <v>4</v>
      </c>
      <c r="JH18" s="160" t="s">
        <v>76</v>
      </c>
      <c r="JI18" s="175">
        <v>0</v>
      </c>
      <c r="JJ18" s="139">
        <v>7.3735593220338993</v>
      </c>
      <c r="JK18" s="140">
        <f t="shared" si="33"/>
        <v>0</v>
      </c>
      <c r="JL18" s="158"/>
      <c r="JM18" s="528"/>
      <c r="JN18" s="143" t="s">
        <v>75</v>
      </c>
      <c r="JO18" s="144">
        <v>5</v>
      </c>
      <c r="JP18" s="160" t="s">
        <v>76</v>
      </c>
      <c r="JQ18" s="175">
        <v>25</v>
      </c>
      <c r="JR18" s="139">
        <v>7.3735593220338993</v>
      </c>
      <c r="JS18" s="140">
        <f t="shared" si="34"/>
        <v>184.33898305084747</v>
      </c>
      <c r="JT18" s="158"/>
      <c r="JU18" s="528"/>
      <c r="JV18" s="143" t="s">
        <v>75</v>
      </c>
      <c r="JW18" s="144">
        <v>46</v>
      </c>
      <c r="JX18" s="160" t="s">
        <v>76</v>
      </c>
      <c r="JY18" s="175">
        <v>190</v>
      </c>
      <c r="JZ18" s="139">
        <v>7.3735593220338993</v>
      </c>
      <c r="KA18" s="140">
        <f t="shared" si="35"/>
        <v>1400.976271186441</v>
      </c>
      <c r="KB18" s="158"/>
      <c r="KC18" s="528"/>
      <c r="KD18" s="143" t="s">
        <v>75</v>
      </c>
      <c r="KE18" s="144">
        <v>6</v>
      </c>
      <c r="KF18" s="160" t="s">
        <v>76</v>
      </c>
      <c r="KG18" s="175">
        <v>47</v>
      </c>
      <c r="KH18" s="139">
        <v>7.3735593220338993</v>
      </c>
      <c r="KI18" s="140">
        <f t="shared" si="36"/>
        <v>346.55728813559324</v>
      </c>
      <c r="KJ18" s="158"/>
      <c r="KK18" s="528"/>
      <c r="KL18" s="143" t="s">
        <v>75</v>
      </c>
      <c r="KM18" s="144">
        <v>10</v>
      </c>
      <c r="KN18" s="160" t="s">
        <v>76</v>
      </c>
      <c r="KO18" s="175">
        <v>40</v>
      </c>
      <c r="KP18" s="139">
        <v>7.3735593220338993</v>
      </c>
      <c r="KQ18" s="140">
        <f t="shared" si="37"/>
        <v>294.94237288135599</v>
      </c>
      <c r="KR18" s="158"/>
      <c r="KS18" s="528"/>
      <c r="KT18" s="143" t="s">
        <v>75</v>
      </c>
      <c r="KU18" s="144">
        <v>46</v>
      </c>
      <c r="KV18" s="160" t="s">
        <v>76</v>
      </c>
      <c r="KW18" s="175">
        <v>332</v>
      </c>
      <c r="KX18" s="139">
        <v>7.3735593220338993</v>
      </c>
      <c r="KY18" s="140">
        <f t="shared" si="38"/>
        <v>2448.0216949152546</v>
      </c>
      <c r="KZ18" s="158"/>
      <c r="LA18" s="528"/>
      <c r="LB18" s="143" t="s">
        <v>75</v>
      </c>
      <c r="LC18" s="144">
        <v>49</v>
      </c>
      <c r="LD18" s="160" t="s">
        <v>76</v>
      </c>
      <c r="LE18" s="175">
        <v>274</v>
      </c>
      <c r="LF18" s="139">
        <v>7.3735593220338993</v>
      </c>
      <c r="LG18" s="140">
        <f t="shared" si="39"/>
        <v>2020.3552542372884</v>
      </c>
      <c r="LH18" s="158"/>
      <c r="LI18" s="528"/>
      <c r="LJ18" s="143" t="s">
        <v>75</v>
      </c>
      <c r="LK18" s="144">
        <v>40</v>
      </c>
      <c r="LL18" s="160" t="s">
        <v>76</v>
      </c>
      <c r="LM18" s="175">
        <v>205</v>
      </c>
      <c r="LN18" s="139">
        <v>7.3735593220338993</v>
      </c>
      <c r="LO18" s="140">
        <f t="shared" si="40"/>
        <v>1511.5796610169493</v>
      </c>
      <c r="LP18" s="158"/>
      <c r="LQ18" s="528"/>
      <c r="LR18" s="143" t="s">
        <v>75</v>
      </c>
      <c r="LS18" s="144">
        <v>42</v>
      </c>
      <c r="LT18" s="160" t="s">
        <v>76</v>
      </c>
      <c r="LU18" s="175">
        <v>107</v>
      </c>
      <c r="LV18" s="139">
        <v>7.3735593220338993</v>
      </c>
      <c r="LW18" s="140">
        <f t="shared" si="41"/>
        <v>788.9708474576272</v>
      </c>
      <c r="LX18" s="158"/>
      <c r="LY18" s="528"/>
      <c r="LZ18" s="143" t="s">
        <v>75</v>
      </c>
      <c r="MA18" s="144">
        <v>59</v>
      </c>
      <c r="MB18" s="160" t="s">
        <v>76</v>
      </c>
      <c r="MC18" s="175">
        <v>300</v>
      </c>
      <c r="MD18" s="139">
        <v>7.3735593220338993</v>
      </c>
      <c r="ME18" s="140">
        <f t="shared" si="42"/>
        <v>2212.0677966101698</v>
      </c>
      <c r="MF18" s="158"/>
      <c r="MG18" s="528"/>
      <c r="MH18" s="143" t="s">
        <v>75</v>
      </c>
      <c r="MI18" s="144">
        <v>57</v>
      </c>
      <c r="MJ18" s="160" t="s">
        <v>76</v>
      </c>
      <c r="MK18" s="175">
        <v>284</v>
      </c>
      <c r="ML18" s="139">
        <v>7.3735593220338993</v>
      </c>
      <c r="MM18" s="140">
        <f t="shared" si="43"/>
        <v>2094.0908474576272</v>
      </c>
      <c r="MN18" s="158"/>
      <c r="MO18" s="528"/>
      <c r="MP18" s="143" t="s">
        <v>75</v>
      </c>
      <c r="MQ18" s="144">
        <v>39</v>
      </c>
      <c r="MR18" s="160" t="s">
        <v>76</v>
      </c>
      <c r="MS18" s="175">
        <v>127</v>
      </c>
      <c r="MT18" s="139">
        <v>7.3735593220338993</v>
      </c>
      <c r="MU18" s="140">
        <f t="shared" si="44"/>
        <v>936.44203389830523</v>
      </c>
      <c r="MV18" s="158"/>
      <c r="MW18" s="528"/>
      <c r="MX18" s="143" t="s">
        <v>75</v>
      </c>
      <c r="MY18" s="144">
        <v>42</v>
      </c>
      <c r="MZ18" s="160" t="s">
        <v>76</v>
      </c>
      <c r="NA18" s="175">
        <v>35</v>
      </c>
      <c r="NB18" s="139">
        <v>7.3735593220338993</v>
      </c>
      <c r="NC18" s="140">
        <f t="shared" si="45"/>
        <v>258.07457627118646</v>
      </c>
      <c r="ND18" s="158"/>
      <c r="NE18" s="528"/>
      <c r="NF18" s="143" t="s">
        <v>75</v>
      </c>
      <c r="NG18" s="144">
        <v>57</v>
      </c>
      <c r="NH18" s="160" t="s">
        <v>76</v>
      </c>
      <c r="NI18" s="175">
        <v>189</v>
      </c>
      <c r="NJ18" s="139">
        <v>7.3735593220338993</v>
      </c>
      <c r="NK18" s="140">
        <f t="shared" si="46"/>
        <v>1393.602711864407</v>
      </c>
      <c r="NL18" s="158"/>
      <c r="NM18" s="528"/>
      <c r="NN18" s="143" t="s">
        <v>75</v>
      </c>
      <c r="NO18" s="144">
        <v>45</v>
      </c>
      <c r="NP18" s="160" t="s">
        <v>76</v>
      </c>
      <c r="NQ18" s="175">
        <v>247</v>
      </c>
      <c r="NR18" s="139">
        <v>7.3735593220338993</v>
      </c>
      <c r="NS18" s="140">
        <f t="shared" si="47"/>
        <v>1821.2691525423731</v>
      </c>
      <c r="NT18" s="158"/>
      <c r="NU18" s="528"/>
      <c r="NV18" s="143" t="s">
        <v>75</v>
      </c>
      <c r="NW18" s="144">
        <v>46</v>
      </c>
      <c r="NX18" s="160" t="s">
        <v>76</v>
      </c>
      <c r="NY18" s="175">
        <v>74</v>
      </c>
      <c r="NZ18" s="139">
        <v>7.3735593220338993</v>
      </c>
      <c r="OA18" s="140">
        <f t="shared" si="48"/>
        <v>545.64338983050857</v>
      </c>
      <c r="OB18" s="158"/>
      <c r="OC18" s="528"/>
      <c r="OD18" s="143" t="s">
        <v>75</v>
      </c>
      <c r="OE18" s="144">
        <v>54</v>
      </c>
      <c r="OF18" s="160" t="s">
        <v>76</v>
      </c>
      <c r="OG18" s="175">
        <v>82</v>
      </c>
      <c r="OH18" s="139">
        <v>7.3735593220338993</v>
      </c>
      <c r="OI18" s="140">
        <f t="shared" si="49"/>
        <v>604.63186440677975</v>
      </c>
      <c r="OJ18" s="158"/>
      <c r="OK18" s="528"/>
      <c r="OL18" s="143" t="s">
        <v>75</v>
      </c>
      <c r="OM18" s="144">
        <v>55</v>
      </c>
      <c r="ON18" s="160" t="s">
        <v>76</v>
      </c>
      <c r="OO18" s="175">
        <v>143</v>
      </c>
      <c r="OP18" s="139">
        <v>7.3735593220338993</v>
      </c>
      <c r="OQ18" s="140">
        <f t="shared" si="50"/>
        <v>1054.4189830508476</v>
      </c>
      <c r="OR18" s="158"/>
      <c r="OS18" s="528"/>
      <c r="OT18" s="143" t="s">
        <v>75</v>
      </c>
      <c r="OU18" s="144"/>
      <c r="OV18" s="160" t="s">
        <v>76</v>
      </c>
      <c r="OW18" s="175"/>
      <c r="OX18" s="139">
        <v>7.3735593220338993</v>
      </c>
      <c r="OY18" s="140">
        <f t="shared" si="51"/>
        <v>0</v>
      </c>
      <c r="OZ18" s="158"/>
      <c r="PA18" s="528"/>
      <c r="PB18" s="143" t="s">
        <v>75</v>
      </c>
      <c r="PC18" s="144"/>
      <c r="PD18" s="160" t="s">
        <v>76</v>
      </c>
      <c r="PE18" s="175"/>
      <c r="PF18" s="139">
        <v>7.3735593220338993</v>
      </c>
      <c r="PG18" s="140">
        <f t="shared" si="52"/>
        <v>0</v>
      </c>
      <c r="PH18" s="158"/>
      <c r="PI18" s="528"/>
      <c r="PJ18" s="143" t="s">
        <v>75</v>
      </c>
      <c r="PK18" s="144">
        <v>4</v>
      </c>
      <c r="PL18" s="160" t="s">
        <v>76</v>
      </c>
      <c r="PM18" s="175">
        <v>4</v>
      </c>
      <c r="PN18" s="139">
        <v>7.3735593220338993</v>
      </c>
      <c r="PO18" s="140">
        <f>PM18*PN18</f>
        <v>29.494237288135597</v>
      </c>
      <c r="PP18" s="158"/>
      <c r="PQ18" s="528"/>
      <c r="PR18" s="143" t="s">
        <v>75</v>
      </c>
      <c r="PS18" s="144">
        <v>4</v>
      </c>
      <c r="PT18" s="160" t="s">
        <v>76</v>
      </c>
      <c r="PU18" s="175">
        <v>1</v>
      </c>
      <c r="PV18" s="139">
        <v>7.3735593220338993</v>
      </c>
      <c r="PW18" s="140">
        <f>PU18*PV18</f>
        <v>7.3735593220338993</v>
      </c>
      <c r="PX18" s="158"/>
      <c r="PY18" s="528"/>
      <c r="PZ18" s="143" t="s">
        <v>75</v>
      </c>
      <c r="QA18" s="144">
        <v>5</v>
      </c>
      <c r="QB18" s="160" t="s">
        <v>76</v>
      </c>
      <c r="QC18" s="175">
        <v>7</v>
      </c>
      <c r="QD18" s="139">
        <v>7.3735593220338993</v>
      </c>
      <c r="QE18" s="140">
        <f>QC18*QD18</f>
        <v>51.614915254237296</v>
      </c>
      <c r="QF18" s="158"/>
      <c r="QG18" s="528"/>
      <c r="QH18" s="143" t="s">
        <v>75</v>
      </c>
      <c r="QI18" s="144">
        <v>17</v>
      </c>
      <c r="QJ18" s="160" t="s">
        <v>76</v>
      </c>
      <c r="QK18" s="175">
        <v>25</v>
      </c>
      <c r="QL18" s="139">
        <v>7.3735593220338993</v>
      </c>
      <c r="QM18" s="140">
        <f>QK18*QL18</f>
        <v>184.33898305084747</v>
      </c>
      <c r="QN18" s="158"/>
      <c r="QO18" s="528"/>
      <c r="QP18" s="143" t="s">
        <v>75</v>
      </c>
      <c r="QQ18" s="144">
        <v>15</v>
      </c>
      <c r="QR18" s="160" t="s">
        <v>76</v>
      </c>
      <c r="QS18" s="175">
        <v>14</v>
      </c>
      <c r="QT18" s="139">
        <v>7.3735593220338993</v>
      </c>
      <c r="QU18" s="140">
        <f>QS18*QT18</f>
        <v>103.22983050847459</v>
      </c>
      <c r="QV18" s="158"/>
      <c r="QW18" s="528"/>
      <c r="QX18" s="143" t="s">
        <v>75</v>
      </c>
      <c r="QY18" s="144"/>
      <c r="QZ18" s="160" t="s">
        <v>76</v>
      </c>
      <c r="RA18" s="175"/>
      <c r="RB18" s="139">
        <v>7.3735593220338993</v>
      </c>
      <c r="RC18" s="140">
        <f>RA18*RB18</f>
        <v>0</v>
      </c>
      <c r="RD18" s="158"/>
      <c r="RE18" s="528"/>
      <c r="RF18" s="143" t="s">
        <v>75</v>
      </c>
      <c r="RG18" s="144"/>
      <c r="RH18" s="160" t="s">
        <v>76</v>
      </c>
      <c r="RI18" s="175"/>
      <c r="RJ18" s="139">
        <v>7.3735593220338993</v>
      </c>
      <c r="RK18" s="140">
        <f>RI18*RJ18</f>
        <v>0</v>
      </c>
      <c r="RL18" s="158"/>
      <c r="RM18" s="528"/>
      <c r="RN18" s="143" t="s">
        <v>75</v>
      </c>
      <c r="RO18" s="144">
        <v>59</v>
      </c>
      <c r="RP18" s="160" t="s">
        <v>76</v>
      </c>
      <c r="RQ18" s="175">
        <v>221</v>
      </c>
      <c r="RR18" s="139">
        <v>7.3735593220338993</v>
      </c>
      <c r="RS18" s="140">
        <f>RQ18*RR18</f>
        <v>1629.5566101694917</v>
      </c>
      <c r="RT18" s="158"/>
      <c r="RU18" s="528"/>
      <c r="RV18" s="143" t="s">
        <v>75</v>
      </c>
      <c r="RW18" s="144">
        <v>34</v>
      </c>
      <c r="RX18" s="160" t="s">
        <v>76</v>
      </c>
      <c r="RY18" s="175">
        <v>165</v>
      </c>
      <c r="RZ18" s="139">
        <v>7.3735593220338993</v>
      </c>
      <c r="SA18" s="140">
        <f>RY18*RZ18</f>
        <v>1216.6372881355933</v>
      </c>
      <c r="SB18" s="158"/>
      <c r="SC18" s="528"/>
      <c r="SD18" s="143" t="s">
        <v>75</v>
      </c>
      <c r="SE18" s="144">
        <v>44</v>
      </c>
      <c r="SF18" s="160" t="s">
        <v>76</v>
      </c>
      <c r="SG18" s="175">
        <v>199</v>
      </c>
      <c r="SH18" s="139">
        <v>7.3735593220338993</v>
      </c>
      <c r="SI18" s="140">
        <f>SG18*SH18</f>
        <v>1467.338305084746</v>
      </c>
      <c r="SJ18" s="158"/>
      <c r="SK18" s="528"/>
      <c r="SL18" s="143" t="s">
        <v>75</v>
      </c>
      <c r="SM18" s="144">
        <v>42</v>
      </c>
      <c r="SN18" s="160" t="s">
        <v>76</v>
      </c>
      <c r="SO18" s="175">
        <v>162</v>
      </c>
      <c r="SP18" s="139">
        <v>7.3735593220338993</v>
      </c>
      <c r="SQ18" s="140">
        <f>SO18*SP18</f>
        <v>1194.5166101694917</v>
      </c>
      <c r="SR18" s="158"/>
      <c r="SS18" s="528"/>
      <c r="ST18" s="143" t="s">
        <v>75</v>
      </c>
      <c r="SU18" s="144">
        <v>27</v>
      </c>
      <c r="SV18" s="160" t="s">
        <v>76</v>
      </c>
      <c r="SW18" s="175">
        <v>61</v>
      </c>
      <c r="SX18" s="139">
        <v>7.3735593220338993</v>
      </c>
      <c r="SY18" s="140">
        <f>SW18*SX18</f>
        <v>449.78711864406785</v>
      </c>
      <c r="SZ18" s="158"/>
      <c r="TA18" s="528"/>
      <c r="TB18" s="143" t="s">
        <v>75</v>
      </c>
      <c r="TC18" s="144">
        <v>30</v>
      </c>
      <c r="TD18" s="160" t="s">
        <v>76</v>
      </c>
      <c r="TE18" s="175">
        <v>94</v>
      </c>
      <c r="TF18" s="139">
        <v>7.3735593220338993</v>
      </c>
      <c r="TG18" s="140">
        <f>TE18*TF18</f>
        <v>693.11457627118648</v>
      </c>
      <c r="TH18" s="158"/>
      <c r="TI18" s="528"/>
    </row>
    <row r="19" spans="2:529">
      <c r="B19" s="145"/>
      <c r="C19" s="146"/>
      <c r="D19" s="157" t="s">
        <v>77</v>
      </c>
      <c r="E19" s="138">
        <v>39</v>
      </c>
      <c r="F19" s="139">
        <v>3.0458333333333329</v>
      </c>
      <c r="G19" s="140">
        <f t="shared" si="0"/>
        <v>118.78749999999998</v>
      </c>
      <c r="H19" s="158"/>
      <c r="I19" s="528"/>
      <c r="J19" s="145"/>
      <c r="K19" s="146"/>
      <c r="L19" s="157" t="s">
        <v>77</v>
      </c>
      <c r="M19" s="138">
        <v>4</v>
      </c>
      <c r="N19" s="139">
        <v>3.0458333333333329</v>
      </c>
      <c r="O19" s="140">
        <f t="shared" si="1"/>
        <v>12.183333333333332</v>
      </c>
      <c r="P19" s="158"/>
      <c r="Q19" s="528"/>
      <c r="R19" s="145"/>
      <c r="S19" s="146"/>
      <c r="T19" s="157" t="s">
        <v>77</v>
      </c>
      <c r="U19" s="138">
        <v>0</v>
      </c>
      <c r="V19" s="139">
        <v>3.0458333333333329</v>
      </c>
      <c r="W19" s="140">
        <f t="shared" si="2"/>
        <v>0</v>
      </c>
      <c r="X19" s="158"/>
      <c r="Y19" s="528"/>
      <c r="Z19" s="145"/>
      <c r="AA19" s="146"/>
      <c r="AB19" s="157" t="s">
        <v>77</v>
      </c>
      <c r="AC19" s="138">
        <v>35</v>
      </c>
      <c r="AD19" s="139">
        <v>3.0458333333333329</v>
      </c>
      <c r="AE19" s="140">
        <f t="shared" si="3"/>
        <v>106.60416666666666</v>
      </c>
      <c r="AF19" s="158"/>
      <c r="AG19" s="528"/>
      <c r="AH19" s="145"/>
      <c r="AI19" s="146"/>
      <c r="AJ19" s="157" t="s">
        <v>77</v>
      </c>
      <c r="AK19" s="138">
        <v>0</v>
      </c>
      <c r="AL19" s="139">
        <v>3.0458333333333329</v>
      </c>
      <c r="AM19" s="140">
        <f t="shared" si="4"/>
        <v>0</v>
      </c>
      <c r="AN19" s="158"/>
      <c r="AO19" s="528"/>
      <c r="AP19" s="145"/>
      <c r="AQ19" s="146"/>
      <c r="AR19" s="157" t="s">
        <v>77</v>
      </c>
      <c r="AS19" s="138"/>
      <c r="AT19" s="139">
        <v>3.0458333333333329</v>
      </c>
      <c r="AU19" s="140">
        <f t="shared" si="5"/>
        <v>0</v>
      </c>
      <c r="AV19" s="158"/>
      <c r="AW19" s="528"/>
      <c r="AX19" s="145"/>
      <c r="AY19" s="146"/>
      <c r="AZ19" s="157" t="s">
        <v>77</v>
      </c>
      <c r="BA19" s="138">
        <v>15</v>
      </c>
      <c r="BB19" s="139">
        <v>3.0458333333333329</v>
      </c>
      <c r="BC19" s="140">
        <f t="shared" si="6"/>
        <v>45.687499999999993</v>
      </c>
      <c r="BD19" s="158"/>
      <c r="BE19" s="528"/>
      <c r="BF19" s="145"/>
      <c r="BG19" s="146"/>
      <c r="BH19" s="157" t="s">
        <v>77</v>
      </c>
      <c r="BI19" s="138">
        <v>1</v>
      </c>
      <c r="BJ19" s="139">
        <v>3.0458333333333329</v>
      </c>
      <c r="BK19" s="140">
        <f t="shared" si="7"/>
        <v>3.0458333333333329</v>
      </c>
      <c r="BL19" s="158"/>
      <c r="BM19" s="528"/>
      <c r="BN19" s="145"/>
      <c r="BO19" s="146"/>
      <c r="BP19" s="157" t="s">
        <v>77</v>
      </c>
      <c r="BQ19" s="138">
        <v>10</v>
      </c>
      <c r="BR19" s="139">
        <v>3.0458333333333329</v>
      </c>
      <c r="BS19" s="140">
        <f t="shared" si="8"/>
        <v>30.458333333333329</v>
      </c>
      <c r="BT19" s="158"/>
      <c r="BU19" s="528"/>
      <c r="BV19" s="536"/>
      <c r="BW19" s="537"/>
      <c r="BX19" s="574" t="s">
        <v>77</v>
      </c>
      <c r="BY19" s="560"/>
      <c r="BZ19" s="561">
        <v>3.0458333333333329</v>
      </c>
      <c r="CA19" s="562">
        <f t="shared" si="9"/>
        <v>0</v>
      </c>
      <c r="CB19" s="540"/>
      <c r="CC19" s="528"/>
      <c r="CD19" s="536"/>
      <c r="CE19" s="537"/>
      <c r="CF19" s="574" t="s">
        <v>77</v>
      </c>
      <c r="CG19" s="560"/>
      <c r="CH19" s="561">
        <v>3.0458333333333329</v>
      </c>
      <c r="CI19" s="562">
        <f t="shared" si="10"/>
        <v>0</v>
      </c>
      <c r="CJ19" s="540"/>
      <c r="CK19" s="528"/>
      <c r="CL19" s="145"/>
      <c r="CM19" s="146"/>
      <c r="CN19" s="157" t="s">
        <v>77</v>
      </c>
      <c r="CO19" s="138">
        <v>10</v>
      </c>
      <c r="CP19" s="139">
        <v>3.0458333333333329</v>
      </c>
      <c r="CQ19" s="140">
        <f t="shared" si="11"/>
        <v>30.458333333333329</v>
      </c>
      <c r="CR19" s="158"/>
      <c r="CS19" s="528"/>
      <c r="CT19" s="145"/>
      <c r="CU19" s="146"/>
      <c r="CV19" s="157" t="s">
        <v>77</v>
      </c>
      <c r="CW19" s="138">
        <v>1</v>
      </c>
      <c r="CX19" s="139">
        <v>3.0458333333333329</v>
      </c>
      <c r="CY19" s="140">
        <f t="shared" si="12"/>
        <v>3.0458333333333329</v>
      </c>
      <c r="CZ19" s="158"/>
      <c r="DA19" s="528"/>
      <c r="DB19" s="145"/>
      <c r="DC19" s="146"/>
      <c r="DD19" s="157" t="s">
        <v>77</v>
      </c>
      <c r="DE19" s="138">
        <v>30</v>
      </c>
      <c r="DF19" s="139">
        <v>3.0458333333333329</v>
      </c>
      <c r="DG19" s="140">
        <f t="shared" si="13"/>
        <v>91.374999999999986</v>
      </c>
      <c r="DH19" s="158"/>
      <c r="DI19" s="528"/>
      <c r="DJ19" s="145"/>
      <c r="DK19" s="146"/>
      <c r="DL19" s="157" t="s">
        <v>77</v>
      </c>
      <c r="DM19" s="138">
        <v>0</v>
      </c>
      <c r="DN19" s="170">
        <v>3.0458333333333329</v>
      </c>
      <c r="DO19" s="140">
        <f t="shared" si="14"/>
        <v>0</v>
      </c>
      <c r="DP19" s="158"/>
      <c r="DQ19" s="528"/>
      <c r="DR19" s="145"/>
      <c r="DS19" s="146"/>
      <c r="DT19" s="157" t="s">
        <v>77</v>
      </c>
      <c r="DU19" s="138"/>
      <c r="DV19" s="170">
        <v>3.0458333333333329</v>
      </c>
      <c r="DW19" s="140">
        <f t="shared" si="15"/>
        <v>0</v>
      </c>
      <c r="DX19" s="158"/>
      <c r="DY19" s="528"/>
      <c r="DZ19" s="145"/>
      <c r="EA19" s="146"/>
      <c r="EB19" s="157" t="s">
        <v>77</v>
      </c>
      <c r="EC19" s="138">
        <v>27</v>
      </c>
      <c r="ED19" s="170">
        <v>3.0458333333333329</v>
      </c>
      <c r="EE19" s="140">
        <f t="shared" si="16"/>
        <v>82.237499999999983</v>
      </c>
      <c r="EF19" s="158"/>
      <c r="EG19" s="528"/>
      <c r="EH19" s="145"/>
      <c r="EI19" s="146"/>
      <c r="EJ19" s="157" t="s">
        <v>77</v>
      </c>
      <c r="EK19" s="138">
        <v>121</v>
      </c>
      <c r="EL19" s="170">
        <v>3.0458333333333329</v>
      </c>
      <c r="EM19" s="140">
        <f t="shared" si="17"/>
        <v>368.54583333333329</v>
      </c>
      <c r="EN19" s="158"/>
      <c r="EO19" s="528"/>
      <c r="EP19" s="145"/>
      <c r="EQ19" s="146"/>
      <c r="ER19" s="157" t="s">
        <v>77</v>
      </c>
      <c r="ES19" s="138">
        <v>1</v>
      </c>
      <c r="ET19" s="170">
        <v>3.0458333333333329</v>
      </c>
      <c r="EU19" s="140">
        <f t="shared" si="18"/>
        <v>3.0458333333333329</v>
      </c>
      <c r="EV19" s="158"/>
      <c r="EW19" s="528"/>
      <c r="EX19" s="145"/>
      <c r="EY19" s="146"/>
      <c r="EZ19" s="157" t="s">
        <v>77</v>
      </c>
      <c r="FA19" s="138"/>
      <c r="FB19" s="170">
        <v>3.0458333333333329</v>
      </c>
      <c r="FC19" s="140">
        <f t="shared" si="19"/>
        <v>0</v>
      </c>
      <c r="FD19" s="158"/>
      <c r="FE19" s="528"/>
      <c r="FF19" s="145"/>
      <c r="FG19" s="146"/>
      <c r="FH19" s="157" t="s">
        <v>77</v>
      </c>
      <c r="FI19" s="138"/>
      <c r="FJ19" s="170">
        <v>3.0458333333333329</v>
      </c>
      <c r="FK19" s="140">
        <f t="shared" si="20"/>
        <v>0</v>
      </c>
      <c r="FL19" s="158"/>
      <c r="FM19" s="528"/>
      <c r="FN19" s="145"/>
      <c r="FO19" s="146"/>
      <c r="FP19" s="157" t="s">
        <v>77</v>
      </c>
      <c r="FQ19" s="138"/>
      <c r="FR19" s="170">
        <v>3.0458333333333329</v>
      </c>
      <c r="FS19" s="140">
        <f t="shared" si="21"/>
        <v>0</v>
      </c>
      <c r="FT19" s="158"/>
      <c r="FU19" s="528"/>
      <c r="FV19" s="145"/>
      <c r="FW19" s="146"/>
      <c r="FX19" s="157" t="s">
        <v>77</v>
      </c>
      <c r="FY19" s="138"/>
      <c r="FZ19" s="170">
        <v>3.0458333333333329</v>
      </c>
      <c r="GA19" s="140">
        <f t="shared" si="22"/>
        <v>0</v>
      </c>
      <c r="GB19" s="158"/>
      <c r="GC19" s="528"/>
      <c r="GD19" s="145"/>
      <c r="GE19" s="146"/>
      <c r="GF19" s="157" t="s">
        <v>77</v>
      </c>
      <c r="GG19" s="138"/>
      <c r="GH19" s="170">
        <v>3.0458333333333329</v>
      </c>
      <c r="GI19" s="140">
        <f t="shared" si="23"/>
        <v>0</v>
      </c>
      <c r="GJ19" s="158"/>
      <c r="GK19" s="528"/>
      <c r="GL19" s="145"/>
      <c r="GM19" s="146"/>
      <c r="GN19" s="157" t="s">
        <v>77</v>
      </c>
      <c r="GO19" s="175">
        <v>1</v>
      </c>
      <c r="GP19" s="139">
        <v>3.0458333333333329</v>
      </c>
      <c r="GQ19" s="140">
        <f t="shared" si="24"/>
        <v>3.0458333333333329</v>
      </c>
      <c r="GR19" s="158"/>
      <c r="GS19" s="528"/>
      <c r="GT19" s="145"/>
      <c r="GU19" s="146"/>
      <c r="GV19" s="157" t="s">
        <v>77</v>
      </c>
      <c r="GW19" s="175">
        <v>30</v>
      </c>
      <c r="GX19" s="139">
        <v>3.0458333333333329</v>
      </c>
      <c r="GY19" s="140">
        <f t="shared" si="25"/>
        <v>91.374999999999986</v>
      </c>
      <c r="GZ19" s="158"/>
      <c r="HA19" s="528"/>
      <c r="HB19" s="145"/>
      <c r="HC19" s="146"/>
      <c r="HD19" s="157" t="s">
        <v>77</v>
      </c>
      <c r="HE19" s="175">
        <v>0</v>
      </c>
      <c r="HF19" s="139">
        <v>3.0458333333333329</v>
      </c>
      <c r="HG19" s="140">
        <f t="shared" si="26"/>
        <v>0</v>
      </c>
      <c r="HH19" s="158"/>
      <c r="HI19" s="528"/>
      <c r="HJ19" s="145"/>
      <c r="HK19" s="146"/>
      <c r="HL19" s="157" t="s">
        <v>77</v>
      </c>
      <c r="HM19" s="175">
        <v>69</v>
      </c>
      <c r="HN19" s="139">
        <v>3.0458333333333329</v>
      </c>
      <c r="HO19" s="140">
        <f t="shared" si="27"/>
        <v>210.16249999999997</v>
      </c>
      <c r="HP19" s="158"/>
      <c r="HQ19" s="528"/>
      <c r="HR19" s="145"/>
      <c r="HS19" s="146"/>
      <c r="HT19" s="157" t="s">
        <v>77</v>
      </c>
      <c r="HU19" s="175">
        <v>33</v>
      </c>
      <c r="HV19" s="139">
        <v>3.0458333333333329</v>
      </c>
      <c r="HW19" s="140">
        <f t="shared" si="28"/>
        <v>100.51249999999999</v>
      </c>
      <c r="HX19" s="158"/>
      <c r="HY19" s="528"/>
      <c r="HZ19" s="145"/>
      <c r="IA19" s="146"/>
      <c r="IB19" s="157" t="s">
        <v>77</v>
      </c>
      <c r="IC19" s="175">
        <v>118</v>
      </c>
      <c r="ID19" s="139">
        <v>3.0458333333333329</v>
      </c>
      <c r="IE19" s="140">
        <f t="shared" si="29"/>
        <v>359.4083333333333</v>
      </c>
      <c r="IF19" s="158"/>
      <c r="IG19" s="528"/>
      <c r="IH19" s="145"/>
      <c r="II19" s="146"/>
      <c r="IJ19" s="157" t="s">
        <v>77</v>
      </c>
      <c r="IK19" s="175">
        <v>105</v>
      </c>
      <c r="IL19" s="139">
        <v>3.0458333333333329</v>
      </c>
      <c r="IM19" s="140">
        <f t="shared" si="30"/>
        <v>319.81249999999994</v>
      </c>
      <c r="IN19" s="158"/>
      <c r="IO19" s="528"/>
      <c r="IP19" s="145"/>
      <c r="IQ19" s="146"/>
      <c r="IR19" s="157" t="s">
        <v>77</v>
      </c>
      <c r="IS19" s="175">
        <v>24</v>
      </c>
      <c r="IT19" s="139">
        <v>3.0458333333333329</v>
      </c>
      <c r="IU19" s="140">
        <f t="shared" si="31"/>
        <v>73.099999999999994</v>
      </c>
      <c r="IV19" s="158"/>
      <c r="IW19" s="528"/>
      <c r="IX19" s="145"/>
      <c r="IY19" s="146"/>
      <c r="IZ19" s="157" t="s">
        <v>77</v>
      </c>
      <c r="JA19" s="175">
        <v>83</v>
      </c>
      <c r="JB19" s="139">
        <v>3.0458333333333329</v>
      </c>
      <c r="JC19" s="140">
        <f t="shared" si="32"/>
        <v>252.80416666666665</v>
      </c>
      <c r="JD19" s="158"/>
      <c r="JE19" s="528"/>
      <c r="JF19" s="145"/>
      <c r="JG19" s="146"/>
      <c r="JH19" s="157" t="s">
        <v>77</v>
      </c>
      <c r="JI19" s="175">
        <v>36</v>
      </c>
      <c r="JJ19" s="139">
        <v>3.0458333333333329</v>
      </c>
      <c r="JK19" s="140">
        <f t="shared" si="33"/>
        <v>109.64999999999999</v>
      </c>
      <c r="JL19" s="158"/>
      <c r="JM19" s="528"/>
      <c r="JN19" s="145"/>
      <c r="JO19" s="146"/>
      <c r="JP19" s="157" t="s">
        <v>77</v>
      </c>
      <c r="JQ19" s="175">
        <v>0</v>
      </c>
      <c r="JR19" s="139">
        <v>3.0458333333333329</v>
      </c>
      <c r="JS19" s="140">
        <f t="shared" si="34"/>
        <v>0</v>
      </c>
      <c r="JT19" s="158"/>
      <c r="JU19" s="528"/>
      <c r="JV19" s="145"/>
      <c r="JW19" s="146"/>
      <c r="JX19" s="157" t="s">
        <v>77</v>
      </c>
      <c r="JY19" s="175">
        <v>0</v>
      </c>
      <c r="JZ19" s="139">
        <v>3.0458333333333329</v>
      </c>
      <c r="KA19" s="140">
        <f t="shared" si="35"/>
        <v>0</v>
      </c>
      <c r="KB19" s="158"/>
      <c r="KC19" s="528"/>
      <c r="KD19" s="145"/>
      <c r="KE19" s="146"/>
      <c r="KF19" s="157" t="s">
        <v>77</v>
      </c>
      <c r="KG19" s="175">
        <v>0</v>
      </c>
      <c r="KH19" s="139">
        <v>3.0458333333333329</v>
      </c>
      <c r="KI19" s="140">
        <f t="shared" si="36"/>
        <v>0</v>
      </c>
      <c r="KJ19" s="158"/>
      <c r="KK19" s="528"/>
      <c r="KL19" s="145"/>
      <c r="KM19" s="146"/>
      <c r="KN19" s="157" t="s">
        <v>77</v>
      </c>
      <c r="KO19" s="175">
        <v>0</v>
      </c>
      <c r="KP19" s="139">
        <v>3.0458333333333329</v>
      </c>
      <c r="KQ19" s="140">
        <f t="shared" si="37"/>
        <v>0</v>
      </c>
      <c r="KR19" s="158"/>
      <c r="KS19" s="528"/>
      <c r="KT19" s="145"/>
      <c r="KU19" s="146"/>
      <c r="KV19" s="157" t="s">
        <v>77</v>
      </c>
      <c r="KW19" s="175">
        <v>49</v>
      </c>
      <c r="KX19" s="139">
        <v>3.0458333333333329</v>
      </c>
      <c r="KY19" s="140">
        <f t="shared" si="38"/>
        <v>149.24583333333331</v>
      </c>
      <c r="KZ19" s="158"/>
      <c r="LA19" s="528"/>
      <c r="LB19" s="145"/>
      <c r="LC19" s="146"/>
      <c r="LD19" s="157" t="s">
        <v>77</v>
      </c>
      <c r="LE19" s="175">
        <v>34</v>
      </c>
      <c r="LF19" s="139">
        <v>3.0458333333333329</v>
      </c>
      <c r="LG19" s="140">
        <f t="shared" si="39"/>
        <v>103.55833333333332</v>
      </c>
      <c r="LH19" s="158"/>
      <c r="LI19" s="528"/>
      <c r="LJ19" s="145"/>
      <c r="LK19" s="146"/>
      <c r="LL19" s="157" t="s">
        <v>77</v>
      </c>
      <c r="LM19" s="175">
        <v>12</v>
      </c>
      <c r="LN19" s="139">
        <v>3.0458333333333329</v>
      </c>
      <c r="LO19" s="140">
        <f t="shared" si="40"/>
        <v>36.549999999999997</v>
      </c>
      <c r="LP19" s="158"/>
      <c r="LQ19" s="528"/>
      <c r="LR19" s="145"/>
      <c r="LS19" s="146"/>
      <c r="LT19" s="157" t="s">
        <v>77</v>
      </c>
      <c r="LU19" s="175">
        <v>56</v>
      </c>
      <c r="LV19" s="139">
        <v>3.0458333333333329</v>
      </c>
      <c r="LW19" s="140">
        <f t="shared" si="41"/>
        <v>170.56666666666663</v>
      </c>
      <c r="LX19" s="158"/>
      <c r="LY19" s="528"/>
      <c r="LZ19" s="145"/>
      <c r="MA19" s="146"/>
      <c r="MB19" s="157" t="s">
        <v>77</v>
      </c>
      <c r="MC19" s="175">
        <v>91</v>
      </c>
      <c r="MD19" s="139">
        <v>3.0458333333333329</v>
      </c>
      <c r="ME19" s="140">
        <f t="shared" si="42"/>
        <v>277.17083333333329</v>
      </c>
      <c r="MF19" s="158"/>
      <c r="MG19" s="528"/>
      <c r="MH19" s="145"/>
      <c r="MI19" s="146"/>
      <c r="MJ19" s="157" t="s">
        <v>77</v>
      </c>
      <c r="MK19" s="175">
        <v>38</v>
      </c>
      <c r="ML19" s="139">
        <v>3.0458333333333329</v>
      </c>
      <c r="MM19" s="140">
        <f t="shared" si="43"/>
        <v>115.74166666666665</v>
      </c>
      <c r="MN19" s="158"/>
      <c r="MO19" s="528"/>
      <c r="MP19" s="145"/>
      <c r="MQ19" s="146"/>
      <c r="MR19" s="157" t="s">
        <v>77</v>
      </c>
      <c r="MS19" s="175">
        <v>28</v>
      </c>
      <c r="MT19" s="139">
        <v>3.0458333333333329</v>
      </c>
      <c r="MU19" s="140">
        <f t="shared" si="44"/>
        <v>85.283333333333317</v>
      </c>
      <c r="MV19" s="158"/>
      <c r="MW19" s="528"/>
      <c r="MX19" s="145"/>
      <c r="MY19" s="146"/>
      <c r="MZ19" s="157" t="s">
        <v>77</v>
      </c>
      <c r="NA19" s="175">
        <v>83</v>
      </c>
      <c r="NB19" s="139">
        <v>3.0458333333333329</v>
      </c>
      <c r="NC19" s="140">
        <f t="shared" si="45"/>
        <v>252.80416666666665</v>
      </c>
      <c r="ND19" s="158"/>
      <c r="NE19" s="528"/>
      <c r="NF19" s="145"/>
      <c r="NG19" s="146"/>
      <c r="NH19" s="157" t="s">
        <v>370</v>
      </c>
      <c r="NI19" s="175">
        <v>137</v>
      </c>
      <c r="NJ19" s="139">
        <v>3.0458333333333329</v>
      </c>
      <c r="NK19" s="140">
        <f t="shared" si="46"/>
        <v>417.27916666666664</v>
      </c>
      <c r="NL19" s="158"/>
      <c r="NM19" s="528"/>
      <c r="NN19" s="145"/>
      <c r="NO19" s="146"/>
      <c r="NP19" s="157" t="s">
        <v>370</v>
      </c>
      <c r="NQ19" s="175">
        <v>18</v>
      </c>
      <c r="NR19" s="139">
        <v>3.0458333333333329</v>
      </c>
      <c r="NS19" s="140">
        <f t="shared" si="47"/>
        <v>54.824999999999996</v>
      </c>
      <c r="NT19" s="158"/>
      <c r="NU19" s="528"/>
      <c r="NV19" s="145"/>
      <c r="NW19" s="146"/>
      <c r="NX19" s="157" t="s">
        <v>370</v>
      </c>
      <c r="NY19" s="175">
        <v>25</v>
      </c>
      <c r="NZ19" s="139">
        <v>3.0458333333333329</v>
      </c>
      <c r="OA19" s="140">
        <f t="shared" si="48"/>
        <v>76.145833333333329</v>
      </c>
      <c r="OB19" s="158"/>
      <c r="OC19" s="528"/>
      <c r="OD19" s="145"/>
      <c r="OE19" s="146"/>
      <c r="OF19" s="157" t="s">
        <v>370</v>
      </c>
      <c r="OG19" s="175">
        <v>56</v>
      </c>
      <c r="OH19" s="139">
        <v>3.0458333333333329</v>
      </c>
      <c r="OI19" s="140">
        <f t="shared" si="49"/>
        <v>170.56666666666663</v>
      </c>
      <c r="OJ19" s="158"/>
      <c r="OK19" s="528"/>
      <c r="OL19" s="145"/>
      <c r="OM19" s="146"/>
      <c r="ON19" s="157" t="s">
        <v>370</v>
      </c>
      <c r="OO19" s="175">
        <v>55</v>
      </c>
      <c r="OP19" s="139">
        <v>3.0458333333333329</v>
      </c>
      <c r="OQ19" s="140">
        <f t="shared" si="50"/>
        <v>167.52083333333331</v>
      </c>
      <c r="OR19" s="158"/>
      <c r="OS19" s="528"/>
      <c r="OT19" s="145"/>
      <c r="OU19" s="146"/>
      <c r="OV19" s="157" t="s">
        <v>370</v>
      </c>
      <c r="OW19" s="175"/>
      <c r="OX19" s="139">
        <v>3.0458333333333329</v>
      </c>
      <c r="OY19" s="140">
        <f t="shared" si="51"/>
        <v>0</v>
      </c>
      <c r="OZ19" s="158"/>
      <c r="PA19" s="528"/>
      <c r="PB19" s="145"/>
      <c r="PC19" s="146"/>
      <c r="PD19" s="157" t="s">
        <v>370</v>
      </c>
      <c r="PE19" s="175"/>
      <c r="PF19" s="139">
        <v>3.0458333333333329</v>
      </c>
      <c r="PG19" s="140">
        <f t="shared" si="52"/>
        <v>0</v>
      </c>
      <c r="PH19" s="158"/>
      <c r="PI19" s="528"/>
      <c r="PJ19" s="145"/>
      <c r="PK19" s="146"/>
      <c r="PL19" s="157" t="s">
        <v>370</v>
      </c>
      <c r="PM19" s="175"/>
      <c r="PN19" s="139">
        <v>3.0458333333333329</v>
      </c>
      <c r="PO19" s="140">
        <f t="shared" si="53"/>
        <v>0</v>
      </c>
      <c r="PP19" s="158"/>
      <c r="PQ19" s="528"/>
      <c r="PR19" s="145"/>
      <c r="PS19" s="146"/>
      <c r="PT19" s="157" t="s">
        <v>370</v>
      </c>
      <c r="PU19" s="175">
        <v>3</v>
      </c>
      <c r="PV19" s="139">
        <v>3.0458333333333329</v>
      </c>
      <c r="PW19" s="140">
        <f t="shared" ref="PW19:PW21" si="66">PU19*PV19</f>
        <v>9.1374999999999993</v>
      </c>
      <c r="PX19" s="158"/>
      <c r="PY19" s="528"/>
      <c r="PZ19" s="145"/>
      <c r="QA19" s="146"/>
      <c r="QB19" s="157" t="s">
        <v>370</v>
      </c>
      <c r="QC19" s="175">
        <v>7</v>
      </c>
      <c r="QD19" s="139">
        <v>3.0458333333333329</v>
      </c>
      <c r="QE19" s="140">
        <f t="shared" ref="QE19:QE21" si="67">QC19*QD19</f>
        <v>21.320833333333329</v>
      </c>
      <c r="QF19" s="158"/>
      <c r="QG19" s="528"/>
      <c r="QH19" s="145"/>
      <c r="QI19" s="146"/>
      <c r="QJ19" s="157" t="s">
        <v>370</v>
      </c>
      <c r="QK19" s="175">
        <v>5</v>
      </c>
      <c r="QL19" s="139">
        <v>3.0458333333333329</v>
      </c>
      <c r="QM19" s="140">
        <f t="shared" ref="QM19:QM21" si="68">QK19*QL19</f>
        <v>15.229166666666664</v>
      </c>
      <c r="QN19" s="158"/>
      <c r="QO19" s="528"/>
      <c r="QP19" s="145"/>
      <c r="QQ19" s="146"/>
      <c r="QR19" s="157" t="s">
        <v>370</v>
      </c>
      <c r="QS19" s="175">
        <v>29</v>
      </c>
      <c r="QT19" s="139">
        <v>3.0458333333333329</v>
      </c>
      <c r="QU19" s="140">
        <f t="shared" ref="QU19:QU21" si="69">QS19*QT19</f>
        <v>88.329166666666652</v>
      </c>
      <c r="QV19" s="158"/>
      <c r="QW19" s="528"/>
      <c r="QX19" s="145"/>
      <c r="QY19" s="146"/>
      <c r="QZ19" s="157" t="s">
        <v>370</v>
      </c>
      <c r="RA19" s="175"/>
      <c r="RB19" s="139">
        <v>3.0458333333333329</v>
      </c>
      <c r="RC19" s="140">
        <f t="shared" ref="RC19:RC21" si="70">RA19*RB19</f>
        <v>0</v>
      </c>
      <c r="RD19" s="158"/>
      <c r="RE19" s="528"/>
      <c r="RF19" s="145"/>
      <c r="RG19" s="146"/>
      <c r="RH19" s="157" t="s">
        <v>370</v>
      </c>
      <c r="RI19" s="175"/>
      <c r="RJ19" s="139">
        <v>3.0458333333333329</v>
      </c>
      <c r="RK19" s="140">
        <f t="shared" ref="RK19:RK21" si="71">RI19*RJ19</f>
        <v>0</v>
      </c>
      <c r="RL19" s="158"/>
      <c r="RM19" s="528"/>
      <c r="RN19" s="145"/>
      <c r="RO19" s="146"/>
      <c r="RP19" s="157" t="s">
        <v>370</v>
      </c>
      <c r="RQ19" s="175">
        <v>46</v>
      </c>
      <c r="RR19" s="139">
        <v>3.0458333333333329</v>
      </c>
      <c r="RS19" s="140">
        <f t="shared" ref="RS19:RS21" si="72">RQ19*RR19</f>
        <v>140.10833333333332</v>
      </c>
      <c r="RT19" s="158"/>
      <c r="RU19" s="528"/>
      <c r="RV19" s="145"/>
      <c r="RW19" s="146"/>
      <c r="RX19" s="157" t="s">
        <v>370</v>
      </c>
      <c r="RY19" s="175">
        <v>51</v>
      </c>
      <c r="RZ19" s="139">
        <v>3.0458333333333329</v>
      </c>
      <c r="SA19" s="140">
        <f t="shared" ref="SA19:SA21" si="73">RY19*RZ19</f>
        <v>155.33749999999998</v>
      </c>
      <c r="SB19" s="158"/>
      <c r="SC19" s="528"/>
      <c r="SD19" s="145"/>
      <c r="SE19" s="146"/>
      <c r="SF19" s="157" t="s">
        <v>370</v>
      </c>
      <c r="SG19" s="175">
        <v>36</v>
      </c>
      <c r="SH19" s="139">
        <v>3.0458333333333329</v>
      </c>
      <c r="SI19" s="140">
        <f t="shared" ref="SI19:SI21" si="74">SG19*SH19</f>
        <v>109.64999999999999</v>
      </c>
      <c r="SJ19" s="158"/>
      <c r="SK19" s="528"/>
      <c r="SL19" s="145"/>
      <c r="SM19" s="146"/>
      <c r="SN19" s="157" t="s">
        <v>370</v>
      </c>
      <c r="SO19" s="175">
        <v>39</v>
      </c>
      <c r="SP19" s="139">
        <v>3.0458333333333329</v>
      </c>
      <c r="SQ19" s="140">
        <f t="shared" ref="SQ19:SQ21" si="75">SO19*SP19</f>
        <v>118.78749999999998</v>
      </c>
      <c r="SR19" s="158"/>
      <c r="SS19" s="528"/>
      <c r="ST19" s="145"/>
      <c r="SU19" s="146"/>
      <c r="SV19" s="157" t="s">
        <v>370</v>
      </c>
      <c r="SW19" s="175">
        <v>19</v>
      </c>
      <c r="SX19" s="139">
        <v>3.0458333333333329</v>
      </c>
      <c r="SY19" s="140">
        <f t="shared" ref="SY19:SY21" si="76">SW19*SX19</f>
        <v>57.870833333333323</v>
      </c>
      <c r="SZ19" s="158"/>
      <c r="TA19" s="528"/>
      <c r="TB19" s="145"/>
      <c r="TC19" s="146"/>
      <c r="TD19" s="157" t="s">
        <v>370</v>
      </c>
      <c r="TE19" s="175">
        <v>17</v>
      </c>
      <c r="TF19" s="139">
        <v>3.0458333333333329</v>
      </c>
      <c r="TG19" s="140">
        <f t="shared" ref="TG19:TG21" si="77">TE19*TF19</f>
        <v>51.779166666666661</v>
      </c>
      <c r="TH19" s="158"/>
      <c r="TI19" s="528"/>
    </row>
    <row r="20" spans="2:529">
      <c r="B20" s="145"/>
      <c r="C20" s="146"/>
      <c r="D20" s="157" t="s">
        <v>78</v>
      </c>
      <c r="E20" s="138">
        <v>30</v>
      </c>
      <c r="F20" s="139">
        <v>1.3166666666666667</v>
      </c>
      <c r="G20" s="140">
        <f t="shared" si="0"/>
        <v>39.5</v>
      </c>
      <c r="H20" s="158"/>
      <c r="I20" s="528"/>
      <c r="J20" s="145"/>
      <c r="K20" s="146"/>
      <c r="L20" s="157" t="s">
        <v>78</v>
      </c>
      <c r="M20" s="138">
        <v>0</v>
      </c>
      <c r="N20" s="139">
        <v>1.3166666666666667</v>
      </c>
      <c r="O20" s="140">
        <f t="shared" si="1"/>
        <v>0</v>
      </c>
      <c r="P20" s="158"/>
      <c r="Q20" s="528"/>
      <c r="R20" s="145"/>
      <c r="S20" s="146"/>
      <c r="T20" s="157" t="s">
        <v>78</v>
      </c>
      <c r="U20" s="138">
        <v>0</v>
      </c>
      <c r="V20" s="139">
        <v>1.3166666666666667</v>
      </c>
      <c r="W20" s="140">
        <f t="shared" si="2"/>
        <v>0</v>
      </c>
      <c r="X20" s="158"/>
      <c r="Y20" s="528"/>
      <c r="Z20" s="145"/>
      <c r="AA20" s="146"/>
      <c r="AB20" s="157" t="s">
        <v>78</v>
      </c>
      <c r="AC20" s="138">
        <v>1</v>
      </c>
      <c r="AD20" s="139">
        <v>1.3166666666666667</v>
      </c>
      <c r="AE20" s="140">
        <f t="shared" si="3"/>
        <v>1.3166666666666667</v>
      </c>
      <c r="AF20" s="158"/>
      <c r="AG20" s="528"/>
      <c r="AH20" s="145"/>
      <c r="AI20" s="146"/>
      <c r="AJ20" s="157" t="s">
        <v>78</v>
      </c>
      <c r="AK20" s="138">
        <v>0</v>
      </c>
      <c r="AL20" s="139">
        <v>1.3166666666666667</v>
      </c>
      <c r="AM20" s="140">
        <f t="shared" si="4"/>
        <v>0</v>
      </c>
      <c r="AN20" s="158"/>
      <c r="AO20" s="528"/>
      <c r="AP20" s="145"/>
      <c r="AQ20" s="146"/>
      <c r="AR20" s="157" t="s">
        <v>78</v>
      </c>
      <c r="AS20" s="138"/>
      <c r="AT20" s="139">
        <v>1.3166666666666667</v>
      </c>
      <c r="AU20" s="140">
        <f t="shared" si="5"/>
        <v>0</v>
      </c>
      <c r="AV20" s="158"/>
      <c r="AW20" s="528"/>
      <c r="AX20" s="145"/>
      <c r="AY20" s="146"/>
      <c r="AZ20" s="157" t="s">
        <v>78</v>
      </c>
      <c r="BA20" s="138">
        <v>6</v>
      </c>
      <c r="BB20" s="139">
        <v>1.3166666666666667</v>
      </c>
      <c r="BC20" s="140">
        <f t="shared" si="6"/>
        <v>7.9</v>
      </c>
      <c r="BD20" s="158"/>
      <c r="BE20" s="528"/>
      <c r="BF20" s="145"/>
      <c r="BG20" s="146"/>
      <c r="BH20" s="157" t="s">
        <v>78</v>
      </c>
      <c r="BI20" s="138">
        <v>29</v>
      </c>
      <c r="BJ20" s="139">
        <v>1.3166666666666667</v>
      </c>
      <c r="BK20" s="140">
        <f t="shared" si="7"/>
        <v>38.18333333333333</v>
      </c>
      <c r="BL20" s="158"/>
      <c r="BM20" s="528"/>
      <c r="BN20" s="145"/>
      <c r="BO20" s="146"/>
      <c r="BP20" s="157" t="s">
        <v>78</v>
      </c>
      <c r="BQ20" s="138">
        <v>0</v>
      </c>
      <c r="BR20" s="139">
        <v>1.3166666666666667</v>
      </c>
      <c r="BS20" s="140">
        <f t="shared" si="8"/>
        <v>0</v>
      </c>
      <c r="BT20" s="158"/>
      <c r="BU20" s="528"/>
      <c r="BV20" s="536"/>
      <c r="BW20" s="537"/>
      <c r="BX20" s="574" t="s">
        <v>78</v>
      </c>
      <c r="BY20" s="560"/>
      <c r="BZ20" s="561">
        <v>1.3166666666666667</v>
      </c>
      <c r="CA20" s="562">
        <f t="shared" si="9"/>
        <v>0</v>
      </c>
      <c r="CB20" s="540"/>
      <c r="CC20" s="528"/>
      <c r="CD20" s="536"/>
      <c r="CE20" s="537"/>
      <c r="CF20" s="574" t="s">
        <v>78</v>
      </c>
      <c r="CG20" s="560"/>
      <c r="CH20" s="561">
        <v>1.3166666666666667</v>
      </c>
      <c r="CI20" s="562">
        <f t="shared" si="10"/>
        <v>0</v>
      </c>
      <c r="CJ20" s="540"/>
      <c r="CK20" s="528"/>
      <c r="CL20" s="145"/>
      <c r="CM20" s="146"/>
      <c r="CN20" s="157" t="s">
        <v>78</v>
      </c>
      <c r="CO20" s="138">
        <v>13</v>
      </c>
      <c r="CP20" s="139">
        <v>1.3166666666666667</v>
      </c>
      <c r="CQ20" s="140">
        <f t="shared" si="11"/>
        <v>17.116666666666667</v>
      </c>
      <c r="CR20" s="158"/>
      <c r="CS20" s="528"/>
      <c r="CT20" s="145"/>
      <c r="CU20" s="146"/>
      <c r="CV20" s="157" t="s">
        <v>78</v>
      </c>
      <c r="CW20" s="138">
        <v>29</v>
      </c>
      <c r="CX20" s="139">
        <v>1.3166666666666667</v>
      </c>
      <c r="CY20" s="140">
        <f t="shared" si="12"/>
        <v>38.18333333333333</v>
      </c>
      <c r="CZ20" s="158"/>
      <c r="DA20" s="528"/>
      <c r="DB20" s="145"/>
      <c r="DC20" s="146"/>
      <c r="DD20" s="157" t="s">
        <v>78</v>
      </c>
      <c r="DE20" s="138">
        <v>280</v>
      </c>
      <c r="DF20" s="139">
        <v>1.3166666666666667</v>
      </c>
      <c r="DG20" s="140">
        <f t="shared" si="13"/>
        <v>368.66666666666669</v>
      </c>
      <c r="DH20" s="158"/>
      <c r="DI20" s="528"/>
      <c r="DJ20" s="145"/>
      <c r="DK20" s="146"/>
      <c r="DL20" s="157" t="s">
        <v>78</v>
      </c>
      <c r="DM20" s="138">
        <v>0</v>
      </c>
      <c r="DN20" s="170">
        <v>1.3166666666666667</v>
      </c>
      <c r="DO20" s="140">
        <f t="shared" si="14"/>
        <v>0</v>
      </c>
      <c r="DP20" s="158"/>
      <c r="DQ20" s="528"/>
      <c r="DR20" s="145"/>
      <c r="DS20" s="146"/>
      <c r="DT20" s="157" t="s">
        <v>78</v>
      </c>
      <c r="DU20" s="138"/>
      <c r="DV20" s="170">
        <v>1.3166666666666667</v>
      </c>
      <c r="DW20" s="140">
        <f t="shared" si="15"/>
        <v>0</v>
      </c>
      <c r="DX20" s="158"/>
      <c r="DY20" s="528"/>
      <c r="DZ20" s="145"/>
      <c r="EA20" s="146"/>
      <c r="EB20" s="157" t="s">
        <v>78</v>
      </c>
      <c r="EC20" s="138">
        <v>23</v>
      </c>
      <c r="ED20" s="170">
        <v>1.3166666666666667</v>
      </c>
      <c r="EE20" s="140">
        <f t="shared" si="16"/>
        <v>30.283333333333331</v>
      </c>
      <c r="EF20" s="158"/>
      <c r="EG20" s="528"/>
      <c r="EH20" s="145"/>
      <c r="EI20" s="146"/>
      <c r="EJ20" s="157" t="s">
        <v>78</v>
      </c>
      <c r="EK20" s="138">
        <v>0</v>
      </c>
      <c r="EL20" s="170">
        <v>1.3166666666666667</v>
      </c>
      <c r="EM20" s="140">
        <f t="shared" si="17"/>
        <v>0</v>
      </c>
      <c r="EN20" s="158"/>
      <c r="EO20" s="528"/>
      <c r="EP20" s="145"/>
      <c r="EQ20" s="146"/>
      <c r="ER20" s="157" t="s">
        <v>78</v>
      </c>
      <c r="ES20" s="138">
        <v>0</v>
      </c>
      <c r="ET20" s="170">
        <v>1.3166666666666667</v>
      </c>
      <c r="EU20" s="140">
        <f t="shared" si="18"/>
        <v>0</v>
      </c>
      <c r="EV20" s="158"/>
      <c r="EW20" s="528"/>
      <c r="EX20" s="145"/>
      <c r="EY20" s="146"/>
      <c r="EZ20" s="157" t="s">
        <v>78</v>
      </c>
      <c r="FA20" s="138"/>
      <c r="FB20" s="170">
        <v>1.3166666666666667</v>
      </c>
      <c r="FC20" s="140">
        <f t="shared" si="19"/>
        <v>0</v>
      </c>
      <c r="FD20" s="158"/>
      <c r="FE20" s="528"/>
      <c r="FF20" s="145"/>
      <c r="FG20" s="146"/>
      <c r="FH20" s="157" t="s">
        <v>78</v>
      </c>
      <c r="FI20" s="138"/>
      <c r="FJ20" s="170">
        <v>1.3166666666666667</v>
      </c>
      <c r="FK20" s="140">
        <f t="shared" si="20"/>
        <v>0</v>
      </c>
      <c r="FL20" s="158"/>
      <c r="FM20" s="528"/>
      <c r="FN20" s="145"/>
      <c r="FO20" s="146"/>
      <c r="FP20" s="157" t="s">
        <v>78</v>
      </c>
      <c r="FQ20" s="138"/>
      <c r="FR20" s="170">
        <v>1.3166666666666667</v>
      </c>
      <c r="FS20" s="140">
        <f t="shared" si="21"/>
        <v>0</v>
      </c>
      <c r="FT20" s="158"/>
      <c r="FU20" s="528"/>
      <c r="FV20" s="145"/>
      <c r="FW20" s="146"/>
      <c r="FX20" s="157" t="s">
        <v>78</v>
      </c>
      <c r="FY20" s="138"/>
      <c r="FZ20" s="170">
        <v>1.3166666666666667</v>
      </c>
      <c r="GA20" s="140">
        <f t="shared" si="22"/>
        <v>0</v>
      </c>
      <c r="GB20" s="158"/>
      <c r="GC20" s="528"/>
      <c r="GD20" s="145"/>
      <c r="GE20" s="146"/>
      <c r="GF20" s="157" t="s">
        <v>78</v>
      </c>
      <c r="GG20" s="138"/>
      <c r="GH20" s="170">
        <v>1.3166666666666667</v>
      </c>
      <c r="GI20" s="140">
        <f t="shared" si="23"/>
        <v>0</v>
      </c>
      <c r="GJ20" s="158"/>
      <c r="GK20" s="528"/>
      <c r="GL20" s="145"/>
      <c r="GM20" s="146"/>
      <c r="GN20" s="157" t="s">
        <v>78</v>
      </c>
      <c r="GO20" s="175">
        <v>0</v>
      </c>
      <c r="GP20" s="139">
        <v>1.3166666666666667</v>
      </c>
      <c r="GQ20" s="140">
        <f t="shared" si="24"/>
        <v>0</v>
      </c>
      <c r="GR20" s="158"/>
      <c r="GS20" s="528"/>
      <c r="GT20" s="145"/>
      <c r="GU20" s="146"/>
      <c r="GV20" s="157" t="s">
        <v>78</v>
      </c>
      <c r="GW20" s="175">
        <v>280</v>
      </c>
      <c r="GX20" s="139">
        <v>1.3166666666666667</v>
      </c>
      <c r="GY20" s="140">
        <f t="shared" si="25"/>
        <v>368.66666666666669</v>
      </c>
      <c r="GZ20" s="158"/>
      <c r="HA20" s="528"/>
      <c r="HB20" s="145"/>
      <c r="HC20" s="146"/>
      <c r="HD20" s="157" t="s">
        <v>78</v>
      </c>
      <c r="HE20" s="175">
        <v>0</v>
      </c>
      <c r="HF20" s="139">
        <v>1.3166666666666667</v>
      </c>
      <c r="HG20" s="140">
        <f t="shared" si="26"/>
        <v>0</v>
      </c>
      <c r="HH20" s="158"/>
      <c r="HI20" s="528"/>
      <c r="HJ20" s="145"/>
      <c r="HK20" s="146"/>
      <c r="HL20" s="157" t="s">
        <v>78</v>
      </c>
      <c r="HM20" s="175">
        <v>63</v>
      </c>
      <c r="HN20" s="139">
        <v>1.3166666666666667</v>
      </c>
      <c r="HO20" s="140">
        <f t="shared" si="27"/>
        <v>82.95</v>
      </c>
      <c r="HP20" s="158"/>
      <c r="HQ20" s="528"/>
      <c r="HR20" s="145"/>
      <c r="HS20" s="146"/>
      <c r="HT20" s="157" t="s">
        <v>78</v>
      </c>
      <c r="HU20" s="175">
        <v>0</v>
      </c>
      <c r="HV20" s="139">
        <v>1.3166666666666667</v>
      </c>
      <c r="HW20" s="140">
        <f t="shared" si="28"/>
        <v>0</v>
      </c>
      <c r="HX20" s="158"/>
      <c r="HY20" s="528"/>
      <c r="HZ20" s="145"/>
      <c r="IA20" s="146"/>
      <c r="IB20" s="157" t="s">
        <v>78</v>
      </c>
      <c r="IC20" s="175">
        <v>25</v>
      </c>
      <c r="ID20" s="139">
        <v>1.3166666666666667</v>
      </c>
      <c r="IE20" s="140">
        <f t="shared" si="29"/>
        <v>32.916666666666664</v>
      </c>
      <c r="IF20" s="158"/>
      <c r="IG20" s="528"/>
      <c r="IH20" s="145"/>
      <c r="II20" s="146"/>
      <c r="IJ20" s="157" t="s">
        <v>78</v>
      </c>
      <c r="IK20" s="175">
        <v>22</v>
      </c>
      <c r="IL20" s="139">
        <v>1.3166666666666667</v>
      </c>
      <c r="IM20" s="140">
        <f t="shared" si="30"/>
        <v>28.966666666666665</v>
      </c>
      <c r="IN20" s="158"/>
      <c r="IO20" s="528"/>
      <c r="IP20" s="145"/>
      <c r="IQ20" s="146"/>
      <c r="IR20" s="157" t="s">
        <v>78</v>
      </c>
      <c r="IS20" s="175">
        <v>97</v>
      </c>
      <c r="IT20" s="139">
        <v>1.3166666666666667</v>
      </c>
      <c r="IU20" s="140">
        <f t="shared" si="31"/>
        <v>127.71666666666667</v>
      </c>
      <c r="IV20" s="158"/>
      <c r="IW20" s="528"/>
      <c r="IX20" s="145"/>
      <c r="IY20" s="146"/>
      <c r="IZ20" s="157" t="s">
        <v>78</v>
      </c>
      <c r="JA20" s="175">
        <v>0</v>
      </c>
      <c r="JB20" s="139">
        <v>1.3166666666666667</v>
      </c>
      <c r="JC20" s="140">
        <f t="shared" si="32"/>
        <v>0</v>
      </c>
      <c r="JD20" s="158"/>
      <c r="JE20" s="528"/>
      <c r="JF20" s="145"/>
      <c r="JG20" s="146"/>
      <c r="JH20" s="157" t="s">
        <v>78</v>
      </c>
      <c r="JI20" s="175">
        <v>0</v>
      </c>
      <c r="JJ20" s="139">
        <v>1.3166666666666667</v>
      </c>
      <c r="JK20" s="140">
        <f t="shared" si="33"/>
        <v>0</v>
      </c>
      <c r="JL20" s="158"/>
      <c r="JM20" s="528"/>
      <c r="JN20" s="145"/>
      <c r="JO20" s="146"/>
      <c r="JP20" s="157" t="s">
        <v>78</v>
      </c>
      <c r="JQ20" s="175">
        <v>5</v>
      </c>
      <c r="JR20" s="139">
        <v>1.3166666666666667</v>
      </c>
      <c r="JS20" s="140">
        <f t="shared" si="34"/>
        <v>6.583333333333333</v>
      </c>
      <c r="JT20" s="158"/>
      <c r="JU20" s="528"/>
      <c r="JV20" s="145"/>
      <c r="JW20" s="146"/>
      <c r="JX20" s="157" t="s">
        <v>78</v>
      </c>
      <c r="JY20" s="175">
        <v>63</v>
      </c>
      <c r="JZ20" s="139">
        <v>1.3166666666666667</v>
      </c>
      <c r="KA20" s="140">
        <f t="shared" si="35"/>
        <v>82.95</v>
      </c>
      <c r="KB20" s="158"/>
      <c r="KC20" s="528"/>
      <c r="KD20" s="145"/>
      <c r="KE20" s="146"/>
      <c r="KF20" s="157" t="s">
        <v>78</v>
      </c>
      <c r="KG20" s="175">
        <v>0</v>
      </c>
      <c r="KH20" s="139">
        <v>1.3166666666666667</v>
      </c>
      <c r="KI20" s="140">
        <f t="shared" si="36"/>
        <v>0</v>
      </c>
      <c r="KJ20" s="158"/>
      <c r="KK20" s="528"/>
      <c r="KL20" s="145"/>
      <c r="KM20" s="146"/>
      <c r="KN20" s="157" t="s">
        <v>78</v>
      </c>
      <c r="KO20" s="175">
        <v>0</v>
      </c>
      <c r="KP20" s="139">
        <v>1.3166666666666667</v>
      </c>
      <c r="KQ20" s="140">
        <f t="shared" si="37"/>
        <v>0</v>
      </c>
      <c r="KR20" s="158"/>
      <c r="KS20" s="528"/>
      <c r="KT20" s="145"/>
      <c r="KU20" s="146"/>
      <c r="KV20" s="157" t="s">
        <v>78</v>
      </c>
      <c r="KW20" s="175">
        <v>25</v>
      </c>
      <c r="KX20" s="139">
        <v>1.3166666666666667</v>
      </c>
      <c r="KY20" s="140">
        <f t="shared" si="38"/>
        <v>32.916666666666664</v>
      </c>
      <c r="KZ20" s="158"/>
      <c r="LA20" s="528"/>
      <c r="LB20" s="145"/>
      <c r="LC20" s="146"/>
      <c r="LD20" s="157" t="s">
        <v>78</v>
      </c>
      <c r="LE20" s="175">
        <v>35</v>
      </c>
      <c r="LF20" s="139">
        <v>1.3166666666666667</v>
      </c>
      <c r="LG20" s="140">
        <f t="shared" si="39"/>
        <v>46.083333333333336</v>
      </c>
      <c r="LH20" s="158"/>
      <c r="LI20" s="528"/>
      <c r="LJ20" s="145"/>
      <c r="LK20" s="146"/>
      <c r="LL20" s="157" t="s">
        <v>78</v>
      </c>
      <c r="LM20" s="175">
        <v>0</v>
      </c>
      <c r="LN20" s="139">
        <v>1.3166666666666667</v>
      </c>
      <c r="LO20" s="140">
        <f t="shared" si="40"/>
        <v>0</v>
      </c>
      <c r="LP20" s="158"/>
      <c r="LQ20" s="528"/>
      <c r="LR20" s="145"/>
      <c r="LS20" s="146"/>
      <c r="LT20" s="157" t="s">
        <v>78</v>
      </c>
      <c r="LU20" s="175">
        <v>47</v>
      </c>
      <c r="LV20" s="139">
        <v>1.3166666666666667</v>
      </c>
      <c r="LW20" s="140">
        <f t="shared" si="41"/>
        <v>61.883333333333333</v>
      </c>
      <c r="LX20" s="158"/>
      <c r="LY20" s="528"/>
      <c r="LZ20" s="145"/>
      <c r="MA20" s="146"/>
      <c r="MB20" s="157" t="s">
        <v>78</v>
      </c>
      <c r="MC20" s="175">
        <v>90</v>
      </c>
      <c r="MD20" s="139">
        <v>1.3166666666666667</v>
      </c>
      <c r="ME20" s="140">
        <f t="shared" si="42"/>
        <v>118.5</v>
      </c>
      <c r="MF20" s="158"/>
      <c r="MG20" s="528"/>
      <c r="MH20" s="145"/>
      <c r="MI20" s="146"/>
      <c r="MJ20" s="157" t="s">
        <v>78</v>
      </c>
      <c r="MK20" s="175">
        <v>51</v>
      </c>
      <c r="ML20" s="139">
        <v>1.3166666666666667</v>
      </c>
      <c r="MM20" s="140">
        <f t="shared" si="43"/>
        <v>67.150000000000006</v>
      </c>
      <c r="MN20" s="158"/>
      <c r="MO20" s="528"/>
      <c r="MP20" s="145"/>
      <c r="MQ20" s="146"/>
      <c r="MR20" s="157" t="s">
        <v>78</v>
      </c>
      <c r="MS20" s="175">
        <v>35</v>
      </c>
      <c r="MT20" s="139">
        <v>1.3166666666666667</v>
      </c>
      <c r="MU20" s="140">
        <f t="shared" si="44"/>
        <v>46.083333333333336</v>
      </c>
      <c r="MV20" s="158"/>
      <c r="MW20" s="528"/>
      <c r="MX20" s="145"/>
      <c r="MY20" s="146"/>
      <c r="MZ20" s="157" t="s">
        <v>78</v>
      </c>
      <c r="NA20" s="175">
        <v>62</v>
      </c>
      <c r="NB20" s="139">
        <v>1.3166666666666667</v>
      </c>
      <c r="NC20" s="140">
        <f t="shared" si="45"/>
        <v>81.633333333333326</v>
      </c>
      <c r="ND20" s="158"/>
      <c r="NE20" s="528"/>
      <c r="NF20" s="145"/>
      <c r="NG20" s="146"/>
      <c r="NH20" s="157" t="s">
        <v>78</v>
      </c>
      <c r="NI20" s="175">
        <v>92</v>
      </c>
      <c r="NJ20" s="139">
        <v>1.3166666666666667</v>
      </c>
      <c r="NK20" s="140">
        <f t="shared" si="46"/>
        <v>121.13333333333333</v>
      </c>
      <c r="NL20" s="158"/>
      <c r="NM20" s="528"/>
      <c r="NN20" s="145"/>
      <c r="NO20" s="146"/>
      <c r="NP20" s="157" t="s">
        <v>78</v>
      </c>
      <c r="NQ20" s="175">
        <v>23</v>
      </c>
      <c r="NR20" s="139">
        <v>1.3166666666666667</v>
      </c>
      <c r="NS20" s="140">
        <f t="shared" si="47"/>
        <v>30.283333333333331</v>
      </c>
      <c r="NT20" s="158"/>
      <c r="NU20" s="528"/>
      <c r="NV20" s="145"/>
      <c r="NW20" s="146"/>
      <c r="NX20" s="157" t="s">
        <v>78</v>
      </c>
      <c r="NY20" s="175">
        <v>47</v>
      </c>
      <c r="NZ20" s="139">
        <v>1.3166666666666667</v>
      </c>
      <c r="OA20" s="140">
        <f t="shared" si="48"/>
        <v>61.883333333333333</v>
      </c>
      <c r="OB20" s="158"/>
      <c r="OC20" s="528"/>
      <c r="OD20" s="145"/>
      <c r="OE20" s="146"/>
      <c r="OF20" s="157" t="s">
        <v>78</v>
      </c>
      <c r="OG20" s="175">
        <v>60</v>
      </c>
      <c r="OH20" s="139">
        <v>1.3166666666666667</v>
      </c>
      <c r="OI20" s="140">
        <f t="shared" si="49"/>
        <v>79</v>
      </c>
      <c r="OJ20" s="158"/>
      <c r="OK20" s="528"/>
      <c r="OL20" s="145"/>
      <c r="OM20" s="146"/>
      <c r="ON20" s="157" t="s">
        <v>78</v>
      </c>
      <c r="OO20" s="175">
        <v>54</v>
      </c>
      <c r="OP20" s="139">
        <v>1.3166666666666667</v>
      </c>
      <c r="OQ20" s="140">
        <f t="shared" si="50"/>
        <v>71.099999999999994</v>
      </c>
      <c r="OR20" s="158"/>
      <c r="OS20" s="528"/>
      <c r="OT20" s="145"/>
      <c r="OU20" s="146"/>
      <c r="OV20" s="157" t="s">
        <v>78</v>
      </c>
      <c r="OW20" s="175"/>
      <c r="OX20" s="139">
        <v>1.3166666666666667</v>
      </c>
      <c r="OY20" s="140">
        <f t="shared" si="51"/>
        <v>0</v>
      </c>
      <c r="OZ20" s="158"/>
      <c r="PA20" s="528"/>
      <c r="PB20" s="145"/>
      <c r="PC20" s="146"/>
      <c r="PD20" s="157" t="s">
        <v>78</v>
      </c>
      <c r="PE20" s="175"/>
      <c r="PF20" s="139">
        <v>1.3166666666666667</v>
      </c>
      <c r="PG20" s="140">
        <f t="shared" si="52"/>
        <v>0</v>
      </c>
      <c r="PH20" s="158"/>
      <c r="PI20" s="528"/>
      <c r="PJ20" s="145"/>
      <c r="PK20" s="146"/>
      <c r="PL20" s="157" t="s">
        <v>78</v>
      </c>
      <c r="PM20" s="175"/>
      <c r="PN20" s="139">
        <v>1.3166666666666667</v>
      </c>
      <c r="PO20" s="140">
        <f t="shared" si="53"/>
        <v>0</v>
      </c>
      <c r="PP20" s="158"/>
      <c r="PQ20" s="528"/>
      <c r="PR20" s="145"/>
      <c r="PS20" s="146"/>
      <c r="PT20" s="157" t="s">
        <v>78</v>
      </c>
      <c r="PU20" s="175">
        <v>2</v>
      </c>
      <c r="PV20" s="139">
        <v>1.3166666666666667</v>
      </c>
      <c r="PW20" s="140">
        <f t="shared" si="66"/>
        <v>2.6333333333333333</v>
      </c>
      <c r="PX20" s="158"/>
      <c r="PY20" s="528"/>
      <c r="PZ20" s="145"/>
      <c r="QA20" s="146"/>
      <c r="QB20" s="157" t="s">
        <v>78</v>
      </c>
      <c r="QC20" s="175"/>
      <c r="QD20" s="139">
        <v>1.3166666666666667</v>
      </c>
      <c r="QE20" s="140">
        <f t="shared" si="67"/>
        <v>0</v>
      </c>
      <c r="QF20" s="158"/>
      <c r="QG20" s="528"/>
      <c r="QH20" s="145"/>
      <c r="QI20" s="146"/>
      <c r="QJ20" s="157" t="s">
        <v>78</v>
      </c>
      <c r="QK20" s="175">
        <v>8</v>
      </c>
      <c r="QL20" s="139">
        <v>1.3166666666666667</v>
      </c>
      <c r="QM20" s="140">
        <f t="shared" si="68"/>
        <v>10.533333333333333</v>
      </c>
      <c r="QN20" s="158"/>
      <c r="QO20" s="528"/>
      <c r="QP20" s="145"/>
      <c r="QQ20" s="146"/>
      <c r="QR20" s="157" t="s">
        <v>78</v>
      </c>
      <c r="QS20" s="175">
        <v>8</v>
      </c>
      <c r="QT20" s="139">
        <v>1.3166666666666667</v>
      </c>
      <c r="QU20" s="140">
        <f t="shared" si="69"/>
        <v>10.533333333333333</v>
      </c>
      <c r="QV20" s="158"/>
      <c r="QW20" s="528"/>
      <c r="QX20" s="145"/>
      <c r="QY20" s="146"/>
      <c r="QZ20" s="157" t="s">
        <v>78</v>
      </c>
      <c r="RA20" s="175"/>
      <c r="RB20" s="139">
        <v>1.3166666666666667</v>
      </c>
      <c r="RC20" s="140">
        <f t="shared" si="70"/>
        <v>0</v>
      </c>
      <c r="RD20" s="158"/>
      <c r="RE20" s="528"/>
      <c r="RF20" s="145"/>
      <c r="RG20" s="146"/>
      <c r="RH20" s="157" t="s">
        <v>78</v>
      </c>
      <c r="RI20" s="175"/>
      <c r="RJ20" s="139">
        <v>1.3166666666666667</v>
      </c>
      <c r="RK20" s="140">
        <f t="shared" si="71"/>
        <v>0</v>
      </c>
      <c r="RL20" s="158"/>
      <c r="RM20" s="528"/>
      <c r="RN20" s="145"/>
      <c r="RO20" s="146"/>
      <c r="RP20" s="157" t="s">
        <v>78</v>
      </c>
      <c r="RQ20" s="175">
        <v>60</v>
      </c>
      <c r="RR20" s="139">
        <v>1.3166666666666667</v>
      </c>
      <c r="RS20" s="140">
        <f t="shared" si="72"/>
        <v>79</v>
      </c>
      <c r="RT20" s="158"/>
      <c r="RU20" s="528"/>
      <c r="RV20" s="145"/>
      <c r="RW20" s="146"/>
      <c r="RX20" s="157" t="s">
        <v>78</v>
      </c>
      <c r="RY20" s="175">
        <v>9</v>
      </c>
      <c r="RZ20" s="139">
        <v>1.3166666666666667</v>
      </c>
      <c r="SA20" s="140">
        <f t="shared" si="73"/>
        <v>11.85</v>
      </c>
      <c r="SB20" s="158"/>
      <c r="SC20" s="528"/>
      <c r="SD20" s="145"/>
      <c r="SE20" s="146"/>
      <c r="SF20" s="157" t="s">
        <v>78</v>
      </c>
      <c r="SG20" s="175">
        <v>29</v>
      </c>
      <c r="SH20" s="139">
        <v>1.3166666666666667</v>
      </c>
      <c r="SI20" s="140">
        <f t="shared" si="74"/>
        <v>38.18333333333333</v>
      </c>
      <c r="SJ20" s="158"/>
      <c r="SK20" s="528"/>
      <c r="SL20" s="145"/>
      <c r="SM20" s="146"/>
      <c r="SN20" s="157" t="s">
        <v>78</v>
      </c>
      <c r="SO20" s="175">
        <v>34</v>
      </c>
      <c r="SP20" s="139">
        <v>1.3166666666666667</v>
      </c>
      <c r="SQ20" s="140">
        <f t="shared" si="75"/>
        <v>44.766666666666666</v>
      </c>
      <c r="SR20" s="158"/>
      <c r="SS20" s="528"/>
      <c r="ST20" s="145"/>
      <c r="SU20" s="146"/>
      <c r="SV20" s="157" t="s">
        <v>78</v>
      </c>
      <c r="SW20" s="175">
        <v>25</v>
      </c>
      <c r="SX20" s="139">
        <v>1.3166666666666667</v>
      </c>
      <c r="SY20" s="140">
        <f t="shared" si="76"/>
        <v>32.916666666666664</v>
      </c>
      <c r="SZ20" s="158"/>
      <c r="TA20" s="528"/>
      <c r="TB20" s="145"/>
      <c r="TC20" s="146"/>
      <c r="TD20" s="157" t="s">
        <v>78</v>
      </c>
      <c r="TE20" s="175">
        <v>10</v>
      </c>
      <c r="TF20" s="139">
        <v>1.3166666666666667</v>
      </c>
      <c r="TG20" s="140">
        <f t="shared" si="77"/>
        <v>13.166666666666666</v>
      </c>
      <c r="TH20" s="158"/>
      <c r="TI20" s="528"/>
    </row>
    <row r="21" spans="2:529">
      <c r="B21" s="151"/>
      <c r="C21" s="161"/>
      <c r="D21" s="157" t="s">
        <v>79</v>
      </c>
      <c r="E21" s="138">
        <v>38</v>
      </c>
      <c r="F21" s="139">
        <v>2.0930769230769233</v>
      </c>
      <c r="G21" s="140">
        <f t="shared" si="0"/>
        <v>79.536923076923088</v>
      </c>
      <c r="H21" s="159">
        <f>SUM(G18:G21)</f>
        <v>584.38171121251628</v>
      </c>
      <c r="I21" s="528"/>
      <c r="J21" s="151"/>
      <c r="K21" s="161"/>
      <c r="L21" s="157" t="s">
        <v>79</v>
      </c>
      <c r="M21" s="138">
        <v>12</v>
      </c>
      <c r="N21" s="139">
        <v>2.0930769230769233</v>
      </c>
      <c r="O21" s="140">
        <f t="shared" si="1"/>
        <v>25.116923076923079</v>
      </c>
      <c r="P21" s="159">
        <f>SUM(O18:O21)</f>
        <v>332.24262929161239</v>
      </c>
      <c r="Q21" s="528"/>
      <c r="R21" s="151"/>
      <c r="S21" s="161"/>
      <c r="T21" s="157" t="s">
        <v>79</v>
      </c>
      <c r="U21" s="138">
        <v>0</v>
      </c>
      <c r="V21" s="139">
        <v>2.0930769230769233</v>
      </c>
      <c r="W21" s="140">
        <f t="shared" si="2"/>
        <v>0</v>
      </c>
      <c r="X21" s="159">
        <f>SUM(W18:W21)</f>
        <v>0</v>
      </c>
      <c r="Y21" s="528"/>
      <c r="Z21" s="151"/>
      <c r="AA21" s="161"/>
      <c r="AB21" s="157" t="s">
        <v>79</v>
      </c>
      <c r="AC21" s="138">
        <v>20</v>
      </c>
      <c r="AD21" s="139">
        <v>2.0930769230769233</v>
      </c>
      <c r="AE21" s="140">
        <f t="shared" si="3"/>
        <v>41.861538461538466</v>
      </c>
      <c r="AF21" s="159">
        <f>SUM(AE18:AE21)</f>
        <v>570.07525315080409</v>
      </c>
      <c r="AG21" s="528"/>
      <c r="AH21" s="151"/>
      <c r="AI21" s="161"/>
      <c r="AJ21" s="157" t="s">
        <v>79</v>
      </c>
      <c r="AK21" s="138">
        <v>0</v>
      </c>
      <c r="AL21" s="139">
        <v>2.0930769230769233</v>
      </c>
      <c r="AM21" s="140">
        <f t="shared" si="4"/>
        <v>0</v>
      </c>
      <c r="AN21" s="159">
        <f>SUM(AM18:AM21)</f>
        <v>0</v>
      </c>
      <c r="AO21" s="528"/>
      <c r="AP21" s="151"/>
      <c r="AQ21" s="161"/>
      <c r="AR21" s="157" t="s">
        <v>79</v>
      </c>
      <c r="AS21" s="138"/>
      <c r="AT21" s="139">
        <v>2.0930769230769233</v>
      </c>
      <c r="AU21" s="140">
        <f t="shared" si="5"/>
        <v>0</v>
      </c>
      <c r="AV21" s="159">
        <f>SUM(AU18:AU21)</f>
        <v>0</v>
      </c>
      <c r="AW21" s="528"/>
      <c r="AX21" s="151"/>
      <c r="AY21" s="161"/>
      <c r="AZ21" s="157" t="s">
        <v>79</v>
      </c>
      <c r="BA21" s="138">
        <v>79</v>
      </c>
      <c r="BB21" s="139">
        <v>2.0930769230769233</v>
      </c>
      <c r="BC21" s="140">
        <f t="shared" si="6"/>
        <v>165.35307692307694</v>
      </c>
      <c r="BD21" s="159">
        <f>SUM(BC18:BC21)</f>
        <v>735.08972946544986</v>
      </c>
      <c r="BE21" s="528"/>
      <c r="BF21" s="151"/>
      <c r="BG21" s="161"/>
      <c r="BH21" s="157" t="s">
        <v>79</v>
      </c>
      <c r="BI21" s="138">
        <v>0</v>
      </c>
      <c r="BJ21" s="139">
        <v>2.0930769230769233</v>
      </c>
      <c r="BK21" s="140">
        <f t="shared" si="7"/>
        <v>0</v>
      </c>
      <c r="BL21" s="159">
        <f>SUM(BK18:BK21)</f>
        <v>432.02781073446334</v>
      </c>
      <c r="BM21" s="528"/>
      <c r="BN21" s="151"/>
      <c r="BO21" s="161"/>
      <c r="BP21" s="157" t="s">
        <v>79</v>
      </c>
      <c r="BQ21" s="138">
        <v>50</v>
      </c>
      <c r="BR21" s="139">
        <v>2.0930769230769233</v>
      </c>
      <c r="BS21" s="140">
        <f t="shared" si="8"/>
        <v>104.65384615384616</v>
      </c>
      <c r="BT21" s="159">
        <f>SUM(BS18:BS21)</f>
        <v>385.81319643633208</v>
      </c>
      <c r="BU21" s="528"/>
      <c r="BV21" s="543"/>
      <c r="BW21" s="577"/>
      <c r="BX21" s="574" t="s">
        <v>79</v>
      </c>
      <c r="BY21" s="560"/>
      <c r="BZ21" s="561">
        <v>2.0930769230769233</v>
      </c>
      <c r="CA21" s="562">
        <f t="shared" si="9"/>
        <v>0</v>
      </c>
      <c r="CB21" s="575">
        <f>SUM(CA18:CA21)</f>
        <v>0</v>
      </c>
      <c r="CC21" s="528"/>
      <c r="CD21" s="543"/>
      <c r="CE21" s="577"/>
      <c r="CF21" s="574" t="s">
        <v>79</v>
      </c>
      <c r="CG21" s="560"/>
      <c r="CH21" s="561">
        <v>2.0930769230769233</v>
      </c>
      <c r="CI21" s="562">
        <f t="shared" si="10"/>
        <v>0</v>
      </c>
      <c r="CJ21" s="575">
        <f>SUM(CI18:CI21)</f>
        <v>0</v>
      </c>
      <c r="CK21" s="528"/>
      <c r="CL21" s="151"/>
      <c r="CM21" s="161"/>
      <c r="CN21" s="157" t="s">
        <v>79</v>
      </c>
      <c r="CO21" s="138">
        <v>56</v>
      </c>
      <c r="CP21" s="139">
        <v>2.0930769230769233</v>
      </c>
      <c r="CQ21" s="140">
        <f t="shared" si="11"/>
        <v>117.2123076923077</v>
      </c>
      <c r="CR21" s="159">
        <f>SUM(CQ18:CQ21)</f>
        <v>887.39612125162989</v>
      </c>
      <c r="CS21" s="528"/>
      <c r="CT21" s="151"/>
      <c r="CU21" s="161"/>
      <c r="CV21" s="157" t="s">
        <v>79</v>
      </c>
      <c r="CW21" s="138">
        <v>0</v>
      </c>
      <c r="CX21" s="139">
        <v>2.0930769230769233</v>
      </c>
      <c r="CY21" s="140">
        <f t="shared" si="12"/>
        <v>0</v>
      </c>
      <c r="CZ21" s="159">
        <f>SUM(CY18:CY21)</f>
        <v>432.02781073446334</v>
      </c>
      <c r="DA21" s="528"/>
      <c r="DB21" s="151"/>
      <c r="DC21" s="161"/>
      <c r="DD21" s="157" t="s">
        <v>79</v>
      </c>
      <c r="DE21" s="138">
        <v>185</v>
      </c>
      <c r="DF21" s="139">
        <v>2.0930769230769233</v>
      </c>
      <c r="DG21" s="140">
        <f t="shared" si="13"/>
        <v>387.21923076923082</v>
      </c>
      <c r="DH21" s="159">
        <f>SUM(DG18:DG21)</f>
        <v>1850.0649652325078</v>
      </c>
      <c r="DI21" s="528"/>
      <c r="DJ21" s="151"/>
      <c r="DK21" s="161"/>
      <c r="DL21" s="157" t="s">
        <v>79</v>
      </c>
      <c r="DM21" s="138">
        <v>0</v>
      </c>
      <c r="DN21" s="170">
        <v>2.0930769230769233</v>
      </c>
      <c r="DO21" s="140">
        <f t="shared" si="14"/>
        <v>0</v>
      </c>
      <c r="DP21" s="159">
        <f>SUM(DO18:DO21)</f>
        <v>0</v>
      </c>
      <c r="DQ21" s="528"/>
      <c r="DR21" s="151"/>
      <c r="DS21" s="161"/>
      <c r="DT21" s="157" t="s">
        <v>79</v>
      </c>
      <c r="DU21" s="138"/>
      <c r="DV21" s="170">
        <v>2.0930769230769233</v>
      </c>
      <c r="DW21" s="140">
        <f t="shared" si="15"/>
        <v>0</v>
      </c>
      <c r="DX21" s="159">
        <f>SUM(DW18:DW21)</f>
        <v>0</v>
      </c>
      <c r="DY21" s="528"/>
      <c r="DZ21" s="151"/>
      <c r="EA21" s="161"/>
      <c r="EB21" s="157" t="s">
        <v>79</v>
      </c>
      <c r="EC21" s="138">
        <v>0</v>
      </c>
      <c r="ED21" s="170">
        <v>2.0930769230769233</v>
      </c>
      <c r="EE21" s="140">
        <f t="shared" si="16"/>
        <v>0</v>
      </c>
      <c r="EF21" s="159">
        <f>SUM(EE18:EE21)</f>
        <v>724.5262570621469</v>
      </c>
      <c r="EG21" s="528"/>
      <c r="EH21" s="151"/>
      <c r="EI21" s="161"/>
      <c r="EJ21" s="157" t="s">
        <v>79</v>
      </c>
      <c r="EK21" s="138">
        <v>0</v>
      </c>
      <c r="EL21" s="170">
        <v>2.0930769230769233</v>
      </c>
      <c r="EM21" s="140">
        <f t="shared" si="17"/>
        <v>0</v>
      </c>
      <c r="EN21" s="159">
        <f>SUM(EM18:EM21)</f>
        <v>2071.8380367231639</v>
      </c>
      <c r="EO21" s="528"/>
      <c r="EP21" s="151"/>
      <c r="EQ21" s="161"/>
      <c r="ER21" s="157" t="s">
        <v>79</v>
      </c>
      <c r="ES21" s="138">
        <v>119</v>
      </c>
      <c r="ET21" s="170">
        <v>2.0930769230769233</v>
      </c>
      <c r="EU21" s="140">
        <f t="shared" si="18"/>
        <v>249.07615384615386</v>
      </c>
      <c r="EV21" s="159">
        <f>SUM(EU18:EU21)</f>
        <v>1018.9721566710127</v>
      </c>
      <c r="EW21" s="528"/>
      <c r="EX21" s="151"/>
      <c r="EY21" s="161"/>
      <c r="EZ21" s="157" t="s">
        <v>79</v>
      </c>
      <c r="FA21" s="138"/>
      <c r="FB21" s="170">
        <v>2.0930769230769233</v>
      </c>
      <c r="FC21" s="140">
        <f t="shared" si="19"/>
        <v>0</v>
      </c>
      <c r="FD21" s="159">
        <f>SUM(FC18:FC21)</f>
        <v>0</v>
      </c>
      <c r="FE21" s="528"/>
      <c r="FF21" s="151"/>
      <c r="FG21" s="161"/>
      <c r="FH21" s="157" t="s">
        <v>79</v>
      </c>
      <c r="FI21" s="138"/>
      <c r="FJ21" s="170">
        <v>2.0930769230769233</v>
      </c>
      <c r="FK21" s="140">
        <f t="shared" si="20"/>
        <v>0</v>
      </c>
      <c r="FL21" s="159">
        <f>SUM(FK18:FK21)</f>
        <v>0</v>
      </c>
      <c r="FM21" s="528"/>
      <c r="FN21" s="151"/>
      <c r="FO21" s="161"/>
      <c r="FP21" s="157" t="s">
        <v>79</v>
      </c>
      <c r="FQ21" s="138"/>
      <c r="FR21" s="170">
        <v>2.0930769230769233</v>
      </c>
      <c r="FS21" s="140">
        <f t="shared" si="21"/>
        <v>0</v>
      </c>
      <c r="FT21" s="159">
        <f>SUM(FS18:FS21)</f>
        <v>0</v>
      </c>
      <c r="FU21" s="528"/>
      <c r="FV21" s="151"/>
      <c r="FW21" s="161"/>
      <c r="FX21" s="157" t="s">
        <v>79</v>
      </c>
      <c r="FY21" s="138"/>
      <c r="FZ21" s="170">
        <v>2.0930769230769233</v>
      </c>
      <c r="GA21" s="140">
        <f t="shared" si="22"/>
        <v>0</v>
      </c>
      <c r="GB21" s="159">
        <f>SUM(GA18:GA21)</f>
        <v>0</v>
      </c>
      <c r="GC21" s="528"/>
      <c r="GD21" s="151"/>
      <c r="GE21" s="161"/>
      <c r="GF21" s="157" t="s">
        <v>79</v>
      </c>
      <c r="GG21" s="138"/>
      <c r="GH21" s="170">
        <v>2.0930769230769233</v>
      </c>
      <c r="GI21" s="140">
        <f t="shared" si="23"/>
        <v>0</v>
      </c>
      <c r="GJ21" s="159">
        <f>SUM(GI18:GI21)</f>
        <v>0</v>
      </c>
      <c r="GK21" s="528"/>
      <c r="GL21" s="151"/>
      <c r="GM21" s="161"/>
      <c r="GN21" s="157" t="s">
        <v>79</v>
      </c>
      <c r="GO21" s="175">
        <v>29</v>
      </c>
      <c r="GP21" s="139">
        <v>2.0930769230769233</v>
      </c>
      <c r="GQ21" s="140">
        <f t="shared" si="24"/>
        <v>60.699230769230773</v>
      </c>
      <c r="GR21" s="159">
        <f>SUM(GQ18:GQ21)</f>
        <v>454.54370817036079</v>
      </c>
      <c r="GS21" s="528"/>
      <c r="GT21" s="151"/>
      <c r="GU21" s="161"/>
      <c r="GV21" s="157" t="s">
        <v>79</v>
      </c>
      <c r="GW21" s="175">
        <v>185</v>
      </c>
      <c r="GX21" s="139">
        <v>2.0930769230769233</v>
      </c>
      <c r="GY21" s="140">
        <f t="shared" si="25"/>
        <v>387.21923076923082</v>
      </c>
      <c r="GZ21" s="159">
        <f>SUM(GY18:GY21)</f>
        <v>1850.0649652325078</v>
      </c>
      <c r="HA21" s="528"/>
      <c r="HB21" s="151"/>
      <c r="HC21" s="161"/>
      <c r="HD21" s="157" t="s">
        <v>79</v>
      </c>
      <c r="HE21" s="175">
        <v>0</v>
      </c>
      <c r="HF21" s="139">
        <v>2.0930769230769233</v>
      </c>
      <c r="HG21" s="140">
        <f t="shared" si="26"/>
        <v>0</v>
      </c>
      <c r="HH21" s="159">
        <f>SUM(HG18:HG21)</f>
        <v>0</v>
      </c>
      <c r="HI21" s="528"/>
      <c r="HJ21" s="151"/>
      <c r="HK21" s="161"/>
      <c r="HL21" s="157" t="s">
        <v>79</v>
      </c>
      <c r="HM21" s="175">
        <v>68</v>
      </c>
      <c r="HN21" s="139">
        <v>2.0930769230769233</v>
      </c>
      <c r="HO21" s="140">
        <f t="shared" si="27"/>
        <v>142.32923076923078</v>
      </c>
      <c r="HP21" s="159">
        <f>SUM(HO18:HO21)</f>
        <v>2441.0498663624512</v>
      </c>
      <c r="HQ21" s="528"/>
      <c r="HR21" s="151"/>
      <c r="HS21" s="161"/>
      <c r="HT21" s="157" t="s">
        <v>79</v>
      </c>
      <c r="HU21" s="175">
        <v>0</v>
      </c>
      <c r="HV21" s="139">
        <v>2.0930769230769233</v>
      </c>
      <c r="HW21" s="140">
        <f t="shared" si="28"/>
        <v>0</v>
      </c>
      <c r="HX21" s="159">
        <f>SUM(HW18:HW21)</f>
        <v>2460.0514830508478</v>
      </c>
      <c r="HY21" s="528"/>
      <c r="HZ21" s="151"/>
      <c r="IA21" s="161"/>
      <c r="IB21" s="157" t="s">
        <v>79</v>
      </c>
      <c r="IC21" s="175">
        <v>29</v>
      </c>
      <c r="ID21" s="139">
        <v>2.0930769230769233</v>
      </c>
      <c r="IE21" s="140">
        <f t="shared" si="29"/>
        <v>60.699230769230773</v>
      </c>
      <c r="IF21" s="159">
        <f>SUM(IE18:IE21)</f>
        <v>1883.4947392438073</v>
      </c>
      <c r="IG21" s="528"/>
      <c r="IH21" s="151"/>
      <c r="II21" s="161"/>
      <c r="IJ21" s="157" t="s">
        <v>79</v>
      </c>
      <c r="IK21" s="175">
        <v>63</v>
      </c>
      <c r="IL21" s="139">
        <v>2.0930769230769233</v>
      </c>
      <c r="IM21" s="140">
        <f t="shared" si="30"/>
        <v>131.86384615384617</v>
      </c>
      <c r="IN21" s="159">
        <f>SUM(IM18:IM21)</f>
        <v>1940.6077585832249</v>
      </c>
      <c r="IO21" s="528"/>
      <c r="IP21" s="151"/>
      <c r="IQ21" s="161"/>
      <c r="IR21" s="157" t="s">
        <v>79</v>
      </c>
      <c r="IS21" s="175">
        <v>0</v>
      </c>
      <c r="IT21" s="139">
        <v>2.0930769230769233</v>
      </c>
      <c r="IU21" s="140">
        <f t="shared" si="31"/>
        <v>0</v>
      </c>
      <c r="IV21" s="159">
        <f>SUM(IU18:IU21)</f>
        <v>1940.9766666666669</v>
      </c>
      <c r="IW21" s="528"/>
      <c r="IX21" s="151"/>
      <c r="IY21" s="161"/>
      <c r="IZ21" s="157" t="s">
        <v>79</v>
      </c>
      <c r="JA21" s="175">
        <v>79</v>
      </c>
      <c r="JB21" s="139">
        <v>2.0930769230769233</v>
      </c>
      <c r="JC21" s="140">
        <f t="shared" si="32"/>
        <v>165.35307692307694</v>
      </c>
      <c r="JD21" s="159">
        <f>SUM(JC18:JC21)</f>
        <v>1111.27181986093</v>
      </c>
      <c r="JE21" s="528"/>
      <c r="JF21" s="151"/>
      <c r="JG21" s="161"/>
      <c r="JH21" s="157" t="s">
        <v>79</v>
      </c>
      <c r="JI21" s="175">
        <v>0</v>
      </c>
      <c r="JJ21" s="139">
        <v>2.0930769230769233</v>
      </c>
      <c r="JK21" s="140">
        <f t="shared" si="33"/>
        <v>0</v>
      </c>
      <c r="JL21" s="159">
        <f>SUM(JK18:JK21)</f>
        <v>109.64999999999999</v>
      </c>
      <c r="JM21" s="528"/>
      <c r="JN21" s="151"/>
      <c r="JO21" s="161"/>
      <c r="JP21" s="157" t="s">
        <v>79</v>
      </c>
      <c r="JQ21" s="175">
        <v>0</v>
      </c>
      <c r="JR21" s="139">
        <v>2.0930769230769233</v>
      </c>
      <c r="JS21" s="140">
        <f t="shared" si="34"/>
        <v>0</v>
      </c>
      <c r="JT21" s="159">
        <f>SUM(JS18:JS21)</f>
        <v>190.92231638418082</v>
      </c>
      <c r="JU21" s="528"/>
      <c r="JV21" s="151"/>
      <c r="JW21" s="161"/>
      <c r="JX21" s="157" t="s">
        <v>79</v>
      </c>
      <c r="JY21" s="175">
        <v>0</v>
      </c>
      <c r="JZ21" s="139">
        <v>2.0930769230769233</v>
      </c>
      <c r="KA21" s="140">
        <f t="shared" si="35"/>
        <v>0</v>
      </c>
      <c r="KB21" s="159">
        <f>SUM(KA18:KA21)</f>
        <v>1483.926271186441</v>
      </c>
      <c r="KC21" s="528"/>
      <c r="KD21" s="151"/>
      <c r="KE21" s="161"/>
      <c r="KF21" s="157" t="s">
        <v>79</v>
      </c>
      <c r="KG21" s="175">
        <v>0</v>
      </c>
      <c r="KH21" s="139">
        <v>2.0930769230769233</v>
      </c>
      <c r="KI21" s="140">
        <f t="shared" si="36"/>
        <v>0</v>
      </c>
      <c r="KJ21" s="159">
        <f>SUM(KI18:KI21)</f>
        <v>346.55728813559324</v>
      </c>
      <c r="KK21" s="528"/>
      <c r="KL21" s="151"/>
      <c r="KM21" s="161"/>
      <c r="KN21" s="157" t="s">
        <v>79</v>
      </c>
      <c r="KO21" s="175">
        <v>0</v>
      </c>
      <c r="KP21" s="139">
        <v>2.0930769230769233</v>
      </c>
      <c r="KQ21" s="140">
        <f t="shared" si="37"/>
        <v>0</v>
      </c>
      <c r="KR21" s="159">
        <f>SUM(KQ18:KQ21)</f>
        <v>294.94237288135599</v>
      </c>
      <c r="KS21" s="528"/>
      <c r="KT21" s="151"/>
      <c r="KU21" s="161"/>
      <c r="KV21" s="157" t="s">
        <v>79</v>
      </c>
      <c r="KW21" s="175">
        <v>0</v>
      </c>
      <c r="KX21" s="139">
        <v>2.0930769230769233</v>
      </c>
      <c r="KY21" s="140">
        <f t="shared" si="38"/>
        <v>0</v>
      </c>
      <c r="KZ21" s="159">
        <f>SUM(KY18:KY21)</f>
        <v>2630.1841949152545</v>
      </c>
      <c r="LA21" s="528"/>
      <c r="LB21" s="151"/>
      <c r="LC21" s="161"/>
      <c r="LD21" s="157" t="s">
        <v>79</v>
      </c>
      <c r="LE21" s="175">
        <v>97</v>
      </c>
      <c r="LF21" s="139">
        <v>2.0930769230769233</v>
      </c>
      <c r="LG21" s="140">
        <f t="shared" si="39"/>
        <v>203.02846153846156</v>
      </c>
      <c r="LH21" s="159">
        <f>SUM(LG18:LG21)</f>
        <v>2373.0253824424167</v>
      </c>
      <c r="LI21" s="528"/>
      <c r="LJ21" s="151"/>
      <c r="LK21" s="161"/>
      <c r="LL21" s="157" t="s">
        <v>79</v>
      </c>
      <c r="LM21" s="175">
        <v>113</v>
      </c>
      <c r="LN21" s="139">
        <v>2.0930769230769233</v>
      </c>
      <c r="LO21" s="140">
        <f t="shared" si="40"/>
        <v>236.51769230769233</v>
      </c>
      <c r="LP21" s="159">
        <f>SUM(LO18:LO21)</f>
        <v>1784.6473533246417</v>
      </c>
      <c r="LQ21" s="528"/>
      <c r="LR21" s="151"/>
      <c r="LS21" s="161"/>
      <c r="LT21" s="157" t="s">
        <v>79</v>
      </c>
      <c r="LU21" s="175">
        <v>273</v>
      </c>
      <c r="LV21" s="139">
        <v>2.0930769230769233</v>
      </c>
      <c r="LW21" s="140">
        <f t="shared" si="41"/>
        <v>571.41000000000008</v>
      </c>
      <c r="LX21" s="159">
        <f>SUM(LW18:LW21)</f>
        <v>1592.8308474576272</v>
      </c>
      <c r="LY21" s="528"/>
      <c r="LZ21" s="151"/>
      <c r="MA21" s="161"/>
      <c r="MB21" s="157" t="s">
        <v>79</v>
      </c>
      <c r="MC21" s="175">
        <v>183</v>
      </c>
      <c r="MD21" s="139">
        <v>2.0930769230769233</v>
      </c>
      <c r="ME21" s="140">
        <f t="shared" si="42"/>
        <v>383.03307692307698</v>
      </c>
      <c r="MF21" s="159">
        <f>SUM(ME18:ME21)</f>
        <v>2990.7717068665797</v>
      </c>
      <c r="MG21" s="528"/>
      <c r="MH21" s="151"/>
      <c r="MI21" s="161"/>
      <c r="MJ21" s="157" t="s">
        <v>79</v>
      </c>
      <c r="MK21" s="175">
        <v>36</v>
      </c>
      <c r="ML21" s="139">
        <v>2.0930769230769233</v>
      </c>
      <c r="MM21" s="140">
        <f t="shared" si="43"/>
        <v>75.350769230769231</v>
      </c>
      <c r="MN21" s="159">
        <f>SUM(MM18:MM21)</f>
        <v>2352.3332833550635</v>
      </c>
      <c r="MO21" s="528"/>
      <c r="MP21" s="151"/>
      <c r="MQ21" s="161"/>
      <c r="MR21" s="157" t="s">
        <v>79</v>
      </c>
      <c r="MS21" s="175">
        <v>39</v>
      </c>
      <c r="MT21" s="139">
        <v>2.0930769230769233</v>
      </c>
      <c r="MU21" s="140">
        <f t="shared" si="44"/>
        <v>81.63000000000001</v>
      </c>
      <c r="MV21" s="159">
        <f>SUM(MU18:MU21)</f>
        <v>1149.4387005649719</v>
      </c>
      <c r="MW21" s="528"/>
      <c r="MX21" s="151"/>
      <c r="MY21" s="161"/>
      <c r="MZ21" s="157" t="s">
        <v>79</v>
      </c>
      <c r="NA21" s="175">
        <v>180</v>
      </c>
      <c r="NB21" s="139">
        <v>2.0930769230769233</v>
      </c>
      <c r="NC21" s="140">
        <f t="shared" si="45"/>
        <v>376.75384615384621</v>
      </c>
      <c r="ND21" s="159">
        <f>SUM(NC18:NC21)</f>
        <v>969.26592242503261</v>
      </c>
      <c r="NE21" s="528"/>
      <c r="NF21" s="151"/>
      <c r="NG21" s="161"/>
      <c r="NH21" s="157" t="s">
        <v>79</v>
      </c>
      <c r="NI21" s="175">
        <v>64</v>
      </c>
      <c r="NJ21" s="139">
        <v>2.0930769230769233</v>
      </c>
      <c r="NK21" s="140">
        <f t="shared" si="46"/>
        <v>133.95692307692309</v>
      </c>
      <c r="NL21" s="159">
        <f>SUM(NK18:NK21)</f>
        <v>2065.9721349413298</v>
      </c>
      <c r="NM21" s="528"/>
      <c r="NN21" s="151"/>
      <c r="NO21" s="161"/>
      <c r="NP21" s="157" t="s">
        <v>79</v>
      </c>
      <c r="NQ21" s="175">
        <v>41</v>
      </c>
      <c r="NR21" s="139">
        <v>2.0930769230769233</v>
      </c>
      <c r="NS21" s="140">
        <f t="shared" si="47"/>
        <v>85.816153846153853</v>
      </c>
      <c r="NT21" s="159">
        <f>SUM(NS18:NS21)</f>
        <v>1992.1936397218603</v>
      </c>
      <c r="NU21" s="528"/>
      <c r="NV21" s="151"/>
      <c r="NW21" s="161"/>
      <c r="NX21" s="157" t="s">
        <v>79</v>
      </c>
      <c r="NY21" s="175">
        <v>126</v>
      </c>
      <c r="NZ21" s="139">
        <v>2.0930769230769233</v>
      </c>
      <c r="OA21" s="140">
        <f t="shared" si="48"/>
        <v>263.72769230769234</v>
      </c>
      <c r="OB21" s="159">
        <f>SUM(OA18:OA21)</f>
        <v>947.4002488048676</v>
      </c>
      <c r="OC21" s="528"/>
      <c r="OD21" s="151"/>
      <c r="OE21" s="161"/>
      <c r="OF21" s="157" t="s">
        <v>79</v>
      </c>
      <c r="OG21" s="175">
        <v>146</v>
      </c>
      <c r="OH21" s="139">
        <v>2.0930769230769233</v>
      </c>
      <c r="OI21" s="140">
        <f t="shared" si="49"/>
        <v>305.58923076923082</v>
      </c>
      <c r="OJ21" s="159">
        <f>SUM(OI18:OI21)</f>
        <v>1159.7877618426771</v>
      </c>
      <c r="OK21" s="528"/>
      <c r="OL21" s="151"/>
      <c r="OM21" s="161"/>
      <c r="ON21" s="157" t="s">
        <v>79</v>
      </c>
      <c r="OO21" s="175">
        <v>80</v>
      </c>
      <c r="OP21" s="139">
        <v>2.0930769230769233</v>
      </c>
      <c r="OQ21" s="140">
        <f t="shared" si="50"/>
        <v>167.44615384615386</v>
      </c>
      <c r="OR21" s="159">
        <f>SUM(OQ18:OQ21)</f>
        <v>1460.4859702303347</v>
      </c>
      <c r="OS21" s="528"/>
      <c r="OT21" s="151"/>
      <c r="OU21" s="161"/>
      <c r="OV21" s="157" t="s">
        <v>79</v>
      </c>
      <c r="OW21" s="175"/>
      <c r="OX21" s="139">
        <v>2.0930769230769233</v>
      </c>
      <c r="OY21" s="140">
        <f t="shared" si="51"/>
        <v>0</v>
      </c>
      <c r="OZ21" s="159">
        <f>SUM(OY18:OY21)</f>
        <v>0</v>
      </c>
      <c r="PA21" s="528"/>
      <c r="PB21" s="151"/>
      <c r="PC21" s="161"/>
      <c r="PD21" s="157" t="s">
        <v>79</v>
      </c>
      <c r="PE21" s="175"/>
      <c r="PF21" s="139">
        <v>2.0930769230769233</v>
      </c>
      <c r="PG21" s="140">
        <f t="shared" si="52"/>
        <v>0</v>
      </c>
      <c r="PH21" s="159">
        <f>SUM(PG18:PG21)</f>
        <v>0</v>
      </c>
      <c r="PI21" s="528"/>
      <c r="PJ21" s="151"/>
      <c r="PK21" s="161"/>
      <c r="PL21" s="157" t="s">
        <v>79</v>
      </c>
      <c r="PM21" s="175">
        <v>7</v>
      </c>
      <c r="PN21" s="139">
        <v>2.0930769230769233</v>
      </c>
      <c r="PO21" s="140">
        <f t="shared" si="53"/>
        <v>14.651538461538463</v>
      </c>
      <c r="PP21" s="159">
        <f>SUM(PO18:PO21)</f>
        <v>44.145775749674058</v>
      </c>
      <c r="PQ21" s="528"/>
      <c r="PR21" s="151"/>
      <c r="PS21" s="161"/>
      <c r="PT21" s="157" t="s">
        <v>79</v>
      </c>
      <c r="PU21" s="175">
        <v>18</v>
      </c>
      <c r="PV21" s="139">
        <v>2.0930769230769233</v>
      </c>
      <c r="PW21" s="140">
        <f t="shared" si="66"/>
        <v>37.675384615384615</v>
      </c>
      <c r="PX21" s="159">
        <f>SUM(PW18:PW21)</f>
        <v>56.819777270751842</v>
      </c>
      <c r="PY21" s="528"/>
      <c r="PZ21" s="151"/>
      <c r="QA21" s="161"/>
      <c r="QB21" s="157" t="s">
        <v>79</v>
      </c>
      <c r="QC21" s="175">
        <v>3</v>
      </c>
      <c r="QD21" s="139">
        <v>2.0930769230769233</v>
      </c>
      <c r="QE21" s="140">
        <f t="shared" si="67"/>
        <v>6.2792307692307698</v>
      </c>
      <c r="QF21" s="159">
        <f>SUM(QE18:QE21)</f>
        <v>79.214979356801393</v>
      </c>
      <c r="QG21" s="528"/>
      <c r="QH21" s="151"/>
      <c r="QI21" s="161"/>
      <c r="QJ21" s="157" t="s">
        <v>79</v>
      </c>
      <c r="QK21" s="175">
        <v>41</v>
      </c>
      <c r="QL21" s="139">
        <v>2.0930769230769233</v>
      </c>
      <c r="QM21" s="140">
        <f t="shared" si="68"/>
        <v>85.816153846153853</v>
      </c>
      <c r="QN21" s="159">
        <f>SUM(QM18:QM21)</f>
        <v>295.91763689700133</v>
      </c>
      <c r="QO21" s="528"/>
      <c r="QP21" s="151"/>
      <c r="QQ21" s="161"/>
      <c r="QR21" s="157" t="s">
        <v>79</v>
      </c>
      <c r="QS21" s="175">
        <v>31</v>
      </c>
      <c r="QT21" s="139">
        <v>2.0930769230769233</v>
      </c>
      <c r="QU21" s="140">
        <f t="shared" si="69"/>
        <v>64.885384615384623</v>
      </c>
      <c r="QV21" s="159">
        <f>SUM(QU18:QU21)</f>
        <v>266.97771512385918</v>
      </c>
      <c r="QW21" s="528"/>
      <c r="QX21" s="151"/>
      <c r="QY21" s="161"/>
      <c r="QZ21" s="157" t="s">
        <v>79</v>
      </c>
      <c r="RA21" s="175"/>
      <c r="RB21" s="139">
        <v>2.0930769230769233</v>
      </c>
      <c r="RC21" s="140">
        <f t="shared" si="70"/>
        <v>0</v>
      </c>
      <c r="RD21" s="159">
        <f>SUM(RC18:RC21)</f>
        <v>0</v>
      </c>
      <c r="RE21" s="528"/>
      <c r="RF21" s="151"/>
      <c r="RG21" s="161"/>
      <c r="RH21" s="157" t="s">
        <v>79</v>
      </c>
      <c r="RI21" s="175"/>
      <c r="RJ21" s="139">
        <v>2.0930769230769233</v>
      </c>
      <c r="RK21" s="140">
        <f t="shared" si="71"/>
        <v>0</v>
      </c>
      <c r="RL21" s="159">
        <f>SUM(RK18:RK21)</f>
        <v>0</v>
      </c>
      <c r="RM21" s="528"/>
      <c r="RN21" s="151"/>
      <c r="RO21" s="161"/>
      <c r="RP21" s="157" t="s">
        <v>79</v>
      </c>
      <c r="RQ21" s="175">
        <v>110</v>
      </c>
      <c r="RR21" s="139">
        <v>2.0930769230769233</v>
      </c>
      <c r="RS21" s="140">
        <f t="shared" si="72"/>
        <v>230.23846153846156</v>
      </c>
      <c r="RT21" s="159">
        <f>SUM(RS18:RS21)</f>
        <v>2078.9034050412865</v>
      </c>
      <c r="RU21" s="528"/>
      <c r="RV21" s="151"/>
      <c r="RW21" s="161"/>
      <c r="RX21" s="157" t="s">
        <v>79</v>
      </c>
      <c r="RY21" s="175">
        <v>24</v>
      </c>
      <c r="RZ21" s="139">
        <v>2.0930769230769233</v>
      </c>
      <c r="SA21" s="140">
        <f t="shared" si="73"/>
        <v>50.233846153846159</v>
      </c>
      <c r="SB21" s="159">
        <f>SUM(SA18:SA21)</f>
        <v>1434.0586342894394</v>
      </c>
      <c r="SC21" s="528"/>
      <c r="SD21" s="151"/>
      <c r="SE21" s="161"/>
      <c r="SF21" s="157" t="s">
        <v>79</v>
      </c>
      <c r="SG21" s="175">
        <v>43</v>
      </c>
      <c r="SH21" s="139">
        <v>2.0930769230769233</v>
      </c>
      <c r="SI21" s="140">
        <f t="shared" si="74"/>
        <v>90.002307692307696</v>
      </c>
      <c r="SJ21" s="159">
        <f>SUM(SI18:SI21)</f>
        <v>1705.1739461103873</v>
      </c>
      <c r="SK21" s="528"/>
      <c r="SL21" s="151"/>
      <c r="SM21" s="161"/>
      <c r="SN21" s="157" t="s">
        <v>79</v>
      </c>
      <c r="SO21" s="175">
        <v>12</v>
      </c>
      <c r="SP21" s="139">
        <v>2.0930769230769233</v>
      </c>
      <c r="SQ21" s="140">
        <f t="shared" si="75"/>
        <v>25.116923076923079</v>
      </c>
      <c r="SR21" s="159">
        <f>SUM(SQ18:SQ21)</f>
        <v>1383.1876999130814</v>
      </c>
      <c r="SS21" s="528"/>
      <c r="ST21" s="151"/>
      <c r="SU21" s="161"/>
      <c r="SV21" s="157" t="s">
        <v>79</v>
      </c>
      <c r="SW21" s="175">
        <v>46</v>
      </c>
      <c r="SX21" s="139">
        <v>2.0930769230769233</v>
      </c>
      <c r="SY21" s="140">
        <f t="shared" si="76"/>
        <v>96.281538461538474</v>
      </c>
      <c r="SZ21" s="159">
        <f>SUM(SY18:SY21)</f>
        <v>636.85615710560637</v>
      </c>
      <c r="TA21" s="528"/>
      <c r="TB21" s="151"/>
      <c r="TC21" s="161"/>
      <c r="TD21" s="157" t="s">
        <v>79</v>
      </c>
      <c r="TE21" s="175">
        <v>38</v>
      </c>
      <c r="TF21" s="139">
        <v>2.0930769230769233</v>
      </c>
      <c r="TG21" s="140">
        <f t="shared" si="77"/>
        <v>79.536923076923088</v>
      </c>
      <c r="TH21" s="159">
        <f>SUM(TG18:TG21)</f>
        <v>837.59733268144294</v>
      </c>
      <c r="TI21" s="528"/>
    </row>
    <row r="22" spans="2:529">
      <c r="B22" s="143" t="s">
        <v>80</v>
      </c>
      <c r="C22" s="144">
        <v>23</v>
      </c>
      <c r="D22" s="160" t="s">
        <v>76</v>
      </c>
      <c r="E22" s="138">
        <v>41</v>
      </c>
      <c r="F22" s="139">
        <v>4.3755555555555548</v>
      </c>
      <c r="G22" s="140">
        <f t="shared" si="0"/>
        <v>179.39777777777775</v>
      </c>
      <c r="H22" s="158"/>
      <c r="I22" s="528"/>
      <c r="J22" s="143" t="s">
        <v>80</v>
      </c>
      <c r="K22" s="144">
        <v>31</v>
      </c>
      <c r="L22" s="160" t="s">
        <v>76</v>
      </c>
      <c r="M22" s="138">
        <v>44</v>
      </c>
      <c r="N22" s="139">
        <v>4.3755555555555548</v>
      </c>
      <c r="O22" s="140">
        <f t="shared" si="1"/>
        <v>192.52444444444441</v>
      </c>
      <c r="P22" s="158"/>
      <c r="Q22" s="528"/>
      <c r="R22" s="143" t="s">
        <v>80</v>
      </c>
      <c r="S22" s="144"/>
      <c r="T22" s="160" t="s">
        <v>76</v>
      </c>
      <c r="U22" s="138">
        <v>0</v>
      </c>
      <c r="V22" s="139">
        <v>4.3755555555555548</v>
      </c>
      <c r="W22" s="140">
        <f t="shared" si="2"/>
        <v>0</v>
      </c>
      <c r="X22" s="158"/>
      <c r="Y22" s="528"/>
      <c r="Z22" s="143" t="s">
        <v>80</v>
      </c>
      <c r="AA22" s="144">
        <v>16</v>
      </c>
      <c r="AB22" s="160" t="s">
        <v>76</v>
      </c>
      <c r="AC22" s="138">
        <v>10</v>
      </c>
      <c r="AD22" s="139">
        <v>4.3755555555555548</v>
      </c>
      <c r="AE22" s="140">
        <f t="shared" si="3"/>
        <v>43.755555555555546</v>
      </c>
      <c r="AF22" s="158"/>
      <c r="AG22" s="528"/>
      <c r="AH22" s="143" t="s">
        <v>80</v>
      </c>
      <c r="AI22" s="144"/>
      <c r="AJ22" s="160" t="s">
        <v>76</v>
      </c>
      <c r="AK22" s="138">
        <v>0</v>
      </c>
      <c r="AL22" s="139">
        <v>4.3755555555555548</v>
      </c>
      <c r="AM22" s="140">
        <f t="shared" si="4"/>
        <v>0</v>
      </c>
      <c r="AN22" s="158"/>
      <c r="AO22" s="528"/>
      <c r="AP22" s="143" t="s">
        <v>80</v>
      </c>
      <c r="AQ22" s="144"/>
      <c r="AR22" s="160" t="s">
        <v>76</v>
      </c>
      <c r="AS22" s="138"/>
      <c r="AT22" s="139">
        <v>4.3755555555555548</v>
      </c>
      <c r="AU22" s="140">
        <f t="shared" si="5"/>
        <v>0</v>
      </c>
      <c r="AV22" s="158"/>
      <c r="AW22" s="528"/>
      <c r="AX22" s="143" t="s">
        <v>80</v>
      </c>
      <c r="AY22" s="144">
        <v>19</v>
      </c>
      <c r="AZ22" s="160" t="s">
        <v>76</v>
      </c>
      <c r="BA22" s="138">
        <v>16</v>
      </c>
      <c r="BB22" s="139">
        <v>4.3755555555555548</v>
      </c>
      <c r="BC22" s="140">
        <f t="shared" si="6"/>
        <v>70.008888888888876</v>
      </c>
      <c r="BD22" s="158"/>
      <c r="BE22" s="528"/>
      <c r="BF22" s="143" t="s">
        <v>80</v>
      </c>
      <c r="BG22" s="144">
        <v>38</v>
      </c>
      <c r="BH22" s="160" t="s">
        <v>76</v>
      </c>
      <c r="BI22" s="138">
        <v>8</v>
      </c>
      <c r="BJ22" s="139">
        <v>4.3755555555555548</v>
      </c>
      <c r="BK22" s="140">
        <f t="shared" si="7"/>
        <v>35.004444444444438</v>
      </c>
      <c r="BL22" s="158"/>
      <c r="BM22" s="528"/>
      <c r="BN22" s="143" t="s">
        <v>80</v>
      </c>
      <c r="BO22" s="144">
        <v>4</v>
      </c>
      <c r="BP22" s="160" t="s">
        <v>76</v>
      </c>
      <c r="BQ22" s="138">
        <v>25</v>
      </c>
      <c r="BR22" s="139">
        <v>4.3755555555555548</v>
      </c>
      <c r="BS22" s="140">
        <f t="shared" si="8"/>
        <v>109.38888888888887</v>
      </c>
      <c r="BT22" s="158"/>
      <c r="BU22" s="528"/>
      <c r="BV22" s="564" t="s">
        <v>80</v>
      </c>
      <c r="BW22" s="565"/>
      <c r="BX22" s="576" t="s">
        <v>76</v>
      </c>
      <c r="BY22" s="560"/>
      <c r="BZ22" s="561">
        <v>4.3755555555555548</v>
      </c>
      <c r="CA22" s="562">
        <f t="shared" si="9"/>
        <v>0</v>
      </c>
      <c r="CB22" s="540"/>
      <c r="CC22" s="528"/>
      <c r="CD22" s="564" t="s">
        <v>80</v>
      </c>
      <c r="CE22" s="565"/>
      <c r="CF22" s="576" t="s">
        <v>76</v>
      </c>
      <c r="CG22" s="560"/>
      <c r="CH22" s="561">
        <v>4.3755555555555548</v>
      </c>
      <c r="CI22" s="562">
        <f t="shared" si="10"/>
        <v>0</v>
      </c>
      <c r="CJ22" s="540"/>
      <c r="CK22" s="528"/>
      <c r="CL22" s="143" t="s">
        <v>80</v>
      </c>
      <c r="CM22" s="144">
        <v>37</v>
      </c>
      <c r="CN22" s="160" t="s">
        <v>76</v>
      </c>
      <c r="CO22" s="138">
        <v>77</v>
      </c>
      <c r="CP22" s="139">
        <v>4.3755555555555548</v>
      </c>
      <c r="CQ22" s="140">
        <f t="shared" si="11"/>
        <v>336.9177777777777</v>
      </c>
      <c r="CR22" s="158"/>
      <c r="CS22" s="528"/>
      <c r="CT22" s="143" t="s">
        <v>80</v>
      </c>
      <c r="CU22" s="144">
        <v>38</v>
      </c>
      <c r="CV22" s="160" t="s">
        <v>76</v>
      </c>
      <c r="CW22" s="138">
        <v>8</v>
      </c>
      <c r="CX22" s="139">
        <v>4.3755555555555548</v>
      </c>
      <c r="CY22" s="140">
        <f t="shared" si="12"/>
        <v>35.004444444444438</v>
      </c>
      <c r="CZ22" s="158"/>
      <c r="DA22" s="528"/>
      <c r="DB22" s="143" t="s">
        <v>80</v>
      </c>
      <c r="DC22" s="144">
        <v>17</v>
      </c>
      <c r="DD22" s="160" t="s">
        <v>76</v>
      </c>
      <c r="DE22" s="138">
        <v>233</v>
      </c>
      <c r="DF22" s="139">
        <v>4.3755555555555548</v>
      </c>
      <c r="DG22" s="140">
        <f t="shared" si="13"/>
        <v>1019.5044444444443</v>
      </c>
      <c r="DH22" s="158"/>
      <c r="DI22" s="528"/>
      <c r="DJ22" s="143" t="s">
        <v>80</v>
      </c>
      <c r="DK22" s="144">
        <v>1</v>
      </c>
      <c r="DL22" s="160" t="s">
        <v>76</v>
      </c>
      <c r="DM22" s="138">
        <v>0</v>
      </c>
      <c r="DN22" s="170">
        <v>4.3755555555555548</v>
      </c>
      <c r="DO22" s="140">
        <f t="shared" si="14"/>
        <v>0</v>
      </c>
      <c r="DP22" s="158"/>
      <c r="DQ22" s="528"/>
      <c r="DR22" s="143" t="s">
        <v>80</v>
      </c>
      <c r="DS22" s="144"/>
      <c r="DT22" s="160" t="s">
        <v>76</v>
      </c>
      <c r="DU22" s="138"/>
      <c r="DV22" s="170">
        <v>4.3755555555555548</v>
      </c>
      <c r="DW22" s="140">
        <f t="shared" si="15"/>
        <v>0</v>
      </c>
      <c r="DX22" s="158"/>
      <c r="DY22" s="528"/>
      <c r="DZ22" s="143" t="s">
        <v>80</v>
      </c>
      <c r="EA22" s="144">
        <v>21</v>
      </c>
      <c r="EB22" s="160" t="s">
        <v>76</v>
      </c>
      <c r="EC22" s="138">
        <v>0</v>
      </c>
      <c r="ED22" s="170">
        <v>4.3755555555555548</v>
      </c>
      <c r="EE22" s="140">
        <f t="shared" si="16"/>
        <v>0</v>
      </c>
      <c r="EF22" s="158"/>
      <c r="EG22" s="528"/>
      <c r="EH22" s="143" t="s">
        <v>80</v>
      </c>
      <c r="EI22" s="144">
        <v>36</v>
      </c>
      <c r="EJ22" s="160" t="s">
        <v>76</v>
      </c>
      <c r="EK22" s="138">
        <v>0</v>
      </c>
      <c r="EL22" s="170">
        <v>4.3755555555555548</v>
      </c>
      <c r="EM22" s="140">
        <f t="shared" si="17"/>
        <v>0</v>
      </c>
      <c r="EN22" s="158"/>
      <c r="EO22" s="528"/>
      <c r="EP22" s="143" t="s">
        <v>80</v>
      </c>
      <c r="EQ22" s="144">
        <v>20</v>
      </c>
      <c r="ER22" s="160" t="s">
        <v>76</v>
      </c>
      <c r="ES22" s="138">
        <v>0</v>
      </c>
      <c r="ET22" s="170">
        <v>4.3755555555555548</v>
      </c>
      <c r="EU22" s="140">
        <f t="shared" si="18"/>
        <v>0</v>
      </c>
      <c r="EV22" s="158"/>
      <c r="EW22" s="528"/>
      <c r="EX22" s="143" t="s">
        <v>80</v>
      </c>
      <c r="EY22" s="144"/>
      <c r="EZ22" s="160" t="s">
        <v>76</v>
      </c>
      <c r="FA22" s="138"/>
      <c r="FB22" s="170">
        <v>4.3755555555555548</v>
      </c>
      <c r="FC22" s="140">
        <f t="shared" si="19"/>
        <v>0</v>
      </c>
      <c r="FD22" s="158"/>
      <c r="FE22" s="528"/>
      <c r="FF22" s="143" t="s">
        <v>80</v>
      </c>
      <c r="FG22" s="144"/>
      <c r="FH22" s="160" t="s">
        <v>76</v>
      </c>
      <c r="FI22" s="138"/>
      <c r="FJ22" s="170">
        <v>4.3755555555555548</v>
      </c>
      <c r="FK22" s="140">
        <f t="shared" si="20"/>
        <v>0</v>
      </c>
      <c r="FL22" s="158"/>
      <c r="FM22" s="528"/>
      <c r="FN22" s="143" t="s">
        <v>80</v>
      </c>
      <c r="FO22" s="144"/>
      <c r="FP22" s="160" t="s">
        <v>76</v>
      </c>
      <c r="FQ22" s="138"/>
      <c r="FR22" s="170">
        <v>4.3755555555555548</v>
      </c>
      <c r="FS22" s="140">
        <f t="shared" si="21"/>
        <v>0</v>
      </c>
      <c r="FT22" s="158"/>
      <c r="FU22" s="528"/>
      <c r="FV22" s="143" t="s">
        <v>80</v>
      </c>
      <c r="FW22" s="144"/>
      <c r="FX22" s="160" t="s">
        <v>76</v>
      </c>
      <c r="FY22" s="138"/>
      <c r="FZ22" s="170">
        <v>4.3755555555555548</v>
      </c>
      <c r="GA22" s="140">
        <f t="shared" si="22"/>
        <v>0</v>
      </c>
      <c r="GB22" s="158"/>
      <c r="GC22" s="528"/>
      <c r="GD22" s="143" t="s">
        <v>80</v>
      </c>
      <c r="GE22" s="144"/>
      <c r="GF22" s="160" t="s">
        <v>76</v>
      </c>
      <c r="GG22" s="138"/>
      <c r="GH22" s="170">
        <v>4.3755555555555548</v>
      </c>
      <c r="GI22" s="140">
        <f t="shared" si="23"/>
        <v>0</v>
      </c>
      <c r="GJ22" s="158"/>
      <c r="GK22" s="528"/>
      <c r="GL22" s="143" t="s">
        <v>80</v>
      </c>
      <c r="GM22" s="144">
        <v>13</v>
      </c>
      <c r="GN22" s="160" t="s">
        <v>76</v>
      </c>
      <c r="GO22" s="175">
        <f>'[1]Jan_18_Vol weekly-Data-Entry'!$X$110</f>
        <v>0</v>
      </c>
      <c r="GP22" s="139">
        <v>4.3755555555555548</v>
      </c>
      <c r="GQ22" s="140">
        <f t="shared" si="24"/>
        <v>0</v>
      </c>
      <c r="GR22" s="158"/>
      <c r="GS22" s="528"/>
      <c r="GT22" s="143" t="s">
        <v>80</v>
      </c>
      <c r="GU22" s="144">
        <v>15</v>
      </c>
      <c r="GV22" s="160" t="s">
        <v>76</v>
      </c>
      <c r="GW22" s="175">
        <v>233</v>
      </c>
      <c r="GX22" s="139">
        <v>4.3755555555555548</v>
      </c>
      <c r="GY22" s="140">
        <f t="shared" si="25"/>
        <v>1019.5044444444443</v>
      </c>
      <c r="GZ22" s="158"/>
      <c r="HA22" s="528"/>
      <c r="HB22" s="143" t="s">
        <v>80</v>
      </c>
      <c r="HC22" s="144">
        <v>0</v>
      </c>
      <c r="HD22" s="160" t="s">
        <v>76</v>
      </c>
      <c r="HE22" s="175">
        <v>0</v>
      </c>
      <c r="HF22" s="139">
        <v>4.3755555555555548</v>
      </c>
      <c r="HG22" s="140">
        <f t="shared" si="26"/>
        <v>0</v>
      </c>
      <c r="HH22" s="158"/>
      <c r="HI22" s="528"/>
      <c r="HJ22" s="143" t="s">
        <v>80</v>
      </c>
      <c r="HK22" s="144">
        <v>79</v>
      </c>
      <c r="HL22" s="160" t="s">
        <v>76</v>
      </c>
      <c r="HM22" s="175">
        <v>14</v>
      </c>
      <c r="HN22" s="139">
        <v>4.3755555555555548</v>
      </c>
      <c r="HO22" s="140">
        <f t="shared" si="27"/>
        <v>61.257777777777768</v>
      </c>
      <c r="HP22" s="158"/>
      <c r="HQ22" s="528"/>
      <c r="HR22" s="143" t="s">
        <v>80</v>
      </c>
      <c r="HS22" s="144">
        <v>78</v>
      </c>
      <c r="HT22" s="160" t="s">
        <v>76</v>
      </c>
      <c r="HU22" s="175">
        <v>167</v>
      </c>
      <c r="HV22" s="139">
        <v>4.3755555555555548</v>
      </c>
      <c r="HW22" s="140">
        <f t="shared" si="28"/>
        <v>730.71777777777766</v>
      </c>
      <c r="HX22" s="158"/>
      <c r="HY22" s="528"/>
      <c r="HZ22" s="143" t="s">
        <v>80</v>
      </c>
      <c r="IA22" s="144">
        <v>44</v>
      </c>
      <c r="IB22" s="160" t="s">
        <v>76</v>
      </c>
      <c r="IC22" s="175">
        <v>82</v>
      </c>
      <c r="ID22" s="139">
        <v>4.3755555555555548</v>
      </c>
      <c r="IE22" s="140">
        <f t="shared" si="29"/>
        <v>358.7955555555555</v>
      </c>
      <c r="IF22" s="158"/>
      <c r="IG22" s="528"/>
      <c r="IH22" s="143" t="s">
        <v>80</v>
      </c>
      <c r="II22" s="144">
        <v>63</v>
      </c>
      <c r="IJ22" s="160" t="s">
        <v>76</v>
      </c>
      <c r="IK22" s="175">
        <v>0</v>
      </c>
      <c r="IL22" s="139">
        <v>4.3755555555555548</v>
      </c>
      <c r="IM22" s="140">
        <f t="shared" si="30"/>
        <v>0</v>
      </c>
      <c r="IN22" s="158"/>
      <c r="IO22" s="528"/>
      <c r="IP22" s="143" t="s">
        <v>80</v>
      </c>
      <c r="IQ22" s="144">
        <v>103</v>
      </c>
      <c r="IR22" s="160" t="s">
        <v>76</v>
      </c>
      <c r="IS22" s="175">
        <v>25</v>
      </c>
      <c r="IT22" s="139">
        <v>4.3755555555555548</v>
      </c>
      <c r="IU22" s="140">
        <f t="shared" si="31"/>
        <v>109.38888888888887</v>
      </c>
      <c r="IV22" s="158"/>
      <c r="IW22" s="528"/>
      <c r="IX22" s="143" t="s">
        <v>80</v>
      </c>
      <c r="IY22" s="144">
        <v>50</v>
      </c>
      <c r="IZ22" s="160" t="s">
        <v>76</v>
      </c>
      <c r="JA22" s="175">
        <v>233</v>
      </c>
      <c r="JB22" s="139">
        <v>4.3755555555555548</v>
      </c>
      <c r="JC22" s="140">
        <f t="shared" si="32"/>
        <v>1019.5044444444443</v>
      </c>
      <c r="JD22" s="158"/>
      <c r="JE22" s="528"/>
      <c r="JF22" s="143" t="s">
        <v>80</v>
      </c>
      <c r="JG22" s="144">
        <v>5</v>
      </c>
      <c r="JH22" s="160" t="s">
        <v>76</v>
      </c>
      <c r="JI22" s="175">
        <v>0</v>
      </c>
      <c r="JJ22" s="139">
        <v>4.3755555555555548</v>
      </c>
      <c r="JK22" s="140">
        <f t="shared" si="33"/>
        <v>0</v>
      </c>
      <c r="JL22" s="158"/>
      <c r="JM22" s="528"/>
      <c r="JN22" s="143" t="s">
        <v>80</v>
      </c>
      <c r="JO22" s="144">
        <v>1</v>
      </c>
      <c r="JP22" s="160" t="s">
        <v>76</v>
      </c>
      <c r="JQ22" s="175">
        <v>12</v>
      </c>
      <c r="JR22" s="139">
        <v>4.3755555555555548</v>
      </c>
      <c r="JS22" s="140">
        <f t="shared" si="34"/>
        <v>52.506666666666661</v>
      </c>
      <c r="JT22" s="158"/>
      <c r="JU22" s="528"/>
      <c r="JV22" s="143" t="s">
        <v>80</v>
      </c>
      <c r="JW22" s="144">
        <v>85</v>
      </c>
      <c r="JX22" s="160" t="s">
        <v>76</v>
      </c>
      <c r="JY22" s="175">
        <v>152</v>
      </c>
      <c r="JZ22" s="139">
        <v>4.3755555555555548</v>
      </c>
      <c r="KA22" s="140">
        <f t="shared" si="35"/>
        <v>665.08444444444433</v>
      </c>
      <c r="KB22" s="158"/>
      <c r="KC22" s="528"/>
      <c r="KD22" s="143" t="s">
        <v>80</v>
      </c>
      <c r="KE22" s="144">
        <v>7</v>
      </c>
      <c r="KF22" s="160" t="s">
        <v>76</v>
      </c>
      <c r="KG22" s="175">
        <v>41</v>
      </c>
      <c r="KH22" s="139">
        <v>4.3755555555555548</v>
      </c>
      <c r="KI22" s="140">
        <f t="shared" si="36"/>
        <v>179.39777777777775</v>
      </c>
      <c r="KJ22" s="158"/>
      <c r="KK22" s="528"/>
      <c r="KL22" s="143" t="s">
        <v>80</v>
      </c>
      <c r="KM22" s="144">
        <v>0</v>
      </c>
      <c r="KN22" s="160" t="s">
        <v>76</v>
      </c>
      <c r="KO22" s="175">
        <v>0</v>
      </c>
      <c r="KP22" s="139">
        <v>4.3755555555555548</v>
      </c>
      <c r="KQ22" s="140">
        <f t="shared" si="37"/>
        <v>0</v>
      </c>
      <c r="KR22" s="158"/>
      <c r="KS22" s="528"/>
      <c r="KT22" s="143" t="s">
        <v>80</v>
      </c>
      <c r="KU22" s="144">
        <v>80</v>
      </c>
      <c r="KV22" s="160" t="s">
        <v>76</v>
      </c>
      <c r="KW22" s="175">
        <v>31</v>
      </c>
      <c r="KX22" s="139">
        <v>4.3755555555555548</v>
      </c>
      <c r="KY22" s="140">
        <f t="shared" si="38"/>
        <v>135.64222222222219</v>
      </c>
      <c r="KZ22" s="158"/>
      <c r="LA22" s="528"/>
      <c r="LB22" s="143" t="s">
        <v>80</v>
      </c>
      <c r="LC22" s="144">
        <v>72</v>
      </c>
      <c r="LD22" s="160" t="s">
        <v>76</v>
      </c>
      <c r="LE22" s="175">
        <v>15</v>
      </c>
      <c r="LF22" s="139">
        <v>4.3755555555555548</v>
      </c>
      <c r="LG22" s="140">
        <f t="shared" si="39"/>
        <v>65.633333333333326</v>
      </c>
      <c r="LH22" s="158"/>
      <c r="LI22" s="528"/>
      <c r="LJ22" s="143" t="s">
        <v>80</v>
      </c>
      <c r="LK22" s="144">
        <v>94</v>
      </c>
      <c r="LL22" s="160" t="s">
        <v>76</v>
      </c>
      <c r="LM22" s="175">
        <v>26</v>
      </c>
      <c r="LN22" s="139">
        <v>4.3755555555555548</v>
      </c>
      <c r="LO22" s="140">
        <f t="shared" si="40"/>
        <v>113.76444444444442</v>
      </c>
      <c r="LP22" s="158"/>
      <c r="LQ22" s="528"/>
      <c r="LR22" s="143" t="s">
        <v>80</v>
      </c>
      <c r="LS22" s="144">
        <v>43</v>
      </c>
      <c r="LT22" s="160" t="s">
        <v>76</v>
      </c>
      <c r="LU22" s="175">
        <v>5</v>
      </c>
      <c r="LV22" s="139">
        <v>4.3755555555555548</v>
      </c>
      <c r="LW22" s="140">
        <f t="shared" si="41"/>
        <v>21.877777777777773</v>
      </c>
      <c r="LX22" s="158"/>
      <c r="LY22" s="528"/>
      <c r="LZ22" s="143" t="s">
        <v>80</v>
      </c>
      <c r="MA22" s="144">
        <v>51</v>
      </c>
      <c r="MB22" s="160" t="s">
        <v>76</v>
      </c>
      <c r="MC22" s="175">
        <v>16</v>
      </c>
      <c r="MD22" s="139">
        <v>4.3755555555555548</v>
      </c>
      <c r="ME22" s="140">
        <f t="shared" si="42"/>
        <v>70.008888888888876</v>
      </c>
      <c r="MF22" s="158"/>
      <c r="MG22" s="528"/>
      <c r="MH22" s="143" t="s">
        <v>80</v>
      </c>
      <c r="MI22" s="144">
        <v>70</v>
      </c>
      <c r="MJ22" s="160" t="s">
        <v>76</v>
      </c>
      <c r="MK22" s="175">
        <v>10</v>
      </c>
      <c r="ML22" s="139">
        <v>4.3755555555555548</v>
      </c>
      <c r="MM22" s="140">
        <f t="shared" si="43"/>
        <v>43.755555555555546</v>
      </c>
      <c r="MN22" s="158"/>
      <c r="MO22" s="528"/>
      <c r="MP22" s="143" t="s">
        <v>80</v>
      </c>
      <c r="MQ22" s="144">
        <v>55</v>
      </c>
      <c r="MR22" s="160" t="s">
        <v>76</v>
      </c>
      <c r="MS22" s="175">
        <v>9</v>
      </c>
      <c r="MT22" s="139">
        <v>4.3755555555555548</v>
      </c>
      <c r="MU22" s="140">
        <f t="shared" si="44"/>
        <v>39.379999999999995</v>
      </c>
      <c r="MV22" s="158"/>
      <c r="MW22" s="528"/>
      <c r="MX22" s="143" t="s">
        <v>80</v>
      </c>
      <c r="MY22" s="144">
        <v>56</v>
      </c>
      <c r="MZ22" s="160" t="s">
        <v>76</v>
      </c>
      <c r="NA22" s="175">
        <v>4</v>
      </c>
      <c r="NB22" s="139">
        <v>4.3755555555555548</v>
      </c>
      <c r="NC22" s="140">
        <f t="shared" si="45"/>
        <v>17.502222222222219</v>
      </c>
      <c r="ND22" s="158"/>
      <c r="NE22" s="528"/>
      <c r="NF22" s="143" t="s">
        <v>80</v>
      </c>
      <c r="NG22" s="144">
        <v>67</v>
      </c>
      <c r="NH22" s="160" t="s">
        <v>76</v>
      </c>
      <c r="NI22" s="175">
        <v>3</v>
      </c>
      <c r="NJ22" s="139">
        <v>4.3755555555555548</v>
      </c>
      <c r="NK22" s="140">
        <f t="shared" si="46"/>
        <v>13.126666666666665</v>
      </c>
      <c r="NL22" s="158"/>
      <c r="NM22" s="528"/>
      <c r="NN22" s="143" t="s">
        <v>80</v>
      </c>
      <c r="NO22" s="144">
        <v>76</v>
      </c>
      <c r="NP22" s="160" t="s">
        <v>76</v>
      </c>
      <c r="NQ22" s="175">
        <v>35</v>
      </c>
      <c r="NR22" s="139">
        <v>4.3755555555555548</v>
      </c>
      <c r="NS22" s="140">
        <f t="shared" si="47"/>
        <v>153.14444444444442</v>
      </c>
      <c r="NT22" s="158"/>
      <c r="NU22" s="528"/>
      <c r="NV22" s="143" t="s">
        <v>80</v>
      </c>
      <c r="NW22" s="144">
        <v>88</v>
      </c>
      <c r="NX22" s="160" t="s">
        <v>76</v>
      </c>
      <c r="NY22" s="175">
        <v>3</v>
      </c>
      <c r="NZ22" s="139">
        <v>4.3755555555555548</v>
      </c>
      <c r="OA22" s="140">
        <f t="shared" si="48"/>
        <v>13.126666666666665</v>
      </c>
      <c r="OB22" s="158"/>
      <c r="OC22" s="528"/>
      <c r="OD22" s="143" t="s">
        <v>80</v>
      </c>
      <c r="OE22" s="144">
        <v>50</v>
      </c>
      <c r="OF22" s="160" t="s">
        <v>76</v>
      </c>
      <c r="OG22" s="175">
        <v>6</v>
      </c>
      <c r="OH22" s="139">
        <v>4.3755555555555548</v>
      </c>
      <c r="OI22" s="140">
        <f t="shared" si="49"/>
        <v>26.25333333333333</v>
      </c>
      <c r="OJ22" s="158"/>
      <c r="OK22" s="528"/>
      <c r="OL22" s="143" t="s">
        <v>80</v>
      </c>
      <c r="OM22" s="144">
        <v>68</v>
      </c>
      <c r="ON22" s="160" t="s">
        <v>76</v>
      </c>
      <c r="OO22" s="175">
        <v>26</v>
      </c>
      <c r="OP22" s="139">
        <v>4.3755555555555548</v>
      </c>
      <c r="OQ22" s="140">
        <f t="shared" si="50"/>
        <v>113.76444444444442</v>
      </c>
      <c r="OR22" s="158"/>
      <c r="OS22" s="528"/>
      <c r="OT22" s="143" t="s">
        <v>80</v>
      </c>
      <c r="OU22" s="144"/>
      <c r="OV22" s="160" t="s">
        <v>76</v>
      </c>
      <c r="OW22" s="175"/>
      <c r="OX22" s="139">
        <v>4.3755555555555548</v>
      </c>
      <c r="OY22" s="140">
        <f t="shared" si="51"/>
        <v>0</v>
      </c>
      <c r="OZ22" s="158"/>
      <c r="PA22" s="528"/>
      <c r="PB22" s="143" t="s">
        <v>80</v>
      </c>
      <c r="PC22" s="144"/>
      <c r="PD22" s="160" t="s">
        <v>76</v>
      </c>
      <c r="PE22" s="175"/>
      <c r="PF22" s="139">
        <v>4.3755555555555548</v>
      </c>
      <c r="PG22" s="140">
        <f t="shared" si="52"/>
        <v>0</v>
      </c>
      <c r="PH22" s="158"/>
      <c r="PI22" s="528"/>
      <c r="PJ22" s="143" t="s">
        <v>80</v>
      </c>
      <c r="PK22" s="144">
        <v>2</v>
      </c>
      <c r="PL22" s="160" t="s">
        <v>76</v>
      </c>
      <c r="PM22" s="175"/>
      <c r="PN22" s="139">
        <v>4.3755555555555548</v>
      </c>
      <c r="PO22" s="140">
        <f>PM22*PN22</f>
        <v>0</v>
      </c>
      <c r="PP22" s="158"/>
      <c r="PQ22" s="528"/>
      <c r="PR22" s="143" t="s">
        <v>80</v>
      </c>
      <c r="PS22" s="144">
        <v>5</v>
      </c>
      <c r="PT22" s="160" t="s">
        <v>76</v>
      </c>
      <c r="PU22" s="175"/>
      <c r="PV22" s="139">
        <v>4.3755555555555548</v>
      </c>
      <c r="PW22" s="140">
        <f>PU22*PV22</f>
        <v>0</v>
      </c>
      <c r="PX22" s="158"/>
      <c r="PY22" s="528"/>
      <c r="PZ22" s="143" t="s">
        <v>80</v>
      </c>
      <c r="QA22" s="144">
        <v>8</v>
      </c>
      <c r="QB22" s="160" t="s">
        <v>76</v>
      </c>
      <c r="QC22" s="175"/>
      <c r="QD22" s="139">
        <v>4.3755555555555548</v>
      </c>
      <c r="QE22" s="140">
        <f>QC22*QD22</f>
        <v>0</v>
      </c>
      <c r="QF22" s="158"/>
      <c r="QG22" s="528"/>
      <c r="QH22" s="143" t="s">
        <v>80</v>
      </c>
      <c r="QI22" s="144">
        <v>14</v>
      </c>
      <c r="QJ22" s="160" t="s">
        <v>76</v>
      </c>
      <c r="QK22" s="175">
        <v>9</v>
      </c>
      <c r="QL22" s="139">
        <v>4.3755555555555548</v>
      </c>
      <c r="QM22" s="140">
        <f>QK22*QL22</f>
        <v>39.379999999999995</v>
      </c>
      <c r="QN22" s="158"/>
      <c r="QO22" s="528"/>
      <c r="QP22" s="143" t="s">
        <v>80</v>
      </c>
      <c r="QQ22" s="144">
        <v>20</v>
      </c>
      <c r="QR22" s="160" t="s">
        <v>76</v>
      </c>
      <c r="QS22" s="175">
        <v>40</v>
      </c>
      <c r="QT22" s="139">
        <v>4.3755555555555548</v>
      </c>
      <c r="QU22" s="140">
        <f>QS22*QT22</f>
        <v>175.02222222222218</v>
      </c>
      <c r="QV22" s="158"/>
      <c r="QW22" s="528"/>
      <c r="QX22" s="143" t="s">
        <v>80</v>
      </c>
      <c r="QY22" s="144"/>
      <c r="QZ22" s="160" t="s">
        <v>76</v>
      </c>
      <c r="RA22" s="175"/>
      <c r="RB22" s="139">
        <v>4.3755555555555548</v>
      </c>
      <c r="RC22" s="140">
        <f>RA22*RB22</f>
        <v>0</v>
      </c>
      <c r="RD22" s="158"/>
      <c r="RE22" s="528"/>
      <c r="RF22" s="143" t="s">
        <v>80</v>
      </c>
      <c r="RG22" s="144"/>
      <c r="RH22" s="160" t="s">
        <v>76</v>
      </c>
      <c r="RI22" s="175"/>
      <c r="RJ22" s="139">
        <v>4.3755555555555548</v>
      </c>
      <c r="RK22" s="140">
        <f>RI22*RJ22</f>
        <v>0</v>
      </c>
      <c r="RL22" s="158"/>
      <c r="RM22" s="528"/>
      <c r="RN22" s="143" t="s">
        <v>80</v>
      </c>
      <c r="RO22" s="144">
        <v>51</v>
      </c>
      <c r="RP22" s="160" t="s">
        <v>76</v>
      </c>
      <c r="RQ22" s="175">
        <v>81</v>
      </c>
      <c r="RR22" s="139">
        <v>4.3755555555555548</v>
      </c>
      <c r="RS22" s="140">
        <f>RQ22*RR22</f>
        <v>354.41999999999996</v>
      </c>
      <c r="RT22" s="158"/>
      <c r="RU22" s="528"/>
      <c r="RV22" s="143" t="s">
        <v>80</v>
      </c>
      <c r="RW22" s="144">
        <v>43</v>
      </c>
      <c r="RX22" s="160" t="s">
        <v>76</v>
      </c>
      <c r="RY22" s="175">
        <v>16</v>
      </c>
      <c r="RZ22" s="139">
        <v>4.3755555555555548</v>
      </c>
      <c r="SA22" s="140">
        <f>RY22*RZ22</f>
        <v>70.008888888888876</v>
      </c>
      <c r="SB22" s="158"/>
      <c r="SC22" s="528"/>
      <c r="SD22" s="143" t="s">
        <v>80</v>
      </c>
      <c r="SE22" s="144">
        <v>66</v>
      </c>
      <c r="SF22" s="160" t="s">
        <v>76</v>
      </c>
      <c r="SG22" s="175">
        <v>10</v>
      </c>
      <c r="SH22" s="139">
        <v>4.3755555555555548</v>
      </c>
      <c r="SI22" s="140">
        <f>SG22*SH22</f>
        <v>43.755555555555546</v>
      </c>
      <c r="SJ22" s="158"/>
      <c r="SK22" s="528"/>
      <c r="SL22" s="143" t="s">
        <v>80</v>
      </c>
      <c r="SM22" s="144">
        <v>45</v>
      </c>
      <c r="SN22" s="160" t="s">
        <v>76</v>
      </c>
      <c r="SO22" s="175">
        <v>3</v>
      </c>
      <c r="SP22" s="139">
        <v>4.3755555555555548</v>
      </c>
      <c r="SQ22" s="140">
        <f>SO22*SP22</f>
        <v>13.126666666666665</v>
      </c>
      <c r="SR22" s="158"/>
      <c r="SS22" s="528"/>
      <c r="ST22" s="143" t="s">
        <v>80</v>
      </c>
      <c r="SU22" s="144">
        <v>38</v>
      </c>
      <c r="SV22" s="160" t="s">
        <v>76</v>
      </c>
      <c r="SW22" s="175">
        <v>4</v>
      </c>
      <c r="SX22" s="139">
        <v>4.3755555555555548</v>
      </c>
      <c r="SY22" s="140">
        <f>SW22*SX22</f>
        <v>17.502222222222219</v>
      </c>
      <c r="SZ22" s="158"/>
      <c r="TA22" s="528"/>
      <c r="TB22" s="143" t="s">
        <v>80</v>
      </c>
      <c r="TC22" s="144">
        <v>55</v>
      </c>
      <c r="TD22" s="160" t="s">
        <v>76</v>
      </c>
      <c r="TE22" s="175">
        <v>33</v>
      </c>
      <c r="TF22" s="139">
        <v>4.3755555555555548</v>
      </c>
      <c r="TG22" s="140">
        <f>TE22*TF22</f>
        <v>144.39333333333332</v>
      </c>
      <c r="TH22" s="158"/>
      <c r="TI22" s="528"/>
    </row>
    <row r="23" spans="2:529">
      <c r="B23" s="145"/>
      <c r="C23" s="146"/>
      <c r="D23" s="157" t="s">
        <v>77</v>
      </c>
      <c r="E23" s="138">
        <v>215</v>
      </c>
      <c r="F23" s="139">
        <v>4.104857142857143</v>
      </c>
      <c r="G23" s="140">
        <f t="shared" si="0"/>
        <v>882.54428571428571</v>
      </c>
      <c r="H23" s="158"/>
      <c r="I23" s="528"/>
      <c r="J23" s="145"/>
      <c r="K23" s="146"/>
      <c r="L23" s="157" t="s">
        <v>77</v>
      </c>
      <c r="M23" s="138">
        <v>59</v>
      </c>
      <c r="N23" s="139">
        <v>4.104857142857143</v>
      </c>
      <c r="O23" s="140">
        <f t="shared" si="1"/>
        <v>242.18657142857143</v>
      </c>
      <c r="P23" s="158"/>
      <c r="Q23" s="528"/>
      <c r="R23" s="145"/>
      <c r="S23" s="146"/>
      <c r="T23" s="157" t="s">
        <v>77</v>
      </c>
      <c r="U23" s="138">
        <v>0</v>
      </c>
      <c r="V23" s="139">
        <v>4.104857142857143</v>
      </c>
      <c r="W23" s="140">
        <f t="shared" si="2"/>
        <v>0</v>
      </c>
      <c r="X23" s="158"/>
      <c r="Y23" s="528"/>
      <c r="Z23" s="145"/>
      <c r="AA23" s="146"/>
      <c r="AB23" s="157" t="s">
        <v>77</v>
      </c>
      <c r="AC23" s="138">
        <v>74</v>
      </c>
      <c r="AD23" s="139">
        <v>4.104857142857143</v>
      </c>
      <c r="AE23" s="140">
        <f t="shared" si="3"/>
        <v>303.7594285714286</v>
      </c>
      <c r="AF23" s="158"/>
      <c r="AG23" s="528"/>
      <c r="AH23" s="145"/>
      <c r="AI23" s="146"/>
      <c r="AJ23" s="157" t="s">
        <v>77</v>
      </c>
      <c r="AK23" s="138">
        <v>0</v>
      </c>
      <c r="AL23" s="139">
        <v>4.104857142857143</v>
      </c>
      <c r="AM23" s="140">
        <f t="shared" si="4"/>
        <v>0</v>
      </c>
      <c r="AN23" s="158"/>
      <c r="AO23" s="528"/>
      <c r="AP23" s="145"/>
      <c r="AQ23" s="146"/>
      <c r="AR23" s="157" t="s">
        <v>77</v>
      </c>
      <c r="AS23" s="138"/>
      <c r="AT23" s="139">
        <v>4.104857142857143</v>
      </c>
      <c r="AU23" s="140">
        <f t="shared" si="5"/>
        <v>0</v>
      </c>
      <c r="AV23" s="158"/>
      <c r="AW23" s="528"/>
      <c r="AX23" s="145"/>
      <c r="AY23" s="146"/>
      <c r="AZ23" s="157" t="s">
        <v>77</v>
      </c>
      <c r="BA23" s="138">
        <v>0</v>
      </c>
      <c r="BB23" s="139">
        <v>4.104857142857143</v>
      </c>
      <c r="BC23" s="140">
        <f t="shared" si="6"/>
        <v>0</v>
      </c>
      <c r="BD23" s="158"/>
      <c r="BE23" s="528"/>
      <c r="BF23" s="145"/>
      <c r="BG23" s="146"/>
      <c r="BH23" s="157" t="s">
        <v>77</v>
      </c>
      <c r="BI23" s="138">
        <v>14</v>
      </c>
      <c r="BJ23" s="139">
        <v>4.104857142857143</v>
      </c>
      <c r="BK23" s="140">
        <f t="shared" si="7"/>
        <v>57.468000000000004</v>
      </c>
      <c r="BL23" s="158"/>
      <c r="BM23" s="528"/>
      <c r="BN23" s="145"/>
      <c r="BO23" s="146"/>
      <c r="BP23" s="157" t="s">
        <v>77</v>
      </c>
      <c r="BQ23" s="138">
        <v>0</v>
      </c>
      <c r="BR23" s="139">
        <v>4.104857142857143</v>
      </c>
      <c r="BS23" s="140">
        <f t="shared" si="8"/>
        <v>0</v>
      </c>
      <c r="BT23" s="158"/>
      <c r="BU23" s="528"/>
      <c r="BV23" s="536"/>
      <c r="BW23" s="537"/>
      <c r="BX23" s="574" t="s">
        <v>77</v>
      </c>
      <c r="BY23" s="560"/>
      <c r="BZ23" s="561">
        <v>4.104857142857143</v>
      </c>
      <c r="CA23" s="562">
        <f t="shared" si="9"/>
        <v>0</v>
      </c>
      <c r="CB23" s="540"/>
      <c r="CC23" s="528"/>
      <c r="CD23" s="536"/>
      <c r="CE23" s="537"/>
      <c r="CF23" s="574" t="s">
        <v>77</v>
      </c>
      <c r="CG23" s="560"/>
      <c r="CH23" s="561">
        <v>4.104857142857143</v>
      </c>
      <c r="CI23" s="562">
        <f t="shared" si="10"/>
        <v>0</v>
      </c>
      <c r="CJ23" s="540"/>
      <c r="CK23" s="528"/>
      <c r="CL23" s="145"/>
      <c r="CM23" s="146"/>
      <c r="CN23" s="157" t="s">
        <v>77</v>
      </c>
      <c r="CO23" s="138">
        <v>166</v>
      </c>
      <c r="CP23" s="139">
        <v>4.104857142857143</v>
      </c>
      <c r="CQ23" s="140">
        <f t="shared" si="11"/>
        <v>681.40628571428579</v>
      </c>
      <c r="CR23" s="158"/>
      <c r="CS23" s="528"/>
      <c r="CT23" s="145"/>
      <c r="CU23" s="146"/>
      <c r="CV23" s="157" t="s">
        <v>77</v>
      </c>
      <c r="CW23" s="138">
        <v>14</v>
      </c>
      <c r="CX23" s="139">
        <v>4.104857142857143</v>
      </c>
      <c r="CY23" s="140">
        <f t="shared" si="12"/>
        <v>57.468000000000004</v>
      </c>
      <c r="CZ23" s="158"/>
      <c r="DA23" s="528"/>
      <c r="DB23" s="145"/>
      <c r="DC23" s="146"/>
      <c r="DD23" s="157" t="s">
        <v>77</v>
      </c>
      <c r="DE23" s="138">
        <v>4</v>
      </c>
      <c r="DF23" s="139">
        <v>4.104857142857143</v>
      </c>
      <c r="DG23" s="140">
        <f t="shared" si="13"/>
        <v>16.419428571428572</v>
      </c>
      <c r="DH23" s="158"/>
      <c r="DI23" s="528"/>
      <c r="DJ23" s="145"/>
      <c r="DK23" s="146"/>
      <c r="DL23" s="157" t="s">
        <v>77</v>
      </c>
      <c r="DM23" s="138">
        <v>0</v>
      </c>
      <c r="DN23" s="170">
        <v>4.104857142857143</v>
      </c>
      <c r="DO23" s="140">
        <f t="shared" si="14"/>
        <v>0</v>
      </c>
      <c r="DP23" s="158"/>
      <c r="DQ23" s="528"/>
      <c r="DR23" s="145"/>
      <c r="DS23" s="146"/>
      <c r="DT23" s="157" t="s">
        <v>77</v>
      </c>
      <c r="DU23" s="138"/>
      <c r="DV23" s="170">
        <v>4.104857142857143</v>
      </c>
      <c r="DW23" s="140">
        <f t="shared" si="15"/>
        <v>0</v>
      </c>
      <c r="DX23" s="158"/>
      <c r="DY23" s="528"/>
      <c r="DZ23" s="145"/>
      <c r="EA23" s="146"/>
      <c r="EB23" s="157" t="s">
        <v>77</v>
      </c>
      <c r="EC23" s="138">
        <v>67</v>
      </c>
      <c r="ED23" s="170">
        <v>4.104857142857143</v>
      </c>
      <c r="EE23" s="140">
        <f t="shared" si="16"/>
        <v>275.02542857142856</v>
      </c>
      <c r="EF23" s="158"/>
      <c r="EG23" s="528"/>
      <c r="EH23" s="145"/>
      <c r="EI23" s="146"/>
      <c r="EJ23" s="157" t="s">
        <v>77</v>
      </c>
      <c r="EK23" s="138">
        <v>98</v>
      </c>
      <c r="EL23" s="170">
        <v>4.104857142857143</v>
      </c>
      <c r="EM23" s="140">
        <f t="shared" si="17"/>
        <v>402.27600000000001</v>
      </c>
      <c r="EN23" s="158"/>
      <c r="EO23" s="528"/>
      <c r="EP23" s="145"/>
      <c r="EQ23" s="146"/>
      <c r="ER23" s="157" t="s">
        <v>77</v>
      </c>
      <c r="ES23" s="138">
        <v>46</v>
      </c>
      <c r="ET23" s="170">
        <v>4.104857142857143</v>
      </c>
      <c r="EU23" s="140">
        <f t="shared" si="18"/>
        <v>188.82342857142856</v>
      </c>
      <c r="EV23" s="158"/>
      <c r="EW23" s="528"/>
      <c r="EX23" s="145"/>
      <c r="EY23" s="146"/>
      <c r="EZ23" s="157" t="s">
        <v>77</v>
      </c>
      <c r="FA23" s="138"/>
      <c r="FB23" s="170">
        <v>4.104857142857143</v>
      </c>
      <c r="FC23" s="140">
        <f t="shared" si="19"/>
        <v>0</v>
      </c>
      <c r="FD23" s="158"/>
      <c r="FE23" s="528"/>
      <c r="FF23" s="145"/>
      <c r="FG23" s="146"/>
      <c r="FH23" s="157" t="s">
        <v>77</v>
      </c>
      <c r="FI23" s="138"/>
      <c r="FJ23" s="170">
        <v>4.104857142857143</v>
      </c>
      <c r="FK23" s="140">
        <f t="shared" si="20"/>
        <v>0</v>
      </c>
      <c r="FL23" s="158"/>
      <c r="FM23" s="528"/>
      <c r="FN23" s="145"/>
      <c r="FO23" s="146"/>
      <c r="FP23" s="157" t="s">
        <v>77</v>
      </c>
      <c r="FQ23" s="138"/>
      <c r="FR23" s="170">
        <v>4.104857142857143</v>
      </c>
      <c r="FS23" s="140">
        <f t="shared" si="21"/>
        <v>0</v>
      </c>
      <c r="FT23" s="158"/>
      <c r="FU23" s="528"/>
      <c r="FV23" s="145"/>
      <c r="FW23" s="146"/>
      <c r="FX23" s="157" t="s">
        <v>77</v>
      </c>
      <c r="FY23" s="138"/>
      <c r="FZ23" s="170">
        <v>4.104857142857143</v>
      </c>
      <c r="GA23" s="140">
        <f t="shared" si="22"/>
        <v>0</v>
      </c>
      <c r="GB23" s="158"/>
      <c r="GC23" s="528"/>
      <c r="GD23" s="145"/>
      <c r="GE23" s="146"/>
      <c r="GF23" s="157" t="s">
        <v>77</v>
      </c>
      <c r="GG23" s="138"/>
      <c r="GH23" s="170">
        <v>4.104857142857143</v>
      </c>
      <c r="GI23" s="140">
        <f t="shared" si="23"/>
        <v>0</v>
      </c>
      <c r="GJ23" s="158"/>
      <c r="GK23" s="528"/>
      <c r="GL23" s="145"/>
      <c r="GM23" s="146"/>
      <c r="GN23" s="157" t="s">
        <v>77</v>
      </c>
      <c r="GO23" s="175">
        <v>14</v>
      </c>
      <c r="GP23" s="139">
        <v>4.104857142857143</v>
      </c>
      <c r="GQ23" s="140">
        <f t="shared" si="24"/>
        <v>57.468000000000004</v>
      </c>
      <c r="GR23" s="158"/>
      <c r="GS23" s="528"/>
      <c r="GT23" s="145"/>
      <c r="GU23" s="146"/>
      <c r="GV23" s="157" t="s">
        <v>77</v>
      </c>
      <c r="GW23" s="175">
        <v>4</v>
      </c>
      <c r="GX23" s="139">
        <v>4.104857142857143</v>
      </c>
      <c r="GY23" s="140">
        <f t="shared" si="25"/>
        <v>16.419428571428572</v>
      </c>
      <c r="GZ23" s="158"/>
      <c r="HA23" s="528"/>
      <c r="HB23" s="145"/>
      <c r="HC23" s="146"/>
      <c r="HD23" s="157" t="s">
        <v>77</v>
      </c>
      <c r="HE23" s="175">
        <v>0</v>
      </c>
      <c r="HF23" s="139">
        <v>4.104857142857143</v>
      </c>
      <c r="HG23" s="140">
        <f t="shared" si="26"/>
        <v>0</v>
      </c>
      <c r="HH23" s="158"/>
      <c r="HI23" s="528"/>
      <c r="HJ23" s="145"/>
      <c r="HK23" s="146"/>
      <c r="HL23" s="157" t="s">
        <v>77</v>
      </c>
      <c r="HM23" s="175">
        <v>131</v>
      </c>
      <c r="HN23" s="139">
        <v>4.104857142857143</v>
      </c>
      <c r="HO23" s="140">
        <f t="shared" si="27"/>
        <v>537.73628571428571</v>
      </c>
      <c r="HP23" s="158"/>
      <c r="HQ23" s="528"/>
      <c r="HR23" s="145"/>
      <c r="HS23" s="146"/>
      <c r="HT23" s="157" t="s">
        <v>77</v>
      </c>
      <c r="HU23" s="175">
        <v>495</v>
      </c>
      <c r="HV23" s="139">
        <v>4.104857142857143</v>
      </c>
      <c r="HW23" s="140">
        <f t="shared" si="28"/>
        <v>2031.9042857142858</v>
      </c>
      <c r="HX23" s="158"/>
      <c r="HY23" s="528"/>
      <c r="HZ23" s="145"/>
      <c r="IA23" s="146"/>
      <c r="IB23" s="157" t="s">
        <v>77</v>
      </c>
      <c r="IC23" s="175">
        <v>267</v>
      </c>
      <c r="ID23" s="139">
        <v>4.104857142857143</v>
      </c>
      <c r="IE23" s="140">
        <f t="shared" si="29"/>
        <v>1095.9968571428572</v>
      </c>
      <c r="IF23" s="158"/>
      <c r="IG23" s="528"/>
      <c r="IH23" s="145"/>
      <c r="II23" s="146"/>
      <c r="IJ23" s="157" t="s">
        <v>77</v>
      </c>
      <c r="IK23" s="175">
        <v>352</v>
      </c>
      <c r="IL23" s="139">
        <v>4.104857142857143</v>
      </c>
      <c r="IM23" s="140">
        <f t="shared" si="30"/>
        <v>1444.9097142857142</v>
      </c>
      <c r="IN23" s="158"/>
      <c r="IO23" s="528"/>
      <c r="IP23" s="145"/>
      <c r="IQ23" s="146"/>
      <c r="IR23" s="157" t="s">
        <v>77</v>
      </c>
      <c r="IS23" s="175">
        <v>216</v>
      </c>
      <c r="IT23" s="139">
        <v>4.104857142857143</v>
      </c>
      <c r="IU23" s="140">
        <f t="shared" si="31"/>
        <v>886.64914285714292</v>
      </c>
      <c r="IV23" s="158"/>
      <c r="IW23" s="528"/>
      <c r="IX23" s="145"/>
      <c r="IY23" s="146"/>
      <c r="IZ23" s="157" t="s">
        <v>77</v>
      </c>
      <c r="JA23" s="175">
        <v>254</v>
      </c>
      <c r="JB23" s="139">
        <v>4.104857142857143</v>
      </c>
      <c r="JC23" s="140">
        <f t="shared" si="32"/>
        <v>1042.6337142857144</v>
      </c>
      <c r="JD23" s="158"/>
      <c r="JE23" s="528"/>
      <c r="JF23" s="145"/>
      <c r="JG23" s="146"/>
      <c r="JH23" s="157" t="s">
        <v>77</v>
      </c>
      <c r="JI23" s="175">
        <v>27</v>
      </c>
      <c r="JJ23" s="139">
        <v>4.104857142857143</v>
      </c>
      <c r="JK23" s="140">
        <f t="shared" si="33"/>
        <v>110.83114285714286</v>
      </c>
      <c r="JL23" s="158"/>
      <c r="JM23" s="528"/>
      <c r="JN23" s="145"/>
      <c r="JO23" s="146"/>
      <c r="JP23" s="157" t="s">
        <v>77</v>
      </c>
      <c r="JQ23" s="175">
        <v>0</v>
      </c>
      <c r="JR23" s="139">
        <v>4.104857142857143</v>
      </c>
      <c r="JS23" s="140">
        <f t="shared" si="34"/>
        <v>0</v>
      </c>
      <c r="JT23" s="158"/>
      <c r="JU23" s="528"/>
      <c r="JV23" s="145"/>
      <c r="JW23" s="146"/>
      <c r="JX23" s="157" t="s">
        <v>77</v>
      </c>
      <c r="JY23" s="175">
        <v>179</v>
      </c>
      <c r="JZ23" s="139">
        <v>4.104857142857143</v>
      </c>
      <c r="KA23" s="140">
        <f t="shared" si="35"/>
        <v>734.76942857142865</v>
      </c>
      <c r="KB23" s="158"/>
      <c r="KC23" s="528"/>
      <c r="KD23" s="145"/>
      <c r="KE23" s="146"/>
      <c r="KF23" s="157" t="s">
        <v>77</v>
      </c>
      <c r="KG23" s="175">
        <v>0</v>
      </c>
      <c r="KH23" s="139">
        <v>4.104857142857143</v>
      </c>
      <c r="KI23" s="140">
        <f t="shared" si="36"/>
        <v>0</v>
      </c>
      <c r="KJ23" s="158"/>
      <c r="KK23" s="528"/>
      <c r="KL23" s="145"/>
      <c r="KM23" s="146"/>
      <c r="KN23" s="157" t="s">
        <v>77</v>
      </c>
      <c r="KO23" s="175">
        <v>0</v>
      </c>
      <c r="KP23" s="139">
        <v>4.104857142857143</v>
      </c>
      <c r="KQ23" s="140">
        <f t="shared" si="37"/>
        <v>0</v>
      </c>
      <c r="KR23" s="158"/>
      <c r="KS23" s="528"/>
      <c r="KT23" s="145"/>
      <c r="KU23" s="146"/>
      <c r="KV23" s="157" t="s">
        <v>77</v>
      </c>
      <c r="KW23" s="175">
        <v>220</v>
      </c>
      <c r="KX23" s="139">
        <v>4.104857142857143</v>
      </c>
      <c r="KY23" s="140">
        <f t="shared" si="38"/>
        <v>903.06857142857143</v>
      </c>
      <c r="KZ23" s="158"/>
      <c r="LA23" s="528"/>
      <c r="LB23" s="145"/>
      <c r="LC23" s="146"/>
      <c r="LD23" s="157" t="s">
        <v>77</v>
      </c>
      <c r="LE23" s="175">
        <v>199</v>
      </c>
      <c r="LF23" s="139">
        <v>4.104857142857143</v>
      </c>
      <c r="LG23" s="140">
        <f t="shared" si="39"/>
        <v>816.86657142857143</v>
      </c>
      <c r="LH23" s="158"/>
      <c r="LI23" s="528"/>
      <c r="LJ23" s="145"/>
      <c r="LK23" s="146"/>
      <c r="LL23" s="157" t="s">
        <v>77</v>
      </c>
      <c r="LM23" s="175">
        <v>224</v>
      </c>
      <c r="LN23" s="139">
        <v>4.104857142857143</v>
      </c>
      <c r="LO23" s="140">
        <f t="shared" si="40"/>
        <v>919.48800000000006</v>
      </c>
      <c r="LP23" s="158"/>
      <c r="LQ23" s="528"/>
      <c r="LR23" s="145"/>
      <c r="LS23" s="146"/>
      <c r="LT23" s="157" t="s">
        <v>77</v>
      </c>
      <c r="LU23" s="175">
        <v>108</v>
      </c>
      <c r="LV23" s="139">
        <v>4.104857142857143</v>
      </c>
      <c r="LW23" s="140">
        <f t="shared" si="41"/>
        <v>443.32457142857146</v>
      </c>
      <c r="LX23" s="158"/>
      <c r="LY23" s="528"/>
      <c r="LZ23" s="145"/>
      <c r="MA23" s="146"/>
      <c r="MB23" s="157" t="s">
        <v>77</v>
      </c>
      <c r="MC23" s="175">
        <v>61</v>
      </c>
      <c r="MD23" s="139">
        <v>4.104857142857143</v>
      </c>
      <c r="ME23" s="140">
        <f t="shared" si="42"/>
        <v>250.39628571428571</v>
      </c>
      <c r="MF23" s="158"/>
      <c r="MG23" s="528"/>
      <c r="MH23" s="145"/>
      <c r="MI23" s="146"/>
      <c r="MJ23" s="157" t="s">
        <v>77</v>
      </c>
      <c r="MK23" s="175">
        <v>174</v>
      </c>
      <c r="ML23" s="139">
        <v>4.104857142857143</v>
      </c>
      <c r="MM23" s="140">
        <f t="shared" si="43"/>
        <v>714.24514285714292</v>
      </c>
      <c r="MN23" s="158"/>
      <c r="MO23" s="528"/>
      <c r="MP23" s="145"/>
      <c r="MQ23" s="146"/>
      <c r="MR23" s="157" t="s">
        <v>77</v>
      </c>
      <c r="MS23" s="175">
        <v>157</v>
      </c>
      <c r="MT23" s="139">
        <v>4.104857142857143</v>
      </c>
      <c r="MU23" s="140">
        <f t="shared" si="44"/>
        <v>644.46257142857144</v>
      </c>
      <c r="MV23" s="158"/>
      <c r="MW23" s="528"/>
      <c r="MX23" s="145"/>
      <c r="MY23" s="146"/>
      <c r="MZ23" s="157" t="s">
        <v>77</v>
      </c>
      <c r="NA23" s="175">
        <v>137</v>
      </c>
      <c r="NB23" s="139">
        <v>4.104857142857143</v>
      </c>
      <c r="NC23" s="140">
        <f t="shared" si="45"/>
        <v>562.36542857142854</v>
      </c>
      <c r="ND23" s="158"/>
      <c r="NE23" s="528"/>
      <c r="NF23" s="145"/>
      <c r="NG23" s="146"/>
      <c r="NH23" s="157" t="s">
        <v>77</v>
      </c>
      <c r="NI23" s="175">
        <v>165</v>
      </c>
      <c r="NJ23" s="139">
        <v>4.104857142857143</v>
      </c>
      <c r="NK23" s="140">
        <f t="shared" si="46"/>
        <v>677.30142857142857</v>
      </c>
      <c r="NL23" s="158"/>
      <c r="NM23" s="528"/>
      <c r="NN23" s="145"/>
      <c r="NO23" s="146"/>
      <c r="NP23" s="157" t="s">
        <v>77</v>
      </c>
      <c r="NQ23" s="175">
        <v>297</v>
      </c>
      <c r="NR23" s="139">
        <v>4.104857142857143</v>
      </c>
      <c r="NS23" s="140">
        <f t="shared" si="47"/>
        <v>1219.1425714285715</v>
      </c>
      <c r="NT23" s="158"/>
      <c r="NU23" s="528"/>
      <c r="NV23" s="145"/>
      <c r="NW23" s="146"/>
      <c r="NX23" s="157" t="s">
        <v>77</v>
      </c>
      <c r="NY23" s="175">
        <v>109</v>
      </c>
      <c r="NZ23" s="139">
        <v>4.104857142857143</v>
      </c>
      <c r="OA23" s="140">
        <f t="shared" si="48"/>
        <v>447.42942857142856</v>
      </c>
      <c r="OB23" s="158"/>
      <c r="OC23" s="528"/>
      <c r="OD23" s="145"/>
      <c r="OE23" s="146"/>
      <c r="OF23" s="157" t="s">
        <v>77</v>
      </c>
      <c r="OG23" s="175">
        <v>248</v>
      </c>
      <c r="OH23" s="139">
        <v>4.104857142857143</v>
      </c>
      <c r="OI23" s="140">
        <f t="shared" si="49"/>
        <v>1018.0045714285715</v>
      </c>
      <c r="OJ23" s="158"/>
      <c r="OK23" s="528"/>
      <c r="OL23" s="145"/>
      <c r="OM23" s="146"/>
      <c r="ON23" s="157" t="s">
        <v>77</v>
      </c>
      <c r="OO23" s="175">
        <v>128</v>
      </c>
      <c r="OP23" s="139">
        <v>4.104857142857143</v>
      </c>
      <c r="OQ23" s="140">
        <f t="shared" si="50"/>
        <v>525.4217142857143</v>
      </c>
      <c r="OR23" s="158"/>
      <c r="OS23" s="528"/>
      <c r="OT23" s="145"/>
      <c r="OU23" s="146"/>
      <c r="OV23" s="157" t="s">
        <v>77</v>
      </c>
      <c r="OW23" s="175"/>
      <c r="OX23" s="139">
        <v>4.104857142857143</v>
      </c>
      <c r="OY23" s="140">
        <f t="shared" si="51"/>
        <v>0</v>
      </c>
      <c r="OZ23" s="158"/>
      <c r="PA23" s="528"/>
      <c r="PB23" s="145"/>
      <c r="PC23" s="146"/>
      <c r="PD23" s="157" t="s">
        <v>77</v>
      </c>
      <c r="PE23" s="175"/>
      <c r="PF23" s="139">
        <v>4.104857142857143</v>
      </c>
      <c r="PG23" s="140">
        <f t="shared" si="52"/>
        <v>0</v>
      </c>
      <c r="PH23" s="158"/>
      <c r="PI23" s="528"/>
      <c r="PJ23" s="145"/>
      <c r="PK23" s="146"/>
      <c r="PL23" s="157" t="s">
        <v>370</v>
      </c>
      <c r="PM23" s="175"/>
      <c r="PN23" s="139">
        <v>4.104857142857143</v>
      </c>
      <c r="PO23" s="140">
        <f t="shared" si="53"/>
        <v>0</v>
      </c>
      <c r="PP23" s="158"/>
      <c r="PQ23" s="528"/>
      <c r="PR23" s="145"/>
      <c r="PS23" s="146"/>
      <c r="PT23" s="157" t="s">
        <v>370</v>
      </c>
      <c r="PU23" s="175">
        <v>1</v>
      </c>
      <c r="PV23" s="139">
        <v>4.104857142857143</v>
      </c>
      <c r="PW23" s="140">
        <f t="shared" ref="PW23:PW25" si="78">PU23*PV23</f>
        <v>4.104857142857143</v>
      </c>
      <c r="PX23" s="158"/>
      <c r="PY23" s="528"/>
      <c r="PZ23" s="145"/>
      <c r="QA23" s="146"/>
      <c r="QB23" s="157" t="s">
        <v>370</v>
      </c>
      <c r="QC23" s="175">
        <v>13</v>
      </c>
      <c r="QD23" s="139">
        <v>4.104857142857143</v>
      </c>
      <c r="QE23" s="140">
        <f t="shared" ref="QE23:QE25" si="79">QC23*QD23</f>
        <v>53.363142857142861</v>
      </c>
      <c r="QF23" s="158"/>
      <c r="QG23" s="528"/>
      <c r="QH23" s="145"/>
      <c r="QI23" s="146"/>
      <c r="QJ23" s="157" t="s">
        <v>370</v>
      </c>
      <c r="QK23" s="175">
        <v>21</v>
      </c>
      <c r="QL23" s="139">
        <v>4.104857142857143</v>
      </c>
      <c r="QM23" s="140">
        <f t="shared" ref="QM23:QM25" si="80">QK23*QL23</f>
        <v>86.201999999999998</v>
      </c>
      <c r="QN23" s="158"/>
      <c r="QO23" s="528"/>
      <c r="QP23" s="145"/>
      <c r="QQ23" s="146"/>
      <c r="QR23" s="157" t="s">
        <v>370</v>
      </c>
      <c r="QS23" s="175">
        <v>14</v>
      </c>
      <c r="QT23" s="139">
        <v>4.104857142857143</v>
      </c>
      <c r="QU23" s="140">
        <f t="shared" ref="QU23:QU25" si="81">QS23*QT23</f>
        <v>57.468000000000004</v>
      </c>
      <c r="QV23" s="158"/>
      <c r="QW23" s="528"/>
      <c r="QX23" s="145"/>
      <c r="QY23" s="146"/>
      <c r="QZ23" s="157" t="s">
        <v>370</v>
      </c>
      <c r="RA23" s="175"/>
      <c r="RB23" s="139">
        <v>4.104857142857143</v>
      </c>
      <c r="RC23" s="140">
        <f t="shared" ref="RC23:RC25" si="82">RA23*RB23</f>
        <v>0</v>
      </c>
      <c r="RD23" s="158"/>
      <c r="RE23" s="528"/>
      <c r="RF23" s="145"/>
      <c r="RG23" s="146"/>
      <c r="RH23" s="157" t="s">
        <v>370</v>
      </c>
      <c r="RI23" s="175"/>
      <c r="RJ23" s="139">
        <v>4.104857142857143</v>
      </c>
      <c r="RK23" s="140">
        <f t="shared" ref="RK23:RK25" si="83">RI23*RJ23</f>
        <v>0</v>
      </c>
      <c r="RL23" s="158"/>
      <c r="RM23" s="528"/>
      <c r="RN23" s="145"/>
      <c r="RO23" s="146"/>
      <c r="RP23" s="157" t="s">
        <v>370</v>
      </c>
      <c r="RQ23" s="175">
        <v>298</v>
      </c>
      <c r="RR23" s="139">
        <v>4.104857142857143</v>
      </c>
      <c r="RS23" s="140">
        <f t="shared" ref="RS23:RS25" si="84">RQ23*RR23</f>
        <v>1223.2474285714286</v>
      </c>
      <c r="RT23" s="158"/>
      <c r="RU23" s="528"/>
      <c r="RV23" s="145"/>
      <c r="RW23" s="146"/>
      <c r="RX23" s="157" t="s">
        <v>370</v>
      </c>
      <c r="RY23" s="175">
        <v>137</v>
      </c>
      <c r="RZ23" s="139">
        <v>4.104857142857143</v>
      </c>
      <c r="SA23" s="140">
        <f t="shared" ref="SA23:SA25" si="85">RY23*RZ23</f>
        <v>562.36542857142854</v>
      </c>
      <c r="SB23" s="158"/>
      <c r="SC23" s="528"/>
      <c r="SD23" s="145"/>
      <c r="SE23" s="146"/>
      <c r="SF23" s="157" t="s">
        <v>370</v>
      </c>
      <c r="SG23" s="175">
        <v>97</v>
      </c>
      <c r="SH23" s="139">
        <v>4.104857142857143</v>
      </c>
      <c r="SI23" s="140">
        <f t="shared" ref="SI23:SI25" si="86">SG23*SH23</f>
        <v>398.17114285714285</v>
      </c>
      <c r="SJ23" s="158"/>
      <c r="SK23" s="528"/>
      <c r="SL23" s="145"/>
      <c r="SM23" s="146"/>
      <c r="SN23" s="157" t="s">
        <v>370</v>
      </c>
      <c r="SO23" s="175">
        <v>80</v>
      </c>
      <c r="SP23" s="139">
        <v>4.104857142857143</v>
      </c>
      <c r="SQ23" s="140">
        <f t="shared" ref="SQ23:SQ25" si="87">SO23*SP23</f>
        <v>328.38857142857142</v>
      </c>
      <c r="SR23" s="158"/>
      <c r="SS23" s="528"/>
      <c r="ST23" s="145"/>
      <c r="SU23" s="146"/>
      <c r="SV23" s="157" t="s">
        <v>370</v>
      </c>
      <c r="SW23" s="175">
        <v>64</v>
      </c>
      <c r="SX23" s="139">
        <v>4.104857142857143</v>
      </c>
      <c r="SY23" s="140">
        <f t="shared" ref="SY23:SY25" si="88">SW23*SX23</f>
        <v>262.71085714285715</v>
      </c>
      <c r="SZ23" s="158"/>
      <c r="TA23" s="528"/>
      <c r="TB23" s="145"/>
      <c r="TC23" s="146"/>
      <c r="TD23" s="157" t="s">
        <v>370</v>
      </c>
      <c r="TE23" s="175">
        <v>138</v>
      </c>
      <c r="TF23" s="139">
        <v>4.104857142857143</v>
      </c>
      <c r="TG23" s="140">
        <f t="shared" ref="TG23:TG25" si="89">TE23*TF23</f>
        <v>566.47028571428575</v>
      </c>
      <c r="TH23" s="158"/>
      <c r="TI23" s="528"/>
    </row>
    <row r="24" spans="2:529">
      <c r="B24" s="145"/>
      <c r="C24" s="146"/>
      <c r="D24" s="157" t="s">
        <v>78</v>
      </c>
      <c r="E24" s="138">
        <v>8</v>
      </c>
      <c r="F24" s="139">
        <v>2.5133333333333332</v>
      </c>
      <c r="G24" s="140">
        <f t="shared" si="0"/>
        <v>20.106666666666666</v>
      </c>
      <c r="H24" s="158"/>
      <c r="I24" s="528"/>
      <c r="J24" s="145"/>
      <c r="K24" s="146"/>
      <c r="L24" s="157" t="s">
        <v>78</v>
      </c>
      <c r="M24" s="138">
        <v>154</v>
      </c>
      <c r="N24" s="139">
        <v>2.5133333333333332</v>
      </c>
      <c r="O24" s="140">
        <f t="shared" si="1"/>
        <v>387.05333333333328</v>
      </c>
      <c r="P24" s="158"/>
      <c r="Q24" s="528"/>
      <c r="R24" s="145"/>
      <c r="S24" s="146"/>
      <c r="T24" s="157" t="s">
        <v>78</v>
      </c>
      <c r="U24" s="138">
        <v>0</v>
      </c>
      <c r="V24" s="139">
        <v>2.5133333333333332</v>
      </c>
      <c r="W24" s="140">
        <f t="shared" si="2"/>
        <v>0</v>
      </c>
      <c r="X24" s="158"/>
      <c r="Y24" s="528"/>
      <c r="Z24" s="145"/>
      <c r="AA24" s="146"/>
      <c r="AB24" s="157" t="s">
        <v>78</v>
      </c>
      <c r="AC24" s="138">
        <v>151</v>
      </c>
      <c r="AD24" s="139">
        <v>2.5133333333333332</v>
      </c>
      <c r="AE24" s="140">
        <f t="shared" si="3"/>
        <v>379.51333333333332</v>
      </c>
      <c r="AF24" s="158"/>
      <c r="AG24" s="528"/>
      <c r="AH24" s="145"/>
      <c r="AI24" s="146"/>
      <c r="AJ24" s="157" t="s">
        <v>78</v>
      </c>
      <c r="AK24" s="138">
        <v>0</v>
      </c>
      <c r="AL24" s="139">
        <v>2.5133333333333332</v>
      </c>
      <c r="AM24" s="140">
        <f t="shared" si="4"/>
        <v>0</v>
      </c>
      <c r="AN24" s="158"/>
      <c r="AO24" s="528"/>
      <c r="AP24" s="145"/>
      <c r="AQ24" s="146"/>
      <c r="AR24" s="157" t="s">
        <v>78</v>
      </c>
      <c r="AS24" s="138"/>
      <c r="AT24" s="139">
        <v>2.5133333333333332</v>
      </c>
      <c r="AU24" s="140">
        <f t="shared" si="5"/>
        <v>0</v>
      </c>
      <c r="AV24" s="158"/>
      <c r="AW24" s="528"/>
      <c r="AX24" s="145"/>
      <c r="AY24" s="146"/>
      <c r="AZ24" s="157" t="s">
        <v>78</v>
      </c>
      <c r="BA24" s="138">
        <v>40</v>
      </c>
      <c r="BB24" s="139">
        <v>2.5133333333333332</v>
      </c>
      <c r="BC24" s="140">
        <f t="shared" si="6"/>
        <v>100.53333333333333</v>
      </c>
      <c r="BD24" s="158"/>
      <c r="BE24" s="528"/>
      <c r="BF24" s="145"/>
      <c r="BG24" s="146"/>
      <c r="BH24" s="157" t="s">
        <v>78</v>
      </c>
      <c r="BI24" s="138">
        <v>112</v>
      </c>
      <c r="BJ24" s="139">
        <v>2.5133333333333332</v>
      </c>
      <c r="BK24" s="140">
        <f t="shared" si="7"/>
        <v>281.49333333333334</v>
      </c>
      <c r="BL24" s="158"/>
      <c r="BM24" s="528"/>
      <c r="BN24" s="145"/>
      <c r="BO24" s="146"/>
      <c r="BP24" s="157" t="s">
        <v>78</v>
      </c>
      <c r="BQ24" s="138">
        <v>5</v>
      </c>
      <c r="BR24" s="139">
        <v>2.5133333333333332</v>
      </c>
      <c r="BS24" s="140">
        <f t="shared" si="8"/>
        <v>12.566666666666666</v>
      </c>
      <c r="BT24" s="158"/>
      <c r="BU24" s="528"/>
      <c r="BV24" s="536"/>
      <c r="BW24" s="537"/>
      <c r="BX24" s="574" t="s">
        <v>78</v>
      </c>
      <c r="BY24" s="560"/>
      <c r="BZ24" s="561">
        <v>2.5133333333333332</v>
      </c>
      <c r="CA24" s="562">
        <f t="shared" si="9"/>
        <v>0</v>
      </c>
      <c r="CB24" s="540"/>
      <c r="CC24" s="528"/>
      <c r="CD24" s="536"/>
      <c r="CE24" s="537"/>
      <c r="CF24" s="574" t="s">
        <v>78</v>
      </c>
      <c r="CG24" s="560"/>
      <c r="CH24" s="561">
        <v>2.5133333333333332</v>
      </c>
      <c r="CI24" s="562">
        <f t="shared" si="10"/>
        <v>0</v>
      </c>
      <c r="CJ24" s="540"/>
      <c r="CK24" s="528"/>
      <c r="CL24" s="145"/>
      <c r="CM24" s="146"/>
      <c r="CN24" s="157" t="s">
        <v>78</v>
      </c>
      <c r="CO24" s="138">
        <v>39</v>
      </c>
      <c r="CP24" s="139">
        <v>2.5133333333333332</v>
      </c>
      <c r="CQ24" s="140">
        <f t="shared" si="11"/>
        <v>98.02</v>
      </c>
      <c r="CR24" s="158"/>
      <c r="CS24" s="528"/>
      <c r="CT24" s="145"/>
      <c r="CU24" s="146"/>
      <c r="CV24" s="157" t="s">
        <v>78</v>
      </c>
      <c r="CW24" s="138">
        <v>112</v>
      </c>
      <c r="CX24" s="139">
        <v>2.5133333333333332</v>
      </c>
      <c r="CY24" s="140">
        <f t="shared" si="12"/>
        <v>281.49333333333334</v>
      </c>
      <c r="CZ24" s="158"/>
      <c r="DA24" s="528"/>
      <c r="DB24" s="145"/>
      <c r="DC24" s="146"/>
      <c r="DD24" s="157" t="s">
        <v>78</v>
      </c>
      <c r="DE24" s="138">
        <v>4</v>
      </c>
      <c r="DF24" s="139">
        <v>2.5133333333333332</v>
      </c>
      <c r="DG24" s="140">
        <f t="shared" si="13"/>
        <v>10.053333333333333</v>
      </c>
      <c r="DH24" s="158"/>
      <c r="DI24" s="528"/>
      <c r="DJ24" s="145"/>
      <c r="DK24" s="146"/>
      <c r="DL24" s="157" t="s">
        <v>78</v>
      </c>
      <c r="DM24" s="138">
        <v>1</v>
      </c>
      <c r="DN24" s="170">
        <v>2.5133333333333332</v>
      </c>
      <c r="DO24" s="140">
        <f t="shared" si="14"/>
        <v>2.5133333333333332</v>
      </c>
      <c r="DP24" s="158"/>
      <c r="DQ24" s="528"/>
      <c r="DR24" s="145"/>
      <c r="DS24" s="146"/>
      <c r="DT24" s="157" t="s">
        <v>78</v>
      </c>
      <c r="DU24" s="138"/>
      <c r="DV24" s="170">
        <v>2.5133333333333332</v>
      </c>
      <c r="DW24" s="140">
        <f t="shared" si="15"/>
        <v>0</v>
      </c>
      <c r="DX24" s="158"/>
      <c r="DY24" s="528"/>
      <c r="DZ24" s="145"/>
      <c r="EA24" s="146"/>
      <c r="EB24" s="157" t="s">
        <v>78</v>
      </c>
      <c r="EC24" s="138">
        <v>0</v>
      </c>
      <c r="ED24" s="170">
        <v>2.5133333333333332</v>
      </c>
      <c r="EE24" s="140">
        <f t="shared" si="16"/>
        <v>0</v>
      </c>
      <c r="EF24" s="158"/>
      <c r="EG24" s="528"/>
      <c r="EH24" s="145"/>
      <c r="EI24" s="146"/>
      <c r="EJ24" s="157" t="s">
        <v>78</v>
      </c>
      <c r="EK24" s="138">
        <v>0</v>
      </c>
      <c r="EL24" s="170">
        <v>2.5133333333333332</v>
      </c>
      <c r="EM24" s="140">
        <f t="shared" si="17"/>
        <v>0</v>
      </c>
      <c r="EN24" s="158"/>
      <c r="EO24" s="528"/>
      <c r="EP24" s="145"/>
      <c r="EQ24" s="146"/>
      <c r="ER24" s="157" t="s">
        <v>78</v>
      </c>
      <c r="ES24" s="138">
        <v>0</v>
      </c>
      <c r="ET24" s="170">
        <v>2.5133333333333332</v>
      </c>
      <c r="EU24" s="140">
        <f t="shared" si="18"/>
        <v>0</v>
      </c>
      <c r="EV24" s="158"/>
      <c r="EW24" s="528"/>
      <c r="EX24" s="145"/>
      <c r="EY24" s="146"/>
      <c r="EZ24" s="157" t="s">
        <v>78</v>
      </c>
      <c r="FA24" s="138"/>
      <c r="FB24" s="170">
        <v>2.5133333333333332</v>
      </c>
      <c r="FC24" s="140">
        <f t="shared" si="19"/>
        <v>0</v>
      </c>
      <c r="FD24" s="158"/>
      <c r="FE24" s="528"/>
      <c r="FF24" s="145"/>
      <c r="FG24" s="146"/>
      <c r="FH24" s="157" t="s">
        <v>78</v>
      </c>
      <c r="FI24" s="138"/>
      <c r="FJ24" s="170">
        <v>2.5133333333333332</v>
      </c>
      <c r="FK24" s="140">
        <f t="shared" si="20"/>
        <v>0</v>
      </c>
      <c r="FL24" s="158"/>
      <c r="FM24" s="528"/>
      <c r="FN24" s="145"/>
      <c r="FO24" s="146"/>
      <c r="FP24" s="157" t="s">
        <v>78</v>
      </c>
      <c r="FQ24" s="138"/>
      <c r="FR24" s="170">
        <v>2.5133333333333332</v>
      </c>
      <c r="FS24" s="140">
        <f t="shared" si="21"/>
        <v>0</v>
      </c>
      <c r="FT24" s="158"/>
      <c r="FU24" s="528"/>
      <c r="FV24" s="145"/>
      <c r="FW24" s="146"/>
      <c r="FX24" s="157" t="s">
        <v>78</v>
      </c>
      <c r="FY24" s="138"/>
      <c r="FZ24" s="170">
        <v>2.5133333333333332</v>
      </c>
      <c r="GA24" s="140">
        <f t="shared" si="22"/>
        <v>0</v>
      </c>
      <c r="GB24" s="158"/>
      <c r="GC24" s="528"/>
      <c r="GD24" s="145"/>
      <c r="GE24" s="146"/>
      <c r="GF24" s="157" t="s">
        <v>78</v>
      </c>
      <c r="GG24" s="138"/>
      <c r="GH24" s="170">
        <v>2.5133333333333332</v>
      </c>
      <c r="GI24" s="140">
        <f t="shared" si="23"/>
        <v>0</v>
      </c>
      <c r="GJ24" s="158"/>
      <c r="GK24" s="528"/>
      <c r="GL24" s="145"/>
      <c r="GM24" s="146"/>
      <c r="GN24" s="157" t="s">
        <v>78</v>
      </c>
      <c r="GO24" s="175">
        <v>0</v>
      </c>
      <c r="GP24" s="139">
        <v>2.5133333333333332</v>
      </c>
      <c r="GQ24" s="140">
        <f t="shared" si="24"/>
        <v>0</v>
      </c>
      <c r="GR24" s="158"/>
      <c r="GS24" s="528"/>
      <c r="GT24" s="145"/>
      <c r="GU24" s="146"/>
      <c r="GV24" s="157" t="s">
        <v>78</v>
      </c>
      <c r="GW24" s="175">
        <v>0</v>
      </c>
      <c r="GX24" s="139">
        <v>2.5133333333333332</v>
      </c>
      <c r="GY24" s="140">
        <f t="shared" si="25"/>
        <v>0</v>
      </c>
      <c r="GZ24" s="158"/>
      <c r="HA24" s="528"/>
      <c r="HB24" s="145"/>
      <c r="HC24" s="146"/>
      <c r="HD24" s="157" t="s">
        <v>78</v>
      </c>
      <c r="HE24" s="175">
        <v>0</v>
      </c>
      <c r="HF24" s="139">
        <v>2.5133333333333332</v>
      </c>
      <c r="HG24" s="140">
        <f t="shared" si="26"/>
        <v>0</v>
      </c>
      <c r="HH24" s="158"/>
      <c r="HI24" s="528"/>
      <c r="HJ24" s="145"/>
      <c r="HK24" s="146"/>
      <c r="HL24" s="157" t="s">
        <v>78</v>
      </c>
      <c r="HM24" s="175">
        <v>0</v>
      </c>
      <c r="HN24" s="139">
        <v>2.5133333333333332</v>
      </c>
      <c r="HO24" s="140">
        <f t="shared" si="27"/>
        <v>0</v>
      </c>
      <c r="HP24" s="158"/>
      <c r="HQ24" s="528"/>
      <c r="HR24" s="145"/>
      <c r="HS24" s="146"/>
      <c r="HT24" s="157" t="s">
        <v>78</v>
      </c>
      <c r="HU24" s="175">
        <v>0</v>
      </c>
      <c r="HV24" s="139">
        <v>2.5133333333333332</v>
      </c>
      <c r="HW24" s="140">
        <f t="shared" si="28"/>
        <v>0</v>
      </c>
      <c r="HX24" s="158"/>
      <c r="HY24" s="528"/>
      <c r="HZ24" s="145"/>
      <c r="IA24" s="146"/>
      <c r="IB24" s="157" t="s">
        <v>78</v>
      </c>
      <c r="IC24" s="175">
        <v>0</v>
      </c>
      <c r="ID24" s="139">
        <v>2.5133333333333332</v>
      </c>
      <c r="IE24" s="140">
        <f t="shared" si="29"/>
        <v>0</v>
      </c>
      <c r="IF24" s="158"/>
      <c r="IG24" s="528"/>
      <c r="IH24" s="145"/>
      <c r="II24" s="146"/>
      <c r="IJ24" s="157" t="s">
        <v>78</v>
      </c>
      <c r="IK24" s="175">
        <v>0</v>
      </c>
      <c r="IL24" s="139">
        <v>2.5133333333333332</v>
      </c>
      <c r="IM24" s="140">
        <f t="shared" si="30"/>
        <v>0</v>
      </c>
      <c r="IN24" s="158"/>
      <c r="IO24" s="528"/>
      <c r="IP24" s="145"/>
      <c r="IQ24" s="146"/>
      <c r="IR24" s="157" t="s">
        <v>78</v>
      </c>
      <c r="IS24" s="175">
        <v>38</v>
      </c>
      <c r="IT24" s="139">
        <v>2.5133333333333332</v>
      </c>
      <c r="IU24" s="140">
        <f t="shared" si="31"/>
        <v>95.506666666666661</v>
      </c>
      <c r="IV24" s="158"/>
      <c r="IW24" s="528"/>
      <c r="IX24" s="145"/>
      <c r="IY24" s="146"/>
      <c r="IZ24" s="157" t="s">
        <v>78</v>
      </c>
      <c r="JA24" s="175">
        <v>6</v>
      </c>
      <c r="JB24" s="139">
        <v>2.5133333333333332</v>
      </c>
      <c r="JC24" s="140">
        <f t="shared" si="32"/>
        <v>15.079999999999998</v>
      </c>
      <c r="JD24" s="158"/>
      <c r="JE24" s="528"/>
      <c r="JF24" s="145"/>
      <c r="JG24" s="146"/>
      <c r="JH24" s="157" t="s">
        <v>78</v>
      </c>
      <c r="JI24" s="175">
        <v>0</v>
      </c>
      <c r="JJ24" s="139">
        <v>2.5133333333333332</v>
      </c>
      <c r="JK24" s="140">
        <f t="shared" si="33"/>
        <v>0</v>
      </c>
      <c r="JL24" s="158"/>
      <c r="JM24" s="528"/>
      <c r="JN24" s="145"/>
      <c r="JO24" s="146"/>
      <c r="JP24" s="157" t="s">
        <v>78</v>
      </c>
      <c r="JQ24" s="175">
        <v>0</v>
      </c>
      <c r="JR24" s="139">
        <v>2.5133333333333332</v>
      </c>
      <c r="JS24" s="140">
        <f t="shared" si="34"/>
        <v>0</v>
      </c>
      <c r="JT24" s="158"/>
      <c r="JU24" s="528"/>
      <c r="JV24" s="145"/>
      <c r="JW24" s="146"/>
      <c r="JX24" s="157" t="s">
        <v>78</v>
      </c>
      <c r="JY24" s="175">
        <v>40</v>
      </c>
      <c r="JZ24" s="139">
        <v>2.5133333333333332</v>
      </c>
      <c r="KA24" s="140">
        <f t="shared" si="35"/>
        <v>100.53333333333333</v>
      </c>
      <c r="KB24" s="158"/>
      <c r="KC24" s="528"/>
      <c r="KD24" s="145"/>
      <c r="KE24" s="146"/>
      <c r="KF24" s="157" t="s">
        <v>78</v>
      </c>
      <c r="KG24" s="175">
        <v>0</v>
      </c>
      <c r="KH24" s="139">
        <v>2.5133333333333332</v>
      </c>
      <c r="KI24" s="140">
        <f t="shared" si="36"/>
        <v>0</v>
      </c>
      <c r="KJ24" s="158"/>
      <c r="KK24" s="528"/>
      <c r="KL24" s="145"/>
      <c r="KM24" s="146"/>
      <c r="KN24" s="157" t="s">
        <v>78</v>
      </c>
      <c r="KO24" s="175">
        <v>0</v>
      </c>
      <c r="KP24" s="139">
        <v>2.5133333333333332</v>
      </c>
      <c r="KQ24" s="140">
        <f t="shared" si="37"/>
        <v>0</v>
      </c>
      <c r="KR24" s="158"/>
      <c r="KS24" s="528"/>
      <c r="KT24" s="145"/>
      <c r="KU24" s="146"/>
      <c r="KV24" s="157" t="s">
        <v>78</v>
      </c>
      <c r="KW24" s="175">
        <v>0</v>
      </c>
      <c r="KX24" s="139">
        <v>2.5133333333333332</v>
      </c>
      <c r="KY24" s="140">
        <f t="shared" si="38"/>
        <v>0</v>
      </c>
      <c r="KZ24" s="158"/>
      <c r="LA24" s="528"/>
      <c r="LB24" s="145"/>
      <c r="LC24" s="146"/>
      <c r="LD24" s="157" t="s">
        <v>78</v>
      </c>
      <c r="LE24" s="175">
        <v>0</v>
      </c>
      <c r="LF24" s="139">
        <v>2.5133333333333332</v>
      </c>
      <c r="LG24" s="140">
        <f t="shared" si="39"/>
        <v>0</v>
      </c>
      <c r="LH24" s="158"/>
      <c r="LI24" s="528"/>
      <c r="LJ24" s="145"/>
      <c r="LK24" s="146"/>
      <c r="LL24" s="157" t="s">
        <v>78</v>
      </c>
      <c r="LM24" s="175">
        <v>10</v>
      </c>
      <c r="LN24" s="139">
        <v>2.5133333333333332</v>
      </c>
      <c r="LO24" s="140">
        <f t="shared" si="40"/>
        <v>25.133333333333333</v>
      </c>
      <c r="LP24" s="158"/>
      <c r="LQ24" s="528"/>
      <c r="LR24" s="145"/>
      <c r="LS24" s="146"/>
      <c r="LT24" s="157" t="s">
        <v>78</v>
      </c>
      <c r="LU24" s="175">
        <v>22</v>
      </c>
      <c r="LV24" s="139">
        <v>2.5133333333333332</v>
      </c>
      <c r="LW24" s="140">
        <f t="shared" si="41"/>
        <v>55.293333333333329</v>
      </c>
      <c r="LX24" s="158"/>
      <c r="LY24" s="528"/>
      <c r="LZ24" s="145"/>
      <c r="MA24" s="146"/>
      <c r="MB24" s="157" t="s">
        <v>78</v>
      </c>
      <c r="MC24" s="175">
        <v>0</v>
      </c>
      <c r="MD24" s="139">
        <v>2.5133333333333332</v>
      </c>
      <c r="ME24" s="140">
        <f t="shared" si="42"/>
        <v>0</v>
      </c>
      <c r="MF24" s="158"/>
      <c r="MG24" s="528"/>
      <c r="MH24" s="145"/>
      <c r="MI24" s="146"/>
      <c r="MJ24" s="157" t="s">
        <v>78</v>
      </c>
      <c r="MK24" s="175">
        <v>51</v>
      </c>
      <c r="ML24" s="139">
        <v>2.5133333333333332</v>
      </c>
      <c r="MM24" s="140">
        <f t="shared" si="43"/>
        <v>128.18</v>
      </c>
      <c r="MN24" s="158"/>
      <c r="MO24" s="528"/>
      <c r="MP24" s="145"/>
      <c r="MQ24" s="146"/>
      <c r="MR24" s="157" t="s">
        <v>78</v>
      </c>
      <c r="MS24" s="175">
        <v>2</v>
      </c>
      <c r="MT24" s="139">
        <v>2.5133333333333332</v>
      </c>
      <c r="MU24" s="140">
        <f t="shared" si="44"/>
        <v>5.0266666666666664</v>
      </c>
      <c r="MV24" s="158"/>
      <c r="MW24" s="528"/>
      <c r="MX24" s="145"/>
      <c r="MY24" s="146"/>
      <c r="MZ24" s="157" t="s">
        <v>78</v>
      </c>
      <c r="NA24" s="175">
        <v>10</v>
      </c>
      <c r="NB24" s="139">
        <v>2.5133333333333332</v>
      </c>
      <c r="NC24" s="140">
        <f t="shared" si="45"/>
        <v>25.133333333333333</v>
      </c>
      <c r="ND24" s="158"/>
      <c r="NE24" s="528"/>
      <c r="NF24" s="145"/>
      <c r="NG24" s="146"/>
      <c r="NH24" s="157" t="s">
        <v>78</v>
      </c>
      <c r="NI24" s="175">
        <v>34</v>
      </c>
      <c r="NJ24" s="139">
        <v>2.5133333333333332</v>
      </c>
      <c r="NK24" s="140">
        <f t="shared" si="46"/>
        <v>85.453333333333333</v>
      </c>
      <c r="NL24" s="158"/>
      <c r="NM24" s="528"/>
      <c r="NN24" s="145"/>
      <c r="NO24" s="146"/>
      <c r="NP24" s="157" t="s">
        <v>78</v>
      </c>
      <c r="NQ24" s="175">
        <v>48</v>
      </c>
      <c r="NR24" s="139">
        <v>2.5133333333333332</v>
      </c>
      <c r="NS24" s="140">
        <f t="shared" si="47"/>
        <v>120.63999999999999</v>
      </c>
      <c r="NT24" s="158"/>
      <c r="NU24" s="528"/>
      <c r="NV24" s="145"/>
      <c r="NW24" s="146"/>
      <c r="NX24" s="157" t="s">
        <v>78</v>
      </c>
      <c r="NY24" s="175">
        <v>37</v>
      </c>
      <c r="NZ24" s="139">
        <v>2.5133333333333332</v>
      </c>
      <c r="OA24" s="140">
        <f t="shared" si="48"/>
        <v>92.993333333333325</v>
      </c>
      <c r="OB24" s="158"/>
      <c r="OC24" s="528"/>
      <c r="OD24" s="145"/>
      <c r="OE24" s="146"/>
      <c r="OF24" s="157" t="s">
        <v>78</v>
      </c>
      <c r="OG24" s="175">
        <v>11</v>
      </c>
      <c r="OH24" s="139">
        <v>2.5133333333333332</v>
      </c>
      <c r="OI24" s="140">
        <f t="shared" si="49"/>
        <v>27.646666666666665</v>
      </c>
      <c r="OJ24" s="158"/>
      <c r="OK24" s="528"/>
      <c r="OL24" s="145"/>
      <c r="OM24" s="146"/>
      <c r="ON24" s="157" t="s">
        <v>78</v>
      </c>
      <c r="OO24" s="175">
        <v>24</v>
      </c>
      <c r="OP24" s="139">
        <v>2.5133333333333332</v>
      </c>
      <c r="OQ24" s="140">
        <f t="shared" si="50"/>
        <v>60.319999999999993</v>
      </c>
      <c r="OR24" s="158"/>
      <c r="OS24" s="528"/>
      <c r="OT24" s="145"/>
      <c r="OU24" s="146"/>
      <c r="OV24" s="157" t="s">
        <v>78</v>
      </c>
      <c r="OW24" s="175"/>
      <c r="OX24" s="139">
        <v>2.5133333333333332</v>
      </c>
      <c r="OY24" s="140">
        <f t="shared" si="51"/>
        <v>0</v>
      </c>
      <c r="OZ24" s="158"/>
      <c r="PA24" s="528"/>
      <c r="PB24" s="145"/>
      <c r="PC24" s="146"/>
      <c r="PD24" s="157" t="s">
        <v>78</v>
      </c>
      <c r="PE24" s="175"/>
      <c r="PF24" s="139">
        <v>2.5133333333333332</v>
      </c>
      <c r="PG24" s="140">
        <f t="shared" si="52"/>
        <v>0</v>
      </c>
      <c r="PH24" s="158"/>
      <c r="PI24" s="528"/>
      <c r="PJ24" s="145"/>
      <c r="PK24" s="146"/>
      <c r="PL24" s="157" t="s">
        <v>78</v>
      </c>
      <c r="PM24" s="175"/>
      <c r="PN24" s="139">
        <v>2.5133333333333332</v>
      </c>
      <c r="PO24" s="140">
        <f t="shared" si="53"/>
        <v>0</v>
      </c>
      <c r="PP24" s="158"/>
      <c r="PQ24" s="528"/>
      <c r="PR24" s="145"/>
      <c r="PS24" s="146"/>
      <c r="PT24" s="157" t="s">
        <v>78</v>
      </c>
      <c r="PU24" s="175"/>
      <c r="PV24" s="139">
        <v>2.5133333333333332</v>
      </c>
      <c r="PW24" s="140">
        <f t="shared" si="78"/>
        <v>0</v>
      </c>
      <c r="PX24" s="158"/>
      <c r="PY24" s="528"/>
      <c r="PZ24" s="145"/>
      <c r="QA24" s="146"/>
      <c r="QB24" s="157" t="s">
        <v>78</v>
      </c>
      <c r="QC24" s="175"/>
      <c r="QD24" s="139">
        <v>2.5133333333333332</v>
      </c>
      <c r="QE24" s="140">
        <f t="shared" si="79"/>
        <v>0</v>
      </c>
      <c r="QF24" s="158"/>
      <c r="QG24" s="528"/>
      <c r="QH24" s="145"/>
      <c r="QI24" s="146"/>
      <c r="QJ24" s="157" t="s">
        <v>78</v>
      </c>
      <c r="QK24" s="175"/>
      <c r="QL24" s="139">
        <v>2.5133333333333332</v>
      </c>
      <c r="QM24" s="140">
        <f t="shared" si="80"/>
        <v>0</v>
      </c>
      <c r="QN24" s="158"/>
      <c r="QO24" s="528"/>
      <c r="QP24" s="145"/>
      <c r="QQ24" s="146"/>
      <c r="QR24" s="157" t="s">
        <v>78</v>
      </c>
      <c r="QS24" s="175"/>
      <c r="QT24" s="139">
        <v>2.5133333333333332</v>
      </c>
      <c r="QU24" s="140">
        <f t="shared" si="81"/>
        <v>0</v>
      </c>
      <c r="QV24" s="158"/>
      <c r="QW24" s="528"/>
      <c r="QX24" s="145"/>
      <c r="QY24" s="146"/>
      <c r="QZ24" s="157" t="s">
        <v>78</v>
      </c>
      <c r="RA24" s="175"/>
      <c r="RB24" s="139">
        <v>2.5133333333333332</v>
      </c>
      <c r="RC24" s="140">
        <f t="shared" si="82"/>
        <v>0</v>
      </c>
      <c r="RD24" s="158"/>
      <c r="RE24" s="528"/>
      <c r="RF24" s="145"/>
      <c r="RG24" s="146"/>
      <c r="RH24" s="157" t="s">
        <v>78</v>
      </c>
      <c r="RI24" s="175"/>
      <c r="RJ24" s="139">
        <v>2.5133333333333332</v>
      </c>
      <c r="RK24" s="140">
        <f t="shared" si="83"/>
        <v>0</v>
      </c>
      <c r="RL24" s="158"/>
      <c r="RM24" s="528"/>
      <c r="RN24" s="145"/>
      <c r="RO24" s="146"/>
      <c r="RP24" s="157" t="s">
        <v>78</v>
      </c>
      <c r="RQ24" s="175">
        <v>7</v>
      </c>
      <c r="RR24" s="139">
        <v>2.5133333333333332</v>
      </c>
      <c r="RS24" s="140">
        <f t="shared" si="84"/>
        <v>17.593333333333334</v>
      </c>
      <c r="RT24" s="158"/>
      <c r="RU24" s="528"/>
      <c r="RV24" s="145"/>
      <c r="RW24" s="146"/>
      <c r="RX24" s="157" t="s">
        <v>78</v>
      </c>
      <c r="RY24" s="175">
        <v>7</v>
      </c>
      <c r="RZ24" s="139">
        <v>2.5133333333333332</v>
      </c>
      <c r="SA24" s="140">
        <f t="shared" si="85"/>
        <v>17.593333333333334</v>
      </c>
      <c r="SB24" s="158"/>
      <c r="SC24" s="528"/>
      <c r="SD24" s="145"/>
      <c r="SE24" s="146"/>
      <c r="SF24" s="157" t="s">
        <v>78</v>
      </c>
      <c r="SG24" s="175">
        <v>11</v>
      </c>
      <c r="SH24" s="139">
        <v>2.5133333333333332</v>
      </c>
      <c r="SI24" s="140">
        <f t="shared" si="86"/>
        <v>27.646666666666665</v>
      </c>
      <c r="SJ24" s="158"/>
      <c r="SK24" s="528"/>
      <c r="SL24" s="145"/>
      <c r="SM24" s="146"/>
      <c r="SN24" s="157" t="s">
        <v>78</v>
      </c>
      <c r="SO24" s="175">
        <v>7</v>
      </c>
      <c r="SP24" s="139">
        <v>2.5133333333333332</v>
      </c>
      <c r="SQ24" s="140">
        <f t="shared" si="87"/>
        <v>17.593333333333334</v>
      </c>
      <c r="SR24" s="158"/>
      <c r="SS24" s="528"/>
      <c r="ST24" s="145"/>
      <c r="SU24" s="146"/>
      <c r="SV24" s="157" t="s">
        <v>78</v>
      </c>
      <c r="SW24" s="175">
        <v>6</v>
      </c>
      <c r="SX24" s="139">
        <v>2.5133333333333332</v>
      </c>
      <c r="SY24" s="140">
        <f t="shared" si="88"/>
        <v>15.079999999999998</v>
      </c>
      <c r="SZ24" s="158"/>
      <c r="TA24" s="528"/>
      <c r="TB24" s="145"/>
      <c r="TC24" s="146"/>
      <c r="TD24" s="157" t="s">
        <v>78</v>
      </c>
      <c r="TE24" s="175">
        <v>5</v>
      </c>
      <c r="TF24" s="139">
        <v>2.5133333333333332</v>
      </c>
      <c r="TG24" s="140">
        <f t="shared" si="89"/>
        <v>12.566666666666666</v>
      </c>
      <c r="TH24" s="158"/>
      <c r="TI24" s="528"/>
    </row>
    <row r="25" spans="2:529">
      <c r="B25" s="145"/>
      <c r="C25" s="146"/>
      <c r="D25" s="157" t="s">
        <v>79</v>
      </c>
      <c r="E25" s="138">
        <v>68</v>
      </c>
      <c r="F25" s="139">
        <v>1.4800000000000002</v>
      </c>
      <c r="G25" s="140">
        <f t="shared" si="0"/>
        <v>100.64000000000001</v>
      </c>
      <c r="H25" s="159">
        <f>SUM(G22:G25)</f>
        <v>1182.6887301587301</v>
      </c>
      <c r="I25" s="528"/>
      <c r="J25" s="145"/>
      <c r="K25" s="146"/>
      <c r="L25" s="157" t="s">
        <v>79</v>
      </c>
      <c r="M25" s="138">
        <v>75</v>
      </c>
      <c r="N25" s="139">
        <v>1.4800000000000002</v>
      </c>
      <c r="O25" s="140">
        <f t="shared" si="1"/>
        <v>111.00000000000001</v>
      </c>
      <c r="P25" s="159">
        <f>SUM(O22:O25)</f>
        <v>932.76434920634915</v>
      </c>
      <c r="Q25" s="528"/>
      <c r="R25" s="145"/>
      <c r="S25" s="146"/>
      <c r="T25" s="157" t="s">
        <v>79</v>
      </c>
      <c r="U25" s="138">
        <v>0</v>
      </c>
      <c r="V25" s="139">
        <v>1.4800000000000002</v>
      </c>
      <c r="W25" s="140">
        <f t="shared" si="2"/>
        <v>0</v>
      </c>
      <c r="X25" s="159">
        <f>SUM(W22:W25)</f>
        <v>0</v>
      </c>
      <c r="Y25" s="528"/>
      <c r="Z25" s="145"/>
      <c r="AA25" s="146"/>
      <c r="AB25" s="157" t="s">
        <v>79</v>
      </c>
      <c r="AC25" s="138">
        <v>20</v>
      </c>
      <c r="AD25" s="139">
        <v>1.4800000000000002</v>
      </c>
      <c r="AE25" s="140">
        <f t="shared" si="3"/>
        <v>29.600000000000005</v>
      </c>
      <c r="AF25" s="159">
        <f>SUM(AE22:AE25)</f>
        <v>756.62831746031748</v>
      </c>
      <c r="AG25" s="528"/>
      <c r="AH25" s="145"/>
      <c r="AI25" s="146"/>
      <c r="AJ25" s="157" t="s">
        <v>79</v>
      </c>
      <c r="AK25" s="138">
        <v>0</v>
      </c>
      <c r="AL25" s="139">
        <v>1.4800000000000002</v>
      </c>
      <c r="AM25" s="140">
        <f t="shared" si="4"/>
        <v>0</v>
      </c>
      <c r="AN25" s="159">
        <f>SUM(AM22:AM25)</f>
        <v>0</v>
      </c>
      <c r="AO25" s="528"/>
      <c r="AP25" s="145"/>
      <c r="AQ25" s="146"/>
      <c r="AR25" s="157" t="s">
        <v>79</v>
      </c>
      <c r="AS25" s="138"/>
      <c r="AT25" s="139">
        <v>1.4800000000000002</v>
      </c>
      <c r="AU25" s="140">
        <f t="shared" si="5"/>
        <v>0</v>
      </c>
      <c r="AV25" s="159">
        <f>SUM(AU22:AU25)</f>
        <v>0</v>
      </c>
      <c r="AW25" s="528"/>
      <c r="AX25" s="145"/>
      <c r="AY25" s="146"/>
      <c r="AZ25" s="157" t="s">
        <v>79</v>
      </c>
      <c r="BA25" s="138">
        <v>335</v>
      </c>
      <c r="BB25" s="139">
        <v>1.4800000000000002</v>
      </c>
      <c r="BC25" s="140">
        <f t="shared" si="6"/>
        <v>495.80000000000007</v>
      </c>
      <c r="BD25" s="159">
        <f>SUM(BC22:BC25)</f>
        <v>666.34222222222229</v>
      </c>
      <c r="BE25" s="528"/>
      <c r="BF25" s="145"/>
      <c r="BG25" s="146"/>
      <c r="BH25" s="157" t="s">
        <v>79</v>
      </c>
      <c r="BI25" s="138">
        <v>345</v>
      </c>
      <c r="BJ25" s="139">
        <v>1.4800000000000002</v>
      </c>
      <c r="BK25" s="140">
        <f t="shared" si="7"/>
        <v>510.60000000000008</v>
      </c>
      <c r="BL25" s="159">
        <f>SUM(BK22:BK25)</f>
        <v>884.56577777777784</v>
      </c>
      <c r="BM25" s="528"/>
      <c r="BN25" s="145"/>
      <c r="BO25" s="146"/>
      <c r="BP25" s="157" t="s">
        <v>79</v>
      </c>
      <c r="BQ25" s="138">
        <v>5</v>
      </c>
      <c r="BR25" s="139">
        <v>1.4800000000000002</v>
      </c>
      <c r="BS25" s="140">
        <f t="shared" si="8"/>
        <v>7.4000000000000012</v>
      </c>
      <c r="BT25" s="159">
        <f>SUM(BS22:BS25)</f>
        <v>129.35555555555553</v>
      </c>
      <c r="BU25" s="528"/>
      <c r="BV25" s="536"/>
      <c r="BW25" s="537"/>
      <c r="BX25" s="574" t="s">
        <v>79</v>
      </c>
      <c r="BY25" s="560"/>
      <c r="BZ25" s="561">
        <v>1.4800000000000002</v>
      </c>
      <c r="CA25" s="562">
        <f t="shared" si="9"/>
        <v>0</v>
      </c>
      <c r="CB25" s="575">
        <f>SUM(CA22:CA25)</f>
        <v>0</v>
      </c>
      <c r="CC25" s="528"/>
      <c r="CD25" s="536"/>
      <c r="CE25" s="537"/>
      <c r="CF25" s="574" t="s">
        <v>79</v>
      </c>
      <c r="CG25" s="560"/>
      <c r="CH25" s="561">
        <v>1.4800000000000002</v>
      </c>
      <c r="CI25" s="562">
        <f t="shared" si="10"/>
        <v>0</v>
      </c>
      <c r="CJ25" s="575">
        <f>SUM(CI22:CI25)</f>
        <v>0</v>
      </c>
      <c r="CK25" s="528"/>
      <c r="CL25" s="145"/>
      <c r="CM25" s="146"/>
      <c r="CN25" s="157" t="s">
        <v>79</v>
      </c>
      <c r="CO25" s="138">
        <v>54</v>
      </c>
      <c r="CP25" s="139">
        <v>1.4800000000000002</v>
      </c>
      <c r="CQ25" s="140">
        <f t="shared" si="11"/>
        <v>79.920000000000016</v>
      </c>
      <c r="CR25" s="159">
        <f>SUM(CQ22:CQ25)</f>
        <v>1196.2640634920635</v>
      </c>
      <c r="CS25" s="528"/>
      <c r="CT25" s="145"/>
      <c r="CU25" s="146"/>
      <c r="CV25" s="157" t="s">
        <v>79</v>
      </c>
      <c r="CW25" s="138">
        <v>345</v>
      </c>
      <c r="CX25" s="139">
        <v>1.4800000000000002</v>
      </c>
      <c r="CY25" s="140">
        <f t="shared" si="12"/>
        <v>510.60000000000008</v>
      </c>
      <c r="CZ25" s="159">
        <f>SUM(CY22:CY25)</f>
        <v>884.56577777777784</v>
      </c>
      <c r="DA25" s="528"/>
      <c r="DB25" s="145"/>
      <c r="DC25" s="146"/>
      <c r="DD25" s="157" t="s">
        <v>79</v>
      </c>
      <c r="DE25" s="138">
        <v>29</v>
      </c>
      <c r="DF25" s="139">
        <v>1.4800000000000002</v>
      </c>
      <c r="DG25" s="140">
        <f t="shared" si="13"/>
        <v>42.920000000000009</v>
      </c>
      <c r="DH25" s="159">
        <f>SUM(DG22:DG25)</f>
        <v>1088.8972063492063</v>
      </c>
      <c r="DI25" s="528"/>
      <c r="DJ25" s="145"/>
      <c r="DK25" s="146"/>
      <c r="DL25" s="157" t="s">
        <v>79</v>
      </c>
      <c r="DM25" s="138">
        <v>0</v>
      </c>
      <c r="DN25" s="170">
        <v>1.4800000000000002</v>
      </c>
      <c r="DO25" s="140">
        <f t="shared" si="14"/>
        <v>0</v>
      </c>
      <c r="DP25" s="159">
        <f>SUM(DO22:DO25)</f>
        <v>2.5133333333333332</v>
      </c>
      <c r="DQ25" s="528"/>
      <c r="DR25" s="145"/>
      <c r="DS25" s="146"/>
      <c r="DT25" s="157" t="s">
        <v>79</v>
      </c>
      <c r="DU25" s="138"/>
      <c r="DV25" s="170">
        <v>1.4800000000000002</v>
      </c>
      <c r="DW25" s="140">
        <f t="shared" si="15"/>
        <v>0</v>
      </c>
      <c r="DX25" s="159">
        <f>SUM(DW22:DW25)</f>
        <v>0</v>
      </c>
      <c r="DY25" s="528"/>
      <c r="DZ25" s="145"/>
      <c r="EA25" s="146"/>
      <c r="EB25" s="157" t="s">
        <v>79</v>
      </c>
      <c r="EC25" s="138">
        <v>137</v>
      </c>
      <c r="ED25" s="170">
        <v>1.4800000000000002</v>
      </c>
      <c r="EE25" s="140">
        <f t="shared" si="16"/>
        <v>202.76000000000002</v>
      </c>
      <c r="EF25" s="159">
        <f>SUM(EE22:EE25)</f>
        <v>477.78542857142861</v>
      </c>
      <c r="EG25" s="528"/>
      <c r="EH25" s="145"/>
      <c r="EI25" s="146"/>
      <c r="EJ25" s="157" t="s">
        <v>79</v>
      </c>
      <c r="EK25" s="138">
        <v>208</v>
      </c>
      <c r="EL25" s="170">
        <v>1.4800000000000002</v>
      </c>
      <c r="EM25" s="140">
        <f t="shared" si="17"/>
        <v>307.84000000000003</v>
      </c>
      <c r="EN25" s="159">
        <f>SUM(EM22:EM25)</f>
        <v>710.11599999999999</v>
      </c>
      <c r="EO25" s="528"/>
      <c r="EP25" s="145"/>
      <c r="EQ25" s="146"/>
      <c r="ER25" s="157" t="s">
        <v>79</v>
      </c>
      <c r="ES25" s="138">
        <v>200</v>
      </c>
      <c r="ET25" s="170">
        <v>1.4800000000000002</v>
      </c>
      <c r="EU25" s="140">
        <f t="shared" si="18"/>
        <v>296.00000000000006</v>
      </c>
      <c r="EV25" s="159">
        <f>SUM(EU22:EU25)</f>
        <v>484.82342857142862</v>
      </c>
      <c r="EW25" s="528"/>
      <c r="EX25" s="145"/>
      <c r="EY25" s="146"/>
      <c r="EZ25" s="157" t="s">
        <v>79</v>
      </c>
      <c r="FA25" s="138"/>
      <c r="FB25" s="170">
        <v>1.4800000000000002</v>
      </c>
      <c r="FC25" s="140">
        <f t="shared" si="19"/>
        <v>0</v>
      </c>
      <c r="FD25" s="159">
        <f>SUM(FC22:FC25)</f>
        <v>0</v>
      </c>
      <c r="FE25" s="528"/>
      <c r="FF25" s="145"/>
      <c r="FG25" s="146"/>
      <c r="FH25" s="157" t="s">
        <v>79</v>
      </c>
      <c r="FI25" s="138"/>
      <c r="FJ25" s="170">
        <v>1.4800000000000002</v>
      </c>
      <c r="FK25" s="140">
        <f t="shared" si="20"/>
        <v>0</v>
      </c>
      <c r="FL25" s="159">
        <f>SUM(FK22:FK25)</f>
        <v>0</v>
      </c>
      <c r="FM25" s="528"/>
      <c r="FN25" s="145"/>
      <c r="FO25" s="146"/>
      <c r="FP25" s="157" t="s">
        <v>79</v>
      </c>
      <c r="FQ25" s="138"/>
      <c r="FR25" s="170">
        <v>1.4800000000000002</v>
      </c>
      <c r="FS25" s="140">
        <f t="shared" si="21"/>
        <v>0</v>
      </c>
      <c r="FT25" s="159">
        <f>SUM(FS22:FS25)</f>
        <v>0</v>
      </c>
      <c r="FU25" s="528"/>
      <c r="FV25" s="145"/>
      <c r="FW25" s="146"/>
      <c r="FX25" s="157" t="s">
        <v>79</v>
      </c>
      <c r="FY25" s="138"/>
      <c r="FZ25" s="170">
        <v>1.4800000000000002</v>
      </c>
      <c r="GA25" s="140">
        <f t="shared" si="22"/>
        <v>0</v>
      </c>
      <c r="GB25" s="159">
        <f>SUM(GA22:GA25)</f>
        <v>0</v>
      </c>
      <c r="GC25" s="528"/>
      <c r="GD25" s="145"/>
      <c r="GE25" s="146"/>
      <c r="GF25" s="157" t="s">
        <v>79</v>
      </c>
      <c r="GG25" s="138"/>
      <c r="GH25" s="170">
        <v>1.4800000000000002</v>
      </c>
      <c r="GI25" s="140">
        <f t="shared" si="23"/>
        <v>0</v>
      </c>
      <c r="GJ25" s="159">
        <f>SUM(GI22:GI25)</f>
        <v>0</v>
      </c>
      <c r="GK25" s="528"/>
      <c r="GL25" s="145"/>
      <c r="GM25" s="146"/>
      <c r="GN25" s="157" t="s">
        <v>79</v>
      </c>
      <c r="GO25" s="175">
        <v>345</v>
      </c>
      <c r="GP25" s="139">
        <v>1.4800000000000002</v>
      </c>
      <c r="GQ25" s="140">
        <f t="shared" si="24"/>
        <v>510.60000000000008</v>
      </c>
      <c r="GR25" s="159">
        <f>SUM(GQ22:GQ25)</f>
        <v>568.0680000000001</v>
      </c>
      <c r="GS25" s="528"/>
      <c r="GT25" s="145"/>
      <c r="GU25" s="146"/>
      <c r="GV25" s="157" t="s">
        <v>79</v>
      </c>
      <c r="GW25" s="175">
        <v>29</v>
      </c>
      <c r="GX25" s="139">
        <v>1.4800000000000002</v>
      </c>
      <c r="GY25" s="140">
        <f t="shared" si="25"/>
        <v>42.920000000000009</v>
      </c>
      <c r="GZ25" s="159">
        <f>SUM(GY22:GY25)</f>
        <v>1078.843873015873</v>
      </c>
      <c r="HA25" s="528"/>
      <c r="HB25" s="145"/>
      <c r="HC25" s="146"/>
      <c r="HD25" s="157" t="s">
        <v>79</v>
      </c>
      <c r="HE25" s="175">
        <v>0</v>
      </c>
      <c r="HF25" s="139">
        <v>1.4800000000000002</v>
      </c>
      <c r="HG25" s="140">
        <f t="shared" si="26"/>
        <v>0</v>
      </c>
      <c r="HH25" s="159">
        <f>SUM(HG22:HG25)</f>
        <v>0</v>
      </c>
      <c r="HI25" s="528"/>
      <c r="HJ25" s="145"/>
      <c r="HK25" s="146"/>
      <c r="HL25" s="157" t="s">
        <v>79</v>
      </c>
      <c r="HM25" s="175">
        <v>709</v>
      </c>
      <c r="HN25" s="139">
        <v>1.4800000000000002</v>
      </c>
      <c r="HO25" s="140">
        <f t="shared" si="27"/>
        <v>1049.3200000000002</v>
      </c>
      <c r="HP25" s="159">
        <f>SUM(HO22:HO25)</f>
        <v>1648.3140634920637</v>
      </c>
      <c r="HQ25" s="528"/>
      <c r="HR25" s="145"/>
      <c r="HS25" s="146"/>
      <c r="HT25" s="157" t="s">
        <v>79</v>
      </c>
      <c r="HU25" s="175">
        <v>327</v>
      </c>
      <c r="HV25" s="139">
        <v>1.4800000000000002</v>
      </c>
      <c r="HW25" s="140">
        <f t="shared" si="28"/>
        <v>483.96000000000009</v>
      </c>
      <c r="HX25" s="159">
        <f>SUM(HW22:HW25)</f>
        <v>3246.5820634920638</v>
      </c>
      <c r="HY25" s="528"/>
      <c r="HZ25" s="145"/>
      <c r="IA25" s="146"/>
      <c r="IB25" s="157" t="s">
        <v>79</v>
      </c>
      <c r="IC25" s="175">
        <v>0</v>
      </c>
      <c r="ID25" s="139">
        <v>1.4800000000000002</v>
      </c>
      <c r="IE25" s="140">
        <f t="shared" si="29"/>
        <v>0</v>
      </c>
      <c r="IF25" s="159">
        <f>SUM(IE22:IE25)</f>
        <v>1454.7924126984126</v>
      </c>
      <c r="IG25" s="528"/>
      <c r="IH25" s="145"/>
      <c r="II25" s="146"/>
      <c r="IJ25" s="157" t="s">
        <v>79</v>
      </c>
      <c r="IK25" s="175">
        <v>374</v>
      </c>
      <c r="IL25" s="139">
        <v>1.4800000000000002</v>
      </c>
      <c r="IM25" s="140">
        <f t="shared" si="30"/>
        <v>553.5200000000001</v>
      </c>
      <c r="IN25" s="159">
        <f>SUM(IM22:IM25)</f>
        <v>1998.4297142857145</v>
      </c>
      <c r="IO25" s="528"/>
      <c r="IP25" s="145"/>
      <c r="IQ25" s="146"/>
      <c r="IR25" s="157" t="s">
        <v>79</v>
      </c>
      <c r="IS25" s="175">
        <v>1451</v>
      </c>
      <c r="IT25" s="139">
        <v>1.4800000000000002</v>
      </c>
      <c r="IU25" s="140">
        <f t="shared" si="31"/>
        <v>2147.4800000000005</v>
      </c>
      <c r="IV25" s="159">
        <f>SUM(IU22:IU25)</f>
        <v>3239.0246984126989</v>
      </c>
      <c r="IW25" s="528"/>
      <c r="IX25" s="145"/>
      <c r="IY25" s="146"/>
      <c r="IZ25" s="157" t="s">
        <v>79</v>
      </c>
      <c r="JA25" s="175">
        <v>402</v>
      </c>
      <c r="JB25" s="139">
        <v>1.4800000000000002</v>
      </c>
      <c r="JC25" s="140">
        <f t="shared" si="32"/>
        <v>594.96</v>
      </c>
      <c r="JD25" s="159">
        <f>SUM(JC22:JC25)</f>
        <v>2672.1781587301584</v>
      </c>
      <c r="JE25" s="528"/>
      <c r="JF25" s="145"/>
      <c r="JG25" s="146"/>
      <c r="JH25" s="157" t="s">
        <v>79</v>
      </c>
      <c r="JI25" s="175">
        <v>0</v>
      </c>
      <c r="JJ25" s="139">
        <v>1.4800000000000002</v>
      </c>
      <c r="JK25" s="140">
        <f t="shared" si="33"/>
        <v>0</v>
      </c>
      <c r="JL25" s="159">
        <f>SUM(JK22:JK25)</f>
        <v>110.83114285714286</v>
      </c>
      <c r="JM25" s="528"/>
      <c r="JN25" s="145"/>
      <c r="JO25" s="146"/>
      <c r="JP25" s="157" t="s">
        <v>79</v>
      </c>
      <c r="JQ25" s="175">
        <v>0</v>
      </c>
      <c r="JR25" s="139">
        <v>1.4800000000000002</v>
      </c>
      <c r="JS25" s="140">
        <f t="shared" si="34"/>
        <v>0</v>
      </c>
      <c r="JT25" s="159">
        <f>SUM(JS22:JS25)</f>
        <v>52.506666666666661</v>
      </c>
      <c r="JU25" s="528"/>
      <c r="JV25" s="145"/>
      <c r="JW25" s="146"/>
      <c r="JX25" s="157" t="s">
        <v>79</v>
      </c>
      <c r="JY25" s="175">
        <v>766</v>
      </c>
      <c r="JZ25" s="139">
        <v>1.4800000000000002</v>
      </c>
      <c r="KA25" s="140">
        <f t="shared" si="35"/>
        <v>1133.68</v>
      </c>
      <c r="KB25" s="159">
        <f>SUM(KA22:KA25)</f>
        <v>2634.0672063492066</v>
      </c>
      <c r="KC25" s="528"/>
      <c r="KD25" s="145"/>
      <c r="KE25" s="146"/>
      <c r="KF25" s="157" t="s">
        <v>79</v>
      </c>
      <c r="KG25" s="175">
        <v>0</v>
      </c>
      <c r="KH25" s="139">
        <v>1.4800000000000002</v>
      </c>
      <c r="KI25" s="140">
        <f t="shared" si="36"/>
        <v>0</v>
      </c>
      <c r="KJ25" s="159">
        <f>SUM(KI22:KI25)</f>
        <v>179.39777777777775</v>
      </c>
      <c r="KK25" s="528"/>
      <c r="KL25" s="145"/>
      <c r="KM25" s="146"/>
      <c r="KN25" s="157" t="s">
        <v>79</v>
      </c>
      <c r="KO25" s="175">
        <v>0</v>
      </c>
      <c r="KP25" s="139">
        <v>1.4800000000000002</v>
      </c>
      <c r="KQ25" s="140">
        <f t="shared" si="37"/>
        <v>0</v>
      </c>
      <c r="KR25" s="159">
        <f>SUM(KQ22:KQ25)</f>
        <v>0</v>
      </c>
      <c r="KS25" s="528"/>
      <c r="KT25" s="145"/>
      <c r="KU25" s="146"/>
      <c r="KV25" s="157" t="s">
        <v>79</v>
      </c>
      <c r="KW25" s="175">
        <v>602</v>
      </c>
      <c r="KX25" s="139">
        <v>1.4800000000000002</v>
      </c>
      <c r="KY25" s="140">
        <f t="shared" si="38"/>
        <v>890.96000000000015</v>
      </c>
      <c r="KZ25" s="159">
        <f>SUM(KY22:KY25)</f>
        <v>1929.6707936507937</v>
      </c>
      <c r="LA25" s="528"/>
      <c r="LB25" s="145"/>
      <c r="LC25" s="146"/>
      <c r="LD25" s="157" t="s">
        <v>79</v>
      </c>
      <c r="LE25" s="175">
        <v>793</v>
      </c>
      <c r="LF25" s="139">
        <v>1.4800000000000002</v>
      </c>
      <c r="LG25" s="140">
        <f t="shared" si="39"/>
        <v>1173.6400000000001</v>
      </c>
      <c r="LH25" s="159">
        <f>SUM(LG22:LG25)</f>
        <v>2056.1399047619047</v>
      </c>
      <c r="LI25" s="528"/>
      <c r="LJ25" s="145"/>
      <c r="LK25" s="146"/>
      <c r="LL25" s="157" t="s">
        <v>79</v>
      </c>
      <c r="LM25" s="175">
        <v>765</v>
      </c>
      <c r="LN25" s="139">
        <v>1.4800000000000002</v>
      </c>
      <c r="LO25" s="140">
        <f t="shared" si="40"/>
        <v>1132.2</v>
      </c>
      <c r="LP25" s="159">
        <f>SUM(LO22:LO25)</f>
        <v>2190.5857777777783</v>
      </c>
      <c r="LQ25" s="528"/>
      <c r="LR25" s="145"/>
      <c r="LS25" s="146"/>
      <c r="LT25" s="157" t="s">
        <v>79</v>
      </c>
      <c r="LU25" s="175">
        <v>469</v>
      </c>
      <c r="LV25" s="139">
        <v>1.4800000000000002</v>
      </c>
      <c r="LW25" s="140">
        <f t="shared" si="41"/>
        <v>694.12000000000012</v>
      </c>
      <c r="LX25" s="159">
        <f>SUM(LW22:LW25)</f>
        <v>1214.6156825396827</v>
      </c>
      <c r="LY25" s="528"/>
      <c r="LZ25" s="145"/>
      <c r="MA25" s="146"/>
      <c r="MB25" s="157" t="s">
        <v>79</v>
      </c>
      <c r="MC25" s="175">
        <v>698</v>
      </c>
      <c r="MD25" s="139">
        <v>1.4800000000000002</v>
      </c>
      <c r="ME25" s="140">
        <f t="shared" si="42"/>
        <v>1033.0400000000002</v>
      </c>
      <c r="MF25" s="159">
        <f>SUM(ME22:ME25)</f>
        <v>1353.4451746031748</v>
      </c>
      <c r="MG25" s="528"/>
      <c r="MH25" s="145"/>
      <c r="MI25" s="146"/>
      <c r="MJ25" s="157" t="s">
        <v>79</v>
      </c>
      <c r="MK25" s="175">
        <v>496</v>
      </c>
      <c r="ML25" s="139">
        <v>1.4800000000000002</v>
      </c>
      <c r="MM25" s="140">
        <f t="shared" si="43"/>
        <v>734.08000000000015</v>
      </c>
      <c r="MN25" s="159">
        <f>SUM(MM22:MM25)</f>
        <v>1620.2606984126987</v>
      </c>
      <c r="MO25" s="528"/>
      <c r="MP25" s="145"/>
      <c r="MQ25" s="146"/>
      <c r="MR25" s="157" t="s">
        <v>79</v>
      </c>
      <c r="MS25" s="175">
        <v>643</v>
      </c>
      <c r="MT25" s="139">
        <v>1.4800000000000002</v>
      </c>
      <c r="MU25" s="140">
        <f t="shared" si="44"/>
        <v>951.6400000000001</v>
      </c>
      <c r="MV25" s="159">
        <f>SUM(MU22:MU25)</f>
        <v>1640.5092380952383</v>
      </c>
      <c r="MW25" s="528"/>
      <c r="MX25" s="145"/>
      <c r="MY25" s="146"/>
      <c r="MZ25" s="157" t="s">
        <v>79</v>
      </c>
      <c r="NA25" s="175">
        <v>859</v>
      </c>
      <c r="NB25" s="139">
        <v>1.4800000000000002</v>
      </c>
      <c r="NC25" s="140">
        <f t="shared" si="45"/>
        <v>1271.3200000000002</v>
      </c>
      <c r="ND25" s="159">
        <f>SUM(NC22:NC25)</f>
        <v>1876.3209841269843</v>
      </c>
      <c r="NE25" s="528"/>
      <c r="NF25" s="145"/>
      <c r="NG25" s="146"/>
      <c r="NH25" s="157" t="s">
        <v>79</v>
      </c>
      <c r="NI25" s="175">
        <v>783</v>
      </c>
      <c r="NJ25" s="139">
        <v>1.4800000000000002</v>
      </c>
      <c r="NK25" s="140">
        <f t="shared" si="46"/>
        <v>1158.8400000000001</v>
      </c>
      <c r="NL25" s="159">
        <f>SUM(NK22:NK25)</f>
        <v>1934.7214285714288</v>
      </c>
      <c r="NM25" s="528"/>
      <c r="NN25" s="145"/>
      <c r="NO25" s="146"/>
      <c r="NP25" s="157" t="s">
        <v>79</v>
      </c>
      <c r="NQ25" s="175">
        <v>544</v>
      </c>
      <c r="NR25" s="139">
        <v>1.4800000000000002</v>
      </c>
      <c r="NS25" s="140">
        <f t="shared" si="47"/>
        <v>805.12000000000012</v>
      </c>
      <c r="NT25" s="159">
        <f>SUM(NS22:NS25)</f>
        <v>2298.0470158730159</v>
      </c>
      <c r="NU25" s="528"/>
      <c r="NV25" s="145"/>
      <c r="NW25" s="146"/>
      <c r="NX25" s="157" t="s">
        <v>79</v>
      </c>
      <c r="NY25" s="175">
        <v>911</v>
      </c>
      <c r="NZ25" s="139">
        <v>1.4800000000000002</v>
      </c>
      <c r="OA25" s="140">
        <f t="shared" si="48"/>
        <v>1348.2800000000002</v>
      </c>
      <c r="OB25" s="159">
        <f>SUM(OA22:OA25)</f>
        <v>1901.8294285714287</v>
      </c>
      <c r="OC25" s="528"/>
      <c r="OD25" s="145"/>
      <c r="OE25" s="146"/>
      <c r="OF25" s="157" t="s">
        <v>79</v>
      </c>
      <c r="OG25" s="175">
        <v>423</v>
      </c>
      <c r="OH25" s="139">
        <v>1.4800000000000002</v>
      </c>
      <c r="OI25" s="140">
        <f t="shared" si="49"/>
        <v>626.04000000000008</v>
      </c>
      <c r="OJ25" s="159">
        <f>SUM(OI22:OI25)</f>
        <v>1697.9445714285716</v>
      </c>
      <c r="OK25" s="528"/>
      <c r="OL25" s="145"/>
      <c r="OM25" s="146"/>
      <c r="ON25" s="157" t="s">
        <v>79</v>
      </c>
      <c r="OO25" s="175">
        <v>760</v>
      </c>
      <c r="OP25" s="139">
        <v>1.4800000000000002</v>
      </c>
      <c r="OQ25" s="140">
        <f t="shared" si="50"/>
        <v>1124.8000000000002</v>
      </c>
      <c r="OR25" s="159">
        <f>SUM(OQ22:OQ25)</f>
        <v>1824.3061587301588</v>
      </c>
      <c r="OS25" s="528"/>
      <c r="OT25" s="145"/>
      <c r="OU25" s="146"/>
      <c r="OV25" s="157" t="s">
        <v>79</v>
      </c>
      <c r="OW25" s="175"/>
      <c r="OX25" s="139">
        <v>1.4800000000000002</v>
      </c>
      <c r="OY25" s="140">
        <f t="shared" si="51"/>
        <v>0</v>
      </c>
      <c r="OZ25" s="159">
        <f>SUM(OY22:OY25)</f>
        <v>0</v>
      </c>
      <c r="PA25" s="528"/>
      <c r="PB25" s="145"/>
      <c r="PC25" s="146"/>
      <c r="PD25" s="157" t="s">
        <v>79</v>
      </c>
      <c r="PE25" s="175"/>
      <c r="PF25" s="139">
        <v>1.4800000000000002</v>
      </c>
      <c r="PG25" s="140">
        <f t="shared" si="52"/>
        <v>0</v>
      </c>
      <c r="PH25" s="159">
        <f>SUM(PG22:PG25)</f>
        <v>0</v>
      </c>
      <c r="PI25" s="528"/>
      <c r="PJ25" s="145"/>
      <c r="PK25" s="146"/>
      <c r="PL25" s="157" t="s">
        <v>79</v>
      </c>
      <c r="PM25" s="175">
        <v>10</v>
      </c>
      <c r="PN25" s="139">
        <v>1.4800000000000002</v>
      </c>
      <c r="PO25" s="140">
        <f t="shared" si="53"/>
        <v>14.800000000000002</v>
      </c>
      <c r="PP25" s="159">
        <f>SUM(PO22:PO25)</f>
        <v>14.800000000000002</v>
      </c>
      <c r="PQ25" s="528"/>
      <c r="PR25" s="145"/>
      <c r="PS25" s="146"/>
      <c r="PT25" s="157" t="s">
        <v>79</v>
      </c>
      <c r="PU25" s="175">
        <v>6</v>
      </c>
      <c r="PV25" s="139">
        <v>1.4800000000000002</v>
      </c>
      <c r="PW25" s="140">
        <f t="shared" si="78"/>
        <v>8.8800000000000008</v>
      </c>
      <c r="PX25" s="159">
        <f>SUM(PW22:PW25)</f>
        <v>12.984857142857145</v>
      </c>
      <c r="PY25" s="528"/>
      <c r="PZ25" s="145"/>
      <c r="QA25" s="146"/>
      <c r="QB25" s="157" t="s">
        <v>79</v>
      </c>
      <c r="QC25" s="175">
        <v>11</v>
      </c>
      <c r="QD25" s="139">
        <v>1.4800000000000002</v>
      </c>
      <c r="QE25" s="140">
        <f t="shared" si="79"/>
        <v>16.28</v>
      </c>
      <c r="QF25" s="159">
        <f>SUM(QE22:QE25)</f>
        <v>69.643142857142863</v>
      </c>
      <c r="QG25" s="528"/>
      <c r="QH25" s="145"/>
      <c r="QI25" s="146"/>
      <c r="QJ25" s="157" t="s">
        <v>79</v>
      </c>
      <c r="QK25" s="175">
        <v>82</v>
      </c>
      <c r="QL25" s="139">
        <v>1.4800000000000002</v>
      </c>
      <c r="QM25" s="140">
        <f t="shared" si="80"/>
        <v>121.36000000000001</v>
      </c>
      <c r="QN25" s="159">
        <f>SUM(QM22:QM25)</f>
        <v>246.94200000000001</v>
      </c>
      <c r="QO25" s="528"/>
      <c r="QP25" s="145"/>
      <c r="QQ25" s="146"/>
      <c r="QR25" s="157" t="s">
        <v>79</v>
      </c>
      <c r="QS25" s="175">
        <v>124</v>
      </c>
      <c r="QT25" s="139">
        <v>1.4800000000000002</v>
      </c>
      <c r="QU25" s="140">
        <f t="shared" si="81"/>
        <v>183.52000000000004</v>
      </c>
      <c r="QV25" s="159">
        <f>SUM(QU22:QU25)</f>
        <v>416.01022222222224</v>
      </c>
      <c r="QW25" s="528"/>
      <c r="QX25" s="145"/>
      <c r="QY25" s="146"/>
      <c r="QZ25" s="157" t="s">
        <v>79</v>
      </c>
      <c r="RA25" s="175"/>
      <c r="RB25" s="139">
        <v>1.4800000000000002</v>
      </c>
      <c r="RC25" s="140">
        <f t="shared" si="82"/>
        <v>0</v>
      </c>
      <c r="RD25" s="159">
        <f>SUM(RC22:RC25)</f>
        <v>0</v>
      </c>
      <c r="RE25" s="528"/>
      <c r="RF25" s="145"/>
      <c r="RG25" s="146"/>
      <c r="RH25" s="157" t="s">
        <v>79</v>
      </c>
      <c r="RI25" s="175"/>
      <c r="RJ25" s="139">
        <v>1.4800000000000002</v>
      </c>
      <c r="RK25" s="140">
        <f t="shared" si="83"/>
        <v>0</v>
      </c>
      <c r="RL25" s="159">
        <f>SUM(RK22:RK25)</f>
        <v>0</v>
      </c>
      <c r="RM25" s="528"/>
      <c r="RN25" s="145"/>
      <c r="RO25" s="146"/>
      <c r="RP25" s="157" t="s">
        <v>79</v>
      </c>
      <c r="RQ25" s="175">
        <v>577</v>
      </c>
      <c r="RR25" s="139">
        <v>1.4800000000000002</v>
      </c>
      <c r="RS25" s="140">
        <f t="shared" si="84"/>
        <v>853.96000000000015</v>
      </c>
      <c r="RT25" s="159">
        <f>SUM(RS22:RS25)</f>
        <v>2449.2207619047617</v>
      </c>
      <c r="RU25" s="528"/>
      <c r="RV25" s="145"/>
      <c r="RW25" s="146"/>
      <c r="RX25" s="157" t="s">
        <v>79</v>
      </c>
      <c r="RY25" s="175">
        <v>416</v>
      </c>
      <c r="RZ25" s="139">
        <v>1.4800000000000002</v>
      </c>
      <c r="SA25" s="140">
        <f t="shared" si="85"/>
        <v>615.68000000000006</v>
      </c>
      <c r="SB25" s="159">
        <f>SUM(SA22:SA25)</f>
        <v>1265.6476507936509</v>
      </c>
      <c r="SC25" s="528"/>
      <c r="SD25" s="145"/>
      <c r="SE25" s="146"/>
      <c r="SF25" s="157" t="s">
        <v>79</v>
      </c>
      <c r="SG25" s="175">
        <v>565</v>
      </c>
      <c r="SH25" s="139">
        <v>1.4800000000000002</v>
      </c>
      <c r="SI25" s="140">
        <f t="shared" si="86"/>
        <v>836.20000000000016</v>
      </c>
      <c r="SJ25" s="159">
        <f>SUM(SI22:SI25)</f>
        <v>1305.7733650793652</v>
      </c>
      <c r="SK25" s="528"/>
      <c r="SL25" s="145"/>
      <c r="SM25" s="146"/>
      <c r="SN25" s="157" t="s">
        <v>79</v>
      </c>
      <c r="SO25" s="175">
        <v>384</v>
      </c>
      <c r="SP25" s="139">
        <v>1.4800000000000002</v>
      </c>
      <c r="SQ25" s="140">
        <f t="shared" si="87"/>
        <v>568.32000000000005</v>
      </c>
      <c r="SR25" s="159">
        <f>SUM(SQ22:SQ25)</f>
        <v>927.42857142857144</v>
      </c>
      <c r="SS25" s="528"/>
      <c r="ST25" s="145"/>
      <c r="SU25" s="146"/>
      <c r="SV25" s="157" t="s">
        <v>79</v>
      </c>
      <c r="SW25" s="175">
        <v>358</v>
      </c>
      <c r="SX25" s="139">
        <v>1.4800000000000002</v>
      </c>
      <c r="SY25" s="140">
        <f t="shared" si="88"/>
        <v>529.84</v>
      </c>
      <c r="SZ25" s="159">
        <f>SUM(SY22:SY25)</f>
        <v>825.13307936507931</v>
      </c>
      <c r="TA25" s="528"/>
      <c r="TB25" s="145"/>
      <c r="TC25" s="146"/>
      <c r="TD25" s="157" t="s">
        <v>79</v>
      </c>
      <c r="TE25" s="175">
        <v>632</v>
      </c>
      <c r="TF25" s="139">
        <v>1.4800000000000002</v>
      </c>
      <c r="TG25" s="140">
        <f t="shared" si="89"/>
        <v>935.36000000000013</v>
      </c>
      <c r="TH25" s="159">
        <f>SUM(TG22:TG25)</f>
        <v>1658.7902857142858</v>
      </c>
      <c r="TI25" s="528"/>
    </row>
    <row r="26" spans="2:529">
      <c r="B26" s="162" t="s">
        <v>81</v>
      </c>
      <c r="C26" s="163">
        <v>17</v>
      </c>
      <c r="D26" s="157" t="s">
        <v>14</v>
      </c>
      <c r="E26" s="138">
        <v>268</v>
      </c>
      <c r="F26" s="164">
        <v>1.7113846153846155</v>
      </c>
      <c r="G26" s="140">
        <f t="shared" si="0"/>
        <v>458.65107692307697</v>
      </c>
      <c r="H26" s="159">
        <f>E26*F26</f>
        <v>458.65107692307697</v>
      </c>
      <c r="I26" s="528"/>
      <c r="J26" s="162" t="s">
        <v>81</v>
      </c>
      <c r="K26" s="163">
        <v>18</v>
      </c>
      <c r="L26" s="157" t="s">
        <v>14</v>
      </c>
      <c r="M26" s="138">
        <v>550</v>
      </c>
      <c r="N26" s="164">
        <v>1.7113846153846155</v>
      </c>
      <c r="O26" s="140">
        <f t="shared" si="1"/>
        <v>941.26153846153852</v>
      </c>
      <c r="P26" s="159">
        <f>M26*N26</f>
        <v>941.26153846153852</v>
      </c>
      <c r="Q26" s="528"/>
      <c r="R26" s="162" t="s">
        <v>81</v>
      </c>
      <c r="S26" s="163">
        <v>1</v>
      </c>
      <c r="T26" s="157" t="s">
        <v>14</v>
      </c>
      <c r="U26" s="138">
        <v>1</v>
      </c>
      <c r="V26" s="164">
        <v>1.7113846153846155</v>
      </c>
      <c r="W26" s="140">
        <f t="shared" si="2"/>
        <v>1.7113846153846155</v>
      </c>
      <c r="X26" s="159">
        <f>U26*V26</f>
        <v>1.7113846153846155</v>
      </c>
      <c r="Y26" s="528"/>
      <c r="Z26" s="162" t="s">
        <v>81</v>
      </c>
      <c r="AA26" s="163">
        <v>25</v>
      </c>
      <c r="AB26" s="157" t="s">
        <v>14</v>
      </c>
      <c r="AC26" s="138">
        <v>695</v>
      </c>
      <c r="AD26" s="164">
        <v>1.7113846153846155</v>
      </c>
      <c r="AE26" s="140">
        <f t="shared" si="3"/>
        <v>1189.4123076923079</v>
      </c>
      <c r="AF26" s="159">
        <f>AC26*AD26</f>
        <v>1189.4123076923079</v>
      </c>
      <c r="AG26" s="528"/>
      <c r="AH26" s="162" t="s">
        <v>81</v>
      </c>
      <c r="AI26" s="163">
        <v>1</v>
      </c>
      <c r="AJ26" s="157" t="s">
        <v>14</v>
      </c>
      <c r="AK26" s="138">
        <v>1</v>
      </c>
      <c r="AL26" s="164">
        <v>1.7113846153846155</v>
      </c>
      <c r="AM26" s="140">
        <f t="shared" si="4"/>
        <v>1.7113846153846155</v>
      </c>
      <c r="AN26" s="159">
        <f>AK26*AL26</f>
        <v>1.7113846153846155</v>
      </c>
      <c r="AO26" s="528"/>
      <c r="AP26" s="162" t="s">
        <v>81</v>
      </c>
      <c r="AQ26" s="163"/>
      <c r="AR26" s="157" t="s">
        <v>14</v>
      </c>
      <c r="AS26" s="138"/>
      <c r="AT26" s="164">
        <v>1.7113846153846155</v>
      </c>
      <c r="AU26" s="140">
        <f t="shared" si="5"/>
        <v>0</v>
      </c>
      <c r="AV26" s="159">
        <f>AS26*AT26</f>
        <v>0</v>
      </c>
      <c r="AW26" s="528"/>
      <c r="AX26" s="162" t="s">
        <v>81</v>
      </c>
      <c r="AY26" s="163">
        <v>28</v>
      </c>
      <c r="AZ26" s="157" t="s">
        <v>14</v>
      </c>
      <c r="BA26" s="138">
        <v>561</v>
      </c>
      <c r="BB26" s="164">
        <v>1.7113846153846155</v>
      </c>
      <c r="BC26" s="140">
        <f t="shared" si="6"/>
        <v>960.08676923076928</v>
      </c>
      <c r="BD26" s="159">
        <f>BA26*BB26</f>
        <v>960.08676923076928</v>
      </c>
      <c r="BE26" s="528"/>
      <c r="BF26" s="162" t="s">
        <v>81</v>
      </c>
      <c r="BG26" s="163">
        <v>30</v>
      </c>
      <c r="BH26" s="157" t="s">
        <v>14</v>
      </c>
      <c r="BI26" s="138">
        <v>815</v>
      </c>
      <c r="BJ26" s="164">
        <v>1.7113846153846155</v>
      </c>
      <c r="BK26" s="140">
        <f t="shared" si="7"/>
        <v>1394.7784615384617</v>
      </c>
      <c r="BL26" s="159">
        <f>BI26*BJ26</f>
        <v>1394.7784615384617</v>
      </c>
      <c r="BM26" s="528"/>
      <c r="BN26" s="162" t="s">
        <v>81</v>
      </c>
      <c r="BO26" s="163">
        <v>18</v>
      </c>
      <c r="BP26" s="157" t="s">
        <v>14</v>
      </c>
      <c r="BQ26" s="138">
        <v>424</v>
      </c>
      <c r="BR26" s="164">
        <v>1.7113846153846155</v>
      </c>
      <c r="BS26" s="140">
        <f t="shared" si="8"/>
        <v>725.62707692307697</v>
      </c>
      <c r="BT26" s="159">
        <f>BQ26*BR26</f>
        <v>725.62707692307697</v>
      </c>
      <c r="BU26" s="528"/>
      <c r="BV26" s="578" t="s">
        <v>81</v>
      </c>
      <c r="BW26" s="579"/>
      <c r="BX26" s="574" t="s">
        <v>14</v>
      </c>
      <c r="BY26" s="560"/>
      <c r="BZ26" s="580">
        <v>1.7113846153846155</v>
      </c>
      <c r="CA26" s="562">
        <f t="shared" si="9"/>
        <v>0</v>
      </c>
      <c r="CB26" s="575">
        <f>BY26*BZ26</f>
        <v>0</v>
      </c>
      <c r="CC26" s="528"/>
      <c r="CD26" s="578" t="s">
        <v>81</v>
      </c>
      <c r="CE26" s="579"/>
      <c r="CF26" s="574" t="s">
        <v>14</v>
      </c>
      <c r="CG26" s="560"/>
      <c r="CH26" s="580">
        <v>1.7113846153846155</v>
      </c>
      <c r="CI26" s="562">
        <f t="shared" si="10"/>
        <v>0</v>
      </c>
      <c r="CJ26" s="575">
        <f>CG26*CH26</f>
        <v>0</v>
      </c>
      <c r="CK26" s="528"/>
      <c r="CL26" s="162" t="s">
        <v>81</v>
      </c>
      <c r="CM26" s="163">
        <v>20</v>
      </c>
      <c r="CN26" s="157" t="s">
        <v>14</v>
      </c>
      <c r="CO26" s="138">
        <v>222</v>
      </c>
      <c r="CP26" s="164">
        <v>1.7113846153846155</v>
      </c>
      <c r="CQ26" s="140">
        <f t="shared" si="11"/>
        <v>379.92738461538465</v>
      </c>
      <c r="CR26" s="159">
        <f>CO26*CP26</f>
        <v>379.92738461538465</v>
      </c>
      <c r="CS26" s="528"/>
      <c r="CT26" s="162" t="s">
        <v>81</v>
      </c>
      <c r="CU26" s="163">
        <v>30</v>
      </c>
      <c r="CV26" s="157" t="s">
        <v>14</v>
      </c>
      <c r="CW26" s="138">
        <v>815</v>
      </c>
      <c r="CX26" s="164">
        <v>1.7113846153846155</v>
      </c>
      <c r="CY26" s="140">
        <f t="shared" si="12"/>
        <v>1394.7784615384617</v>
      </c>
      <c r="CZ26" s="159">
        <f>CW26*CX26</f>
        <v>1394.7784615384617</v>
      </c>
      <c r="DA26" s="528"/>
      <c r="DB26" s="162" t="s">
        <v>81</v>
      </c>
      <c r="DC26" s="163">
        <v>19</v>
      </c>
      <c r="DD26" s="157" t="s">
        <v>14</v>
      </c>
      <c r="DE26" s="138">
        <v>298</v>
      </c>
      <c r="DF26" s="164">
        <v>1.7113846153846155</v>
      </c>
      <c r="DG26" s="140">
        <f t="shared" si="13"/>
        <v>509.99261538461542</v>
      </c>
      <c r="DH26" s="159">
        <f>DE26*DF26</f>
        <v>509.99261538461542</v>
      </c>
      <c r="DI26" s="528"/>
      <c r="DJ26" s="162" t="s">
        <v>81</v>
      </c>
      <c r="DK26" s="163"/>
      <c r="DL26" s="157" t="s">
        <v>14</v>
      </c>
      <c r="DM26" s="138">
        <v>0</v>
      </c>
      <c r="DN26" s="172">
        <v>1.7113846153846155</v>
      </c>
      <c r="DO26" s="140">
        <f t="shared" si="14"/>
        <v>0</v>
      </c>
      <c r="DP26" s="159">
        <f>DM26*DN26</f>
        <v>0</v>
      </c>
      <c r="DQ26" s="528"/>
      <c r="DR26" s="162" t="s">
        <v>81</v>
      </c>
      <c r="DS26" s="163"/>
      <c r="DT26" s="157" t="s">
        <v>14</v>
      </c>
      <c r="DU26" s="138"/>
      <c r="DV26" s="172">
        <v>1.7113846153846155</v>
      </c>
      <c r="DW26" s="140">
        <f t="shared" si="15"/>
        <v>0</v>
      </c>
      <c r="DX26" s="159">
        <f>DU26*DV26</f>
        <v>0</v>
      </c>
      <c r="DY26" s="528"/>
      <c r="DZ26" s="162" t="s">
        <v>81</v>
      </c>
      <c r="EA26" s="163">
        <v>0</v>
      </c>
      <c r="EB26" s="157" t="s">
        <v>14</v>
      </c>
      <c r="EC26" s="138">
        <v>0</v>
      </c>
      <c r="ED26" s="172">
        <v>1.7113846153846155</v>
      </c>
      <c r="EE26" s="140">
        <f t="shared" si="16"/>
        <v>0</v>
      </c>
      <c r="EF26" s="159">
        <f>EC26*ED26</f>
        <v>0</v>
      </c>
      <c r="EG26" s="528"/>
      <c r="EH26" s="162" t="s">
        <v>81</v>
      </c>
      <c r="EI26" s="163">
        <v>63</v>
      </c>
      <c r="EJ26" s="157" t="s">
        <v>14</v>
      </c>
      <c r="EK26" s="138">
        <v>674</v>
      </c>
      <c r="EL26" s="172">
        <v>1.7113846153846155</v>
      </c>
      <c r="EM26" s="140">
        <f t="shared" si="17"/>
        <v>1153.4732307692309</v>
      </c>
      <c r="EN26" s="159">
        <f>EK26*EL26</f>
        <v>1153.4732307692309</v>
      </c>
      <c r="EO26" s="528"/>
      <c r="EP26" s="162" t="s">
        <v>81</v>
      </c>
      <c r="EQ26" s="163">
        <v>32</v>
      </c>
      <c r="ER26" s="157" t="s">
        <v>14</v>
      </c>
      <c r="ES26" s="138">
        <v>317</v>
      </c>
      <c r="ET26" s="172">
        <v>1.7113846153846155</v>
      </c>
      <c r="EU26" s="140">
        <f t="shared" si="18"/>
        <v>542.50892307692311</v>
      </c>
      <c r="EV26" s="159">
        <f>ES26*ET26</f>
        <v>542.50892307692311</v>
      </c>
      <c r="EW26" s="528"/>
      <c r="EX26" s="162" t="s">
        <v>81</v>
      </c>
      <c r="EY26" s="163"/>
      <c r="EZ26" s="157" t="s">
        <v>14</v>
      </c>
      <c r="FA26" s="138"/>
      <c r="FB26" s="172">
        <v>1.7113846153846155</v>
      </c>
      <c r="FC26" s="140">
        <f t="shared" si="19"/>
        <v>0</v>
      </c>
      <c r="FD26" s="159">
        <f>FA26*FB26</f>
        <v>0</v>
      </c>
      <c r="FE26" s="528"/>
      <c r="FF26" s="162" t="s">
        <v>81</v>
      </c>
      <c r="FG26" s="163"/>
      <c r="FH26" s="157" t="s">
        <v>14</v>
      </c>
      <c r="FI26" s="138"/>
      <c r="FJ26" s="172">
        <v>1.7113846153846155</v>
      </c>
      <c r="FK26" s="140">
        <f t="shared" si="20"/>
        <v>0</v>
      </c>
      <c r="FL26" s="159">
        <f>FI26*FJ26</f>
        <v>0</v>
      </c>
      <c r="FM26" s="528"/>
      <c r="FN26" s="162" t="s">
        <v>81</v>
      </c>
      <c r="FO26" s="163"/>
      <c r="FP26" s="157" t="s">
        <v>14</v>
      </c>
      <c r="FQ26" s="138"/>
      <c r="FR26" s="172">
        <v>1.7113846153846155</v>
      </c>
      <c r="FS26" s="140">
        <f t="shared" si="21"/>
        <v>0</v>
      </c>
      <c r="FT26" s="159">
        <f>FQ26*FR26</f>
        <v>0</v>
      </c>
      <c r="FU26" s="528"/>
      <c r="FV26" s="162" t="s">
        <v>81</v>
      </c>
      <c r="FW26" s="163"/>
      <c r="FX26" s="157" t="s">
        <v>14</v>
      </c>
      <c r="FY26" s="138"/>
      <c r="FZ26" s="172">
        <v>1.7113846153846155</v>
      </c>
      <c r="GA26" s="140">
        <f t="shared" si="22"/>
        <v>0</v>
      </c>
      <c r="GB26" s="159">
        <f>FY26*FZ26</f>
        <v>0</v>
      </c>
      <c r="GC26" s="528"/>
      <c r="GD26" s="162" t="s">
        <v>81</v>
      </c>
      <c r="GE26" s="163"/>
      <c r="GF26" s="157" t="s">
        <v>14</v>
      </c>
      <c r="GG26" s="138"/>
      <c r="GH26" s="172">
        <v>1.7113846153846155</v>
      </c>
      <c r="GI26" s="140">
        <f t="shared" si="23"/>
        <v>0</v>
      </c>
      <c r="GJ26" s="159">
        <f>GG26*GH26</f>
        <v>0</v>
      </c>
      <c r="GK26" s="528"/>
      <c r="GL26" s="162" t="s">
        <v>81</v>
      </c>
      <c r="GM26" s="163">
        <v>30</v>
      </c>
      <c r="GN26" s="157" t="s">
        <v>14</v>
      </c>
      <c r="GO26" s="175">
        <v>815</v>
      </c>
      <c r="GP26" s="164">
        <v>1.7113846153846155</v>
      </c>
      <c r="GQ26" s="140">
        <f t="shared" si="24"/>
        <v>1394.7784615384617</v>
      </c>
      <c r="GR26" s="159">
        <f>GO26*GP26</f>
        <v>1394.7784615384617</v>
      </c>
      <c r="GS26" s="528"/>
      <c r="GT26" s="162" t="s">
        <v>81</v>
      </c>
      <c r="GU26" s="163">
        <v>19</v>
      </c>
      <c r="GV26" s="157" t="s">
        <v>14</v>
      </c>
      <c r="GW26" s="175">
        <v>298</v>
      </c>
      <c r="GX26" s="164">
        <v>1.7113846153846155</v>
      </c>
      <c r="GY26" s="140">
        <f t="shared" si="25"/>
        <v>509.99261538461542</v>
      </c>
      <c r="GZ26" s="159">
        <f>GW26*GX26</f>
        <v>509.99261538461542</v>
      </c>
      <c r="HA26" s="528"/>
      <c r="HB26" s="162" t="s">
        <v>81</v>
      </c>
      <c r="HC26" s="163">
        <v>0</v>
      </c>
      <c r="HD26" s="157" t="s">
        <v>14</v>
      </c>
      <c r="HE26" s="175">
        <v>0</v>
      </c>
      <c r="HF26" s="164">
        <v>1.7113846153846155</v>
      </c>
      <c r="HG26" s="140">
        <f t="shared" si="26"/>
        <v>0</v>
      </c>
      <c r="HH26" s="159">
        <f>HE26*HF26</f>
        <v>0</v>
      </c>
      <c r="HI26" s="528"/>
      <c r="HJ26" s="162" t="s">
        <v>81</v>
      </c>
      <c r="HK26" s="163">
        <v>51</v>
      </c>
      <c r="HL26" s="157" t="s">
        <v>14</v>
      </c>
      <c r="HM26" s="175">
        <v>672</v>
      </c>
      <c r="HN26" s="164">
        <v>1.7113846153846155</v>
      </c>
      <c r="HO26" s="140">
        <f t="shared" si="27"/>
        <v>1150.0504615384616</v>
      </c>
      <c r="HP26" s="159">
        <f>HM26*HN26</f>
        <v>1150.0504615384616</v>
      </c>
      <c r="HQ26" s="528"/>
      <c r="HR26" s="162" t="s">
        <v>81</v>
      </c>
      <c r="HS26" s="163">
        <v>54</v>
      </c>
      <c r="HT26" s="157" t="s">
        <v>14</v>
      </c>
      <c r="HU26" s="175">
        <v>736</v>
      </c>
      <c r="HV26" s="164">
        <v>1.7113846153846155</v>
      </c>
      <c r="HW26" s="140">
        <f t="shared" si="28"/>
        <v>1259.5790769230771</v>
      </c>
      <c r="HX26" s="159">
        <f>HU26*HV26</f>
        <v>1259.5790769230771</v>
      </c>
      <c r="HY26" s="528"/>
      <c r="HZ26" s="162" t="s">
        <v>81</v>
      </c>
      <c r="IA26" s="163">
        <v>52</v>
      </c>
      <c r="IB26" s="157" t="s">
        <v>14</v>
      </c>
      <c r="IC26" s="175">
        <v>609</v>
      </c>
      <c r="ID26" s="164">
        <v>1.7113846153846155</v>
      </c>
      <c r="IE26" s="140">
        <f t="shared" si="29"/>
        <v>1042.2332307692309</v>
      </c>
      <c r="IF26" s="159">
        <f>IC26*ID26</f>
        <v>1042.2332307692309</v>
      </c>
      <c r="IG26" s="528"/>
      <c r="IH26" s="162" t="s">
        <v>81</v>
      </c>
      <c r="II26" s="163">
        <v>41</v>
      </c>
      <c r="IJ26" s="157" t="s">
        <v>14</v>
      </c>
      <c r="IK26" s="175">
        <v>634</v>
      </c>
      <c r="IL26" s="164">
        <v>1.7113846153846155</v>
      </c>
      <c r="IM26" s="140">
        <f t="shared" si="30"/>
        <v>1085.0178461538462</v>
      </c>
      <c r="IN26" s="159">
        <f>IK26*IL26</f>
        <v>1085.0178461538462</v>
      </c>
      <c r="IO26" s="528"/>
      <c r="IP26" s="162" t="s">
        <v>81</v>
      </c>
      <c r="IQ26" s="163">
        <v>48</v>
      </c>
      <c r="IR26" s="157" t="s">
        <v>14</v>
      </c>
      <c r="IS26" s="175">
        <v>750</v>
      </c>
      <c r="IT26" s="164">
        <v>1.7113846153846155</v>
      </c>
      <c r="IU26" s="140">
        <f t="shared" si="31"/>
        <v>1283.5384615384617</v>
      </c>
      <c r="IV26" s="159">
        <f>IS26*IT26</f>
        <v>1283.5384615384617</v>
      </c>
      <c r="IW26" s="528"/>
      <c r="IX26" s="162" t="s">
        <v>81</v>
      </c>
      <c r="IY26" s="163">
        <v>39</v>
      </c>
      <c r="IZ26" s="157" t="s">
        <v>14</v>
      </c>
      <c r="JA26" s="175">
        <v>729</v>
      </c>
      <c r="JB26" s="164">
        <v>1.7113846153846155</v>
      </c>
      <c r="JC26" s="140">
        <f t="shared" si="32"/>
        <v>1247.5993846153847</v>
      </c>
      <c r="JD26" s="159">
        <f>JA26*JB26</f>
        <v>1247.5993846153847</v>
      </c>
      <c r="JE26" s="528"/>
      <c r="JF26" s="162" t="s">
        <v>81</v>
      </c>
      <c r="JG26" s="163">
        <v>2</v>
      </c>
      <c r="JH26" s="157" t="s">
        <v>14</v>
      </c>
      <c r="JI26" s="175">
        <v>350</v>
      </c>
      <c r="JJ26" s="164">
        <v>1.7113846153846155</v>
      </c>
      <c r="JK26" s="140">
        <f t="shared" si="33"/>
        <v>598.98461538461538</v>
      </c>
      <c r="JL26" s="159">
        <f>JI26*JJ26</f>
        <v>598.98461538461538</v>
      </c>
      <c r="JM26" s="528"/>
      <c r="JN26" s="162" t="s">
        <v>81</v>
      </c>
      <c r="JO26" s="163">
        <v>0</v>
      </c>
      <c r="JP26" s="157" t="s">
        <v>14</v>
      </c>
      <c r="JQ26" s="175">
        <v>0</v>
      </c>
      <c r="JR26" s="164">
        <v>1.7113846153846155</v>
      </c>
      <c r="JS26" s="140">
        <f t="shared" si="34"/>
        <v>0</v>
      </c>
      <c r="JT26" s="159">
        <f>JQ26*JR26</f>
        <v>0</v>
      </c>
      <c r="JU26" s="528"/>
      <c r="JV26" s="162" t="s">
        <v>81</v>
      </c>
      <c r="JW26" s="163">
        <v>61</v>
      </c>
      <c r="JX26" s="157" t="s">
        <v>14</v>
      </c>
      <c r="JY26" s="175">
        <v>798</v>
      </c>
      <c r="JZ26" s="164">
        <v>1.7113846153846155</v>
      </c>
      <c r="KA26" s="140">
        <f t="shared" si="35"/>
        <v>1365.6849230769233</v>
      </c>
      <c r="KB26" s="159">
        <f>JY26*JZ26</f>
        <v>1365.6849230769233</v>
      </c>
      <c r="KC26" s="528"/>
      <c r="KD26" s="162" t="s">
        <v>81</v>
      </c>
      <c r="KE26" s="163">
        <v>1</v>
      </c>
      <c r="KF26" s="157" t="s">
        <v>14</v>
      </c>
      <c r="KG26" s="175">
        <v>11</v>
      </c>
      <c r="KH26" s="164">
        <v>1.7113846153846155</v>
      </c>
      <c r="KI26" s="140">
        <f t="shared" si="36"/>
        <v>18.825230769230771</v>
      </c>
      <c r="KJ26" s="159">
        <f>KG26*KH26</f>
        <v>18.825230769230771</v>
      </c>
      <c r="KK26" s="528"/>
      <c r="KL26" s="162" t="s">
        <v>81</v>
      </c>
      <c r="KM26" s="163">
        <v>18</v>
      </c>
      <c r="KN26" s="157" t="s">
        <v>14</v>
      </c>
      <c r="KO26" s="175">
        <v>550</v>
      </c>
      <c r="KP26" s="164">
        <v>1.7113846153846155</v>
      </c>
      <c r="KQ26" s="140">
        <f t="shared" si="37"/>
        <v>941.26153846153852</v>
      </c>
      <c r="KR26" s="159">
        <f>KO26*KP26</f>
        <v>941.26153846153852</v>
      </c>
      <c r="KS26" s="528"/>
      <c r="KT26" s="162" t="s">
        <v>81</v>
      </c>
      <c r="KU26" s="163">
        <v>35</v>
      </c>
      <c r="KV26" s="157" t="s">
        <v>14</v>
      </c>
      <c r="KW26" s="175">
        <v>632</v>
      </c>
      <c r="KX26" s="164">
        <v>1.7113846153846155</v>
      </c>
      <c r="KY26" s="140">
        <f t="shared" si="38"/>
        <v>1081.5950769230769</v>
      </c>
      <c r="KZ26" s="159">
        <f>KW26*KX26</f>
        <v>1081.5950769230769</v>
      </c>
      <c r="LA26" s="528"/>
      <c r="LB26" s="162" t="s">
        <v>81</v>
      </c>
      <c r="LC26" s="163">
        <v>46</v>
      </c>
      <c r="LD26" s="157" t="s">
        <v>14</v>
      </c>
      <c r="LE26" s="175">
        <v>597</v>
      </c>
      <c r="LF26" s="164">
        <v>1.7113846153846155</v>
      </c>
      <c r="LG26" s="140">
        <f t="shared" si="39"/>
        <v>1021.6966153846155</v>
      </c>
      <c r="LH26" s="159">
        <f>LE26*LF26</f>
        <v>1021.6966153846155</v>
      </c>
      <c r="LI26" s="528"/>
      <c r="LJ26" s="162" t="s">
        <v>81</v>
      </c>
      <c r="LK26" s="163">
        <v>37</v>
      </c>
      <c r="LL26" s="157" t="s">
        <v>14</v>
      </c>
      <c r="LM26" s="175">
        <v>745</v>
      </c>
      <c r="LN26" s="164">
        <v>1.7113846153846155</v>
      </c>
      <c r="LO26" s="140">
        <f t="shared" si="40"/>
        <v>1274.9815384615385</v>
      </c>
      <c r="LP26" s="159">
        <f>LM26*LN26</f>
        <v>1274.9815384615385</v>
      </c>
      <c r="LQ26" s="528"/>
      <c r="LR26" s="162" t="s">
        <v>81</v>
      </c>
      <c r="LS26" s="163">
        <v>50</v>
      </c>
      <c r="LT26" s="157" t="s">
        <v>14</v>
      </c>
      <c r="LU26" s="175">
        <v>681</v>
      </c>
      <c r="LV26" s="164">
        <v>1.7113846153846155</v>
      </c>
      <c r="LW26" s="140">
        <f t="shared" si="41"/>
        <v>1165.4529230769231</v>
      </c>
      <c r="LX26" s="159">
        <f>LU26*LV26</f>
        <v>1165.4529230769231</v>
      </c>
      <c r="LY26" s="528"/>
      <c r="LZ26" s="162" t="s">
        <v>81</v>
      </c>
      <c r="MA26" s="163">
        <v>25</v>
      </c>
      <c r="MB26" s="157" t="s">
        <v>14</v>
      </c>
      <c r="MC26" s="175">
        <v>165</v>
      </c>
      <c r="MD26" s="164">
        <v>1.7113846153846155</v>
      </c>
      <c r="ME26" s="140">
        <f t="shared" si="42"/>
        <v>282.37846153846158</v>
      </c>
      <c r="MF26" s="159">
        <f>MC26*MD26</f>
        <v>282.37846153846158</v>
      </c>
      <c r="MG26" s="528"/>
      <c r="MH26" s="162" t="s">
        <v>81</v>
      </c>
      <c r="MI26" s="163">
        <v>55</v>
      </c>
      <c r="MJ26" s="157" t="s">
        <v>14</v>
      </c>
      <c r="MK26" s="175">
        <v>496</v>
      </c>
      <c r="ML26" s="164">
        <v>1.7113846153846155</v>
      </c>
      <c r="MM26" s="140">
        <f t="shared" si="43"/>
        <v>848.84676923076927</v>
      </c>
      <c r="MN26" s="159">
        <f>MK26*ML26</f>
        <v>848.84676923076927</v>
      </c>
      <c r="MO26" s="528"/>
      <c r="MP26" s="162" t="s">
        <v>81</v>
      </c>
      <c r="MQ26" s="163">
        <v>54</v>
      </c>
      <c r="MR26" s="157" t="s">
        <v>14</v>
      </c>
      <c r="MS26" s="175">
        <v>1168</v>
      </c>
      <c r="MT26" s="164">
        <v>1.7113846153846155</v>
      </c>
      <c r="MU26" s="140">
        <f t="shared" si="44"/>
        <v>1998.8972307692309</v>
      </c>
      <c r="MV26" s="159">
        <f>MS26*MT26</f>
        <v>1998.8972307692309</v>
      </c>
      <c r="MW26" s="528"/>
      <c r="MX26" s="162" t="s">
        <v>81</v>
      </c>
      <c r="MY26" s="163">
        <v>67</v>
      </c>
      <c r="MZ26" s="157" t="s">
        <v>14</v>
      </c>
      <c r="NA26" s="175">
        <v>855</v>
      </c>
      <c r="NB26" s="164">
        <v>1.7113846153846155</v>
      </c>
      <c r="NC26" s="140">
        <f>NA26*NB26</f>
        <v>1463.2338461538463</v>
      </c>
      <c r="ND26" s="159">
        <f>NA26*NB26</f>
        <v>1463.2338461538463</v>
      </c>
      <c r="NE26" s="528"/>
      <c r="NF26" s="162" t="s">
        <v>81</v>
      </c>
      <c r="NG26" s="163">
        <v>53</v>
      </c>
      <c r="NH26" s="157" t="s">
        <v>14</v>
      </c>
      <c r="NI26" s="175">
        <v>536</v>
      </c>
      <c r="NJ26" s="164">
        <v>1.7113846153846155</v>
      </c>
      <c r="NK26" s="140">
        <f>NI26*NJ26</f>
        <v>917.30215384615394</v>
      </c>
      <c r="NL26" s="159">
        <f>NI26*NJ26</f>
        <v>917.30215384615394</v>
      </c>
      <c r="NM26" s="528"/>
      <c r="NN26" s="162" t="s">
        <v>81</v>
      </c>
      <c r="NO26" s="163">
        <v>42</v>
      </c>
      <c r="NP26" s="157" t="s">
        <v>14</v>
      </c>
      <c r="NQ26" s="175">
        <v>277</v>
      </c>
      <c r="NR26" s="164">
        <v>1.7113846153846155</v>
      </c>
      <c r="NS26" s="140">
        <f>NQ26*NR26</f>
        <v>474.05353846153849</v>
      </c>
      <c r="NT26" s="159">
        <f>NQ26*NR26</f>
        <v>474.05353846153849</v>
      </c>
      <c r="NU26" s="528"/>
      <c r="NV26" s="162" t="s">
        <v>81</v>
      </c>
      <c r="NW26" s="163">
        <v>57</v>
      </c>
      <c r="NX26" s="157" t="s">
        <v>14</v>
      </c>
      <c r="NY26" s="175">
        <v>660</v>
      </c>
      <c r="NZ26" s="164">
        <v>1.7113846153846155</v>
      </c>
      <c r="OA26" s="140">
        <f>NY26*NZ26</f>
        <v>1129.5138461538463</v>
      </c>
      <c r="OB26" s="159">
        <f>NY26*NZ26</f>
        <v>1129.5138461538463</v>
      </c>
      <c r="OC26" s="528"/>
      <c r="OD26" s="162" t="s">
        <v>81</v>
      </c>
      <c r="OE26" s="163">
        <v>42</v>
      </c>
      <c r="OF26" s="157" t="s">
        <v>14</v>
      </c>
      <c r="OG26" s="175">
        <v>372</v>
      </c>
      <c r="OH26" s="164">
        <v>1.7113846153846155</v>
      </c>
      <c r="OI26" s="140">
        <f>OG26*OH26</f>
        <v>636.63507692307701</v>
      </c>
      <c r="OJ26" s="159">
        <f>OG26*OH26</f>
        <v>636.63507692307701</v>
      </c>
      <c r="OK26" s="528"/>
      <c r="OL26" s="162" t="s">
        <v>81</v>
      </c>
      <c r="OM26" s="163">
        <v>42</v>
      </c>
      <c r="ON26" s="157" t="s">
        <v>14</v>
      </c>
      <c r="OO26" s="175">
        <v>524</v>
      </c>
      <c r="OP26" s="164">
        <v>1.7113846153846155</v>
      </c>
      <c r="OQ26" s="140">
        <f>OO26*OP26</f>
        <v>896.76553846153854</v>
      </c>
      <c r="OR26" s="159">
        <f>OO26*OP26</f>
        <v>896.76553846153854</v>
      </c>
      <c r="OS26" s="528"/>
      <c r="OT26" s="162" t="s">
        <v>81</v>
      </c>
      <c r="OU26" s="163"/>
      <c r="OV26" s="157" t="s">
        <v>14</v>
      </c>
      <c r="OW26" s="175"/>
      <c r="OX26" s="164">
        <v>1.7113846153846155</v>
      </c>
      <c r="OY26" s="140">
        <f>OW26*OX26</f>
        <v>0</v>
      </c>
      <c r="OZ26" s="159">
        <f>OW26*OX26</f>
        <v>0</v>
      </c>
      <c r="PA26" s="528"/>
      <c r="PB26" s="162" t="s">
        <v>81</v>
      </c>
      <c r="PC26" s="163"/>
      <c r="PD26" s="157" t="s">
        <v>14</v>
      </c>
      <c r="PE26" s="175"/>
      <c r="PF26" s="164">
        <v>1.7113846153846155</v>
      </c>
      <c r="PG26" s="140">
        <f>PE26*PF26</f>
        <v>0</v>
      </c>
      <c r="PH26" s="159">
        <f>PE26*PF26</f>
        <v>0</v>
      </c>
      <c r="PI26" s="528"/>
      <c r="PJ26" s="162" t="s">
        <v>81</v>
      </c>
      <c r="PK26" s="163">
        <v>3</v>
      </c>
      <c r="PL26" s="157" t="s">
        <v>14</v>
      </c>
      <c r="PM26" s="175">
        <v>11</v>
      </c>
      <c r="PN26" s="164">
        <v>1.7113846153846155</v>
      </c>
      <c r="PO26" s="140">
        <f>PM26*PN26</f>
        <v>18.825230769230771</v>
      </c>
      <c r="PP26" s="159">
        <f>PM26*PN26</f>
        <v>18.825230769230771</v>
      </c>
      <c r="PQ26" s="528"/>
      <c r="PR26" s="162" t="s">
        <v>81</v>
      </c>
      <c r="PS26" s="163">
        <v>4</v>
      </c>
      <c r="PT26" s="157" t="s">
        <v>14</v>
      </c>
      <c r="PU26" s="175">
        <v>3</v>
      </c>
      <c r="PV26" s="164">
        <v>1.7113846153846155</v>
      </c>
      <c r="PW26" s="140">
        <f>PU26*PV26</f>
        <v>5.134153846153847</v>
      </c>
      <c r="PX26" s="159">
        <f>PU26*PV26</f>
        <v>5.134153846153847</v>
      </c>
      <c r="PY26" s="528"/>
      <c r="PZ26" s="162" t="s">
        <v>81</v>
      </c>
      <c r="QA26" s="163">
        <v>8</v>
      </c>
      <c r="QB26" s="157" t="s">
        <v>14</v>
      </c>
      <c r="QC26" s="175">
        <v>59</v>
      </c>
      <c r="QD26" s="164">
        <v>1.7113846153846155</v>
      </c>
      <c r="QE26" s="140">
        <f>QC26*QD26</f>
        <v>100.97169230769231</v>
      </c>
      <c r="QF26" s="159">
        <f>QC26*QD26</f>
        <v>100.97169230769231</v>
      </c>
      <c r="QG26" s="528"/>
      <c r="QH26" s="162" t="s">
        <v>81</v>
      </c>
      <c r="QI26" s="163">
        <v>29</v>
      </c>
      <c r="QJ26" s="157" t="s">
        <v>14</v>
      </c>
      <c r="QK26" s="175">
        <v>244</v>
      </c>
      <c r="QL26" s="164">
        <v>1.7113846153846155</v>
      </c>
      <c r="QM26" s="140">
        <f>QK26*QL26</f>
        <v>417.57784615384617</v>
      </c>
      <c r="QN26" s="159">
        <f>QK26*QL26</f>
        <v>417.57784615384617</v>
      </c>
      <c r="QO26" s="528"/>
      <c r="QP26" s="162" t="s">
        <v>81</v>
      </c>
      <c r="QQ26" s="163">
        <v>25</v>
      </c>
      <c r="QR26" s="157" t="s">
        <v>14</v>
      </c>
      <c r="QS26" s="175">
        <v>308</v>
      </c>
      <c r="QT26" s="164">
        <v>1.7113846153846155</v>
      </c>
      <c r="QU26" s="140">
        <f>QS26*QT26</f>
        <v>527.10646153846153</v>
      </c>
      <c r="QV26" s="159">
        <f>QS26*QT26</f>
        <v>527.10646153846153</v>
      </c>
      <c r="QW26" s="528"/>
      <c r="QX26" s="162" t="s">
        <v>81</v>
      </c>
      <c r="QY26" s="163"/>
      <c r="QZ26" s="157" t="s">
        <v>14</v>
      </c>
      <c r="RA26" s="175"/>
      <c r="RB26" s="164">
        <v>1.7113846153846155</v>
      </c>
      <c r="RC26" s="140">
        <f>RA26*RB26</f>
        <v>0</v>
      </c>
      <c r="RD26" s="159">
        <f>RA26*RB26</f>
        <v>0</v>
      </c>
      <c r="RE26" s="528"/>
      <c r="RF26" s="162" t="s">
        <v>81</v>
      </c>
      <c r="RG26" s="163"/>
      <c r="RH26" s="157" t="s">
        <v>14</v>
      </c>
      <c r="RI26" s="175"/>
      <c r="RJ26" s="164">
        <v>1.7113846153846155</v>
      </c>
      <c r="RK26" s="140">
        <f>RI26*RJ26</f>
        <v>0</v>
      </c>
      <c r="RL26" s="159">
        <f>RI26*RJ26</f>
        <v>0</v>
      </c>
      <c r="RM26" s="528"/>
      <c r="RN26" s="162" t="s">
        <v>81</v>
      </c>
      <c r="RO26" s="163">
        <v>27</v>
      </c>
      <c r="RP26" s="157" t="s">
        <v>14</v>
      </c>
      <c r="RQ26" s="175">
        <v>137</v>
      </c>
      <c r="RR26" s="164">
        <v>1.7113846153846155</v>
      </c>
      <c r="RS26" s="140">
        <f>RQ26*RR26</f>
        <v>234.45969230769234</v>
      </c>
      <c r="RT26" s="159">
        <f>RQ26*RR26</f>
        <v>234.45969230769234</v>
      </c>
      <c r="RU26" s="528"/>
      <c r="RV26" s="162" t="s">
        <v>81</v>
      </c>
      <c r="RW26" s="163">
        <v>17</v>
      </c>
      <c r="RX26" s="157" t="s">
        <v>14</v>
      </c>
      <c r="RY26" s="175">
        <v>310</v>
      </c>
      <c r="RZ26" s="164">
        <v>1.7113846153846155</v>
      </c>
      <c r="SA26" s="140">
        <f>RY26*RZ26</f>
        <v>530.52923076923082</v>
      </c>
      <c r="SB26" s="159">
        <f>RY26*RZ26</f>
        <v>530.52923076923082</v>
      </c>
      <c r="SC26" s="528"/>
      <c r="SD26" s="162" t="s">
        <v>81</v>
      </c>
      <c r="SE26" s="163">
        <v>46</v>
      </c>
      <c r="SF26" s="157" t="s">
        <v>14</v>
      </c>
      <c r="SG26" s="175">
        <v>382</v>
      </c>
      <c r="SH26" s="164">
        <v>1.7113846153846155</v>
      </c>
      <c r="SI26" s="140">
        <f>SG26*SH26</f>
        <v>653.74892307692312</v>
      </c>
      <c r="SJ26" s="159">
        <f>SG26*SH26</f>
        <v>653.74892307692312</v>
      </c>
      <c r="SK26" s="528"/>
      <c r="SL26" s="162" t="s">
        <v>81</v>
      </c>
      <c r="SM26" s="163">
        <v>46</v>
      </c>
      <c r="SN26" s="157" t="s">
        <v>14</v>
      </c>
      <c r="SO26" s="175">
        <v>495</v>
      </c>
      <c r="SP26" s="164">
        <v>1.7113846153846155</v>
      </c>
      <c r="SQ26" s="140">
        <f>SO26*SP26</f>
        <v>847.13538461538462</v>
      </c>
      <c r="SR26" s="159">
        <f>SO26*SP26</f>
        <v>847.13538461538462</v>
      </c>
      <c r="SS26" s="528"/>
      <c r="ST26" s="162" t="s">
        <v>81</v>
      </c>
      <c r="SU26" s="163">
        <v>19</v>
      </c>
      <c r="SV26" s="157" t="s">
        <v>14</v>
      </c>
      <c r="SW26" s="175">
        <v>179</v>
      </c>
      <c r="SX26" s="164">
        <v>1.7113846153846155</v>
      </c>
      <c r="SY26" s="140">
        <f>SW26*SX26</f>
        <v>306.33784615384616</v>
      </c>
      <c r="SZ26" s="159">
        <f>SW26*SX26</f>
        <v>306.33784615384616</v>
      </c>
      <c r="TA26" s="528"/>
      <c r="TB26" s="162" t="s">
        <v>81</v>
      </c>
      <c r="TC26" s="163">
        <v>27</v>
      </c>
      <c r="TD26" s="157" t="s">
        <v>14</v>
      </c>
      <c r="TE26" s="175">
        <v>251</v>
      </c>
      <c r="TF26" s="164">
        <v>1.7113846153846155</v>
      </c>
      <c r="TG26" s="140">
        <f>TE26*TF26</f>
        <v>429.55753846153851</v>
      </c>
      <c r="TH26" s="159">
        <f>TE26*TF26</f>
        <v>429.55753846153851</v>
      </c>
      <c r="TI26" s="528"/>
    </row>
    <row r="27" spans="2:529">
      <c r="B27" s="162" t="s">
        <v>82</v>
      </c>
      <c r="C27" s="144">
        <v>1</v>
      </c>
      <c r="D27" s="157" t="s">
        <v>14</v>
      </c>
      <c r="E27" s="138">
        <v>11</v>
      </c>
      <c r="F27" s="164">
        <v>6.525348837209302</v>
      </c>
      <c r="G27" s="140">
        <f t="shared" si="0"/>
        <v>71.778837209302324</v>
      </c>
      <c r="H27" s="159">
        <f>E27*F27</f>
        <v>71.778837209302324</v>
      </c>
      <c r="I27" s="528"/>
      <c r="J27" s="162" t="s">
        <v>82</v>
      </c>
      <c r="K27" s="144">
        <v>2</v>
      </c>
      <c r="L27" s="157" t="s">
        <v>14</v>
      </c>
      <c r="M27" s="138">
        <v>8</v>
      </c>
      <c r="N27" s="164">
        <v>6.525348837209302</v>
      </c>
      <c r="O27" s="140">
        <f t="shared" si="1"/>
        <v>52.202790697674416</v>
      </c>
      <c r="P27" s="159">
        <f>M27*N27</f>
        <v>52.202790697674416</v>
      </c>
      <c r="Q27" s="528"/>
      <c r="R27" s="162" t="s">
        <v>82</v>
      </c>
      <c r="S27" s="144">
        <v>1</v>
      </c>
      <c r="T27" s="157" t="s">
        <v>14</v>
      </c>
      <c r="U27" s="138">
        <v>3</v>
      </c>
      <c r="V27" s="164">
        <v>6.525348837209302</v>
      </c>
      <c r="W27" s="140">
        <f t="shared" si="2"/>
        <v>19.576046511627908</v>
      </c>
      <c r="X27" s="159">
        <f>U27*V27</f>
        <v>19.576046511627908</v>
      </c>
      <c r="Y27" s="528"/>
      <c r="Z27" s="162" t="s">
        <v>82</v>
      </c>
      <c r="AA27" s="144"/>
      <c r="AB27" s="157" t="s">
        <v>14</v>
      </c>
      <c r="AC27" s="138">
        <v>0</v>
      </c>
      <c r="AD27" s="164">
        <v>6.525348837209302</v>
      </c>
      <c r="AE27" s="140">
        <f t="shared" si="3"/>
        <v>0</v>
      </c>
      <c r="AF27" s="159">
        <f>AC27*AD27</f>
        <v>0</v>
      </c>
      <c r="AG27" s="528"/>
      <c r="AH27" s="162" t="s">
        <v>82</v>
      </c>
      <c r="AI27" s="144"/>
      <c r="AJ27" s="157" t="s">
        <v>14</v>
      </c>
      <c r="AK27" s="138">
        <v>0</v>
      </c>
      <c r="AL27" s="164">
        <v>6.525348837209302</v>
      </c>
      <c r="AM27" s="140">
        <f t="shared" si="4"/>
        <v>0</v>
      </c>
      <c r="AN27" s="159">
        <f>AK27*AL27</f>
        <v>0</v>
      </c>
      <c r="AO27" s="528"/>
      <c r="AP27" s="162" t="s">
        <v>82</v>
      </c>
      <c r="AQ27" s="144"/>
      <c r="AR27" s="157" t="s">
        <v>14</v>
      </c>
      <c r="AS27" s="138"/>
      <c r="AT27" s="164">
        <v>6.525348837209302</v>
      </c>
      <c r="AU27" s="140">
        <f t="shared" si="5"/>
        <v>0</v>
      </c>
      <c r="AV27" s="159">
        <f>AS27*AT27</f>
        <v>0</v>
      </c>
      <c r="AW27" s="528"/>
      <c r="AX27" s="162" t="s">
        <v>82</v>
      </c>
      <c r="AY27" s="144">
        <v>1</v>
      </c>
      <c r="AZ27" s="157" t="s">
        <v>14</v>
      </c>
      <c r="BA27" s="138">
        <v>1000</v>
      </c>
      <c r="BB27" s="164">
        <v>6.525348837209302</v>
      </c>
      <c r="BC27" s="140">
        <f t="shared" si="6"/>
        <v>6525.3488372093025</v>
      </c>
      <c r="BD27" s="159">
        <f>BA27*BB27</f>
        <v>6525.3488372093025</v>
      </c>
      <c r="BE27" s="528"/>
      <c r="BF27" s="162" t="s">
        <v>82</v>
      </c>
      <c r="BG27" s="144">
        <v>1</v>
      </c>
      <c r="BH27" s="157" t="s">
        <v>14</v>
      </c>
      <c r="BI27" s="138">
        <v>35</v>
      </c>
      <c r="BJ27" s="164">
        <v>6.525348837209302</v>
      </c>
      <c r="BK27" s="140">
        <f t="shared" si="7"/>
        <v>228.38720930232557</v>
      </c>
      <c r="BL27" s="159">
        <f>BI27*BJ27</f>
        <v>228.38720930232557</v>
      </c>
      <c r="BM27" s="528"/>
      <c r="BN27" s="162" t="s">
        <v>82</v>
      </c>
      <c r="BO27" s="144"/>
      <c r="BP27" s="157" t="s">
        <v>14</v>
      </c>
      <c r="BQ27" s="138">
        <v>0</v>
      </c>
      <c r="BR27" s="164">
        <v>6.525348837209302</v>
      </c>
      <c r="BS27" s="140">
        <f t="shared" si="8"/>
        <v>0</v>
      </c>
      <c r="BT27" s="159">
        <f>BQ27*BR27</f>
        <v>0</v>
      </c>
      <c r="BU27" s="528"/>
      <c r="BV27" s="578" t="s">
        <v>82</v>
      </c>
      <c r="BW27" s="565"/>
      <c r="BX27" s="574" t="s">
        <v>14</v>
      </c>
      <c r="BY27" s="560"/>
      <c r="BZ27" s="580">
        <v>6.525348837209302</v>
      </c>
      <c r="CA27" s="562">
        <f t="shared" si="9"/>
        <v>0</v>
      </c>
      <c r="CB27" s="575">
        <f>BY27*BZ27</f>
        <v>0</v>
      </c>
      <c r="CC27" s="528"/>
      <c r="CD27" s="578" t="s">
        <v>82</v>
      </c>
      <c r="CE27" s="565"/>
      <c r="CF27" s="574" t="s">
        <v>14</v>
      </c>
      <c r="CG27" s="560"/>
      <c r="CH27" s="580">
        <v>6.525348837209302</v>
      </c>
      <c r="CI27" s="562">
        <f t="shared" si="10"/>
        <v>0</v>
      </c>
      <c r="CJ27" s="575">
        <f>CG27*CH27</f>
        <v>0</v>
      </c>
      <c r="CK27" s="528"/>
      <c r="CL27" s="162" t="s">
        <v>82</v>
      </c>
      <c r="CM27" s="144">
        <v>4</v>
      </c>
      <c r="CN27" s="157" t="s">
        <v>14</v>
      </c>
      <c r="CO27" s="138">
        <v>374</v>
      </c>
      <c r="CP27" s="164">
        <v>6.525348837209302</v>
      </c>
      <c r="CQ27" s="140">
        <f t="shared" si="11"/>
        <v>2440.480465116279</v>
      </c>
      <c r="CR27" s="159">
        <f>CO27*CP27</f>
        <v>2440.480465116279</v>
      </c>
      <c r="CS27" s="528"/>
      <c r="CT27" s="162" t="s">
        <v>82</v>
      </c>
      <c r="CU27" s="144">
        <v>1</v>
      </c>
      <c r="CV27" s="157" t="s">
        <v>14</v>
      </c>
      <c r="CW27" s="138">
        <v>35</v>
      </c>
      <c r="CX27" s="164">
        <v>6.525348837209302</v>
      </c>
      <c r="CY27" s="140">
        <f t="shared" si="12"/>
        <v>228.38720930232557</v>
      </c>
      <c r="CZ27" s="159">
        <f>CW27*CX27</f>
        <v>228.38720930232557</v>
      </c>
      <c r="DA27" s="528"/>
      <c r="DB27" s="162" t="s">
        <v>82</v>
      </c>
      <c r="DC27" s="144">
        <v>2</v>
      </c>
      <c r="DD27" s="157" t="s">
        <v>14</v>
      </c>
      <c r="DE27" s="138">
        <v>400</v>
      </c>
      <c r="DF27" s="164">
        <v>6.525348837209302</v>
      </c>
      <c r="DG27" s="140">
        <f t="shared" si="13"/>
        <v>2610.1395348837209</v>
      </c>
      <c r="DH27" s="159">
        <f>DE27*DF27</f>
        <v>2610.1395348837209</v>
      </c>
      <c r="DI27" s="528"/>
      <c r="DJ27" s="162" t="s">
        <v>82</v>
      </c>
      <c r="DK27" s="144"/>
      <c r="DL27" s="157" t="s">
        <v>14</v>
      </c>
      <c r="DM27" s="138">
        <v>0</v>
      </c>
      <c r="DN27" s="172">
        <v>6.525348837209302</v>
      </c>
      <c r="DO27" s="140">
        <f t="shared" si="14"/>
        <v>0</v>
      </c>
      <c r="DP27" s="159">
        <f>DM27*DN27</f>
        <v>0</v>
      </c>
      <c r="DQ27" s="528"/>
      <c r="DR27" s="162" t="s">
        <v>82</v>
      </c>
      <c r="DS27" s="144"/>
      <c r="DT27" s="157" t="s">
        <v>14</v>
      </c>
      <c r="DU27" s="138"/>
      <c r="DV27" s="172">
        <v>6.525348837209302</v>
      </c>
      <c r="DW27" s="140">
        <f t="shared" si="15"/>
        <v>0</v>
      </c>
      <c r="DX27" s="159">
        <f>DU27*DV27</f>
        <v>0</v>
      </c>
      <c r="DY27" s="528"/>
      <c r="DZ27" s="162" t="s">
        <v>82</v>
      </c>
      <c r="EA27" s="144">
        <v>0</v>
      </c>
      <c r="EB27" s="157" t="s">
        <v>14</v>
      </c>
      <c r="EC27" s="138">
        <v>0</v>
      </c>
      <c r="ED27" s="172">
        <v>6.525348837209302</v>
      </c>
      <c r="EE27" s="140">
        <f t="shared" si="16"/>
        <v>0</v>
      </c>
      <c r="EF27" s="159">
        <f>EC27*ED27</f>
        <v>0</v>
      </c>
      <c r="EG27" s="528"/>
      <c r="EH27" s="162" t="s">
        <v>82</v>
      </c>
      <c r="EI27" s="144">
        <v>0</v>
      </c>
      <c r="EJ27" s="157" t="s">
        <v>14</v>
      </c>
      <c r="EK27" s="138">
        <v>0</v>
      </c>
      <c r="EL27" s="172">
        <v>6.525348837209302</v>
      </c>
      <c r="EM27" s="140">
        <f t="shared" si="17"/>
        <v>0</v>
      </c>
      <c r="EN27" s="159">
        <f>EK27*EL27</f>
        <v>0</v>
      </c>
      <c r="EO27" s="528"/>
      <c r="EP27" s="162" t="s">
        <v>82</v>
      </c>
      <c r="EQ27" s="144">
        <v>0</v>
      </c>
      <c r="ER27" s="157" t="s">
        <v>14</v>
      </c>
      <c r="ES27" s="138">
        <v>0</v>
      </c>
      <c r="ET27" s="172">
        <v>6.525348837209302</v>
      </c>
      <c r="EU27" s="140">
        <f t="shared" si="18"/>
        <v>0</v>
      </c>
      <c r="EV27" s="159">
        <f>ES27*ET27</f>
        <v>0</v>
      </c>
      <c r="EW27" s="528"/>
      <c r="EX27" s="162" t="s">
        <v>82</v>
      </c>
      <c r="EY27" s="144"/>
      <c r="EZ27" s="157" t="s">
        <v>14</v>
      </c>
      <c r="FA27" s="138"/>
      <c r="FB27" s="172">
        <v>6.525348837209302</v>
      </c>
      <c r="FC27" s="140">
        <f t="shared" si="19"/>
        <v>0</v>
      </c>
      <c r="FD27" s="159">
        <f>FA27*FB27</f>
        <v>0</v>
      </c>
      <c r="FE27" s="528"/>
      <c r="FF27" s="162" t="s">
        <v>82</v>
      </c>
      <c r="FG27" s="144"/>
      <c r="FH27" s="157" t="s">
        <v>14</v>
      </c>
      <c r="FI27" s="138"/>
      <c r="FJ27" s="172">
        <v>6.525348837209302</v>
      </c>
      <c r="FK27" s="140">
        <f t="shared" si="20"/>
        <v>0</v>
      </c>
      <c r="FL27" s="159">
        <f>FI27*FJ27</f>
        <v>0</v>
      </c>
      <c r="FM27" s="528"/>
      <c r="FN27" s="162" t="s">
        <v>82</v>
      </c>
      <c r="FO27" s="144"/>
      <c r="FP27" s="157" t="s">
        <v>14</v>
      </c>
      <c r="FQ27" s="138"/>
      <c r="FR27" s="172">
        <v>6.525348837209302</v>
      </c>
      <c r="FS27" s="140">
        <f t="shared" si="21"/>
        <v>0</v>
      </c>
      <c r="FT27" s="159">
        <f>FQ27*FR27</f>
        <v>0</v>
      </c>
      <c r="FU27" s="528"/>
      <c r="FV27" s="162" t="s">
        <v>82</v>
      </c>
      <c r="FW27" s="144"/>
      <c r="FX27" s="157" t="s">
        <v>14</v>
      </c>
      <c r="FY27" s="138"/>
      <c r="FZ27" s="172">
        <v>6.525348837209302</v>
      </c>
      <c r="GA27" s="140">
        <f t="shared" si="22"/>
        <v>0</v>
      </c>
      <c r="GB27" s="159">
        <f>FY27*FZ27</f>
        <v>0</v>
      </c>
      <c r="GC27" s="528"/>
      <c r="GD27" s="162" t="s">
        <v>82</v>
      </c>
      <c r="GE27" s="144"/>
      <c r="GF27" s="157" t="s">
        <v>14</v>
      </c>
      <c r="GG27" s="138"/>
      <c r="GH27" s="172">
        <v>6.525348837209302</v>
      </c>
      <c r="GI27" s="140">
        <f t="shared" si="23"/>
        <v>0</v>
      </c>
      <c r="GJ27" s="159">
        <f>GG27*GH27</f>
        <v>0</v>
      </c>
      <c r="GK27" s="528"/>
      <c r="GL27" s="162" t="s">
        <v>82</v>
      </c>
      <c r="GM27" s="144">
        <v>1</v>
      </c>
      <c r="GN27" s="157" t="s">
        <v>14</v>
      </c>
      <c r="GO27" s="175">
        <v>35</v>
      </c>
      <c r="GP27" s="164">
        <v>6.525348837209302</v>
      </c>
      <c r="GQ27" s="140">
        <f t="shared" si="24"/>
        <v>228.38720930232557</v>
      </c>
      <c r="GR27" s="159">
        <f>GO27*GP27</f>
        <v>228.38720930232557</v>
      </c>
      <c r="GS27" s="528"/>
      <c r="GT27" s="162" t="s">
        <v>82</v>
      </c>
      <c r="GU27" s="144">
        <v>2</v>
      </c>
      <c r="GV27" s="157" t="s">
        <v>14</v>
      </c>
      <c r="GW27" s="175">
        <v>400</v>
      </c>
      <c r="GX27" s="164">
        <v>6.525348837209302</v>
      </c>
      <c r="GY27" s="140">
        <f t="shared" si="25"/>
        <v>2610.1395348837209</v>
      </c>
      <c r="GZ27" s="159">
        <f>GW27*GX27</f>
        <v>2610.1395348837209</v>
      </c>
      <c r="HA27" s="528"/>
      <c r="HB27" s="162" t="s">
        <v>82</v>
      </c>
      <c r="HC27" s="144">
        <v>1</v>
      </c>
      <c r="HD27" s="157" t="s">
        <v>14</v>
      </c>
      <c r="HE27" s="175">
        <v>3</v>
      </c>
      <c r="HF27" s="164">
        <v>6.525348837209302</v>
      </c>
      <c r="HG27" s="140">
        <f t="shared" si="26"/>
        <v>19.576046511627908</v>
      </c>
      <c r="HH27" s="159">
        <f>HE27*HF27</f>
        <v>19.576046511627908</v>
      </c>
      <c r="HI27" s="528"/>
      <c r="HJ27" s="162" t="s">
        <v>82</v>
      </c>
      <c r="HK27" s="144">
        <v>0</v>
      </c>
      <c r="HL27" s="157" t="s">
        <v>14</v>
      </c>
      <c r="HM27" s="175">
        <v>0</v>
      </c>
      <c r="HN27" s="164">
        <v>6.525348837209302</v>
      </c>
      <c r="HO27" s="140">
        <f t="shared" si="27"/>
        <v>0</v>
      </c>
      <c r="HP27" s="159">
        <f>HM27*HN27</f>
        <v>0</v>
      </c>
      <c r="HQ27" s="528"/>
      <c r="HR27" s="162" t="s">
        <v>82</v>
      </c>
      <c r="HS27" s="144">
        <v>2</v>
      </c>
      <c r="HT27" s="157" t="s">
        <v>14</v>
      </c>
      <c r="HU27" s="175">
        <v>71</v>
      </c>
      <c r="HV27" s="164">
        <v>6.525348837209302</v>
      </c>
      <c r="HW27" s="140">
        <f t="shared" si="28"/>
        <v>463.29976744186047</v>
      </c>
      <c r="HX27" s="159">
        <f>HU27*HV27</f>
        <v>463.29976744186047</v>
      </c>
      <c r="HY27" s="528"/>
      <c r="HZ27" s="162" t="s">
        <v>82</v>
      </c>
      <c r="IA27" s="144">
        <v>0</v>
      </c>
      <c r="IB27" s="157" t="s">
        <v>14</v>
      </c>
      <c r="IC27" s="175">
        <v>0</v>
      </c>
      <c r="ID27" s="164">
        <v>6.525348837209302</v>
      </c>
      <c r="IE27" s="140">
        <f t="shared" si="29"/>
        <v>0</v>
      </c>
      <c r="IF27" s="159">
        <f>IC27*ID27</f>
        <v>0</v>
      </c>
      <c r="IG27" s="528"/>
      <c r="IH27" s="162" t="s">
        <v>82</v>
      </c>
      <c r="II27" s="144">
        <v>0</v>
      </c>
      <c r="IJ27" s="157" t="s">
        <v>14</v>
      </c>
      <c r="IK27" s="175">
        <v>0</v>
      </c>
      <c r="IL27" s="164">
        <v>6.525348837209302</v>
      </c>
      <c r="IM27" s="140">
        <f t="shared" si="30"/>
        <v>0</v>
      </c>
      <c r="IN27" s="159">
        <f>IK27*IL27</f>
        <v>0</v>
      </c>
      <c r="IO27" s="528"/>
      <c r="IP27" s="162" t="s">
        <v>82</v>
      </c>
      <c r="IQ27" s="144">
        <v>1</v>
      </c>
      <c r="IR27" s="157" t="s">
        <v>14</v>
      </c>
      <c r="IS27" s="175">
        <v>9</v>
      </c>
      <c r="IT27" s="164">
        <v>6.525348837209302</v>
      </c>
      <c r="IU27" s="140">
        <f t="shared" si="31"/>
        <v>58.728139534883717</v>
      </c>
      <c r="IV27" s="159">
        <f>IS27*IT27</f>
        <v>58.728139534883717</v>
      </c>
      <c r="IW27" s="528"/>
      <c r="IX27" s="162" t="s">
        <v>82</v>
      </c>
      <c r="IY27" s="144">
        <v>0</v>
      </c>
      <c r="IZ27" s="157" t="s">
        <v>14</v>
      </c>
      <c r="JA27" s="175">
        <v>0</v>
      </c>
      <c r="JB27" s="164">
        <v>6.525348837209302</v>
      </c>
      <c r="JC27" s="140">
        <f t="shared" si="32"/>
        <v>0</v>
      </c>
      <c r="JD27" s="159">
        <f>JA27*JB27</f>
        <v>0</v>
      </c>
      <c r="JE27" s="528"/>
      <c r="JF27" s="162" t="s">
        <v>82</v>
      </c>
      <c r="JG27" s="144">
        <v>4</v>
      </c>
      <c r="JH27" s="157" t="s">
        <v>14</v>
      </c>
      <c r="JI27" s="175">
        <v>444</v>
      </c>
      <c r="JJ27" s="164">
        <v>6.525348837209302</v>
      </c>
      <c r="JK27" s="140">
        <f t="shared" si="33"/>
        <v>2897.2548837209301</v>
      </c>
      <c r="JL27" s="159">
        <f>JI27*JJ27</f>
        <v>2897.2548837209301</v>
      </c>
      <c r="JM27" s="528"/>
      <c r="JN27" s="162" t="s">
        <v>82</v>
      </c>
      <c r="JO27" s="144">
        <v>3</v>
      </c>
      <c r="JP27" s="157" t="s">
        <v>14</v>
      </c>
      <c r="JQ27" s="175">
        <v>81</v>
      </c>
      <c r="JR27" s="164">
        <v>6.525348837209302</v>
      </c>
      <c r="JS27" s="140">
        <f t="shared" si="34"/>
        <v>528.55325581395346</v>
      </c>
      <c r="JT27" s="159">
        <f>JQ27*JR27</f>
        <v>528.55325581395346</v>
      </c>
      <c r="JU27" s="528"/>
      <c r="JV27" s="162" t="s">
        <v>82</v>
      </c>
      <c r="JW27" s="144">
        <v>8</v>
      </c>
      <c r="JX27" s="157" t="s">
        <v>14</v>
      </c>
      <c r="JY27" s="175">
        <v>460</v>
      </c>
      <c r="JZ27" s="164">
        <v>6.525348837209302</v>
      </c>
      <c r="KA27" s="140">
        <f t="shared" si="35"/>
        <v>3001.6604651162788</v>
      </c>
      <c r="KB27" s="159">
        <f>JY27*JZ27</f>
        <v>3001.6604651162788</v>
      </c>
      <c r="KC27" s="528"/>
      <c r="KD27" s="162" t="s">
        <v>82</v>
      </c>
      <c r="KE27" s="144">
        <v>4</v>
      </c>
      <c r="KF27" s="157" t="s">
        <v>14</v>
      </c>
      <c r="KG27" s="175">
        <v>475</v>
      </c>
      <c r="KH27" s="164">
        <v>6.525348837209302</v>
      </c>
      <c r="KI27" s="140">
        <f t="shared" si="36"/>
        <v>3099.5406976744184</v>
      </c>
      <c r="KJ27" s="159">
        <f>KG27*KH27</f>
        <v>3099.5406976744184</v>
      </c>
      <c r="KK27" s="528"/>
      <c r="KL27" s="162" t="s">
        <v>82</v>
      </c>
      <c r="KM27" s="144">
        <v>2</v>
      </c>
      <c r="KN27" s="157" t="s">
        <v>14</v>
      </c>
      <c r="KO27" s="175">
        <v>8</v>
      </c>
      <c r="KP27" s="164">
        <v>6.525348837209302</v>
      </c>
      <c r="KQ27" s="140">
        <f t="shared" si="37"/>
        <v>52.202790697674416</v>
      </c>
      <c r="KR27" s="159">
        <f>KO27*KP27</f>
        <v>52.202790697674416</v>
      </c>
      <c r="KS27" s="528"/>
      <c r="KT27" s="162" t="s">
        <v>82</v>
      </c>
      <c r="KU27" s="144">
        <v>2</v>
      </c>
      <c r="KV27" s="157" t="s">
        <v>14</v>
      </c>
      <c r="KW27" s="175">
        <v>400</v>
      </c>
      <c r="KX27" s="164">
        <v>6.525348837209302</v>
      </c>
      <c r="KY27" s="140">
        <f t="shared" si="38"/>
        <v>2610.1395348837209</v>
      </c>
      <c r="KZ27" s="159">
        <f>KW27*KX27</f>
        <v>2610.1395348837209</v>
      </c>
      <c r="LA27" s="528"/>
      <c r="LB27" s="162" t="s">
        <v>82</v>
      </c>
      <c r="LC27" s="144">
        <v>3</v>
      </c>
      <c r="LD27" s="157" t="s">
        <v>14</v>
      </c>
      <c r="LE27" s="175">
        <v>53</v>
      </c>
      <c r="LF27" s="164">
        <v>6.525348837209302</v>
      </c>
      <c r="LG27" s="140">
        <f t="shared" si="39"/>
        <v>345.84348837209302</v>
      </c>
      <c r="LH27" s="159">
        <f>LE27*LF27</f>
        <v>345.84348837209302</v>
      </c>
      <c r="LI27" s="528"/>
      <c r="LJ27" s="162" t="s">
        <v>82</v>
      </c>
      <c r="LK27" s="144">
        <v>2</v>
      </c>
      <c r="LL27" s="157" t="s">
        <v>14</v>
      </c>
      <c r="LM27" s="175">
        <v>5</v>
      </c>
      <c r="LN27" s="164">
        <v>6.525348837209302</v>
      </c>
      <c r="LO27" s="140">
        <f t="shared" si="40"/>
        <v>32.626744186046508</v>
      </c>
      <c r="LP27" s="159">
        <f>LM27*LN27</f>
        <v>32.626744186046508</v>
      </c>
      <c r="LQ27" s="528"/>
      <c r="LR27" s="162" t="s">
        <v>82</v>
      </c>
      <c r="LS27" s="144">
        <v>1</v>
      </c>
      <c r="LT27" s="157" t="s">
        <v>14</v>
      </c>
      <c r="LU27" s="175">
        <v>150</v>
      </c>
      <c r="LV27" s="164">
        <v>6.525348837209302</v>
      </c>
      <c r="LW27" s="140">
        <f t="shared" si="41"/>
        <v>978.80232558139528</v>
      </c>
      <c r="LX27" s="159">
        <f>LU27*LV27</f>
        <v>978.80232558139528</v>
      </c>
      <c r="LY27" s="528"/>
      <c r="LZ27" s="162" t="s">
        <v>82</v>
      </c>
      <c r="MA27" s="144">
        <v>0</v>
      </c>
      <c r="MB27" s="157" t="s">
        <v>14</v>
      </c>
      <c r="MC27" s="175">
        <v>0</v>
      </c>
      <c r="MD27" s="164">
        <v>6.525348837209302</v>
      </c>
      <c r="ME27" s="140">
        <f t="shared" si="42"/>
        <v>0</v>
      </c>
      <c r="MF27" s="159">
        <f>MC27*MD27</f>
        <v>0</v>
      </c>
      <c r="MG27" s="528"/>
      <c r="MH27" s="162" t="s">
        <v>82</v>
      </c>
      <c r="MI27" s="144">
        <v>1</v>
      </c>
      <c r="MJ27" s="157" t="s">
        <v>14</v>
      </c>
      <c r="MK27" s="175">
        <v>5</v>
      </c>
      <c r="ML27" s="164">
        <v>6.525348837209302</v>
      </c>
      <c r="MM27" s="140">
        <f t="shared" si="43"/>
        <v>32.626744186046508</v>
      </c>
      <c r="MN27" s="159">
        <f>MK27*ML27</f>
        <v>32.626744186046508</v>
      </c>
      <c r="MO27" s="528"/>
      <c r="MP27" s="162" t="s">
        <v>82</v>
      </c>
      <c r="MQ27" s="144">
        <v>7</v>
      </c>
      <c r="MR27" s="157" t="s">
        <v>14</v>
      </c>
      <c r="MS27" s="175">
        <v>422</v>
      </c>
      <c r="MT27" s="164">
        <v>6.525348837209302</v>
      </c>
      <c r="MU27" s="140">
        <f t="shared" si="44"/>
        <v>2753.6972093023255</v>
      </c>
      <c r="MV27" s="159">
        <f>MS27*MT27</f>
        <v>2753.6972093023255</v>
      </c>
      <c r="MW27" s="528"/>
      <c r="MX27" s="162" t="s">
        <v>82</v>
      </c>
      <c r="MY27" s="144">
        <v>4</v>
      </c>
      <c r="MZ27" s="157" t="s">
        <v>14</v>
      </c>
      <c r="NA27" s="175">
        <v>363</v>
      </c>
      <c r="NB27" s="164">
        <v>6.525348837209302</v>
      </c>
      <c r="NC27" s="140">
        <f t="shared" si="45"/>
        <v>2368.7016279069767</v>
      </c>
      <c r="ND27" s="159">
        <f>NA27*NB27</f>
        <v>2368.7016279069767</v>
      </c>
      <c r="NE27" s="528"/>
      <c r="NF27" s="162" t="s">
        <v>82</v>
      </c>
      <c r="NG27" s="144">
        <v>1</v>
      </c>
      <c r="NH27" s="157" t="s">
        <v>14</v>
      </c>
      <c r="NI27" s="175">
        <v>12</v>
      </c>
      <c r="NJ27" s="164">
        <v>6.525348837209302</v>
      </c>
      <c r="NK27" s="140">
        <f t="shared" ref="NK27" si="90">NI27*NJ27</f>
        <v>78.304186046511632</v>
      </c>
      <c r="NL27" s="159">
        <f>NI27*NJ27</f>
        <v>78.304186046511632</v>
      </c>
      <c r="NM27" s="528"/>
      <c r="NN27" s="162" t="s">
        <v>82</v>
      </c>
      <c r="NO27" s="144">
        <v>6</v>
      </c>
      <c r="NP27" s="157" t="s">
        <v>14</v>
      </c>
      <c r="NQ27" s="175">
        <v>63</v>
      </c>
      <c r="NR27" s="164">
        <v>6.525348837209302</v>
      </c>
      <c r="NS27" s="140">
        <f t="shared" ref="NS27:NS40" si="91">NQ27*NR27</f>
        <v>411.09697674418601</v>
      </c>
      <c r="NT27" s="159">
        <f>NQ27*NR27</f>
        <v>411.09697674418601</v>
      </c>
      <c r="NU27" s="528"/>
      <c r="NV27" s="162" t="s">
        <v>82</v>
      </c>
      <c r="NW27" s="144">
        <v>5</v>
      </c>
      <c r="NX27" s="157" t="s">
        <v>14</v>
      </c>
      <c r="NY27" s="175">
        <v>1160</v>
      </c>
      <c r="NZ27" s="164">
        <v>6.525348837209302</v>
      </c>
      <c r="OA27" s="140">
        <f t="shared" ref="OA27:OA40" si="92">NY27*NZ27</f>
        <v>7569.4046511627903</v>
      </c>
      <c r="OB27" s="159">
        <f>NY27*NZ27</f>
        <v>7569.4046511627903</v>
      </c>
      <c r="OC27" s="528"/>
      <c r="OD27" s="162" t="s">
        <v>82</v>
      </c>
      <c r="OE27" s="144">
        <v>10</v>
      </c>
      <c r="OF27" s="157" t="s">
        <v>14</v>
      </c>
      <c r="OG27" s="175">
        <v>1540</v>
      </c>
      <c r="OH27" s="164">
        <v>6.525348837209302</v>
      </c>
      <c r="OI27" s="140">
        <f t="shared" ref="OI27:OI40" si="93">OG27*OH27</f>
        <v>10049.037209302325</v>
      </c>
      <c r="OJ27" s="159">
        <f>OG27*OH27</f>
        <v>10049.037209302325</v>
      </c>
      <c r="OK27" s="528"/>
      <c r="OL27" s="162" t="s">
        <v>82</v>
      </c>
      <c r="OM27" s="144">
        <v>2</v>
      </c>
      <c r="ON27" s="157" t="s">
        <v>14</v>
      </c>
      <c r="OO27" s="175">
        <v>439</v>
      </c>
      <c r="OP27" s="164">
        <v>6.525348837209302</v>
      </c>
      <c r="OQ27" s="140">
        <f t="shared" ref="OQ27:OQ40" si="94">OO27*OP27</f>
        <v>2864.6281395348838</v>
      </c>
      <c r="OR27" s="159">
        <f>OO27*OP27</f>
        <v>2864.6281395348838</v>
      </c>
      <c r="OS27" s="528"/>
      <c r="OT27" s="162" t="s">
        <v>82</v>
      </c>
      <c r="OU27" s="144"/>
      <c r="OV27" s="157" t="s">
        <v>14</v>
      </c>
      <c r="OW27" s="175"/>
      <c r="OX27" s="164">
        <v>6.525348837209302</v>
      </c>
      <c r="OY27" s="140">
        <f t="shared" ref="OY27:OY40" si="95">OW27*OX27</f>
        <v>0</v>
      </c>
      <c r="OZ27" s="159">
        <f>OW27*OX27</f>
        <v>0</v>
      </c>
      <c r="PA27" s="528"/>
      <c r="PB27" s="162" t="s">
        <v>82</v>
      </c>
      <c r="PC27" s="144"/>
      <c r="PD27" s="157" t="s">
        <v>14</v>
      </c>
      <c r="PE27" s="175"/>
      <c r="PF27" s="164">
        <v>6.525348837209302</v>
      </c>
      <c r="PG27" s="140">
        <f t="shared" ref="PG27:PG40" si="96">PE27*PF27</f>
        <v>0</v>
      </c>
      <c r="PH27" s="159">
        <f>PE27*PF27</f>
        <v>0</v>
      </c>
      <c r="PI27" s="528"/>
      <c r="PJ27" s="162" t="s">
        <v>82</v>
      </c>
      <c r="PK27" s="144"/>
      <c r="PL27" s="157" t="s">
        <v>14</v>
      </c>
      <c r="PM27" s="175"/>
      <c r="PN27" s="164">
        <v>6.525348837209302</v>
      </c>
      <c r="PO27" s="140">
        <f t="shared" ref="PO27:PO40" si="97">PM27*PN27</f>
        <v>0</v>
      </c>
      <c r="PP27" s="159">
        <f>PM27*PN27</f>
        <v>0</v>
      </c>
      <c r="PQ27" s="528"/>
      <c r="PR27" s="162" t="s">
        <v>82</v>
      </c>
      <c r="PS27" s="144"/>
      <c r="PT27" s="157" t="s">
        <v>14</v>
      </c>
      <c r="PU27" s="175"/>
      <c r="PV27" s="164">
        <v>6.525348837209302</v>
      </c>
      <c r="PW27" s="140">
        <f t="shared" ref="PW27:PW40" si="98">PU27*PV27</f>
        <v>0</v>
      </c>
      <c r="PX27" s="159">
        <f>PU27*PV27</f>
        <v>0</v>
      </c>
      <c r="PY27" s="528"/>
      <c r="PZ27" s="162" t="s">
        <v>82</v>
      </c>
      <c r="QA27" s="144">
        <v>1</v>
      </c>
      <c r="QB27" s="157" t="s">
        <v>14</v>
      </c>
      <c r="QC27" s="175">
        <v>200</v>
      </c>
      <c r="QD27" s="164">
        <v>6.525348837209302</v>
      </c>
      <c r="QE27" s="140">
        <f t="shared" ref="QE27:QE40" si="99">QC27*QD27</f>
        <v>1305.0697674418604</v>
      </c>
      <c r="QF27" s="159">
        <f>QC27*QD27</f>
        <v>1305.0697674418604</v>
      </c>
      <c r="QG27" s="528"/>
      <c r="QH27" s="162" t="s">
        <v>82</v>
      </c>
      <c r="QI27" s="144"/>
      <c r="QJ27" s="157" t="s">
        <v>14</v>
      </c>
      <c r="QK27" s="175"/>
      <c r="QL27" s="164">
        <v>6.525348837209302</v>
      </c>
      <c r="QM27" s="140">
        <f t="shared" ref="QM27:QM40" si="100">QK27*QL27</f>
        <v>0</v>
      </c>
      <c r="QN27" s="159">
        <f>QK27*QL27</f>
        <v>0</v>
      </c>
      <c r="QO27" s="528"/>
      <c r="QP27" s="162" t="s">
        <v>82</v>
      </c>
      <c r="QQ27" s="144">
        <v>1</v>
      </c>
      <c r="QR27" s="157" t="s">
        <v>14</v>
      </c>
      <c r="QS27" s="175">
        <v>7</v>
      </c>
      <c r="QT27" s="164">
        <v>6.525348837209302</v>
      </c>
      <c r="QU27" s="140">
        <f t="shared" ref="QU27:QU40" si="101">QS27*QT27</f>
        <v>45.677441860465116</v>
      </c>
      <c r="QV27" s="159">
        <f>QS27*QT27</f>
        <v>45.677441860465116</v>
      </c>
      <c r="QW27" s="528"/>
      <c r="QX27" s="162" t="s">
        <v>82</v>
      </c>
      <c r="QY27" s="144"/>
      <c r="QZ27" s="157" t="s">
        <v>14</v>
      </c>
      <c r="RA27" s="175"/>
      <c r="RB27" s="164">
        <v>6.525348837209302</v>
      </c>
      <c r="RC27" s="140">
        <f t="shared" ref="RC27:RC40" si="102">RA27*RB27</f>
        <v>0</v>
      </c>
      <c r="RD27" s="159">
        <f>RA27*RB27</f>
        <v>0</v>
      </c>
      <c r="RE27" s="528"/>
      <c r="RF27" s="162" t="s">
        <v>82</v>
      </c>
      <c r="RG27" s="144"/>
      <c r="RH27" s="157" t="s">
        <v>14</v>
      </c>
      <c r="RI27" s="175"/>
      <c r="RJ27" s="164">
        <v>6.525348837209302</v>
      </c>
      <c r="RK27" s="140">
        <f t="shared" ref="RK27:RK40" si="103">RI27*RJ27</f>
        <v>0</v>
      </c>
      <c r="RL27" s="159">
        <f>RI27*RJ27</f>
        <v>0</v>
      </c>
      <c r="RM27" s="528"/>
      <c r="RN27" s="162" t="s">
        <v>82</v>
      </c>
      <c r="RO27" s="144">
        <v>2</v>
      </c>
      <c r="RP27" s="157" t="s">
        <v>14</v>
      </c>
      <c r="RQ27" s="175">
        <v>486</v>
      </c>
      <c r="RR27" s="164">
        <v>6.525348837209302</v>
      </c>
      <c r="RS27" s="140">
        <f t="shared" ref="RS27:RS40" si="104">RQ27*RR27</f>
        <v>3171.3195348837207</v>
      </c>
      <c r="RT27" s="159">
        <f>RQ27*RR27</f>
        <v>3171.3195348837207</v>
      </c>
      <c r="RU27" s="528"/>
      <c r="RV27" s="162" t="s">
        <v>82</v>
      </c>
      <c r="RW27" s="144">
        <v>2</v>
      </c>
      <c r="RX27" s="157" t="s">
        <v>14</v>
      </c>
      <c r="RY27" s="175">
        <v>550</v>
      </c>
      <c r="RZ27" s="164">
        <v>6.525348837209302</v>
      </c>
      <c r="SA27" s="140">
        <f t="shared" ref="SA27:SA40" si="105">RY27*RZ27</f>
        <v>3588.941860465116</v>
      </c>
      <c r="SB27" s="159">
        <f>RY27*RZ27</f>
        <v>3588.941860465116</v>
      </c>
      <c r="SC27" s="528"/>
      <c r="SD27" s="162" t="s">
        <v>82</v>
      </c>
      <c r="SE27" s="144"/>
      <c r="SF27" s="157" t="s">
        <v>14</v>
      </c>
      <c r="SG27" s="175"/>
      <c r="SH27" s="164">
        <v>6.525348837209302</v>
      </c>
      <c r="SI27" s="140">
        <f t="shared" ref="SI27:SI40" si="106">SG27*SH27</f>
        <v>0</v>
      </c>
      <c r="SJ27" s="159">
        <f>SG27*SH27</f>
        <v>0</v>
      </c>
      <c r="SK27" s="528"/>
      <c r="SL27" s="162" t="s">
        <v>82</v>
      </c>
      <c r="SM27" s="707"/>
      <c r="SN27" s="901" t="s">
        <v>14</v>
      </c>
      <c r="SO27" s="175"/>
      <c r="SP27" s="164">
        <v>6.525348837209302</v>
      </c>
      <c r="SQ27" s="140">
        <f t="shared" ref="SQ27:SQ40" si="107">SO27*SP27</f>
        <v>0</v>
      </c>
      <c r="SR27" s="159">
        <f>SO27*SP27</f>
        <v>0</v>
      </c>
      <c r="SS27" s="528"/>
      <c r="ST27" s="162" t="s">
        <v>82</v>
      </c>
      <c r="SU27" s="144"/>
      <c r="SV27" s="157" t="s">
        <v>14</v>
      </c>
      <c r="SW27" s="175"/>
      <c r="SX27" s="164">
        <v>6.525348837209302</v>
      </c>
      <c r="SY27" s="140">
        <f t="shared" ref="SY27:SY40" si="108">SW27*SX27</f>
        <v>0</v>
      </c>
      <c r="SZ27" s="159">
        <f>SW27*SX27</f>
        <v>0</v>
      </c>
      <c r="TA27" s="528"/>
      <c r="TB27" s="162" t="s">
        <v>82</v>
      </c>
      <c r="TC27" s="144"/>
      <c r="TD27" s="157" t="s">
        <v>14</v>
      </c>
      <c r="TE27" s="175"/>
      <c r="TF27" s="164">
        <v>6.525348837209302</v>
      </c>
      <c r="TG27" s="140">
        <f t="shared" ref="TG27:TG40" si="109">TE27*TF27</f>
        <v>0</v>
      </c>
      <c r="TH27" s="159">
        <f>TE27*TF27</f>
        <v>0</v>
      </c>
      <c r="TI27" s="528"/>
    </row>
    <row r="28" spans="2:529">
      <c r="B28" s="155" t="s">
        <v>83</v>
      </c>
      <c r="C28" s="131">
        <v>6</v>
      </c>
      <c r="D28" s="157" t="s">
        <v>14</v>
      </c>
      <c r="E28" s="138">
        <v>298</v>
      </c>
      <c r="F28" s="164">
        <v>1.4694871794871796</v>
      </c>
      <c r="G28" s="140">
        <f t="shared" si="0"/>
        <v>437.90717948717952</v>
      </c>
      <c r="H28" s="165"/>
      <c r="I28" s="528"/>
      <c r="J28" s="155" t="s">
        <v>83</v>
      </c>
      <c r="K28" s="131"/>
      <c r="L28" s="157" t="s">
        <v>14</v>
      </c>
      <c r="M28" s="138">
        <v>0</v>
      </c>
      <c r="N28" s="164">
        <v>1.4694871794871796</v>
      </c>
      <c r="O28" s="140">
        <f t="shared" si="1"/>
        <v>0</v>
      </c>
      <c r="P28" s="165"/>
      <c r="Q28" s="528"/>
      <c r="R28" s="155" t="s">
        <v>83</v>
      </c>
      <c r="S28" s="131">
        <v>1</v>
      </c>
      <c r="T28" s="157" t="s">
        <v>14</v>
      </c>
      <c r="U28" s="138">
        <v>44</v>
      </c>
      <c r="V28" s="164">
        <v>1.4694871794871796</v>
      </c>
      <c r="W28" s="140">
        <f t="shared" si="2"/>
        <v>64.657435897435903</v>
      </c>
      <c r="X28" s="165"/>
      <c r="Y28" s="528"/>
      <c r="Z28" s="155" t="s">
        <v>83</v>
      </c>
      <c r="AA28" s="131"/>
      <c r="AB28" s="157" t="s">
        <v>14</v>
      </c>
      <c r="AC28" s="138">
        <v>0</v>
      </c>
      <c r="AD28" s="164">
        <v>1.4694871794871796</v>
      </c>
      <c r="AE28" s="140">
        <f t="shared" si="3"/>
        <v>0</v>
      </c>
      <c r="AF28" s="165"/>
      <c r="AG28" s="528"/>
      <c r="AH28" s="155" t="s">
        <v>83</v>
      </c>
      <c r="AI28" s="131">
        <v>2</v>
      </c>
      <c r="AJ28" s="157" t="s">
        <v>14</v>
      </c>
      <c r="AK28" s="138">
        <v>22</v>
      </c>
      <c r="AL28" s="164">
        <v>1.4694871794871796</v>
      </c>
      <c r="AM28" s="140">
        <f t="shared" si="4"/>
        <v>32.328717948717951</v>
      </c>
      <c r="AN28" s="165"/>
      <c r="AO28" s="528"/>
      <c r="AP28" s="155" t="s">
        <v>83</v>
      </c>
      <c r="AQ28" s="131"/>
      <c r="AR28" s="157" t="s">
        <v>14</v>
      </c>
      <c r="AS28" s="138"/>
      <c r="AT28" s="164">
        <v>1.4694871794871796</v>
      </c>
      <c r="AU28" s="140">
        <f t="shared" si="5"/>
        <v>0</v>
      </c>
      <c r="AV28" s="165"/>
      <c r="AW28" s="528"/>
      <c r="AX28" s="155" t="s">
        <v>83</v>
      </c>
      <c r="AY28" s="131">
        <v>9</v>
      </c>
      <c r="AZ28" s="157" t="s">
        <v>14</v>
      </c>
      <c r="BA28" s="138">
        <v>308</v>
      </c>
      <c r="BB28" s="164">
        <v>1.4694871794871796</v>
      </c>
      <c r="BC28" s="140">
        <f t="shared" si="6"/>
        <v>452.60205128205132</v>
      </c>
      <c r="BD28" s="165"/>
      <c r="BE28" s="528"/>
      <c r="BF28" s="155" t="s">
        <v>83</v>
      </c>
      <c r="BG28" s="131">
        <v>17</v>
      </c>
      <c r="BH28" s="157" t="s">
        <v>14</v>
      </c>
      <c r="BI28" s="138">
        <v>1474</v>
      </c>
      <c r="BJ28" s="164">
        <v>1.4694871794871796</v>
      </c>
      <c r="BK28" s="140">
        <f t="shared" si="7"/>
        <v>2166.0241025641026</v>
      </c>
      <c r="BL28" s="165"/>
      <c r="BM28" s="528"/>
      <c r="BN28" s="155" t="s">
        <v>83</v>
      </c>
      <c r="BO28" s="131">
        <v>6</v>
      </c>
      <c r="BP28" s="157" t="s">
        <v>14</v>
      </c>
      <c r="BQ28" s="138">
        <v>132</v>
      </c>
      <c r="BR28" s="164">
        <v>1.4694871794871796</v>
      </c>
      <c r="BS28" s="140">
        <f t="shared" si="8"/>
        <v>193.97230769230771</v>
      </c>
      <c r="BT28" s="165"/>
      <c r="BU28" s="528"/>
      <c r="BV28" s="572" t="s">
        <v>83</v>
      </c>
      <c r="BW28" s="553"/>
      <c r="BX28" s="574" t="s">
        <v>14</v>
      </c>
      <c r="BY28" s="560"/>
      <c r="BZ28" s="580">
        <v>1.4694871794871796</v>
      </c>
      <c r="CA28" s="562">
        <f t="shared" si="9"/>
        <v>0</v>
      </c>
      <c r="CB28" s="535"/>
      <c r="CC28" s="528"/>
      <c r="CD28" s="572" t="s">
        <v>83</v>
      </c>
      <c r="CE28" s="553"/>
      <c r="CF28" s="574" t="s">
        <v>14</v>
      </c>
      <c r="CG28" s="560"/>
      <c r="CH28" s="580">
        <v>1.4694871794871796</v>
      </c>
      <c r="CI28" s="562">
        <f t="shared" si="10"/>
        <v>0</v>
      </c>
      <c r="CJ28" s="535"/>
      <c r="CK28" s="528"/>
      <c r="CL28" s="155" t="s">
        <v>83</v>
      </c>
      <c r="CM28" s="131">
        <v>8</v>
      </c>
      <c r="CN28" s="157" t="s">
        <v>14</v>
      </c>
      <c r="CO28" s="138">
        <v>280</v>
      </c>
      <c r="CP28" s="164">
        <v>1.4694871794871796</v>
      </c>
      <c r="CQ28" s="140">
        <f t="shared" si="11"/>
        <v>411.45641025641027</v>
      </c>
      <c r="CR28" s="165"/>
      <c r="CS28" s="528"/>
      <c r="CT28" s="155" t="s">
        <v>83</v>
      </c>
      <c r="CU28" s="131">
        <v>17</v>
      </c>
      <c r="CV28" s="157" t="s">
        <v>14</v>
      </c>
      <c r="CW28" s="138">
        <v>1474</v>
      </c>
      <c r="CX28" s="164">
        <v>1.4694871794871796</v>
      </c>
      <c r="CY28" s="140">
        <f t="shared" si="12"/>
        <v>2166.0241025641026</v>
      </c>
      <c r="CZ28" s="165"/>
      <c r="DA28" s="528"/>
      <c r="DB28" s="155" t="s">
        <v>83</v>
      </c>
      <c r="DC28" s="131"/>
      <c r="DD28" s="157" t="s">
        <v>14</v>
      </c>
      <c r="DE28" s="138">
        <v>0</v>
      </c>
      <c r="DF28" s="164">
        <v>1.4694871794871796</v>
      </c>
      <c r="DG28" s="140">
        <f t="shared" si="13"/>
        <v>0</v>
      </c>
      <c r="DH28" s="165"/>
      <c r="DI28" s="528"/>
      <c r="DJ28" s="155" t="s">
        <v>83</v>
      </c>
      <c r="DK28" s="131"/>
      <c r="DL28" s="157" t="s">
        <v>14</v>
      </c>
      <c r="DM28" s="138">
        <v>0</v>
      </c>
      <c r="DN28" s="172">
        <v>1.4694871794871796</v>
      </c>
      <c r="DO28" s="140">
        <f t="shared" si="14"/>
        <v>0</v>
      </c>
      <c r="DP28" s="165"/>
      <c r="DQ28" s="528"/>
      <c r="DR28" s="155" t="s">
        <v>83</v>
      </c>
      <c r="DS28" s="131"/>
      <c r="DT28" s="157" t="s">
        <v>14</v>
      </c>
      <c r="DU28" s="138"/>
      <c r="DV28" s="172">
        <v>1.4694871794871796</v>
      </c>
      <c r="DW28" s="140">
        <f t="shared" si="15"/>
        <v>0</v>
      </c>
      <c r="DX28" s="165"/>
      <c r="DY28" s="528"/>
      <c r="DZ28" s="155" t="s">
        <v>83</v>
      </c>
      <c r="EA28" s="131">
        <v>0</v>
      </c>
      <c r="EB28" s="157" t="s">
        <v>14</v>
      </c>
      <c r="EC28" s="138">
        <v>0</v>
      </c>
      <c r="ED28" s="172">
        <v>1.4694871794871796</v>
      </c>
      <c r="EE28" s="140">
        <f t="shared" si="16"/>
        <v>0</v>
      </c>
      <c r="EF28" s="165"/>
      <c r="EG28" s="528"/>
      <c r="EH28" s="155" t="s">
        <v>83</v>
      </c>
      <c r="EI28" s="131">
        <v>6</v>
      </c>
      <c r="EJ28" s="157" t="s">
        <v>14</v>
      </c>
      <c r="EK28" s="138">
        <v>101</v>
      </c>
      <c r="EL28" s="172">
        <v>1.4694871794871796</v>
      </c>
      <c r="EM28" s="140">
        <f t="shared" si="17"/>
        <v>148.41820512820513</v>
      </c>
      <c r="EN28" s="165"/>
      <c r="EO28" s="528"/>
      <c r="EP28" s="155" t="s">
        <v>83</v>
      </c>
      <c r="EQ28" s="131">
        <v>10</v>
      </c>
      <c r="ER28" s="157" t="s">
        <v>14</v>
      </c>
      <c r="ES28" s="138">
        <v>156</v>
      </c>
      <c r="ET28" s="172">
        <v>1.4694871794871796</v>
      </c>
      <c r="EU28" s="140">
        <f t="shared" si="18"/>
        <v>229.24</v>
      </c>
      <c r="EV28" s="165"/>
      <c r="EW28" s="528"/>
      <c r="EX28" s="155" t="s">
        <v>83</v>
      </c>
      <c r="EY28" s="131"/>
      <c r="EZ28" s="157" t="s">
        <v>14</v>
      </c>
      <c r="FA28" s="138"/>
      <c r="FB28" s="172">
        <v>1.4694871794871796</v>
      </c>
      <c r="FC28" s="140">
        <f t="shared" si="19"/>
        <v>0</v>
      </c>
      <c r="FD28" s="165"/>
      <c r="FE28" s="528"/>
      <c r="FF28" s="155" t="s">
        <v>83</v>
      </c>
      <c r="FG28" s="131"/>
      <c r="FH28" s="157" t="s">
        <v>14</v>
      </c>
      <c r="FI28" s="138"/>
      <c r="FJ28" s="172">
        <v>1.4694871794871796</v>
      </c>
      <c r="FK28" s="140">
        <f t="shared" si="20"/>
        <v>0</v>
      </c>
      <c r="FL28" s="165"/>
      <c r="FM28" s="528"/>
      <c r="FN28" s="155" t="s">
        <v>83</v>
      </c>
      <c r="FO28" s="131"/>
      <c r="FP28" s="157" t="s">
        <v>14</v>
      </c>
      <c r="FQ28" s="138"/>
      <c r="FR28" s="172">
        <v>1.4694871794871796</v>
      </c>
      <c r="FS28" s="140">
        <f t="shared" si="21"/>
        <v>0</v>
      </c>
      <c r="FT28" s="165"/>
      <c r="FU28" s="528"/>
      <c r="FV28" s="155" t="s">
        <v>83</v>
      </c>
      <c r="FW28" s="131"/>
      <c r="FX28" s="157" t="s">
        <v>14</v>
      </c>
      <c r="FY28" s="138"/>
      <c r="FZ28" s="172">
        <v>1.4694871794871796</v>
      </c>
      <c r="GA28" s="140">
        <f t="shared" si="22"/>
        <v>0</v>
      </c>
      <c r="GB28" s="165"/>
      <c r="GC28" s="528"/>
      <c r="GD28" s="155" t="s">
        <v>83</v>
      </c>
      <c r="GE28" s="131"/>
      <c r="GF28" s="157" t="s">
        <v>14</v>
      </c>
      <c r="GG28" s="138"/>
      <c r="GH28" s="172">
        <v>1.4694871794871796</v>
      </c>
      <c r="GI28" s="140">
        <f t="shared" si="23"/>
        <v>0</v>
      </c>
      <c r="GJ28" s="165"/>
      <c r="GK28" s="528"/>
      <c r="GL28" s="155" t="s">
        <v>83</v>
      </c>
      <c r="GM28" s="131">
        <v>10</v>
      </c>
      <c r="GN28" s="157" t="s">
        <v>14</v>
      </c>
      <c r="GO28" s="175">
        <v>216</v>
      </c>
      <c r="GP28" s="164">
        <v>1.4694871794871796</v>
      </c>
      <c r="GQ28" s="140">
        <f t="shared" si="24"/>
        <v>317.40923076923076</v>
      </c>
      <c r="GR28" s="165"/>
      <c r="GS28" s="528"/>
      <c r="GT28" s="155" t="s">
        <v>83</v>
      </c>
      <c r="GU28" s="131">
        <v>0</v>
      </c>
      <c r="GV28" s="157" t="s">
        <v>14</v>
      </c>
      <c r="GW28" s="175">
        <v>0</v>
      </c>
      <c r="GX28" s="164">
        <v>1.4694871794871796</v>
      </c>
      <c r="GY28" s="140">
        <f t="shared" si="25"/>
        <v>0</v>
      </c>
      <c r="GZ28" s="165"/>
      <c r="HA28" s="528"/>
      <c r="HB28" s="155" t="s">
        <v>83</v>
      </c>
      <c r="HC28" s="131">
        <v>0</v>
      </c>
      <c r="HD28" s="157" t="s">
        <v>14</v>
      </c>
      <c r="HE28" s="175">
        <v>0</v>
      </c>
      <c r="HF28" s="164">
        <v>1.4694871794871796</v>
      </c>
      <c r="HG28" s="140">
        <f t="shared" si="26"/>
        <v>0</v>
      </c>
      <c r="HH28" s="165"/>
      <c r="HI28" s="528"/>
      <c r="HJ28" s="155" t="s">
        <v>83</v>
      </c>
      <c r="HK28" s="131">
        <v>0</v>
      </c>
      <c r="HL28" s="157" t="s">
        <v>14</v>
      </c>
      <c r="HM28" s="175">
        <v>0</v>
      </c>
      <c r="HN28" s="164">
        <v>1.4694871794871796</v>
      </c>
      <c r="HO28" s="140">
        <f t="shared" si="27"/>
        <v>0</v>
      </c>
      <c r="HP28" s="165"/>
      <c r="HQ28" s="528"/>
      <c r="HR28" s="155" t="s">
        <v>83</v>
      </c>
      <c r="HS28" s="131">
        <v>0</v>
      </c>
      <c r="HT28" s="157" t="s">
        <v>14</v>
      </c>
      <c r="HU28" s="175">
        <v>0</v>
      </c>
      <c r="HV28" s="164">
        <v>1.4694871794871796</v>
      </c>
      <c r="HW28" s="140">
        <f t="shared" si="28"/>
        <v>0</v>
      </c>
      <c r="HX28" s="165"/>
      <c r="HY28" s="528"/>
      <c r="HZ28" s="155" t="s">
        <v>83</v>
      </c>
      <c r="IA28" s="131">
        <v>7</v>
      </c>
      <c r="IB28" s="157" t="s">
        <v>14</v>
      </c>
      <c r="IC28" s="175">
        <v>104</v>
      </c>
      <c r="ID28" s="164">
        <v>1.4694871794871796</v>
      </c>
      <c r="IE28" s="140">
        <f t="shared" si="29"/>
        <v>152.82666666666668</v>
      </c>
      <c r="IF28" s="165"/>
      <c r="IG28" s="528"/>
      <c r="IH28" s="155" t="s">
        <v>83</v>
      </c>
      <c r="II28" s="131">
        <v>19</v>
      </c>
      <c r="IJ28" s="157" t="s">
        <v>14</v>
      </c>
      <c r="IK28" s="175">
        <v>782</v>
      </c>
      <c r="IL28" s="164">
        <v>1.4694871794871796</v>
      </c>
      <c r="IM28" s="140">
        <f t="shared" si="30"/>
        <v>1149.1389743589743</v>
      </c>
      <c r="IN28" s="165"/>
      <c r="IO28" s="528"/>
      <c r="IP28" s="155" t="s">
        <v>83</v>
      </c>
      <c r="IQ28" s="131">
        <v>57</v>
      </c>
      <c r="IR28" s="157" t="s">
        <v>14</v>
      </c>
      <c r="IS28" s="175">
        <v>1354</v>
      </c>
      <c r="IT28" s="164">
        <v>1.4694871794871796</v>
      </c>
      <c r="IU28" s="140">
        <f t="shared" si="31"/>
        <v>1989.6856410256412</v>
      </c>
      <c r="IV28" s="165"/>
      <c r="IW28" s="528"/>
      <c r="IX28" s="155" t="s">
        <v>83</v>
      </c>
      <c r="IY28" s="131">
        <v>62</v>
      </c>
      <c r="IZ28" s="157" t="s">
        <v>14</v>
      </c>
      <c r="JA28" s="175">
        <v>2849</v>
      </c>
      <c r="JB28" s="164">
        <v>1.4694871794871796</v>
      </c>
      <c r="JC28" s="140">
        <f t="shared" si="32"/>
        <v>4186.5689743589746</v>
      </c>
      <c r="JD28" s="165"/>
      <c r="JE28" s="528"/>
      <c r="JF28" s="155" t="s">
        <v>83</v>
      </c>
      <c r="JG28" s="131">
        <v>14</v>
      </c>
      <c r="JH28" s="157" t="s">
        <v>14</v>
      </c>
      <c r="JI28" s="175">
        <v>590</v>
      </c>
      <c r="JJ28" s="164">
        <v>1.4694871794871796</v>
      </c>
      <c r="JK28" s="140">
        <f t="shared" si="33"/>
        <v>866.99743589743593</v>
      </c>
      <c r="JL28" s="165"/>
      <c r="JM28" s="528"/>
      <c r="JN28" s="155" t="s">
        <v>83</v>
      </c>
      <c r="JO28" s="131">
        <v>20</v>
      </c>
      <c r="JP28" s="157" t="s">
        <v>14</v>
      </c>
      <c r="JQ28" s="175">
        <v>1154</v>
      </c>
      <c r="JR28" s="164">
        <v>1.4694871794871796</v>
      </c>
      <c r="JS28" s="140">
        <f t="shared" si="34"/>
        <v>1695.7882051282052</v>
      </c>
      <c r="JT28" s="165"/>
      <c r="JU28" s="528"/>
      <c r="JV28" s="155" t="s">
        <v>83</v>
      </c>
      <c r="JW28" s="131">
        <v>29</v>
      </c>
      <c r="JX28" s="157" t="s">
        <v>14</v>
      </c>
      <c r="JY28" s="175">
        <v>815</v>
      </c>
      <c r="JZ28" s="164">
        <v>1.4694871794871796</v>
      </c>
      <c r="KA28" s="140">
        <f t="shared" si="35"/>
        <v>1197.6320512820514</v>
      </c>
      <c r="KB28" s="165"/>
      <c r="KC28" s="528"/>
      <c r="KD28" s="155" t="s">
        <v>83</v>
      </c>
      <c r="KE28" s="131">
        <v>5</v>
      </c>
      <c r="KF28" s="157" t="s">
        <v>14</v>
      </c>
      <c r="KG28" s="175">
        <v>288</v>
      </c>
      <c r="KH28" s="164">
        <v>1.4694871794871796</v>
      </c>
      <c r="KI28" s="140">
        <f>KG28*KH28</f>
        <v>423.21230769230772</v>
      </c>
      <c r="KJ28" s="165"/>
      <c r="KK28" s="528"/>
      <c r="KL28" s="155" t="s">
        <v>83</v>
      </c>
      <c r="KM28" s="131">
        <v>0</v>
      </c>
      <c r="KN28" s="157" t="s">
        <v>14</v>
      </c>
      <c r="KO28" s="175">
        <v>0</v>
      </c>
      <c r="KP28" s="164">
        <v>1.4694871794871796</v>
      </c>
      <c r="KQ28" s="140">
        <f t="shared" si="37"/>
        <v>0</v>
      </c>
      <c r="KR28" s="165"/>
      <c r="KS28" s="528"/>
      <c r="KT28" s="155" t="s">
        <v>83</v>
      </c>
      <c r="KU28" s="131">
        <v>0</v>
      </c>
      <c r="KV28" s="157" t="s">
        <v>14</v>
      </c>
      <c r="KW28" s="175">
        <v>0</v>
      </c>
      <c r="KX28" s="164">
        <v>1.4694871794871796</v>
      </c>
      <c r="KY28" s="140">
        <f t="shared" si="38"/>
        <v>0</v>
      </c>
      <c r="KZ28" s="165"/>
      <c r="LA28" s="528"/>
      <c r="LB28" s="155" t="s">
        <v>83</v>
      </c>
      <c r="LC28" s="131">
        <v>0</v>
      </c>
      <c r="LD28" s="157" t="s">
        <v>14</v>
      </c>
      <c r="LE28" s="175">
        <v>0</v>
      </c>
      <c r="LF28" s="164">
        <v>1.4694871794871796</v>
      </c>
      <c r="LG28" s="140">
        <f t="shared" si="39"/>
        <v>0</v>
      </c>
      <c r="LH28" s="165"/>
      <c r="LI28" s="528"/>
      <c r="LJ28" s="155" t="s">
        <v>83</v>
      </c>
      <c r="LK28" s="131">
        <v>1</v>
      </c>
      <c r="LL28" s="157" t="s">
        <v>14</v>
      </c>
      <c r="LM28" s="175">
        <v>74</v>
      </c>
      <c r="LN28" s="164">
        <v>1.4694871794871796</v>
      </c>
      <c r="LO28" s="140">
        <f t="shared" si="40"/>
        <v>108.74205128205129</v>
      </c>
      <c r="LP28" s="165"/>
      <c r="LQ28" s="528"/>
      <c r="LR28" s="155" t="s">
        <v>83</v>
      </c>
      <c r="LS28" s="131">
        <v>6</v>
      </c>
      <c r="LT28" s="157" t="s">
        <v>14</v>
      </c>
      <c r="LU28" s="175">
        <v>66</v>
      </c>
      <c r="LV28" s="164">
        <v>1.4694871794871796</v>
      </c>
      <c r="LW28" s="140">
        <f t="shared" si="41"/>
        <v>96.986153846153854</v>
      </c>
      <c r="LX28" s="165"/>
      <c r="LY28" s="528"/>
      <c r="LZ28" s="155" t="s">
        <v>83</v>
      </c>
      <c r="MA28" s="131">
        <v>17</v>
      </c>
      <c r="MB28" s="157" t="s">
        <v>14</v>
      </c>
      <c r="MC28" s="175">
        <v>589</v>
      </c>
      <c r="MD28" s="164">
        <v>1.4694871794871796</v>
      </c>
      <c r="ME28" s="140">
        <f t="shared" si="42"/>
        <v>865.52794871794879</v>
      </c>
      <c r="MF28" s="165"/>
      <c r="MG28" s="528"/>
      <c r="MH28" s="155" t="s">
        <v>83</v>
      </c>
      <c r="MI28" s="131">
        <v>39</v>
      </c>
      <c r="MJ28" s="157" t="s">
        <v>14</v>
      </c>
      <c r="MK28" s="175">
        <v>993</v>
      </c>
      <c r="ML28" s="164">
        <v>1.4694871794871796</v>
      </c>
      <c r="MM28" s="140">
        <f t="shared" si="43"/>
        <v>1459.2007692307693</v>
      </c>
      <c r="MN28" s="165"/>
      <c r="MO28" s="528"/>
      <c r="MP28" s="155" t="s">
        <v>83</v>
      </c>
      <c r="MQ28" s="131">
        <v>46</v>
      </c>
      <c r="MR28" s="157" t="s">
        <v>14</v>
      </c>
      <c r="MS28" s="175">
        <v>2235</v>
      </c>
      <c r="MT28" s="164">
        <v>1.4694871794871796</v>
      </c>
      <c r="MU28" s="140">
        <f t="shared" si="44"/>
        <v>3284.3038461538463</v>
      </c>
      <c r="MV28" s="165"/>
      <c r="MW28" s="528"/>
      <c r="MX28" s="680" t="s">
        <v>354</v>
      </c>
      <c r="MY28" s="681"/>
      <c r="MZ28" s="682" t="s">
        <v>14</v>
      </c>
      <c r="NA28" s="683"/>
      <c r="NB28" s="684"/>
      <c r="NC28" s="685">
        <f t="shared" ref="NC28:ND31" si="110">NA28*NB28</f>
        <v>0</v>
      </c>
      <c r="ND28" s="685">
        <f t="shared" si="110"/>
        <v>0</v>
      </c>
      <c r="NE28" s="528"/>
      <c r="NF28" s="680" t="s">
        <v>354</v>
      </c>
      <c r="NG28" s="681">
        <v>13</v>
      </c>
      <c r="NH28" s="682" t="s">
        <v>14</v>
      </c>
      <c r="NI28" s="683">
        <v>254</v>
      </c>
      <c r="NJ28" s="684"/>
      <c r="NK28" s="685">
        <f t="shared" ref="NK28:NL31" si="111">NI28*NJ28</f>
        <v>0</v>
      </c>
      <c r="NL28" s="685">
        <f t="shared" si="111"/>
        <v>0</v>
      </c>
      <c r="NM28" s="528"/>
      <c r="NN28" s="680" t="s">
        <v>354</v>
      </c>
      <c r="NO28" s="681">
        <v>55</v>
      </c>
      <c r="NP28" s="682" t="s">
        <v>14</v>
      </c>
      <c r="NQ28" s="683">
        <v>7391</v>
      </c>
      <c r="NR28" s="684"/>
      <c r="NS28" s="685">
        <f t="shared" si="91"/>
        <v>0</v>
      </c>
      <c r="NT28" s="685">
        <f t="shared" ref="NT28:NT31" si="112">NR28*NS28</f>
        <v>0</v>
      </c>
      <c r="NU28" s="528"/>
      <c r="NV28" s="680" t="s">
        <v>354</v>
      </c>
      <c r="NW28" s="681">
        <v>45</v>
      </c>
      <c r="NX28" s="682" t="s">
        <v>14</v>
      </c>
      <c r="NY28" s="683">
        <v>6706</v>
      </c>
      <c r="NZ28" s="684"/>
      <c r="OA28" s="685">
        <f t="shared" si="92"/>
        <v>0</v>
      </c>
      <c r="OB28" s="685">
        <f t="shared" ref="OB28:OB31" si="113">NZ28*OA28</f>
        <v>0</v>
      </c>
      <c r="OC28" s="528"/>
      <c r="OD28" s="680" t="s">
        <v>354</v>
      </c>
      <c r="OE28" s="681">
        <v>32</v>
      </c>
      <c r="OF28" s="682" t="s">
        <v>14</v>
      </c>
      <c r="OG28" s="683">
        <v>3147</v>
      </c>
      <c r="OH28" s="684"/>
      <c r="OI28" s="685">
        <f t="shared" si="93"/>
        <v>0</v>
      </c>
      <c r="OJ28" s="685">
        <f t="shared" ref="OJ28:OJ31" si="114">OH28*OI28</f>
        <v>0</v>
      </c>
      <c r="OK28" s="528"/>
      <c r="OL28" s="680" t="s">
        <v>354</v>
      </c>
      <c r="OM28" s="681">
        <v>8</v>
      </c>
      <c r="ON28" s="682" t="s">
        <v>14</v>
      </c>
      <c r="OO28" s="683">
        <v>1500</v>
      </c>
      <c r="OP28" s="684"/>
      <c r="OQ28" s="685">
        <f t="shared" si="94"/>
        <v>0</v>
      </c>
      <c r="OR28" s="685">
        <f t="shared" ref="OR28:OR31" si="115">OP28*OQ28</f>
        <v>0</v>
      </c>
      <c r="OS28" s="528"/>
      <c r="OT28" s="680" t="s">
        <v>354</v>
      </c>
      <c r="OU28" s="681"/>
      <c r="OV28" s="682" t="s">
        <v>14</v>
      </c>
      <c r="OW28" s="683"/>
      <c r="OX28" s="684"/>
      <c r="OY28" s="685">
        <f t="shared" si="95"/>
        <v>0</v>
      </c>
      <c r="OZ28" s="685">
        <f t="shared" ref="OZ28:OZ31" si="116">OX28*OY28</f>
        <v>0</v>
      </c>
      <c r="PA28" s="528"/>
      <c r="PB28" s="680" t="s">
        <v>354</v>
      </c>
      <c r="PC28" s="681"/>
      <c r="PD28" s="682" t="s">
        <v>14</v>
      </c>
      <c r="PE28" s="683"/>
      <c r="PF28" s="684"/>
      <c r="PG28" s="685">
        <f t="shared" si="96"/>
        <v>0</v>
      </c>
      <c r="PH28" s="685">
        <f t="shared" ref="PH28:PH31" si="117">PF28*PG28</f>
        <v>0</v>
      </c>
      <c r="PI28" s="528"/>
      <c r="PJ28" s="680" t="s">
        <v>354</v>
      </c>
      <c r="PK28" s="681">
        <v>5</v>
      </c>
      <c r="PL28" s="682" t="s">
        <v>14</v>
      </c>
      <c r="PM28" s="683">
        <v>202</v>
      </c>
      <c r="PN28" s="684"/>
      <c r="PO28" s="685">
        <f t="shared" si="97"/>
        <v>0</v>
      </c>
      <c r="PP28" s="685">
        <f t="shared" ref="PP28:PP31" si="118">PN28*PO28</f>
        <v>0</v>
      </c>
      <c r="PQ28" s="528"/>
      <c r="PR28" s="680" t="s">
        <v>354</v>
      </c>
      <c r="PS28" s="681">
        <v>2</v>
      </c>
      <c r="PT28" s="682" t="s">
        <v>14</v>
      </c>
      <c r="PU28" s="683">
        <v>11</v>
      </c>
      <c r="PV28" s="684"/>
      <c r="PW28" s="685">
        <f t="shared" si="98"/>
        <v>0</v>
      </c>
      <c r="PX28" s="685">
        <f t="shared" ref="PX28:PX31" si="119">PV28*PW28</f>
        <v>0</v>
      </c>
      <c r="PY28" s="528"/>
      <c r="PZ28" s="680" t="s">
        <v>354</v>
      </c>
      <c r="QA28" s="681">
        <v>1</v>
      </c>
      <c r="QB28" s="682" t="s">
        <v>14</v>
      </c>
      <c r="QC28" s="683">
        <v>2</v>
      </c>
      <c r="QD28" s="684"/>
      <c r="QE28" s="685">
        <f t="shared" si="99"/>
        <v>0</v>
      </c>
      <c r="QF28" s="685">
        <f t="shared" ref="QF28:QF31" si="120">QD28*QE28</f>
        <v>0</v>
      </c>
      <c r="QG28" s="528"/>
      <c r="QH28" s="680" t="s">
        <v>354</v>
      </c>
      <c r="QI28" s="681">
        <v>1</v>
      </c>
      <c r="QJ28" s="682" t="s">
        <v>14</v>
      </c>
      <c r="QK28" s="683">
        <v>20</v>
      </c>
      <c r="QL28" s="684"/>
      <c r="QM28" s="685">
        <f t="shared" si="100"/>
        <v>0</v>
      </c>
      <c r="QN28" s="685">
        <f t="shared" ref="QN28:QN31" si="121">QL28*QM28</f>
        <v>0</v>
      </c>
      <c r="QO28" s="528"/>
      <c r="QP28" s="680" t="s">
        <v>354</v>
      </c>
      <c r="QQ28" s="681">
        <v>5</v>
      </c>
      <c r="QR28" s="682" t="s">
        <v>14</v>
      </c>
      <c r="QS28" s="683">
        <v>123</v>
      </c>
      <c r="QT28" s="684"/>
      <c r="QU28" s="685">
        <f t="shared" si="101"/>
        <v>0</v>
      </c>
      <c r="QV28" s="685">
        <f t="shared" ref="QV28:QV31" si="122">QT28*QU28</f>
        <v>0</v>
      </c>
      <c r="QW28" s="528"/>
      <c r="QX28" s="680" t="s">
        <v>354</v>
      </c>
      <c r="QY28" s="681"/>
      <c r="QZ28" s="682" t="s">
        <v>14</v>
      </c>
      <c r="RA28" s="683"/>
      <c r="RB28" s="684"/>
      <c r="RC28" s="685">
        <f t="shared" si="102"/>
        <v>0</v>
      </c>
      <c r="RD28" s="685">
        <f t="shared" ref="RD28:RD31" si="123">RB28*RC28</f>
        <v>0</v>
      </c>
      <c r="RE28" s="528"/>
      <c r="RF28" s="680" t="s">
        <v>354</v>
      </c>
      <c r="RG28" s="681"/>
      <c r="RH28" s="682" t="s">
        <v>14</v>
      </c>
      <c r="RI28" s="683"/>
      <c r="RJ28" s="684"/>
      <c r="RK28" s="685">
        <f t="shared" si="103"/>
        <v>0</v>
      </c>
      <c r="RL28" s="685">
        <f t="shared" ref="RL28:RL31" si="124">RJ28*RK28</f>
        <v>0</v>
      </c>
      <c r="RM28" s="528"/>
      <c r="RN28" s="680" t="s">
        <v>354</v>
      </c>
      <c r="RO28" s="681">
        <v>17</v>
      </c>
      <c r="RP28" s="682" t="s">
        <v>14</v>
      </c>
      <c r="RQ28" s="683">
        <v>1528</v>
      </c>
      <c r="RR28" s="684"/>
      <c r="RS28" s="685">
        <f t="shared" si="104"/>
        <v>0</v>
      </c>
      <c r="RT28" s="685">
        <f t="shared" ref="RT28:RT31" si="125">RR28*RS28</f>
        <v>0</v>
      </c>
      <c r="RU28" s="528"/>
      <c r="RV28" s="680" t="s">
        <v>354</v>
      </c>
      <c r="RW28" s="681">
        <v>3</v>
      </c>
      <c r="RX28" s="682" t="s">
        <v>14</v>
      </c>
      <c r="RY28" s="683">
        <v>422</v>
      </c>
      <c r="RZ28" s="684"/>
      <c r="SA28" s="685">
        <f t="shared" si="105"/>
        <v>0</v>
      </c>
      <c r="SB28" s="685">
        <f t="shared" ref="SB28:SB31" si="126">RZ28*SA28</f>
        <v>0</v>
      </c>
      <c r="SC28" s="528"/>
      <c r="SD28" s="680" t="s">
        <v>354</v>
      </c>
      <c r="SE28" s="681">
        <v>13</v>
      </c>
      <c r="SF28" s="682" t="s">
        <v>14</v>
      </c>
      <c r="SG28" s="683">
        <v>419</v>
      </c>
      <c r="SH28" s="684"/>
      <c r="SI28" s="685">
        <f t="shared" si="106"/>
        <v>0</v>
      </c>
      <c r="SJ28" s="685">
        <f t="shared" ref="SJ28:SJ31" si="127">SH28*SI28</f>
        <v>0</v>
      </c>
      <c r="SK28" s="528"/>
      <c r="SL28" s="680" t="s">
        <v>354</v>
      </c>
      <c r="SM28" s="681">
        <v>3</v>
      </c>
      <c r="SN28" s="682" t="s">
        <v>14</v>
      </c>
      <c r="SO28" s="683">
        <v>14</v>
      </c>
      <c r="SP28" s="684"/>
      <c r="SQ28" s="685">
        <f t="shared" si="107"/>
        <v>0</v>
      </c>
      <c r="SR28" s="685">
        <f t="shared" ref="SR28:SR31" si="128">SP28*SQ28</f>
        <v>0</v>
      </c>
      <c r="SS28" s="528"/>
      <c r="ST28" s="680" t="s">
        <v>354</v>
      </c>
      <c r="SU28" s="681"/>
      <c r="SV28" s="682" t="s">
        <v>14</v>
      </c>
      <c r="SW28" s="683"/>
      <c r="SX28" s="684"/>
      <c r="SY28" s="685">
        <f t="shared" si="108"/>
        <v>0</v>
      </c>
      <c r="SZ28" s="685">
        <f t="shared" ref="SZ28:SZ31" si="129">SX28*SY28</f>
        <v>0</v>
      </c>
      <c r="TA28" s="528"/>
      <c r="TB28" s="680" t="s">
        <v>354</v>
      </c>
      <c r="TC28" s="681">
        <v>11</v>
      </c>
      <c r="TD28" s="682" t="s">
        <v>14</v>
      </c>
      <c r="TE28" s="683">
        <v>365</v>
      </c>
      <c r="TF28" s="684"/>
      <c r="TG28" s="685">
        <f t="shared" si="109"/>
        <v>0</v>
      </c>
      <c r="TH28" s="685">
        <f t="shared" ref="TH28:TH31" si="130">TF28*TG28</f>
        <v>0</v>
      </c>
      <c r="TI28" s="528"/>
    </row>
    <row r="29" spans="2:529">
      <c r="B29" s="145"/>
      <c r="C29" s="146"/>
      <c r="D29" s="151" t="s">
        <v>20</v>
      </c>
      <c r="E29" s="138"/>
      <c r="F29" s="166"/>
      <c r="G29" s="140">
        <f t="shared" si="0"/>
        <v>0</v>
      </c>
      <c r="H29" s="150"/>
      <c r="I29" s="528"/>
      <c r="J29" s="145"/>
      <c r="K29" s="146">
        <v>22</v>
      </c>
      <c r="L29" s="151" t="s">
        <v>20</v>
      </c>
      <c r="M29" s="138">
        <v>0</v>
      </c>
      <c r="N29" s="166"/>
      <c r="O29" s="140">
        <f t="shared" si="1"/>
        <v>0</v>
      </c>
      <c r="P29" s="150"/>
      <c r="Q29" s="528"/>
      <c r="R29" s="145"/>
      <c r="S29" s="146">
        <v>22</v>
      </c>
      <c r="T29" s="151" t="s">
        <v>20</v>
      </c>
      <c r="U29" s="138"/>
      <c r="V29" s="166"/>
      <c r="W29" s="140">
        <f t="shared" si="2"/>
        <v>0</v>
      </c>
      <c r="X29" s="150"/>
      <c r="Y29" s="528"/>
      <c r="Z29" s="145"/>
      <c r="AA29" s="146">
        <v>22</v>
      </c>
      <c r="AB29" s="151" t="s">
        <v>20</v>
      </c>
      <c r="AC29" s="138">
        <v>0</v>
      </c>
      <c r="AD29" s="166"/>
      <c r="AE29" s="140">
        <f t="shared" si="3"/>
        <v>0</v>
      </c>
      <c r="AF29" s="150"/>
      <c r="AG29" s="528"/>
      <c r="AH29" s="145"/>
      <c r="AI29" s="146">
        <v>22</v>
      </c>
      <c r="AJ29" s="151" t="s">
        <v>20</v>
      </c>
      <c r="AK29" s="138">
        <v>0</v>
      </c>
      <c r="AL29" s="166"/>
      <c r="AM29" s="140">
        <f t="shared" si="4"/>
        <v>0</v>
      </c>
      <c r="AN29" s="150"/>
      <c r="AO29" s="528"/>
      <c r="AP29" s="145"/>
      <c r="AQ29" s="146">
        <v>22</v>
      </c>
      <c r="AR29" s="151" t="s">
        <v>20</v>
      </c>
      <c r="AS29" s="138"/>
      <c r="AT29" s="166"/>
      <c r="AU29" s="140">
        <f t="shared" si="5"/>
        <v>0</v>
      </c>
      <c r="AV29" s="150"/>
      <c r="AW29" s="528"/>
      <c r="AX29" s="145"/>
      <c r="AY29" s="146">
        <v>22</v>
      </c>
      <c r="AZ29" s="151" t="s">
        <v>20</v>
      </c>
      <c r="BA29" s="138">
        <v>0</v>
      </c>
      <c r="BB29" s="166"/>
      <c r="BC29" s="140">
        <f t="shared" si="6"/>
        <v>0</v>
      </c>
      <c r="BD29" s="150"/>
      <c r="BE29" s="528"/>
      <c r="BF29" s="145"/>
      <c r="BG29" s="146">
        <v>22</v>
      </c>
      <c r="BH29" s="151" t="s">
        <v>20</v>
      </c>
      <c r="BI29" s="138"/>
      <c r="BJ29" s="166"/>
      <c r="BK29" s="140">
        <f t="shared" si="7"/>
        <v>0</v>
      </c>
      <c r="BL29" s="150"/>
      <c r="BM29" s="528"/>
      <c r="BN29" s="145"/>
      <c r="BO29" s="146">
        <v>22</v>
      </c>
      <c r="BP29" s="151" t="s">
        <v>20</v>
      </c>
      <c r="BQ29" s="138"/>
      <c r="BR29" s="166"/>
      <c r="BS29" s="140">
        <f t="shared" si="8"/>
        <v>0</v>
      </c>
      <c r="BT29" s="150"/>
      <c r="BU29" s="528"/>
      <c r="BV29" s="536"/>
      <c r="BW29" s="537"/>
      <c r="BX29" s="543" t="s">
        <v>20</v>
      </c>
      <c r="BY29" s="560"/>
      <c r="BZ29" s="581"/>
      <c r="CA29" s="562">
        <f t="shared" si="9"/>
        <v>0</v>
      </c>
      <c r="CB29" s="569"/>
      <c r="CC29" s="528"/>
      <c r="CD29" s="536"/>
      <c r="CE29" s="537"/>
      <c r="CF29" s="543" t="s">
        <v>20</v>
      </c>
      <c r="CG29" s="560"/>
      <c r="CH29" s="581"/>
      <c r="CI29" s="562">
        <f t="shared" si="10"/>
        <v>0</v>
      </c>
      <c r="CJ29" s="569"/>
      <c r="CK29" s="528"/>
      <c r="CL29" s="145"/>
      <c r="CM29" s="146">
        <v>22</v>
      </c>
      <c r="CN29" s="151" t="s">
        <v>20</v>
      </c>
      <c r="CO29" s="138"/>
      <c r="CP29" s="166"/>
      <c r="CQ29" s="140">
        <f t="shared" si="11"/>
        <v>0</v>
      </c>
      <c r="CR29" s="150"/>
      <c r="CS29" s="528"/>
      <c r="CT29" s="145"/>
      <c r="CU29" s="146">
        <v>22</v>
      </c>
      <c r="CV29" s="151" t="s">
        <v>20</v>
      </c>
      <c r="CW29" s="138"/>
      <c r="CX29" s="166"/>
      <c r="CY29" s="140">
        <f t="shared" si="12"/>
        <v>0</v>
      </c>
      <c r="CZ29" s="150"/>
      <c r="DA29" s="528"/>
      <c r="DB29" s="145"/>
      <c r="DC29" s="146"/>
      <c r="DD29" s="151" t="s">
        <v>20</v>
      </c>
      <c r="DE29" s="138">
        <v>0</v>
      </c>
      <c r="DF29" s="166"/>
      <c r="DG29" s="140">
        <f t="shared" si="13"/>
        <v>0</v>
      </c>
      <c r="DH29" s="150"/>
      <c r="DI29" s="528"/>
      <c r="DJ29" s="145"/>
      <c r="DK29" s="146"/>
      <c r="DL29" s="151" t="s">
        <v>20</v>
      </c>
      <c r="DM29" s="138">
        <v>0</v>
      </c>
      <c r="DN29" s="173"/>
      <c r="DO29" s="140">
        <f t="shared" si="14"/>
        <v>0</v>
      </c>
      <c r="DP29" s="150"/>
      <c r="DQ29" s="528"/>
      <c r="DR29" s="145"/>
      <c r="DS29" s="146"/>
      <c r="DT29" s="151" t="s">
        <v>20</v>
      </c>
      <c r="DU29" s="138"/>
      <c r="DV29" s="173"/>
      <c r="DW29" s="140">
        <f t="shared" si="15"/>
        <v>0</v>
      </c>
      <c r="DX29" s="150"/>
      <c r="DY29" s="528"/>
      <c r="DZ29" s="145"/>
      <c r="EA29" s="146"/>
      <c r="EB29" s="151" t="s">
        <v>20</v>
      </c>
      <c r="EC29" s="138"/>
      <c r="ED29" s="173"/>
      <c r="EE29" s="140">
        <f t="shared" si="16"/>
        <v>0</v>
      </c>
      <c r="EF29" s="150"/>
      <c r="EG29" s="528"/>
      <c r="EH29" s="145"/>
      <c r="EI29" s="146"/>
      <c r="EJ29" s="151" t="s">
        <v>20</v>
      </c>
      <c r="EK29" s="138"/>
      <c r="EL29" s="173"/>
      <c r="EM29" s="140">
        <f t="shared" si="17"/>
        <v>0</v>
      </c>
      <c r="EN29" s="150"/>
      <c r="EO29" s="528"/>
      <c r="EP29" s="145"/>
      <c r="EQ29" s="146"/>
      <c r="ER29" s="151" t="s">
        <v>20</v>
      </c>
      <c r="ES29" s="138"/>
      <c r="ET29" s="173"/>
      <c r="EU29" s="140">
        <f t="shared" si="18"/>
        <v>0</v>
      </c>
      <c r="EV29" s="150"/>
      <c r="EW29" s="528"/>
      <c r="EX29" s="145"/>
      <c r="EY29" s="146"/>
      <c r="EZ29" s="151" t="s">
        <v>20</v>
      </c>
      <c r="FA29" s="138"/>
      <c r="FB29" s="173"/>
      <c r="FC29" s="140">
        <f t="shared" si="19"/>
        <v>0</v>
      </c>
      <c r="FD29" s="150"/>
      <c r="FE29" s="528"/>
      <c r="FF29" s="145"/>
      <c r="FG29" s="146"/>
      <c r="FH29" s="151" t="s">
        <v>20</v>
      </c>
      <c r="FI29" s="138"/>
      <c r="FJ29" s="173"/>
      <c r="FK29" s="140">
        <f t="shared" si="20"/>
        <v>0</v>
      </c>
      <c r="FL29" s="150"/>
      <c r="FM29" s="528"/>
      <c r="FN29" s="145"/>
      <c r="FO29" s="146"/>
      <c r="FP29" s="151" t="s">
        <v>20</v>
      </c>
      <c r="FQ29" s="138"/>
      <c r="FR29" s="173"/>
      <c r="FS29" s="140">
        <f t="shared" si="21"/>
        <v>0</v>
      </c>
      <c r="FT29" s="150"/>
      <c r="FU29" s="528"/>
      <c r="FV29" s="145"/>
      <c r="FW29" s="146"/>
      <c r="FX29" s="151" t="s">
        <v>20</v>
      </c>
      <c r="FY29" s="138"/>
      <c r="FZ29" s="173"/>
      <c r="GA29" s="140">
        <f t="shared" si="22"/>
        <v>0</v>
      </c>
      <c r="GB29" s="150"/>
      <c r="GC29" s="528"/>
      <c r="GD29" s="145"/>
      <c r="GE29" s="146"/>
      <c r="GF29" s="151" t="s">
        <v>20</v>
      </c>
      <c r="GG29" s="138"/>
      <c r="GH29" s="173"/>
      <c r="GI29" s="140">
        <f t="shared" si="23"/>
        <v>0</v>
      </c>
      <c r="GJ29" s="150"/>
      <c r="GK29" s="528"/>
      <c r="GL29" s="145"/>
      <c r="GM29" s="146"/>
      <c r="GN29" s="151" t="s">
        <v>20</v>
      </c>
      <c r="GO29" s="175">
        <v>0</v>
      </c>
      <c r="GP29" s="166"/>
      <c r="GQ29" s="140">
        <f t="shared" si="24"/>
        <v>0</v>
      </c>
      <c r="GR29" s="150"/>
      <c r="GS29" s="528"/>
      <c r="GT29" s="145"/>
      <c r="GU29" s="146"/>
      <c r="GV29" s="151" t="s">
        <v>20</v>
      </c>
      <c r="GW29" s="175">
        <v>0</v>
      </c>
      <c r="GX29" s="166"/>
      <c r="GY29" s="140">
        <f t="shared" si="25"/>
        <v>0</v>
      </c>
      <c r="GZ29" s="150"/>
      <c r="HA29" s="528"/>
      <c r="HB29" s="145"/>
      <c r="HC29" s="146"/>
      <c r="HD29" s="151" t="s">
        <v>20</v>
      </c>
      <c r="HE29" s="175">
        <v>0</v>
      </c>
      <c r="HF29" s="166"/>
      <c r="HG29" s="140">
        <f t="shared" si="26"/>
        <v>0</v>
      </c>
      <c r="HH29" s="150"/>
      <c r="HI29" s="528"/>
      <c r="HJ29" s="145"/>
      <c r="HK29" s="146"/>
      <c r="HL29" s="151" t="s">
        <v>20</v>
      </c>
      <c r="HM29" s="175">
        <v>0</v>
      </c>
      <c r="HN29" s="166"/>
      <c r="HO29" s="140">
        <f t="shared" si="27"/>
        <v>0</v>
      </c>
      <c r="HP29" s="150"/>
      <c r="HQ29" s="528"/>
      <c r="HR29" s="145"/>
      <c r="HS29" s="146"/>
      <c r="HT29" s="151" t="s">
        <v>20</v>
      </c>
      <c r="HU29" s="175">
        <v>0</v>
      </c>
      <c r="HV29" s="166"/>
      <c r="HW29" s="140">
        <f t="shared" si="28"/>
        <v>0</v>
      </c>
      <c r="HX29" s="150"/>
      <c r="HY29" s="528"/>
      <c r="HZ29" s="145"/>
      <c r="IA29" s="146"/>
      <c r="IB29" s="151" t="s">
        <v>20</v>
      </c>
      <c r="IC29" s="175">
        <v>0</v>
      </c>
      <c r="ID29" s="166"/>
      <c r="IE29" s="140">
        <f t="shared" si="29"/>
        <v>0</v>
      </c>
      <c r="IF29" s="150"/>
      <c r="IG29" s="528"/>
      <c r="IH29" s="145"/>
      <c r="II29" s="146"/>
      <c r="IJ29" s="151" t="s">
        <v>20</v>
      </c>
      <c r="IK29" s="175">
        <v>0</v>
      </c>
      <c r="IL29" s="166"/>
      <c r="IM29" s="140">
        <f t="shared" si="30"/>
        <v>0</v>
      </c>
      <c r="IN29" s="150"/>
      <c r="IO29" s="528"/>
      <c r="IP29" s="145"/>
      <c r="IQ29" s="146"/>
      <c r="IR29" s="151" t="s">
        <v>20</v>
      </c>
      <c r="IS29" s="175">
        <v>0</v>
      </c>
      <c r="IT29" s="166"/>
      <c r="IU29" s="140">
        <f t="shared" si="31"/>
        <v>0</v>
      </c>
      <c r="IV29" s="150"/>
      <c r="IW29" s="528"/>
      <c r="IX29" s="145"/>
      <c r="IY29" s="146"/>
      <c r="IZ29" s="151" t="s">
        <v>20</v>
      </c>
      <c r="JA29" s="175">
        <v>0</v>
      </c>
      <c r="JB29" s="166"/>
      <c r="JC29" s="140">
        <f t="shared" si="32"/>
        <v>0</v>
      </c>
      <c r="JD29" s="150"/>
      <c r="JE29" s="528"/>
      <c r="JF29" s="145"/>
      <c r="JG29" s="146"/>
      <c r="JH29" s="151" t="s">
        <v>20</v>
      </c>
      <c r="JI29" s="175">
        <v>0</v>
      </c>
      <c r="JJ29" s="166"/>
      <c r="JK29" s="140">
        <f t="shared" si="33"/>
        <v>0</v>
      </c>
      <c r="JL29" s="150"/>
      <c r="JM29" s="528"/>
      <c r="JN29" s="145"/>
      <c r="JO29" s="146"/>
      <c r="JP29" s="151" t="s">
        <v>20</v>
      </c>
      <c r="JQ29" s="175">
        <v>0</v>
      </c>
      <c r="JR29" s="166"/>
      <c r="JS29" s="140">
        <f t="shared" si="34"/>
        <v>0</v>
      </c>
      <c r="JT29" s="150"/>
      <c r="JU29" s="528"/>
      <c r="JV29" s="145"/>
      <c r="JW29" s="146"/>
      <c r="JX29" s="151" t="s">
        <v>20</v>
      </c>
      <c r="JY29" s="175">
        <v>0</v>
      </c>
      <c r="JZ29" s="166"/>
      <c r="KA29" s="140">
        <f t="shared" si="35"/>
        <v>0</v>
      </c>
      <c r="KB29" s="150"/>
      <c r="KC29" s="528"/>
      <c r="KD29" s="145"/>
      <c r="KE29" s="146"/>
      <c r="KF29" s="151" t="s">
        <v>20</v>
      </c>
      <c r="KG29" s="175">
        <v>0</v>
      </c>
      <c r="KH29" s="166"/>
      <c r="KI29" s="140">
        <f t="shared" si="36"/>
        <v>0</v>
      </c>
      <c r="KJ29" s="150"/>
      <c r="KK29" s="528"/>
      <c r="KL29" s="145"/>
      <c r="KM29" s="146"/>
      <c r="KN29" s="151" t="s">
        <v>20</v>
      </c>
      <c r="KO29" s="175">
        <v>0</v>
      </c>
      <c r="KP29" s="166"/>
      <c r="KQ29" s="140">
        <f t="shared" si="37"/>
        <v>0</v>
      </c>
      <c r="KR29" s="150"/>
      <c r="KS29" s="528"/>
      <c r="KT29" s="145"/>
      <c r="KU29" s="146"/>
      <c r="KV29" s="151" t="s">
        <v>20</v>
      </c>
      <c r="KW29" s="175">
        <v>0</v>
      </c>
      <c r="KX29" s="166"/>
      <c r="KY29" s="140">
        <f t="shared" si="38"/>
        <v>0</v>
      </c>
      <c r="KZ29" s="150"/>
      <c r="LA29" s="528"/>
      <c r="LB29" s="145"/>
      <c r="LC29" s="146"/>
      <c r="LD29" s="151" t="s">
        <v>20</v>
      </c>
      <c r="LE29" s="175">
        <v>0</v>
      </c>
      <c r="LF29" s="166"/>
      <c r="LG29" s="140">
        <f t="shared" si="39"/>
        <v>0</v>
      </c>
      <c r="LH29" s="150"/>
      <c r="LI29" s="528"/>
      <c r="LJ29" s="145"/>
      <c r="LK29" s="146"/>
      <c r="LL29" s="151" t="s">
        <v>20</v>
      </c>
      <c r="LM29" s="175">
        <v>0</v>
      </c>
      <c r="LN29" s="166"/>
      <c r="LO29" s="140">
        <f t="shared" si="40"/>
        <v>0</v>
      </c>
      <c r="LP29" s="150"/>
      <c r="LQ29" s="528"/>
      <c r="LR29" s="145"/>
      <c r="LS29" s="146"/>
      <c r="LT29" s="151" t="s">
        <v>20</v>
      </c>
      <c r="LU29" s="175"/>
      <c r="LV29" s="166"/>
      <c r="LW29" s="140">
        <f t="shared" si="41"/>
        <v>0</v>
      </c>
      <c r="LX29" s="150"/>
      <c r="LY29" s="528"/>
      <c r="LZ29" s="145"/>
      <c r="MA29" s="146"/>
      <c r="MB29" s="151" t="s">
        <v>20</v>
      </c>
      <c r="MC29" s="175"/>
      <c r="MD29" s="166"/>
      <c r="ME29" s="140">
        <f t="shared" si="42"/>
        <v>0</v>
      </c>
      <c r="MF29" s="150"/>
      <c r="MG29" s="528"/>
      <c r="MH29" s="145"/>
      <c r="MI29" s="146"/>
      <c r="MJ29" s="151" t="s">
        <v>20</v>
      </c>
      <c r="MK29" s="175"/>
      <c r="ML29" s="166"/>
      <c r="MM29" s="140">
        <f t="shared" si="43"/>
        <v>0</v>
      </c>
      <c r="MN29" s="150"/>
      <c r="MO29" s="528"/>
      <c r="MP29" s="145"/>
      <c r="MQ29" s="146"/>
      <c r="MR29" s="151" t="s">
        <v>20</v>
      </c>
      <c r="MS29" s="175"/>
      <c r="MT29" s="166"/>
      <c r="MU29" s="140">
        <f t="shared" si="44"/>
        <v>0</v>
      </c>
      <c r="MV29" s="150"/>
      <c r="MW29" s="528"/>
      <c r="MX29" s="686" t="s">
        <v>355</v>
      </c>
      <c r="MY29" s="687">
        <v>6</v>
      </c>
      <c r="MZ29" s="688" t="s">
        <v>14</v>
      </c>
      <c r="NA29" s="683">
        <v>34</v>
      </c>
      <c r="NB29" s="689"/>
      <c r="NC29" s="685">
        <f t="shared" si="110"/>
        <v>0</v>
      </c>
      <c r="ND29" s="685">
        <f t="shared" si="110"/>
        <v>0</v>
      </c>
      <c r="NE29" s="528"/>
      <c r="NF29" s="686" t="s">
        <v>355</v>
      </c>
      <c r="NG29" s="687">
        <v>15</v>
      </c>
      <c r="NH29" s="688" t="s">
        <v>14</v>
      </c>
      <c r="NI29" s="683">
        <v>129</v>
      </c>
      <c r="NJ29" s="689"/>
      <c r="NK29" s="685">
        <f t="shared" si="111"/>
        <v>0</v>
      </c>
      <c r="NL29" s="685">
        <f t="shared" si="111"/>
        <v>0</v>
      </c>
      <c r="NM29" s="528"/>
      <c r="NN29" s="686" t="s">
        <v>355</v>
      </c>
      <c r="NO29" s="687"/>
      <c r="NP29" s="688" t="s">
        <v>14</v>
      </c>
      <c r="NQ29" s="683">
        <v>256</v>
      </c>
      <c r="NR29" s="689"/>
      <c r="NS29" s="685">
        <f t="shared" si="91"/>
        <v>0</v>
      </c>
      <c r="NT29" s="685">
        <f t="shared" si="112"/>
        <v>0</v>
      </c>
      <c r="NU29" s="528"/>
      <c r="NV29" s="686" t="s">
        <v>355</v>
      </c>
      <c r="NW29" s="687">
        <v>10</v>
      </c>
      <c r="NX29" s="688" t="s">
        <v>14</v>
      </c>
      <c r="NY29" s="683">
        <v>42</v>
      </c>
      <c r="NZ29" s="689"/>
      <c r="OA29" s="685">
        <f t="shared" si="92"/>
        <v>0</v>
      </c>
      <c r="OB29" s="685">
        <f t="shared" si="113"/>
        <v>0</v>
      </c>
      <c r="OC29" s="528"/>
      <c r="OD29" s="686" t="s">
        <v>355</v>
      </c>
      <c r="OE29" s="687">
        <v>18</v>
      </c>
      <c r="OF29" s="688" t="s">
        <v>14</v>
      </c>
      <c r="OG29" s="683">
        <v>198</v>
      </c>
      <c r="OH29" s="689"/>
      <c r="OI29" s="685">
        <f t="shared" si="93"/>
        <v>0</v>
      </c>
      <c r="OJ29" s="685">
        <f t="shared" si="114"/>
        <v>0</v>
      </c>
      <c r="OK29" s="528"/>
      <c r="OL29" s="686" t="s">
        <v>355</v>
      </c>
      <c r="OM29" s="687">
        <v>26</v>
      </c>
      <c r="ON29" s="688" t="s">
        <v>14</v>
      </c>
      <c r="OO29" s="683">
        <v>199</v>
      </c>
      <c r="OP29" s="689"/>
      <c r="OQ29" s="685">
        <f t="shared" si="94"/>
        <v>0</v>
      </c>
      <c r="OR29" s="685">
        <f t="shared" si="115"/>
        <v>0</v>
      </c>
      <c r="OS29" s="528"/>
      <c r="OT29" s="686" t="s">
        <v>355</v>
      </c>
      <c r="OU29" s="687"/>
      <c r="OV29" s="688" t="s">
        <v>14</v>
      </c>
      <c r="OW29" s="683"/>
      <c r="OX29" s="689"/>
      <c r="OY29" s="685">
        <f t="shared" si="95"/>
        <v>0</v>
      </c>
      <c r="OZ29" s="685">
        <f t="shared" si="116"/>
        <v>0</v>
      </c>
      <c r="PA29" s="528"/>
      <c r="PB29" s="686" t="s">
        <v>355</v>
      </c>
      <c r="PC29" s="687"/>
      <c r="PD29" s="688" t="s">
        <v>14</v>
      </c>
      <c r="PE29" s="683"/>
      <c r="PF29" s="689"/>
      <c r="PG29" s="685">
        <f t="shared" si="96"/>
        <v>0</v>
      </c>
      <c r="PH29" s="685">
        <f t="shared" si="117"/>
        <v>0</v>
      </c>
      <c r="PI29" s="528"/>
      <c r="PJ29" s="686" t="s">
        <v>355</v>
      </c>
      <c r="PK29" s="687">
        <v>6</v>
      </c>
      <c r="PL29" s="688" t="s">
        <v>14</v>
      </c>
      <c r="PM29" s="683">
        <v>24</v>
      </c>
      <c r="PN29" s="689"/>
      <c r="PO29" s="685">
        <f t="shared" si="97"/>
        <v>0</v>
      </c>
      <c r="PP29" s="685">
        <f t="shared" si="118"/>
        <v>0</v>
      </c>
      <c r="PQ29" s="528"/>
      <c r="PR29" s="686" t="s">
        <v>355</v>
      </c>
      <c r="PS29" s="687">
        <v>3</v>
      </c>
      <c r="PT29" s="688" t="s">
        <v>14</v>
      </c>
      <c r="PU29" s="683">
        <v>83</v>
      </c>
      <c r="PV29" s="689"/>
      <c r="PW29" s="685">
        <f t="shared" si="98"/>
        <v>0</v>
      </c>
      <c r="PX29" s="685">
        <f t="shared" si="119"/>
        <v>0</v>
      </c>
      <c r="PY29" s="528"/>
      <c r="PZ29" s="686" t="s">
        <v>355</v>
      </c>
      <c r="QA29" s="687">
        <v>4</v>
      </c>
      <c r="QB29" s="688" t="s">
        <v>14</v>
      </c>
      <c r="QC29" s="683">
        <v>38</v>
      </c>
      <c r="QD29" s="689"/>
      <c r="QE29" s="685">
        <f t="shared" si="99"/>
        <v>0</v>
      </c>
      <c r="QF29" s="685">
        <f t="shared" si="120"/>
        <v>0</v>
      </c>
      <c r="QG29" s="528"/>
      <c r="QH29" s="686" t="s">
        <v>355</v>
      </c>
      <c r="QI29" s="687">
        <v>5</v>
      </c>
      <c r="QJ29" s="688" t="s">
        <v>14</v>
      </c>
      <c r="QK29" s="683">
        <v>17</v>
      </c>
      <c r="QL29" s="689"/>
      <c r="QM29" s="685">
        <f t="shared" si="100"/>
        <v>0</v>
      </c>
      <c r="QN29" s="685">
        <f t="shared" si="121"/>
        <v>0</v>
      </c>
      <c r="QO29" s="528"/>
      <c r="QP29" s="686" t="s">
        <v>355</v>
      </c>
      <c r="QQ29" s="687">
        <v>7</v>
      </c>
      <c r="QR29" s="688" t="s">
        <v>14</v>
      </c>
      <c r="QS29" s="683">
        <v>27</v>
      </c>
      <c r="QT29" s="689"/>
      <c r="QU29" s="685">
        <f t="shared" si="101"/>
        <v>0</v>
      </c>
      <c r="QV29" s="685">
        <f t="shared" si="122"/>
        <v>0</v>
      </c>
      <c r="QW29" s="528"/>
      <c r="QX29" s="686" t="s">
        <v>355</v>
      </c>
      <c r="QY29" s="687"/>
      <c r="QZ29" s="688" t="s">
        <v>14</v>
      </c>
      <c r="RA29" s="683"/>
      <c r="RB29" s="689"/>
      <c r="RC29" s="685">
        <f t="shared" si="102"/>
        <v>0</v>
      </c>
      <c r="RD29" s="685">
        <f t="shared" si="123"/>
        <v>0</v>
      </c>
      <c r="RE29" s="528"/>
      <c r="RF29" s="686" t="s">
        <v>355</v>
      </c>
      <c r="RG29" s="687"/>
      <c r="RH29" s="688" t="s">
        <v>14</v>
      </c>
      <c r="RI29" s="683"/>
      <c r="RJ29" s="689"/>
      <c r="RK29" s="685">
        <f t="shared" si="103"/>
        <v>0</v>
      </c>
      <c r="RL29" s="685">
        <f t="shared" si="124"/>
        <v>0</v>
      </c>
      <c r="RM29" s="528"/>
      <c r="RN29" s="686" t="s">
        <v>355</v>
      </c>
      <c r="RO29" s="687">
        <v>30</v>
      </c>
      <c r="RP29" s="688" t="s">
        <v>11</v>
      </c>
      <c r="RQ29" s="683">
        <v>204</v>
      </c>
      <c r="RR29" s="689"/>
      <c r="RS29" s="685">
        <f t="shared" si="104"/>
        <v>0</v>
      </c>
      <c r="RT29" s="685">
        <f t="shared" si="125"/>
        <v>0</v>
      </c>
      <c r="RU29" s="528"/>
      <c r="RV29" s="686" t="s">
        <v>355</v>
      </c>
      <c r="RW29" s="687">
        <v>14</v>
      </c>
      <c r="RX29" s="688" t="s">
        <v>14</v>
      </c>
      <c r="RY29" s="683">
        <v>93</v>
      </c>
      <c r="RZ29" s="689"/>
      <c r="SA29" s="685">
        <f t="shared" si="105"/>
        <v>0</v>
      </c>
      <c r="SB29" s="685">
        <f t="shared" si="126"/>
        <v>0</v>
      </c>
      <c r="SC29" s="528"/>
      <c r="SD29" s="686" t="s">
        <v>355</v>
      </c>
      <c r="SE29" s="687">
        <v>32</v>
      </c>
      <c r="SF29" s="688" t="s">
        <v>14</v>
      </c>
      <c r="SG29" s="683">
        <v>204</v>
      </c>
      <c r="SH29" s="689"/>
      <c r="SI29" s="685">
        <f t="shared" si="106"/>
        <v>0</v>
      </c>
      <c r="SJ29" s="685">
        <f t="shared" si="127"/>
        <v>0</v>
      </c>
      <c r="SK29" s="528"/>
      <c r="SL29" s="686" t="s">
        <v>355</v>
      </c>
      <c r="SM29" s="687">
        <v>18</v>
      </c>
      <c r="SN29" s="688" t="s">
        <v>14</v>
      </c>
      <c r="SO29" s="683">
        <v>223</v>
      </c>
      <c r="SP29" s="689"/>
      <c r="SQ29" s="685">
        <f t="shared" si="107"/>
        <v>0</v>
      </c>
      <c r="SR29" s="685">
        <f t="shared" si="128"/>
        <v>0</v>
      </c>
      <c r="SS29" s="528"/>
      <c r="ST29" s="686" t="s">
        <v>355</v>
      </c>
      <c r="SU29" s="687">
        <v>19</v>
      </c>
      <c r="SV29" s="688" t="s">
        <v>14</v>
      </c>
      <c r="SW29" s="683">
        <v>122</v>
      </c>
      <c r="SX29" s="689"/>
      <c r="SY29" s="685">
        <f t="shared" si="108"/>
        <v>0</v>
      </c>
      <c r="SZ29" s="685">
        <f t="shared" si="129"/>
        <v>0</v>
      </c>
      <c r="TA29" s="528"/>
      <c r="TB29" s="686" t="s">
        <v>355</v>
      </c>
      <c r="TC29" s="687">
        <v>24</v>
      </c>
      <c r="TD29" s="688" t="s">
        <v>14</v>
      </c>
      <c r="TE29" s="683">
        <v>144</v>
      </c>
      <c r="TF29" s="689"/>
      <c r="TG29" s="685">
        <f t="shared" si="109"/>
        <v>0</v>
      </c>
      <c r="TH29" s="685">
        <f t="shared" si="130"/>
        <v>0</v>
      </c>
      <c r="TI29" s="528"/>
    </row>
    <row r="30" spans="2:529">
      <c r="B30" s="145"/>
      <c r="C30" s="146"/>
      <c r="D30" s="157" t="s">
        <v>84</v>
      </c>
      <c r="E30" s="138">
        <v>0</v>
      </c>
      <c r="F30" s="166"/>
      <c r="G30" s="140">
        <f t="shared" si="0"/>
        <v>0</v>
      </c>
      <c r="H30" s="150"/>
      <c r="I30" s="528"/>
      <c r="J30" s="145"/>
      <c r="K30" s="146">
        <v>8</v>
      </c>
      <c r="L30" s="157" t="s">
        <v>84</v>
      </c>
      <c r="M30" s="138">
        <v>0</v>
      </c>
      <c r="N30" s="166"/>
      <c r="O30" s="140">
        <f t="shared" si="1"/>
        <v>0</v>
      </c>
      <c r="P30" s="150"/>
      <c r="Q30" s="528"/>
      <c r="R30" s="145"/>
      <c r="S30" s="146">
        <v>8</v>
      </c>
      <c r="T30" s="157" t="s">
        <v>84</v>
      </c>
      <c r="U30" s="138">
        <v>0</v>
      </c>
      <c r="V30" s="166"/>
      <c r="W30" s="140">
        <f t="shared" si="2"/>
        <v>0</v>
      </c>
      <c r="X30" s="150"/>
      <c r="Y30" s="528"/>
      <c r="Z30" s="145"/>
      <c r="AA30" s="146">
        <v>8</v>
      </c>
      <c r="AB30" s="157" t="s">
        <v>84</v>
      </c>
      <c r="AC30" s="138">
        <v>0</v>
      </c>
      <c r="AD30" s="166"/>
      <c r="AE30" s="140">
        <f t="shared" si="3"/>
        <v>0</v>
      </c>
      <c r="AF30" s="150"/>
      <c r="AG30" s="528"/>
      <c r="AH30" s="145"/>
      <c r="AI30" s="146">
        <v>8</v>
      </c>
      <c r="AJ30" s="157" t="s">
        <v>84</v>
      </c>
      <c r="AK30" s="138">
        <v>0</v>
      </c>
      <c r="AL30" s="166"/>
      <c r="AM30" s="140">
        <f t="shared" si="4"/>
        <v>0</v>
      </c>
      <c r="AN30" s="150"/>
      <c r="AO30" s="528"/>
      <c r="AP30" s="145"/>
      <c r="AQ30" s="146">
        <v>8</v>
      </c>
      <c r="AR30" s="157" t="s">
        <v>84</v>
      </c>
      <c r="AS30" s="138"/>
      <c r="AT30" s="166"/>
      <c r="AU30" s="140">
        <f t="shared" si="5"/>
        <v>0</v>
      </c>
      <c r="AV30" s="150"/>
      <c r="AW30" s="528"/>
      <c r="AX30" s="145"/>
      <c r="AY30" s="146">
        <v>8</v>
      </c>
      <c r="AZ30" s="157" t="s">
        <v>84</v>
      </c>
      <c r="BA30" s="138"/>
      <c r="BB30" s="166"/>
      <c r="BC30" s="140">
        <f t="shared" si="6"/>
        <v>0</v>
      </c>
      <c r="BD30" s="150"/>
      <c r="BE30" s="528"/>
      <c r="BF30" s="145"/>
      <c r="BG30" s="146">
        <v>8</v>
      </c>
      <c r="BH30" s="157" t="s">
        <v>84</v>
      </c>
      <c r="BI30" s="138">
        <v>0</v>
      </c>
      <c r="BJ30" s="166"/>
      <c r="BK30" s="140">
        <f t="shared" si="7"/>
        <v>0</v>
      </c>
      <c r="BL30" s="150"/>
      <c r="BM30" s="528"/>
      <c r="BN30" s="145"/>
      <c r="BO30" s="146">
        <v>8</v>
      </c>
      <c r="BP30" s="157" t="s">
        <v>84</v>
      </c>
      <c r="BQ30" s="138"/>
      <c r="BR30" s="166"/>
      <c r="BS30" s="140">
        <f t="shared" si="8"/>
        <v>0</v>
      </c>
      <c r="BT30" s="150"/>
      <c r="BU30" s="528"/>
      <c r="BV30" s="536"/>
      <c r="BW30" s="537"/>
      <c r="BX30" s="574" t="s">
        <v>84</v>
      </c>
      <c r="BY30" s="560"/>
      <c r="BZ30" s="581"/>
      <c r="CA30" s="562">
        <f t="shared" si="9"/>
        <v>0</v>
      </c>
      <c r="CB30" s="569"/>
      <c r="CC30" s="528"/>
      <c r="CD30" s="536"/>
      <c r="CE30" s="537"/>
      <c r="CF30" s="574" t="s">
        <v>84</v>
      </c>
      <c r="CG30" s="560"/>
      <c r="CH30" s="581"/>
      <c r="CI30" s="562">
        <f t="shared" si="10"/>
        <v>0</v>
      </c>
      <c r="CJ30" s="569"/>
      <c r="CK30" s="528"/>
      <c r="CL30" s="145"/>
      <c r="CM30" s="146">
        <v>8</v>
      </c>
      <c r="CN30" s="157" t="s">
        <v>84</v>
      </c>
      <c r="CO30" s="138"/>
      <c r="CP30" s="166"/>
      <c r="CQ30" s="140">
        <f t="shared" si="11"/>
        <v>0</v>
      </c>
      <c r="CR30" s="150"/>
      <c r="CS30" s="528"/>
      <c r="CT30" s="145"/>
      <c r="CU30" s="146">
        <v>8</v>
      </c>
      <c r="CV30" s="157" t="s">
        <v>84</v>
      </c>
      <c r="CW30" s="138"/>
      <c r="CX30" s="166"/>
      <c r="CY30" s="140">
        <f t="shared" si="12"/>
        <v>0</v>
      </c>
      <c r="CZ30" s="150"/>
      <c r="DA30" s="528"/>
      <c r="DB30" s="145"/>
      <c r="DC30" s="146"/>
      <c r="DD30" s="157" t="s">
        <v>84</v>
      </c>
      <c r="DE30" s="138">
        <v>0</v>
      </c>
      <c r="DF30" s="166"/>
      <c r="DG30" s="140">
        <f t="shared" si="13"/>
        <v>0</v>
      </c>
      <c r="DH30" s="150"/>
      <c r="DI30" s="528"/>
      <c r="DJ30" s="145"/>
      <c r="DK30" s="146"/>
      <c r="DL30" s="157" t="s">
        <v>84</v>
      </c>
      <c r="DM30" s="138">
        <v>0</v>
      </c>
      <c r="DN30" s="173"/>
      <c r="DO30" s="140">
        <f t="shared" si="14"/>
        <v>0</v>
      </c>
      <c r="DP30" s="150"/>
      <c r="DQ30" s="528"/>
      <c r="DR30" s="145"/>
      <c r="DS30" s="146"/>
      <c r="DT30" s="157" t="s">
        <v>84</v>
      </c>
      <c r="DU30" s="138"/>
      <c r="DV30" s="173"/>
      <c r="DW30" s="140">
        <f t="shared" si="15"/>
        <v>0</v>
      </c>
      <c r="DX30" s="150"/>
      <c r="DY30" s="528"/>
      <c r="DZ30" s="145"/>
      <c r="EA30" s="146"/>
      <c r="EB30" s="157" t="s">
        <v>84</v>
      </c>
      <c r="EC30" s="138"/>
      <c r="ED30" s="173"/>
      <c r="EE30" s="140">
        <f t="shared" si="16"/>
        <v>0</v>
      </c>
      <c r="EF30" s="150"/>
      <c r="EG30" s="528"/>
      <c r="EH30" s="145"/>
      <c r="EI30" s="146"/>
      <c r="EJ30" s="157" t="s">
        <v>84</v>
      </c>
      <c r="EK30" s="138"/>
      <c r="EL30" s="173"/>
      <c r="EM30" s="140">
        <f t="shared" si="17"/>
        <v>0</v>
      </c>
      <c r="EN30" s="150"/>
      <c r="EO30" s="528"/>
      <c r="EP30" s="145"/>
      <c r="EQ30" s="146"/>
      <c r="ER30" s="157" t="s">
        <v>84</v>
      </c>
      <c r="ES30" s="138"/>
      <c r="ET30" s="173"/>
      <c r="EU30" s="140">
        <f t="shared" si="18"/>
        <v>0</v>
      </c>
      <c r="EV30" s="150"/>
      <c r="EW30" s="528"/>
      <c r="EX30" s="145"/>
      <c r="EY30" s="146"/>
      <c r="EZ30" s="157" t="s">
        <v>84</v>
      </c>
      <c r="FA30" s="138"/>
      <c r="FB30" s="173"/>
      <c r="FC30" s="140">
        <f t="shared" si="19"/>
        <v>0</v>
      </c>
      <c r="FD30" s="150"/>
      <c r="FE30" s="528"/>
      <c r="FF30" s="145"/>
      <c r="FG30" s="146"/>
      <c r="FH30" s="157" t="s">
        <v>84</v>
      </c>
      <c r="FI30" s="138"/>
      <c r="FJ30" s="173"/>
      <c r="FK30" s="140">
        <f t="shared" si="20"/>
        <v>0</v>
      </c>
      <c r="FL30" s="150"/>
      <c r="FM30" s="528"/>
      <c r="FN30" s="145"/>
      <c r="FO30" s="146"/>
      <c r="FP30" s="157" t="s">
        <v>84</v>
      </c>
      <c r="FQ30" s="138"/>
      <c r="FR30" s="173"/>
      <c r="FS30" s="140">
        <f t="shared" si="21"/>
        <v>0</v>
      </c>
      <c r="FT30" s="150"/>
      <c r="FU30" s="528"/>
      <c r="FV30" s="145"/>
      <c r="FW30" s="146"/>
      <c r="FX30" s="157" t="s">
        <v>84</v>
      </c>
      <c r="FY30" s="138"/>
      <c r="FZ30" s="173"/>
      <c r="GA30" s="140">
        <f t="shared" si="22"/>
        <v>0</v>
      </c>
      <c r="GB30" s="150"/>
      <c r="GC30" s="528"/>
      <c r="GD30" s="145"/>
      <c r="GE30" s="146"/>
      <c r="GF30" s="157" t="s">
        <v>84</v>
      </c>
      <c r="GG30" s="138"/>
      <c r="GH30" s="173"/>
      <c r="GI30" s="140">
        <f t="shared" si="23"/>
        <v>0</v>
      </c>
      <c r="GJ30" s="150"/>
      <c r="GK30" s="528"/>
      <c r="GL30" s="145"/>
      <c r="GM30" s="146"/>
      <c r="GN30" s="157" t="s">
        <v>84</v>
      </c>
      <c r="GO30" s="175">
        <v>0</v>
      </c>
      <c r="GP30" s="166"/>
      <c r="GQ30" s="140">
        <f t="shared" si="24"/>
        <v>0</v>
      </c>
      <c r="GR30" s="150"/>
      <c r="GS30" s="528"/>
      <c r="GT30" s="145"/>
      <c r="GU30" s="146"/>
      <c r="GV30" s="157" t="s">
        <v>84</v>
      </c>
      <c r="GW30" s="175">
        <v>0</v>
      </c>
      <c r="GX30" s="166"/>
      <c r="GY30" s="140">
        <f t="shared" si="25"/>
        <v>0</v>
      </c>
      <c r="GZ30" s="150"/>
      <c r="HA30" s="528"/>
      <c r="HB30" s="145"/>
      <c r="HC30" s="146"/>
      <c r="HD30" s="157" t="s">
        <v>84</v>
      </c>
      <c r="HE30" s="175">
        <v>0</v>
      </c>
      <c r="HF30" s="166"/>
      <c r="HG30" s="140">
        <f t="shared" si="26"/>
        <v>0</v>
      </c>
      <c r="HH30" s="150"/>
      <c r="HI30" s="528"/>
      <c r="HJ30" s="145"/>
      <c r="HK30" s="146"/>
      <c r="HL30" s="157" t="s">
        <v>84</v>
      </c>
      <c r="HM30" s="175">
        <v>0</v>
      </c>
      <c r="HN30" s="166"/>
      <c r="HO30" s="140">
        <f t="shared" si="27"/>
        <v>0</v>
      </c>
      <c r="HP30" s="150"/>
      <c r="HQ30" s="528"/>
      <c r="HR30" s="145"/>
      <c r="HS30" s="146"/>
      <c r="HT30" s="157" t="s">
        <v>84</v>
      </c>
      <c r="HU30" s="175">
        <v>0</v>
      </c>
      <c r="HV30" s="166"/>
      <c r="HW30" s="140">
        <f t="shared" si="28"/>
        <v>0</v>
      </c>
      <c r="HX30" s="150"/>
      <c r="HY30" s="528"/>
      <c r="HZ30" s="145"/>
      <c r="IA30" s="146"/>
      <c r="IB30" s="157" t="s">
        <v>84</v>
      </c>
      <c r="IC30" s="175">
        <v>0</v>
      </c>
      <c r="ID30" s="166"/>
      <c r="IE30" s="140">
        <f t="shared" si="29"/>
        <v>0</v>
      </c>
      <c r="IF30" s="150"/>
      <c r="IG30" s="528"/>
      <c r="IH30" s="145"/>
      <c r="II30" s="146"/>
      <c r="IJ30" s="157" t="s">
        <v>84</v>
      </c>
      <c r="IK30" s="175">
        <v>0</v>
      </c>
      <c r="IL30" s="166"/>
      <c r="IM30" s="140">
        <f t="shared" si="30"/>
        <v>0</v>
      </c>
      <c r="IN30" s="150"/>
      <c r="IO30" s="528"/>
      <c r="IP30" s="145"/>
      <c r="IQ30" s="146"/>
      <c r="IR30" s="157" t="s">
        <v>84</v>
      </c>
      <c r="IS30" s="175">
        <v>0</v>
      </c>
      <c r="IT30" s="166"/>
      <c r="IU30" s="140">
        <f t="shared" si="31"/>
        <v>0</v>
      </c>
      <c r="IV30" s="150"/>
      <c r="IW30" s="528"/>
      <c r="IX30" s="145"/>
      <c r="IY30" s="146"/>
      <c r="IZ30" s="157" t="s">
        <v>84</v>
      </c>
      <c r="JA30" s="175">
        <v>0</v>
      </c>
      <c r="JB30" s="166"/>
      <c r="JC30" s="140">
        <f t="shared" si="32"/>
        <v>0</v>
      </c>
      <c r="JD30" s="150"/>
      <c r="JE30" s="528"/>
      <c r="JF30" s="145"/>
      <c r="JG30" s="146"/>
      <c r="JH30" s="157" t="s">
        <v>84</v>
      </c>
      <c r="JI30" s="175">
        <v>0</v>
      </c>
      <c r="JJ30" s="166"/>
      <c r="JK30" s="140">
        <f t="shared" si="33"/>
        <v>0</v>
      </c>
      <c r="JL30" s="150"/>
      <c r="JM30" s="528"/>
      <c r="JN30" s="145"/>
      <c r="JO30" s="146"/>
      <c r="JP30" s="157" t="s">
        <v>84</v>
      </c>
      <c r="JQ30" s="175">
        <v>0</v>
      </c>
      <c r="JR30" s="166"/>
      <c r="JS30" s="140">
        <f t="shared" si="34"/>
        <v>0</v>
      </c>
      <c r="JT30" s="150"/>
      <c r="JU30" s="528"/>
      <c r="JV30" s="145"/>
      <c r="JW30" s="146"/>
      <c r="JX30" s="157" t="s">
        <v>84</v>
      </c>
      <c r="JY30" s="175">
        <v>0</v>
      </c>
      <c r="JZ30" s="166"/>
      <c r="KA30" s="140">
        <f t="shared" si="35"/>
        <v>0</v>
      </c>
      <c r="KB30" s="150"/>
      <c r="KC30" s="528"/>
      <c r="KD30" s="145"/>
      <c r="KE30" s="146"/>
      <c r="KF30" s="157" t="s">
        <v>84</v>
      </c>
      <c r="KG30" s="175">
        <v>0</v>
      </c>
      <c r="KH30" s="166"/>
      <c r="KI30" s="140">
        <f t="shared" si="36"/>
        <v>0</v>
      </c>
      <c r="KJ30" s="150"/>
      <c r="KK30" s="528"/>
      <c r="KL30" s="145"/>
      <c r="KM30" s="146"/>
      <c r="KN30" s="157" t="s">
        <v>84</v>
      </c>
      <c r="KO30" s="175">
        <v>0</v>
      </c>
      <c r="KP30" s="166"/>
      <c r="KQ30" s="140">
        <f t="shared" si="37"/>
        <v>0</v>
      </c>
      <c r="KR30" s="150"/>
      <c r="KS30" s="528"/>
      <c r="KT30" s="145"/>
      <c r="KU30" s="146"/>
      <c r="KV30" s="157" t="s">
        <v>84</v>
      </c>
      <c r="KW30" s="175">
        <v>0</v>
      </c>
      <c r="KX30" s="166"/>
      <c r="KY30" s="140">
        <f t="shared" si="38"/>
        <v>0</v>
      </c>
      <c r="KZ30" s="150"/>
      <c r="LA30" s="528"/>
      <c r="LB30" s="145"/>
      <c r="LC30" s="146"/>
      <c r="LD30" s="157" t="s">
        <v>84</v>
      </c>
      <c r="LE30" s="175">
        <v>0</v>
      </c>
      <c r="LF30" s="166"/>
      <c r="LG30" s="140">
        <f t="shared" si="39"/>
        <v>0</v>
      </c>
      <c r="LH30" s="150"/>
      <c r="LI30" s="528"/>
      <c r="LJ30" s="145"/>
      <c r="LK30" s="146"/>
      <c r="LL30" s="157" t="s">
        <v>84</v>
      </c>
      <c r="LM30" s="175">
        <v>0</v>
      </c>
      <c r="LN30" s="166"/>
      <c r="LO30" s="140">
        <f t="shared" si="40"/>
        <v>0</v>
      </c>
      <c r="LP30" s="150"/>
      <c r="LQ30" s="528"/>
      <c r="LR30" s="145"/>
      <c r="LS30" s="146"/>
      <c r="LT30" s="157" t="s">
        <v>84</v>
      </c>
      <c r="LU30" s="175"/>
      <c r="LV30" s="166"/>
      <c r="LW30" s="140">
        <f t="shared" si="41"/>
        <v>0</v>
      </c>
      <c r="LX30" s="150"/>
      <c r="LY30" s="528"/>
      <c r="LZ30" s="145"/>
      <c r="MA30" s="146"/>
      <c r="MB30" s="157" t="s">
        <v>84</v>
      </c>
      <c r="MC30" s="175"/>
      <c r="MD30" s="166"/>
      <c r="ME30" s="140">
        <f t="shared" si="42"/>
        <v>0</v>
      </c>
      <c r="MF30" s="150"/>
      <c r="MG30" s="528"/>
      <c r="MH30" s="145"/>
      <c r="MI30" s="146"/>
      <c r="MJ30" s="157" t="s">
        <v>84</v>
      </c>
      <c r="MK30" s="175"/>
      <c r="ML30" s="166"/>
      <c r="MM30" s="140">
        <f t="shared" si="43"/>
        <v>0</v>
      </c>
      <c r="MN30" s="150"/>
      <c r="MO30" s="528"/>
      <c r="MP30" s="145"/>
      <c r="MQ30" s="146"/>
      <c r="MR30" s="157" t="s">
        <v>84</v>
      </c>
      <c r="MS30" s="175"/>
      <c r="MT30" s="166"/>
      <c r="MU30" s="140">
        <f t="shared" si="44"/>
        <v>0</v>
      </c>
      <c r="MV30" s="150"/>
      <c r="MW30" s="528"/>
      <c r="MX30" s="686" t="s">
        <v>356</v>
      </c>
      <c r="MY30" s="687"/>
      <c r="MZ30" s="690" t="s">
        <v>14</v>
      </c>
      <c r="NA30" s="683"/>
      <c r="NB30" s="689"/>
      <c r="NC30" s="685">
        <f t="shared" si="110"/>
        <v>0</v>
      </c>
      <c r="ND30" s="685">
        <f t="shared" si="110"/>
        <v>0</v>
      </c>
      <c r="NE30" s="528"/>
      <c r="NF30" s="686" t="s">
        <v>356</v>
      </c>
      <c r="NG30" s="687"/>
      <c r="NH30" s="690" t="s">
        <v>14</v>
      </c>
      <c r="NI30" s="683"/>
      <c r="NJ30" s="689"/>
      <c r="NK30" s="685">
        <f t="shared" si="111"/>
        <v>0</v>
      </c>
      <c r="NL30" s="685">
        <f t="shared" si="111"/>
        <v>0</v>
      </c>
      <c r="NM30" s="528"/>
      <c r="NN30" s="686" t="s">
        <v>356</v>
      </c>
      <c r="NO30" s="687"/>
      <c r="NP30" s="690" t="s">
        <v>14</v>
      </c>
      <c r="NQ30" s="683"/>
      <c r="NR30" s="689"/>
      <c r="NS30" s="685">
        <f t="shared" si="91"/>
        <v>0</v>
      </c>
      <c r="NT30" s="685">
        <f t="shared" si="112"/>
        <v>0</v>
      </c>
      <c r="NU30" s="528"/>
      <c r="NV30" s="686" t="s">
        <v>356</v>
      </c>
      <c r="NW30" s="687"/>
      <c r="NX30" s="690" t="s">
        <v>14</v>
      </c>
      <c r="NY30" s="683"/>
      <c r="NZ30" s="689"/>
      <c r="OA30" s="685">
        <f t="shared" si="92"/>
        <v>0</v>
      </c>
      <c r="OB30" s="685">
        <f t="shared" si="113"/>
        <v>0</v>
      </c>
      <c r="OC30" s="528"/>
      <c r="OD30" s="686" t="s">
        <v>356</v>
      </c>
      <c r="OE30" s="687">
        <v>1</v>
      </c>
      <c r="OF30" s="690" t="s">
        <v>14</v>
      </c>
      <c r="OG30" s="683">
        <v>4</v>
      </c>
      <c r="OH30" s="689"/>
      <c r="OI30" s="685">
        <f t="shared" si="93"/>
        <v>0</v>
      </c>
      <c r="OJ30" s="685">
        <f t="shared" si="114"/>
        <v>0</v>
      </c>
      <c r="OK30" s="528"/>
      <c r="OL30" s="686" t="s">
        <v>356</v>
      </c>
      <c r="OM30" s="687">
        <v>1</v>
      </c>
      <c r="ON30" s="690" t="s">
        <v>14</v>
      </c>
      <c r="OO30" s="683">
        <v>4</v>
      </c>
      <c r="OP30" s="689"/>
      <c r="OQ30" s="685">
        <f t="shared" si="94"/>
        <v>0</v>
      </c>
      <c r="OR30" s="685">
        <f t="shared" si="115"/>
        <v>0</v>
      </c>
      <c r="OS30" s="528"/>
      <c r="OT30" s="686" t="s">
        <v>356</v>
      </c>
      <c r="OU30" s="687"/>
      <c r="OV30" s="690" t="s">
        <v>14</v>
      </c>
      <c r="OW30" s="683"/>
      <c r="OX30" s="689"/>
      <c r="OY30" s="685">
        <f t="shared" si="95"/>
        <v>0</v>
      </c>
      <c r="OZ30" s="685">
        <f t="shared" si="116"/>
        <v>0</v>
      </c>
      <c r="PA30" s="528"/>
      <c r="PB30" s="686" t="s">
        <v>356</v>
      </c>
      <c r="PC30" s="687"/>
      <c r="PD30" s="690" t="s">
        <v>14</v>
      </c>
      <c r="PE30" s="683"/>
      <c r="PF30" s="689"/>
      <c r="PG30" s="685">
        <f t="shared" si="96"/>
        <v>0</v>
      </c>
      <c r="PH30" s="685">
        <f t="shared" si="117"/>
        <v>0</v>
      </c>
      <c r="PI30" s="528"/>
      <c r="PJ30" s="686" t="s">
        <v>356</v>
      </c>
      <c r="PK30" s="687"/>
      <c r="PL30" s="690" t="s">
        <v>14</v>
      </c>
      <c r="PM30" s="683"/>
      <c r="PN30" s="689"/>
      <c r="PO30" s="685">
        <f t="shared" si="97"/>
        <v>0</v>
      </c>
      <c r="PP30" s="685">
        <f t="shared" si="118"/>
        <v>0</v>
      </c>
      <c r="PQ30" s="528"/>
      <c r="PR30" s="686" t="s">
        <v>356</v>
      </c>
      <c r="PS30" s="687"/>
      <c r="PT30" s="690" t="s">
        <v>14</v>
      </c>
      <c r="PU30" s="683"/>
      <c r="PV30" s="689"/>
      <c r="PW30" s="685">
        <f t="shared" si="98"/>
        <v>0</v>
      </c>
      <c r="PX30" s="685">
        <f t="shared" si="119"/>
        <v>0</v>
      </c>
      <c r="PY30" s="528"/>
      <c r="PZ30" s="686" t="s">
        <v>356</v>
      </c>
      <c r="QA30" s="687"/>
      <c r="QB30" s="690" t="s">
        <v>14</v>
      </c>
      <c r="QC30" s="683"/>
      <c r="QD30" s="689"/>
      <c r="QE30" s="685">
        <f t="shared" si="99"/>
        <v>0</v>
      </c>
      <c r="QF30" s="685">
        <f t="shared" si="120"/>
        <v>0</v>
      </c>
      <c r="QG30" s="528"/>
      <c r="QH30" s="686" t="s">
        <v>356</v>
      </c>
      <c r="QI30" s="687">
        <v>1</v>
      </c>
      <c r="QJ30" s="690" t="s">
        <v>14</v>
      </c>
      <c r="QK30" s="683">
        <v>7</v>
      </c>
      <c r="QL30" s="689"/>
      <c r="QM30" s="685">
        <f t="shared" si="100"/>
        <v>0</v>
      </c>
      <c r="QN30" s="685">
        <f t="shared" si="121"/>
        <v>0</v>
      </c>
      <c r="QO30" s="528"/>
      <c r="QP30" s="686" t="s">
        <v>356</v>
      </c>
      <c r="QQ30" s="687">
        <v>1</v>
      </c>
      <c r="QR30" s="690" t="s">
        <v>14</v>
      </c>
      <c r="QS30" s="683">
        <v>8</v>
      </c>
      <c r="QT30" s="689"/>
      <c r="QU30" s="685">
        <f t="shared" si="101"/>
        <v>0</v>
      </c>
      <c r="QV30" s="685">
        <f t="shared" si="122"/>
        <v>0</v>
      </c>
      <c r="QW30" s="528"/>
      <c r="QX30" s="686" t="s">
        <v>356</v>
      </c>
      <c r="QY30" s="687"/>
      <c r="QZ30" s="690" t="s">
        <v>14</v>
      </c>
      <c r="RA30" s="683"/>
      <c r="RB30" s="689"/>
      <c r="RC30" s="685">
        <f t="shared" si="102"/>
        <v>0</v>
      </c>
      <c r="RD30" s="685">
        <f t="shared" si="123"/>
        <v>0</v>
      </c>
      <c r="RE30" s="528"/>
      <c r="RF30" s="686" t="s">
        <v>356</v>
      </c>
      <c r="RG30" s="687"/>
      <c r="RH30" s="690" t="s">
        <v>14</v>
      </c>
      <c r="RI30" s="683"/>
      <c r="RJ30" s="689"/>
      <c r="RK30" s="685">
        <f t="shared" si="103"/>
        <v>0</v>
      </c>
      <c r="RL30" s="685">
        <f t="shared" si="124"/>
        <v>0</v>
      </c>
      <c r="RM30" s="528"/>
      <c r="RN30" s="686" t="s">
        <v>356</v>
      </c>
      <c r="RO30" s="687">
        <v>1</v>
      </c>
      <c r="RP30" s="690" t="s">
        <v>14</v>
      </c>
      <c r="RQ30" s="683">
        <v>14</v>
      </c>
      <c r="RR30" s="689"/>
      <c r="RS30" s="685">
        <f t="shared" si="104"/>
        <v>0</v>
      </c>
      <c r="RT30" s="685">
        <f t="shared" si="125"/>
        <v>0</v>
      </c>
      <c r="RU30" s="528"/>
      <c r="RV30" s="686" t="s">
        <v>356</v>
      </c>
      <c r="RW30" s="687"/>
      <c r="RX30" s="690" t="s">
        <v>14</v>
      </c>
      <c r="RY30" s="683"/>
      <c r="RZ30" s="689"/>
      <c r="SA30" s="685">
        <f t="shared" si="105"/>
        <v>0</v>
      </c>
      <c r="SB30" s="685">
        <f t="shared" si="126"/>
        <v>0</v>
      </c>
      <c r="SC30" s="528"/>
      <c r="SD30" s="686" t="s">
        <v>356</v>
      </c>
      <c r="SE30" s="687">
        <v>10</v>
      </c>
      <c r="SF30" s="690" t="s">
        <v>14</v>
      </c>
      <c r="SG30" s="683">
        <v>520</v>
      </c>
      <c r="SH30" s="689"/>
      <c r="SI30" s="685">
        <f t="shared" si="106"/>
        <v>0</v>
      </c>
      <c r="SJ30" s="685">
        <f t="shared" si="127"/>
        <v>0</v>
      </c>
      <c r="SK30" s="528"/>
      <c r="SL30" s="686" t="s">
        <v>356</v>
      </c>
      <c r="SM30" s="687">
        <v>21</v>
      </c>
      <c r="SN30" s="690" t="s">
        <v>14</v>
      </c>
      <c r="SO30" s="683">
        <v>654</v>
      </c>
      <c r="SP30" s="689"/>
      <c r="SQ30" s="685">
        <f t="shared" si="107"/>
        <v>0</v>
      </c>
      <c r="SR30" s="685">
        <f t="shared" si="128"/>
        <v>0</v>
      </c>
      <c r="SS30" s="528"/>
      <c r="ST30" s="686" t="s">
        <v>356</v>
      </c>
      <c r="SU30" s="687">
        <v>12</v>
      </c>
      <c r="SV30" s="690" t="s">
        <v>14</v>
      </c>
      <c r="SW30" s="683">
        <v>413</v>
      </c>
      <c r="SX30" s="689"/>
      <c r="SY30" s="685">
        <f t="shared" si="108"/>
        <v>0</v>
      </c>
      <c r="SZ30" s="685">
        <f t="shared" si="129"/>
        <v>0</v>
      </c>
      <c r="TA30" s="528"/>
      <c r="TB30" s="686" t="s">
        <v>356</v>
      </c>
      <c r="TC30" s="687">
        <v>2</v>
      </c>
      <c r="TD30" s="690" t="s">
        <v>14</v>
      </c>
      <c r="TE30" s="683">
        <v>45</v>
      </c>
      <c r="TF30" s="689"/>
      <c r="TG30" s="685">
        <f t="shared" si="109"/>
        <v>0</v>
      </c>
      <c r="TH30" s="685">
        <f t="shared" si="130"/>
        <v>0</v>
      </c>
      <c r="TI30" s="528"/>
    </row>
    <row r="31" spans="2:529">
      <c r="B31" s="145"/>
      <c r="C31" s="146"/>
      <c r="D31" s="167" t="s">
        <v>85</v>
      </c>
      <c r="E31" s="138"/>
      <c r="F31" s="139"/>
      <c r="G31" s="140">
        <f t="shared" si="0"/>
        <v>0</v>
      </c>
      <c r="H31" s="159">
        <f>SUM(G28:G31)</f>
        <v>437.90717948717952</v>
      </c>
      <c r="I31" s="528"/>
      <c r="J31" s="145"/>
      <c r="K31" s="174">
        <v>12</v>
      </c>
      <c r="L31" s="167" t="s">
        <v>85</v>
      </c>
      <c r="M31" s="138">
        <v>0</v>
      </c>
      <c r="N31" s="139"/>
      <c r="O31" s="140">
        <f t="shared" si="1"/>
        <v>0</v>
      </c>
      <c r="P31" s="159">
        <f>SUM(O28:O31)</f>
        <v>0</v>
      </c>
      <c r="Q31" s="528"/>
      <c r="R31" s="145"/>
      <c r="S31" s="174">
        <v>12</v>
      </c>
      <c r="T31" s="167" t="s">
        <v>85</v>
      </c>
      <c r="U31" s="138">
        <v>0</v>
      </c>
      <c r="V31" s="139"/>
      <c r="W31" s="140">
        <f t="shared" si="2"/>
        <v>0</v>
      </c>
      <c r="X31" s="159">
        <f>SUM(W28:W31)</f>
        <v>64.657435897435903</v>
      </c>
      <c r="Y31" s="528"/>
      <c r="Z31" s="145"/>
      <c r="AA31" s="174">
        <v>12</v>
      </c>
      <c r="AB31" s="167" t="s">
        <v>85</v>
      </c>
      <c r="AC31" s="138">
        <v>0</v>
      </c>
      <c r="AD31" s="139"/>
      <c r="AE31" s="140">
        <f t="shared" si="3"/>
        <v>0</v>
      </c>
      <c r="AF31" s="159">
        <f>SUM(AE28:AE31)</f>
        <v>0</v>
      </c>
      <c r="AG31" s="528"/>
      <c r="AH31" s="145"/>
      <c r="AI31" s="174">
        <v>12</v>
      </c>
      <c r="AJ31" s="167" t="s">
        <v>85</v>
      </c>
      <c r="AK31" s="138">
        <v>0</v>
      </c>
      <c r="AL31" s="139"/>
      <c r="AM31" s="140">
        <f t="shared" si="4"/>
        <v>0</v>
      </c>
      <c r="AN31" s="159">
        <f>SUM(AM28:AM31)</f>
        <v>32.328717948717951</v>
      </c>
      <c r="AO31" s="528"/>
      <c r="AP31" s="145"/>
      <c r="AQ31" s="174">
        <v>12</v>
      </c>
      <c r="AR31" s="167" t="s">
        <v>85</v>
      </c>
      <c r="AS31" s="138"/>
      <c r="AT31" s="139"/>
      <c r="AU31" s="140">
        <f t="shared" si="5"/>
        <v>0</v>
      </c>
      <c r="AV31" s="159">
        <f>SUM(AU28:AU31)</f>
        <v>0</v>
      </c>
      <c r="AW31" s="528"/>
      <c r="AX31" s="145"/>
      <c r="AY31" s="174">
        <v>12</v>
      </c>
      <c r="AZ31" s="167" t="s">
        <v>85</v>
      </c>
      <c r="BA31" s="138"/>
      <c r="BB31" s="139"/>
      <c r="BC31" s="140">
        <f t="shared" si="6"/>
        <v>0</v>
      </c>
      <c r="BD31" s="159">
        <f>SUM(BC28:BC31)</f>
        <v>452.60205128205132</v>
      </c>
      <c r="BE31" s="528"/>
      <c r="BF31" s="145"/>
      <c r="BG31" s="174">
        <v>12</v>
      </c>
      <c r="BH31" s="167" t="s">
        <v>85</v>
      </c>
      <c r="BI31" s="138"/>
      <c r="BJ31" s="139"/>
      <c r="BK31" s="140">
        <f t="shared" si="7"/>
        <v>0</v>
      </c>
      <c r="BL31" s="159">
        <f>SUM(BK28:BK31)</f>
        <v>2166.0241025641026</v>
      </c>
      <c r="BM31" s="528"/>
      <c r="BN31" s="145"/>
      <c r="BO31" s="174">
        <v>12</v>
      </c>
      <c r="BP31" s="167" t="s">
        <v>85</v>
      </c>
      <c r="BQ31" s="138">
        <v>0</v>
      </c>
      <c r="BR31" s="139"/>
      <c r="BS31" s="140">
        <f t="shared" si="8"/>
        <v>0</v>
      </c>
      <c r="BT31" s="159">
        <f>SUM(BS28:BS31)</f>
        <v>193.97230769230771</v>
      </c>
      <c r="BU31" s="528"/>
      <c r="BV31" s="536"/>
      <c r="BW31" s="582"/>
      <c r="BX31" s="545" t="s">
        <v>85</v>
      </c>
      <c r="BY31" s="560"/>
      <c r="BZ31" s="561"/>
      <c r="CA31" s="562">
        <f t="shared" si="9"/>
        <v>0</v>
      </c>
      <c r="CB31" s="575">
        <f>SUM(CA28:CA31)</f>
        <v>0</v>
      </c>
      <c r="CC31" s="528"/>
      <c r="CD31" s="536"/>
      <c r="CE31" s="582"/>
      <c r="CF31" s="545" t="s">
        <v>85</v>
      </c>
      <c r="CG31" s="560"/>
      <c r="CH31" s="561"/>
      <c r="CI31" s="562">
        <f t="shared" si="10"/>
        <v>0</v>
      </c>
      <c r="CJ31" s="575">
        <f>SUM(CI28:CI31)</f>
        <v>0</v>
      </c>
      <c r="CK31" s="528"/>
      <c r="CL31" s="145"/>
      <c r="CM31" s="174">
        <v>12</v>
      </c>
      <c r="CN31" s="167" t="s">
        <v>85</v>
      </c>
      <c r="CO31" s="138"/>
      <c r="CP31" s="139"/>
      <c r="CQ31" s="140">
        <f t="shared" si="11"/>
        <v>0</v>
      </c>
      <c r="CR31" s="159">
        <f>SUM(CQ28:CQ31)</f>
        <v>411.45641025641027</v>
      </c>
      <c r="CS31" s="528"/>
      <c r="CT31" s="145"/>
      <c r="CU31" s="174">
        <v>12</v>
      </c>
      <c r="CV31" s="167" t="s">
        <v>85</v>
      </c>
      <c r="CW31" s="138"/>
      <c r="CX31" s="139"/>
      <c r="CY31" s="140">
        <f t="shared" si="12"/>
        <v>0</v>
      </c>
      <c r="CZ31" s="159">
        <f>SUM(CY28:CY31)</f>
        <v>2166.0241025641026</v>
      </c>
      <c r="DA31" s="528"/>
      <c r="DB31" s="145"/>
      <c r="DC31" s="174"/>
      <c r="DD31" s="167" t="s">
        <v>85</v>
      </c>
      <c r="DE31" s="138">
        <v>0</v>
      </c>
      <c r="DF31" s="139"/>
      <c r="DG31" s="140">
        <f t="shared" si="13"/>
        <v>0</v>
      </c>
      <c r="DH31" s="159">
        <f>SUM(DG28:DG31)</f>
        <v>0</v>
      </c>
      <c r="DI31" s="528"/>
      <c r="DJ31" s="145"/>
      <c r="DK31" s="174"/>
      <c r="DL31" s="167" t="s">
        <v>85</v>
      </c>
      <c r="DM31" s="138">
        <v>0</v>
      </c>
      <c r="DN31" s="170"/>
      <c r="DO31" s="140">
        <f t="shared" si="14"/>
        <v>0</v>
      </c>
      <c r="DP31" s="159">
        <f>SUM(DO28:DO31)</f>
        <v>0</v>
      </c>
      <c r="DQ31" s="528"/>
      <c r="DR31" s="145"/>
      <c r="DS31" s="174"/>
      <c r="DT31" s="167" t="s">
        <v>85</v>
      </c>
      <c r="DU31" s="138"/>
      <c r="DV31" s="170"/>
      <c r="DW31" s="140">
        <f t="shared" si="15"/>
        <v>0</v>
      </c>
      <c r="DX31" s="159">
        <f>SUM(DW28:DW31)</f>
        <v>0</v>
      </c>
      <c r="DY31" s="528"/>
      <c r="DZ31" s="145"/>
      <c r="EA31" s="174"/>
      <c r="EB31" s="167" t="s">
        <v>85</v>
      </c>
      <c r="EC31" s="138"/>
      <c r="ED31" s="170"/>
      <c r="EE31" s="140">
        <f t="shared" si="16"/>
        <v>0</v>
      </c>
      <c r="EF31" s="159">
        <f>SUM(EE28:EE31)</f>
        <v>0</v>
      </c>
      <c r="EG31" s="528"/>
      <c r="EH31" s="145"/>
      <c r="EI31" s="174"/>
      <c r="EJ31" s="167" t="s">
        <v>85</v>
      </c>
      <c r="EK31" s="138"/>
      <c r="EL31" s="170"/>
      <c r="EM31" s="140">
        <f t="shared" si="17"/>
        <v>0</v>
      </c>
      <c r="EN31" s="159">
        <f>SUM(EM28:EM31)</f>
        <v>148.41820512820513</v>
      </c>
      <c r="EO31" s="528"/>
      <c r="EP31" s="145"/>
      <c r="EQ31" s="174"/>
      <c r="ER31" s="167" t="s">
        <v>85</v>
      </c>
      <c r="ES31" s="138"/>
      <c r="ET31" s="170"/>
      <c r="EU31" s="140">
        <f t="shared" si="18"/>
        <v>0</v>
      </c>
      <c r="EV31" s="159">
        <f>SUM(EU28:EU31)</f>
        <v>229.24</v>
      </c>
      <c r="EW31" s="528"/>
      <c r="EX31" s="145"/>
      <c r="EY31" s="174"/>
      <c r="EZ31" s="167" t="s">
        <v>85</v>
      </c>
      <c r="FA31" s="138"/>
      <c r="FB31" s="170"/>
      <c r="FC31" s="140">
        <f t="shared" si="19"/>
        <v>0</v>
      </c>
      <c r="FD31" s="159">
        <f>SUM(FC28:FC31)</f>
        <v>0</v>
      </c>
      <c r="FE31" s="528"/>
      <c r="FF31" s="145"/>
      <c r="FG31" s="174"/>
      <c r="FH31" s="167" t="s">
        <v>85</v>
      </c>
      <c r="FI31" s="138"/>
      <c r="FJ31" s="170"/>
      <c r="FK31" s="140">
        <f t="shared" si="20"/>
        <v>0</v>
      </c>
      <c r="FL31" s="159">
        <f>SUM(FK28:FK31)</f>
        <v>0</v>
      </c>
      <c r="FM31" s="528"/>
      <c r="FN31" s="145"/>
      <c r="FO31" s="174"/>
      <c r="FP31" s="167" t="s">
        <v>85</v>
      </c>
      <c r="FQ31" s="138"/>
      <c r="FR31" s="170"/>
      <c r="FS31" s="140">
        <f t="shared" si="21"/>
        <v>0</v>
      </c>
      <c r="FT31" s="159">
        <f>SUM(FS28:FS31)</f>
        <v>0</v>
      </c>
      <c r="FU31" s="528"/>
      <c r="FV31" s="145"/>
      <c r="FW31" s="174"/>
      <c r="FX31" s="167" t="s">
        <v>85</v>
      </c>
      <c r="FY31" s="138"/>
      <c r="FZ31" s="170"/>
      <c r="GA31" s="140">
        <f t="shared" si="22"/>
        <v>0</v>
      </c>
      <c r="GB31" s="159">
        <f>SUM(GA28:GA31)</f>
        <v>0</v>
      </c>
      <c r="GC31" s="528"/>
      <c r="GD31" s="145"/>
      <c r="GE31" s="174"/>
      <c r="GF31" s="167" t="s">
        <v>85</v>
      </c>
      <c r="GG31" s="138"/>
      <c r="GH31" s="170"/>
      <c r="GI31" s="140">
        <f t="shared" si="23"/>
        <v>0</v>
      </c>
      <c r="GJ31" s="159">
        <f>SUM(GI28:GI31)</f>
        <v>0</v>
      </c>
      <c r="GK31" s="528"/>
      <c r="GL31" s="145"/>
      <c r="GM31" s="146"/>
      <c r="GN31" s="167" t="s">
        <v>85</v>
      </c>
      <c r="GO31" s="175">
        <v>0</v>
      </c>
      <c r="GP31" s="139"/>
      <c r="GQ31" s="140">
        <f t="shared" si="24"/>
        <v>0</v>
      </c>
      <c r="GR31" s="159">
        <f>SUM(GQ28:GQ31)</f>
        <v>317.40923076923076</v>
      </c>
      <c r="GS31" s="528"/>
      <c r="GT31" s="145"/>
      <c r="GU31" s="146"/>
      <c r="GV31" s="167" t="s">
        <v>85</v>
      </c>
      <c r="GW31" s="175">
        <v>0</v>
      </c>
      <c r="GX31" s="139"/>
      <c r="GY31" s="140">
        <f t="shared" si="25"/>
        <v>0</v>
      </c>
      <c r="GZ31" s="159">
        <f>SUM(GY28:GY31)</f>
        <v>0</v>
      </c>
      <c r="HA31" s="528"/>
      <c r="HB31" s="145"/>
      <c r="HC31" s="146"/>
      <c r="HD31" s="167" t="s">
        <v>85</v>
      </c>
      <c r="HE31" s="175">
        <v>0</v>
      </c>
      <c r="HF31" s="139"/>
      <c r="HG31" s="140">
        <f t="shared" si="26"/>
        <v>0</v>
      </c>
      <c r="HH31" s="159">
        <f>SUM(HG28:HG31)</f>
        <v>0</v>
      </c>
      <c r="HI31" s="528"/>
      <c r="HJ31" s="145"/>
      <c r="HK31" s="146"/>
      <c r="HL31" s="167" t="s">
        <v>85</v>
      </c>
      <c r="HM31" s="175">
        <v>0</v>
      </c>
      <c r="HN31" s="139"/>
      <c r="HO31" s="140">
        <f t="shared" si="27"/>
        <v>0</v>
      </c>
      <c r="HP31" s="159">
        <f>SUM(HO28:HO31)</f>
        <v>0</v>
      </c>
      <c r="HQ31" s="528"/>
      <c r="HR31" s="145"/>
      <c r="HS31" s="146"/>
      <c r="HT31" s="167" t="s">
        <v>85</v>
      </c>
      <c r="HU31" s="175">
        <v>0</v>
      </c>
      <c r="HV31" s="139"/>
      <c r="HW31" s="140">
        <f t="shared" si="28"/>
        <v>0</v>
      </c>
      <c r="HX31" s="159">
        <f>SUM(HW28:HW31)</f>
        <v>0</v>
      </c>
      <c r="HY31" s="528"/>
      <c r="HZ31" s="145"/>
      <c r="IA31" s="146"/>
      <c r="IB31" s="167" t="s">
        <v>85</v>
      </c>
      <c r="IC31" s="175">
        <v>0</v>
      </c>
      <c r="ID31" s="139"/>
      <c r="IE31" s="140">
        <f t="shared" si="29"/>
        <v>0</v>
      </c>
      <c r="IF31" s="159">
        <f>SUM(IE28:IE31)</f>
        <v>152.82666666666668</v>
      </c>
      <c r="IG31" s="528"/>
      <c r="IH31" s="145"/>
      <c r="II31" s="146"/>
      <c r="IJ31" s="167" t="s">
        <v>85</v>
      </c>
      <c r="IK31" s="175">
        <v>0</v>
      </c>
      <c r="IL31" s="139"/>
      <c r="IM31" s="140">
        <f t="shared" si="30"/>
        <v>0</v>
      </c>
      <c r="IN31" s="159">
        <f>SUM(IM28:IM31)</f>
        <v>1149.1389743589743</v>
      </c>
      <c r="IO31" s="528"/>
      <c r="IP31" s="145"/>
      <c r="IQ31" s="146"/>
      <c r="IR31" s="364" t="s">
        <v>85</v>
      </c>
      <c r="IS31" s="175">
        <v>0</v>
      </c>
      <c r="IT31" s="139"/>
      <c r="IU31" s="140">
        <f t="shared" si="31"/>
        <v>0</v>
      </c>
      <c r="IV31" s="159">
        <f>SUM(IU28:IU31)</f>
        <v>1989.6856410256412</v>
      </c>
      <c r="IW31" s="528"/>
      <c r="IX31" s="145"/>
      <c r="IY31" s="146"/>
      <c r="IZ31" s="167" t="s">
        <v>85</v>
      </c>
      <c r="JA31" s="175">
        <v>0</v>
      </c>
      <c r="JB31" s="139"/>
      <c r="JC31" s="140">
        <f t="shared" si="32"/>
        <v>0</v>
      </c>
      <c r="JD31" s="159">
        <f>SUM(JC28:JC31)</f>
        <v>4186.5689743589746</v>
      </c>
      <c r="JE31" s="528"/>
      <c r="JF31" s="145"/>
      <c r="JG31" s="146"/>
      <c r="JH31" s="167" t="s">
        <v>85</v>
      </c>
      <c r="JI31" s="175">
        <v>0</v>
      </c>
      <c r="JJ31" s="139"/>
      <c r="JK31" s="140">
        <f t="shared" si="33"/>
        <v>0</v>
      </c>
      <c r="JL31" s="159">
        <f>SUM(JK28:JK31)</f>
        <v>866.99743589743593</v>
      </c>
      <c r="JM31" s="528"/>
      <c r="JN31" s="145"/>
      <c r="JO31" s="146"/>
      <c r="JP31" s="167" t="s">
        <v>85</v>
      </c>
      <c r="JQ31" s="175">
        <v>0</v>
      </c>
      <c r="JR31" s="139"/>
      <c r="JS31" s="140">
        <f t="shared" si="34"/>
        <v>0</v>
      </c>
      <c r="JT31" s="159">
        <f>SUM(JS28:JS31)</f>
        <v>1695.7882051282052</v>
      </c>
      <c r="JU31" s="528"/>
      <c r="JV31" s="145"/>
      <c r="JW31" s="146"/>
      <c r="JX31" s="167" t="s">
        <v>85</v>
      </c>
      <c r="JY31" s="175">
        <v>0</v>
      </c>
      <c r="JZ31" s="139"/>
      <c r="KA31" s="140">
        <f t="shared" si="35"/>
        <v>0</v>
      </c>
      <c r="KB31" s="159">
        <f>SUM(KA28:KA31)</f>
        <v>1197.6320512820514</v>
      </c>
      <c r="KC31" s="528"/>
      <c r="KD31" s="145"/>
      <c r="KE31" s="146"/>
      <c r="KF31" s="167" t="s">
        <v>85</v>
      </c>
      <c r="KG31" s="175">
        <v>0</v>
      </c>
      <c r="KH31" s="139"/>
      <c r="KI31" s="140">
        <f t="shared" si="36"/>
        <v>0</v>
      </c>
      <c r="KJ31" s="159">
        <f>SUM(KI28:KI31)</f>
        <v>423.21230769230772</v>
      </c>
      <c r="KK31" s="528"/>
      <c r="KL31" s="145"/>
      <c r="KM31" s="146"/>
      <c r="KN31" s="167" t="s">
        <v>85</v>
      </c>
      <c r="KO31" s="175">
        <v>0</v>
      </c>
      <c r="KP31" s="139"/>
      <c r="KQ31" s="140">
        <f t="shared" si="37"/>
        <v>0</v>
      </c>
      <c r="KR31" s="159">
        <f>SUM(KQ28:KQ31)</f>
        <v>0</v>
      </c>
      <c r="KS31" s="528"/>
      <c r="KT31" s="145"/>
      <c r="KU31" s="146"/>
      <c r="KV31" s="167" t="s">
        <v>85</v>
      </c>
      <c r="KW31" s="175">
        <v>0</v>
      </c>
      <c r="KX31" s="139"/>
      <c r="KY31" s="140">
        <f t="shared" si="38"/>
        <v>0</v>
      </c>
      <c r="KZ31" s="159">
        <f>SUM(KY28:KY31)</f>
        <v>0</v>
      </c>
      <c r="LA31" s="528"/>
      <c r="LB31" s="145"/>
      <c r="LC31" s="146"/>
      <c r="LD31" s="167" t="s">
        <v>85</v>
      </c>
      <c r="LE31" s="175">
        <v>0</v>
      </c>
      <c r="LF31" s="139"/>
      <c r="LG31" s="140">
        <f t="shared" si="39"/>
        <v>0</v>
      </c>
      <c r="LH31" s="159">
        <f>SUM(LG28:LG31)</f>
        <v>0</v>
      </c>
      <c r="LI31" s="528"/>
      <c r="LJ31" s="145"/>
      <c r="LK31" s="146"/>
      <c r="LL31" s="167" t="s">
        <v>85</v>
      </c>
      <c r="LM31" s="175">
        <v>0</v>
      </c>
      <c r="LN31" s="139"/>
      <c r="LO31" s="140">
        <f t="shared" si="40"/>
        <v>0</v>
      </c>
      <c r="LP31" s="159">
        <f>SUM(LO28:LO31)</f>
        <v>108.74205128205129</v>
      </c>
      <c r="LQ31" s="528"/>
      <c r="LR31" s="145"/>
      <c r="LS31" s="146"/>
      <c r="LT31" s="167" t="s">
        <v>85</v>
      </c>
      <c r="LU31" s="175"/>
      <c r="LV31" s="139"/>
      <c r="LW31" s="140">
        <f t="shared" si="41"/>
        <v>0</v>
      </c>
      <c r="LX31" s="159">
        <f>SUM(LW28:LW31)</f>
        <v>96.986153846153854</v>
      </c>
      <c r="LY31" s="528"/>
      <c r="LZ31" s="145"/>
      <c r="MA31" s="146"/>
      <c r="MB31" s="167" t="s">
        <v>85</v>
      </c>
      <c r="MC31" s="175"/>
      <c r="MD31" s="139"/>
      <c r="ME31" s="140">
        <f t="shared" si="42"/>
        <v>0</v>
      </c>
      <c r="MF31" s="159">
        <f>SUM(ME28:ME31)</f>
        <v>865.52794871794879</v>
      </c>
      <c r="MG31" s="528"/>
      <c r="MH31" s="145"/>
      <c r="MI31" s="146"/>
      <c r="MJ31" s="167" t="s">
        <v>85</v>
      </c>
      <c r="MK31" s="175"/>
      <c r="ML31" s="139"/>
      <c r="MM31" s="140">
        <f t="shared" si="43"/>
        <v>0</v>
      </c>
      <c r="MN31" s="159">
        <f>SUM(MM28:MM31)</f>
        <v>1459.2007692307693</v>
      </c>
      <c r="MO31" s="528"/>
      <c r="MP31" s="145"/>
      <c r="MQ31" s="146"/>
      <c r="MR31" s="167" t="s">
        <v>85</v>
      </c>
      <c r="MS31" s="175"/>
      <c r="MT31" s="139"/>
      <c r="MU31" s="140">
        <f t="shared" si="44"/>
        <v>0</v>
      </c>
      <c r="MV31" s="159">
        <f>SUM(MU28:MU31)</f>
        <v>3284.3038461538463</v>
      </c>
      <c r="MW31" s="528"/>
      <c r="MX31" s="686" t="s">
        <v>357</v>
      </c>
      <c r="MY31" s="687">
        <v>1</v>
      </c>
      <c r="MZ31" s="691" t="s">
        <v>14</v>
      </c>
      <c r="NA31" s="683"/>
      <c r="NB31" s="692"/>
      <c r="NC31" s="685">
        <f t="shared" si="110"/>
        <v>0</v>
      </c>
      <c r="ND31" s="685">
        <f t="shared" si="110"/>
        <v>0</v>
      </c>
      <c r="NE31" s="528"/>
      <c r="NF31" s="686" t="s">
        <v>357</v>
      </c>
      <c r="NG31" s="687"/>
      <c r="NH31" s="691" t="s">
        <v>14</v>
      </c>
      <c r="NI31" s="683"/>
      <c r="NJ31" s="692"/>
      <c r="NK31" s="685">
        <f t="shared" si="111"/>
        <v>0</v>
      </c>
      <c r="NL31" s="685">
        <f t="shared" si="111"/>
        <v>0</v>
      </c>
      <c r="NM31" s="528"/>
      <c r="NN31" s="686" t="s">
        <v>357</v>
      </c>
      <c r="NO31" s="687">
        <v>3</v>
      </c>
      <c r="NP31" s="691" t="s">
        <v>14</v>
      </c>
      <c r="NQ31" s="683">
        <v>63</v>
      </c>
      <c r="NR31" s="692"/>
      <c r="NS31" s="685">
        <f t="shared" si="91"/>
        <v>0</v>
      </c>
      <c r="NT31" s="685">
        <f t="shared" si="112"/>
        <v>0</v>
      </c>
      <c r="NU31" s="528"/>
      <c r="NV31" s="686" t="s">
        <v>357</v>
      </c>
      <c r="NW31" s="687"/>
      <c r="NX31" s="691" t="s">
        <v>14</v>
      </c>
      <c r="NY31" s="683"/>
      <c r="NZ31" s="692"/>
      <c r="OA31" s="685">
        <f t="shared" si="92"/>
        <v>0</v>
      </c>
      <c r="OB31" s="685">
        <f t="shared" si="113"/>
        <v>0</v>
      </c>
      <c r="OC31" s="528"/>
      <c r="OD31" s="686" t="s">
        <v>357</v>
      </c>
      <c r="OE31" s="687"/>
      <c r="OF31" s="691" t="s">
        <v>14</v>
      </c>
      <c r="OG31" s="683"/>
      <c r="OH31" s="692"/>
      <c r="OI31" s="685">
        <f t="shared" si="93"/>
        <v>0</v>
      </c>
      <c r="OJ31" s="685">
        <f t="shared" si="114"/>
        <v>0</v>
      </c>
      <c r="OK31" s="528"/>
      <c r="OL31" s="686" t="s">
        <v>357</v>
      </c>
      <c r="OM31" s="687">
        <v>3</v>
      </c>
      <c r="ON31" s="691" t="s">
        <v>14</v>
      </c>
      <c r="OO31" s="683">
        <v>44</v>
      </c>
      <c r="OP31" s="692"/>
      <c r="OQ31" s="685">
        <f t="shared" si="94"/>
        <v>0</v>
      </c>
      <c r="OR31" s="685">
        <f t="shared" si="115"/>
        <v>0</v>
      </c>
      <c r="OS31" s="528"/>
      <c r="OT31" s="686" t="s">
        <v>357</v>
      </c>
      <c r="OU31" s="687"/>
      <c r="OV31" s="691" t="s">
        <v>14</v>
      </c>
      <c r="OW31" s="683"/>
      <c r="OX31" s="692"/>
      <c r="OY31" s="685">
        <f t="shared" si="95"/>
        <v>0</v>
      </c>
      <c r="OZ31" s="685">
        <f t="shared" si="116"/>
        <v>0</v>
      </c>
      <c r="PA31" s="528"/>
      <c r="PB31" s="686" t="s">
        <v>357</v>
      </c>
      <c r="PC31" s="687"/>
      <c r="PD31" s="691" t="s">
        <v>14</v>
      </c>
      <c r="PE31" s="683"/>
      <c r="PF31" s="692"/>
      <c r="PG31" s="685">
        <f t="shared" si="96"/>
        <v>0</v>
      </c>
      <c r="PH31" s="685">
        <f t="shared" si="117"/>
        <v>0</v>
      </c>
      <c r="PI31" s="528"/>
      <c r="PJ31" s="686" t="s">
        <v>357</v>
      </c>
      <c r="PK31" s="687"/>
      <c r="PL31" s="691" t="s">
        <v>14</v>
      </c>
      <c r="PM31" s="683"/>
      <c r="PN31" s="692"/>
      <c r="PO31" s="685">
        <f t="shared" si="97"/>
        <v>0</v>
      </c>
      <c r="PP31" s="685">
        <f t="shared" si="118"/>
        <v>0</v>
      </c>
      <c r="PQ31" s="528"/>
      <c r="PR31" s="686" t="s">
        <v>357</v>
      </c>
      <c r="PS31" s="687"/>
      <c r="PT31" s="691" t="s">
        <v>14</v>
      </c>
      <c r="PU31" s="683"/>
      <c r="PV31" s="692"/>
      <c r="PW31" s="685">
        <f t="shared" si="98"/>
        <v>0</v>
      </c>
      <c r="PX31" s="685">
        <f t="shared" si="119"/>
        <v>0</v>
      </c>
      <c r="PY31" s="528"/>
      <c r="PZ31" s="686" t="s">
        <v>357</v>
      </c>
      <c r="QA31" s="687"/>
      <c r="QB31" s="691" t="s">
        <v>14</v>
      </c>
      <c r="QC31" s="683"/>
      <c r="QD31" s="692"/>
      <c r="QE31" s="685">
        <f t="shared" si="99"/>
        <v>0</v>
      </c>
      <c r="QF31" s="685">
        <f t="shared" si="120"/>
        <v>0</v>
      </c>
      <c r="QG31" s="528"/>
      <c r="QH31" s="686" t="s">
        <v>357</v>
      </c>
      <c r="QI31" s="687">
        <v>5</v>
      </c>
      <c r="QJ31" s="691" t="s">
        <v>14</v>
      </c>
      <c r="QK31" s="683">
        <v>182</v>
      </c>
      <c r="QL31" s="692"/>
      <c r="QM31" s="685">
        <f t="shared" si="100"/>
        <v>0</v>
      </c>
      <c r="QN31" s="685">
        <f t="shared" si="121"/>
        <v>0</v>
      </c>
      <c r="QO31" s="528"/>
      <c r="QP31" s="686" t="s">
        <v>357</v>
      </c>
      <c r="QQ31" s="687">
        <v>3</v>
      </c>
      <c r="QR31" s="691" t="s">
        <v>14</v>
      </c>
      <c r="QS31" s="683">
        <v>81</v>
      </c>
      <c r="QT31" s="692"/>
      <c r="QU31" s="685">
        <f t="shared" si="101"/>
        <v>0</v>
      </c>
      <c r="QV31" s="685">
        <f t="shared" si="122"/>
        <v>0</v>
      </c>
      <c r="QW31" s="528"/>
      <c r="QX31" s="686" t="s">
        <v>357</v>
      </c>
      <c r="QY31" s="687"/>
      <c r="QZ31" s="691" t="s">
        <v>14</v>
      </c>
      <c r="RA31" s="683"/>
      <c r="RB31" s="692"/>
      <c r="RC31" s="685">
        <f t="shared" si="102"/>
        <v>0</v>
      </c>
      <c r="RD31" s="685">
        <f t="shared" si="123"/>
        <v>0</v>
      </c>
      <c r="RE31" s="528"/>
      <c r="RF31" s="686" t="s">
        <v>357</v>
      </c>
      <c r="RG31" s="687"/>
      <c r="RH31" s="691" t="s">
        <v>14</v>
      </c>
      <c r="RI31" s="683"/>
      <c r="RJ31" s="692"/>
      <c r="RK31" s="685">
        <f t="shared" si="103"/>
        <v>0</v>
      </c>
      <c r="RL31" s="685">
        <f t="shared" si="124"/>
        <v>0</v>
      </c>
      <c r="RM31" s="528"/>
      <c r="RN31" s="686" t="s">
        <v>357</v>
      </c>
      <c r="RO31" s="687"/>
      <c r="RP31" s="691" t="s">
        <v>14</v>
      </c>
      <c r="RQ31" s="683"/>
      <c r="RR31" s="692"/>
      <c r="RS31" s="685">
        <f t="shared" si="104"/>
        <v>0</v>
      </c>
      <c r="RT31" s="685">
        <f t="shared" si="125"/>
        <v>0</v>
      </c>
      <c r="RU31" s="528"/>
      <c r="RV31" s="686" t="s">
        <v>357</v>
      </c>
      <c r="RW31" s="687"/>
      <c r="RX31" s="691" t="s">
        <v>14</v>
      </c>
      <c r="RY31" s="683"/>
      <c r="RZ31" s="692"/>
      <c r="SA31" s="685">
        <f t="shared" si="105"/>
        <v>0</v>
      </c>
      <c r="SB31" s="685">
        <f t="shared" si="126"/>
        <v>0</v>
      </c>
      <c r="SC31" s="528"/>
      <c r="SD31" s="686" t="s">
        <v>357</v>
      </c>
      <c r="SE31" s="687"/>
      <c r="SF31" s="691" t="s">
        <v>14</v>
      </c>
      <c r="SG31" s="683"/>
      <c r="SH31" s="692"/>
      <c r="SI31" s="685">
        <f t="shared" si="106"/>
        <v>0</v>
      </c>
      <c r="SJ31" s="685">
        <f t="shared" si="127"/>
        <v>0</v>
      </c>
      <c r="SK31" s="528"/>
      <c r="SL31" s="686" t="s">
        <v>357</v>
      </c>
      <c r="SM31" s="687"/>
      <c r="SN31" s="691" t="s">
        <v>14</v>
      </c>
      <c r="SO31" s="683"/>
      <c r="SP31" s="692"/>
      <c r="SQ31" s="685">
        <f t="shared" si="107"/>
        <v>0</v>
      </c>
      <c r="SR31" s="685">
        <f t="shared" si="128"/>
        <v>0</v>
      </c>
      <c r="SS31" s="528"/>
      <c r="ST31" s="686" t="s">
        <v>357</v>
      </c>
      <c r="SU31" s="687"/>
      <c r="SV31" s="691" t="s">
        <v>14</v>
      </c>
      <c r="SW31" s="683"/>
      <c r="SX31" s="692"/>
      <c r="SY31" s="685">
        <f t="shared" si="108"/>
        <v>0</v>
      </c>
      <c r="SZ31" s="685">
        <f t="shared" si="129"/>
        <v>0</v>
      </c>
      <c r="TA31" s="528"/>
      <c r="TB31" s="686" t="s">
        <v>357</v>
      </c>
      <c r="TC31" s="687"/>
      <c r="TD31" s="691" t="s">
        <v>14</v>
      </c>
      <c r="TE31" s="683"/>
      <c r="TF31" s="692"/>
      <c r="TG31" s="685">
        <f t="shared" si="109"/>
        <v>0</v>
      </c>
      <c r="TH31" s="685">
        <f t="shared" si="130"/>
        <v>0</v>
      </c>
      <c r="TI31" s="528"/>
    </row>
    <row r="32" spans="2:529">
      <c r="B32" s="155" t="s">
        <v>86</v>
      </c>
      <c r="C32" s="144">
        <v>3</v>
      </c>
      <c r="D32" s="157" t="s">
        <v>14</v>
      </c>
      <c r="E32" s="138">
        <v>72</v>
      </c>
      <c r="F32" s="164">
        <v>0.84733333333333338</v>
      </c>
      <c r="G32" s="140">
        <f t="shared" si="0"/>
        <v>61.008000000000003</v>
      </c>
      <c r="H32" s="149"/>
      <c r="I32" s="528"/>
      <c r="J32" s="155" t="s">
        <v>86</v>
      </c>
      <c r="K32" s="144"/>
      <c r="L32" s="157" t="s">
        <v>14</v>
      </c>
      <c r="M32" s="138">
        <v>0</v>
      </c>
      <c r="N32" s="164">
        <v>0.84733333333333338</v>
      </c>
      <c r="O32" s="140">
        <f t="shared" si="1"/>
        <v>0</v>
      </c>
      <c r="P32" s="149"/>
      <c r="Q32" s="528"/>
      <c r="R32" s="155" t="s">
        <v>86</v>
      </c>
      <c r="S32" s="144"/>
      <c r="T32" s="157" t="s">
        <v>14</v>
      </c>
      <c r="U32" s="138">
        <v>0</v>
      </c>
      <c r="V32" s="164">
        <v>0.84733333333333338</v>
      </c>
      <c r="W32" s="140">
        <f t="shared" si="2"/>
        <v>0</v>
      </c>
      <c r="X32" s="149"/>
      <c r="Y32" s="528"/>
      <c r="Z32" s="155" t="s">
        <v>86</v>
      </c>
      <c r="AA32" s="144"/>
      <c r="AB32" s="157" t="s">
        <v>14</v>
      </c>
      <c r="AC32" s="138">
        <v>0</v>
      </c>
      <c r="AD32" s="164">
        <v>0.84733333333333338</v>
      </c>
      <c r="AE32" s="140">
        <f t="shared" si="3"/>
        <v>0</v>
      </c>
      <c r="AF32" s="149"/>
      <c r="AG32" s="528"/>
      <c r="AH32" s="155" t="s">
        <v>86</v>
      </c>
      <c r="AI32" s="144"/>
      <c r="AJ32" s="157" t="s">
        <v>14</v>
      </c>
      <c r="AK32" s="138">
        <v>0</v>
      </c>
      <c r="AL32" s="164">
        <v>0.84733333333333338</v>
      </c>
      <c r="AM32" s="140">
        <f t="shared" si="4"/>
        <v>0</v>
      </c>
      <c r="AN32" s="149"/>
      <c r="AO32" s="528"/>
      <c r="AP32" s="155" t="s">
        <v>86</v>
      </c>
      <c r="AQ32" s="144"/>
      <c r="AR32" s="157" t="s">
        <v>14</v>
      </c>
      <c r="AS32" s="138"/>
      <c r="AT32" s="164">
        <v>0.84733333333333338</v>
      </c>
      <c r="AU32" s="140">
        <f t="shared" si="5"/>
        <v>0</v>
      </c>
      <c r="AV32" s="149"/>
      <c r="AW32" s="528"/>
      <c r="AX32" s="155" t="s">
        <v>86</v>
      </c>
      <c r="AY32" s="144">
        <v>5</v>
      </c>
      <c r="AZ32" s="157" t="s">
        <v>14</v>
      </c>
      <c r="BA32" s="138">
        <v>82</v>
      </c>
      <c r="BB32" s="164">
        <v>0.84733333333333338</v>
      </c>
      <c r="BC32" s="140">
        <f t="shared" si="6"/>
        <v>69.481333333333339</v>
      </c>
      <c r="BD32" s="149"/>
      <c r="BE32" s="528"/>
      <c r="BF32" s="155" t="s">
        <v>86</v>
      </c>
      <c r="BG32" s="144">
        <v>4</v>
      </c>
      <c r="BH32" s="157" t="s">
        <v>14</v>
      </c>
      <c r="BI32" s="138">
        <v>78</v>
      </c>
      <c r="BJ32" s="164">
        <v>0.84733333333333338</v>
      </c>
      <c r="BK32" s="140">
        <f t="shared" si="7"/>
        <v>66.091999999999999</v>
      </c>
      <c r="BL32" s="149"/>
      <c r="BM32" s="528"/>
      <c r="BN32" s="155" t="s">
        <v>86</v>
      </c>
      <c r="BO32" s="144">
        <v>2</v>
      </c>
      <c r="BP32" s="157" t="s">
        <v>14</v>
      </c>
      <c r="BQ32" s="138">
        <v>16</v>
      </c>
      <c r="BR32" s="164">
        <v>0.84733333333333338</v>
      </c>
      <c r="BS32" s="140">
        <f t="shared" si="8"/>
        <v>13.557333333333334</v>
      </c>
      <c r="BT32" s="149"/>
      <c r="BU32" s="528"/>
      <c r="BV32" s="572" t="s">
        <v>86</v>
      </c>
      <c r="BW32" s="565"/>
      <c r="BX32" s="574" t="s">
        <v>14</v>
      </c>
      <c r="BY32" s="560"/>
      <c r="BZ32" s="580">
        <v>0.84733333333333338</v>
      </c>
      <c r="CA32" s="562">
        <f t="shared" si="9"/>
        <v>0</v>
      </c>
      <c r="CB32" s="568"/>
      <c r="CC32" s="528"/>
      <c r="CD32" s="572" t="s">
        <v>86</v>
      </c>
      <c r="CE32" s="565"/>
      <c r="CF32" s="574" t="s">
        <v>14</v>
      </c>
      <c r="CG32" s="560"/>
      <c r="CH32" s="580">
        <v>0.84733333333333338</v>
      </c>
      <c r="CI32" s="562">
        <f t="shared" si="10"/>
        <v>0</v>
      </c>
      <c r="CJ32" s="568"/>
      <c r="CK32" s="528"/>
      <c r="CL32" s="155" t="s">
        <v>86</v>
      </c>
      <c r="CM32" s="144">
        <v>2</v>
      </c>
      <c r="CN32" s="157" t="s">
        <v>14</v>
      </c>
      <c r="CO32" s="138">
        <v>52</v>
      </c>
      <c r="CP32" s="164">
        <v>0.84733333333333338</v>
      </c>
      <c r="CQ32" s="140">
        <f t="shared" si="11"/>
        <v>44.061333333333337</v>
      </c>
      <c r="CR32" s="149"/>
      <c r="CS32" s="528"/>
      <c r="CT32" s="155" t="s">
        <v>86</v>
      </c>
      <c r="CU32" s="144">
        <v>4</v>
      </c>
      <c r="CV32" s="157" t="s">
        <v>14</v>
      </c>
      <c r="CW32" s="138">
        <v>78</v>
      </c>
      <c r="CX32" s="164">
        <v>0.84733333333333338</v>
      </c>
      <c r="CY32" s="140">
        <f t="shared" si="12"/>
        <v>66.091999999999999</v>
      </c>
      <c r="CZ32" s="149"/>
      <c r="DA32" s="528"/>
      <c r="DB32" s="155" t="s">
        <v>86</v>
      </c>
      <c r="DC32" s="144">
        <v>2</v>
      </c>
      <c r="DD32" s="157" t="s">
        <v>14</v>
      </c>
      <c r="DE32" s="138">
        <v>58</v>
      </c>
      <c r="DF32" s="164">
        <v>0.84733333333333338</v>
      </c>
      <c r="DG32" s="140">
        <f t="shared" si="13"/>
        <v>49.145333333333333</v>
      </c>
      <c r="DH32" s="149"/>
      <c r="DI32" s="528"/>
      <c r="DJ32" s="155" t="s">
        <v>86</v>
      </c>
      <c r="DK32" s="144">
        <v>40</v>
      </c>
      <c r="DL32" s="157" t="s">
        <v>14</v>
      </c>
      <c r="DM32" s="138">
        <v>5420</v>
      </c>
      <c r="DN32" s="172">
        <v>0.84733333333333338</v>
      </c>
      <c r="DO32" s="140">
        <f t="shared" si="14"/>
        <v>4592.5466666666671</v>
      </c>
      <c r="DP32" s="149"/>
      <c r="DQ32" s="528"/>
      <c r="DR32" s="155" t="s">
        <v>86</v>
      </c>
      <c r="DS32" s="144"/>
      <c r="DT32" s="157" t="s">
        <v>14</v>
      </c>
      <c r="DU32" s="138"/>
      <c r="DV32" s="172">
        <v>0.84733333333333338</v>
      </c>
      <c r="DW32" s="140">
        <f t="shared" si="15"/>
        <v>0</v>
      </c>
      <c r="DX32" s="149"/>
      <c r="DY32" s="528"/>
      <c r="DZ32" s="155" t="s">
        <v>86</v>
      </c>
      <c r="EA32" s="144">
        <v>0</v>
      </c>
      <c r="EB32" s="157" t="s">
        <v>14</v>
      </c>
      <c r="EC32" s="138">
        <v>0</v>
      </c>
      <c r="ED32" s="172">
        <v>0.84733333333333338</v>
      </c>
      <c r="EE32" s="140">
        <f t="shared" si="16"/>
        <v>0</v>
      </c>
      <c r="EF32" s="149"/>
      <c r="EG32" s="528"/>
      <c r="EH32" s="155" t="s">
        <v>86</v>
      </c>
      <c r="EI32" s="144">
        <v>0</v>
      </c>
      <c r="EJ32" s="157" t="s">
        <v>14</v>
      </c>
      <c r="EK32" s="138">
        <v>0</v>
      </c>
      <c r="EL32" s="172">
        <v>0.84733333333333338</v>
      </c>
      <c r="EM32" s="140">
        <f t="shared" si="17"/>
        <v>0</v>
      </c>
      <c r="EN32" s="149"/>
      <c r="EO32" s="528"/>
      <c r="EP32" s="155" t="s">
        <v>86</v>
      </c>
      <c r="EQ32" s="144">
        <v>0</v>
      </c>
      <c r="ER32" s="157" t="s">
        <v>14</v>
      </c>
      <c r="ES32" s="138">
        <v>0</v>
      </c>
      <c r="ET32" s="172">
        <v>0.84733333333333338</v>
      </c>
      <c r="EU32" s="140">
        <f t="shared" si="18"/>
        <v>0</v>
      </c>
      <c r="EV32" s="149"/>
      <c r="EW32" s="528"/>
      <c r="EX32" s="155" t="s">
        <v>86</v>
      </c>
      <c r="EY32" s="144"/>
      <c r="EZ32" s="157" t="s">
        <v>14</v>
      </c>
      <c r="FA32" s="138"/>
      <c r="FB32" s="172">
        <v>0.84733333333333338</v>
      </c>
      <c r="FC32" s="140">
        <f t="shared" si="19"/>
        <v>0</v>
      </c>
      <c r="FD32" s="149"/>
      <c r="FE32" s="528"/>
      <c r="FF32" s="155" t="s">
        <v>86</v>
      </c>
      <c r="FG32" s="144"/>
      <c r="FH32" s="157" t="s">
        <v>14</v>
      </c>
      <c r="FI32" s="138"/>
      <c r="FJ32" s="172">
        <v>0.84733333333333338</v>
      </c>
      <c r="FK32" s="140">
        <f t="shared" si="20"/>
        <v>0</v>
      </c>
      <c r="FL32" s="149"/>
      <c r="FM32" s="528"/>
      <c r="FN32" s="155" t="s">
        <v>86</v>
      </c>
      <c r="FO32" s="144"/>
      <c r="FP32" s="157" t="s">
        <v>14</v>
      </c>
      <c r="FQ32" s="138"/>
      <c r="FR32" s="172">
        <v>0.84733333333333338</v>
      </c>
      <c r="FS32" s="140">
        <f t="shared" si="21"/>
        <v>0</v>
      </c>
      <c r="FT32" s="149"/>
      <c r="FU32" s="528"/>
      <c r="FV32" s="155" t="s">
        <v>86</v>
      </c>
      <c r="FW32" s="144"/>
      <c r="FX32" s="157" t="s">
        <v>14</v>
      </c>
      <c r="FY32" s="138"/>
      <c r="FZ32" s="172">
        <v>0.84733333333333338</v>
      </c>
      <c r="GA32" s="140">
        <f t="shared" si="22"/>
        <v>0</v>
      </c>
      <c r="GB32" s="149"/>
      <c r="GC32" s="528"/>
      <c r="GD32" s="155" t="s">
        <v>86</v>
      </c>
      <c r="GE32" s="144"/>
      <c r="GF32" s="157" t="s">
        <v>14</v>
      </c>
      <c r="GG32" s="138"/>
      <c r="GH32" s="172">
        <v>0.84733333333333338</v>
      </c>
      <c r="GI32" s="140">
        <f t="shared" si="23"/>
        <v>0</v>
      </c>
      <c r="GJ32" s="149"/>
      <c r="GK32" s="528"/>
      <c r="GL32" s="155" t="s">
        <v>86</v>
      </c>
      <c r="GM32" s="144">
        <v>9</v>
      </c>
      <c r="GN32" s="157" t="s">
        <v>14</v>
      </c>
      <c r="GO32" s="175">
        <v>128</v>
      </c>
      <c r="GP32" s="164">
        <v>0.84733333333333338</v>
      </c>
      <c r="GQ32" s="140">
        <f t="shared" si="24"/>
        <v>108.45866666666667</v>
      </c>
      <c r="GR32" s="149"/>
      <c r="GS32" s="528"/>
      <c r="GT32" s="155" t="s">
        <v>86</v>
      </c>
      <c r="GU32" s="144">
        <v>0</v>
      </c>
      <c r="GV32" s="157" t="s">
        <v>14</v>
      </c>
      <c r="GW32" s="175">
        <v>0</v>
      </c>
      <c r="GX32" s="164">
        <v>0.84733333333333338</v>
      </c>
      <c r="GY32" s="140">
        <f t="shared" si="25"/>
        <v>0</v>
      </c>
      <c r="GZ32" s="149"/>
      <c r="HA32" s="528"/>
      <c r="HB32" s="155" t="s">
        <v>86</v>
      </c>
      <c r="HC32" s="144">
        <v>0</v>
      </c>
      <c r="HD32" s="157" t="s">
        <v>14</v>
      </c>
      <c r="HE32" s="175">
        <v>0</v>
      </c>
      <c r="HF32" s="164">
        <v>0.84733333333333338</v>
      </c>
      <c r="HG32" s="140">
        <f t="shared" si="26"/>
        <v>0</v>
      </c>
      <c r="HH32" s="149"/>
      <c r="HI32" s="528"/>
      <c r="HJ32" s="155" t="s">
        <v>86</v>
      </c>
      <c r="HK32" s="144">
        <v>0</v>
      </c>
      <c r="HL32" s="157" t="s">
        <v>14</v>
      </c>
      <c r="HM32" s="175">
        <v>0</v>
      </c>
      <c r="HN32" s="164">
        <v>0.84733333333333338</v>
      </c>
      <c r="HO32" s="140">
        <f t="shared" si="27"/>
        <v>0</v>
      </c>
      <c r="HP32" s="149"/>
      <c r="HQ32" s="528"/>
      <c r="HR32" s="155" t="s">
        <v>86</v>
      </c>
      <c r="HS32" s="144">
        <v>0</v>
      </c>
      <c r="HT32" s="157" t="s">
        <v>14</v>
      </c>
      <c r="HU32" s="175">
        <v>0</v>
      </c>
      <c r="HV32" s="164">
        <v>0.84733333333333338</v>
      </c>
      <c r="HW32" s="140">
        <f t="shared" si="28"/>
        <v>0</v>
      </c>
      <c r="HX32" s="149"/>
      <c r="HY32" s="528"/>
      <c r="HZ32" s="155" t="s">
        <v>86</v>
      </c>
      <c r="IA32" s="144">
        <v>0</v>
      </c>
      <c r="IB32" s="157" t="s">
        <v>14</v>
      </c>
      <c r="IC32" s="175">
        <v>0</v>
      </c>
      <c r="ID32" s="164">
        <v>0.84733333333333338</v>
      </c>
      <c r="IE32" s="140">
        <f t="shared" si="29"/>
        <v>0</v>
      </c>
      <c r="IF32" s="149"/>
      <c r="IG32" s="528"/>
      <c r="IH32" s="155" t="s">
        <v>86</v>
      </c>
      <c r="II32" s="144">
        <v>0</v>
      </c>
      <c r="IJ32" s="157" t="s">
        <v>14</v>
      </c>
      <c r="IK32" s="175">
        <v>0</v>
      </c>
      <c r="IL32" s="164">
        <v>0.84733333333333338</v>
      </c>
      <c r="IM32" s="140">
        <f t="shared" si="30"/>
        <v>0</v>
      </c>
      <c r="IN32" s="149"/>
      <c r="IO32" s="528"/>
      <c r="IP32" s="155" t="s">
        <v>86</v>
      </c>
      <c r="IQ32" s="144">
        <v>9</v>
      </c>
      <c r="IR32" s="157" t="s">
        <v>14</v>
      </c>
      <c r="IS32" s="175">
        <v>90</v>
      </c>
      <c r="IT32" s="164">
        <v>0.84733333333333338</v>
      </c>
      <c r="IU32" s="140">
        <f t="shared" si="31"/>
        <v>76.260000000000005</v>
      </c>
      <c r="IV32" s="149"/>
      <c r="IW32" s="528"/>
      <c r="IX32" s="155" t="s">
        <v>86</v>
      </c>
      <c r="IY32" s="144">
        <v>6</v>
      </c>
      <c r="IZ32" s="157" t="s">
        <v>14</v>
      </c>
      <c r="JA32" s="175">
        <v>181</v>
      </c>
      <c r="JB32" s="164">
        <v>0.84733333333333338</v>
      </c>
      <c r="JC32" s="140">
        <f t="shared" si="32"/>
        <v>153.36733333333333</v>
      </c>
      <c r="JD32" s="149"/>
      <c r="JE32" s="528"/>
      <c r="JF32" s="155" t="s">
        <v>86</v>
      </c>
      <c r="JG32" s="144">
        <v>8</v>
      </c>
      <c r="JH32" s="157" t="s">
        <v>14</v>
      </c>
      <c r="JI32" s="175">
        <v>184</v>
      </c>
      <c r="JJ32" s="164">
        <v>0.84733333333333338</v>
      </c>
      <c r="JK32" s="140">
        <f t="shared" si="33"/>
        <v>155.90933333333334</v>
      </c>
      <c r="JL32" s="149"/>
      <c r="JM32" s="528"/>
      <c r="JN32" s="155" t="s">
        <v>86</v>
      </c>
      <c r="JO32" s="144">
        <v>9</v>
      </c>
      <c r="JP32" s="157" t="s">
        <v>14</v>
      </c>
      <c r="JQ32" s="175">
        <v>645</v>
      </c>
      <c r="JR32" s="164">
        <v>0.84733333333333338</v>
      </c>
      <c r="JS32" s="140">
        <f t="shared" si="34"/>
        <v>546.53000000000009</v>
      </c>
      <c r="JT32" s="149"/>
      <c r="JU32" s="528"/>
      <c r="JV32" s="155" t="s">
        <v>86</v>
      </c>
      <c r="JW32" s="144">
        <v>7</v>
      </c>
      <c r="JX32" s="157" t="s">
        <v>14</v>
      </c>
      <c r="JY32" s="175">
        <v>51</v>
      </c>
      <c r="JZ32" s="164">
        <v>0.84733333333333338</v>
      </c>
      <c r="KA32" s="140">
        <f t="shared" si="35"/>
        <v>43.214000000000006</v>
      </c>
      <c r="KB32" s="149"/>
      <c r="KC32" s="528"/>
      <c r="KD32" s="155" t="s">
        <v>86</v>
      </c>
      <c r="KE32" s="144">
        <v>3</v>
      </c>
      <c r="KF32" s="157" t="s">
        <v>14</v>
      </c>
      <c r="KG32" s="175">
        <v>135</v>
      </c>
      <c r="KH32" s="164">
        <v>0.84733333333333338</v>
      </c>
      <c r="KI32" s="140">
        <f t="shared" si="36"/>
        <v>114.39</v>
      </c>
      <c r="KJ32" s="149"/>
      <c r="KK32" s="528"/>
      <c r="KL32" s="155" t="s">
        <v>86</v>
      </c>
      <c r="KM32" s="144">
        <v>0</v>
      </c>
      <c r="KN32" s="157" t="s">
        <v>14</v>
      </c>
      <c r="KO32" s="175">
        <v>0</v>
      </c>
      <c r="KP32" s="164">
        <v>0.84733333333333338</v>
      </c>
      <c r="KQ32" s="140">
        <f t="shared" si="37"/>
        <v>0</v>
      </c>
      <c r="KR32" s="149"/>
      <c r="KS32" s="528"/>
      <c r="KT32" s="155" t="s">
        <v>86</v>
      </c>
      <c r="KU32" s="144">
        <v>0</v>
      </c>
      <c r="KV32" s="157" t="s">
        <v>14</v>
      </c>
      <c r="KW32" s="175">
        <v>0</v>
      </c>
      <c r="KX32" s="164">
        <v>0.84733333333333338</v>
      </c>
      <c r="KY32" s="140">
        <f t="shared" si="38"/>
        <v>0</v>
      </c>
      <c r="KZ32" s="149"/>
      <c r="LA32" s="528"/>
      <c r="LB32" s="155" t="s">
        <v>86</v>
      </c>
      <c r="LC32" s="144">
        <v>0</v>
      </c>
      <c r="LD32" s="157" t="s">
        <v>14</v>
      </c>
      <c r="LE32" s="175">
        <v>0</v>
      </c>
      <c r="LF32" s="164">
        <v>0.84733333333333338</v>
      </c>
      <c r="LG32" s="140">
        <f t="shared" si="39"/>
        <v>0</v>
      </c>
      <c r="LH32" s="149"/>
      <c r="LI32" s="528"/>
      <c r="LJ32" s="155" t="s">
        <v>86</v>
      </c>
      <c r="LK32" s="144">
        <v>0</v>
      </c>
      <c r="LL32" s="157" t="s">
        <v>14</v>
      </c>
      <c r="LM32" s="175">
        <v>0</v>
      </c>
      <c r="LN32" s="164">
        <v>0.84733333333333338</v>
      </c>
      <c r="LO32" s="140">
        <f t="shared" si="40"/>
        <v>0</v>
      </c>
      <c r="LP32" s="149"/>
      <c r="LQ32" s="528"/>
      <c r="LR32" s="155" t="s">
        <v>86</v>
      </c>
      <c r="LS32" s="144">
        <v>0</v>
      </c>
      <c r="LT32" s="157" t="s">
        <v>14</v>
      </c>
      <c r="LU32" s="175">
        <v>0</v>
      </c>
      <c r="LV32" s="164">
        <v>0.84733333333333338</v>
      </c>
      <c r="LW32" s="140">
        <f t="shared" si="41"/>
        <v>0</v>
      </c>
      <c r="LX32" s="149"/>
      <c r="LY32" s="528"/>
      <c r="LZ32" s="155" t="s">
        <v>86</v>
      </c>
      <c r="MA32" s="144">
        <v>0</v>
      </c>
      <c r="MB32" s="157" t="s">
        <v>14</v>
      </c>
      <c r="MC32" s="175">
        <v>0</v>
      </c>
      <c r="MD32" s="164">
        <v>0.84733333333333338</v>
      </c>
      <c r="ME32" s="140">
        <f t="shared" si="42"/>
        <v>0</v>
      </c>
      <c r="MF32" s="149"/>
      <c r="MG32" s="528"/>
      <c r="MH32" s="155" t="s">
        <v>86</v>
      </c>
      <c r="MI32" s="144">
        <v>7</v>
      </c>
      <c r="MJ32" s="157" t="s">
        <v>14</v>
      </c>
      <c r="MK32" s="175">
        <v>49</v>
      </c>
      <c r="ML32" s="164">
        <v>0.84733333333333338</v>
      </c>
      <c r="MM32" s="140">
        <f t="shared" si="43"/>
        <v>41.519333333333336</v>
      </c>
      <c r="MN32" s="149"/>
      <c r="MO32" s="528"/>
      <c r="MP32" s="155" t="s">
        <v>86</v>
      </c>
      <c r="MQ32" s="144">
        <v>13</v>
      </c>
      <c r="MR32" s="157" t="s">
        <v>14</v>
      </c>
      <c r="MS32" s="175">
        <v>370</v>
      </c>
      <c r="MT32" s="164">
        <v>0.84733333333333338</v>
      </c>
      <c r="MU32" s="140">
        <f t="shared" si="44"/>
        <v>313.51333333333338</v>
      </c>
      <c r="MV32" s="149"/>
      <c r="MW32" s="528"/>
      <c r="MX32" s="155" t="s">
        <v>358</v>
      </c>
      <c r="MY32" s="144">
        <v>36</v>
      </c>
      <c r="MZ32" s="157" t="s">
        <v>14</v>
      </c>
      <c r="NA32" s="175">
        <v>1447</v>
      </c>
      <c r="NB32" s="164">
        <v>1.4694871794871796</v>
      </c>
      <c r="NC32" s="140">
        <f t="shared" ref="NC32:NC40" si="131">NA32*NB32</f>
        <v>2126.3479487179488</v>
      </c>
      <c r="ND32" s="149"/>
      <c r="NE32" s="528"/>
      <c r="NF32" s="155" t="s">
        <v>358</v>
      </c>
      <c r="NG32" s="144">
        <v>38</v>
      </c>
      <c r="NH32" s="157" t="s">
        <v>14</v>
      </c>
      <c r="NI32" s="175">
        <v>1676</v>
      </c>
      <c r="NJ32" s="164">
        <v>1.4694871794871796</v>
      </c>
      <c r="NK32" s="140">
        <f t="shared" ref="NK32:NK40" si="132">NI32*NJ32</f>
        <v>2462.8605128205131</v>
      </c>
      <c r="NL32" s="149"/>
      <c r="NM32" s="528"/>
      <c r="NN32" s="155" t="s">
        <v>358</v>
      </c>
      <c r="NO32" s="144">
        <v>11</v>
      </c>
      <c r="NP32" s="157" t="s">
        <v>14</v>
      </c>
      <c r="NQ32" s="175">
        <v>435</v>
      </c>
      <c r="NR32" s="164">
        <v>1.4694871794871796</v>
      </c>
      <c r="NS32" s="140">
        <f t="shared" si="91"/>
        <v>639.22692307692307</v>
      </c>
      <c r="NT32" s="149"/>
      <c r="NU32" s="528"/>
      <c r="NV32" s="155" t="s">
        <v>358</v>
      </c>
      <c r="NW32" s="144">
        <v>2</v>
      </c>
      <c r="NX32" s="157" t="s">
        <v>14</v>
      </c>
      <c r="NY32" s="175">
        <v>23</v>
      </c>
      <c r="NZ32" s="164">
        <v>1.4694871794871796</v>
      </c>
      <c r="OA32" s="140">
        <f t="shared" si="92"/>
        <v>33.798205128205133</v>
      </c>
      <c r="OB32" s="149"/>
      <c r="OC32" s="528"/>
      <c r="OD32" s="155" t="s">
        <v>358</v>
      </c>
      <c r="OE32" s="144">
        <v>2</v>
      </c>
      <c r="OF32" s="157" t="s">
        <v>14</v>
      </c>
      <c r="OG32" s="175">
        <v>21</v>
      </c>
      <c r="OH32" s="164">
        <v>1.4694871794871796</v>
      </c>
      <c r="OI32" s="140">
        <f t="shared" si="93"/>
        <v>30.85923076923077</v>
      </c>
      <c r="OJ32" s="149"/>
      <c r="OK32" s="528"/>
      <c r="OL32" s="155" t="s">
        <v>358</v>
      </c>
      <c r="OM32" s="144">
        <v>4</v>
      </c>
      <c r="ON32" s="157" t="s">
        <v>14</v>
      </c>
      <c r="OO32" s="175">
        <v>46</v>
      </c>
      <c r="OP32" s="164">
        <v>1.4694871794871796</v>
      </c>
      <c r="OQ32" s="140">
        <f t="shared" si="94"/>
        <v>67.596410256410266</v>
      </c>
      <c r="OR32" s="149"/>
      <c r="OS32" s="528"/>
      <c r="OT32" s="155" t="s">
        <v>358</v>
      </c>
      <c r="OU32" s="144"/>
      <c r="OV32" s="157" t="s">
        <v>14</v>
      </c>
      <c r="OW32" s="175"/>
      <c r="OX32" s="164">
        <v>1.4694871794871796</v>
      </c>
      <c r="OY32" s="140">
        <f t="shared" si="95"/>
        <v>0</v>
      </c>
      <c r="OZ32" s="149"/>
      <c r="PA32" s="528"/>
      <c r="PB32" s="155" t="s">
        <v>358</v>
      </c>
      <c r="PC32" s="144"/>
      <c r="PD32" s="157" t="s">
        <v>14</v>
      </c>
      <c r="PE32" s="175"/>
      <c r="PF32" s="164">
        <v>1.4694871794871796</v>
      </c>
      <c r="PG32" s="140">
        <f t="shared" si="96"/>
        <v>0</v>
      </c>
      <c r="PH32" s="149"/>
      <c r="PI32" s="528"/>
      <c r="PJ32" s="155" t="s">
        <v>358</v>
      </c>
      <c r="PK32" s="144">
        <v>1</v>
      </c>
      <c r="PL32" s="157" t="s">
        <v>14</v>
      </c>
      <c r="PM32" s="175">
        <v>15</v>
      </c>
      <c r="PN32" s="164">
        <v>1.4694871794871796</v>
      </c>
      <c r="PO32" s="140">
        <f t="shared" si="97"/>
        <v>22.042307692307695</v>
      </c>
      <c r="PP32" s="149"/>
      <c r="PQ32" s="528"/>
      <c r="PR32" s="155" t="s">
        <v>358</v>
      </c>
      <c r="PS32" s="144">
        <v>2</v>
      </c>
      <c r="PT32" s="157" t="s">
        <v>14</v>
      </c>
      <c r="PU32" s="175">
        <v>70</v>
      </c>
      <c r="PV32" s="164">
        <v>1.4694871794871796</v>
      </c>
      <c r="PW32" s="140">
        <f t="shared" si="98"/>
        <v>102.86410256410257</v>
      </c>
      <c r="PX32" s="149"/>
      <c r="PY32" s="528"/>
      <c r="PZ32" s="155" t="s">
        <v>358</v>
      </c>
      <c r="QA32" s="144">
        <v>13</v>
      </c>
      <c r="QB32" s="157" t="s">
        <v>14</v>
      </c>
      <c r="QC32" s="175">
        <v>398</v>
      </c>
      <c r="QD32" s="164">
        <v>1.4694871794871796</v>
      </c>
      <c r="QE32" s="140">
        <f t="shared" si="99"/>
        <v>584.85589743589742</v>
      </c>
      <c r="QF32" s="149"/>
      <c r="QG32" s="528"/>
      <c r="QH32" s="155" t="s">
        <v>358</v>
      </c>
      <c r="QI32" s="144">
        <v>25</v>
      </c>
      <c r="QJ32" s="157" t="s">
        <v>14</v>
      </c>
      <c r="QK32" s="175">
        <v>763</v>
      </c>
      <c r="QL32" s="164">
        <v>1.4694871794871796</v>
      </c>
      <c r="QM32" s="140">
        <f t="shared" si="100"/>
        <v>1121.218717948718</v>
      </c>
      <c r="QN32" s="149"/>
      <c r="QO32" s="528"/>
      <c r="QP32" s="155" t="s">
        <v>358</v>
      </c>
      <c r="QQ32" s="144">
        <v>14</v>
      </c>
      <c r="QR32" s="157" t="s">
        <v>14</v>
      </c>
      <c r="QS32" s="175">
        <v>280</v>
      </c>
      <c r="QT32" s="164">
        <v>1.4694871794871796</v>
      </c>
      <c r="QU32" s="140">
        <f t="shared" si="101"/>
        <v>411.45641025641027</v>
      </c>
      <c r="QV32" s="149"/>
      <c r="QW32" s="528"/>
      <c r="QX32" s="155" t="s">
        <v>358</v>
      </c>
      <c r="QY32" s="144"/>
      <c r="QZ32" s="157" t="s">
        <v>14</v>
      </c>
      <c r="RA32" s="175"/>
      <c r="RB32" s="164">
        <v>1.4694871794871796</v>
      </c>
      <c r="RC32" s="140">
        <f t="shared" si="102"/>
        <v>0</v>
      </c>
      <c r="RD32" s="149"/>
      <c r="RE32" s="528"/>
      <c r="RF32" s="155" t="s">
        <v>358</v>
      </c>
      <c r="RG32" s="144"/>
      <c r="RH32" s="157" t="s">
        <v>14</v>
      </c>
      <c r="RI32" s="175"/>
      <c r="RJ32" s="164">
        <v>1.4694871794871796</v>
      </c>
      <c r="RK32" s="140">
        <f t="shared" si="103"/>
        <v>0</v>
      </c>
      <c r="RL32" s="149"/>
      <c r="RM32" s="528"/>
      <c r="RN32" s="155" t="s">
        <v>358</v>
      </c>
      <c r="RO32" s="144">
        <v>3</v>
      </c>
      <c r="RP32" s="157" t="s">
        <v>14</v>
      </c>
      <c r="RQ32" s="175">
        <v>56</v>
      </c>
      <c r="RR32" s="164">
        <v>1.4694871794871796</v>
      </c>
      <c r="RS32" s="140">
        <f t="shared" si="104"/>
        <v>82.291282051282053</v>
      </c>
      <c r="RT32" s="149"/>
      <c r="RU32" s="528"/>
      <c r="RV32" s="155" t="s">
        <v>358</v>
      </c>
      <c r="RW32" s="144"/>
      <c r="RX32" s="157" t="s">
        <v>14</v>
      </c>
      <c r="RY32" s="175"/>
      <c r="RZ32" s="164">
        <v>1.4694871794871796</v>
      </c>
      <c r="SA32" s="140">
        <f t="shared" si="105"/>
        <v>0</v>
      </c>
      <c r="SB32" s="149"/>
      <c r="SC32" s="528"/>
      <c r="SD32" s="155" t="s">
        <v>358</v>
      </c>
      <c r="SE32" s="144"/>
      <c r="SF32" s="157" t="s">
        <v>14</v>
      </c>
      <c r="SG32" s="175"/>
      <c r="SH32" s="164">
        <v>1.4694871794871796</v>
      </c>
      <c r="SI32" s="140">
        <f t="shared" si="106"/>
        <v>0</v>
      </c>
      <c r="SJ32" s="149"/>
      <c r="SK32" s="528"/>
      <c r="SL32" s="155" t="s">
        <v>358</v>
      </c>
      <c r="SM32" s="144">
        <v>3</v>
      </c>
      <c r="SN32" s="157" t="s">
        <v>14</v>
      </c>
      <c r="SO32" s="175">
        <v>33</v>
      </c>
      <c r="SP32" s="164">
        <v>1.4694871794871796</v>
      </c>
      <c r="SQ32" s="140">
        <f t="shared" si="107"/>
        <v>48.493076923076927</v>
      </c>
      <c r="SR32" s="149"/>
      <c r="SS32" s="528"/>
      <c r="ST32" s="155" t="s">
        <v>358</v>
      </c>
      <c r="SU32" s="144"/>
      <c r="SV32" s="157" t="s">
        <v>14</v>
      </c>
      <c r="SW32" s="175"/>
      <c r="SX32" s="164">
        <v>1.4694871794871796</v>
      </c>
      <c r="SY32" s="140">
        <f t="shared" si="108"/>
        <v>0</v>
      </c>
      <c r="SZ32" s="149"/>
      <c r="TA32" s="528"/>
      <c r="TB32" s="155" t="s">
        <v>358</v>
      </c>
      <c r="TC32" s="144"/>
      <c r="TD32" s="157" t="s">
        <v>14</v>
      </c>
      <c r="TE32" s="175"/>
      <c r="TF32" s="164">
        <v>1.4694871794871796</v>
      </c>
      <c r="TG32" s="140">
        <f t="shared" si="109"/>
        <v>0</v>
      </c>
      <c r="TH32" s="149"/>
      <c r="TI32" s="528"/>
    </row>
    <row r="33" spans="2:529">
      <c r="B33" s="145"/>
      <c r="C33" s="146"/>
      <c r="D33" s="151" t="s">
        <v>20</v>
      </c>
      <c r="E33" s="138">
        <v>0</v>
      </c>
      <c r="F33" s="164"/>
      <c r="G33" s="140">
        <f t="shared" si="0"/>
        <v>0</v>
      </c>
      <c r="H33" s="158"/>
      <c r="I33" s="528"/>
      <c r="J33" s="145"/>
      <c r="K33" s="146">
        <v>22</v>
      </c>
      <c r="L33" s="151" t="s">
        <v>20</v>
      </c>
      <c r="M33" s="138">
        <v>0</v>
      </c>
      <c r="N33" s="164"/>
      <c r="O33" s="140">
        <f t="shared" si="1"/>
        <v>0</v>
      </c>
      <c r="P33" s="158"/>
      <c r="Q33" s="528"/>
      <c r="R33" s="145"/>
      <c r="S33" s="146">
        <v>22</v>
      </c>
      <c r="T33" s="151" t="s">
        <v>20</v>
      </c>
      <c r="U33" s="138">
        <v>0</v>
      </c>
      <c r="V33" s="164"/>
      <c r="W33" s="140">
        <f t="shared" si="2"/>
        <v>0</v>
      </c>
      <c r="X33" s="158"/>
      <c r="Y33" s="528"/>
      <c r="Z33" s="145"/>
      <c r="AA33" s="146">
        <v>22</v>
      </c>
      <c r="AB33" s="151" t="s">
        <v>20</v>
      </c>
      <c r="AC33" s="138">
        <v>0</v>
      </c>
      <c r="AD33" s="164"/>
      <c r="AE33" s="140">
        <f t="shared" si="3"/>
        <v>0</v>
      </c>
      <c r="AF33" s="158"/>
      <c r="AG33" s="528"/>
      <c r="AH33" s="145"/>
      <c r="AI33" s="146">
        <v>22</v>
      </c>
      <c r="AJ33" s="151" t="s">
        <v>20</v>
      </c>
      <c r="AK33" s="138">
        <v>0</v>
      </c>
      <c r="AL33" s="164"/>
      <c r="AM33" s="140">
        <f t="shared" si="4"/>
        <v>0</v>
      </c>
      <c r="AN33" s="158"/>
      <c r="AO33" s="528"/>
      <c r="AP33" s="145"/>
      <c r="AQ33" s="146">
        <v>22</v>
      </c>
      <c r="AR33" s="151" t="s">
        <v>20</v>
      </c>
      <c r="AS33" s="138"/>
      <c r="AT33" s="164"/>
      <c r="AU33" s="140">
        <f t="shared" si="5"/>
        <v>0</v>
      </c>
      <c r="AV33" s="158"/>
      <c r="AW33" s="528"/>
      <c r="AX33" s="145"/>
      <c r="AY33" s="146">
        <v>22</v>
      </c>
      <c r="AZ33" s="151" t="s">
        <v>20</v>
      </c>
      <c r="BA33" s="138">
        <v>0</v>
      </c>
      <c r="BB33" s="164"/>
      <c r="BC33" s="140">
        <f t="shared" si="6"/>
        <v>0</v>
      </c>
      <c r="BD33" s="158"/>
      <c r="BE33" s="528"/>
      <c r="BF33" s="145"/>
      <c r="BG33" s="146">
        <v>22</v>
      </c>
      <c r="BH33" s="151" t="s">
        <v>20</v>
      </c>
      <c r="BI33" s="138"/>
      <c r="BJ33" s="164"/>
      <c r="BK33" s="140">
        <f t="shared" si="7"/>
        <v>0</v>
      </c>
      <c r="BL33" s="158"/>
      <c r="BM33" s="528"/>
      <c r="BN33" s="145"/>
      <c r="BO33" s="146">
        <v>22</v>
      </c>
      <c r="BP33" s="151" t="s">
        <v>20</v>
      </c>
      <c r="BQ33" s="138">
        <v>0</v>
      </c>
      <c r="BR33" s="164"/>
      <c r="BS33" s="140">
        <f t="shared" si="8"/>
        <v>0</v>
      </c>
      <c r="BT33" s="158"/>
      <c r="BU33" s="528"/>
      <c r="BV33" s="536"/>
      <c r="BW33" s="537"/>
      <c r="BX33" s="543" t="s">
        <v>20</v>
      </c>
      <c r="BY33" s="560"/>
      <c r="BZ33" s="580"/>
      <c r="CA33" s="562">
        <f t="shared" si="9"/>
        <v>0</v>
      </c>
      <c r="CB33" s="540"/>
      <c r="CC33" s="528"/>
      <c r="CD33" s="536"/>
      <c r="CE33" s="537"/>
      <c r="CF33" s="543" t="s">
        <v>20</v>
      </c>
      <c r="CG33" s="560"/>
      <c r="CH33" s="580"/>
      <c r="CI33" s="562">
        <f t="shared" si="10"/>
        <v>0</v>
      </c>
      <c r="CJ33" s="540"/>
      <c r="CK33" s="528"/>
      <c r="CL33" s="145"/>
      <c r="CM33" s="146">
        <v>22</v>
      </c>
      <c r="CN33" s="151" t="s">
        <v>20</v>
      </c>
      <c r="CO33" s="138">
        <v>0</v>
      </c>
      <c r="CP33" s="164"/>
      <c r="CQ33" s="140">
        <f t="shared" si="11"/>
        <v>0</v>
      </c>
      <c r="CR33" s="158"/>
      <c r="CS33" s="528"/>
      <c r="CT33" s="145"/>
      <c r="CU33" s="146">
        <v>22</v>
      </c>
      <c r="CV33" s="151" t="s">
        <v>20</v>
      </c>
      <c r="CW33" s="138"/>
      <c r="CX33" s="164"/>
      <c r="CY33" s="140">
        <f t="shared" si="12"/>
        <v>0</v>
      </c>
      <c r="CZ33" s="158"/>
      <c r="DA33" s="528"/>
      <c r="DB33" s="145"/>
      <c r="DC33" s="146"/>
      <c r="DD33" s="151" t="s">
        <v>20</v>
      </c>
      <c r="DE33" s="138"/>
      <c r="DF33" s="164"/>
      <c r="DG33" s="140">
        <f t="shared" si="13"/>
        <v>0</v>
      </c>
      <c r="DH33" s="158"/>
      <c r="DI33" s="528"/>
      <c r="DJ33" s="145"/>
      <c r="DK33" s="146"/>
      <c r="DL33" s="151" t="s">
        <v>20</v>
      </c>
      <c r="DM33" s="138">
        <v>0</v>
      </c>
      <c r="DN33" s="172"/>
      <c r="DO33" s="140">
        <f t="shared" si="14"/>
        <v>0</v>
      </c>
      <c r="DP33" s="158"/>
      <c r="DQ33" s="528"/>
      <c r="DR33" s="145"/>
      <c r="DS33" s="146"/>
      <c r="DT33" s="151" t="s">
        <v>20</v>
      </c>
      <c r="DU33" s="138"/>
      <c r="DV33" s="172"/>
      <c r="DW33" s="140">
        <f t="shared" si="15"/>
        <v>0</v>
      </c>
      <c r="DX33" s="158"/>
      <c r="DY33" s="528"/>
      <c r="DZ33" s="145"/>
      <c r="EA33" s="146"/>
      <c r="EB33" s="151" t="s">
        <v>20</v>
      </c>
      <c r="EC33" s="138"/>
      <c r="ED33" s="172"/>
      <c r="EE33" s="140">
        <f t="shared" si="16"/>
        <v>0</v>
      </c>
      <c r="EF33" s="158"/>
      <c r="EG33" s="528"/>
      <c r="EH33" s="145"/>
      <c r="EI33" s="146"/>
      <c r="EJ33" s="151" t="s">
        <v>20</v>
      </c>
      <c r="EK33" s="138"/>
      <c r="EL33" s="172"/>
      <c r="EM33" s="140">
        <f t="shared" si="17"/>
        <v>0</v>
      </c>
      <c r="EN33" s="158"/>
      <c r="EO33" s="528"/>
      <c r="EP33" s="145"/>
      <c r="EQ33" s="146"/>
      <c r="ER33" s="151" t="s">
        <v>20</v>
      </c>
      <c r="ES33" s="138"/>
      <c r="ET33" s="172"/>
      <c r="EU33" s="140">
        <f t="shared" si="18"/>
        <v>0</v>
      </c>
      <c r="EV33" s="158"/>
      <c r="EW33" s="528"/>
      <c r="EX33" s="145"/>
      <c r="EY33" s="146"/>
      <c r="EZ33" s="151" t="s">
        <v>20</v>
      </c>
      <c r="FA33" s="138"/>
      <c r="FB33" s="172"/>
      <c r="FC33" s="140">
        <f t="shared" si="19"/>
        <v>0</v>
      </c>
      <c r="FD33" s="158"/>
      <c r="FE33" s="528"/>
      <c r="FF33" s="145"/>
      <c r="FG33" s="146"/>
      <c r="FH33" s="151" t="s">
        <v>20</v>
      </c>
      <c r="FI33" s="138"/>
      <c r="FJ33" s="172"/>
      <c r="FK33" s="140">
        <f t="shared" si="20"/>
        <v>0</v>
      </c>
      <c r="FL33" s="158"/>
      <c r="FM33" s="528"/>
      <c r="FN33" s="145"/>
      <c r="FO33" s="146"/>
      <c r="FP33" s="151" t="s">
        <v>20</v>
      </c>
      <c r="FQ33" s="138"/>
      <c r="FR33" s="172"/>
      <c r="FS33" s="140">
        <f t="shared" si="21"/>
        <v>0</v>
      </c>
      <c r="FT33" s="158"/>
      <c r="FU33" s="528"/>
      <c r="FV33" s="145"/>
      <c r="FW33" s="146"/>
      <c r="FX33" s="151" t="s">
        <v>20</v>
      </c>
      <c r="FY33" s="138"/>
      <c r="FZ33" s="172"/>
      <c r="GA33" s="140">
        <f t="shared" si="22"/>
        <v>0</v>
      </c>
      <c r="GB33" s="158"/>
      <c r="GC33" s="528"/>
      <c r="GD33" s="145"/>
      <c r="GE33" s="146"/>
      <c r="GF33" s="151" t="s">
        <v>20</v>
      </c>
      <c r="GG33" s="138"/>
      <c r="GH33" s="172"/>
      <c r="GI33" s="140">
        <f t="shared" si="23"/>
        <v>0</v>
      </c>
      <c r="GJ33" s="158"/>
      <c r="GK33" s="528"/>
      <c r="GL33" s="145"/>
      <c r="GM33" s="146"/>
      <c r="GN33" s="151" t="s">
        <v>20</v>
      </c>
      <c r="GO33" s="175">
        <v>0</v>
      </c>
      <c r="GP33" s="164"/>
      <c r="GQ33" s="140">
        <f t="shared" si="24"/>
        <v>0</v>
      </c>
      <c r="GR33" s="158"/>
      <c r="GS33" s="528"/>
      <c r="GT33" s="145"/>
      <c r="GU33" s="146"/>
      <c r="GV33" s="151" t="s">
        <v>20</v>
      </c>
      <c r="GW33" s="175">
        <v>0</v>
      </c>
      <c r="GX33" s="164"/>
      <c r="GY33" s="140">
        <f t="shared" si="25"/>
        <v>0</v>
      </c>
      <c r="GZ33" s="158"/>
      <c r="HA33" s="528"/>
      <c r="HB33" s="145"/>
      <c r="HC33" s="146"/>
      <c r="HD33" s="151" t="s">
        <v>20</v>
      </c>
      <c r="HE33" s="175">
        <v>0</v>
      </c>
      <c r="HF33" s="164"/>
      <c r="HG33" s="140">
        <f t="shared" si="26"/>
        <v>0</v>
      </c>
      <c r="HH33" s="158"/>
      <c r="HI33" s="528"/>
      <c r="HJ33" s="145"/>
      <c r="HK33" s="146"/>
      <c r="HL33" s="151" t="s">
        <v>20</v>
      </c>
      <c r="HM33" s="175">
        <v>0</v>
      </c>
      <c r="HN33" s="164"/>
      <c r="HO33" s="140">
        <f t="shared" si="27"/>
        <v>0</v>
      </c>
      <c r="HP33" s="158"/>
      <c r="HQ33" s="528"/>
      <c r="HR33" s="145"/>
      <c r="HS33" s="146"/>
      <c r="HT33" s="151" t="s">
        <v>20</v>
      </c>
      <c r="HU33" s="175">
        <v>0</v>
      </c>
      <c r="HV33" s="164"/>
      <c r="HW33" s="140">
        <f t="shared" si="28"/>
        <v>0</v>
      </c>
      <c r="HX33" s="158"/>
      <c r="HY33" s="528"/>
      <c r="HZ33" s="145"/>
      <c r="IA33" s="146"/>
      <c r="IB33" s="151" t="s">
        <v>20</v>
      </c>
      <c r="IC33" s="175">
        <v>0</v>
      </c>
      <c r="ID33" s="164"/>
      <c r="IE33" s="140">
        <f t="shared" si="29"/>
        <v>0</v>
      </c>
      <c r="IF33" s="158"/>
      <c r="IG33" s="528"/>
      <c r="IH33" s="145"/>
      <c r="II33" s="146"/>
      <c r="IJ33" s="151" t="s">
        <v>20</v>
      </c>
      <c r="IK33" s="175">
        <v>0</v>
      </c>
      <c r="IL33" s="164"/>
      <c r="IM33" s="140">
        <f t="shared" si="30"/>
        <v>0</v>
      </c>
      <c r="IN33" s="158"/>
      <c r="IO33" s="528"/>
      <c r="IP33" s="145"/>
      <c r="IQ33" s="146"/>
      <c r="IR33" s="151" t="s">
        <v>20</v>
      </c>
      <c r="IS33" s="175">
        <v>0</v>
      </c>
      <c r="IT33" s="164"/>
      <c r="IU33" s="140">
        <f t="shared" si="31"/>
        <v>0</v>
      </c>
      <c r="IV33" s="158"/>
      <c r="IW33" s="528"/>
      <c r="IX33" s="145"/>
      <c r="IY33" s="146"/>
      <c r="IZ33" s="151" t="s">
        <v>20</v>
      </c>
      <c r="JA33" s="175">
        <v>0</v>
      </c>
      <c r="JB33" s="164"/>
      <c r="JC33" s="140">
        <f t="shared" si="32"/>
        <v>0</v>
      </c>
      <c r="JD33" s="158"/>
      <c r="JE33" s="528"/>
      <c r="JF33" s="145"/>
      <c r="JG33" s="146"/>
      <c r="JH33" s="151" t="s">
        <v>20</v>
      </c>
      <c r="JI33" s="175">
        <v>0</v>
      </c>
      <c r="JJ33" s="164"/>
      <c r="JK33" s="140">
        <f t="shared" si="33"/>
        <v>0</v>
      </c>
      <c r="JL33" s="158"/>
      <c r="JM33" s="528"/>
      <c r="JN33" s="145"/>
      <c r="JO33" s="146"/>
      <c r="JP33" s="151" t="s">
        <v>20</v>
      </c>
      <c r="JQ33" s="175">
        <v>0</v>
      </c>
      <c r="JR33" s="164"/>
      <c r="JS33" s="140">
        <f t="shared" si="34"/>
        <v>0</v>
      </c>
      <c r="JT33" s="158"/>
      <c r="JU33" s="528"/>
      <c r="JV33" s="145"/>
      <c r="JW33" s="146"/>
      <c r="JX33" s="151" t="s">
        <v>20</v>
      </c>
      <c r="JY33" s="175">
        <v>0</v>
      </c>
      <c r="JZ33" s="164"/>
      <c r="KA33" s="140">
        <f t="shared" si="35"/>
        <v>0</v>
      </c>
      <c r="KB33" s="158"/>
      <c r="KC33" s="528"/>
      <c r="KD33" s="145"/>
      <c r="KE33" s="146"/>
      <c r="KF33" s="151" t="s">
        <v>20</v>
      </c>
      <c r="KG33" s="175">
        <v>0</v>
      </c>
      <c r="KH33" s="164"/>
      <c r="KI33" s="140">
        <f t="shared" si="36"/>
        <v>0</v>
      </c>
      <c r="KJ33" s="158"/>
      <c r="KK33" s="528"/>
      <c r="KL33" s="145"/>
      <c r="KM33" s="146"/>
      <c r="KN33" s="151" t="s">
        <v>20</v>
      </c>
      <c r="KO33" s="175">
        <v>0</v>
      </c>
      <c r="KP33" s="164"/>
      <c r="KQ33" s="140">
        <f t="shared" si="37"/>
        <v>0</v>
      </c>
      <c r="KR33" s="158"/>
      <c r="KS33" s="528"/>
      <c r="KT33" s="145"/>
      <c r="KU33" s="146"/>
      <c r="KV33" s="151" t="s">
        <v>20</v>
      </c>
      <c r="KW33" s="175">
        <v>0</v>
      </c>
      <c r="KX33" s="164"/>
      <c r="KY33" s="140">
        <f t="shared" si="38"/>
        <v>0</v>
      </c>
      <c r="KZ33" s="158"/>
      <c r="LA33" s="528"/>
      <c r="LB33" s="145"/>
      <c r="LC33" s="146"/>
      <c r="LD33" s="151" t="s">
        <v>20</v>
      </c>
      <c r="LE33" s="175">
        <v>0</v>
      </c>
      <c r="LF33" s="164"/>
      <c r="LG33" s="140">
        <f t="shared" si="39"/>
        <v>0</v>
      </c>
      <c r="LH33" s="158"/>
      <c r="LI33" s="528"/>
      <c r="LJ33" s="145"/>
      <c r="LK33" s="146"/>
      <c r="LL33" s="151" t="s">
        <v>20</v>
      </c>
      <c r="LM33" s="175">
        <v>0</v>
      </c>
      <c r="LN33" s="164"/>
      <c r="LO33" s="140">
        <f t="shared" si="40"/>
        <v>0</v>
      </c>
      <c r="LP33" s="158"/>
      <c r="LQ33" s="528"/>
      <c r="LR33" s="145"/>
      <c r="LS33" s="146"/>
      <c r="LT33" s="151" t="s">
        <v>20</v>
      </c>
      <c r="LU33" s="175"/>
      <c r="LV33" s="164"/>
      <c r="LW33" s="140">
        <f t="shared" si="41"/>
        <v>0</v>
      </c>
      <c r="LX33" s="158"/>
      <c r="LY33" s="528"/>
      <c r="LZ33" s="145"/>
      <c r="MA33" s="146"/>
      <c r="MB33" s="151" t="s">
        <v>20</v>
      </c>
      <c r="MC33" s="175"/>
      <c r="MD33" s="164"/>
      <c r="ME33" s="140">
        <f t="shared" si="42"/>
        <v>0</v>
      </c>
      <c r="MF33" s="158"/>
      <c r="MG33" s="528"/>
      <c r="MH33" s="145"/>
      <c r="MI33" s="146"/>
      <c r="MJ33" s="151" t="s">
        <v>20</v>
      </c>
      <c r="MK33" s="175"/>
      <c r="ML33" s="164"/>
      <c r="MM33" s="140">
        <f t="shared" si="43"/>
        <v>0</v>
      </c>
      <c r="MN33" s="158"/>
      <c r="MO33" s="528"/>
      <c r="MP33" s="145"/>
      <c r="MQ33" s="146"/>
      <c r="MR33" s="151" t="s">
        <v>20</v>
      </c>
      <c r="MS33" s="175"/>
      <c r="MT33" s="164"/>
      <c r="MU33" s="140">
        <f t="shared" si="44"/>
        <v>0</v>
      </c>
      <c r="MV33" s="158"/>
      <c r="MW33" s="528"/>
      <c r="MX33" s="145"/>
      <c r="MY33" s="146"/>
      <c r="MZ33" s="151" t="s">
        <v>20</v>
      </c>
      <c r="NA33" s="175"/>
      <c r="NB33" s="164"/>
      <c r="NC33" s="140">
        <f t="shared" si="131"/>
        <v>0</v>
      </c>
      <c r="ND33" s="158"/>
      <c r="NE33" s="528"/>
      <c r="NF33" s="145"/>
      <c r="NG33" s="146"/>
      <c r="NH33" s="151" t="s">
        <v>20</v>
      </c>
      <c r="NI33" s="175"/>
      <c r="NJ33" s="164"/>
      <c r="NK33" s="140">
        <f t="shared" si="132"/>
        <v>0</v>
      </c>
      <c r="NL33" s="158"/>
      <c r="NM33" s="528"/>
      <c r="NN33" s="145"/>
      <c r="NO33" s="146"/>
      <c r="NP33" s="151" t="s">
        <v>20</v>
      </c>
      <c r="NQ33" s="175"/>
      <c r="NR33" s="164"/>
      <c r="NS33" s="140">
        <f t="shared" si="91"/>
        <v>0</v>
      </c>
      <c r="NT33" s="158"/>
      <c r="NU33" s="528"/>
      <c r="NV33" s="145"/>
      <c r="NW33" s="146"/>
      <c r="NX33" s="151" t="s">
        <v>20</v>
      </c>
      <c r="NY33" s="175"/>
      <c r="NZ33" s="164"/>
      <c r="OA33" s="140">
        <f t="shared" si="92"/>
        <v>0</v>
      </c>
      <c r="OB33" s="158"/>
      <c r="OC33" s="528"/>
      <c r="OD33" s="145"/>
      <c r="OE33" s="146"/>
      <c r="OF33" s="151" t="s">
        <v>20</v>
      </c>
      <c r="OG33" s="175"/>
      <c r="OH33" s="164"/>
      <c r="OI33" s="140">
        <f t="shared" si="93"/>
        <v>0</v>
      </c>
      <c r="OJ33" s="158"/>
      <c r="OK33" s="528"/>
      <c r="OL33" s="145"/>
      <c r="OM33" s="146"/>
      <c r="ON33" s="151" t="s">
        <v>20</v>
      </c>
      <c r="OO33" s="175"/>
      <c r="OP33" s="164"/>
      <c r="OQ33" s="140">
        <f t="shared" si="94"/>
        <v>0</v>
      </c>
      <c r="OR33" s="158"/>
      <c r="OS33" s="528"/>
      <c r="OT33" s="145"/>
      <c r="OU33" s="146"/>
      <c r="OV33" s="151" t="s">
        <v>20</v>
      </c>
      <c r="OW33" s="175"/>
      <c r="OX33" s="164"/>
      <c r="OY33" s="140">
        <f t="shared" si="95"/>
        <v>0</v>
      </c>
      <c r="OZ33" s="158"/>
      <c r="PA33" s="528"/>
      <c r="PB33" s="145"/>
      <c r="PC33" s="146"/>
      <c r="PD33" s="151" t="s">
        <v>20</v>
      </c>
      <c r="PE33" s="175"/>
      <c r="PF33" s="164"/>
      <c r="PG33" s="140">
        <f t="shared" si="96"/>
        <v>0</v>
      </c>
      <c r="PH33" s="158"/>
      <c r="PI33" s="528"/>
      <c r="PJ33" s="145"/>
      <c r="PK33" s="146"/>
      <c r="PL33" s="151" t="s">
        <v>20</v>
      </c>
      <c r="PM33" s="175"/>
      <c r="PN33" s="164"/>
      <c r="PO33" s="140">
        <f t="shared" si="97"/>
        <v>0</v>
      </c>
      <c r="PP33" s="158"/>
      <c r="PQ33" s="528"/>
      <c r="PR33" s="145"/>
      <c r="PS33" s="146"/>
      <c r="PT33" s="151" t="s">
        <v>20</v>
      </c>
      <c r="PU33" s="175"/>
      <c r="PV33" s="164"/>
      <c r="PW33" s="140">
        <f t="shared" si="98"/>
        <v>0</v>
      </c>
      <c r="PX33" s="158"/>
      <c r="PY33" s="528"/>
      <c r="PZ33" s="145"/>
      <c r="QA33" s="146"/>
      <c r="QB33" s="151" t="s">
        <v>20</v>
      </c>
      <c r="QC33" s="175"/>
      <c r="QD33" s="164"/>
      <c r="QE33" s="140">
        <f t="shared" si="99"/>
        <v>0</v>
      </c>
      <c r="QF33" s="158"/>
      <c r="QG33" s="528"/>
      <c r="QH33" s="145"/>
      <c r="QI33" s="146"/>
      <c r="QJ33" s="151" t="s">
        <v>20</v>
      </c>
      <c r="QK33" s="175"/>
      <c r="QL33" s="164"/>
      <c r="QM33" s="140">
        <f t="shared" si="100"/>
        <v>0</v>
      </c>
      <c r="QN33" s="158"/>
      <c r="QO33" s="528"/>
      <c r="QP33" s="145"/>
      <c r="QQ33" s="146"/>
      <c r="QR33" s="151" t="s">
        <v>20</v>
      </c>
      <c r="QS33" s="175"/>
      <c r="QT33" s="164"/>
      <c r="QU33" s="140">
        <f t="shared" si="101"/>
        <v>0</v>
      </c>
      <c r="QV33" s="158"/>
      <c r="QW33" s="528"/>
      <c r="QX33" s="145"/>
      <c r="QY33" s="146"/>
      <c r="QZ33" s="151" t="s">
        <v>20</v>
      </c>
      <c r="RA33" s="175"/>
      <c r="RB33" s="164"/>
      <c r="RC33" s="140">
        <f t="shared" si="102"/>
        <v>0</v>
      </c>
      <c r="RD33" s="158"/>
      <c r="RE33" s="528"/>
      <c r="RF33" s="145"/>
      <c r="RG33" s="146"/>
      <c r="RH33" s="151" t="s">
        <v>20</v>
      </c>
      <c r="RI33" s="175"/>
      <c r="RJ33" s="164"/>
      <c r="RK33" s="140">
        <f t="shared" si="103"/>
        <v>0</v>
      </c>
      <c r="RL33" s="158"/>
      <c r="RM33" s="528"/>
      <c r="RN33" s="145"/>
      <c r="RO33" s="146"/>
      <c r="RP33" s="151" t="s">
        <v>20</v>
      </c>
      <c r="RQ33" s="175"/>
      <c r="RR33" s="164"/>
      <c r="RS33" s="140">
        <f t="shared" si="104"/>
        <v>0</v>
      </c>
      <c r="RT33" s="158"/>
      <c r="RU33" s="528"/>
      <c r="RV33" s="145"/>
      <c r="RW33" s="146"/>
      <c r="RX33" s="151" t="s">
        <v>20</v>
      </c>
      <c r="RY33" s="175"/>
      <c r="RZ33" s="164"/>
      <c r="SA33" s="140">
        <f t="shared" si="105"/>
        <v>0</v>
      </c>
      <c r="SB33" s="158"/>
      <c r="SC33" s="528"/>
      <c r="SD33" s="145"/>
      <c r="SE33" s="146"/>
      <c r="SF33" s="151" t="s">
        <v>20</v>
      </c>
      <c r="SG33" s="175"/>
      <c r="SH33" s="164"/>
      <c r="SI33" s="140">
        <f t="shared" si="106"/>
        <v>0</v>
      </c>
      <c r="SJ33" s="158"/>
      <c r="SK33" s="528"/>
      <c r="SL33" s="145"/>
      <c r="SM33" s="146"/>
      <c r="SN33" s="151" t="s">
        <v>20</v>
      </c>
      <c r="SO33" s="175"/>
      <c r="SP33" s="164"/>
      <c r="SQ33" s="140">
        <f t="shared" si="107"/>
        <v>0</v>
      </c>
      <c r="SR33" s="158"/>
      <c r="SS33" s="528"/>
      <c r="ST33" s="145"/>
      <c r="SU33" s="146"/>
      <c r="SV33" s="151" t="s">
        <v>20</v>
      </c>
      <c r="SW33" s="175"/>
      <c r="SX33" s="164"/>
      <c r="SY33" s="140">
        <f t="shared" si="108"/>
        <v>0</v>
      </c>
      <c r="SZ33" s="158"/>
      <c r="TA33" s="528"/>
      <c r="TB33" s="145"/>
      <c r="TC33" s="146"/>
      <c r="TD33" s="151" t="s">
        <v>20</v>
      </c>
      <c r="TE33" s="175"/>
      <c r="TF33" s="164"/>
      <c r="TG33" s="140">
        <f t="shared" si="109"/>
        <v>0</v>
      </c>
      <c r="TH33" s="158"/>
      <c r="TI33" s="528"/>
    </row>
    <row r="34" spans="2:529">
      <c r="B34" s="145"/>
      <c r="C34" s="146"/>
      <c r="D34" s="157" t="s">
        <v>84</v>
      </c>
      <c r="E34" s="138">
        <v>0</v>
      </c>
      <c r="F34" s="164"/>
      <c r="G34" s="140">
        <f t="shared" si="0"/>
        <v>0</v>
      </c>
      <c r="H34" s="154"/>
      <c r="I34" s="528"/>
      <c r="J34" s="145"/>
      <c r="K34" s="146">
        <v>8</v>
      </c>
      <c r="L34" s="157" t="s">
        <v>84</v>
      </c>
      <c r="M34" s="138">
        <v>0</v>
      </c>
      <c r="N34" s="164"/>
      <c r="O34" s="140">
        <f t="shared" si="1"/>
        <v>0</v>
      </c>
      <c r="P34" s="154"/>
      <c r="Q34" s="528"/>
      <c r="R34" s="145"/>
      <c r="S34" s="146">
        <v>8</v>
      </c>
      <c r="T34" s="157" t="s">
        <v>84</v>
      </c>
      <c r="U34" s="138">
        <v>0</v>
      </c>
      <c r="V34" s="164"/>
      <c r="W34" s="140">
        <f t="shared" si="2"/>
        <v>0</v>
      </c>
      <c r="X34" s="154"/>
      <c r="Y34" s="528"/>
      <c r="Z34" s="145"/>
      <c r="AA34" s="146">
        <v>8</v>
      </c>
      <c r="AB34" s="157" t="s">
        <v>84</v>
      </c>
      <c r="AC34" s="138">
        <v>0</v>
      </c>
      <c r="AD34" s="164"/>
      <c r="AE34" s="140">
        <f t="shared" si="3"/>
        <v>0</v>
      </c>
      <c r="AF34" s="154"/>
      <c r="AG34" s="528"/>
      <c r="AH34" s="145"/>
      <c r="AI34" s="146">
        <v>8</v>
      </c>
      <c r="AJ34" s="157" t="s">
        <v>84</v>
      </c>
      <c r="AK34" s="138">
        <v>0</v>
      </c>
      <c r="AL34" s="164"/>
      <c r="AM34" s="140">
        <f t="shared" si="4"/>
        <v>0</v>
      </c>
      <c r="AN34" s="154"/>
      <c r="AO34" s="528"/>
      <c r="AP34" s="145"/>
      <c r="AQ34" s="146">
        <v>8</v>
      </c>
      <c r="AR34" s="157" t="s">
        <v>84</v>
      </c>
      <c r="AS34" s="138"/>
      <c r="AT34" s="164"/>
      <c r="AU34" s="140">
        <f t="shared" si="5"/>
        <v>0</v>
      </c>
      <c r="AV34" s="154"/>
      <c r="AW34" s="528"/>
      <c r="AX34" s="145"/>
      <c r="AY34" s="146">
        <v>8</v>
      </c>
      <c r="AZ34" s="157" t="s">
        <v>84</v>
      </c>
      <c r="BA34" s="138"/>
      <c r="BB34" s="164"/>
      <c r="BC34" s="140">
        <f t="shared" si="6"/>
        <v>0</v>
      </c>
      <c r="BD34" s="154"/>
      <c r="BE34" s="528"/>
      <c r="BF34" s="145"/>
      <c r="BG34" s="146">
        <v>8</v>
      </c>
      <c r="BH34" s="157" t="s">
        <v>84</v>
      </c>
      <c r="BI34" s="138"/>
      <c r="BJ34" s="164"/>
      <c r="BK34" s="140">
        <f t="shared" si="7"/>
        <v>0</v>
      </c>
      <c r="BL34" s="154"/>
      <c r="BM34" s="528"/>
      <c r="BN34" s="145"/>
      <c r="BO34" s="146">
        <v>8</v>
      </c>
      <c r="BP34" s="157" t="s">
        <v>84</v>
      </c>
      <c r="BQ34" s="138"/>
      <c r="BR34" s="164"/>
      <c r="BS34" s="140">
        <f t="shared" si="8"/>
        <v>0</v>
      </c>
      <c r="BT34" s="154"/>
      <c r="BU34" s="528"/>
      <c r="BV34" s="536"/>
      <c r="BW34" s="537"/>
      <c r="BX34" s="574" t="s">
        <v>84</v>
      </c>
      <c r="BY34" s="560"/>
      <c r="BZ34" s="580"/>
      <c r="CA34" s="562">
        <f t="shared" si="9"/>
        <v>0</v>
      </c>
      <c r="CB34" s="571"/>
      <c r="CC34" s="528"/>
      <c r="CD34" s="536"/>
      <c r="CE34" s="537"/>
      <c r="CF34" s="574" t="s">
        <v>84</v>
      </c>
      <c r="CG34" s="560"/>
      <c r="CH34" s="580"/>
      <c r="CI34" s="562">
        <f t="shared" si="10"/>
        <v>0</v>
      </c>
      <c r="CJ34" s="571"/>
      <c r="CK34" s="528"/>
      <c r="CL34" s="145"/>
      <c r="CM34" s="146">
        <v>8</v>
      </c>
      <c r="CN34" s="157" t="s">
        <v>84</v>
      </c>
      <c r="CO34" s="138"/>
      <c r="CP34" s="164"/>
      <c r="CQ34" s="140">
        <f t="shared" si="11"/>
        <v>0</v>
      </c>
      <c r="CR34" s="154"/>
      <c r="CS34" s="528"/>
      <c r="CT34" s="145"/>
      <c r="CU34" s="146">
        <v>8</v>
      </c>
      <c r="CV34" s="157" t="s">
        <v>84</v>
      </c>
      <c r="CW34" s="138"/>
      <c r="CX34" s="164"/>
      <c r="CY34" s="140">
        <f t="shared" si="12"/>
        <v>0</v>
      </c>
      <c r="CZ34" s="154"/>
      <c r="DA34" s="528"/>
      <c r="DB34" s="145"/>
      <c r="DC34" s="146"/>
      <c r="DD34" s="157" t="s">
        <v>84</v>
      </c>
      <c r="DE34" s="138"/>
      <c r="DF34" s="164"/>
      <c r="DG34" s="140">
        <f t="shared" si="13"/>
        <v>0</v>
      </c>
      <c r="DH34" s="154"/>
      <c r="DI34" s="528"/>
      <c r="DJ34" s="145"/>
      <c r="DK34" s="146"/>
      <c r="DL34" s="157" t="s">
        <v>84</v>
      </c>
      <c r="DM34" s="138"/>
      <c r="DN34" s="172"/>
      <c r="DO34" s="140">
        <f t="shared" si="14"/>
        <v>0</v>
      </c>
      <c r="DP34" s="154"/>
      <c r="DQ34" s="528"/>
      <c r="DR34" s="145"/>
      <c r="DS34" s="146"/>
      <c r="DT34" s="157" t="s">
        <v>84</v>
      </c>
      <c r="DU34" s="138"/>
      <c r="DV34" s="172"/>
      <c r="DW34" s="140">
        <f t="shared" si="15"/>
        <v>0</v>
      </c>
      <c r="DX34" s="154"/>
      <c r="DY34" s="528"/>
      <c r="DZ34" s="145"/>
      <c r="EA34" s="146"/>
      <c r="EB34" s="157" t="s">
        <v>84</v>
      </c>
      <c r="EC34" s="138"/>
      <c r="ED34" s="172"/>
      <c r="EE34" s="140">
        <f t="shared" si="16"/>
        <v>0</v>
      </c>
      <c r="EF34" s="154"/>
      <c r="EG34" s="528"/>
      <c r="EH34" s="145"/>
      <c r="EI34" s="146"/>
      <c r="EJ34" s="157" t="s">
        <v>84</v>
      </c>
      <c r="EK34" s="138"/>
      <c r="EL34" s="172"/>
      <c r="EM34" s="140">
        <f t="shared" si="17"/>
        <v>0</v>
      </c>
      <c r="EN34" s="154"/>
      <c r="EO34" s="528"/>
      <c r="EP34" s="145"/>
      <c r="EQ34" s="146"/>
      <c r="ER34" s="157" t="s">
        <v>84</v>
      </c>
      <c r="ES34" s="138"/>
      <c r="ET34" s="172"/>
      <c r="EU34" s="140">
        <f t="shared" si="18"/>
        <v>0</v>
      </c>
      <c r="EV34" s="154"/>
      <c r="EW34" s="528"/>
      <c r="EX34" s="145"/>
      <c r="EY34" s="146"/>
      <c r="EZ34" s="157" t="s">
        <v>84</v>
      </c>
      <c r="FA34" s="138"/>
      <c r="FB34" s="172"/>
      <c r="FC34" s="140">
        <f t="shared" si="19"/>
        <v>0</v>
      </c>
      <c r="FD34" s="154"/>
      <c r="FE34" s="528"/>
      <c r="FF34" s="145"/>
      <c r="FG34" s="146"/>
      <c r="FH34" s="157" t="s">
        <v>84</v>
      </c>
      <c r="FI34" s="138"/>
      <c r="FJ34" s="172"/>
      <c r="FK34" s="140">
        <f t="shared" si="20"/>
        <v>0</v>
      </c>
      <c r="FL34" s="154"/>
      <c r="FM34" s="528"/>
      <c r="FN34" s="145"/>
      <c r="FO34" s="146"/>
      <c r="FP34" s="157" t="s">
        <v>84</v>
      </c>
      <c r="FQ34" s="138"/>
      <c r="FR34" s="172"/>
      <c r="FS34" s="140">
        <f t="shared" si="21"/>
        <v>0</v>
      </c>
      <c r="FT34" s="154"/>
      <c r="FU34" s="528"/>
      <c r="FV34" s="145"/>
      <c r="FW34" s="146"/>
      <c r="FX34" s="157" t="s">
        <v>84</v>
      </c>
      <c r="FY34" s="138"/>
      <c r="FZ34" s="172"/>
      <c r="GA34" s="140">
        <f t="shared" si="22"/>
        <v>0</v>
      </c>
      <c r="GB34" s="154"/>
      <c r="GC34" s="528"/>
      <c r="GD34" s="145"/>
      <c r="GE34" s="146"/>
      <c r="GF34" s="157" t="s">
        <v>84</v>
      </c>
      <c r="GG34" s="138"/>
      <c r="GH34" s="172"/>
      <c r="GI34" s="140">
        <f t="shared" si="23"/>
        <v>0</v>
      </c>
      <c r="GJ34" s="154"/>
      <c r="GK34" s="528"/>
      <c r="GL34" s="145"/>
      <c r="GM34" s="146"/>
      <c r="GN34" s="157" t="s">
        <v>84</v>
      </c>
      <c r="GO34" s="175">
        <v>0</v>
      </c>
      <c r="GP34" s="164"/>
      <c r="GQ34" s="140">
        <f t="shared" si="24"/>
        <v>0</v>
      </c>
      <c r="GR34" s="154"/>
      <c r="GS34" s="528"/>
      <c r="GT34" s="145"/>
      <c r="GU34" s="146"/>
      <c r="GV34" s="157" t="s">
        <v>84</v>
      </c>
      <c r="GW34" s="175">
        <v>0</v>
      </c>
      <c r="GX34" s="164"/>
      <c r="GY34" s="140">
        <f t="shared" si="25"/>
        <v>0</v>
      </c>
      <c r="GZ34" s="154"/>
      <c r="HA34" s="528"/>
      <c r="HB34" s="145"/>
      <c r="HC34" s="146"/>
      <c r="HD34" s="157" t="s">
        <v>84</v>
      </c>
      <c r="HE34" s="175">
        <v>0</v>
      </c>
      <c r="HF34" s="164"/>
      <c r="HG34" s="140">
        <f t="shared" si="26"/>
        <v>0</v>
      </c>
      <c r="HH34" s="154"/>
      <c r="HI34" s="528"/>
      <c r="HJ34" s="145"/>
      <c r="HK34" s="146"/>
      <c r="HL34" s="157" t="s">
        <v>84</v>
      </c>
      <c r="HM34" s="175">
        <v>0</v>
      </c>
      <c r="HN34" s="164"/>
      <c r="HO34" s="140">
        <f t="shared" si="27"/>
        <v>0</v>
      </c>
      <c r="HP34" s="154"/>
      <c r="HQ34" s="528"/>
      <c r="HR34" s="145"/>
      <c r="HS34" s="146"/>
      <c r="HT34" s="157" t="s">
        <v>84</v>
      </c>
      <c r="HU34" s="175">
        <v>0</v>
      </c>
      <c r="HV34" s="164"/>
      <c r="HW34" s="140">
        <f t="shared" si="28"/>
        <v>0</v>
      </c>
      <c r="HX34" s="154"/>
      <c r="HY34" s="528"/>
      <c r="HZ34" s="145"/>
      <c r="IA34" s="146"/>
      <c r="IB34" s="157" t="s">
        <v>84</v>
      </c>
      <c r="IC34" s="175">
        <v>0</v>
      </c>
      <c r="ID34" s="164"/>
      <c r="IE34" s="140">
        <f t="shared" si="29"/>
        <v>0</v>
      </c>
      <c r="IF34" s="154"/>
      <c r="IG34" s="528"/>
      <c r="IH34" s="145"/>
      <c r="II34" s="146"/>
      <c r="IJ34" s="157" t="s">
        <v>84</v>
      </c>
      <c r="IK34" s="175">
        <v>0</v>
      </c>
      <c r="IL34" s="164"/>
      <c r="IM34" s="140">
        <f t="shared" si="30"/>
        <v>0</v>
      </c>
      <c r="IN34" s="154"/>
      <c r="IO34" s="528"/>
      <c r="IP34" s="145"/>
      <c r="IQ34" s="146"/>
      <c r="IR34" s="157" t="s">
        <v>84</v>
      </c>
      <c r="IS34" s="175">
        <v>0</v>
      </c>
      <c r="IT34" s="164"/>
      <c r="IU34" s="140">
        <f t="shared" si="31"/>
        <v>0</v>
      </c>
      <c r="IV34" s="154"/>
      <c r="IW34" s="528"/>
      <c r="IX34" s="145"/>
      <c r="IY34" s="146"/>
      <c r="IZ34" s="157" t="s">
        <v>84</v>
      </c>
      <c r="JA34" s="175">
        <v>0</v>
      </c>
      <c r="JB34" s="164"/>
      <c r="JC34" s="140">
        <f t="shared" si="32"/>
        <v>0</v>
      </c>
      <c r="JD34" s="154"/>
      <c r="JE34" s="528"/>
      <c r="JF34" s="145"/>
      <c r="JG34" s="146"/>
      <c r="JH34" s="157" t="s">
        <v>84</v>
      </c>
      <c r="JI34" s="175">
        <v>0</v>
      </c>
      <c r="JJ34" s="164"/>
      <c r="JK34" s="140">
        <f t="shared" si="33"/>
        <v>0</v>
      </c>
      <c r="JL34" s="154"/>
      <c r="JM34" s="528"/>
      <c r="JN34" s="145"/>
      <c r="JO34" s="146"/>
      <c r="JP34" s="157" t="s">
        <v>84</v>
      </c>
      <c r="JQ34" s="175">
        <v>0</v>
      </c>
      <c r="JR34" s="164"/>
      <c r="JS34" s="140">
        <f t="shared" si="34"/>
        <v>0</v>
      </c>
      <c r="JT34" s="154"/>
      <c r="JU34" s="528"/>
      <c r="JV34" s="145"/>
      <c r="JW34" s="146"/>
      <c r="JX34" s="157" t="s">
        <v>84</v>
      </c>
      <c r="JY34" s="175">
        <v>0</v>
      </c>
      <c r="JZ34" s="164"/>
      <c r="KA34" s="140">
        <f t="shared" si="35"/>
        <v>0</v>
      </c>
      <c r="KB34" s="154"/>
      <c r="KC34" s="528"/>
      <c r="KD34" s="145"/>
      <c r="KE34" s="146"/>
      <c r="KF34" s="157" t="s">
        <v>84</v>
      </c>
      <c r="KG34" s="175">
        <v>0</v>
      </c>
      <c r="KH34" s="164"/>
      <c r="KI34" s="140">
        <f t="shared" si="36"/>
        <v>0</v>
      </c>
      <c r="KJ34" s="154"/>
      <c r="KK34" s="528"/>
      <c r="KL34" s="145"/>
      <c r="KM34" s="146"/>
      <c r="KN34" s="157" t="s">
        <v>84</v>
      </c>
      <c r="KO34" s="175">
        <v>0</v>
      </c>
      <c r="KP34" s="164"/>
      <c r="KQ34" s="140">
        <f t="shared" si="37"/>
        <v>0</v>
      </c>
      <c r="KR34" s="154"/>
      <c r="KS34" s="528"/>
      <c r="KT34" s="145"/>
      <c r="KU34" s="146"/>
      <c r="KV34" s="157" t="s">
        <v>84</v>
      </c>
      <c r="KW34" s="175">
        <v>0</v>
      </c>
      <c r="KX34" s="164"/>
      <c r="KY34" s="140">
        <f t="shared" si="38"/>
        <v>0</v>
      </c>
      <c r="KZ34" s="154"/>
      <c r="LA34" s="528"/>
      <c r="LB34" s="145"/>
      <c r="LC34" s="146"/>
      <c r="LD34" s="157" t="s">
        <v>84</v>
      </c>
      <c r="LE34" s="175">
        <v>0</v>
      </c>
      <c r="LF34" s="164"/>
      <c r="LG34" s="140">
        <f t="shared" si="39"/>
        <v>0</v>
      </c>
      <c r="LH34" s="154"/>
      <c r="LI34" s="528"/>
      <c r="LJ34" s="145"/>
      <c r="LK34" s="146"/>
      <c r="LL34" s="157" t="s">
        <v>84</v>
      </c>
      <c r="LM34" s="175">
        <v>0</v>
      </c>
      <c r="LN34" s="164"/>
      <c r="LO34" s="140">
        <f t="shared" si="40"/>
        <v>0</v>
      </c>
      <c r="LP34" s="154"/>
      <c r="LQ34" s="528"/>
      <c r="LR34" s="145"/>
      <c r="LS34" s="146"/>
      <c r="LT34" s="157" t="s">
        <v>84</v>
      </c>
      <c r="LU34" s="175"/>
      <c r="LV34" s="164"/>
      <c r="LW34" s="140">
        <f t="shared" si="41"/>
        <v>0</v>
      </c>
      <c r="LX34" s="154"/>
      <c r="LY34" s="528"/>
      <c r="LZ34" s="145"/>
      <c r="MA34" s="146"/>
      <c r="MB34" s="157" t="s">
        <v>84</v>
      </c>
      <c r="MC34" s="175"/>
      <c r="MD34" s="164"/>
      <c r="ME34" s="140">
        <f t="shared" si="42"/>
        <v>0</v>
      </c>
      <c r="MF34" s="154"/>
      <c r="MG34" s="528"/>
      <c r="MH34" s="145"/>
      <c r="MI34" s="146"/>
      <c r="MJ34" s="157" t="s">
        <v>84</v>
      </c>
      <c r="MK34" s="175"/>
      <c r="ML34" s="164"/>
      <c r="MM34" s="140">
        <f t="shared" si="43"/>
        <v>0</v>
      </c>
      <c r="MN34" s="154"/>
      <c r="MO34" s="528"/>
      <c r="MP34" s="145"/>
      <c r="MQ34" s="146"/>
      <c r="MR34" s="157" t="s">
        <v>84</v>
      </c>
      <c r="MS34" s="175"/>
      <c r="MT34" s="164"/>
      <c r="MU34" s="140">
        <f t="shared" si="44"/>
        <v>0</v>
      </c>
      <c r="MV34" s="154"/>
      <c r="MW34" s="528"/>
      <c r="MX34" s="145"/>
      <c r="MY34" s="146"/>
      <c r="MZ34" s="157" t="s">
        <v>84</v>
      </c>
      <c r="NA34" s="175"/>
      <c r="NB34" s="164"/>
      <c r="NC34" s="140">
        <f t="shared" si="131"/>
        <v>0</v>
      </c>
      <c r="ND34" s="150"/>
      <c r="NE34" s="528"/>
      <c r="NF34" s="145"/>
      <c r="NG34" s="146"/>
      <c r="NH34" s="157" t="s">
        <v>84</v>
      </c>
      <c r="NI34" s="175"/>
      <c r="NJ34" s="164"/>
      <c r="NK34" s="140">
        <f t="shared" si="132"/>
        <v>0</v>
      </c>
      <c r="NL34" s="150"/>
      <c r="NM34" s="528"/>
      <c r="NN34" s="145"/>
      <c r="NO34" s="146"/>
      <c r="NP34" s="157" t="s">
        <v>84</v>
      </c>
      <c r="NQ34" s="175"/>
      <c r="NR34" s="164"/>
      <c r="NS34" s="140">
        <f t="shared" si="91"/>
        <v>0</v>
      </c>
      <c r="NT34" s="150"/>
      <c r="NU34" s="528"/>
      <c r="NV34" s="145"/>
      <c r="NW34" s="146"/>
      <c r="NX34" s="157" t="s">
        <v>84</v>
      </c>
      <c r="NY34" s="175"/>
      <c r="NZ34" s="164"/>
      <c r="OA34" s="140">
        <f t="shared" si="92"/>
        <v>0</v>
      </c>
      <c r="OB34" s="150"/>
      <c r="OC34" s="528"/>
      <c r="OD34" s="145"/>
      <c r="OE34" s="146"/>
      <c r="OF34" s="157" t="s">
        <v>84</v>
      </c>
      <c r="OG34" s="175"/>
      <c r="OH34" s="164"/>
      <c r="OI34" s="140">
        <f t="shared" si="93"/>
        <v>0</v>
      </c>
      <c r="OJ34" s="150"/>
      <c r="OK34" s="528"/>
      <c r="OL34" s="145"/>
      <c r="OM34" s="146"/>
      <c r="ON34" s="157" t="s">
        <v>84</v>
      </c>
      <c r="OO34" s="175"/>
      <c r="OP34" s="164"/>
      <c r="OQ34" s="140">
        <f t="shared" si="94"/>
        <v>0</v>
      </c>
      <c r="OR34" s="150"/>
      <c r="OS34" s="528"/>
      <c r="OT34" s="145"/>
      <c r="OU34" s="146"/>
      <c r="OV34" s="157" t="s">
        <v>84</v>
      </c>
      <c r="OW34" s="175"/>
      <c r="OX34" s="164"/>
      <c r="OY34" s="140">
        <f t="shared" si="95"/>
        <v>0</v>
      </c>
      <c r="OZ34" s="150"/>
      <c r="PA34" s="528"/>
      <c r="PB34" s="145"/>
      <c r="PC34" s="146"/>
      <c r="PD34" s="157" t="s">
        <v>84</v>
      </c>
      <c r="PE34" s="175"/>
      <c r="PF34" s="164"/>
      <c r="PG34" s="140">
        <f t="shared" si="96"/>
        <v>0</v>
      </c>
      <c r="PH34" s="150"/>
      <c r="PI34" s="528"/>
      <c r="PJ34" s="145"/>
      <c r="PK34" s="146"/>
      <c r="PL34" s="157" t="s">
        <v>84</v>
      </c>
      <c r="PM34" s="175"/>
      <c r="PN34" s="164"/>
      <c r="PO34" s="140">
        <f t="shared" si="97"/>
        <v>0</v>
      </c>
      <c r="PP34" s="150"/>
      <c r="PQ34" s="528"/>
      <c r="PR34" s="145"/>
      <c r="PS34" s="146"/>
      <c r="PT34" s="157" t="s">
        <v>84</v>
      </c>
      <c r="PU34" s="175"/>
      <c r="PV34" s="164"/>
      <c r="PW34" s="140">
        <f t="shared" si="98"/>
        <v>0</v>
      </c>
      <c r="PX34" s="150"/>
      <c r="PY34" s="528"/>
      <c r="PZ34" s="145"/>
      <c r="QA34" s="146"/>
      <c r="QB34" s="157" t="s">
        <v>84</v>
      </c>
      <c r="QC34" s="175"/>
      <c r="QD34" s="164"/>
      <c r="QE34" s="140">
        <f t="shared" si="99"/>
        <v>0</v>
      </c>
      <c r="QF34" s="150"/>
      <c r="QG34" s="528"/>
      <c r="QH34" s="145"/>
      <c r="QI34" s="146"/>
      <c r="QJ34" s="157" t="s">
        <v>84</v>
      </c>
      <c r="QK34" s="175"/>
      <c r="QL34" s="164"/>
      <c r="QM34" s="140">
        <f t="shared" si="100"/>
        <v>0</v>
      </c>
      <c r="QN34" s="150"/>
      <c r="QO34" s="528"/>
      <c r="QP34" s="145"/>
      <c r="QQ34" s="146"/>
      <c r="QR34" s="157" t="s">
        <v>84</v>
      </c>
      <c r="QS34" s="175"/>
      <c r="QT34" s="164"/>
      <c r="QU34" s="140">
        <f t="shared" si="101"/>
        <v>0</v>
      </c>
      <c r="QV34" s="150"/>
      <c r="QW34" s="528"/>
      <c r="QX34" s="145"/>
      <c r="QY34" s="146"/>
      <c r="QZ34" s="157" t="s">
        <v>84</v>
      </c>
      <c r="RA34" s="175"/>
      <c r="RB34" s="164"/>
      <c r="RC34" s="140">
        <f t="shared" si="102"/>
        <v>0</v>
      </c>
      <c r="RD34" s="150"/>
      <c r="RE34" s="528"/>
      <c r="RF34" s="145"/>
      <c r="RG34" s="146"/>
      <c r="RH34" s="157" t="s">
        <v>84</v>
      </c>
      <c r="RI34" s="175"/>
      <c r="RJ34" s="164"/>
      <c r="RK34" s="140">
        <f t="shared" si="103"/>
        <v>0</v>
      </c>
      <c r="RL34" s="150"/>
      <c r="RM34" s="528"/>
      <c r="RN34" s="145"/>
      <c r="RO34" s="146"/>
      <c r="RP34" s="157" t="s">
        <v>84</v>
      </c>
      <c r="RQ34" s="175"/>
      <c r="RR34" s="164"/>
      <c r="RS34" s="140">
        <f t="shared" si="104"/>
        <v>0</v>
      </c>
      <c r="RT34" s="150"/>
      <c r="RU34" s="528"/>
      <c r="RV34" s="145"/>
      <c r="RW34" s="146"/>
      <c r="RX34" s="157" t="s">
        <v>84</v>
      </c>
      <c r="RY34" s="175"/>
      <c r="RZ34" s="164"/>
      <c r="SA34" s="140">
        <f t="shared" si="105"/>
        <v>0</v>
      </c>
      <c r="SB34" s="150"/>
      <c r="SC34" s="528"/>
      <c r="SD34" s="145"/>
      <c r="SE34" s="146"/>
      <c r="SF34" s="157" t="s">
        <v>84</v>
      </c>
      <c r="SG34" s="175"/>
      <c r="SH34" s="164"/>
      <c r="SI34" s="140">
        <f t="shared" si="106"/>
        <v>0</v>
      </c>
      <c r="SJ34" s="150"/>
      <c r="SK34" s="528"/>
      <c r="SL34" s="145"/>
      <c r="SM34" s="146"/>
      <c r="SN34" s="157" t="s">
        <v>84</v>
      </c>
      <c r="SO34" s="175"/>
      <c r="SP34" s="164"/>
      <c r="SQ34" s="140">
        <f t="shared" si="107"/>
        <v>0</v>
      </c>
      <c r="SR34" s="150"/>
      <c r="SS34" s="528"/>
      <c r="ST34" s="145"/>
      <c r="SU34" s="146"/>
      <c r="SV34" s="157" t="s">
        <v>84</v>
      </c>
      <c r="SW34" s="175"/>
      <c r="SX34" s="164"/>
      <c r="SY34" s="140">
        <f t="shared" si="108"/>
        <v>0</v>
      </c>
      <c r="SZ34" s="150"/>
      <c r="TA34" s="528"/>
      <c r="TB34" s="145"/>
      <c r="TC34" s="146"/>
      <c r="TD34" s="157" t="s">
        <v>84</v>
      </c>
      <c r="TE34" s="175"/>
      <c r="TF34" s="164"/>
      <c r="TG34" s="140">
        <f t="shared" si="109"/>
        <v>0</v>
      </c>
      <c r="TH34" s="150"/>
      <c r="TI34" s="528"/>
    </row>
    <row r="35" spans="2:529">
      <c r="B35" s="151"/>
      <c r="C35" s="152"/>
      <c r="D35" s="145" t="s">
        <v>85</v>
      </c>
      <c r="E35" s="138"/>
      <c r="F35" s="164"/>
      <c r="G35" s="140">
        <f t="shared" si="0"/>
        <v>0</v>
      </c>
      <c r="H35" s="168">
        <f>SUM(G32:G35)</f>
        <v>61.008000000000003</v>
      </c>
      <c r="I35" s="528"/>
      <c r="J35" s="151"/>
      <c r="K35" s="152">
        <v>12</v>
      </c>
      <c r="L35" s="145" t="s">
        <v>85</v>
      </c>
      <c r="M35" s="138">
        <v>0</v>
      </c>
      <c r="N35" s="164"/>
      <c r="O35" s="140">
        <f t="shared" si="1"/>
        <v>0</v>
      </c>
      <c r="P35" s="168">
        <f>SUM(O32:O35)</f>
        <v>0</v>
      </c>
      <c r="Q35" s="528"/>
      <c r="R35" s="151"/>
      <c r="S35" s="152">
        <v>12</v>
      </c>
      <c r="T35" s="145" t="s">
        <v>85</v>
      </c>
      <c r="U35" s="138">
        <v>0</v>
      </c>
      <c r="V35" s="164"/>
      <c r="W35" s="140">
        <f t="shared" si="2"/>
        <v>0</v>
      </c>
      <c r="X35" s="168">
        <f>SUM(W32:W35)</f>
        <v>0</v>
      </c>
      <c r="Y35" s="528"/>
      <c r="Z35" s="151"/>
      <c r="AA35" s="152">
        <v>12</v>
      </c>
      <c r="AB35" s="145" t="s">
        <v>85</v>
      </c>
      <c r="AC35" s="138">
        <v>0</v>
      </c>
      <c r="AD35" s="164"/>
      <c r="AE35" s="140">
        <f t="shared" si="3"/>
        <v>0</v>
      </c>
      <c r="AF35" s="168">
        <f>SUM(AE32:AE35)</f>
        <v>0</v>
      </c>
      <c r="AG35" s="528"/>
      <c r="AH35" s="151"/>
      <c r="AI35" s="152">
        <v>12</v>
      </c>
      <c r="AJ35" s="145" t="s">
        <v>85</v>
      </c>
      <c r="AK35" s="138">
        <v>0</v>
      </c>
      <c r="AL35" s="164"/>
      <c r="AM35" s="140">
        <f t="shared" si="4"/>
        <v>0</v>
      </c>
      <c r="AN35" s="168">
        <f>SUM(AM32:AM35)</f>
        <v>0</v>
      </c>
      <c r="AO35" s="528"/>
      <c r="AP35" s="151"/>
      <c r="AQ35" s="152">
        <v>12</v>
      </c>
      <c r="AR35" s="145" t="s">
        <v>85</v>
      </c>
      <c r="AS35" s="138"/>
      <c r="AT35" s="164"/>
      <c r="AU35" s="140">
        <f t="shared" si="5"/>
        <v>0</v>
      </c>
      <c r="AV35" s="168">
        <f>SUM(AU32:AU35)</f>
        <v>0</v>
      </c>
      <c r="AW35" s="528"/>
      <c r="AX35" s="151"/>
      <c r="AY35" s="152">
        <v>12</v>
      </c>
      <c r="AZ35" s="145" t="s">
        <v>85</v>
      </c>
      <c r="BA35" s="138">
        <v>0</v>
      </c>
      <c r="BB35" s="164"/>
      <c r="BC35" s="140">
        <f t="shared" si="6"/>
        <v>0</v>
      </c>
      <c r="BD35" s="168">
        <f>SUM(BC32:BC35)</f>
        <v>69.481333333333339</v>
      </c>
      <c r="BE35" s="528"/>
      <c r="BF35" s="151"/>
      <c r="BG35" s="152">
        <v>12</v>
      </c>
      <c r="BH35" s="145" t="s">
        <v>85</v>
      </c>
      <c r="BI35" s="138"/>
      <c r="BJ35" s="164"/>
      <c r="BK35" s="140">
        <f t="shared" si="7"/>
        <v>0</v>
      </c>
      <c r="BL35" s="168">
        <f>SUM(BK32:BK35)</f>
        <v>66.091999999999999</v>
      </c>
      <c r="BM35" s="528"/>
      <c r="BN35" s="151"/>
      <c r="BO35" s="152">
        <v>12</v>
      </c>
      <c r="BP35" s="145" t="s">
        <v>85</v>
      </c>
      <c r="BQ35" s="138">
        <v>0</v>
      </c>
      <c r="BR35" s="164"/>
      <c r="BS35" s="140">
        <f t="shared" si="8"/>
        <v>0</v>
      </c>
      <c r="BT35" s="168">
        <f>SUM(BS32:BS35)</f>
        <v>13.557333333333334</v>
      </c>
      <c r="BU35" s="528"/>
      <c r="BV35" s="543"/>
      <c r="BW35" s="544"/>
      <c r="BX35" s="536" t="s">
        <v>85</v>
      </c>
      <c r="BY35" s="560"/>
      <c r="BZ35" s="580"/>
      <c r="CA35" s="562">
        <f t="shared" si="9"/>
        <v>0</v>
      </c>
      <c r="CB35" s="548">
        <f>SUM(CA32:CA35)</f>
        <v>0</v>
      </c>
      <c r="CC35" s="528"/>
      <c r="CD35" s="543"/>
      <c r="CE35" s="544"/>
      <c r="CF35" s="536" t="s">
        <v>85</v>
      </c>
      <c r="CG35" s="560"/>
      <c r="CH35" s="580"/>
      <c r="CI35" s="562">
        <f t="shared" si="10"/>
        <v>0</v>
      </c>
      <c r="CJ35" s="548">
        <f>SUM(CI32:CI35)</f>
        <v>0</v>
      </c>
      <c r="CK35" s="528"/>
      <c r="CL35" s="151"/>
      <c r="CM35" s="152">
        <v>12</v>
      </c>
      <c r="CN35" s="145" t="s">
        <v>85</v>
      </c>
      <c r="CO35" s="138">
        <v>0</v>
      </c>
      <c r="CP35" s="164"/>
      <c r="CQ35" s="140">
        <f t="shared" si="11"/>
        <v>0</v>
      </c>
      <c r="CR35" s="168">
        <f>SUM(CQ32:CQ35)</f>
        <v>44.061333333333337</v>
      </c>
      <c r="CS35" s="528"/>
      <c r="CT35" s="151"/>
      <c r="CU35" s="152">
        <v>12</v>
      </c>
      <c r="CV35" s="145" t="s">
        <v>85</v>
      </c>
      <c r="CW35" s="138"/>
      <c r="CX35" s="164"/>
      <c r="CY35" s="140">
        <f t="shared" si="12"/>
        <v>0</v>
      </c>
      <c r="CZ35" s="168">
        <f>SUM(CY32:CY35)</f>
        <v>66.091999999999999</v>
      </c>
      <c r="DA35" s="528"/>
      <c r="DB35" s="151"/>
      <c r="DC35" s="146"/>
      <c r="DD35" s="145" t="s">
        <v>85</v>
      </c>
      <c r="DE35" s="138"/>
      <c r="DF35" s="164"/>
      <c r="DG35" s="140">
        <f t="shared" si="13"/>
        <v>0</v>
      </c>
      <c r="DH35" s="168">
        <f>SUM(DG32:DG35)</f>
        <v>49.145333333333333</v>
      </c>
      <c r="DI35" s="528"/>
      <c r="DJ35" s="151"/>
      <c r="DK35" s="146"/>
      <c r="DL35" s="145" t="s">
        <v>85</v>
      </c>
      <c r="DM35" s="138"/>
      <c r="DN35" s="172"/>
      <c r="DO35" s="140">
        <f t="shared" si="14"/>
        <v>0</v>
      </c>
      <c r="DP35" s="168">
        <f>SUM(DO32:DO35)</f>
        <v>4592.5466666666671</v>
      </c>
      <c r="DQ35" s="528"/>
      <c r="DR35" s="151"/>
      <c r="DS35" s="146"/>
      <c r="DT35" s="145" t="s">
        <v>85</v>
      </c>
      <c r="DU35" s="138"/>
      <c r="DV35" s="172"/>
      <c r="DW35" s="140">
        <f t="shared" si="15"/>
        <v>0</v>
      </c>
      <c r="DX35" s="168">
        <f>SUM(DW32:DW35)</f>
        <v>0</v>
      </c>
      <c r="DY35" s="528"/>
      <c r="DZ35" s="151"/>
      <c r="EA35" s="146"/>
      <c r="EB35" s="145" t="s">
        <v>85</v>
      </c>
      <c r="EC35" s="138"/>
      <c r="ED35" s="172"/>
      <c r="EE35" s="140">
        <f t="shared" si="16"/>
        <v>0</v>
      </c>
      <c r="EF35" s="168">
        <f>SUM(EE32:EE35)</f>
        <v>0</v>
      </c>
      <c r="EG35" s="528"/>
      <c r="EH35" s="151"/>
      <c r="EI35" s="146"/>
      <c r="EJ35" s="145" t="s">
        <v>85</v>
      </c>
      <c r="EK35" s="138"/>
      <c r="EL35" s="172"/>
      <c r="EM35" s="140">
        <f t="shared" si="17"/>
        <v>0</v>
      </c>
      <c r="EN35" s="168">
        <f>SUM(EM32:EM35)</f>
        <v>0</v>
      </c>
      <c r="EO35" s="528"/>
      <c r="EP35" s="151"/>
      <c r="EQ35" s="146"/>
      <c r="ER35" s="145" t="s">
        <v>85</v>
      </c>
      <c r="ES35" s="138"/>
      <c r="ET35" s="172"/>
      <c r="EU35" s="140">
        <f t="shared" si="18"/>
        <v>0</v>
      </c>
      <c r="EV35" s="168">
        <f>SUM(EU32:EU35)</f>
        <v>0</v>
      </c>
      <c r="EW35" s="528"/>
      <c r="EX35" s="151"/>
      <c r="EY35" s="146"/>
      <c r="EZ35" s="145" t="s">
        <v>85</v>
      </c>
      <c r="FA35" s="138"/>
      <c r="FB35" s="172"/>
      <c r="FC35" s="140">
        <f t="shared" si="19"/>
        <v>0</v>
      </c>
      <c r="FD35" s="168">
        <f>SUM(FC32:FC35)</f>
        <v>0</v>
      </c>
      <c r="FE35" s="528"/>
      <c r="FF35" s="151"/>
      <c r="FG35" s="146"/>
      <c r="FH35" s="145" t="s">
        <v>85</v>
      </c>
      <c r="FI35" s="138"/>
      <c r="FJ35" s="172"/>
      <c r="FK35" s="140">
        <f t="shared" si="20"/>
        <v>0</v>
      </c>
      <c r="FL35" s="168">
        <f>SUM(FK32:FK35)</f>
        <v>0</v>
      </c>
      <c r="FM35" s="528"/>
      <c r="FN35" s="151"/>
      <c r="FO35" s="146"/>
      <c r="FP35" s="145" t="s">
        <v>85</v>
      </c>
      <c r="FQ35" s="138"/>
      <c r="FR35" s="172"/>
      <c r="FS35" s="140">
        <f t="shared" si="21"/>
        <v>0</v>
      </c>
      <c r="FT35" s="168">
        <f>SUM(FS32:FS35)</f>
        <v>0</v>
      </c>
      <c r="FU35" s="528"/>
      <c r="FV35" s="151"/>
      <c r="FW35" s="146"/>
      <c r="FX35" s="145" t="s">
        <v>85</v>
      </c>
      <c r="FY35" s="138"/>
      <c r="FZ35" s="172"/>
      <c r="GA35" s="140">
        <f t="shared" si="22"/>
        <v>0</v>
      </c>
      <c r="GB35" s="168">
        <f>SUM(GA32:GA35)</f>
        <v>0</v>
      </c>
      <c r="GC35" s="528"/>
      <c r="GD35" s="151"/>
      <c r="GE35" s="146"/>
      <c r="GF35" s="145" t="s">
        <v>85</v>
      </c>
      <c r="GG35" s="138"/>
      <c r="GH35" s="172"/>
      <c r="GI35" s="140">
        <f t="shared" si="23"/>
        <v>0</v>
      </c>
      <c r="GJ35" s="168">
        <f>SUM(GI32:GI35)</f>
        <v>0</v>
      </c>
      <c r="GK35" s="528"/>
      <c r="GL35" s="151"/>
      <c r="GM35" s="152"/>
      <c r="GN35" s="145" t="s">
        <v>85</v>
      </c>
      <c r="GO35" s="175">
        <v>0</v>
      </c>
      <c r="GP35" s="164"/>
      <c r="GQ35" s="140">
        <f t="shared" si="24"/>
        <v>0</v>
      </c>
      <c r="GR35" s="168">
        <f>SUM(GQ32:GQ35)</f>
        <v>108.45866666666667</v>
      </c>
      <c r="GS35" s="528"/>
      <c r="GT35" s="151"/>
      <c r="GU35" s="152"/>
      <c r="GV35" s="145" t="s">
        <v>85</v>
      </c>
      <c r="GW35" s="175">
        <v>0</v>
      </c>
      <c r="GX35" s="164"/>
      <c r="GY35" s="140">
        <f t="shared" si="25"/>
        <v>0</v>
      </c>
      <c r="GZ35" s="168">
        <f>SUM(GY32:GY35)</f>
        <v>0</v>
      </c>
      <c r="HA35" s="528"/>
      <c r="HB35" s="151"/>
      <c r="HC35" s="152"/>
      <c r="HD35" s="145" t="s">
        <v>85</v>
      </c>
      <c r="HE35" s="175">
        <v>0</v>
      </c>
      <c r="HF35" s="164"/>
      <c r="HG35" s="140">
        <f t="shared" si="26"/>
        <v>0</v>
      </c>
      <c r="HH35" s="168">
        <f>SUM(HG32:HG35)</f>
        <v>0</v>
      </c>
      <c r="HI35" s="528"/>
      <c r="HJ35" s="151"/>
      <c r="HK35" s="152"/>
      <c r="HL35" s="145" t="s">
        <v>85</v>
      </c>
      <c r="HM35" s="175">
        <v>0</v>
      </c>
      <c r="HN35" s="164"/>
      <c r="HO35" s="140">
        <f t="shared" si="27"/>
        <v>0</v>
      </c>
      <c r="HP35" s="168">
        <f>SUM(HO32:HO35)</f>
        <v>0</v>
      </c>
      <c r="HQ35" s="528"/>
      <c r="HR35" s="151"/>
      <c r="HS35" s="152"/>
      <c r="HT35" s="145" t="s">
        <v>85</v>
      </c>
      <c r="HU35" s="175">
        <v>0</v>
      </c>
      <c r="HV35" s="164"/>
      <c r="HW35" s="140">
        <f t="shared" si="28"/>
        <v>0</v>
      </c>
      <c r="HX35" s="168">
        <f>SUM(HW32:HW35)</f>
        <v>0</v>
      </c>
      <c r="HY35" s="528"/>
      <c r="HZ35" s="151"/>
      <c r="IA35" s="152"/>
      <c r="IB35" s="145" t="s">
        <v>85</v>
      </c>
      <c r="IC35" s="175">
        <v>0</v>
      </c>
      <c r="ID35" s="164"/>
      <c r="IE35" s="140">
        <f t="shared" si="29"/>
        <v>0</v>
      </c>
      <c r="IF35" s="168">
        <f>SUM(IE32:IE35)</f>
        <v>0</v>
      </c>
      <c r="IG35" s="528"/>
      <c r="IH35" s="151"/>
      <c r="II35" s="152"/>
      <c r="IJ35" s="145" t="s">
        <v>85</v>
      </c>
      <c r="IK35" s="175">
        <v>0</v>
      </c>
      <c r="IL35" s="164"/>
      <c r="IM35" s="140">
        <f t="shared" si="30"/>
        <v>0</v>
      </c>
      <c r="IN35" s="168">
        <f>SUM(IM32:IM35)</f>
        <v>0</v>
      </c>
      <c r="IO35" s="528"/>
      <c r="IP35" s="151"/>
      <c r="IQ35" s="152"/>
      <c r="IR35" s="145" t="s">
        <v>85</v>
      </c>
      <c r="IS35" s="175">
        <v>0</v>
      </c>
      <c r="IT35" s="164"/>
      <c r="IU35" s="140">
        <f t="shared" si="31"/>
        <v>0</v>
      </c>
      <c r="IV35" s="168">
        <f>SUM(IU32:IU35)</f>
        <v>76.260000000000005</v>
      </c>
      <c r="IW35" s="528"/>
      <c r="IX35" s="151"/>
      <c r="IY35" s="152"/>
      <c r="IZ35" s="145" t="s">
        <v>85</v>
      </c>
      <c r="JA35" s="175">
        <v>0</v>
      </c>
      <c r="JB35" s="164"/>
      <c r="JC35" s="140">
        <f t="shared" si="32"/>
        <v>0</v>
      </c>
      <c r="JD35" s="168">
        <f>SUM(JC32:JC35)</f>
        <v>153.36733333333333</v>
      </c>
      <c r="JE35" s="528"/>
      <c r="JF35" s="151"/>
      <c r="JG35" s="152"/>
      <c r="JH35" s="145" t="s">
        <v>85</v>
      </c>
      <c r="JI35" s="175">
        <v>0</v>
      </c>
      <c r="JJ35" s="164"/>
      <c r="JK35" s="140">
        <f t="shared" si="33"/>
        <v>0</v>
      </c>
      <c r="JL35" s="168">
        <f>SUM(JK32:JK35)</f>
        <v>155.90933333333334</v>
      </c>
      <c r="JM35" s="528"/>
      <c r="JN35" s="151"/>
      <c r="JO35" s="152"/>
      <c r="JP35" s="145" t="s">
        <v>85</v>
      </c>
      <c r="JQ35" s="175">
        <v>0</v>
      </c>
      <c r="JR35" s="164"/>
      <c r="JS35" s="140">
        <f t="shared" si="34"/>
        <v>0</v>
      </c>
      <c r="JT35" s="168">
        <f>SUM(JS32:JS35)</f>
        <v>546.53000000000009</v>
      </c>
      <c r="JU35" s="528"/>
      <c r="JV35" s="151"/>
      <c r="JW35" s="152"/>
      <c r="JX35" s="145" t="s">
        <v>85</v>
      </c>
      <c r="JY35" s="175">
        <v>0</v>
      </c>
      <c r="JZ35" s="164"/>
      <c r="KA35" s="140">
        <f t="shared" si="35"/>
        <v>0</v>
      </c>
      <c r="KB35" s="168">
        <f>SUM(KA32:KA35)</f>
        <v>43.214000000000006</v>
      </c>
      <c r="KC35" s="528"/>
      <c r="KD35" s="151"/>
      <c r="KE35" s="152"/>
      <c r="KF35" s="145" t="s">
        <v>85</v>
      </c>
      <c r="KG35" s="175">
        <v>0</v>
      </c>
      <c r="KH35" s="164"/>
      <c r="KI35" s="140">
        <f t="shared" si="36"/>
        <v>0</v>
      </c>
      <c r="KJ35" s="168">
        <f>SUM(KI32:KI35)</f>
        <v>114.39</v>
      </c>
      <c r="KK35" s="528"/>
      <c r="KL35" s="151"/>
      <c r="KM35" s="152"/>
      <c r="KN35" s="145" t="s">
        <v>85</v>
      </c>
      <c r="KO35" s="175">
        <v>0</v>
      </c>
      <c r="KP35" s="164"/>
      <c r="KQ35" s="140">
        <f t="shared" si="37"/>
        <v>0</v>
      </c>
      <c r="KR35" s="168">
        <f>SUM(KQ32:KQ35)</f>
        <v>0</v>
      </c>
      <c r="KS35" s="528"/>
      <c r="KT35" s="151"/>
      <c r="KU35" s="152"/>
      <c r="KV35" s="145" t="s">
        <v>85</v>
      </c>
      <c r="KW35" s="175">
        <v>0</v>
      </c>
      <c r="KX35" s="164"/>
      <c r="KY35" s="140">
        <f t="shared" si="38"/>
        <v>0</v>
      </c>
      <c r="KZ35" s="168">
        <f>SUM(KY32:KY35)</f>
        <v>0</v>
      </c>
      <c r="LA35" s="528"/>
      <c r="LB35" s="151"/>
      <c r="LC35" s="152"/>
      <c r="LD35" s="145" t="s">
        <v>85</v>
      </c>
      <c r="LE35" s="175">
        <v>0</v>
      </c>
      <c r="LF35" s="164"/>
      <c r="LG35" s="140">
        <f t="shared" si="39"/>
        <v>0</v>
      </c>
      <c r="LH35" s="168">
        <f>SUM(LG32:LG35)</f>
        <v>0</v>
      </c>
      <c r="LI35" s="528"/>
      <c r="LJ35" s="151"/>
      <c r="LK35" s="152"/>
      <c r="LL35" s="145" t="s">
        <v>85</v>
      </c>
      <c r="LM35" s="175">
        <v>0</v>
      </c>
      <c r="LN35" s="164"/>
      <c r="LO35" s="140">
        <f t="shared" si="40"/>
        <v>0</v>
      </c>
      <c r="LP35" s="168">
        <f>SUM(LO32:LO35)</f>
        <v>0</v>
      </c>
      <c r="LQ35" s="528"/>
      <c r="LR35" s="151"/>
      <c r="LS35" s="152"/>
      <c r="LT35" s="145" t="s">
        <v>85</v>
      </c>
      <c r="LU35" s="175"/>
      <c r="LV35" s="164"/>
      <c r="LW35" s="140">
        <f t="shared" si="41"/>
        <v>0</v>
      </c>
      <c r="LX35" s="168">
        <f>SUM(LW32:LW35)</f>
        <v>0</v>
      </c>
      <c r="LY35" s="528"/>
      <c r="LZ35" s="151"/>
      <c r="MA35" s="152"/>
      <c r="MB35" s="145" t="s">
        <v>85</v>
      </c>
      <c r="MC35" s="175"/>
      <c r="MD35" s="164"/>
      <c r="ME35" s="140">
        <f t="shared" si="42"/>
        <v>0</v>
      </c>
      <c r="MF35" s="168">
        <f>SUM(ME32:ME35)</f>
        <v>0</v>
      </c>
      <c r="MG35" s="528"/>
      <c r="MH35" s="151"/>
      <c r="MI35" s="152"/>
      <c r="MJ35" s="145" t="s">
        <v>85</v>
      </c>
      <c r="MK35" s="175"/>
      <c r="ML35" s="164"/>
      <c r="MM35" s="140">
        <f t="shared" si="43"/>
        <v>0</v>
      </c>
      <c r="MN35" s="168">
        <f>SUM(MM32:MM35)</f>
        <v>41.519333333333336</v>
      </c>
      <c r="MO35" s="528"/>
      <c r="MP35" s="151"/>
      <c r="MQ35" s="152"/>
      <c r="MR35" s="145" t="s">
        <v>85</v>
      </c>
      <c r="MS35" s="175"/>
      <c r="MT35" s="164"/>
      <c r="MU35" s="140">
        <f t="shared" si="44"/>
        <v>0</v>
      </c>
      <c r="MV35" s="168">
        <f>SUM(MU32:MU35)</f>
        <v>313.51333333333338</v>
      </c>
      <c r="MW35" s="528"/>
      <c r="MX35" s="151"/>
      <c r="MY35" s="152"/>
      <c r="MZ35" s="145" t="s">
        <v>85</v>
      </c>
      <c r="NA35" s="175"/>
      <c r="NB35" s="164"/>
      <c r="NC35" s="674">
        <f t="shared" si="131"/>
        <v>0</v>
      </c>
      <c r="ND35" s="159">
        <f>SUM(NC32:NC35)</f>
        <v>2126.3479487179488</v>
      </c>
      <c r="NE35" s="528"/>
      <c r="NF35" s="151"/>
      <c r="NG35" s="152"/>
      <c r="NH35" s="145" t="s">
        <v>85</v>
      </c>
      <c r="NI35" s="175"/>
      <c r="NJ35" s="164"/>
      <c r="NK35" s="674">
        <f t="shared" si="132"/>
        <v>0</v>
      </c>
      <c r="NL35" s="159">
        <f>SUM(NK32:NK35)</f>
        <v>2462.8605128205131</v>
      </c>
      <c r="NM35" s="528"/>
      <c r="NN35" s="151"/>
      <c r="NO35" s="152"/>
      <c r="NP35" s="145" t="s">
        <v>85</v>
      </c>
      <c r="NQ35" s="175"/>
      <c r="NR35" s="164"/>
      <c r="NS35" s="674">
        <f t="shared" si="91"/>
        <v>0</v>
      </c>
      <c r="NT35" s="159">
        <f>SUM(NS32:NS35)</f>
        <v>639.22692307692307</v>
      </c>
      <c r="NU35" s="528"/>
      <c r="NV35" s="151"/>
      <c r="NW35" s="152"/>
      <c r="NX35" s="145" t="s">
        <v>85</v>
      </c>
      <c r="NY35" s="175"/>
      <c r="NZ35" s="164"/>
      <c r="OA35" s="674">
        <f t="shared" si="92"/>
        <v>0</v>
      </c>
      <c r="OB35" s="159">
        <f>SUM(OA32:OA35)</f>
        <v>33.798205128205133</v>
      </c>
      <c r="OC35" s="528"/>
      <c r="OD35" s="151"/>
      <c r="OE35" s="152"/>
      <c r="OF35" s="145" t="s">
        <v>85</v>
      </c>
      <c r="OG35" s="175"/>
      <c r="OH35" s="164"/>
      <c r="OI35" s="674">
        <f t="shared" si="93"/>
        <v>0</v>
      </c>
      <c r="OJ35" s="159">
        <f>SUM(OI32:OI35)</f>
        <v>30.85923076923077</v>
      </c>
      <c r="OK35" s="528"/>
      <c r="OL35" s="151"/>
      <c r="OM35" s="152"/>
      <c r="ON35" s="145" t="s">
        <v>85</v>
      </c>
      <c r="OO35" s="175"/>
      <c r="OP35" s="164"/>
      <c r="OQ35" s="674">
        <f t="shared" si="94"/>
        <v>0</v>
      </c>
      <c r="OR35" s="159">
        <f>SUM(OQ32:OQ35)</f>
        <v>67.596410256410266</v>
      </c>
      <c r="OS35" s="528"/>
      <c r="OT35" s="151"/>
      <c r="OU35" s="152"/>
      <c r="OV35" s="145" t="s">
        <v>85</v>
      </c>
      <c r="OW35" s="175"/>
      <c r="OX35" s="164"/>
      <c r="OY35" s="674">
        <f t="shared" si="95"/>
        <v>0</v>
      </c>
      <c r="OZ35" s="159">
        <f>SUM(OY32:OY35)</f>
        <v>0</v>
      </c>
      <c r="PA35" s="528"/>
      <c r="PB35" s="151"/>
      <c r="PC35" s="152"/>
      <c r="PD35" s="145" t="s">
        <v>85</v>
      </c>
      <c r="PE35" s="175"/>
      <c r="PF35" s="164"/>
      <c r="PG35" s="674">
        <f t="shared" si="96"/>
        <v>0</v>
      </c>
      <c r="PH35" s="159">
        <f>SUM(PG32:PG35)</f>
        <v>0</v>
      </c>
      <c r="PI35" s="528"/>
      <c r="PJ35" s="151"/>
      <c r="PK35" s="152"/>
      <c r="PL35" s="145" t="s">
        <v>85</v>
      </c>
      <c r="PM35" s="175"/>
      <c r="PN35" s="164"/>
      <c r="PO35" s="674">
        <f t="shared" si="97"/>
        <v>0</v>
      </c>
      <c r="PP35" s="159">
        <f>SUM(PO32:PO35)</f>
        <v>22.042307692307695</v>
      </c>
      <c r="PQ35" s="528"/>
      <c r="PR35" s="151"/>
      <c r="PS35" s="152"/>
      <c r="PT35" s="145" t="s">
        <v>85</v>
      </c>
      <c r="PU35" s="175"/>
      <c r="PV35" s="164"/>
      <c r="PW35" s="674">
        <f t="shared" si="98"/>
        <v>0</v>
      </c>
      <c r="PX35" s="159">
        <f>SUM(PW32:PW35)</f>
        <v>102.86410256410257</v>
      </c>
      <c r="PY35" s="528"/>
      <c r="PZ35" s="151"/>
      <c r="QA35" s="152"/>
      <c r="QB35" s="145" t="s">
        <v>85</v>
      </c>
      <c r="QC35" s="175"/>
      <c r="QD35" s="164"/>
      <c r="QE35" s="674">
        <f t="shared" si="99"/>
        <v>0</v>
      </c>
      <c r="QF35" s="159">
        <f>SUM(QE32:QE35)</f>
        <v>584.85589743589742</v>
      </c>
      <c r="QG35" s="528"/>
      <c r="QH35" s="151"/>
      <c r="QI35" s="152"/>
      <c r="QJ35" s="145" t="s">
        <v>85</v>
      </c>
      <c r="QK35" s="175"/>
      <c r="QL35" s="164"/>
      <c r="QM35" s="674">
        <f t="shared" si="100"/>
        <v>0</v>
      </c>
      <c r="QN35" s="159">
        <f>SUM(QM32:QM35)</f>
        <v>1121.218717948718</v>
      </c>
      <c r="QO35" s="528"/>
      <c r="QP35" s="151"/>
      <c r="QQ35" s="152"/>
      <c r="QR35" s="145" t="s">
        <v>85</v>
      </c>
      <c r="QS35" s="175"/>
      <c r="QT35" s="164"/>
      <c r="QU35" s="674">
        <f t="shared" si="101"/>
        <v>0</v>
      </c>
      <c r="QV35" s="159">
        <f>SUM(QU32:QU35)</f>
        <v>411.45641025641027</v>
      </c>
      <c r="QW35" s="528"/>
      <c r="QX35" s="151"/>
      <c r="QY35" s="152"/>
      <c r="QZ35" s="145" t="s">
        <v>85</v>
      </c>
      <c r="RA35" s="175"/>
      <c r="RB35" s="164"/>
      <c r="RC35" s="674">
        <f t="shared" si="102"/>
        <v>0</v>
      </c>
      <c r="RD35" s="159">
        <f>SUM(RC32:RC35)</f>
        <v>0</v>
      </c>
      <c r="RE35" s="528"/>
      <c r="RF35" s="151"/>
      <c r="RG35" s="152"/>
      <c r="RH35" s="145" t="s">
        <v>85</v>
      </c>
      <c r="RI35" s="175"/>
      <c r="RJ35" s="164"/>
      <c r="RK35" s="674">
        <f t="shared" si="103"/>
        <v>0</v>
      </c>
      <c r="RL35" s="159">
        <f>SUM(RK32:RK35)</f>
        <v>0</v>
      </c>
      <c r="RM35" s="528"/>
      <c r="RN35" s="151"/>
      <c r="RO35" s="152"/>
      <c r="RP35" s="145" t="s">
        <v>85</v>
      </c>
      <c r="RQ35" s="175"/>
      <c r="RR35" s="164"/>
      <c r="RS35" s="674">
        <f t="shared" si="104"/>
        <v>0</v>
      </c>
      <c r="RT35" s="159">
        <f>SUM(RS32:RS35)</f>
        <v>82.291282051282053</v>
      </c>
      <c r="RU35" s="528"/>
      <c r="RV35" s="151"/>
      <c r="RW35" s="152"/>
      <c r="RX35" s="145" t="s">
        <v>85</v>
      </c>
      <c r="RY35" s="175"/>
      <c r="RZ35" s="164"/>
      <c r="SA35" s="674">
        <f t="shared" si="105"/>
        <v>0</v>
      </c>
      <c r="SB35" s="159">
        <f>SUM(SA32:SA35)</f>
        <v>0</v>
      </c>
      <c r="SC35" s="528"/>
      <c r="SD35" s="151"/>
      <c r="SE35" s="152"/>
      <c r="SF35" s="145" t="s">
        <v>85</v>
      </c>
      <c r="SG35" s="175"/>
      <c r="SH35" s="164"/>
      <c r="SI35" s="674">
        <f t="shared" si="106"/>
        <v>0</v>
      </c>
      <c r="SJ35" s="159">
        <f>SUM(SI32:SI35)</f>
        <v>0</v>
      </c>
      <c r="SK35" s="528"/>
      <c r="SL35" s="151"/>
      <c r="SM35" s="152"/>
      <c r="SN35" s="145" t="s">
        <v>85</v>
      </c>
      <c r="SO35" s="175"/>
      <c r="SP35" s="164"/>
      <c r="SQ35" s="674">
        <f t="shared" si="107"/>
        <v>0</v>
      </c>
      <c r="SR35" s="159">
        <f>SUM(SQ32:SQ35)</f>
        <v>48.493076923076927</v>
      </c>
      <c r="SS35" s="528"/>
      <c r="ST35" s="151"/>
      <c r="SU35" s="152"/>
      <c r="SV35" s="145" t="s">
        <v>85</v>
      </c>
      <c r="SW35" s="175"/>
      <c r="SX35" s="164"/>
      <c r="SY35" s="674">
        <f t="shared" si="108"/>
        <v>0</v>
      </c>
      <c r="SZ35" s="159">
        <f>SUM(SY32:SY35)</f>
        <v>0</v>
      </c>
      <c r="TA35" s="528"/>
      <c r="TB35" s="151"/>
      <c r="TC35" s="152"/>
      <c r="TD35" s="145" t="s">
        <v>85</v>
      </c>
      <c r="TE35" s="175"/>
      <c r="TF35" s="164"/>
      <c r="TG35" s="674">
        <f t="shared" si="109"/>
        <v>0</v>
      </c>
      <c r="TH35" s="159">
        <f>SUM(TG32:TG35)</f>
        <v>0</v>
      </c>
      <c r="TI35" s="528"/>
    </row>
    <row r="36" spans="2:529">
      <c r="B36" s="143" t="s">
        <v>87</v>
      </c>
      <c r="C36" s="163">
        <v>1</v>
      </c>
      <c r="D36" s="157" t="s">
        <v>14</v>
      </c>
      <c r="E36" s="138">
        <v>16</v>
      </c>
      <c r="F36" s="164">
        <v>0.75312500000000004</v>
      </c>
      <c r="G36" s="140">
        <f t="shared" si="0"/>
        <v>12.05</v>
      </c>
      <c r="H36" s="168">
        <f>E36*F36</f>
        <v>12.05</v>
      </c>
      <c r="I36" s="528"/>
      <c r="J36" s="143" t="s">
        <v>87</v>
      </c>
      <c r="K36" s="163">
        <v>1</v>
      </c>
      <c r="L36" s="157" t="s">
        <v>14</v>
      </c>
      <c r="M36" s="138">
        <v>11</v>
      </c>
      <c r="N36" s="164">
        <v>0.75312500000000004</v>
      </c>
      <c r="O36" s="140">
        <f t="shared" si="1"/>
        <v>8.2843750000000007</v>
      </c>
      <c r="P36" s="168">
        <f>M36*N36</f>
        <v>8.2843750000000007</v>
      </c>
      <c r="Q36" s="528"/>
      <c r="R36" s="143" t="s">
        <v>87</v>
      </c>
      <c r="S36" s="163"/>
      <c r="T36" s="157" t="s">
        <v>14</v>
      </c>
      <c r="U36" s="138">
        <v>0</v>
      </c>
      <c r="V36" s="164">
        <v>0.75312500000000004</v>
      </c>
      <c r="W36" s="140">
        <f t="shared" si="2"/>
        <v>0</v>
      </c>
      <c r="X36" s="168">
        <f>U36*V36</f>
        <v>0</v>
      </c>
      <c r="Y36" s="528"/>
      <c r="Z36" s="143" t="s">
        <v>87</v>
      </c>
      <c r="AA36" s="163"/>
      <c r="AB36" s="157" t="s">
        <v>14</v>
      </c>
      <c r="AC36" s="138">
        <v>0</v>
      </c>
      <c r="AD36" s="164">
        <v>0.75312500000000004</v>
      </c>
      <c r="AE36" s="140">
        <f t="shared" si="3"/>
        <v>0</v>
      </c>
      <c r="AF36" s="168">
        <f>AC36*AD36</f>
        <v>0</v>
      </c>
      <c r="AG36" s="528"/>
      <c r="AH36" s="143" t="s">
        <v>87</v>
      </c>
      <c r="AI36" s="163"/>
      <c r="AJ36" s="157" t="s">
        <v>14</v>
      </c>
      <c r="AK36" s="138">
        <v>0</v>
      </c>
      <c r="AL36" s="164">
        <v>0.75312500000000004</v>
      </c>
      <c r="AM36" s="140">
        <f t="shared" si="4"/>
        <v>0</v>
      </c>
      <c r="AN36" s="168">
        <f>AK36*AL36</f>
        <v>0</v>
      </c>
      <c r="AO36" s="528"/>
      <c r="AP36" s="143" t="s">
        <v>87</v>
      </c>
      <c r="AQ36" s="163"/>
      <c r="AR36" s="157" t="s">
        <v>14</v>
      </c>
      <c r="AS36" s="138"/>
      <c r="AT36" s="164">
        <v>0.75312500000000004</v>
      </c>
      <c r="AU36" s="140">
        <f t="shared" si="5"/>
        <v>0</v>
      </c>
      <c r="AV36" s="168">
        <f>AS36*AT36</f>
        <v>0</v>
      </c>
      <c r="AW36" s="528"/>
      <c r="AX36" s="143" t="s">
        <v>87</v>
      </c>
      <c r="AY36" s="163">
        <v>7</v>
      </c>
      <c r="AZ36" s="157" t="s">
        <v>14</v>
      </c>
      <c r="BA36" s="138">
        <v>273</v>
      </c>
      <c r="BB36" s="164">
        <v>0.75312500000000004</v>
      </c>
      <c r="BC36" s="140">
        <f t="shared" si="6"/>
        <v>205.60312500000001</v>
      </c>
      <c r="BD36" s="168">
        <f>BA36*BB36</f>
        <v>205.60312500000001</v>
      </c>
      <c r="BE36" s="528"/>
      <c r="BF36" s="143" t="s">
        <v>87</v>
      </c>
      <c r="BG36" s="163">
        <v>7</v>
      </c>
      <c r="BH36" s="157" t="s">
        <v>14</v>
      </c>
      <c r="BI36" s="138">
        <v>722</v>
      </c>
      <c r="BJ36" s="164">
        <v>0.75312500000000004</v>
      </c>
      <c r="BK36" s="140">
        <f t="shared" si="7"/>
        <v>543.75625000000002</v>
      </c>
      <c r="BL36" s="168">
        <f>BI36*BJ36</f>
        <v>543.75625000000002</v>
      </c>
      <c r="BM36" s="528"/>
      <c r="BN36" s="143" t="s">
        <v>87</v>
      </c>
      <c r="BO36" s="163"/>
      <c r="BP36" s="157" t="s">
        <v>14</v>
      </c>
      <c r="BQ36" s="138">
        <v>0</v>
      </c>
      <c r="BR36" s="164">
        <v>0.75312500000000004</v>
      </c>
      <c r="BS36" s="140">
        <f t="shared" si="8"/>
        <v>0</v>
      </c>
      <c r="BT36" s="168">
        <f>BQ36*BR36</f>
        <v>0</v>
      </c>
      <c r="BU36" s="528"/>
      <c r="BV36" s="564" t="s">
        <v>87</v>
      </c>
      <c r="BW36" s="579"/>
      <c r="BX36" s="574" t="s">
        <v>14</v>
      </c>
      <c r="BY36" s="560"/>
      <c r="BZ36" s="580">
        <v>0.75312500000000004</v>
      </c>
      <c r="CA36" s="562">
        <f t="shared" si="9"/>
        <v>0</v>
      </c>
      <c r="CB36" s="548">
        <f>BY36*BZ36</f>
        <v>0</v>
      </c>
      <c r="CC36" s="528"/>
      <c r="CD36" s="564" t="s">
        <v>87</v>
      </c>
      <c r="CE36" s="579"/>
      <c r="CF36" s="574" t="s">
        <v>14</v>
      </c>
      <c r="CG36" s="560"/>
      <c r="CH36" s="580">
        <v>0.75312500000000004</v>
      </c>
      <c r="CI36" s="562">
        <f t="shared" si="10"/>
        <v>0</v>
      </c>
      <c r="CJ36" s="548">
        <f>CG36*CH36</f>
        <v>0</v>
      </c>
      <c r="CK36" s="528"/>
      <c r="CL36" s="143" t="s">
        <v>87</v>
      </c>
      <c r="CM36" s="163">
        <v>4</v>
      </c>
      <c r="CN36" s="157" t="s">
        <v>14</v>
      </c>
      <c r="CO36" s="138">
        <v>76</v>
      </c>
      <c r="CP36" s="164">
        <v>0.75312500000000004</v>
      </c>
      <c r="CQ36" s="140">
        <f t="shared" si="11"/>
        <v>57.237500000000004</v>
      </c>
      <c r="CR36" s="168">
        <f>CO36*CP36</f>
        <v>57.237500000000004</v>
      </c>
      <c r="CS36" s="528"/>
      <c r="CT36" s="143" t="s">
        <v>87</v>
      </c>
      <c r="CU36" s="163">
        <v>7</v>
      </c>
      <c r="CV36" s="157" t="s">
        <v>14</v>
      </c>
      <c r="CW36" s="138">
        <v>722</v>
      </c>
      <c r="CX36" s="164">
        <v>0.75312500000000004</v>
      </c>
      <c r="CY36" s="140">
        <f t="shared" si="12"/>
        <v>543.75625000000002</v>
      </c>
      <c r="CZ36" s="168">
        <f>CW36*CX36</f>
        <v>543.75625000000002</v>
      </c>
      <c r="DA36" s="528"/>
      <c r="DB36" s="143" t="s">
        <v>87</v>
      </c>
      <c r="DC36" s="163"/>
      <c r="DD36" s="157" t="s">
        <v>14</v>
      </c>
      <c r="DE36" s="138">
        <v>0</v>
      </c>
      <c r="DF36" s="164">
        <v>0.75312500000000004</v>
      </c>
      <c r="DG36" s="140">
        <f t="shared" si="13"/>
        <v>0</v>
      </c>
      <c r="DH36" s="168">
        <f>DE36*DF36</f>
        <v>0</v>
      </c>
      <c r="DI36" s="528"/>
      <c r="DJ36" s="143" t="s">
        <v>87</v>
      </c>
      <c r="DK36" s="163"/>
      <c r="DL36" s="157" t="s">
        <v>14</v>
      </c>
      <c r="DM36" s="138">
        <v>0</v>
      </c>
      <c r="DN36" s="172">
        <v>0.75312500000000004</v>
      </c>
      <c r="DO36" s="140">
        <f t="shared" si="14"/>
        <v>0</v>
      </c>
      <c r="DP36" s="168">
        <f>DM36*DN36</f>
        <v>0</v>
      </c>
      <c r="DQ36" s="528"/>
      <c r="DR36" s="143" t="s">
        <v>87</v>
      </c>
      <c r="DS36" s="163"/>
      <c r="DT36" s="157" t="s">
        <v>14</v>
      </c>
      <c r="DU36" s="138"/>
      <c r="DV36" s="172">
        <v>0.75312500000000004</v>
      </c>
      <c r="DW36" s="140">
        <f t="shared" si="15"/>
        <v>0</v>
      </c>
      <c r="DX36" s="168">
        <f>DU36*DV36</f>
        <v>0</v>
      </c>
      <c r="DY36" s="528"/>
      <c r="DZ36" s="143" t="s">
        <v>87</v>
      </c>
      <c r="EA36" s="163">
        <v>0</v>
      </c>
      <c r="EB36" s="157" t="s">
        <v>14</v>
      </c>
      <c r="EC36" s="138">
        <v>0</v>
      </c>
      <c r="ED36" s="172">
        <v>0.75312500000000004</v>
      </c>
      <c r="EE36" s="140">
        <f t="shared" si="16"/>
        <v>0</v>
      </c>
      <c r="EF36" s="168">
        <f>EC36*ED36</f>
        <v>0</v>
      </c>
      <c r="EG36" s="528"/>
      <c r="EH36" s="143" t="s">
        <v>87</v>
      </c>
      <c r="EI36" s="163">
        <v>0</v>
      </c>
      <c r="EJ36" s="157" t="s">
        <v>14</v>
      </c>
      <c r="EK36" s="138">
        <v>0</v>
      </c>
      <c r="EL36" s="172">
        <v>0.75312500000000004</v>
      </c>
      <c r="EM36" s="140">
        <f t="shared" si="17"/>
        <v>0</v>
      </c>
      <c r="EN36" s="168">
        <f>EK36*EL36</f>
        <v>0</v>
      </c>
      <c r="EO36" s="528"/>
      <c r="EP36" s="143" t="s">
        <v>87</v>
      </c>
      <c r="EQ36" s="163">
        <v>4</v>
      </c>
      <c r="ER36" s="157" t="s">
        <v>14</v>
      </c>
      <c r="ES36" s="138">
        <v>59</v>
      </c>
      <c r="ET36" s="172">
        <v>0.75312500000000004</v>
      </c>
      <c r="EU36" s="140">
        <f t="shared" si="18"/>
        <v>44.434375000000003</v>
      </c>
      <c r="EV36" s="168">
        <f>ES36*ET36</f>
        <v>44.434375000000003</v>
      </c>
      <c r="EW36" s="528"/>
      <c r="EX36" s="143" t="s">
        <v>87</v>
      </c>
      <c r="EY36" s="163"/>
      <c r="EZ36" s="157" t="s">
        <v>14</v>
      </c>
      <c r="FA36" s="138"/>
      <c r="FB36" s="172">
        <v>0.75312500000000004</v>
      </c>
      <c r="FC36" s="140">
        <f t="shared" si="19"/>
        <v>0</v>
      </c>
      <c r="FD36" s="168">
        <f>FA36*FB36</f>
        <v>0</v>
      </c>
      <c r="FE36" s="528"/>
      <c r="FF36" s="143" t="s">
        <v>87</v>
      </c>
      <c r="FG36" s="163"/>
      <c r="FH36" s="157" t="s">
        <v>14</v>
      </c>
      <c r="FI36" s="138"/>
      <c r="FJ36" s="172">
        <v>0.75312500000000004</v>
      </c>
      <c r="FK36" s="140">
        <f t="shared" si="20"/>
        <v>0</v>
      </c>
      <c r="FL36" s="168">
        <f>FI36*FJ36</f>
        <v>0</v>
      </c>
      <c r="FM36" s="528"/>
      <c r="FN36" s="143" t="s">
        <v>87</v>
      </c>
      <c r="FO36" s="163"/>
      <c r="FP36" s="157" t="s">
        <v>14</v>
      </c>
      <c r="FQ36" s="138"/>
      <c r="FR36" s="172">
        <v>0.75312500000000004</v>
      </c>
      <c r="FS36" s="140">
        <f t="shared" si="21"/>
        <v>0</v>
      </c>
      <c r="FT36" s="168">
        <f>FQ36*FR36</f>
        <v>0</v>
      </c>
      <c r="FU36" s="528"/>
      <c r="FV36" s="143" t="s">
        <v>87</v>
      </c>
      <c r="FW36" s="163"/>
      <c r="FX36" s="157" t="s">
        <v>14</v>
      </c>
      <c r="FY36" s="138"/>
      <c r="FZ36" s="172">
        <v>0.75312500000000004</v>
      </c>
      <c r="GA36" s="140">
        <f t="shared" si="22"/>
        <v>0</v>
      </c>
      <c r="GB36" s="168">
        <f>FY36*FZ36</f>
        <v>0</v>
      </c>
      <c r="GC36" s="528"/>
      <c r="GD36" s="143" t="s">
        <v>87</v>
      </c>
      <c r="GE36" s="163"/>
      <c r="GF36" s="157" t="s">
        <v>14</v>
      </c>
      <c r="GG36" s="138"/>
      <c r="GH36" s="172">
        <v>0.75312500000000004</v>
      </c>
      <c r="GI36" s="140">
        <f t="shared" si="23"/>
        <v>0</v>
      </c>
      <c r="GJ36" s="168">
        <f>GG36*GH36</f>
        <v>0</v>
      </c>
      <c r="GK36" s="528"/>
      <c r="GL36" s="143" t="s">
        <v>87</v>
      </c>
      <c r="GM36" s="163">
        <v>7</v>
      </c>
      <c r="GN36" s="157" t="s">
        <v>14</v>
      </c>
      <c r="GO36" s="175">
        <v>722</v>
      </c>
      <c r="GP36" s="164">
        <v>0.75312500000000004</v>
      </c>
      <c r="GQ36" s="140">
        <f t="shared" si="24"/>
        <v>543.75625000000002</v>
      </c>
      <c r="GR36" s="168">
        <f>GO36*GP36</f>
        <v>543.75625000000002</v>
      </c>
      <c r="GS36" s="528"/>
      <c r="GT36" s="143" t="s">
        <v>87</v>
      </c>
      <c r="GU36" s="163">
        <v>0</v>
      </c>
      <c r="GV36" s="157" t="s">
        <v>14</v>
      </c>
      <c r="GW36" s="175">
        <v>0</v>
      </c>
      <c r="GX36" s="164">
        <v>0.75312500000000004</v>
      </c>
      <c r="GY36" s="140">
        <f t="shared" si="25"/>
        <v>0</v>
      </c>
      <c r="GZ36" s="168">
        <f>GW36*GX36</f>
        <v>0</v>
      </c>
      <c r="HA36" s="528"/>
      <c r="HB36" s="143" t="s">
        <v>87</v>
      </c>
      <c r="HC36" s="163">
        <v>0</v>
      </c>
      <c r="HD36" s="157" t="s">
        <v>14</v>
      </c>
      <c r="HE36" s="175">
        <v>0</v>
      </c>
      <c r="HF36" s="164">
        <v>0.75312500000000004</v>
      </c>
      <c r="HG36" s="140">
        <f t="shared" si="26"/>
        <v>0</v>
      </c>
      <c r="HH36" s="168">
        <f>HE36*HF36</f>
        <v>0</v>
      </c>
      <c r="HI36" s="528"/>
      <c r="HJ36" s="143" t="s">
        <v>87</v>
      </c>
      <c r="HK36" s="163">
        <v>0</v>
      </c>
      <c r="HL36" s="157" t="s">
        <v>14</v>
      </c>
      <c r="HM36" s="175">
        <v>0</v>
      </c>
      <c r="HN36" s="164">
        <v>0.75312500000000004</v>
      </c>
      <c r="HO36" s="140">
        <f t="shared" si="27"/>
        <v>0</v>
      </c>
      <c r="HP36" s="168">
        <f>HM36*HN36</f>
        <v>0</v>
      </c>
      <c r="HQ36" s="528"/>
      <c r="HR36" s="143" t="s">
        <v>87</v>
      </c>
      <c r="HS36" s="163">
        <v>0</v>
      </c>
      <c r="HT36" s="157" t="s">
        <v>14</v>
      </c>
      <c r="HU36" s="175">
        <v>0</v>
      </c>
      <c r="HV36" s="164">
        <v>0.75312500000000004</v>
      </c>
      <c r="HW36" s="140">
        <f t="shared" si="28"/>
        <v>0</v>
      </c>
      <c r="HX36" s="168">
        <f>HU36*HV36</f>
        <v>0</v>
      </c>
      <c r="HY36" s="528"/>
      <c r="HZ36" s="143" t="s">
        <v>87</v>
      </c>
      <c r="IA36" s="163">
        <v>0</v>
      </c>
      <c r="IB36" s="157" t="s">
        <v>14</v>
      </c>
      <c r="IC36" s="175">
        <v>0</v>
      </c>
      <c r="ID36" s="164">
        <v>0.75312500000000004</v>
      </c>
      <c r="IE36" s="140">
        <f t="shared" si="29"/>
        <v>0</v>
      </c>
      <c r="IF36" s="168">
        <f>IC36*ID36</f>
        <v>0</v>
      </c>
      <c r="IG36" s="528"/>
      <c r="IH36" s="143" t="s">
        <v>87</v>
      </c>
      <c r="II36" s="163">
        <v>2</v>
      </c>
      <c r="IJ36" s="157" t="s">
        <v>14</v>
      </c>
      <c r="IK36" s="175">
        <v>3</v>
      </c>
      <c r="IL36" s="164">
        <v>0.75312500000000004</v>
      </c>
      <c r="IM36" s="140">
        <f t="shared" si="30"/>
        <v>2.2593750000000004</v>
      </c>
      <c r="IN36" s="168">
        <f>IK36*IL36</f>
        <v>2.2593750000000004</v>
      </c>
      <c r="IO36" s="528"/>
      <c r="IP36" s="143" t="s">
        <v>87</v>
      </c>
      <c r="IQ36" s="163">
        <v>20</v>
      </c>
      <c r="IR36" s="157" t="s">
        <v>14</v>
      </c>
      <c r="IS36" s="175">
        <v>430</v>
      </c>
      <c r="IT36" s="164">
        <v>0.75312500000000004</v>
      </c>
      <c r="IU36" s="140">
        <f t="shared" si="31"/>
        <v>323.84375</v>
      </c>
      <c r="IV36" s="168">
        <f>IS36*IT36</f>
        <v>323.84375</v>
      </c>
      <c r="IW36" s="528"/>
      <c r="IX36" s="143" t="s">
        <v>87</v>
      </c>
      <c r="IY36" s="163">
        <v>28</v>
      </c>
      <c r="IZ36" s="157" t="s">
        <v>14</v>
      </c>
      <c r="JA36" s="175">
        <v>1338</v>
      </c>
      <c r="JB36" s="164">
        <v>0.75312500000000004</v>
      </c>
      <c r="JC36" s="140">
        <f t="shared" si="32"/>
        <v>1007.6812500000001</v>
      </c>
      <c r="JD36" s="168">
        <f>JA36*JB36</f>
        <v>1007.6812500000001</v>
      </c>
      <c r="JE36" s="528"/>
      <c r="JF36" s="143" t="s">
        <v>87</v>
      </c>
      <c r="JG36" s="163">
        <v>3</v>
      </c>
      <c r="JH36" s="157" t="s">
        <v>14</v>
      </c>
      <c r="JI36" s="175">
        <v>20</v>
      </c>
      <c r="JJ36" s="164">
        <v>0.75312500000000004</v>
      </c>
      <c r="JK36" s="140">
        <f t="shared" si="33"/>
        <v>15.0625</v>
      </c>
      <c r="JL36" s="168">
        <f>JI36*JJ36</f>
        <v>15.0625</v>
      </c>
      <c r="JM36" s="528"/>
      <c r="JN36" s="143" t="s">
        <v>87</v>
      </c>
      <c r="JO36" s="163">
        <v>9</v>
      </c>
      <c r="JP36" s="157" t="s">
        <v>14</v>
      </c>
      <c r="JQ36" s="175">
        <v>1148</v>
      </c>
      <c r="JR36" s="164">
        <v>0.75312500000000004</v>
      </c>
      <c r="JS36" s="140">
        <f t="shared" si="34"/>
        <v>864.58750000000009</v>
      </c>
      <c r="JT36" s="168">
        <f>JQ36*JR36</f>
        <v>864.58750000000009</v>
      </c>
      <c r="JU36" s="528"/>
      <c r="JV36" s="143" t="s">
        <v>87</v>
      </c>
      <c r="JW36" s="163">
        <v>14</v>
      </c>
      <c r="JX36" s="157" t="s">
        <v>14</v>
      </c>
      <c r="JY36" s="175">
        <v>210</v>
      </c>
      <c r="JZ36" s="164">
        <v>0.75312500000000004</v>
      </c>
      <c r="KA36" s="140">
        <f t="shared" si="35"/>
        <v>158.15625</v>
      </c>
      <c r="KB36" s="168">
        <f>JY36*JZ36</f>
        <v>158.15625</v>
      </c>
      <c r="KC36" s="528"/>
      <c r="KD36" s="143" t="s">
        <v>87</v>
      </c>
      <c r="KE36" s="163">
        <v>6</v>
      </c>
      <c r="KF36" s="157" t="s">
        <v>14</v>
      </c>
      <c r="KG36" s="175">
        <v>174</v>
      </c>
      <c r="KH36" s="164">
        <v>0.75312500000000004</v>
      </c>
      <c r="KI36" s="140">
        <f t="shared" si="36"/>
        <v>131.04375000000002</v>
      </c>
      <c r="KJ36" s="168">
        <f>KG36*KH36</f>
        <v>131.04375000000002</v>
      </c>
      <c r="KK36" s="528"/>
      <c r="KL36" s="143" t="s">
        <v>87</v>
      </c>
      <c r="KM36" s="163">
        <v>0</v>
      </c>
      <c r="KN36" s="157" t="s">
        <v>14</v>
      </c>
      <c r="KO36" s="175">
        <v>0</v>
      </c>
      <c r="KP36" s="164">
        <v>0.75312500000000004</v>
      </c>
      <c r="KQ36" s="140">
        <f t="shared" si="37"/>
        <v>0</v>
      </c>
      <c r="KR36" s="168">
        <f>KO36*KP36</f>
        <v>0</v>
      </c>
      <c r="KS36" s="528"/>
      <c r="KT36" s="143" t="s">
        <v>87</v>
      </c>
      <c r="KU36" s="163">
        <v>0</v>
      </c>
      <c r="KV36" s="157" t="s">
        <v>14</v>
      </c>
      <c r="KW36" s="175">
        <v>0</v>
      </c>
      <c r="KX36" s="164">
        <v>0.75312500000000004</v>
      </c>
      <c r="KY36" s="140">
        <f t="shared" si="38"/>
        <v>0</v>
      </c>
      <c r="KZ36" s="168">
        <f>KW36*KX36</f>
        <v>0</v>
      </c>
      <c r="LA36" s="528"/>
      <c r="LB36" s="143" t="s">
        <v>87</v>
      </c>
      <c r="LC36" s="163">
        <v>1</v>
      </c>
      <c r="LD36" s="157" t="s">
        <v>14</v>
      </c>
      <c r="LE36" s="175">
        <v>11</v>
      </c>
      <c r="LF36" s="164">
        <v>0.75312500000000004</v>
      </c>
      <c r="LG36" s="140">
        <f t="shared" si="39"/>
        <v>8.2843750000000007</v>
      </c>
      <c r="LH36" s="168">
        <f>LE36*LF36</f>
        <v>8.2843750000000007</v>
      </c>
      <c r="LI36" s="528"/>
      <c r="LJ36" s="143" t="s">
        <v>87</v>
      </c>
      <c r="LK36" s="163">
        <v>0</v>
      </c>
      <c r="LL36" s="157" t="s">
        <v>14</v>
      </c>
      <c r="LM36" s="175">
        <v>0</v>
      </c>
      <c r="LN36" s="164">
        <v>0.75312500000000004</v>
      </c>
      <c r="LO36" s="140">
        <f t="shared" si="40"/>
        <v>0</v>
      </c>
      <c r="LP36" s="168">
        <f>LM36*LN36</f>
        <v>0</v>
      </c>
      <c r="LQ36" s="528"/>
      <c r="LR36" s="143" t="s">
        <v>87</v>
      </c>
      <c r="LS36" s="163">
        <v>0</v>
      </c>
      <c r="LT36" s="157" t="s">
        <v>14</v>
      </c>
      <c r="LU36" s="175">
        <v>0</v>
      </c>
      <c r="LV36" s="164">
        <v>0.75312500000000004</v>
      </c>
      <c r="LW36" s="140">
        <f t="shared" si="41"/>
        <v>0</v>
      </c>
      <c r="LX36" s="168">
        <f>LU36*LV36</f>
        <v>0</v>
      </c>
      <c r="LY36" s="528"/>
      <c r="LZ36" s="143" t="s">
        <v>87</v>
      </c>
      <c r="MA36" s="163">
        <v>2</v>
      </c>
      <c r="MB36" s="157" t="s">
        <v>14</v>
      </c>
      <c r="MC36" s="175">
        <v>25</v>
      </c>
      <c r="MD36" s="164">
        <v>0.75312500000000004</v>
      </c>
      <c r="ME36" s="140">
        <f t="shared" si="42"/>
        <v>18.828125</v>
      </c>
      <c r="MF36" s="168">
        <f>MC36*MD36</f>
        <v>18.828125</v>
      </c>
      <c r="MG36" s="528"/>
      <c r="MH36" s="143" t="s">
        <v>87</v>
      </c>
      <c r="MI36" s="163">
        <v>6</v>
      </c>
      <c r="MJ36" s="157" t="s">
        <v>14</v>
      </c>
      <c r="MK36" s="175">
        <v>40</v>
      </c>
      <c r="ML36" s="164">
        <v>0.75312500000000004</v>
      </c>
      <c r="MM36" s="140">
        <f t="shared" si="43"/>
        <v>30.125</v>
      </c>
      <c r="MN36" s="168">
        <f>MK36*ML36</f>
        <v>30.125</v>
      </c>
      <c r="MO36" s="528"/>
      <c r="MP36" s="143" t="s">
        <v>87</v>
      </c>
      <c r="MQ36" s="163">
        <v>7</v>
      </c>
      <c r="MR36" s="157" t="s">
        <v>14</v>
      </c>
      <c r="MS36" s="175">
        <v>81</v>
      </c>
      <c r="MT36" s="164">
        <v>0.75312500000000004</v>
      </c>
      <c r="MU36" s="140">
        <f t="shared" si="44"/>
        <v>61.003125000000004</v>
      </c>
      <c r="MV36" s="168">
        <f>MS36*MT36</f>
        <v>61.003125000000004</v>
      </c>
      <c r="MW36" s="528"/>
      <c r="MX36" s="143" t="s">
        <v>359</v>
      </c>
      <c r="MY36" s="144">
        <v>11</v>
      </c>
      <c r="MZ36" s="157" t="s">
        <v>14</v>
      </c>
      <c r="NA36" s="175">
        <v>219</v>
      </c>
      <c r="NB36" s="164">
        <v>0.84733333333333338</v>
      </c>
      <c r="NC36" s="674">
        <f t="shared" si="131"/>
        <v>185.566</v>
      </c>
      <c r="ND36" s="150"/>
      <c r="NE36" s="528"/>
      <c r="NF36" s="143" t="s">
        <v>359</v>
      </c>
      <c r="NG36" s="144">
        <v>5</v>
      </c>
      <c r="NH36" s="157" t="s">
        <v>14</v>
      </c>
      <c r="NI36" s="175">
        <v>184</v>
      </c>
      <c r="NJ36" s="164">
        <v>0.84733333333333338</v>
      </c>
      <c r="NK36" s="674">
        <f t="shared" si="132"/>
        <v>155.90933333333334</v>
      </c>
      <c r="NL36" s="150"/>
      <c r="NM36" s="528"/>
      <c r="NN36" s="143" t="s">
        <v>359</v>
      </c>
      <c r="NO36" s="144">
        <v>4</v>
      </c>
      <c r="NP36" s="157" t="s">
        <v>14</v>
      </c>
      <c r="NQ36" s="175">
        <v>41</v>
      </c>
      <c r="NR36" s="164">
        <v>0.84733333333333338</v>
      </c>
      <c r="NS36" s="674">
        <f t="shared" si="91"/>
        <v>34.740666666666669</v>
      </c>
      <c r="NT36" s="150"/>
      <c r="NU36" s="528"/>
      <c r="NV36" s="143" t="s">
        <v>359</v>
      </c>
      <c r="NW36" s="144">
        <v>3</v>
      </c>
      <c r="NX36" s="157" t="s">
        <v>14</v>
      </c>
      <c r="NY36" s="175">
        <v>15</v>
      </c>
      <c r="NZ36" s="164">
        <v>0.84733333333333338</v>
      </c>
      <c r="OA36" s="674">
        <f t="shared" si="92"/>
        <v>12.71</v>
      </c>
      <c r="OB36" s="150"/>
      <c r="OC36" s="528"/>
      <c r="OD36" s="143" t="s">
        <v>359</v>
      </c>
      <c r="OE36" s="144"/>
      <c r="OF36" s="157" t="s">
        <v>14</v>
      </c>
      <c r="OG36" s="175"/>
      <c r="OH36" s="164">
        <v>0.84733333333333338</v>
      </c>
      <c r="OI36" s="674">
        <f t="shared" si="93"/>
        <v>0</v>
      </c>
      <c r="OJ36" s="150"/>
      <c r="OK36" s="528"/>
      <c r="OL36" s="143" t="s">
        <v>359</v>
      </c>
      <c r="OM36" s="144"/>
      <c r="ON36" s="157" t="s">
        <v>14</v>
      </c>
      <c r="OO36" s="175"/>
      <c r="OP36" s="164">
        <v>0.84733333333333338</v>
      </c>
      <c r="OQ36" s="674">
        <f t="shared" si="94"/>
        <v>0</v>
      </c>
      <c r="OR36" s="150"/>
      <c r="OS36" s="528"/>
      <c r="OT36" s="143" t="s">
        <v>359</v>
      </c>
      <c r="OU36" s="144"/>
      <c r="OV36" s="157" t="s">
        <v>14</v>
      </c>
      <c r="OW36" s="175"/>
      <c r="OX36" s="164">
        <v>0.84733333333333338</v>
      </c>
      <c r="OY36" s="674">
        <f t="shared" si="95"/>
        <v>0</v>
      </c>
      <c r="OZ36" s="150"/>
      <c r="PA36" s="528"/>
      <c r="PB36" s="143" t="s">
        <v>359</v>
      </c>
      <c r="PC36" s="144"/>
      <c r="PD36" s="157" t="s">
        <v>14</v>
      </c>
      <c r="PE36" s="175"/>
      <c r="PF36" s="164">
        <v>0.84733333333333338</v>
      </c>
      <c r="PG36" s="674">
        <f t="shared" si="96"/>
        <v>0</v>
      </c>
      <c r="PH36" s="150"/>
      <c r="PI36" s="528"/>
      <c r="PJ36" s="143" t="s">
        <v>359</v>
      </c>
      <c r="PK36" s="144">
        <v>2</v>
      </c>
      <c r="PL36" s="157" t="s">
        <v>14</v>
      </c>
      <c r="PM36" s="175">
        <v>29</v>
      </c>
      <c r="PN36" s="164">
        <v>0.84733333333333338</v>
      </c>
      <c r="PO36" s="674">
        <f t="shared" si="97"/>
        <v>24.572666666666667</v>
      </c>
      <c r="PP36" s="150"/>
      <c r="PQ36" s="528"/>
      <c r="PR36" s="143" t="s">
        <v>359</v>
      </c>
      <c r="PS36" s="144">
        <v>3</v>
      </c>
      <c r="PT36" s="157" t="s">
        <v>14</v>
      </c>
      <c r="PU36" s="175">
        <v>32</v>
      </c>
      <c r="PV36" s="164">
        <v>0.84733333333333338</v>
      </c>
      <c r="PW36" s="674">
        <f t="shared" si="98"/>
        <v>27.114666666666668</v>
      </c>
      <c r="PX36" s="150"/>
      <c r="PY36" s="528"/>
      <c r="PZ36" s="143" t="s">
        <v>359</v>
      </c>
      <c r="QA36" s="144">
        <v>5</v>
      </c>
      <c r="QB36" s="157" t="s">
        <v>14</v>
      </c>
      <c r="QC36" s="175">
        <v>97</v>
      </c>
      <c r="QD36" s="164">
        <v>0.84733333333333338</v>
      </c>
      <c r="QE36" s="674">
        <f t="shared" si="99"/>
        <v>82.191333333333333</v>
      </c>
      <c r="QF36" s="150"/>
      <c r="QG36" s="528"/>
      <c r="QH36" s="143" t="s">
        <v>359</v>
      </c>
      <c r="QI36" s="144">
        <v>11</v>
      </c>
      <c r="QJ36" s="157" t="s">
        <v>14</v>
      </c>
      <c r="QK36" s="175">
        <v>222</v>
      </c>
      <c r="QL36" s="164">
        <v>0.84733333333333338</v>
      </c>
      <c r="QM36" s="674">
        <f t="shared" si="100"/>
        <v>188.108</v>
      </c>
      <c r="QN36" s="150"/>
      <c r="QO36" s="528"/>
      <c r="QP36" s="143" t="s">
        <v>359</v>
      </c>
      <c r="QQ36" s="144">
        <v>5</v>
      </c>
      <c r="QR36" s="157" t="s">
        <v>14</v>
      </c>
      <c r="QS36" s="175">
        <v>46</v>
      </c>
      <c r="QT36" s="164">
        <v>0.84733333333333338</v>
      </c>
      <c r="QU36" s="674">
        <f t="shared" si="101"/>
        <v>38.977333333333334</v>
      </c>
      <c r="QV36" s="150"/>
      <c r="QW36" s="528"/>
      <c r="QX36" s="143" t="s">
        <v>359</v>
      </c>
      <c r="QY36" s="144"/>
      <c r="QZ36" s="157" t="s">
        <v>14</v>
      </c>
      <c r="RA36" s="175"/>
      <c r="RB36" s="164">
        <v>0.84733333333333338</v>
      </c>
      <c r="RC36" s="674">
        <f t="shared" si="102"/>
        <v>0</v>
      </c>
      <c r="RD36" s="150"/>
      <c r="RE36" s="528"/>
      <c r="RF36" s="143" t="s">
        <v>359</v>
      </c>
      <c r="RG36" s="144"/>
      <c r="RH36" s="157" t="s">
        <v>14</v>
      </c>
      <c r="RI36" s="175"/>
      <c r="RJ36" s="164">
        <v>0.84733333333333338</v>
      </c>
      <c r="RK36" s="674">
        <f t="shared" si="103"/>
        <v>0</v>
      </c>
      <c r="RL36" s="150"/>
      <c r="RM36" s="528"/>
      <c r="RN36" s="143" t="s">
        <v>359</v>
      </c>
      <c r="RO36" s="144">
        <v>1</v>
      </c>
      <c r="RP36" s="157" t="s">
        <v>14</v>
      </c>
      <c r="RQ36" s="175">
        <v>2</v>
      </c>
      <c r="RR36" s="164">
        <v>0.84733333333333338</v>
      </c>
      <c r="RS36" s="674">
        <f t="shared" si="104"/>
        <v>1.6946666666666668</v>
      </c>
      <c r="RT36" s="150"/>
      <c r="RU36" s="528"/>
      <c r="RV36" s="143" t="s">
        <v>359</v>
      </c>
      <c r="RW36" s="144"/>
      <c r="RX36" s="157" t="s">
        <v>14</v>
      </c>
      <c r="RY36" s="175"/>
      <c r="RZ36" s="164">
        <v>0.84733333333333338</v>
      </c>
      <c r="SA36" s="674">
        <f t="shared" si="105"/>
        <v>0</v>
      </c>
      <c r="SB36" s="150"/>
      <c r="SC36" s="528"/>
      <c r="SD36" s="143" t="s">
        <v>359</v>
      </c>
      <c r="SE36" s="144">
        <v>1</v>
      </c>
      <c r="SF36" s="157" t="s">
        <v>14</v>
      </c>
      <c r="SG36" s="175">
        <v>7</v>
      </c>
      <c r="SH36" s="164">
        <v>0.84733333333333338</v>
      </c>
      <c r="SI36" s="674">
        <f t="shared" si="106"/>
        <v>5.9313333333333338</v>
      </c>
      <c r="SJ36" s="150"/>
      <c r="SK36" s="528"/>
      <c r="SL36" s="143" t="s">
        <v>359</v>
      </c>
      <c r="SM36" s="144"/>
      <c r="SN36" s="157" t="s">
        <v>14</v>
      </c>
      <c r="SO36" s="175"/>
      <c r="SP36" s="164">
        <v>0.84733333333333338</v>
      </c>
      <c r="SQ36" s="674">
        <f t="shared" si="107"/>
        <v>0</v>
      </c>
      <c r="SR36" s="150"/>
      <c r="SS36" s="528"/>
      <c r="ST36" s="143" t="s">
        <v>359</v>
      </c>
      <c r="SU36" s="144"/>
      <c r="SV36" s="157" t="s">
        <v>14</v>
      </c>
      <c r="SW36" s="175"/>
      <c r="SX36" s="164">
        <v>0.84733333333333338</v>
      </c>
      <c r="SY36" s="674">
        <f t="shared" si="108"/>
        <v>0</v>
      </c>
      <c r="SZ36" s="150"/>
      <c r="TA36" s="528"/>
      <c r="TB36" s="143" t="s">
        <v>359</v>
      </c>
      <c r="TC36" s="144"/>
      <c r="TD36" s="157" t="s">
        <v>14</v>
      </c>
      <c r="TE36" s="175"/>
      <c r="TF36" s="164">
        <v>0.84733333333333338</v>
      </c>
      <c r="TG36" s="674">
        <f t="shared" si="109"/>
        <v>0</v>
      </c>
      <c r="TH36" s="150"/>
      <c r="TI36" s="528"/>
    </row>
    <row r="37" spans="2:529">
      <c r="B37" s="143" t="s">
        <v>88</v>
      </c>
      <c r="C37" s="163">
        <v>7</v>
      </c>
      <c r="D37" s="157" t="s">
        <v>36</v>
      </c>
      <c r="E37" s="138">
        <v>182</v>
      </c>
      <c r="F37" s="164">
        <v>1.5175000000000001</v>
      </c>
      <c r="G37" s="140">
        <f t="shared" si="0"/>
        <v>276.185</v>
      </c>
      <c r="H37" s="149"/>
      <c r="I37" s="528"/>
      <c r="J37" s="143" t="s">
        <v>88</v>
      </c>
      <c r="K37" s="163"/>
      <c r="L37" s="157" t="s">
        <v>36</v>
      </c>
      <c r="M37" s="138">
        <v>0</v>
      </c>
      <c r="N37" s="164">
        <v>1.5175000000000001</v>
      </c>
      <c r="O37" s="140">
        <f t="shared" si="1"/>
        <v>0</v>
      </c>
      <c r="P37" s="149"/>
      <c r="Q37" s="528"/>
      <c r="R37" s="143" t="s">
        <v>88</v>
      </c>
      <c r="S37" s="163">
        <v>42</v>
      </c>
      <c r="T37" s="157" t="s">
        <v>36</v>
      </c>
      <c r="U37" s="138">
        <v>1265</v>
      </c>
      <c r="V37" s="164">
        <v>1.5175000000000001</v>
      </c>
      <c r="W37" s="140">
        <f t="shared" si="2"/>
        <v>1919.6375</v>
      </c>
      <c r="X37" s="149"/>
      <c r="Y37" s="528"/>
      <c r="Z37" s="143" t="s">
        <v>88</v>
      </c>
      <c r="AA37" s="163">
        <v>5</v>
      </c>
      <c r="AB37" s="157" t="s">
        <v>36</v>
      </c>
      <c r="AC37" s="138">
        <v>47</v>
      </c>
      <c r="AD37" s="164">
        <v>1.5175000000000001</v>
      </c>
      <c r="AE37" s="140">
        <f t="shared" si="3"/>
        <v>71.322500000000005</v>
      </c>
      <c r="AF37" s="149"/>
      <c r="AG37" s="528"/>
      <c r="AH37" s="143" t="s">
        <v>88</v>
      </c>
      <c r="AI37" s="163">
        <v>40</v>
      </c>
      <c r="AJ37" s="157" t="s">
        <v>36</v>
      </c>
      <c r="AK37" s="138">
        <v>1269</v>
      </c>
      <c r="AL37" s="164">
        <v>1.5175000000000001</v>
      </c>
      <c r="AM37" s="140">
        <f t="shared" si="4"/>
        <v>1925.7075</v>
      </c>
      <c r="AN37" s="149"/>
      <c r="AO37" s="528"/>
      <c r="AP37" s="143" t="s">
        <v>88</v>
      </c>
      <c r="AQ37" s="163"/>
      <c r="AR37" s="157" t="s">
        <v>36</v>
      </c>
      <c r="AS37" s="138"/>
      <c r="AT37" s="164">
        <v>1.5175000000000001</v>
      </c>
      <c r="AU37" s="140">
        <f t="shared" si="5"/>
        <v>0</v>
      </c>
      <c r="AV37" s="149"/>
      <c r="AW37" s="528"/>
      <c r="AX37" s="143" t="s">
        <v>88</v>
      </c>
      <c r="AY37" s="163">
        <v>29</v>
      </c>
      <c r="AZ37" s="157" t="s">
        <v>36</v>
      </c>
      <c r="BA37" s="138">
        <v>540</v>
      </c>
      <c r="BB37" s="164">
        <v>1.5175000000000001</v>
      </c>
      <c r="BC37" s="140">
        <f t="shared" si="6"/>
        <v>819.45</v>
      </c>
      <c r="BD37" s="149"/>
      <c r="BE37" s="528"/>
      <c r="BF37" s="143" t="s">
        <v>88</v>
      </c>
      <c r="BG37" s="163">
        <v>27</v>
      </c>
      <c r="BH37" s="157" t="s">
        <v>36</v>
      </c>
      <c r="BI37" s="138">
        <v>589</v>
      </c>
      <c r="BJ37" s="164">
        <v>1.5175000000000001</v>
      </c>
      <c r="BK37" s="140">
        <f t="shared" si="7"/>
        <v>893.8075</v>
      </c>
      <c r="BL37" s="149"/>
      <c r="BM37" s="528"/>
      <c r="BN37" s="143" t="s">
        <v>88</v>
      </c>
      <c r="BO37" s="163">
        <v>9</v>
      </c>
      <c r="BP37" s="157" t="s">
        <v>36</v>
      </c>
      <c r="BQ37" s="138">
        <v>162</v>
      </c>
      <c r="BR37" s="164">
        <v>1.5175000000000001</v>
      </c>
      <c r="BS37" s="140">
        <f t="shared" si="8"/>
        <v>245.83500000000001</v>
      </c>
      <c r="BT37" s="149"/>
      <c r="BU37" s="528"/>
      <c r="BV37" s="564" t="s">
        <v>88</v>
      </c>
      <c r="BW37" s="579"/>
      <c r="BX37" s="574" t="s">
        <v>36</v>
      </c>
      <c r="BY37" s="560"/>
      <c r="BZ37" s="580">
        <v>1.5175000000000001</v>
      </c>
      <c r="CA37" s="562">
        <f t="shared" si="9"/>
        <v>0</v>
      </c>
      <c r="CB37" s="568"/>
      <c r="CC37" s="528"/>
      <c r="CD37" s="564" t="s">
        <v>88</v>
      </c>
      <c r="CE37" s="579"/>
      <c r="CF37" s="574" t="s">
        <v>36</v>
      </c>
      <c r="CG37" s="560"/>
      <c r="CH37" s="580">
        <v>1.5175000000000001</v>
      </c>
      <c r="CI37" s="562">
        <f t="shared" si="10"/>
        <v>0</v>
      </c>
      <c r="CJ37" s="568"/>
      <c r="CK37" s="528"/>
      <c r="CL37" s="143" t="s">
        <v>88</v>
      </c>
      <c r="CM37" s="163">
        <v>2</v>
      </c>
      <c r="CN37" s="157" t="s">
        <v>36</v>
      </c>
      <c r="CO37" s="138">
        <v>19</v>
      </c>
      <c r="CP37" s="164">
        <v>1.5175000000000001</v>
      </c>
      <c r="CQ37" s="140">
        <f t="shared" si="11"/>
        <v>28.832500000000003</v>
      </c>
      <c r="CR37" s="149"/>
      <c r="CS37" s="528"/>
      <c r="CT37" s="143" t="s">
        <v>88</v>
      </c>
      <c r="CU37" s="163">
        <v>27</v>
      </c>
      <c r="CV37" s="157" t="s">
        <v>36</v>
      </c>
      <c r="CW37" s="138">
        <v>589</v>
      </c>
      <c r="CX37" s="164">
        <v>1.5175000000000001</v>
      </c>
      <c r="CY37" s="140">
        <f t="shared" si="12"/>
        <v>893.8075</v>
      </c>
      <c r="CZ37" s="149"/>
      <c r="DA37" s="528"/>
      <c r="DB37" s="143" t="s">
        <v>88</v>
      </c>
      <c r="DC37" s="163">
        <v>6</v>
      </c>
      <c r="DD37" s="157" t="s">
        <v>36</v>
      </c>
      <c r="DE37" s="138">
        <v>178</v>
      </c>
      <c r="DF37" s="164">
        <v>1.5175000000000001</v>
      </c>
      <c r="DG37" s="140">
        <f t="shared" si="13"/>
        <v>270.11500000000001</v>
      </c>
      <c r="DH37" s="149"/>
      <c r="DI37" s="528"/>
      <c r="DJ37" s="143" t="s">
        <v>88</v>
      </c>
      <c r="DK37" s="163">
        <v>11</v>
      </c>
      <c r="DL37" s="157" t="s">
        <v>36</v>
      </c>
      <c r="DM37" s="138">
        <v>8416</v>
      </c>
      <c r="DN37" s="172">
        <v>1.5175000000000001</v>
      </c>
      <c r="DO37" s="140">
        <f t="shared" si="14"/>
        <v>12771.28</v>
      </c>
      <c r="DP37" s="149"/>
      <c r="DQ37" s="528"/>
      <c r="DR37" s="143" t="s">
        <v>88</v>
      </c>
      <c r="DS37" s="163"/>
      <c r="DT37" s="157" t="s">
        <v>36</v>
      </c>
      <c r="DU37" s="138"/>
      <c r="DV37" s="172">
        <v>1.5175000000000001</v>
      </c>
      <c r="DW37" s="140">
        <f t="shared" si="15"/>
        <v>0</v>
      </c>
      <c r="DX37" s="149"/>
      <c r="DY37" s="528"/>
      <c r="DZ37" s="143" t="s">
        <v>88</v>
      </c>
      <c r="EA37" s="163">
        <v>0</v>
      </c>
      <c r="EB37" s="157" t="s">
        <v>36</v>
      </c>
      <c r="EC37" s="138">
        <v>0</v>
      </c>
      <c r="ED37" s="172">
        <v>1.5175000000000001</v>
      </c>
      <c r="EE37" s="140">
        <f t="shared" si="16"/>
        <v>0</v>
      </c>
      <c r="EF37" s="149"/>
      <c r="EG37" s="528"/>
      <c r="EH37" s="143" t="s">
        <v>88</v>
      </c>
      <c r="EI37" s="163">
        <v>74</v>
      </c>
      <c r="EJ37" s="157" t="s">
        <v>36</v>
      </c>
      <c r="EK37" s="138">
        <v>896</v>
      </c>
      <c r="EL37" s="172">
        <v>1.5175000000000001</v>
      </c>
      <c r="EM37" s="140">
        <f t="shared" si="17"/>
        <v>1359.68</v>
      </c>
      <c r="EN37" s="149"/>
      <c r="EO37" s="528"/>
      <c r="EP37" s="143" t="s">
        <v>88</v>
      </c>
      <c r="EQ37" s="163">
        <v>25</v>
      </c>
      <c r="ER37" s="157" t="s">
        <v>36</v>
      </c>
      <c r="ES37" s="138">
        <v>370</v>
      </c>
      <c r="ET37" s="172">
        <v>1.5175000000000001</v>
      </c>
      <c r="EU37" s="140">
        <f t="shared" si="18"/>
        <v>561.47500000000002</v>
      </c>
      <c r="EV37" s="149"/>
      <c r="EW37" s="528"/>
      <c r="EX37" s="143" t="s">
        <v>88</v>
      </c>
      <c r="EY37" s="163"/>
      <c r="EZ37" s="157" t="s">
        <v>36</v>
      </c>
      <c r="FA37" s="138"/>
      <c r="FB37" s="172">
        <v>1.5175000000000001</v>
      </c>
      <c r="FC37" s="140">
        <f t="shared" si="19"/>
        <v>0</v>
      </c>
      <c r="FD37" s="149"/>
      <c r="FE37" s="528"/>
      <c r="FF37" s="143" t="s">
        <v>88</v>
      </c>
      <c r="FG37" s="163"/>
      <c r="FH37" s="157" t="s">
        <v>36</v>
      </c>
      <c r="FI37" s="138"/>
      <c r="FJ37" s="172">
        <v>1.5175000000000001</v>
      </c>
      <c r="FK37" s="140">
        <f t="shared" si="20"/>
        <v>0</v>
      </c>
      <c r="FL37" s="149"/>
      <c r="FM37" s="528"/>
      <c r="FN37" s="143" t="s">
        <v>88</v>
      </c>
      <c r="FO37" s="163"/>
      <c r="FP37" s="157" t="s">
        <v>36</v>
      </c>
      <c r="FQ37" s="138"/>
      <c r="FR37" s="172">
        <v>1.5175000000000001</v>
      </c>
      <c r="FS37" s="140">
        <f t="shared" si="21"/>
        <v>0</v>
      </c>
      <c r="FT37" s="149"/>
      <c r="FU37" s="528"/>
      <c r="FV37" s="143" t="s">
        <v>88</v>
      </c>
      <c r="FW37" s="163"/>
      <c r="FX37" s="157" t="s">
        <v>36</v>
      </c>
      <c r="FY37" s="138"/>
      <c r="FZ37" s="172">
        <v>1.5175000000000001</v>
      </c>
      <c r="GA37" s="140">
        <f t="shared" si="22"/>
        <v>0</v>
      </c>
      <c r="GB37" s="149"/>
      <c r="GC37" s="528"/>
      <c r="GD37" s="143" t="s">
        <v>88</v>
      </c>
      <c r="GE37" s="163"/>
      <c r="GF37" s="157" t="s">
        <v>36</v>
      </c>
      <c r="GG37" s="138"/>
      <c r="GH37" s="172">
        <v>1.5175000000000001</v>
      </c>
      <c r="GI37" s="140">
        <f t="shared" si="23"/>
        <v>0</v>
      </c>
      <c r="GJ37" s="149"/>
      <c r="GK37" s="528"/>
      <c r="GL37" s="143" t="s">
        <v>88</v>
      </c>
      <c r="GM37" s="163">
        <v>27</v>
      </c>
      <c r="GN37" s="157" t="s">
        <v>36</v>
      </c>
      <c r="GO37" s="175">
        <v>576</v>
      </c>
      <c r="GP37" s="164">
        <v>1.5175000000000001</v>
      </c>
      <c r="GQ37" s="140">
        <f t="shared" si="24"/>
        <v>874.08</v>
      </c>
      <c r="GR37" s="149"/>
      <c r="GS37" s="528"/>
      <c r="GT37" s="143" t="s">
        <v>88</v>
      </c>
      <c r="GU37" s="163">
        <v>6</v>
      </c>
      <c r="GV37" s="157" t="s">
        <v>36</v>
      </c>
      <c r="GW37" s="175">
        <v>196</v>
      </c>
      <c r="GX37" s="164">
        <v>1.5175000000000001</v>
      </c>
      <c r="GY37" s="140">
        <f t="shared" si="25"/>
        <v>297.43</v>
      </c>
      <c r="GZ37" s="149"/>
      <c r="HA37" s="528"/>
      <c r="HB37" s="143" t="s">
        <v>88</v>
      </c>
      <c r="HC37" s="163">
        <v>40</v>
      </c>
      <c r="HD37" s="157" t="s">
        <v>36</v>
      </c>
      <c r="HE37" s="175">
        <v>934</v>
      </c>
      <c r="HF37" s="164">
        <v>1.5175000000000001</v>
      </c>
      <c r="HG37" s="140">
        <f t="shared" si="26"/>
        <v>1417.345</v>
      </c>
      <c r="HH37" s="149"/>
      <c r="HI37" s="528"/>
      <c r="HJ37" s="143" t="s">
        <v>88</v>
      </c>
      <c r="HK37" s="163">
        <v>6</v>
      </c>
      <c r="HL37" s="157" t="s">
        <v>36</v>
      </c>
      <c r="HM37" s="175">
        <v>64</v>
      </c>
      <c r="HN37" s="164">
        <v>1.5175000000000001</v>
      </c>
      <c r="HO37" s="140">
        <f t="shared" si="27"/>
        <v>97.12</v>
      </c>
      <c r="HP37" s="149"/>
      <c r="HQ37" s="528"/>
      <c r="HR37" s="143" t="s">
        <v>88</v>
      </c>
      <c r="HS37" s="163">
        <v>34</v>
      </c>
      <c r="HT37" s="157" t="s">
        <v>36</v>
      </c>
      <c r="HU37" s="175">
        <v>568</v>
      </c>
      <c r="HV37" s="164">
        <v>1.5175000000000001</v>
      </c>
      <c r="HW37" s="140">
        <f t="shared" si="28"/>
        <v>861.94</v>
      </c>
      <c r="HX37" s="149"/>
      <c r="HY37" s="528"/>
      <c r="HZ37" s="143" t="s">
        <v>88</v>
      </c>
      <c r="IA37" s="163">
        <v>13</v>
      </c>
      <c r="IB37" s="157" t="s">
        <v>36</v>
      </c>
      <c r="IC37" s="175">
        <v>225</v>
      </c>
      <c r="ID37" s="164">
        <v>1.5175000000000001</v>
      </c>
      <c r="IE37" s="140">
        <f t="shared" si="29"/>
        <v>341.4375</v>
      </c>
      <c r="IF37" s="149"/>
      <c r="IG37" s="528"/>
      <c r="IH37" s="143" t="s">
        <v>88</v>
      </c>
      <c r="II37" s="163">
        <v>18</v>
      </c>
      <c r="IJ37" s="157" t="s">
        <v>36</v>
      </c>
      <c r="IK37" s="175">
        <v>174</v>
      </c>
      <c r="IL37" s="164">
        <v>1.5175000000000001</v>
      </c>
      <c r="IM37" s="140">
        <f t="shared" si="30"/>
        <v>264.04500000000002</v>
      </c>
      <c r="IN37" s="149"/>
      <c r="IO37" s="528"/>
      <c r="IP37" s="143" t="s">
        <v>88</v>
      </c>
      <c r="IQ37" s="163">
        <v>44</v>
      </c>
      <c r="IR37" s="157" t="s">
        <v>36</v>
      </c>
      <c r="IS37" s="175">
        <v>458</v>
      </c>
      <c r="IT37" s="164">
        <v>1.5175000000000001</v>
      </c>
      <c r="IU37" s="140">
        <f t="shared" si="31"/>
        <v>695.01499999999999</v>
      </c>
      <c r="IV37" s="149"/>
      <c r="IW37" s="528"/>
      <c r="IX37" s="143" t="s">
        <v>88</v>
      </c>
      <c r="IY37" s="163">
        <v>31</v>
      </c>
      <c r="IZ37" s="157" t="s">
        <v>36</v>
      </c>
      <c r="JA37" s="175">
        <v>428</v>
      </c>
      <c r="JB37" s="164">
        <v>1.5175000000000001</v>
      </c>
      <c r="JC37" s="140">
        <f t="shared" si="32"/>
        <v>649.49</v>
      </c>
      <c r="JD37" s="149"/>
      <c r="JE37" s="528"/>
      <c r="JF37" s="143" t="s">
        <v>88</v>
      </c>
      <c r="JG37" s="163">
        <v>5</v>
      </c>
      <c r="JH37" s="157" t="s">
        <v>36</v>
      </c>
      <c r="JI37" s="175">
        <v>89</v>
      </c>
      <c r="JJ37" s="164">
        <v>1.5175000000000001</v>
      </c>
      <c r="JK37" s="140">
        <f t="shared" si="33"/>
        <v>135.0575</v>
      </c>
      <c r="JL37" s="149"/>
      <c r="JM37" s="528"/>
      <c r="JN37" s="143" t="s">
        <v>88</v>
      </c>
      <c r="JO37" s="163">
        <v>10</v>
      </c>
      <c r="JP37" s="157" t="s">
        <v>36</v>
      </c>
      <c r="JQ37" s="175">
        <v>312</v>
      </c>
      <c r="JR37" s="164">
        <v>1.5175000000000001</v>
      </c>
      <c r="JS37" s="140">
        <f t="shared" si="34"/>
        <v>473.46000000000004</v>
      </c>
      <c r="JT37" s="149"/>
      <c r="JU37" s="528"/>
      <c r="JV37" s="143" t="s">
        <v>88</v>
      </c>
      <c r="JW37" s="163">
        <v>4</v>
      </c>
      <c r="JX37" s="157" t="s">
        <v>36</v>
      </c>
      <c r="JY37" s="175">
        <v>178</v>
      </c>
      <c r="JZ37" s="164">
        <v>1.5175000000000001</v>
      </c>
      <c r="KA37" s="140">
        <f t="shared" si="35"/>
        <v>270.11500000000001</v>
      </c>
      <c r="KB37" s="149"/>
      <c r="KC37" s="528"/>
      <c r="KD37" s="143" t="s">
        <v>88</v>
      </c>
      <c r="KE37" s="163">
        <v>5</v>
      </c>
      <c r="KF37" s="157" t="s">
        <v>36</v>
      </c>
      <c r="KG37" s="175">
        <v>341</v>
      </c>
      <c r="KH37" s="164">
        <v>1.5175000000000001</v>
      </c>
      <c r="KI37" s="140">
        <f t="shared" si="36"/>
        <v>517.46749999999997</v>
      </c>
      <c r="KJ37" s="149"/>
      <c r="KK37" s="528"/>
      <c r="KL37" s="143" t="s">
        <v>88</v>
      </c>
      <c r="KM37" s="163">
        <v>0</v>
      </c>
      <c r="KN37" s="157" t="s">
        <v>36</v>
      </c>
      <c r="KO37" s="175">
        <v>0</v>
      </c>
      <c r="KP37" s="164">
        <v>1.5175000000000001</v>
      </c>
      <c r="KQ37" s="140">
        <f t="shared" si="37"/>
        <v>0</v>
      </c>
      <c r="KR37" s="149"/>
      <c r="KS37" s="528"/>
      <c r="KT37" s="143" t="s">
        <v>88</v>
      </c>
      <c r="KU37" s="163">
        <v>11</v>
      </c>
      <c r="KV37" s="157" t="s">
        <v>36</v>
      </c>
      <c r="KW37" s="175">
        <v>164</v>
      </c>
      <c r="KX37" s="164">
        <v>1.5175000000000001</v>
      </c>
      <c r="KY37" s="140">
        <f t="shared" si="38"/>
        <v>248.87</v>
      </c>
      <c r="KZ37" s="149"/>
      <c r="LA37" s="528"/>
      <c r="LB37" s="143" t="s">
        <v>88</v>
      </c>
      <c r="LC37" s="163">
        <v>23</v>
      </c>
      <c r="LD37" s="157" t="s">
        <v>36</v>
      </c>
      <c r="LE37" s="175">
        <v>486</v>
      </c>
      <c r="LF37" s="164">
        <v>1.5175000000000001</v>
      </c>
      <c r="LG37" s="140">
        <f t="shared" si="39"/>
        <v>737.505</v>
      </c>
      <c r="LH37" s="149"/>
      <c r="LI37" s="528"/>
      <c r="LJ37" s="143" t="s">
        <v>88</v>
      </c>
      <c r="LK37" s="163">
        <v>28</v>
      </c>
      <c r="LL37" s="157" t="s">
        <v>36</v>
      </c>
      <c r="LM37" s="175">
        <v>239</v>
      </c>
      <c r="LN37" s="164">
        <v>1.5175000000000001</v>
      </c>
      <c r="LO37" s="140">
        <f t="shared" si="40"/>
        <v>362.6825</v>
      </c>
      <c r="LP37" s="149"/>
      <c r="LQ37" s="528"/>
      <c r="LR37" s="143" t="s">
        <v>88</v>
      </c>
      <c r="LS37" s="163">
        <v>26</v>
      </c>
      <c r="LT37" s="157" t="s">
        <v>36</v>
      </c>
      <c r="LU37" s="175">
        <v>361</v>
      </c>
      <c r="LV37" s="164">
        <v>1.5175000000000001</v>
      </c>
      <c r="LW37" s="140">
        <f t="shared" si="41"/>
        <v>547.8175</v>
      </c>
      <c r="LX37" s="149"/>
      <c r="LY37" s="528"/>
      <c r="LZ37" s="143" t="s">
        <v>88</v>
      </c>
      <c r="MA37" s="163">
        <v>28</v>
      </c>
      <c r="MB37" s="157" t="s">
        <v>36</v>
      </c>
      <c r="MC37" s="175">
        <v>405</v>
      </c>
      <c r="MD37" s="164">
        <v>1.5175000000000001</v>
      </c>
      <c r="ME37" s="140">
        <f t="shared" si="42"/>
        <v>614.58749999999998</v>
      </c>
      <c r="MF37" s="149"/>
      <c r="MG37" s="528"/>
      <c r="MH37" s="143" t="s">
        <v>88</v>
      </c>
      <c r="MI37" s="163">
        <v>61</v>
      </c>
      <c r="MJ37" s="157" t="s">
        <v>36</v>
      </c>
      <c r="MK37" s="175">
        <v>869</v>
      </c>
      <c r="ML37" s="164">
        <v>1.5175000000000001</v>
      </c>
      <c r="MM37" s="140">
        <f t="shared" si="43"/>
        <v>1318.7075</v>
      </c>
      <c r="MN37" s="149"/>
      <c r="MO37" s="528"/>
      <c r="MP37" s="143" t="s">
        <v>88</v>
      </c>
      <c r="MQ37" s="163">
        <v>23</v>
      </c>
      <c r="MR37" s="157" t="s">
        <v>36</v>
      </c>
      <c r="MS37" s="175">
        <v>292</v>
      </c>
      <c r="MT37" s="164">
        <v>1.5175000000000001</v>
      </c>
      <c r="MU37" s="140">
        <f t="shared" si="44"/>
        <v>443.11</v>
      </c>
      <c r="MV37" s="149"/>
      <c r="MW37" s="528"/>
      <c r="MX37" s="143"/>
      <c r="MY37" s="146"/>
      <c r="MZ37" s="364" t="s">
        <v>20</v>
      </c>
      <c r="NA37" s="175"/>
      <c r="NB37" s="164"/>
      <c r="NC37" s="140">
        <f t="shared" si="131"/>
        <v>0</v>
      </c>
      <c r="ND37" s="150"/>
      <c r="NE37" s="528"/>
      <c r="NF37" s="143"/>
      <c r="NG37" s="146"/>
      <c r="NH37" s="364" t="s">
        <v>20</v>
      </c>
      <c r="NI37" s="175"/>
      <c r="NJ37" s="164"/>
      <c r="NK37" s="140">
        <f t="shared" si="132"/>
        <v>0</v>
      </c>
      <c r="NL37" s="150"/>
      <c r="NM37" s="528"/>
      <c r="NN37" s="143"/>
      <c r="NO37" s="146"/>
      <c r="NP37" s="364" t="s">
        <v>20</v>
      </c>
      <c r="NQ37" s="175"/>
      <c r="NR37" s="164"/>
      <c r="NS37" s="140">
        <f t="shared" si="91"/>
        <v>0</v>
      </c>
      <c r="NT37" s="150"/>
      <c r="NU37" s="528"/>
      <c r="NV37" s="143"/>
      <c r="NW37" s="146"/>
      <c r="NX37" s="364" t="s">
        <v>20</v>
      </c>
      <c r="NY37" s="175"/>
      <c r="NZ37" s="164"/>
      <c r="OA37" s="140">
        <f t="shared" si="92"/>
        <v>0</v>
      </c>
      <c r="OB37" s="150"/>
      <c r="OC37" s="528"/>
      <c r="OD37" s="143"/>
      <c r="OE37" s="146"/>
      <c r="OF37" s="364" t="s">
        <v>20</v>
      </c>
      <c r="OG37" s="175"/>
      <c r="OH37" s="164"/>
      <c r="OI37" s="140">
        <f t="shared" si="93"/>
        <v>0</v>
      </c>
      <c r="OJ37" s="150"/>
      <c r="OK37" s="528"/>
      <c r="OL37" s="143"/>
      <c r="OM37" s="146"/>
      <c r="ON37" s="364" t="s">
        <v>20</v>
      </c>
      <c r="OO37" s="175"/>
      <c r="OP37" s="164"/>
      <c r="OQ37" s="140">
        <f t="shared" si="94"/>
        <v>0</v>
      </c>
      <c r="OR37" s="150"/>
      <c r="OS37" s="528"/>
      <c r="OT37" s="143"/>
      <c r="OU37" s="146"/>
      <c r="OV37" s="364" t="s">
        <v>20</v>
      </c>
      <c r="OW37" s="175"/>
      <c r="OX37" s="164"/>
      <c r="OY37" s="140">
        <f t="shared" si="95"/>
        <v>0</v>
      </c>
      <c r="OZ37" s="150"/>
      <c r="PA37" s="528"/>
      <c r="PB37" s="143"/>
      <c r="PC37" s="146"/>
      <c r="PD37" s="364" t="s">
        <v>20</v>
      </c>
      <c r="PE37" s="175"/>
      <c r="PF37" s="164"/>
      <c r="PG37" s="140">
        <f t="shared" si="96"/>
        <v>0</v>
      </c>
      <c r="PH37" s="150"/>
      <c r="PI37" s="528"/>
      <c r="PJ37" s="143"/>
      <c r="PK37" s="146"/>
      <c r="PL37" s="364" t="s">
        <v>20</v>
      </c>
      <c r="PM37" s="175"/>
      <c r="PN37" s="164"/>
      <c r="PO37" s="140">
        <f t="shared" si="97"/>
        <v>0</v>
      </c>
      <c r="PP37" s="150"/>
      <c r="PQ37" s="528"/>
      <c r="PR37" s="143"/>
      <c r="PS37" s="146"/>
      <c r="PT37" s="364" t="s">
        <v>20</v>
      </c>
      <c r="PU37" s="175"/>
      <c r="PV37" s="164"/>
      <c r="PW37" s="140">
        <f t="shared" si="98"/>
        <v>0</v>
      </c>
      <c r="PX37" s="150"/>
      <c r="PY37" s="528"/>
      <c r="PZ37" s="143"/>
      <c r="QA37" s="146"/>
      <c r="QB37" s="364" t="s">
        <v>20</v>
      </c>
      <c r="QC37" s="175"/>
      <c r="QD37" s="164"/>
      <c r="QE37" s="140">
        <f t="shared" si="99"/>
        <v>0</v>
      </c>
      <c r="QF37" s="150"/>
      <c r="QG37" s="528"/>
      <c r="QH37" s="143"/>
      <c r="QI37" s="146"/>
      <c r="QJ37" s="364" t="s">
        <v>20</v>
      </c>
      <c r="QK37" s="175"/>
      <c r="QL37" s="164"/>
      <c r="QM37" s="140">
        <f t="shared" si="100"/>
        <v>0</v>
      </c>
      <c r="QN37" s="150"/>
      <c r="QO37" s="528"/>
      <c r="QP37" s="143"/>
      <c r="QQ37" s="146"/>
      <c r="QR37" s="364" t="s">
        <v>20</v>
      </c>
      <c r="QS37" s="175"/>
      <c r="QT37" s="164"/>
      <c r="QU37" s="140">
        <f t="shared" si="101"/>
        <v>0</v>
      </c>
      <c r="QV37" s="150"/>
      <c r="QW37" s="528"/>
      <c r="QX37" s="143"/>
      <c r="QY37" s="146"/>
      <c r="QZ37" s="364" t="s">
        <v>20</v>
      </c>
      <c r="RA37" s="175"/>
      <c r="RB37" s="164"/>
      <c r="RC37" s="140">
        <f t="shared" si="102"/>
        <v>0</v>
      </c>
      <c r="RD37" s="150"/>
      <c r="RE37" s="528"/>
      <c r="RF37" s="143"/>
      <c r="RG37" s="146"/>
      <c r="RH37" s="364" t="s">
        <v>20</v>
      </c>
      <c r="RI37" s="175"/>
      <c r="RJ37" s="164"/>
      <c r="RK37" s="140">
        <f t="shared" si="103"/>
        <v>0</v>
      </c>
      <c r="RL37" s="150"/>
      <c r="RM37" s="528"/>
      <c r="RN37" s="143"/>
      <c r="RO37" s="146"/>
      <c r="RP37" s="364" t="s">
        <v>20</v>
      </c>
      <c r="RQ37" s="175"/>
      <c r="RR37" s="164"/>
      <c r="RS37" s="140">
        <f t="shared" si="104"/>
        <v>0</v>
      </c>
      <c r="RT37" s="150"/>
      <c r="RU37" s="528"/>
      <c r="RV37" s="143"/>
      <c r="RW37" s="146"/>
      <c r="RX37" s="364" t="s">
        <v>20</v>
      </c>
      <c r="RY37" s="175"/>
      <c r="RZ37" s="164"/>
      <c r="SA37" s="140">
        <f t="shared" si="105"/>
        <v>0</v>
      </c>
      <c r="SB37" s="150"/>
      <c r="SC37" s="528"/>
      <c r="SD37" s="143"/>
      <c r="SE37" s="146"/>
      <c r="SF37" s="364" t="s">
        <v>20</v>
      </c>
      <c r="SG37" s="175"/>
      <c r="SH37" s="164"/>
      <c r="SI37" s="140">
        <f t="shared" si="106"/>
        <v>0</v>
      </c>
      <c r="SJ37" s="150"/>
      <c r="SK37" s="528"/>
      <c r="SL37" s="143"/>
      <c r="SM37" s="146"/>
      <c r="SN37" s="364" t="s">
        <v>20</v>
      </c>
      <c r="SO37" s="175"/>
      <c r="SP37" s="164"/>
      <c r="SQ37" s="140">
        <f t="shared" si="107"/>
        <v>0</v>
      </c>
      <c r="SR37" s="150"/>
      <c r="SS37" s="528"/>
      <c r="ST37" s="143"/>
      <c r="SU37" s="146"/>
      <c r="SV37" s="364" t="s">
        <v>20</v>
      </c>
      <c r="SW37" s="175"/>
      <c r="SX37" s="164"/>
      <c r="SY37" s="140">
        <f t="shared" si="108"/>
        <v>0</v>
      </c>
      <c r="SZ37" s="150"/>
      <c r="TA37" s="528"/>
      <c r="TB37" s="143"/>
      <c r="TC37" s="146"/>
      <c r="TD37" s="364" t="s">
        <v>20</v>
      </c>
      <c r="TE37" s="175"/>
      <c r="TF37" s="164"/>
      <c r="TG37" s="140">
        <f t="shared" si="109"/>
        <v>0</v>
      </c>
      <c r="TH37" s="150"/>
      <c r="TI37" s="528"/>
    </row>
    <row r="38" spans="2:529">
      <c r="B38" s="143"/>
      <c r="C38" s="146"/>
      <c r="D38" s="151" t="s">
        <v>20</v>
      </c>
      <c r="E38" s="138"/>
      <c r="F38" s="164"/>
      <c r="G38" s="140">
        <f t="shared" si="0"/>
        <v>0</v>
      </c>
      <c r="H38" s="150"/>
      <c r="I38" s="528"/>
      <c r="J38" s="143"/>
      <c r="K38" s="146">
        <v>8</v>
      </c>
      <c r="L38" s="151" t="s">
        <v>20</v>
      </c>
      <c r="M38" s="138">
        <v>0</v>
      </c>
      <c r="N38" s="164"/>
      <c r="O38" s="140">
        <f t="shared" si="1"/>
        <v>0</v>
      </c>
      <c r="P38" s="150"/>
      <c r="Q38" s="528"/>
      <c r="R38" s="143"/>
      <c r="S38" s="146">
        <v>8</v>
      </c>
      <c r="T38" s="151" t="s">
        <v>20</v>
      </c>
      <c r="U38" s="138"/>
      <c r="V38" s="164"/>
      <c r="W38" s="140">
        <f t="shared" si="2"/>
        <v>0</v>
      </c>
      <c r="X38" s="150"/>
      <c r="Y38" s="528"/>
      <c r="Z38" s="143"/>
      <c r="AA38" s="146">
        <v>8</v>
      </c>
      <c r="AB38" s="151" t="s">
        <v>20</v>
      </c>
      <c r="AC38" s="138"/>
      <c r="AD38" s="164"/>
      <c r="AE38" s="140">
        <f t="shared" si="3"/>
        <v>0</v>
      </c>
      <c r="AF38" s="150"/>
      <c r="AG38" s="528"/>
      <c r="AH38" s="143"/>
      <c r="AI38" s="146">
        <v>8</v>
      </c>
      <c r="AJ38" s="151" t="s">
        <v>20</v>
      </c>
      <c r="AK38" s="138"/>
      <c r="AL38" s="164"/>
      <c r="AM38" s="140">
        <f t="shared" si="4"/>
        <v>0</v>
      </c>
      <c r="AN38" s="150"/>
      <c r="AO38" s="528"/>
      <c r="AP38" s="143"/>
      <c r="AQ38" s="146">
        <v>8</v>
      </c>
      <c r="AR38" s="151" t="s">
        <v>20</v>
      </c>
      <c r="AS38" s="138"/>
      <c r="AT38" s="164"/>
      <c r="AU38" s="140">
        <f t="shared" si="5"/>
        <v>0</v>
      </c>
      <c r="AV38" s="150"/>
      <c r="AW38" s="528"/>
      <c r="AX38" s="143"/>
      <c r="AY38" s="146">
        <v>8</v>
      </c>
      <c r="AZ38" s="151" t="s">
        <v>20</v>
      </c>
      <c r="BA38" s="138"/>
      <c r="BB38" s="164"/>
      <c r="BC38" s="140">
        <f t="shared" si="6"/>
        <v>0</v>
      </c>
      <c r="BD38" s="150"/>
      <c r="BE38" s="528"/>
      <c r="BF38" s="143"/>
      <c r="BG38" s="146">
        <v>8</v>
      </c>
      <c r="BH38" s="151" t="s">
        <v>20</v>
      </c>
      <c r="BI38" s="138"/>
      <c r="BJ38" s="164"/>
      <c r="BK38" s="140">
        <f t="shared" si="7"/>
        <v>0</v>
      </c>
      <c r="BL38" s="150"/>
      <c r="BM38" s="528"/>
      <c r="BN38" s="143"/>
      <c r="BO38" s="146">
        <v>8</v>
      </c>
      <c r="BP38" s="151" t="s">
        <v>20</v>
      </c>
      <c r="BQ38" s="138">
        <v>18</v>
      </c>
      <c r="BR38" s="164"/>
      <c r="BS38" s="140">
        <f t="shared" si="8"/>
        <v>0</v>
      </c>
      <c r="BT38" s="150"/>
      <c r="BU38" s="528"/>
      <c r="BV38" s="564"/>
      <c r="BW38" s="537"/>
      <c r="BX38" s="543" t="s">
        <v>20</v>
      </c>
      <c r="BY38" s="560"/>
      <c r="BZ38" s="580"/>
      <c r="CA38" s="562">
        <f t="shared" si="9"/>
        <v>0</v>
      </c>
      <c r="CB38" s="569"/>
      <c r="CC38" s="528"/>
      <c r="CD38" s="564"/>
      <c r="CE38" s="537"/>
      <c r="CF38" s="543" t="s">
        <v>20</v>
      </c>
      <c r="CG38" s="560"/>
      <c r="CH38" s="580"/>
      <c r="CI38" s="562">
        <f t="shared" si="10"/>
        <v>0</v>
      </c>
      <c r="CJ38" s="569"/>
      <c r="CK38" s="528"/>
      <c r="CL38" s="143"/>
      <c r="CM38" s="146">
        <v>8</v>
      </c>
      <c r="CN38" s="151" t="s">
        <v>20</v>
      </c>
      <c r="CO38" s="138">
        <v>0</v>
      </c>
      <c r="CP38" s="164"/>
      <c r="CQ38" s="140">
        <f t="shared" si="11"/>
        <v>0</v>
      </c>
      <c r="CR38" s="150"/>
      <c r="CS38" s="528"/>
      <c r="CT38" s="143"/>
      <c r="CU38" s="146">
        <v>8</v>
      </c>
      <c r="CV38" s="151" t="s">
        <v>20</v>
      </c>
      <c r="CW38" s="138"/>
      <c r="CX38" s="164"/>
      <c r="CY38" s="140">
        <f t="shared" si="12"/>
        <v>0</v>
      </c>
      <c r="CZ38" s="150"/>
      <c r="DA38" s="528"/>
      <c r="DB38" s="143"/>
      <c r="DC38" s="146"/>
      <c r="DD38" s="151" t="s">
        <v>20</v>
      </c>
      <c r="DE38" s="138"/>
      <c r="DF38" s="164"/>
      <c r="DG38" s="140">
        <f t="shared" si="13"/>
        <v>0</v>
      </c>
      <c r="DH38" s="150"/>
      <c r="DI38" s="528"/>
      <c r="DJ38" s="143"/>
      <c r="DK38" s="146"/>
      <c r="DL38" s="151" t="s">
        <v>20</v>
      </c>
      <c r="DM38" s="138"/>
      <c r="DN38" s="172"/>
      <c r="DO38" s="140">
        <f t="shared" si="14"/>
        <v>0</v>
      </c>
      <c r="DP38" s="150"/>
      <c r="DQ38" s="528"/>
      <c r="DR38" s="143"/>
      <c r="DS38" s="146"/>
      <c r="DT38" s="151" t="s">
        <v>20</v>
      </c>
      <c r="DU38" s="138"/>
      <c r="DV38" s="172"/>
      <c r="DW38" s="140">
        <f t="shared" si="15"/>
        <v>0</v>
      </c>
      <c r="DX38" s="150"/>
      <c r="DY38" s="528"/>
      <c r="DZ38" s="143"/>
      <c r="EA38" s="146"/>
      <c r="EB38" s="151" t="s">
        <v>20</v>
      </c>
      <c r="EC38" s="138"/>
      <c r="ED38" s="172"/>
      <c r="EE38" s="140">
        <f t="shared" si="16"/>
        <v>0</v>
      </c>
      <c r="EF38" s="150"/>
      <c r="EG38" s="528"/>
      <c r="EH38" s="143"/>
      <c r="EI38" s="146"/>
      <c r="EJ38" s="151" t="s">
        <v>20</v>
      </c>
      <c r="EK38" s="138"/>
      <c r="EL38" s="172"/>
      <c r="EM38" s="140">
        <f t="shared" si="17"/>
        <v>0</v>
      </c>
      <c r="EN38" s="150"/>
      <c r="EO38" s="528"/>
      <c r="EP38" s="143"/>
      <c r="EQ38" s="146"/>
      <c r="ER38" s="151" t="s">
        <v>20</v>
      </c>
      <c r="ES38" s="138"/>
      <c r="ET38" s="172"/>
      <c r="EU38" s="140">
        <f t="shared" si="18"/>
        <v>0</v>
      </c>
      <c r="EV38" s="150"/>
      <c r="EW38" s="528"/>
      <c r="EX38" s="143"/>
      <c r="EY38" s="146"/>
      <c r="EZ38" s="151" t="s">
        <v>20</v>
      </c>
      <c r="FA38" s="138"/>
      <c r="FB38" s="172"/>
      <c r="FC38" s="140">
        <f t="shared" si="19"/>
        <v>0</v>
      </c>
      <c r="FD38" s="150"/>
      <c r="FE38" s="528"/>
      <c r="FF38" s="143"/>
      <c r="FG38" s="146"/>
      <c r="FH38" s="151" t="s">
        <v>20</v>
      </c>
      <c r="FI38" s="138"/>
      <c r="FJ38" s="172"/>
      <c r="FK38" s="140">
        <f t="shared" si="20"/>
        <v>0</v>
      </c>
      <c r="FL38" s="150"/>
      <c r="FM38" s="528"/>
      <c r="FN38" s="143"/>
      <c r="FO38" s="146"/>
      <c r="FP38" s="151" t="s">
        <v>20</v>
      </c>
      <c r="FQ38" s="138"/>
      <c r="FR38" s="172"/>
      <c r="FS38" s="140">
        <f t="shared" si="21"/>
        <v>0</v>
      </c>
      <c r="FT38" s="150"/>
      <c r="FU38" s="528"/>
      <c r="FV38" s="143"/>
      <c r="FW38" s="146"/>
      <c r="FX38" s="151" t="s">
        <v>20</v>
      </c>
      <c r="FY38" s="138"/>
      <c r="FZ38" s="172"/>
      <c r="GA38" s="140">
        <f t="shared" si="22"/>
        <v>0</v>
      </c>
      <c r="GB38" s="150"/>
      <c r="GC38" s="528"/>
      <c r="GD38" s="143"/>
      <c r="GE38" s="146"/>
      <c r="GF38" s="151" t="s">
        <v>20</v>
      </c>
      <c r="GG38" s="138"/>
      <c r="GH38" s="172"/>
      <c r="GI38" s="140">
        <f t="shared" si="23"/>
        <v>0</v>
      </c>
      <c r="GJ38" s="150"/>
      <c r="GK38" s="528"/>
      <c r="GL38" s="143"/>
      <c r="GM38" s="146"/>
      <c r="GN38" s="151" t="s">
        <v>20</v>
      </c>
      <c r="GO38" s="175">
        <v>0</v>
      </c>
      <c r="GP38" s="164"/>
      <c r="GQ38" s="140">
        <f t="shared" si="24"/>
        <v>0</v>
      </c>
      <c r="GR38" s="150"/>
      <c r="GS38" s="528"/>
      <c r="GT38" s="143"/>
      <c r="GU38" s="146"/>
      <c r="GV38" s="151" t="s">
        <v>20</v>
      </c>
      <c r="GW38" s="175">
        <v>0</v>
      </c>
      <c r="GX38" s="164"/>
      <c r="GY38" s="140">
        <f t="shared" si="25"/>
        <v>0</v>
      </c>
      <c r="GZ38" s="150"/>
      <c r="HA38" s="528"/>
      <c r="HB38" s="143"/>
      <c r="HC38" s="146"/>
      <c r="HD38" s="151" t="s">
        <v>20</v>
      </c>
      <c r="HE38" s="175">
        <v>0</v>
      </c>
      <c r="HF38" s="164"/>
      <c r="HG38" s="140">
        <f t="shared" si="26"/>
        <v>0</v>
      </c>
      <c r="HH38" s="150"/>
      <c r="HI38" s="528"/>
      <c r="HJ38" s="143"/>
      <c r="HK38" s="146"/>
      <c r="HL38" s="151" t="s">
        <v>20</v>
      </c>
      <c r="HM38" s="175">
        <v>0</v>
      </c>
      <c r="HN38" s="164"/>
      <c r="HO38" s="140">
        <f t="shared" si="27"/>
        <v>0</v>
      </c>
      <c r="HP38" s="150"/>
      <c r="HQ38" s="528"/>
      <c r="HR38" s="143"/>
      <c r="HS38" s="146"/>
      <c r="HT38" s="151" t="s">
        <v>20</v>
      </c>
      <c r="HU38" s="175">
        <v>0</v>
      </c>
      <c r="HV38" s="164"/>
      <c r="HW38" s="140">
        <f t="shared" si="28"/>
        <v>0</v>
      </c>
      <c r="HX38" s="150"/>
      <c r="HY38" s="528"/>
      <c r="HZ38" s="143"/>
      <c r="IA38" s="146"/>
      <c r="IB38" s="151" t="s">
        <v>20</v>
      </c>
      <c r="IC38" s="175">
        <v>0</v>
      </c>
      <c r="ID38" s="164"/>
      <c r="IE38" s="140">
        <f t="shared" si="29"/>
        <v>0</v>
      </c>
      <c r="IF38" s="150"/>
      <c r="IG38" s="528"/>
      <c r="IH38" s="143"/>
      <c r="II38" s="146"/>
      <c r="IJ38" s="151" t="s">
        <v>20</v>
      </c>
      <c r="IK38" s="175">
        <v>0</v>
      </c>
      <c r="IL38" s="164"/>
      <c r="IM38" s="140">
        <f t="shared" si="30"/>
        <v>0</v>
      </c>
      <c r="IN38" s="150"/>
      <c r="IO38" s="528"/>
      <c r="IP38" s="143"/>
      <c r="IQ38" s="146"/>
      <c r="IR38" s="151" t="s">
        <v>20</v>
      </c>
      <c r="IS38" s="175">
        <v>0</v>
      </c>
      <c r="IT38" s="164"/>
      <c r="IU38" s="140">
        <f t="shared" si="31"/>
        <v>0</v>
      </c>
      <c r="IV38" s="150"/>
      <c r="IW38" s="528"/>
      <c r="IX38" s="143"/>
      <c r="IY38" s="146"/>
      <c r="IZ38" s="151" t="s">
        <v>20</v>
      </c>
      <c r="JA38" s="175">
        <v>0</v>
      </c>
      <c r="JB38" s="164"/>
      <c r="JC38" s="140">
        <f t="shared" si="32"/>
        <v>0</v>
      </c>
      <c r="JD38" s="150"/>
      <c r="JE38" s="528"/>
      <c r="JF38" s="143"/>
      <c r="JG38" s="146"/>
      <c r="JH38" s="151" t="s">
        <v>20</v>
      </c>
      <c r="JI38" s="175">
        <v>0</v>
      </c>
      <c r="JJ38" s="164"/>
      <c r="JK38" s="140">
        <f t="shared" si="33"/>
        <v>0</v>
      </c>
      <c r="JL38" s="150"/>
      <c r="JM38" s="528"/>
      <c r="JN38" s="143"/>
      <c r="JO38" s="146"/>
      <c r="JP38" s="151" t="s">
        <v>20</v>
      </c>
      <c r="JQ38" s="175">
        <v>0</v>
      </c>
      <c r="JR38" s="164"/>
      <c r="JS38" s="140">
        <f t="shared" si="34"/>
        <v>0</v>
      </c>
      <c r="JT38" s="150"/>
      <c r="JU38" s="528"/>
      <c r="JV38" s="143"/>
      <c r="JW38" s="146"/>
      <c r="JX38" s="151" t="s">
        <v>20</v>
      </c>
      <c r="JY38" s="175">
        <v>0</v>
      </c>
      <c r="JZ38" s="164"/>
      <c r="KA38" s="140">
        <f t="shared" si="35"/>
        <v>0</v>
      </c>
      <c r="KB38" s="150"/>
      <c r="KC38" s="528"/>
      <c r="KD38" s="143"/>
      <c r="KE38" s="146"/>
      <c r="KF38" s="151" t="s">
        <v>20</v>
      </c>
      <c r="KG38" s="175">
        <v>0</v>
      </c>
      <c r="KH38" s="164"/>
      <c r="KI38" s="140">
        <f t="shared" si="36"/>
        <v>0</v>
      </c>
      <c r="KJ38" s="150"/>
      <c r="KK38" s="528"/>
      <c r="KL38" s="143"/>
      <c r="KM38" s="146"/>
      <c r="KN38" s="151" t="s">
        <v>20</v>
      </c>
      <c r="KO38" s="175">
        <v>0</v>
      </c>
      <c r="KP38" s="164"/>
      <c r="KQ38" s="140">
        <f t="shared" si="37"/>
        <v>0</v>
      </c>
      <c r="KR38" s="150"/>
      <c r="KS38" s="528"/>
      <c r="KT38" s="143"/>
      <c r="KU38" s="146"/>
      <c r="KV38" s="151" t="s">
        <v>20</v>
      </c>
      <c r="KW38" s="175">
        <v>0</v>
      </c>
      <c r="KX38" s="164"/>
      <c r="KY38" s="140">
        <f t="shared" si="38"/>
        <v>0</v>
      </c>
      <c r="KZ38" s="150"/>
      <c r="LA38" s="528"/>
      <c r="LB38" s="143"/>
      <c r="LC38" s="146"/>
      <c r="LD38" s="151" t="s">
        <v>20</v>
      </c>
      <c r="LE38" s="175">
        <v>0</v>
      </c>
      <c r="LF38" s="164"/>
      <c r="LG38" s="140">
        <f t="shared" si="39"/>
        <v>0</v>
      </c>
      <c r="LH38" s="150"/>
      <c r="LI38" s="528"/>
      <c r="LJ38" s="143"/>
      <c r="LK38" s="146"/>
      <c r="LL38" s="151" t="s">
        <v>20</v>
      </c>
      <c r="LM38" s="175">
        <v>0</v>
      </c>
      <c r="LN38" s="164"/>
      <c r="LO38" s="140">
        <f t="shared" si="40"/>
        <v>0</v>
      </c>
      <c r="LP38" s="150"/>
      <c r="LQ38" s="528"/>
      <c r="LR38" s="143"/>
      <c r="LS38" s="146"/>
      <c r="LT38" s="151" t="s">
        <v>20</v>
      </c>
      <c r="LU38" s="175"/>
      <c r="LV38" s="164"/>
      <c r="LW38" s="140">
        <f t="shared" si="41"/>
        <v>0</v>
      </c>
      <c r="LX38" s="150"/>
      <c r="LY38" s="528"/>
      <c r="LZ38" s="143"/>
      <c r="MA38" s="146"/>
      <c r="MB38" s="151" t="s">
        <v>20</v>
      </c>
      <c r="MC38" s="175"/>
      <c r="MD38" s="164"/>
      <c r="ME38" s="140">
        <f t="shared" si="42"/>
        <v>0</v>
      </c>
      <c r="MF38" s="150"/>
      <c r="MG38" s="528"/>
      <c r="MH38" s="143"/>
      <c r="MI38" s="146"/>
      <c r="MJ38" s="151" t="s">
        <v>20</v>
      </c>
      <c r="MK38" s="175"/>
      <c r="ML38" s="164"/>
      <c r="MM38" s="140">
        <f t="shared" si="43"/>
        <v>0</v>
      </c>
      <c r="MN38" s="150"/>
      <c r="MO38" s="528"/>
      <c r="MP38" s="143"/>
      <c r="MQ38" s="146"/>
      <c r="MR38" s="151" t="s">
        <v>20</v>
      </c>
      <c r="MS38" s="175"/>
      <c r="MT38" s="164"/>
      <c r="MU38" s="140">
        <f t="shared" si="44"/>
        <v>0</v>
      </c>
      <c r="MV38" s="150"/>
      <c r="MW38" s="528"/>
      <c r="MX38" s="143"/>
      <c r="MY38" s="146"/>
      <c r="MZ38" s="157" t="s">
        <v>84</v>
      </c>
      <c r="NA38" s="175"/>
      <c r="NB38" s="164"/>
      <c r="NC38" s="140">
        <f t="shared" si="131"/>
        <v>0</v>
      </c>
      <c r="ND38" s="150"/>
      <c r="NE38" s="528"/>
      <c r="NF38" s="143"/>
      <c r="NG38" s="146"/>
      <c r="NH38" s="157" t="s">
        <v>84</v>
      </c>
      <c r="NI38" s="175"/>
      <c r="NJ38" s="164"/>
      <c r="NK38" s="140">
        <f t="shared" si="132"/>
        <v>0</v>
      </c>
      <c r="NL38" s="150"/>
      <c r="NM38" s="528"/>
      <c r="NN38" s="143"/>
      <c r="NO38" s="146"/>
      <c r="NP38" s="157" t="s">
        <v>84</v>
      </c>
      <c r="NQ38" s="175"/>
      <c r="NR38" s="164"/>
      <c r="NS38" s="140">
        <f t="shared" si="91"/>
        <v>0</v>
      </c>
      <c r="NT38" s="150"/>
      <c r="NU38" s="528"/>
      <c r="NV38" s="143"/>
      <c r="NW38" s="146"/>
      <c r="NX38" s="157" t="s">
        <v>84</v>
      </c>
      <c r="NY38" s="175"/>
      <c r="NZ38" s="164"/>
      <c r="OA38" s="140">
        <f t="shared" si="92"/>
        <v>0</v>
      </c>
      <c r="OB38" s="150"/>
      <c r="OC38" s="528"/>
      <c r="OD38" s="143"/>
      <c r="OE38" s="146"/>
      <c r="OF38" s="157" t="s">
        <v>84</v>
      </c>
      <c r="OG38" s="175"/>
      <c r="OH38" s="164"/>
      <c r="OI38" s="140">
        <f t="shared" si="93"/>
        <v>0</v>
      </c>
      <c r="OJ38" s="150"/>
      <c r="OK38" s="528"/>
      <c r="OL38" s="143"/>
      <c r="OM38" s="146"/>
      <c r="ON38" s="157" t="s">
        <v>84</v>
      </c>
      <c r="OO38" s="175"/>
      <c r="OP38" s="164"/>
      <c r="OQ38" s="140">
        <f t="shared" si="94"/>
        <v>0</v>
      </c>
      <c r="OR38" s="150"/>
      <c r="OS38" s="528"/>
      <c r="OT38" s="143"/>
      <c r="OU38" s="146"/>
      <c r="OV38" s="157" t="s">
        <v>84</v>
      </c>
      <c r="OW38" s="175"/>
      <c r="OX38" s="164"/>
      <c r="OY38" s="140">
        <f t="shared" si="95"/>
        <v>0</v>
      </c>
      <c r="OZ38" s="150"/>
      <c r="PA38" s="528"/>
      <c r="PB38" s="143"/>
      <c r="PC38" s="146"/>
      <c r="PD38" s="157" t="s">
        <v>84</v>
      </c>
      <c r="PE38" s="175"/>
      <c r="PF38" s="164"/>
      <c r="PG38" s="140">
        <f t="shared" si="96"/>
        <v>0</v>
      </c>
      <c r="PH38" s="150"/>
      <c r="PI38" s="528"/>
      <c r="PJ38" s="143"/>
      <c r="PK38" s="146"/>
      <c r="PL38" s="157" t="s">
        <v>84</v>
      </c>
      <c r="PM38" s="175"/>
      <c r="PN38" s="164"/>
      <c r="PO38" s="140">
        <f t="shared" si="97"/>
        <v>0</v>
      </c>
      <c r="PP38" s="150"/>
      <c r="PQ38" s="528"/>
      <c r="PR38" s="143"/>
      <c r="PS38" s="146"/>
      <c r="PT38" s="157" t="s">
        <v>84</v>
      </c>
      <c r="PU38" s="175"/>
      <c r="PV38" s="164"/>
      <c r="PW38" s="140">
        <f t="shared" si="98"/>
        <v>0</v>
      </c>
      <c r="PX38" s="150"/>
      <c r="PY38" s="528"/>
      <c r="PZ38" s="143"/>
      <c r="QA38" s="146"/>
      <c r="QB38" s="157" t="s">
        <v>84</v>
      </c>
      <c r="QC38" s="175"/>
      <c r="QD38" s="164"/>
      <c r="QE38" s="140">
        <f t="shared" si="99"/>
        <v>0</v>
      </c>
      <c r="QF38" s="150"/>
      <c r="QG38" s="528"/>
      <c r="QH38" s="143"/>
      <c r="QI38" s="146"/>
      <c r="QJ38" s="157" t="s">
        <v>84</v>
      </c>
      <c r="QK38" s="175"/>
      <c r="QL38" s="164"/>
      <c r="QM38" s="140">
        <f t="shared" si="100"/>
        <v>0</v>
      </c>
      <c r="QN38" s="150"/>
      <c r="QO38" s="528"/>
      <c r="QP38" s="143"/>
      <c r="QQ38" s="146"/>
      <c r="QR38" s="157" t="s">
        <v>84</v>
      </c>
      <c r="QS38" s="175"/>
      <c r="QT38" s="164"/>
      <c r="QU38" s="140">
        <f t="shared" si="101"/>
        <v>0</v>
      </c>
      <c r="QV38" s="150"/>
      <c r="QW38" s="528"/>
      <c r="QX38" s="143"/>
      <c r="QY38" s="146"/>
      <c r="QZ38" s="157" t="s">
        <v>84</v>
      </c>
      <c r="RA38" s="175"/>
      <c r="RB38" s="164"/>
      <c r="RC38" s="140">
        <f t="shared" si="102"/>
        <v>0</v>
      </c>
      <c r="RD38" s="150"/>
      <c r="RE38" s="528"/>
      <c r="RF38" s="143"/>
      <c r="RG38" s="146"/>
      <c r="RH38" s="157" t="s">
        <v>84</v>
      </c>
      <c r="RI38" s="175"/>
      <c r="RJ38" s="164"/>
      <c r="RK38" s="140">
        <f t="shared" si="103"/>
        <v>0</v>
      </c>
      <c r="RL38" s="150"/>
      <c r="RM38" s="528"/>
      <c r="RN38" s="143"/>
      <c r="RO38" s="146"/>
      <c r="RP38" s="157" t="s">
        <v>84</v>
      </c>
      <c r="RQ38" s="175"/>
      <c r="RR38" s="164"/>
      <c r="RS38" s="140">
        <f t="shared" si="104"/>
        <v>0</v>
      </c>
      <c r="RT38" s="150"/>
      <c r="RU38" s="528"/>
      <c r="RV38" s="143"/>
      <c r="RW38" s="146"/>
      <c r="RX38" s="157" t="s">
        <v>84</v>
      </c>
      <c r="RY38" s="175"/>
      <c r="RZ38" s="164"/>
      <c r="SA38" s="140">
        <f t="shared" si="105"/>
        <v>0</v>
      </c>
      <c r="SB38" s="150"/>
      <c r="SC38" s="528"/>
      <c r="SD38" s="143"/>
      <c r="SE38" s="146"/>
      <c r="SF38" s="157" t="s">
        <v>84</v>
      </c>
      <c r="SG38" s="175"/>
      <c r="SH38" s="164"/>
      <c r="SI38" s="140">
        <f t="shared" si="106"/>
        <v>0</v>
      </c>
      <c r="SJ38" s="150"/>
      <c r="SK38" s="528"/>
      <c r="SL38" s="143"/>
      <c r="SM38" s="146"/>
      <c r="SN38" s="157" t="s">
        <v>84</v>
      </c>
      <c r="SO38" s="175"/>
      <c r="SP38" s="164"/>
      <c r="SQ38" s="140">
        <f t="shared" si="107"/>
        <v>0</v>
      </c>
      <c r="SR38" s="150"/>
      <c r="SS38" s="528"/>
      <c r="ST38" s="143"/>
      <c r="SU38" s="146"/>
      <c r="SV38" s="157" t="s">
        <v>84</v>
      </c>
      <c r="SW38" s="175"/>
      <c r="SX38" s="164"/>
      <c r="SY38" s="140">
        <f t="shared" si="108"/>
        <v>0</v>
      </c>
      <c r="SZ38" s="150"/>
      <c r="TA38" s="528"/>
      <c r="TB38" s="143"/>
      <c r="TC38" s="146"/>
      <c r="TD38" s="157" t="s">
        <v>84</v>
      </c>
      <c r="TE38" s="175"/>
      <c r="TF38" s="164"/>
      <c r="TG38" s="140">
        <f t="shared" si="109"/>
        <v>0</v>
      </c>
      <c r="TH38" s="150"/>
      <c r="TI38" s="528"/>
    </row>
    <row r="39" spans="2:529">
      <c r="B39" s="145"/>
      <c r="C39" s="146"/>
      <c r="D39" s="157" t="s">
        <v>84</v>
      </c>
      <c r="E39" s="138">
        <v>0</v>
      </c>
      <c r="F39" s="164"/>
      <c r="G39" s="140">
        <f t="shared" si="0"/>
        <v>0</v>
      </c>
      <c r="H39" s="154"/>
      <c r="I39" s="528"/>
      <c r="J39" s="145"/>
      <c r="K39" s="146">
        <v>5</v>
      </c>
      <c r="L39" s="157" t="s">
        <v>84</v>
      </c>
      <c r="M39" s="138">
        <v>0</v>
      </c>
      <c r="N39" s="164"/>
      <c r="O39" s="140">
        <f t="shared" si="1"/>
        <v>0</v>
      </c>
      <c r="P39" s="154"/>
      <c r="Q39" s="528"/>
      <c r="R39" s="145"/>
      <c r="S39" s="146">
        <v>5</v>
      </c>
      <c r="T39" s="157" t="s">
        <v>84</v>
      </c>
      <c r="U39" s="138"/>
      <c r="V39" s="164"/>
      <c r="W39" s="140">
        <f t="shared" si="2"/>
        <v>0</v>
      </c>
      <c r="X39" s="154"/>
      <c r="Y39" s="528"/>
      <c r="Z39" s="145"/>
      <c r="AA39" s="146">
        <v>5</v>
      </c>
      <c r="AB39" s="157" t="s">
        <v>84</v>
      </c>
      <c r="AC39" s="138">
        <v>0</v>
      </c>
      <c r="AD39" s="164"/>
      <c r="AE39" s="140">
        <f t="shared" si="3"/>
        <v>0</v>
      </c>
      <c r="AF39" s="154"/>
      <c r="AG39" s="528"/>
      <c r="AH39" s="145"/>
      <c r="AI39" s="146">
        <v>5</v>
      </c>
      <c r="AJ39" s="157" t="s">
        <v>84</v>
      </c>
      <c r="AK39" s="138">
        <v>0</v>
      </c>
      <c r="AL39" s="164"/>
      <c r="AM39" s="140">
        <f t="shared" si="4"/>
        <v>0</v>
      </c>
      <c r="AN39" s="154"/>
      <c r="AO39" s="528"/>
      <c r="AP39" s="145"/>
      <c r="AQ39" s="146">
        <v>5</v>
      </c>
      <c r="AR39" s="157" t="s">
        <v>84</v>
      </c>
      <c r="AS39" s="138"/>
      <c r="AT39" s="164"/>
      <c r="AU39" s="140">
        <f t="shared" si="5"/>
        <v>0</v>
      </c>
      <c r="AV39" s="154"/>
      <c r="AW39" s="528"/>
      <c r="AX39" s="145"/>
      <c r="AY39" s="146">
        <v>5</v>
      </c>
      <c r="AZ39" s="157" t="s">
        <v>84</v>
      </c>
      <c r="BA39" s="138">
        <v>0</v>
      </c>
      <c r="BB39" s="164"/>
      <c r="BC39" s="140">
        <f t="shared" si="6"/>
        <v>0</v>
      </c>
      <c r="BD39" s="154"/>
      <c r="BE39" s="528"/>
      <c r="BF39" s="145"/>
      <c r="BG39" s="146">
        <v>5</v>
      </c>
      <c r="BH39" s="157" t="s">
        <v>84</v>
      </c>
      <c r="BI39" s="138"/>
      <c r="BJ39" s="164"/>
      <c r="BK39" s="140">
        <f t="shared" si="7"/>
        <v>0</v>
      </c>
      <c r="BL39" s="154"/>
      <c r="BM39" s="528"/>
      <c r="BN39" s="145"/>
      <c r="BO39" s="146">
        <v>5</v>
      </c>
      <c r="BP39" s="157" t="s">
        <v>84</v>
      </c>
      <c r="BQ39" s="138">
        <v>0</v>
      </c>
      <c r="BR39" s="164"/>
      <c r="BS39" s="140">
        <f t="shared" si="8"/>
        <v>0</v>
      </c>
      <c r="BT39" s="154"/>
      <c r="BU39" s="528"/>
      <c r="BV39" s="536"/>
      <c r="BW39" s="537"/>
      <c r="BX39" s="574" t="s">
        <v>84</v>
      </c>
      <c r="BY39" s="560"/>
      <c r="BZ39" s="580"/>
      <c r="CA39" s="562">
        <f t="shared" si="9"/>
        <v>0</v>
      </c>
      <c r="CB39" s="571"/>
      <c r="CC39" s="528"/>
      <c r="CD39" s="536"/>
      <c r="CE39" s="537"/>
      <c r="CF39" s="574" t="s">
        <v>84</v>
      </c>
      <c r="CG39" s="560"/>
      <c r="CH39" s="580"/>
      <c r="CI39" s="562">
        <f t="shared" si="10"/>
        <v>0</v>
      </c>
      <c r="CJ39" s="571"/>
      <c r="CK39" s="528"/>
      <c r="CL39" s="145"/>
      <c r="CM39" s="146">
        <v>5</v>
      </c>
      <c r="CN39" s="157" t="s">
        <v>84</v>
      </c>
      <c r="CO39" s="138">
        <v>0</v>
      </c>
      <c r="CP39" s="164"/>
      <c r="CQ39" s="140">
        <f t="shared" si="11"/>
        <v>0</v>
      </c>
      <c r="CR39" s="154"/>
      <c r="CS39" s="528"/>
      <c r="CT39" s="145"/>
      <c r="CU39" s="146">
        <v>5</v>
      </c>
      <c r="CV39" s="157" t="s">
        <v>84</v>
      </c>
      <c r="CW39" s="138"/>
      <c r="CX39" s="164"/>
      <c r="CY39" s="140">
        <f t="shared" si="12"/>
        <v>0</v>
      </c>
      <c r="CZ39" s="154"/>
      <c r="DA39" s="528"/>
      <c r="DB39" s="145"/>
      <c r="DC39" s="146"/>
      <c r="DD39" s="157" t="s">
        <v>84</v>
      </c>
      <c r="DE39" s="138">
        <v>0</v>
      </c>
      <c r="DF39" s="164"/>
      <c r="DG39" s="140">
        <f t="shared" si="13"/>
        <v>0</v>
      </c>
      <c r="DH39" s="154"/>
      <c r="DI39" s="528"/>
      <c r="DJ39" s="145"/>
      <c r="DK39" s="146"/>
      <c r="DL39" s="157" t="s">
        <v>84</v>
      </c>
      <c r="DM39" s="138">
        <v>0</v>
      </c>
      <c r="DN39" s="172"/>
      <c r="DO39" s="140">
        <f t="shared" si="14"/>
        <v>0</v>
      </c>
      <c r="DP39" s="154"/>
      <c r="DQ39" s="528"/>
      <c r="DR39" s="145"/>
      <c r="DS39" s="146"/>
      <c r="DT39" s="157" t="s">
        <v>84</v>
      </c>
      <c r="DU39" s="138"/>
      <c r="DV39" s="172"/>
      <c r="DW39" s="140">
        <f t="shared" si="15"/>
        <v>0</v>
      </c>
      <c r="DX39" s="154"/>
      <c r="DY39" s="528"/>
      <c r="DZ39" s="145"/>
      <c r="EA39" s="146"/>
      <c r="EB39" s="157" t="s">
        <v>84</v>
      </c>
      <c r="EC39" s="138"/>
      <c r="ED39" s="172"/>
      <c r="EE39" s="140">
        <f t="shared" si="16"/>
        <v>0</v>
      </c>
      <c r="EF39" s="154"/>
      <c r="EG39" s="528"/>
      <c r="EH39" s="145"/>
      <c r="EI39" s="146"/>
      <c r="EJ39" s="157" t="s">
        <v>84</v>
      </c>
      <c r="EK39" s="138"/>
      <c r="EL39" s="172"/>
      <c r="EM39" s="140">
        <f t="shared" si="17"/>
        <v>0</v>
      </c>
      <c r="EN39" s="154"/>
      <c r="EO39" s="528"/>
      <c r="EP39" s="145"/>
      <c r="EQ39" s="146"/>
      <c r="ER39" s="157" t="s">
        <v>84</v>
      </c>
      <c r="ES39" s="138"/>
      <c r="ET39" s="172"/>
      <c r="EU39" s="140">
        <f t="shared" si="18"/>
        <v>0</v>
      </c>
      <c r="EV39" s="154"/>
      <c r="EW39" s="528"/>
      <c r="EX39" s="145"/>
      <c r="EY39" s="146"/>
      <c r="EZ39" s="157" t="s">
        <v>84</v>
      </c>
      <c r="FA39" s="138"/>
      <c r="FB39" s="172"/>
      <c r="FC39" s="140">
        <f t="shared" si="19"/>
        <v>0</v>
      </c>
      <c r="FD39" s="154"/>
      <c r="FE39" s="528"/>
      <c r="FF39" s="145"/>
      <c r="FG39" s="146"/>
      <c r="FH39" s="157" t="s">
        <v>84</v>
      </c>
      <c r="FI39" s="138"/>
      <c r="FJ39" s="172"/>
      <c r="FK39" s="140">
        <f t="shared" si="20"/>
        <v>0</v>
      </c>
      <c r="FL39" s="154"/>
      <c r="FM39" s="528"/>
      <c r="FN39" s="145"/>
      <c r="FO39" s="146"/>
      <c r="FP39" s="157" t="s">
        <v>84</v>
      </c>
      <c r="FQ39" s="138"/>
      <c r="FR39" s="172"/>
      <c r="FS39" s="140">
        <f t="shared" si="21"/>
        <v>0</v>
      </c>
      <c r="FT39" s="154"/>
      <c r="FU39" s="528"/>
      <c r="FV39" s="145"/>
      <c r="FW39" s="146"/>
      <c r="FX39" s="157" t="s">
        <v>84</v>
      </c>
      <c r="FY39" s="138"/>
      <c r="FZ39" s="172"/>
      <c r="GA39" s="140">
        <f t="shared" si="22"/>
        <v>0</v>
      </c>
      <c r="GB39" s="154"/>
      <c r="GC39" s="528"/>
      <c r="GD39" s="145"/>
      <c r="GE39" s="146"/>
      <c r="GF39" s="157" t="s">
        <v>84</v>
      </c>
      <c r="GG39" s="138"/>
      <c r="GH39" s="172"/>
      <c r="GI39" s="140">
        <f t="shared" si="23"/>
        <v>0</v>
      </c>
      <c r="GJ39" s="154"/>
      <c r="GK39" s="528"/>
      <c r="GL39" s="145"/>
      <c r="GM39" s="146"/>
      <c r="GN39" s="157" t="s">
        <v>84</v>
      </c>
      <c r="GO39" s="175">
        <v>0</v>
      </c>
      <c r="GP39" s="164"/>
      <c r="GQ39" s="140">
        <f t="shared" si="24"/>
        <v>0</v>
      </c>
      <c r="GR39" s="154"/>
      <c r="GS39" s="528"/>
      <c r="GT39" s="145"/>
      <c r="GU39" s="146"/>
      <c r="GV39" s="157" t="s">
        <v>84</v>
      </c>
      <c r="GW39" s="175">
        <v>0</v>
      </c>
      <c r="GX39" s="164"/>
      <c r="GY39" s="140">
        <f t="shared" si="25"/>
        <v>0</v>
      </c>
      <c r="GZ39" s="154"/>
      <c r="HA39" s="528"/>
      <c r="HB39" s="145"/>
      <c r="HC39" s="146"/>
      <c r="HD39" s="157" t="s">
        <v>84</v>
      </c>
      <c r="HE39" s="175">
        <v>0</v>
      </c>
      <c r="HF39" s="164"/>
      <c r="HG39" s="140">
        <f t="shared" si="26"/>
        <v>0</v>
      </c>
      <c r="HH39" s="154"/>
      <c r="HI39" s="528"/>
      <c r="HJ39" s="145"/>
      <c r="HK39" s="146"/>
      <c r="HL39" s="157" t="s">
        <v>84</v>
      </c>
      <c r="HM39" s="175">
        <v>0</v>
      </c>
      <c r="HN39" s="164"/>
      <c r="HO39" s="140">
        <f t="shared" si="27"/>
        <v>0</v>
      </c>
      <c r="HP39" s="154"/>
      <c r="HQ39" s="528"/>
      <c r="HR39" s="145"/>
      <c r="HS39" s="146"/>
      <c r="HT39" s="157" t="s">
        <v>84</v>
      </c>
      <c r="HU39" s="175">
        <v>0</v>
      </c>
      <c r="HV39" s="164"/>
      <c r="HW39" s="140">
        <f t="shared" si="28"/>
        <v>0</v>
      </c>
      <c r="HX39" s="154"/>
      <c r="HY39" s="528"/>
      <c r="HZ39" s="145"/>
      <c r="IA39" s="146"/>
      <c r="IB39" s="157" t="s">
        <v>84</v>
      </c>
      <c r="IC39" s="175">
        <v>0</v>
      </c>
      <c r="ID39" s="164"/>
      <c r="IE39" s="140">
        <f t="shared" si="29"/>
        <v>0</v>
      </c>
      <c r="IF39" s="154"/>
      <c r="IG39" s="528"/>
      <c r="IH39" s="145"/>
      <c r="II39" s="146"/>
      <c r="IJ39" s="157" t="s">
        <v>84</v>
      </c>
      <c r="IK39" s="175">
        <v>0</v>
      </c>
      <c r="IL39" s="164"/>
      <c r="IM39" s="140">
        <f t="shared" si="30"/>
        <v>0</v>
      </c>
      <c r="IN39" s="154"/>
      <c r="IO39" s="528"/>
      <c r="IP39" s="145"/>
      <c r="IQ39" s="146"/>
      <c r="IR39" s="157" t="s">
        <v>84</v>
      </c>
      <c r="IS39" s="175">
        <v>0</v>
      </c>
      <c r="IT39" s="164"/>
      <c r="IU39" s="140">
        <f t="shared" si="31"/>
        <v>0</v>
      </c>
      <c r="IV39" s="154"/>
      <c r="IW39" s="528"/>
      <c r="IX39" s="145"/>
      <c r="IY39" s="146"/>
      <c r="IZ39" s="157" t="s">
        <v>84</v>
      </c>
      <c r="JA39" s="175">
        <v>0</v>
      </c>
      <c r="JB39" s="164"/>
      <c r="JC39" s="140">
        <f t="shared" si="32"/>
        <v>0</v>
      </c>
      <c r="JD39" s="154"/>
      <c r="JE39" s="528"/>
      <c r="JF39" s="145"/>
      <c r="JG39" s="146"/>
      <c r="JH39" s="157" t="s">
        <v>84</v>
      </c>
      <c r="JI39" s="175">
        <v>0</v>
      </c>
      <c r="JJ39" s="164"/>
      <c r="JK39" s="140">
        <f t="shared" si="33"/>
        <v>0</v>
      </c>
      <c r="JL39" s="154"/>
      <c r="JM39" s="528"/>
      <c r="JN39" s="145"/>
      <c r="JO39" s="146"/>
      <c r="JP39" s="157" t="s">
        <v>84</v>
      </c>
      <c r="JQ39" s="175">
        <v>0</v>
      </c>
      <c r="JR39" s="164"/>
      <c r="JS39" s="140">
        <f t="shared" si="34"/>
        <v>0</v>
      </c>
      <c r="JT39" s="154"/>
      <c r="JU39" s="528"/>
      <c r="JV39" s="145"/>
      <c r="JW39" s="146"/>
      <c r="JX39" s="157" t="s">
        <v>84</v>
      </c>
      <c r="JY39" s="175">
        <v>0</v>
      </c>
      <c r="JZ39" s="164"/>
      <c r="KA39" s="140">
        <f t="shared" si="35"/>
        <v>0</v>
      </c>
      <c r="KB39" s="154"/>
      <c r="KC39" s="528"/>
      <c r="KD39" s="145"/>
      <c r="KE39" s="146"/>
      <c r="KF39" s="157" t="s">
        <v>84</v>
      </c>
      <c r="KG39" s="175">
        <v>0</v>
      </c>
      <c r="KH39" s="164"/>
      <c r="KI39" s="140">
        <f t="shared" si="36"/>
        <v>0</v>
      </c>
      <c r="KJ39" s="154"/>
      <c r="KK39" s="528"/>
      <c r="KL39" s="145"/>
      <c r="KM39" s="146"/>
      <c r="KN39" s="157" t="s">
        <v>84</v>
      </c>
      <c r="KO39" s="175">
        <v>0</v>
      </c>
      <c r="KP39" s="164"/>
      <c r="KQ39" s="140">
        <f t="shared" si="37"/>
        <v>0</v>
      </c>
      <c r="KR39" s="154"/>
      <c r="KS39" s="528"/>
      <c r="KT39" s="145"/>
      <c r="KU39" s="146"/>
      <c r="KV39" s="157" t="s">
        <v>84</v>
      </c>
      <c r="KW39" s="175">
        <v>0</v>
      </c>
      <c r="KX39" s="164"/>
      <c r="KY39" s="140">
        <f t="shared" si="38"/>
        <v>0</v>
      </c>
      <c r="KZ39" s="154"/>
      <c r="LA39" s="528"/>
      <c r="LB39" s="145"/>
      <c r="LC39" s="146"/>
      <c r="LD39" s="157" t="s">
        <v>84</v>
      </c>
      <c r="LE39" s="175">
        <v>0</v>
      </c>
      <c r="LF39" s="164"/>
      <c r="LG39" s="140">
        <f t="shared" si="39"/>
        <v>0</v>
      </c>
      <c r="LH39" s="154"/>
      <c r="LI39" s="528"/>
      <c r="LJ39" s="145"/>
      <c r="LK39" s="146"/>
      <c r="LL39" s="157" t="s">
        <v>84</v>
      </c>
      <c r="LM39" s="175">
        <v>0</v>
      </c>
      <c r="LN39" s="164"/>
      <c r="LO39" s="140">
        <f t="shared" si="40"/>
        <v>0</v>
      </c>
      <c r="LP39" s="154"/>
      <c r="LQ39" s="528"/>
      <c r="LR39" s="145"/>
      <c r="LS39" s="146"/>
      <c r="LT39" s="157" t="s">
        <v>84</v>
      </c>
      <c r="LU39" s="175"/>
      <c r="LV39" s="164"/>
      <c r="LW39" s="140">
        <f t="shared" si="41"/>
        <v>0</v>
      </c>
      <c r="LX39" s="154"/>
      <c r="LY39" s="528"/>
      <c r="LZ39" s="145"/>
      <c r="MA39" s="146"/>
      <c r="MB39" s="157" t="s">
        <v>84</v>
      </c>
      <c r="MC39" s="175"/>
      <c r="MD39" s="164"/>
      <c r="ME39" s="140">
        <f t="shared" si="42"/>
        <v>0</v>
      </c>
      <c r="MF39" s="154"/>
      <c r="MG39" s="528"/>
      <c r="MH39" s="145"/>
      <c r="MI39" s="146"/>
      <c r="MJ39" s="157" t="s">
        <v>84</v>
      </c>
      <c r="MK39" s="175"/>
      <c r="ML39" s="164"/>
      <c r="MM39" s="140">
        <f t="shared" si="43"/>
        <v>0</v>
      </c>
      <c r="MN39" s="154"/>
      <c r="MO39" s="528"/>
      <c r="MP39" s="145"/>
      <c r="MQ39" s="146"/>
      <c r="MR39" s="157" t="s">
        <v>84</v>
      </c>
      <c r="MS39" s="175"/>
      <c r="MT39" s="164"/>
      <c r="MU39" s="140">
        <f t="shared" si="44"/>
        <v>0</v>
      </c>
      <c r="MV39" s="154"/>
      <c r="MW39" s="528"/>
      <c r="MX39" s="145"/>
      <c r="MY39" s="146"/>
      <c r="MZ39" s="145" t="s">
        <v>85</v>
      </c>
      <c r="NA39" s="175"/>
      <c r="NB39" s="164"/>
      <c r="NC39" s="140">
        <f t="shared" si="131"/>
        <v>0</v>
      </c>
      <c r="ND39" s="159">
        <f>SUM(NC36:NC39)</f>
        <v>185.566</v>
      </c>
      <c r="NE39" s="528"/>
      <c r="NF39" s="145"/>
      <c r="NG39" s="146"/>
      <c r="NH39" s="145" t="s">
        <v>85</v>
      </c>
      <c r="NI39" s="175"/>
      <c r="NJ39" s="164"/>
      <c r="NK39" s="140">
        <f t="shared" si="132"/>
        <v>0</v>
      </c>
      <c r="NL39" s="159">
        <f>SUM(NK36:NK39)</f>
        <v>155.90933333333334</v>
      </c>
      <c r="NM39" s="528"/>
      <c r="NN39" s="145"/>
      <c r="NO39" s="146"/>
      <c r="NP39" s="145" t="s">
        <v>85</v>
      </c>
      <c r="NQ39" s="175"/>
      <c r="NR39" s="164"/>
      <c r="NS39" s="140">
        <f t="shared" si="91"/>
        <v>0</v>
      </c>
      <c r="NT39" s="159">
        <f>SUM(NS36:NS39)</f>
        <v>34.740666666666669</v>
      </c>
      <c r="NU39" s="528"/>
      <c r="NV39" s="145"/>
      <c r="NW39" s="146"/>
      <c r="NX39" s="145" t="s">
        <v>85</v>
      </c>
      <c r="NY39" s="175"/>
      <c r="NZ39" s="164"/>
      <c r="OA39" s="140">
        <f t="shared" si="92"/>
        <v>0</v>
      </c>
      <c r="OB39" s="159">
        <f>SUM(OA36:OA39)</f>
        <v>12.71</v>
      </c>
      <c r="OC39" s="528"/>
      <c r="OD39" s="145"/>
      <c r="OE39" s="146"/>
      <c r="OF39" s="145" t="s">
        <v>85</v>
      </c>
      <c r="OG39" s="175"/>
      <c r="OH39" s="164"/>
      <c r="OI39" s="140">
        <f t="shared" si="93"/>
        <v>0</v>
      </c>
      <c r="OJ39" s="159">
        <f>SUM(OI36:OI39)</f>
        <v>0</v>
      </c>
      <c r="OK39" s="528"/>
      <c r="OL39" s="145"/>
      <c r="OM39" s="146"/>
      <c r="ON39" s="145" t="s">
        <v>85</v>
      </c>
      <c r="OO39" s="175"/>
      <c r="OP39" s="164"/>
      <c r="OQ39" s="140">
        <f t="shared" si="94"/>
        <v>0</v>
      </c>
      <c r="OR39" s="159">
        <f>SUM(OQ36:OQ39)</f>
        <v>0</v>
      </c>
      <c r="OS39" s="528"/>
      <c r="OT39" s="145"/>
      <c r="OU39" s="146"/>
      <c r="OV39" s="145" t="s">
        <v>85</v>
      </c>
      <c r="OW39" s="175"/>
      <c r="OX39" s="164"/>
      <c r="OY39" s="140">
        <f t="shared" si="95"/>
        <v>0</v>
      </c>
      <c r="OZ39" s="159">
        <f>SUM(OY36:OY39)</f>
        <v>0</v>
      </c>
      <c r="PA39" s="528"/>
      <c r="PB39" s="145"/>
      <c r="PC39" s="146"/>
      <c r="PD39" s="145" t="s">
        <v>85</v>
      </c>
      <c r="PE39" s="175"/>
      <c r="PF39" s="164"/>
      <c r="PG39" s="140">
        <f t="shared" si="96"/>
        <v>0</v>
      </c>
      <c r="PH39" s="159">
        <f>SUM(PG36:PG39)</f>
        <v>0</v>
      </c>
      <c r="PI39" s="528"/>
      <c r="PJ39" s="145"/>
      <c r="PK39" s="146"/>
      <c r="PL39" s="145" t="s">
        <v>85</v>
      </c>
      <c r="PM39" s="175"/>
      <c r="PN39" s="164"/>
      <c r="PO39" s="140">
        <f t="shared" si="97"/>
        <v>0</v>
      </c>
      <c r="PP39" s="159">
        <f>SUM(PO36:PO39)</f>
        <v>24.572666666666667</v>
      </c>
      <c r="PQ39" s="528"/>
      <c r="PR39" s="145"/>
      <c r="PS39" s="146"/>
      <c r="PT39" s="145" t="s">
        <v>85</v>
      </c>
      <c r="PU39" s="175"/>
      <c r="PV39" s="164"/>
      <c r="PW39" s="140">
        <f t="shared" si="98"/>
        <v>0</v>
      </c>
      <c r="PX39" s="159">
        <f>SUM(PW36:PW39)</f>
        <v>27.114666666666668</v>
      </c>
      <c r="PY39" s="528"/>
      <c r="PZ39" s="145"/>
      <c r="QA39" s="146"/>
      <c r="QB39" s="145" t="s">
        <v>85</v>
      </c>
      <c r="QC39" s="175"/>
      <c r="QD39" s="164"/>
      <c r="QE39" s="140">
        <f t="shared" si="99"/>
        <v>0</v>
      </c>
      <c r="QF39" s="159">
        <f>SUM(QE36:QE39)</f>
        <v>82.191333333333333</v>
      </c>
      <c r="QG39" s="528"/>
      <c r="QH39" s="145"/>
      <c r="QI39" s="146"/>
      <c r="QJ39" s="145" t="s">
        <v>85</v>
      </c>
      <c r="QK39" s="175"/>
      <c r="QL39" s="164"/>
      <c r="QM39" s="140">
        <f t="shared" si="100"/>
        <v>0</v>
      </c>
      <c r="QN39" s="159">
        <f>SUM(QM36:QM39)</f>
        <v>188.108</v>
      </c>
      <c r="QO39" s="528"/>
      <c r="QP39" s="145"/>
      <c r="QQ39" s="146"/>
      <c r="QR39" s="145" t="s">
        <v>85</v>
      </c>
      <c r="QS39" s="175"/>
      <c r="QT39" s="164"/>
      <c r="QU39" s="140">
        <f t="shared" si="101"/>
        <v>0</v>
      </c>
      <c r="QV39" s="159">
        <f>SUM(QU36:QU39)</f>
        <v>38.977333333333334</v>
      </c>
      <c r="QW39" s="528"/>
      <c r="QX39" s="145"/>
      <c r="QY39" s="146"/>
      <c r="QZ39" s="145" t="s">
        <v>85</v>
      </c>
      <c r="RA39" s="175"/>
      <c r="RB39" s="164"/>
      <c r="RC39" s="140">
        <f t="shared" si="102"/>
        <v>0</v>
      </c>
      <c r="RD39" s="159">
        <f>SUM(RC36:RC39)</f>
        <v>0</v>
      </c>
      <c r="RE39" s="528"/>
      <c r="RF39" s="145"/>
      <c r="RG39" s="146"/>
      <c r="RH39" s="145" t="s">
        <v>85</v>
      </c>
      <c r="RI39" s="175"/>
      <c r="RJ39" s="164"/>
      <c r="RK39" s="140">
        <f t="shared" si="103"/>
        <v>0</v>
      </c>
      <c r="RL39" s="159">
        <f>SUM(RK36:RK39)</f>
        <v>0</v>
      </c>
      <c r="RM39" s="528"/>
      <c r="RN39" s="145"/>
      <c r="RO39" s="146"/>
      <c r="RP39" s="145" t="s">
        <v>85</v>
      </c>
      <c r="RQ39" s="175"/>
      <c r="RR39" s="164"/>
      <c r="RS39" s="140">
        <f t="shared" si="104"/>
        <v>0</v>
      </c>
      <c r="RT39" s="159">
        <f>SUM(RS36:RS39)</f>
        <v>1.6946666666666668</v>
      </c>
      <c r="RU39" s="528"/>
      <c r="RV39" s="145"/>
      <c r="RW39" s="146"/>
      <c r="RX39" s="145" t="s">
        <v>85</v>
      </c>
      <c r="RY39" s="175"/>
      <c r="RZ39" s="164"/>
      <c r="SA39" s="140">
        <f t="shared" si="105"/>
        <v>0</v>
      </c>
      <c r="SB39" s="159">
        <f>SUM(SA36:SA39)</f>
        <v>0</v>
      </c>
      <c r="SC39" s="528"/>
      <c r="SD39" s="145"/>
      <c r="SE39" s="146"/>
      <c r="SF39" s="145" t="s">
        <v>85</v>
      </c>
      <c r="SG39" s="175"/>
      <c r="SH39" s="164"/>
      <c r="SI39" s="140">
        <f t="shared" si="106"/>
        <v>0</v>
      </c>
      <c r="SJ39" s="159">
        <f>SUM(SI36:SI39)</f>
        <v>5.9313333333333338</v>
      </c>
      <c r="SK39" s="528"/>
      <c r="SL39" s="145"/>
      <c r="SM39" s="146"/>
      <c r="SN39" s="145" t="s">
        <v>85</v>
      </c>
      <c r="SO39" s="175"/>
      <c r="SP39" s="164"/>
      <c r="SQ39" s="140">
        <f t="shared" si="107"/>
        <v>0</v>
      </c>
      <c r="SR39" s="159">
        <f>SUM(SQ36:SQ39)</f>
        <v>0</v>
      </c>
      <c r="SS39" s="528"/>
      <c r="ST39" s="145"/>
      <c r="SU39" s="146"/>
      <c r="SV39" s="145" t="s">
        <v>85</v>
      </c>
      <c r="SW39" s="175"/>
      <c r="SX39" s="164"/>
      <c r="SY39" s="140">
        <f t="shared" si="108"/>
        <v>0</v>
      </c>
      <c r="SZ39" s="159">
        <f>SUM(SY36:SY39)</f>
        <v>0</v>
      </c>
      <c r="TA39" s="528"/>
      <c r="TB39" s="145"/>
      <c r="TC39" s="146"/>
      <c r="TD39" s="145" t="s">
        <v>85</v>
      </c>
      <c r="TE39" s="175"/>
      <c r="TF39" s="164"/>
      <c r="TG39" s="140">
        <f t="shared" si="109"/>
        <v>0</v>
      </c>
      <c r="TH39" s="159">
        <f>SUM(TG36:TG39)</f>
        <v>0</v>
      </c>
      <c r="TI39" s="528"/>
    </row>
    <row r="40" spans="2:529">
      <c r="B40" s="151"/>
      <c r="C40" s="161"/>
      <c r="D40" s="145" t="s">
        <v>85</v>
      </c>
      <c r="E40" s="138">
        <v>0</v>
      </c>
      <c r="F40" s="164"/>
      <c r="G40" s="140">
        <f t="shared" si="0"/>
        <v>0</v>
      </c>
      <c r="H40" s="154">
        <f>SUM(G37:G40)</f>
        <v>276.185</v>
      </c>
      <c r="I40" s="528"/>
      <c r="J40" s="151"/>
      <c r="K40" s="161">
        <v>10</v>
      </c>
      <c r="L40" s="145" t="s">
        <v>85</v>
      </c>
      <c r="M40" s="138">
        <v>0</v>
      </c>
      <c r="N40" s="164"/>
      <c r="O40" s="140">
        <f t="shared" si="1"/>
        <v>0</v>
      </c>
      <c r="P40" s="154">
        <f>SUM(O37:O40)</f>
        <v>0</v>
      </c>
      <c r="Q40" s="528"/>
      <c r="R40" s="151"/>
      <c r="S40" s="161">
        <v>10</v>
      </c>
      <c r="T40" s="145" t="s">
        <v>85</v>
      </c>
      <c r="U40" s="138">
        <v>0</v>
      </c>
      <c r="V40" s="164"/>
      <c r="W40" s="140">
        <f t="shared" si="2"/>
        <v>0</v>
      </c>
      <c r="X40" s="154">
        <f>SUM(W37:W40)</f>
        <v>1919.6375</v>
      </c>
      <c r="Y40" s="528"/>
      <c r="Z40" s="151"/>
      <c r="AA40" s="161">
        <v>10</v>
      </c>
      <c r="AB40" s="145" t="s">
        <v>85</v>
      </c>
      <c r="AC40" s="138"/>
      <c r="AD40" s="164"/>
      <c r="AE40" s="140">
        <f t="shared" si="3"/>
        <v>0</v>
      </c>
      <c r="AF40" s="154">
        <f>SUM(AE37:AE40)</f>
        <v>71.322500000000005</v>
      </c>
      <c r="AG40" s="528"/>
      <c r="AH40" s="151"/>
      <c r="AI40" s="161">
        <v>10</v>
      </c>
      <c r="AJ40" s="145" t="s">
        <v>85</v>
      </c>
      <c r="AK40" s="138">
        <v>0</v>
      </c>
      <c r="AL40" s="164"/>
      <c r="AM40" s="140">
        <f t="shared" si="4"/>
        <v>0</v>
      </c>
      <c r="AN40" s="154">
        <f>SUM(AM37:AM40)</f>
        <v>1925.7075</v>
      </c>
      <c r="AO40" s="528"/>
      <c r="AP40" s="151"/>
      <c r="AQ40" s="161">
        <v>10</v>
      </c>
      <c r="AR40" s="145" t="s">
        <v>85</v>
      </c>
      <c r="AS40" s="138"/>
      <c r="AT40" s="164"/>
      <c r="AU40" s="140">
        <f t="shared" si="5"/>
        <v>0</v>
      </c>
      <c r="AV40" s="154">
        <f>SUM(AU37:AU40)</f>
        <v>0</v>
      </c>
      <c r="AW40" s="528"/>
      <c r="AX40" s="151"/>
      <c r="AY40" s="161">
        <v>10</v>
      </c>
      <c r="AZ40" s="145" t="s">
        <v>85</v>
      </c>
      <c r="BA40" s="138">
        <v>0</v>
      </c>
      <c r="BB40" s="164"/>
      <c r="BC40" s="140">
        <f t="shared" si="6"/>
        <v>0</v>
      </c>
      <c r="BD40" s="154">
        <f>SUM(BC37:BC40)</f>
        <v>819.45</v>
      </c>
      <c r="BE40" s="528"/>
      <c r="BF40" s="151"/>
      <c r="BG40" s="161">
        <v>10</v>
      </c>
      <c r="BH40" s="145" t="s">
        <v>85</v>
      </c>
      <c r="BI40" s="138"/>
      <c r="BJ40" s="164"/>
      <c r="BK40" s="140">
        <f t="shared" si="7"/>
        <v>0</v>
      </c>
      <c r="BL40" s="154">
        <f>SUM(BK37:BK40)</f>
        <v>893.8075</v>
      </c>
      <c r="BM40" s="528"/>
      <c r="BN40" s="151"/>
      <c r="BO40" s="161">
        <v>10</v>
      </c>
      <c r="BP40" s="145" t="s">
        <v>85</v>
      </c>
      <c r="BQ40" s="138">
        <v>0</v>
      </c>
      <c r="BR40" s="164"/>
      <c r="BS40" s="140">
        <f t="shared" si="8"/>
        <v>0</v>
      </c>
      <c r="BT40" s="154">
        <f>SUM(BS37:BS40)</f>
        <v>245.83500000000001</v>
      </c>
      <c r="BU40" s="528"/>
      <c r="BV40" s="543"/>
      <c r="BW40" s="577"/>
      <c r="BX40" s="536" t="s">
        <v>85</v>
      </c>
      <c r="BY40" s="560"/>
      <c r="BZ40" s="580"/>
      <c r="CA40" s="562">
        <f t="shared" si="9"/>
        <v>0</v>
      </c>
      <c r="CB40" s="571">
        <f>SUM(CA37:CA40)</f>
        <v>0</v>
      </c>
      <c r="CC40" s="528"/>
      <c r="CD40" s="543"/>
      <c r="CE40" s="577"/>
      <c r="CF40" s="536" t="s">
        <v>85</v>
      </c>
      <c r="CG40" s="560"/>
      <c r="CH40" s="580"/>
      <c r="CI40" s="562">
        <f t="shared" si="10"/>
        <v>0</v>
      </c>
      <c r="CJ40" s="571">
        <f>SUM(CI37:CI40)</f>
        <v>0</v>
      </c>
      <c r="CK40" s="528"/>
      <c r="CL40" s="151"/>
      <c r="CM40" s="161">
        <v>10</v>
      </c>
      <c r="CN40" s="145" t="s">
        <v>85</v>
      </c>
      <c r="CO40" s="138">
        <v>0</v>
      </c>
      <c r="CP40" s="164"/>
      <c r="CQ40" s="140">
        <f t="shared" si="11"/>
        <v>0</v>
      </c>
      <c r="CR40" s="154">
        <f>SUM(CQ37:CQ40)</f>
        <v>28.832500000000003</v>
      </c>
      <c r="CS40" s="528"/>
      <c r="CT40" s="151"/>
      <c r="CU40" s="161">
        <v>10</v>
      </c>
      <c r="CV40" s="145" t="s">
        <v>85</v>
      </c>
      <c r="CW40" s="138"/>
      <c r="CX40" s="164"/>
      <c r="CY40" s="140">
        <f t="shared" si="12"/>
        <v>0</v>
      </c>
      <c r="CZ40" s="154">
        <f>SUM(CY37:CY40)</f>
        <v>893.8075</v>
      </c>
      <c r="DA40" s="528"/>
      <c r="DB40" s="151"/>
      <c r="DC40" s="161"/>
      <c r="DD40" s="145" t="s">
        <v>85</v>
      </c>
      <c r="DE40" s="138">
        <v>0</v>
      </c>
      <c r="DF40" s="164"/>
      <c r="DG40" s="140">
        <f t="shared" si="13"/>
        <v>0</v>
      </c>
      <c r="DH40" s="154">
        <f>SUM(DG37:DG40)</f>
        <v>270.11500000000001</v>
      </c>
      <c r="DI40" s="528"/>
      <c r="DJ40" s="151"/>
      <c r="DK40" s="161"/>
      <c r="DL40" s="145" t="s">
        <v>85</v>
      </c>
      <c r="DM40" s="138">
        <v>0</v>
      </c>
      <c r="DN40" s="172"/>
      <c r="DO40" s="140">
        <f t="shared" si="14"/>
        <v>0</v>
      </c>
      <c r="DP40" s="154">
        <f>SUM(DO37:DO40)</f>
        <v>12771.28</v>
      </c>
      <c r="DQ40" s="528"/>
      <c r="DR40" s="151"/>
      <c r="DS40" s="161"/>
      <c r="DT40" s="145" t="s">
        <v>85</v>
      </c>
      <c r="DU40" s="138"/>
      <c r="DV40" s="172"/>
      <c r="DW40" s="140">
        <f t="shared" si="15"/>
        <v>0</v>
      </c>
      <c r="DX40" s="154">
        <f>SUM(DW37:DW40)</f>
        <v>0</v>
      </c>
      <c r="DY40" s="528"/>
      <c r="DZ40" s="151"/>
      <c r="EA40" s="161"/>
      <c r="EB40" s="145" t="s">
        <v>85</v>
      </c>
      <c r="EC40" s="138"/>
      <c r="ED40" s="172"/>
      <c r="EE40" s="140">
        <f t="shared" si="16"/>
        <v>0</v>
      </c>
      <c r="EF40" s="154">
        <f>SUM(EE37:EE40)</f>
        <v>0</v>
      </c>
      <c r="EG40" s="528"/>
      <c r="EH40" s="151"/>
      <c r="EI40" s="161"/>
      <c r="EJ40" s="145" t="s">
        <v>85</v>
      </c>
      <c r="EK40" s="138"/>
      <c r="EL40" s="172"/>
      <c r="EM40" s="140">
        <f t="shared" si="17"/>
        <v>0</v>
      </c>
      <c r="EN40" s="154">
        <f>SUM(EM37:EM40)</f>
        <v>1359.68</v>
      </c>
      <c r="EO40" s="528"/>
      <c r="EP40" s="151"/>
      <c r="EQ40" s="161"/>
      <c r="ER40" s="145" t="s">
        <v>85</v>
      </c>
      <c r="ES40" s="138"/>
      <c r="ET40" s="172"/>
      <c r="EU40" s="140">
        <f t="shared" si="18"/>
        <v>0</v>
      </c>
      <c r="EV40" s="154">
        <f>SUM(EU37:EU40)</f>
        <v>561.47500000000002</v>
      </c>
      <c r="EW40" s="528"/>
      <c r="EX40" s="151"/>
      <c r="EY40" s="161"/>
      <c r="EZ40" s="145" t="s">
        <v>85</v>
      </c>
      <c r="FA40" s="138"/>
      <c r="FB40" s="172"/>
      <c r="FC40" s="140">
        <f t="shared" si="19"/>
        <v>0</v>
      </c>
      <c r="FD40" s="154">
        <f>SUM(FC37:FC40)</f>
        <v>0</v>
      </c>
      <c r="FE40" s="528"/>
      <c r="FF40" s="151"/>
      <c r="FG40" s="161"/>
      <c r="FH40" s="145" t="s">
        <v>85</v>
      </c>
      <c r="FI40" s="138"/>
      <c r="FJ40" s="172"/>
      <c r="FK40" s="140">
        <f t="shared" si="20"/>
        <v>0</v>
      </c>
      <c r="FL40" s="154">
        <f>SUM(FK37:FK40)</f>
        <v>0</v>
      </c>
      <c r="FM40" s="528"/>
      <c r="FN40" s="151"/>
      <c r="FO40" s="161"/>
      <c r="FP40" s="145" t="s">
        <v>85</v>
      </c>
      <c r="FQ40" s="138"/>
      <c r="FR40" s="172"/>
      <c r="FS40" s="140">
        <f t="shared" si="21"/>
        <v>0</v>
      </c>
      <c r="FT40" s="154">
        <f>SUM(FS37:FS40)</f>
        <v>0</v>
      </c>
      <c r="FU40" s="528"/>
      <c r="FV40" s="151"/>
      <c r="FW40" s="161"/>
      <c r="FX40" s="145" t="s">
        <v>85</v>
      </c>
      <c r="FY40" s="138"/>
      <c r="FZ40" s="172"/>
      <c r="GA40" s="140">
        <f t="shared" si="22"/>
        <v>0</v>
      </c>
      <c r="GB40" s="154">
        <f>SUM(GA37:GA40)</f>
        <v>0</v>
      </c>
      <c r="GC40" s="528"/>
      <c r="GD40" s="151"/>
      <c r="GE40" s="161"/>
      <c r="GF40" s="145" t="s">
        <v>85</v>
      </c>
      <c r="GG40" s="138"/>
      <c r="GH40" s="172"/>
      <c r="GI40" s="140">
        <f t="shared" si="23"/>
        <v>0</v>
      </c>
      <c r="GJ40" s="154">
        <f>SUM(GI37:GI40)</f>
        <v>0</v>
      </c>
      <c r="GK40" s="528"/>
      <c r="GL40" s="151"/>
      <c r="GM40" s="161"/>
      <c r="GN40" s="145" t="s">
        <v>85</v>
      </c>
      <c r="GO40" s="175">
        <v>0</v>
      </c>
      <c r="GP40" s="164"/>
      <c r="GQ40" s="140">
        <f t="shared" si="24"/>
        <v>0</v>
      </c>
      <c r="GR40" s="154">
        <f>SUM(GQ37:GQ40)</f>
        <v>874.08</v>
      </c>
      <c r="GS40" s="528"/>
      <c r="GT40" s="151"/>
      <c r="GU40" s="161"/>
      <c r="GV40" s="145" t="s">
        <v>85</v>
      </c>
      <c r="GW40" s="175">
        <v>0</v>
      </c>
      <c r="GX40" s="164"/>
      <c r="GY40" s="140">
        <f t="shared" si="25"/>
        <v>0</v>
      </c>
      <c r="GZ40" s="154">
        <f>SUM(GY37:GY40)</f>
        <v>297.43</v>
      </c>
      <c r="HA40" s="528"/>
      <c r="HB40" s="151"/>
      <c r="HC40" s="161"/>
      <c r="HD40" s="145" t="s">
        <v>85</v>
      </c>
      <c r="HE40" s="175">
        <v>0</v>
      </c>
      <c r="HF40" s="164"/>
      <c r="HG40" s="140">
        <f t="shared" si="26"/>
        <v>0</v>
      </c>
      <c r="HH40" s="154">
        <f>SUM(HG37:HG40)</f>
        <v>1417.345</v>
      </c>
      <c r="HI40" s="528"/>
      <c r="HJ40" s="151"/>
      <c r="HK40" s="161"/>
      <c r="HL40" s="145" t="s">
        <v>85</v>
      </c>
      <c r="HM40" s="175">
        <v>0</v>
      </c>
      <c r="HN40" s="164"/>
      <c r="HO40" s="140">
        <f t="shared" si="27"/>
        <v>0</v>
      </c>
      <c r="HP40" s="154">
        <f>SUM(HO37:HO40)</f>
        <v>97.12</v>
      </c>
      <c r="HQ40" s="528"/>
      <c r="HR40" s="151"/>
      <c r="HS40" s="161"/>
      <c r="HT40" s="145" t="s">
        <v>85</v>
      </c>
      <c r="HU40" s="175">
        <v>0</v>
      </c>
      <c r="HV40" s="164"/>
      <c r="HW40" s="140">
        <f t="shared" si="28"/>
        <v>0</v>
      </c>
      <c r="HX40" s="154">
        <f>SUM(HW37:HW40)</f>
        <v>861.94</v>
      </c>
      <c r="HY40" s="528"/>
      <c r="HZ40" s="151"/>
      <c r="IA40" s="161"/>
      <c r="IB40" s="145" t="s">
        <v>85</v>
      </c>
      <c r="IC40" s="175">
        <v>0</v>
      </c>
      <c r="ID40" s="164"/>
      <c r="IE40" s="140">
        <f t="shared" si="29"/>
        <v>0</v>
      </c>
      <c r="IF40" s="154">
        <f>SUM(IE37:IE40)</f>
        <v>341.4375</v>
      </c>
      <c r="IG40" s="528"/>
      <c r="IH40" s="151"/>
      <c r="II40" s="161"/>
      <c r="IJ40" s="145" t="s">
        <v>85</v>
      </c>
      <c r="IK40" s="175">
        <v>0</v>
      </c>
      <c r="IL40" s="164"/>
      <c r="IM40" s="140">
        <f t="shared" si="30"/>
        <v>0</v>
      </c>
      <c r="IN40" s="154">
        <f>SUM(IM37:IM40)</f>
        <v>264.04500000000002</v>
      </c>
      <c r="IO40" s="528"/>
      <c r="IP40" s="151"/>
      <c r="IQ40" s="161"/>
      <c r="IR40" s="145" t="s">
        <v>85</v>
      </c>
      <c r="IS40" s="175">
        <v>0</v>
      </c>
      <c r="IT40" s="164"/>
      <c r="IU40" s="140">
        <f t="shared" si="31"/>
        <v>0</v>
      </c>
      <c r="IV40" s="154">
        <f>SUM(IU37:IU40)</f>
        <v>695.01499999999999</v>
      </c>
      <c r="IW40" s="528"/>
      <c r="IX40" s="151"/>
      <c r="IY40" s="161"/>
      <c r="IZ40" s="145" t="s">
        <v>85</v>
      </c>
      <c r="JA40" s="175">
        <v>5</v>
      </c>
      <c r="JB40" s="164"/>
      <c r="JC40" s="140">
        <f t="shared" si="32"/>
        <v>0</v>
      </c>
      <c r="JD40" s="154">
        <f>SUM(JC37:JC40)</f>
        <v>649.49</v>
      </c>
      <c r="JE40" s="528"/>
      <c r="JF40" s="151"/>
      <c r="JG40" s="161"/>
      <c r="JH40" s="145" t="s">
        <v>85</v>
      </c>
      <c r="JI40" s="175">
        <v>0</v>
      </c>
      <c r="JJ40" s="164"/>
      <c r="JK40" s="140">
        <f t="shared" si="33"/>
        <v>0</v>
      </c>
      <c r="JL40" s="154">
        <f>SUM(JK37:JK40)</f>
        <v>135.0575</v>
      </c>
      <c r="JM40" s="528"/>
      <c r="JN40" s="151"/>
      <c r="JO40" s="161"/>
      <c r="JP40" s="145" t="s">
        <v>85</v>
      </c>
      <c r="JQ40" s="175">
        <v>0</v>
      </c>
      <c r="JR40" s="164"/>
      <c r="JS40" s="140">
        <f t="shared" si="34"/>
        <v>0</v>
      </c>
      <c r="JT40" s="154">
        <f>SUM(JS37:JS40)</f>
        <v>473.46000000000004</v>
      </c>
      <c r="JU40" s="528"/>
      <c r="JV40" s="151"/>
      <c r="JW40" s="161"/>
      <c r="JX40" s="145" t="s">
        <v>85</v>
      </c>
      <c r="JY40" s="175">
        <v>0</v>
      </c>
      <c r="JZ40" s="164"/>
      <c r="KA40" s="140">
        <f t="shared" si="35"/>
        <v>0</v>
      </c>
      <c r="KB40" s="154">
        <f>SUM(KA37:KA40)</f>
        <v>270.11500000000001</v>
      </c>
      <c r="KC40" s="528"/>
      <c r="KD40" s="151"/>
      <c r="KE40" s="161"/>
      <c r="KF40" s="145" t="s">
        <v>85</v>
      </c>
      <c r="KG40" s="175">
        <v>0</v>
      </c>
      <c r="KH40" s="164"/>
      <c r="KI40" s="140">
        <f t="shared" si="36"/>
        <v>0</v>
      </c>
      <c r="KJ40" s="154">
        <f>SUM(KI37:KI40)</f>
        <v>517.46749999999997</v>
      </c>
      <c r="KK40" s="528"/>
      <c r="KL40" s="151"/>
      <c r="KM40" s="161"/>
      <c r="KN40" s="145" t="s">
        <v>85</v>
      </c>
      <c r="KO40" s="175">
        <v>0</v>
      </c>
      <c r="KP40" s="164"/>
      <c r="KQ40" s="140">
        <f t="shared" si="37"/>
        <v>0</v>
      </c>
      <c r="KR40" s="154">
        <f>SUM(KQ37:KQ40)</f>
        <v>0</v>
      </c>
      <c r="KS40" s="528"/>
      <c r="KT40" s="151"/>
      <c r="KU40" s="161"/>
      <c r="KV40" s="145" t="s">
        <v>85</v>
      </c>
      <c r="KW40" s="175">
        <v>0</v>
      </c>
      <c r="KX40" s="164"/>
      <c r="KY40" s="140">
        <f t="shared" si="38"/>
        <v>0</v>
      </c>
      <c r="KZ40" s="154">
        <f>SUM(KY37:KY40)</f>
        <v>248.87</v>
      </c>
      <c r="LA40" s="528"/>
      <c r="LB40" s="151"/>
      <c r="LC40" s="161"/>
      <c r="LD40" s="145" t="s">
        <v>85</v>
      </c>
      <c r="LE40" s="175">
        <v>0</v>
      </c>
      <c r="LF40" s="164"/>
      <c r="LG40" s="140">
        <f t="shared" si="39"/>
        <v>0</v>
      </c>
      <c r="LH40" s="154">
        <f>SUM(LG37:LG40)</f>
        <v>737.505</v>
      </c>
      <c r="LI40" s="528"/>
      <c r="LJ40" s="151"/>
      <c r="LK40" s="161"/>
      <c r="LL40" s="145" t="s">
        <v>85</v>
      </c>
      <c r="LM40" s="175">
        <v>0</v>
      </c>
      <c r="LN40" s="164"/>
      <c r="LO40" s="140">
        <f t="shared" si="40"/>
        <v>0</v>
      </c>
      <c r="LP40" s="154">
        <f>SUM(LO37:LO40)</f>
        <v>362.6825</v>
      </c>
      <c r="LQ40" s="528"/>
      <c r="LR40" s="151"/>
      <c r="LS40" s="161"/>
      <c r="LT40" s="145" t="s">
        <v>85</v>
      </c>
      <c r="LU40" s="175"/>
      <c r="LV40" s="164"/>
      <c r="LW40" s="140">
        <f t="shared" si="41"/>
        <v>0</v>
      </c>
      <c r="LX40" s="154">
        <f>SUM(LW37:LW40)</f>
        <v>547.8175</v>
      </c>
      <c r="LY40" s="528"/>
      <c r="LZ40" s="151"/>
      <c r="MA40" s="161"/>
      <c r="MB40" s="145" t="s">
        <v>85</v>
      </c>
      <c r="MC40" s="175"/>
      <c r="MD40" s="164"/>
      <c r="ME40" s="140">
        <f t="shared" si="42"/>
        <v>0</v>
      </c>
      <c r="MF40" s="154">
        <f>SUM(ME37:ME40)</f>
        <v>614.58749999999998</v>
      </c>
      <c r="MG40" s="528"/>
      <c r="MH40" s="151"/>
      <c r="MI40" s="161"/>
      <c r="MJ40" s="145" t="s">
        <v>85</v>
      </c>
      <c r="MK40" s="175"/>
      <c r="ML40" s="164"/>
      <c r="MM40" s="140">
        <f t="shared" si="43"/>
        <v>0</v>
      </c>
      <c r="MN40" s="154">
        <f>SUM(MM37:MM40)</f>
        <v>1318.7075</v>
      </c>
      <c r="MO40" s="528"/>
      <c r="MP40" s="151"/>
      <c r="MQ40" s="161"/>
      <c r="MR40" s="145" t="s">
        <v>85</v>
      </c>
      <c r="MS40" s="175"/>
      <c r="MT40" s="164"/>
      <c r="MU40" s="140">
        <f t="shared" si="44"/>
        <v>0</v>
      </c>
      <c r="MV40" s="154">
        <f>SUM(MU37:MU40)</f>
        <v>443.11</v>
      </c>
      <c r="MW40" s="528"/>
      <c r="MX40" s="143" t="s">
        <v>87</v>
      </c>
      <c r="MY40" s="144">
        <v>13</v>
      </c>
      <c r="MZ40" s="157" t="s">
        <v>36</v>
      </c>
      <c r="NA40" s="175">
        <v>131</v>
      </c>
      <c r="NB40" s="164">
        <v>0.75312500000000004</v>
      </c>
      <c r="NC40" s="140">
        <f t="shared" si="131"/>
        <v>98.659375000000011</v>
      </c>
      <c r="ND40" s="168">
        <f>NA40*NB40</f>
        <v>98.659375000000011</v>
      </c>
      <c r="NE40" s="528"/>
      <c r="NF40" s="143" t="s">
        <v>87</v>
      </c>
      <c r="NG40" s="144">
        <v>4</v>
      </c>
      <c r="NH40" s="157" t="s">
        <v>36</v>
      </c>
      <c r="NI40" s="175">
        <v>28</v>
      </c>
      <c r="NJ40" s="164">
        <v>0.75312500000000004</v>
      </c>
      <c r="NK40" s="140">
        <f t="shared" si="132"/>
        <v>21.087500000000002</v>
      </c>
      <c r="NL40" s="168">
        <f>NI40*NJ40</f>
        <v>21.087500000000002</v>
      </c>
      <c r="NM40" s="528"/>
      <c r="NN40" s="143" t="s">
        <v>87</v>
      </c>
      <c r="NO40" s="144">
        <v>6</v>
      </c>
      <c r="NP40" s="157" t="s">
        <v>36</v>
      </c>
      <c r="NQ40" s="175">
        <v>69</v>
      </c>
      <c r="NR40" s="164">
        <v>0.75312500000000004</v>
      </c>
      <c r="NS40" s="140">
        <f t="shared" si="91"/>
        <v>51.965625000000003</v>
      </c>
      <c r="NT40" s="168">
        <f>NQ40*NR40</f>
        <v>51.965625000000003</v>
      </c>
      <c r="NU40" s="528"/>
      <c r="NV40" s="143" t="s">
        <v>87</v>
      </c>
      <c r="NW40" s="144">
        <v>2</v>
      </c>
      <c r="NX40" s="157" t="s">
        <v>36</v>
      </c>
      <c r="NY40" s="175">
        <v>8</v>
      </c>
      <c r="NZ40" s="164">
        <v>0.75312500000000004</v>
      </c>
      <c r="OA40" s="140">
        <f t="shared" si="92"/>
        <v>6.0250000000000004</v>
      </c>
      <c r="OB40" s="168">
        <f>NY40*NZ40</f>
        <v>6.0250000000000004</v>
      </c>
      <c r="OC40" s="528"/>
      <c r="OD40" s="143" t="s">
        <v>87</v>
      </c>
      <c r="OE40" s="144">
        <v>1</v>
      </c>
      <c r="OF40" s="157" t="s">
        <v>36</v>
      </c>
      <c r="OG40" s="175">
        <v>7</v>
      </c>
      <c r="OH40" s="164">
        <v>0.75312500000000004</v>
      </c>
      <c r="OI40" s="140">
        <f t="shared" si="93"/>
        <v>5.2718750000000005</v>
      </c>
      <c r="OJ40" s="168">
        <f>OG40*OH40</f>
        <v>5.2718750000000005</v>
      </c>
      <c r="OK40" s="528"/>
      <c r="OL40" s="143" t="s">
        <v>87</v>
      </c>
      <c r="OM40" s="144"/>
      <c r="ON40" s="157" t="s">
        <v>36</v>
      </c>
      <c r="OO40" s="175"/>
      <c r="OP40" s="164">
        <v>0.75312500000000004</v>
      </c>
      <c r="OQ40" s="140">
        <f t="shared" si="94"/>
        <v>0</v>
      </c>
      <c r="OR40" s="168">
        <f>OO40*OP40</f>
        <v>0</v>
      </c>
      <c r="OS40" s="528"/>
      <c r="OT40" s="143" t="s">
        <v>87</v>
      </c>
      <c r="OU40" s="144"/>
      <c r="OV40" s="157" t="s">
        <v>36</v>
      </c>
      <c r="OW40" s="175"/>
      <c r="OX40" s="164">
        <v>0.75312500000000004</v>
      </c>
      <c r="OY40" s="140">
        <f t="shared" si="95"/>
        <v>0</v>
      </c>
      <c r="OZ40" s="168">
        <f>OW40*OX40</f>
        <v>0</v>
      </c>
      <c r="PA40" s="528"/>
      <c r="PB40" s="143" t="s">
        <v>87</v>
      </c>
      <c r="PC40" s="144"/>
      <c r="PD40" s="157" t="s">
        <v>36</v>
      </c>
      <c r="PE40" s="175"/>
      <c r="PF40" s="164">
        <v>0.75312500000000004</v>
      </c>
      <c r="PG40" s="140">
        <f t="shared" si="96"/>
        <v>0</v>
      </c>
      <c r="PH40" s="168">
        <f>PE40*PF40</f>
        <v>0</v>
      </c>
      <c r="PI40" s="528"/>
      <c r="PJ40" s="143" t="s">
        <v>87</v>
      </c>
      <c r="PK40" s="144"/>
      <c r="PL40" s="157" t="s">
        <v>36</v>
      </c>
      <c r="PM40" s="175"/>
      <c r="PN40" s="164">
        <v>0.75312500000000004</v>
      </c>
      <c r="PO40" s="140">
        <f t="shared" si="97"/>
        <v>0</v>
      </c>
      <c r="PP40" s="168">
        <f>PM40*PN40</f>
        <v>0</v>
      </c>
      <c r="PQ40" s="528"/>
      <c r="PR40" s="143" t="s">
        <v>87</v>
      </c>
      <c r="PS40" s="144"/>
      <c r="PT40" s="157" t="s">
        <v>36</v>
      </c>
      <c r="PU40" s="175"/>
      <c r="PV40" s="164">
        <v>0.75312500000000004</v>
      </c>
      <c r="PW40" s="140">
        <f t="shared" si="98"/>
        <v>0</v>
      </c>
      <c r="PX40" s="168">
        <f>PU40*PV40</f>
        <v>0</v>
      </c>
      <c r="PY40" s="528"/>
      <c r="PZ40" s="143" t="s">
        <v>87</v>
      </c>
      <c r="QA40" s="144">
        <v>3</v>
      </c>
      <c r="QB40" s="157" t="s">
        <v>36</v>
      </c>
      <c r="QC40" s="175">
        <v>35</v>
      </c>
      <c r="QD40" s="164">
        <v>0.75312500000000004</v>
      </c>
      <c r="QE40" s="140">
        <f t="shared" si="99"/>
        <v>26.359375</v>
      </c>
      <c r="QF40" s="168">
        <f>QC40*QD40</f>
        <v>26.359375</v>
      </c>
      <c r="QG40" s="528"/>
      <c r="QH40" s="143" t="s">
        <v>87</v>
      </c>
      <c r="QI40" s="144">
        <v>4</v>
      </c>
      <c r="QJ40" s="157" t="s">
        <v>36</v>
      </c>
      <c r="QK40" s="175">
        <v>39</v>
      </c>
      <c r="QL40" s="164">
        <v>0.75312500000000004</v>
      </c>
      <c r="QM40" s="140">
        <f t="shared" si="100"/>
        <v>29.371875000000003</v>
      </c>
      <c r="QN40" s="168">
        <f>QK40*QL40</f>
        <v>29.371875000000003</v>
      </c>
      <c r="QO40" s="528"/>
      <c r="QP40" s="143" t="s">
        <v>87</v>
      </c>
      <c r="QQ40" s="144">
        <v>5</v>
      </c>
      <c r="QR40" s="157" t="s">
        <v>36</v>
      </c>
      <c r="QS40" s="175">
        <v>128</v>
      </c>
      <c r="QT40" s="164">
        <v>0.75312500000000004</v>
      </c>
      <c r="QU40" s="140">
        <f t="shared" si="101"/>
        <v>96.4</v>
      </c>
      <c r="QV40" s="168">
        <f>QS40*QT40</f>
        <v>96.4</v>
      </c>
      <c r="QW40" s="528"/>
      <c r="QX40" s="143" t="s">
        <v>87</v>
      </c>
      <c r="QY40" s="144"/>
      <c r="QZ40" s="157" t="s">
        <v>36</v>
      </c>
      <c r="RA40" s="175"/>
      <c r="RB40" s="164">
        <v>0.75312500000000004</v>
      </c>
      <c r="RC40" s="140">
        <f t="shared" si="102"/>
        <v>0</v>
      </c>
      <c r="RD40" s="168">
        <f>RA40*RB40</f>
        <v>0</v>
      </c>
      <c r="RE40" s="528"/>
      <c r="RF40" s="143" t="s">
        <v>87</v>
      </c>
      <c r="RG40" s="144"/>
      <c r="RH40" s="157" t="s">
        <v>36</v>
      </c>
      <c r="RI40" s="175"/>
      <c r="RJ40" s="164">
        <v>0.75312500000000004</v>
      </c>
      <c r="RK40" s="140">
        <f t="shared" si="103"/>
        <v>0</v>
      </c>
      <c r="RL40" s="168">
        <f>RI40*RJ40</f>
        <v>0</v>
      </c>
      <c r="RM40" s="528"/>
      <c r="RN40" s="143" t="s">
        <v>87</v>
      </c>
      <c r="RO40" s="144">
        <v>2</v>
      </c>
      <c r="RP40" s="157" t="s">
        <v>36</v>
      </c>
      <c r="RQ40" s="175">
        <v>8</v>
      </c>
      <c r="RR40" s="164">
        <v>0.75312500000000004</v>
      </c>
      <c r="RS40" s="140">
        <f t="shared" si="104"/>
        <v>6.0250000000000004</v>
      </c>
      <c r="RT40" s="168">
        <f>RQ40*RR40</f>
        <v>6.0250000000000004</v>
      </c>
      <c r="RU40" s="528"/>
      <c r="RV40" s="143" t="s">
        <v>87</v>
      </c>
      <c r="RW40" s="144"/>
      <c r="RX40" s="157" t="s">
        <v>36</v>
      </c>
      <c r="RY40" s="175"/>
      <c r="RZ40" s="164">
        <v>0.75312500000000004</v>
      </c>
      <c r="SA40" s="140">
        <f t="shared" si="105"/>
        <v>0</v>
      </c>
      <c r="SB40" s="168">
        <f>RY40*RZ40</f>
        <v>0</v>
      </c>
      <c r="SC40" s="528"/>
      <c r="SD40" s="143" t="s">
        <v>87</v>
      </c>
      <c r="SE40" s="144"/>
      <c r="SF40" s="157" t="s">
        <v>36</v>
      </c>
      <c r="SG40" s="175"/>
      <c r="SH40" s="164">
        <v>0.75312500000000004</v>
      </c>
      <c r="SI40" s="140">
        <f t="shared" si="106"/>
        <v>0</v>
      </c>
      <c r="SJ40" s="168">
        <f>SG40*SH40</f>
        <v>0</v>
      </c>
      <c r="SK40" s="528"/>
      <c r="SL40" s="143" t="s">
        <v>87</v>
      </c>
      <c r="SM40" s="144"/>
      <c r="SN40" s="157" t="s">
        <v>36</v>
      </c>
      <c r="SO40" s="175"/>
      <c r="SP40" s="164">
        <v>0.75312500000000004</v>
      </c>
      <c r="SQ40" s="140">
        <f t="shared" si="107"/>
        <v>0</v>
      </c>
      <c r="SR40" s="168">
        <f>SO40*SP40</f>
        <v>0</v>
      </c>
      <c r="SS40" s="528"/>
      <c r="ST40" s="143" t="s">
        <v>87</v>
      </c>
      <c r="SU40" s="144"/>
      <c r="SV40" s="157" t="s">
        <v>36</v>
      </c>
      <c r="SW40" s="175"/>
      <c r="SX40" s="164">
        <v>0.75312500000000004</v>
      </c>
      <c r="SY40" s="140">
        <f t="shared" si="108"/>
        <v>0</v>
      </c>
      <c r="SZ40" s="168">
        <f>SW40*SX40</f>
        <v>0</v>
      </c>
      <c r="TA40" s="528"/>
      <c r="TB40" s="143" t="s">
        <v>87</v>
      </c>
      <c r="TC40" s="144"/>
      <c r="TD40" s="157" t="s">
        <v>36</v>
      </c>
      <c r="TE40" s="175"/>
      <c r="TF40" s="164">
        <v>0.75312500000000004</v>
      </c>
      <c r="TG40" s="140">
        <f t="shared" si="109"/>
        <v>0</v>
      </c>
      <c r="TH40" s="168">
        <f>TE40*TF40</f>
        <v>0</v>
      </c>
      <c r="TI40" s="528"/>
    </row>
    <row r="41" spans="2:529">
      <c r="B41" s="143" t="s">
        <v>89</v>
      </c>
      <c r="C41" s="163">
        <v>13</v>
      </c>
      <c r="D41" s="157" t="s">
        <v>14</v>
      </c>
      <c r="E41" s="138">
        <v>692</v>
      </c>
      <c r="F41" s="164">
        <v>0.5929113924050633</v>
      </c>
      <c r="G41" s="140">
        <f>F41*E41</f>
        <v>410.29468354430378</v>
      </c>
      <c r="H41" s="149"/>
      <c r="I41" s="528"/>
      <c r="J41" s="143" t="s">
        <v>89</v>
      </c>
      <c r="K41" s="163">
        <v>4</v>
      </c>
      <c r="L41" s="157" t="s">
        <v>14</v>
      </c>
      <c r="M41" s="138">
        <v>0</v>
      </c>
      <c r="N41" s="164">
        <v>0.5929113924050633</v>
      </c>
      <c r="O41" s="140">
        <f>N41*M41</f>
        <v>0</v>
      </c>
      <c r="P41" s="149"/>
      <c r="Q41" s="528"/>
      <c r="R41" s="143" t="s">
        <v>89</v>
      </c>
      <c r="S41" s="163">
        <v>11</v>
      </c>
      <c r="T41" s="157" t="s">
        <v>14</v>
      </c>
      <c r="U41" s="138">
        <v>1048</v>
      </c>
      <c r="V41" s="164">
        <v>0.5929113924050633</v>
      </c>
      <c r="W41" s="140">
        <f>V41*U41</f>
        <v>621.3711392405063</v>
      </c>
      <c r="X41" s="149"/>
      <c r="Y41" s="528"/>
      <c r="Z41" s="143" t="s">
        <v>89</v>
      </c>
      <c r="AA41" s="163">
        <v>3</v>
      </c>
      <c r="AB41" s="157" t="s">
        <v>14</v>
      </c>
      <c r="AC41" s="138">
        <v>325</v>
      </c>
      <c r="AD41" s="164">
        <v>0.5929113924050633</v>
      </c>
      <c r="AE41" s="140">
        <f>AD41*AC41</f>
        <v>192.69620253164558</v>
      </c>
      <c r="AF41" s="149"/>
      <c r="AG41" s="528"/>
      <c r="AH41" s="143" t="s">
        <v>89</v>
      </c>
      <c r="AI41" s="163">
        <v>11</v>
      </c>
      <c r="AJ41" s="157" t="s">
        <v>14</v>
      </c>
      <c r="AK41" s="138">
        <v>1052</v>
      </c>
      <c r="AL41" s="164">
        <v>0.5929113924050633</v>
      </c>
      <c r="AM41" s="140">
        <f>AL41*AK41</f>
        <v>623.74278481012664</v>
      </c>
      <c r="AN41" s="149"/>
      <c r="AO41" s="528"/>
      <c r="AP41" s="143" t="s">
        <v>89</v>
      </c>
      <c r="AQ41" s="163"/>
      <c r="AR41" s="157" t="s">
        <v>14</v>
      </c>
      <c r="AS41" s="138"/>
      <c r="AT41" s="164">
        <v>0.5929113924050633</v>
      </c>
      <c r="AU41" s="140">
        <f>AT41*AS41</f>
        <v>0</v>
      </c>
      <c r="AV41" s="149"/>
      <c r="AW41" s="528"/>
      <c r="AX41" s="143" t="s">
        <v>89</v>
      </c>
      <c r="AY41" s="163">
        <v>11</v>
      </c>
      <c r="AZ41" s="157" t="s">
        <v>14</v>
      </c>
      <c r="BA41" s="138">
        <v>262</v>
      </c>
      <c r="BB41" s="164">
        <v>0.5929113924050633</v>
      </c>
      <c r="BC41" s="140">
        <f>BB41*BA41</f>
        <v>155.34278481012657</v>
      </c>
      <c r="BD41" s="149"/>
      <c r="BE41" s="528"/>
      <c r="BF41" s="143" t="s">
        <v>89</v>
      </c>
      <c r="BG41" s="163">
        <v>14</v>
      </c>
      <c r="BH41" s="157" t="s">
        <v>14</v>
      </c>
      <c r="BI41" s="138">
        <v>1939</v>
      </c>
      <c r="BJ41" s="164">
        <v>0.5929113924050633</v>
      </c>
      <c r="BK41" s="140">
        <f>BJ41*BI41</f>
        <v>1149.6551898734178</v>
      </c>
      <c r="BL41" s="149"/>
      <c r="BM41" s="528"/>
      <c r="BN41" s="143" t="s">
        <v>89</v>
      </c>
      <c r="BO41" s="163">
        <v>5</v>
      </c>
      <c r="BP41" s="157" t="s">
        <v>14</v>
      </c>
      <c r="BQ41" s="138">
        <v>135</v>
      </c>
      <c r="BR41" s="164">
        <v>0.5929113924050633</v>
      </c>
      <c r="BS41" s="140">
        <f>BR41*BQ41</f>
        <v>80.043037974683543</v>
      </c>
      <c r="BT41" s="149"/>
      <c r="BU41" s="528"/>
      <c r="BV41" s="564" t="s">
        <v>89</v>
      </c>
      <c r="BW41" s="579"/>
      <c r="BX41" s="574" t="s">
        <v>14</v>
      </c>
      <c r="BY41" s="560"/>
      <c r="BZ41" s="580">
        <v>0.5929113924050633</v>
      </c>
      <c r="CA41" s="562">
        <f>BZ41*BY41</f>
        <v>0</v>
      </c>
      <c r="CB41" s="568"/>
      <c r="CC41" s="528"/>
      <c r="CD41" s="564" t="s">
        <v>89</v>
      </c>
      <c r="CE41" s="579"/>
      <c r="CF41" s="574" t="s">
        <v>14</v>
      </c>
      <c r="CG41" s="560"/>
      <c r="CH41" s="580">
        <v>0.5929113924050633</v>
      </c>
      <c r="CI41" s="562">
        <f>CH41*CG41</f>
        <v>0</v>
      </c>
      <c r="CJ41" s="568"/>
      <c r="CK41" s="528"/>
      <c r="CL41" s="143" t="s">
        <v>89</v>
      </c>
      <c r="CM41" s="163">
        <v>7</v>
      </c>
      <c r="CN41" s="157" t="s">
        <v>14</v>
      </c>
      <c r="CO41" s="138">
        <v>288</v>
      </c>
      <c r="CP41" s="164">
        <v>0.5929113924050633</v>
      </c>
      <c r="CQ41" s="140">
        <f>CP41*CO41</f>
        <v>170.75848101265822</v>
      </c>
      <c r="CR41" s="149"/>
      <c r="CS41" s="528"/>
      <c r="CT41" s="143" t="s">
        <v>89</v>
      </c>
      <c r="CU41" s="163">
        <v>14</v>
      </c>
      <c r="CV41" s="157" t="s">
        <v>14</v>
      </c>
      <c r="CW41" s="138">
        <v>1939</v>
      </c>
      <c r="CX41" s="164">
        <v>0.5929113924050633</v>
      </c>
      <c r="CY41" s="140">
        <f>CX41*CW41</f>
        <v>1149.6551898734178</v>
      </c>
      <c r="CZ41" s="149"/>
      <c r="DA41" s="528"/>
      <c r="DB41" s="143" t="s">
        <v>89</v>
      </c>
      <c r="DC41" s="163">
        <v>14</v>
      </c>
      <c r="DD41" s="157" t="s">
        <v>14</v>
      </c>
      <c r="DE41" s="138">
        <v>1018</v>
      </c>
      <c r="DF41" s="164">
        <v>0.5929113924050633</v>
      </c>
      <c r="DG41" s="140">
        <f t="shared" si="13"/>
        <v>603.58379746835442</v>
      </c>
      <c r="DH41" s="149"/>
      <c r="DI41" s="528"/>
      <c r="DJ41" s="143" t="s">
        <v>89</v>
      </c>
      <c r="DK41" s="163">
        <v>12</v>
      </c>
      <c r="DL41" s="157" t="s">
        <v>14</v>
      </c>
      <c r="DM41" s="138">
        <v>5575</v>
      </c>
      <c r="DN41" s="172">
        <v>0.5929113924050633</v>
      </c>
      <c r="DO41" s="140">
        <f t="shared" si="14"/>
        <v>3305.4810126582279</v>
      </c>
      <c r="DP41" s="149"/>
      <c r="DQ41" s="528"/>
      <c r="DR41" s="143" t="s">
        <v>89</v>
      </c>
      <c r="DS41" s="163"/>
      <c r="DT41" s="157" t="s">
        <v>14</v>
      </c>
      <c r="DU41" s="138"/>
      <c r="DV41" s="172">
        <v>0.5929113924050633</v>
      </c>
      <c r="DW41" s="140">
        <f t="shared" si="15"/>
        <v>0</v>
      </c>
      <c r="DX41" s="149"/>
      <c r="DY41" s="528"/>
      <c r="DZ41" s="143" t="s">
        <v>89</v>
      </c>
      <c r="EA41" s="163">
        <v>11</v>
      </c>
      <c r="EB41" s="157" t="s">
        <v>14</v>
      </c>
      <c r="EC41" s="138">
        <v>230</v>
      </c>
      <c r="ED41" s="172">
        <v>0.5929113924050633</v>
      </c>
      <c r="EE41" s="140">
        <f t="shared" si="16"/>
        <v>136.36962025316456</v>
      </c>
      <c r="EF41" s="149"/>
      <c r="EG41" s="528"/>
      <c r="EH41" s="143" t="s">
        <v>89</v>
      </c>
      <c r="EI41" s="163">
        <v>60</v>
      </c>
      <c r="EJ41" s="157" t="s">
        <v>14</v>
      </c>
      <c r="EK41" s="138">
        <v>2789</v>
      </c>
      <c r="EL41" s="172">
        <v>0.5929113924050633</v>
      </c>
      <c r="EM41" s="140">
        <f t="shared" si="17"/>
        <v>1653.6298734177215</v>
      </c>
      <c r="EN41" s="149"/>
      <c r="EO41" s="528"/>
      <c r="EP41" s="143" t="s">
        <v>89</v>
      </c>
      <c r="EQ41" s="163">
        <v>18</v>
      </c>
      <c r="ER41" s="157" t="s">
        <v>14</v>
      </c>
      <c r="ES41" s="138">
        <v>514</v>
      </c>
      <c r="ET41" s="172">
        <v>0.5929113924050633</v>
      </c>
      <c r="EU41" s="140">
        <f t="shared" si="18"/>
        <v>304.75645569620252</v>
      </c>
      <c r="EV41" s="149"/>
      <c r="EW41" s="528"/>
      <c r="EX41" s="143" t="s">
        <v>89</v>
      </c>
      <c r="EY41" s="163"/>
      <c r="EZ41" s="157" t="s">
        <v>14</v>
      </c>
      <c r="FA41" s="138"/>
      <c r="FB41" s="172">
        <v>0.5929113924050633</v>
      </c>
      <c r="FC41" s="140">
        <f t="shared" si="19"/>
        <v>0</v>
      </c>
      <c r="FD41" s="149"/>
      <c r="FE41" s="528"/>
      <c r="FF41" s="143" t="s">
        <v>89</v>
      </c>
      <c r="FG41" s="163"/>
      <c r="FH41" s="157" t="s">
        <v>14</v>
      </c>
      <c r="FI41" s="138"/>
      <c r="FJ41" s="172">
        <v>0.5929113924050633</v>
      </c>
      <c r="FK41" s="140">
        <f t="shared" si="20"/>
        <v>0</v>
      </c>
      <c r="FL41" s="149"/>
      <c r="FM41" s="528"/>
      <c r="FN41" s="143" t="s">
        <v>89</v>
      </c>
      <c r="FO41" s="163"/>
      <c r="FP41" s="157" t="s">
        <v>14</v>
      </c>
      <c r="FQ41" s="138"/>
      <c r="FR41" s="172">
        <v>0.5929113924050633</v>
      </c>
      <c r="FS41" s="140">
        <f t="shared" si="21"/>
        <v>0</v>
      </c>
      <c r="FT41" s="149"/>
      <c r="FU41" s="528"/>
      <c r="FV41" s="143" t="s">
        <v>89</v>
      </c>
      <c r="FW41" s="163"/>
      <c r="FX41" s="157" t="s">
        <v>14</v>
      </c>
      <c r="FY41" s="138"/>
      <c r="FZ41" s="172">
        <v>0.5929113924050633</v>
      </c>
      <c r="GA41" s="140">
        <f t="shared" si="22"/>
        <v>0</v>
      </c>
      <c r="GB41" s="149"/>
      <c r="GC41" s="528"/>
      <c r="GD41" s="143" t="s">
        <v>89</v>
      </c>
      <c r="GE41" s="163"/>
      <c r="GF41" s="157" t="s">
        <v>14</v>
      </c>
      <c r="GG41" s="138"/>
      <c r="GH41" s="172">
        <v>0.5929113924050633</v>
      </c>
      <c r="GI41" s="140">
        <f t="shared" si="23"/>
        <v>0</v>
      </c>
      <c r="GJ41" s="149"/>
      <c r="GK41" s="528"/>
      <c r="GL41" s="143" t="s">
        <v>89</v>
      </c>
      <c r="GM41" s="163">
        <v>13</v>
      </c>
      <c r="GN41" s="157" t="s">
        <v>14</v>
      </c>
      <c r="GO41" s="175">
        <v>844</v>
      </c>
      <c r="GP41" s="164">
        <v>0.5929113924050633</v>
      </c>
      <c r="GQ41" s="140">
        <f>GP41*GO41</f>
        <v>500.41721518987345</v>
      </c>
      <c r="GR41" s="149"/>
      <c r="GS41" s="528"/>
      <c r="GT41" s="143" t="s">
        <v>89</v>
      </c>
      <c r="GU41" s="163">
        <v>14</v>
      </c>
      <c r="GV41" s="157" t="s">
        <v>14</v>
      </c>
      <c r="GW41" s="175">
        <v>949</v>
      </c>
      <c r="GX41" s="164">
        <v>0.5929113924050633</v>
      </c>
      <c r="GY41" s="140">
        <f>GX41*GW41</f>
        <v>562.67291139240513</v>
      </c>
      <c r="GZ41" s="149"/>
      <c r="HA41" s="528"/>
      <c r="HB41" s="143" t="s">
        <v>89</v>
      </c>
      <c r="HC41" s="163">
        <v>11</v>
      </c>
      <c r="HD41" s="157" t="s">
        <v>14</v>
      </c>
      <c r="HE41" s="175">
        <v>1048</v>
      </c>
      <c r="HF41" s="164">
        <v>0.5929113924050633</v>
      </c>
      <c r="HG41" s="140">
        <f>HF41*HE41</f>
        <v>621.3711392405063</v>
      </c>
      <c r="HH41" s="149"/>
      <c r="HI41" s="528"/>
      <c r="HJ41" s="143" t="s">
        <v>89</v>
      </c>
      <c r="HK41" s="163">
        <v>9</v>
      </c>
      <c r="HL41" s="157" t="s">
        <v>14</v>
      </c>
      <c r="HM41" s="175">
        <v>120</v>
      </c>
      <c r="HN41" s="164">
        <v>0.5929113924050633</v>
      </c>
      <c r="HO41" s="140">
        <f>HN41*HM41</f>
        <v>71.14936708860759</v>
      </c>
      <c r="HP41" s="149"/>
      <c r="HQ41" s="528"/>
      <c r="HR41" s="143" t="s">
        <v>89</v>
      </c>
      <c r="HS41" s="163">
        <v>36</v>
      </c>
      <c r="HT41" s="157" t="s">
        <v>14</v>
      </c>
      <c r="HU41" s="175">
        <v>1222</v>
      </c>
      <c r="HV41" s="164">
        <v>0.5929113924050633</v>
      </c>
      <c r="HW41" s="140">
        <f>HV41*HU41</f>
        <v>724.53772151898738</v>
      </c>
      <c r="HX41" s="149"/>
      <c r="HY41" s="528"/>
      <c r="HZ41" s="143" t="s">
        <v>89</v>
      </c>
      <c r="IA41" s="163">
        <v>18</v>
      </c>
      <c r="IB41" s="157" t="s">
        <v>14</v>
      </c>
      <c r="IC41" s="175">
        <v>574</v>
      </c>
      <c r="ID41" s="164">
        <v>0.5929113924050633</v>
      </c>
      <c r="IE41" s="140">
        <f>ID41*IC41</f>
        <v>340.33113924050633</v>
      </c>
      <c r="IF41" s="149"/>
      <c r="IG41" s="528"/>
      <c r="IH41" s="143" t="s">
        <v>89</v>
      </c>
      <c r="II41" s="163">
        <v>17</v>
      </c>
      <c r="IJ41" s="157" t="s">
        <v>14</v>
      </c>
      <c r="IK41" s="175">
        <v>423</v>
      </c>
      <c r="IL41" s="164">
        <v>0.5929113924050633</v>
      </c>
      <c r="IM41" s="140">
        <f>IL41*IK41</f>
        <v>250.80151898734178</v>
      </c>
      <c r="IN41" s="149"/>
      <c r="IO41" s="528"/>
      <c r="IP41" s="143" t="s">
        <v>89</v>
      </c>
      <c r="IQ41" s="163">
        <v>28</v>
      </c>
      <c r="IR41" s="157" t="s">
        <v>14</v>
      </c>
      <c r="IS41" s="175">
        <v>580</v>
      </c>
      <c r="IT41" s="164">
        <v>0.5929113924050633</v>
      </c>
      <c r="IU41" s="140">
        <f>IT41*IS41</f>
        <v>343.88860759493673</v>
      </c>
      <c r="IV41" s="149"/>
      <c r="IW41" s="528"/>
      <c r="IX41" s="143" t="s">
        <v>89</v>
      </c>
      <c r="IY41" s="163">
        <v>8</v>
      </c>
      <c r="IZ41" s="157" t="s">
        <v>14</v>
      </c>
      <c r="JA41" s="175">
        <v>177</v>
      </c>
      <c r="JB41" s="164">
        <v>0.5929113924050633</v>
      </c>
      <c r="JC41" s="140">
        <f>JB41*JA41</f>
        <v>104.9453164556962</v>
      </c>
      <c r="JD41" s="149"/>
      <c r="JE41" s="528"/>
      <c r="JF41" s="143" t="s">
        <v>89</v>
      </c>
      <c r="JG41" s="163">
        <v>7</v>
      </c>
      <c r="JH41" s="157" t="s">
        <v>14</v>
      </c>
      <c r="JI41" s="175">
        <v>451</v>
      </c>
      <c r="JJ41" s="164">
        <v>0.5929113924050633</v>
      </c>
      <c r="JK41" s="140">
        <f>JJ41*JI41</f>
        <v>267.40303797468357</v>
      </c>
      <c r="JL41" s="149"/>
      <c r="JM41" s="528"/>
      <c r="JN41" s="143" t="s">
        <v>89</v>
      </c>
      <c r="JO41" s="163">
        <v>9</v>
      </c>
      <c r="JP41" s="157" t="s">
        <v>14</v>
      </c>
      <c r="JQ41" s="175">
        <v>546</v>
      </c>
      <c r="JR41" s="164">
        <v>0.5929113924050633</v>
      </c>
      <c r="JS41" s="140">
        <f>JR41*JQ41</f>
        <v>323.72962025316457</v>
      </c>
      <c r="JT41" s="149"/>
      <c r="JU41" s="528"/>
      <c r="JV41" s="143" t="s">
        <v>89</v>
      </c>
      <c r="JW41" s="163">
        <v>23</v>
      </c>
      <c r="JX41" s="157" t="s">
        <v>14</v>
      </c>
      <c r="JY41" s="175">
        <v>580</v>
      </c>
      <c r="JZ41" s="164">
        <v>0.5929113924050633</v>
      </c>
      <c r="KA41" s="140">
        <f>JZ41*JY41</f>
        <v>343.88860759493673</v>
      </c>
      <c r="KB41" s="149"/>
      <c r="KC41" s="528"/>
      <c r="KD41" s="143" t="s">
        <v>89</v>
      </c>
      <c r="KE41" s="163">
        <v>7</v>
      </c>
      <c r="KF41" s="157" t="s">
        <v>14</v>
      </c>
      <c r="KG41" s="175">
        <v>149</v>
      </c>
      <c r="KH41" s="164">
        <v>0.5929113924050633</v>
      </c>
      <c r="KI41" s="140">
        <f>KH41*KG41</f>
        <v>88.343797468354438</v>
      </c>
      <c r="KJ41" s="149"/>
      <c r="KK41" s="528"/>
      <c r="KL41" s="143" t="s">
        <v>89</v>
      </c>
      <c r="KM41" s="163">
        <v>4</v>
      </c>
      <c r="KN41" s="157" t="s">
        <v>14</v>
      </c>
      <c r="KO41" s="175">
        <v>150</v>
      </c>
      <c r="KP41" s="164">
        <v>0.5929113924050633</v>
      </c>
      <c r="KQ41" s="140">
        <f>KP41*KO41</f>
        <v>88.936708860759495</v>
      </c>
      <c r="KR41" s="149"/>
      <c r="KS41" s="528"/>
      <c r="KT41" s="143" t="s">
        <v>89</v>
      </c>
      <c r="KU41" s="163">
        <v>24</v>
      </c>
      <c r="KV41" s="157" t="s">
        <v>14</v>
      </c>
      <c r="KW41" s="175">
        <v>464</v>
      </c>
      <c r="KX41" s="164">
        <v>0.5929113924050633</v>
      </c>
      <c r="KY41" s="140">
        <f>KX41*KW41</f>
        <v>275.1108860759494</v>
      </c>
      <c r="KZ41" s="149"/>
      <c r="LA41" s="528"/>
      <c r="LB41" s="143" t="s">
        <v>89</v>
      </c>
      <c r="LC41" s="163">
        <v>19</v>
      </c>
      <c r="LD41" s="157" t="s">
        <v>14</v>
      </c>
      <c r="LE41" s="175">
        <v>952</v>
      </c>
      <c r="LF41" s="164">
        <v>0.5929113924050633</v>
      </c>
      <c r="LG41" s="140">
        <f>LF41*LE41</f>
        <v>564.45164556962027</v>
      </c>
      <c r="LH41" s="149"/>
      <c r="LI41" s="528"/>
      <c r="LJ41" s="143" t="s">
        <v>89</v>
      </c>
      <c r="LK41" s="163">
        <v>29</v>
      </c>
      <c r="LL41" s="157" t="s">
        <v>14</v>
      </c>
      <c r="LM41" s="175">
        <v>1223</v>
      </c>
      <c r="LN41" s="164">
        <v>0.5929113924050633</v>
      </c>
      <c r="LO41" s="140">
        <f>LN41*LM41</f>
        <v>725.13063291139247</v>
      </c>
      <c r="LP41" s="149"/>
      <c r="LQ41" s="528"/>
      <c r="LR41" s="143" t="s">
        <v>89</v>
      </c>
      <c r="LS41" s="163">
        <v>25</v>
      </c>
      <c r="LT41" s="157" t="s">
        <v>14</v>
      </c>
      <c r="LU41" s="175">
        <v>804</v>
      </c>
      <c r="LV41" s="164">
        <v>0.5929113924050633</v>
      </c>
      <c r="LW41" s="140">
        <f>LV41*LU41</f>
        <v>476.70075949367089</v>
      </c>
      <c r="LX41" s="149"/>
      <c r="LY41" s="528"/>
      <c r="LZ41" s="143" t="s">
        <v>89</v>
      </c>
      <c r="MA41" s="163">
        <v>26</v>
      </c>
      <c r="MB41" s="157" t="s">
        <v>14</v>
      </c>
      <c r="MC41" s="175">
        <v>2138</v>
      </c>
      <c r="MD41" s="164">
        <v>0.5929113924050633</v>
      </c>
      <c r="ME41" s="140">
        <f>MD41*MC41</f>
        <v>1267.6445569620253</v>
      </c>
      <c r="MF41" s="149"/>
      <c r="MG41" s="528"/>
      <c r="MH41" s="143" t="s">
        <v>89</v>
      </c>
      <c r="MI41" s="163">
        <v>37</v>
      </c>
      <c r="MJ41" s="157" t="s">
        <v>14</v>
      </c>
      <c r="MK41" s="175">
        <v>2038</v>
      </c>
      <c r="ML41" s="164">
        <v>0.5929113924050633</v>
      </c>
      <c r="MM41" s="140">
        <f>ML41*MK41</f>
        <v>1208.353417721519</v>
      </c>
      <c r="MN41" s="149"/>
      <c r="MO41" s="528"/>
      <c r="MP41" s="143" t="s">
        <v>89</v>
      </c>
      <c r="MQ41" s="163">
        <v>23</v>
      </c>
      <c r="MR41" s="157" t="s">
        <v>14</v>
      </c>
      <c r="MS41" s="175">
        <v>937</v>
      </c>
      <c r="MT41" s="164">
        <v>0.5929113924050633</v>
      </c>
      <c r="MU41" s="140">
        <f>MT41*MS41</f>
        <v>555.55797468354433</v>
      </c>
      <c r="MV41" s="149"/>
      <c r="MW41" s="528"/>
      <c r="MX41" s="143" t="s">
        <v>360</v>
      </c>
      <c r="MY41" s="144">
        <v>12</v>
      </c>
      <c r="MZ41" s="157" t="s">
        <v>36</v>
      </c>
      <c r="NA41" s="175">
        <v>131</v>
      </c>
      <c r="NB41" s="164">
        <v>1.5175000000000001</v>
      </c>
      <c r="NC41" s="140">
        <f>NB41*NA41</f>
        <v>198.79250000000002</v>
      </c>
      <c r="ND41" s="149"/>
      <c r="NE41" s="528"/>
      <c r="NF41" s="143" t="s">
        <v>360</v>
      </c>
      <c r="NG41" s="144">
        <v>10</v>
      </c>
      <c r="NH41" s="157" t="s">
        <v>36</v>
      </c>
      <c r="NI41" s="175">
        <v>70</v>
      </c>
      <c r="NJ41" s="164">
        <v>1.5175000000000001</v>
      </c>
      <c r="NK41" s="140">
        <f>NJ41*NI41</f>
        <v>106.22500000000001</v>
      </c>
      <c r="NL41" s="149"/>
      <c r="NM41" s="528"/>
      <c r="NN41" s="143" t="s">
        <v>360</v>
      </c>
      <c r="NO41" s="144">
        <v>9</v>
      </c>
      <c r="NP41" s="157" t="s">
        <v>36</v>
      </c>
      <c r="NQ41" s="175">
        <v>73</v>
      </c>
      <c r="NR41" s="164">
        <v>1.5175000000000001</v>
      </c>
      <c r="NS41" s="140">
        <f>NR41*NQ41</f>
        <v>110.7775</v>
      </c>
      <c r="NT41" s="149"/>
      <c r="NU41" s="528"/>
      <c r="NV41" s="143" t="s">
        <v>360</v>
      </c>
      <c r="NW41" s="144">
        <v>6</v>
      </c>
      <c r="NX41" s="157" t="s">
        <v>36</v>
      </c>
      <c r="NY41" s="175">
        <v>15</v>
      </c>
      <c r="NZ41" s="164">
        <v>1.5175000000000001</v>
      </c>
      <c r="OA41" s="140">
        <f>NZ41*NY41</f>
        <v>22.762500000000003</v>
      </c>
      <c r="OB41" s="149"/>
      <c r="OC41" s="528"/>
      <c r="OD41" s="143" t="s">
        <v>360</v>
      </c>
      <c r="OE41" s="144">
        <v>3</v>
      </c>
      <c r="OF41" s="157" t="s">
        <v>36</v>
      </c>
      <c r="OG41" s="175">
        <v>19</v>
      </c>
      <c r="OH41" s="164">
        <v>1.5175000000000001</v>
      </c>
      <c r="OI41" s="140">
        <f>OH41*OG41</f>
        <v>28.832500000000003</v>
      </c>
      <c r="OJ41" s="149"/>
      <c r="OK41" s="528"/>
      <c r="OL41" s="143" t="s">
        <v>360</v>
      </c>
      <c r="OM41" s="144">
        <v>2</v>
      </c>
      <c r="ON41" s="157" t="s">
        <v>36</v>
      </c>
      <c r="OO41" s="175">
        <v>40</v>
      </c>
      <c r="OP41" s="164">
        <v>1.5175000000000001</v>
      </c>
      <c r="OQ41" s="140">
        <f>OP41*OO41</f>
        <v>60.7</v>
      </c>
      <c r="OR41" s="149"/>
      <c r="OS41" s="528"/>
      <c r="OT41" s="143" t="s">
        <v>360</v>
      </c>
      <c r="OU41" s="144"/>
      <c r="OV41" s="157" t="s">
        <v>36</v>
      </c>
      <c r="OW41" s="175"/>
      <c r="OX41" s="164">
        <v>1.5175000000000001</v>
      </c>
      <c r="OY41" s="140">
        <f>OX41*OW41</f>
        <v>0</v>
      </c>
      <c r="OZ41" s="149"/>
      <c r="PA41" s="528"/>
      <c r="PB41" s="143" t="s">
        <v>360</v>
      </c>
      <c r="PC41" s="144"/>
      <c r="PD41" s="157" t="s">
        <v>36</v>
      </c>
      <c r="PE41" s="175"/>
      <c r="PF41" s="164">
        <v>1.5175000000000001</v>
      </c>
      <c r="PG41" s="140">
        <f>PF41*PE41</f>
        <v>0</v>
      </c>
      <c r="PH41" s="149"/>
      <c r="PI41" s="528"/>
      <c r="PJ41" s="143" t="s">
        <v>360</v>
      </c>
      <c r="PK41" s="144">
        <v>16</v>
      </c>
      <c r="PL41" s="157" t="s">
        <v>36</v>
      </c>
      <c r="PM41" s="175">
        <v>313</v>
      </c>
      <c r="PN41" s="164">
        <v>1.5175000000000001</v>
      </c>
      <c r="PO41" s="140">
        <f>PN41*PM41</f>
        <v>474.97750000000002</v>
      </c>
      <c r="PP41" s="149"/>
      <c r="PQ41" s="528"/>
      <c r="PR41" s="143" t="s">
        <v>360</v>
      </c>
      <c r="PS41" s="144">
        <v>15</v>
      </c>
      <c r="PT41" s="157" t="s">
        <v>36</v>
      </c>
      <c r="PU41" s="175">
        <v>220</v>
      </c>
      <c r="PV41" s="164">
        <v>1.5175000000000001</v>
      </c>
      <c r="PW41" s="140">
        <f>PV41*PU41</f>
        <v>333.85</v>
      </c>
      <c r="PX41" s="149"/>
      <c r="PY41" s="528"/>
      <c r="PZ41" s="143" t="s">
        <v>360</v>
      </c>
      <c r="QA41" s="144">
        <v>18</v>
      </c>
      <c r="QB41" s="157" t="s">
        <v>36</v>
      </c>
      <c r="QC41" s="175">
        <v>438</v>
      </c>
      <c r="QD41" s="164">
        <v>1.5175000000000001</v>
      </c>
      <c r="QE41" s="140">
        <f>QD41*QC41</f>
        <v>664.66500000000008</v>
      </c>
      <c r="QF41" s="149"/>
      <c r="QG41" s="528"/>
      <c r="QH41" s="143" t="s">
        <v>360</v>
      </c>
      <c r="QI41" s="144">
        <v>16</v>
      </c>
      <c r="QJ41" s="157" t="s">
        <v>36</v>
      </c>
      <c r="QK41" s="175">
        <v>188</v>
      </c>
      <c r="QL41" s="164">
        <v>1.5175000000000001</v>
      </c>
      <c r="QM41" s="140">
        <f>QL41*QK41</f>
        <v>285.29000000000002</v>
      </c>
      <c r="QN41" s="149"/>
      <c r="QO41" s="528"/>
      <c r="QP41" s="143" t="s">
        <v>360</v>
      </c>
      <c r="QQ41" s="144">
        <v>21</v>
      </c>
      <c r="QR41" s="157" t="s">
        <v>36</v>
      </c>
      <c r="QS41" s="175">
        <v>312</v>
      </c>
      <c r="QT41" s="164">
        <v>1.5175000000000001</v>
      </c>
      <c r="QU41" s="140">
        <f>QT41*QS41</f>
        <v>473.46000000000004</v>
      </c>
      <c r="QV41" s="149"/>
      <c r="QW41" s="528"/>
      <c r="QX41" s="143" t="s">
        <v>360</v>
      </c>
      <c r="QY41" s="144"/>
      <c r="QZ41" s="157" t="s">
        <v>36</v>
      </c>
      <c r="RA41" s="175"/>
      <c r="RB41" s="164">
        <v>1.5175000000000001</v>
      </c>
      <c r="RC41" s="140">
        <f>RB41*RA41</f>
        <v>0</v>
      </c>
      <c r="RD41" s="149"/>
      <c r="RE41" s="528"/>
      <c r="RF41" s="143" t="s">
        <v>360</v>
      </c>
      <c r="RG41" s="144"/>
      <c r="RH41" s="157" t="s">
        <v>36</v>
      </c>
      <c r="RI41" s="175"/>
      <c r="RJ41" s="164">
        <v>1.5175000000000001</v>
      </c>
      <c r="RK41" s="140">
        <f>RJ41*RI41</f>
        <v>0</v>
      </c>
      <c r="RL41" s="149"/>
      <c r="RM41" s="528"/>
      <c r="RN41" s="143" t="s">
        <v>360</v>
      </c>
      <c r="RO41" s="144">
        <v>2</v>
      </c>
      <c r="RP41" s="157" t="s">
        <v>36</v>
      </c>
      <c r="RQ41" s="175">
        <v>17</v>
      </c>
      <c r="RR41" s="164">
        <v>1.5175000000000001</v>
      </c>
      <c r="RS41" s="140">
        <f>RR41*RQ41</f>
        <v>25.797499999999999</v>
      </c>
      <c r="RT41" s="149"/>
      <c r="RU41" s="528"/>
      <c r="RV41" s="143" t="s">
        <v>360</v>
      </c>
      <c r="RW41" s="144"/>
      <c r="RX41" s="157" t="s">
        <v>36</v>
      </c>
      <c r="RY41" s="175"/>
      <c r="RZ41" s="164">
        <v>1.5175000000000001</v>
      </c>
      <c r="SA41" s="140">
        <f>RZ41*RY41</f>
        <v>0</v>
      </c>
      <c r="SB41" s="149"/>
      <c r="SC41" s="528"/>
      <c r="SD41" s="143" t="s">
        <v>360</v>
      </c>
      <c r="SE41" s="144">
        <v>4</v>
      </c>
      <c r="SF41" s="157" t="s">
        <v>36</v>
      </c>
      <c r="SG41" s="175">
        <v>39</v>
      </c>
      <c r="SH41" s="164">
        <v>1.5175000000000001</v>
      </c>
      <c r="SI41" s="140">
        <f>SH41*SG41</f>
        <v>59.182500000000005</v>
      </c>
      <c r="SJ41" s="149"/>
      <c r="SK41" s="528"/>
      <c r="SL41" s="143" t="s">
        <v>360</v>
      </c>
      <c r="SM41" s="144">
        <v>11</v>
      </c>
      <c r="SN41" s="157" t="s">
        <v>36</v>
      </c>
      <c r="SO41" s="175">
        <v>108</v>
      </c>
      <c r="SP41" s="164">
        <v>1.5175000000000001</v>
      </c>
      <c r="SQ41" s="140">
        <f>SP41*SO41</f>
        <v>163.89000000000001</v>
      </c>
      <c r="SR41" s="149"/>
      <c r="SS41" s="528"/>
      <c r="ST41" s="143" t="s">
        <v>360</v>
      </c>
      <c r="SU41" s="144">
        <v>8</v>
      </c>
      <c r="SV41" s="157" t="s">
        <v>36</v>
      </c>
      <c r="SW41" s="175">
        <v>137</v>
      </c>
      <c r="SX41" s="164">
        <v>1.5175000000000001</v>
      </c>
      <c r="SY41" s="140">
        <f>SX41*SW41</f>
        <v>207.89750000000001</v>
      </c>
      <c r="SZ41" s="149"/>
      <c r="TA41" s="528"/>
      <c r="TB41" s="143" t="s">
        <v>360</v>
      </c>
      <c r="TC41" s="144">
        <v>19</v>
      </c>
      <c r="TD41" s="157" t="s">
        <v>36</v>
      </c>
      <c r="TE41" s="175">
        <v>174</v>
      </c>
      <c r="TF41" s="164">
        <v>1.5175000000000001</v>
      </c>
      <c r="TG41" s="140">
        <f>TF41*TE41</f>
        <v>264.04500000000002</v>
      </c>
      <c r="TH41" s="149"/>
      <c r="TI41" s="528"/>
    </row>
    <row r="42" spans="2:529">
      <c r="B42" s="143"/>
      <c r="C42" s="146"/>
      <c r="D42" s="157" t="s">
        <v>11</v>
      </c>
      <c r="E42" s="138"/>
      <c r="F42" s="164"/>
      <c r="G42" s="140">
        <f t="shared" ref="G42:G57" si="133">E42*F42</f>
        <v>0</v>
      </c>
      <c r="H42" s="150"/>
      <c r="I42" s="528"/>
      <c r="J42" s="143"/>
      <c r="K42" s="146">
        <v>4</v>
      </c>
      <c r="L42" s="157" t="s">
        <v>11</v>
      </c>
      <c r="M42" s="138">
        <v>19</v>
      </c>
      <c r="N42" s="164"/>
      <c r="O42" s="140">
        <f t="shared" ref="O42:O57" si="134">M42*N42</f>
        <v>0</v>
      </c>
      <c r="P42" s="150"/>
      <c r="Q42" s="528"/>
      <c r="R42" s="143"/>
      <c r="S42" s="146">
        <v>4</v>
      </c>
      <c r="T42" s="157" t="s">
        <v>11</v>
      </c>
      <c r="U42" s="138">
        <v>0</v>
      </c>
      <c r="V42" s="164"/>
      <c r="W42" s="140">
        <f t="shared" ref="W42:W57" si="135">U42*V42</f>
        <v>0</v>
      </c>
      <c r="X42" s="150"/>
      <c r="Y42" s="528"/>
      <c r="Z42" s="143"/>
      <c r="AA42" s="146">
        <v>4</v>
      </c>
      <c r="AB42" s="157" t="s">
        <v>11</v>
      </c>
      <c r="AC42" s="138">
        <v>0</v>
      </c>
      <c r="AD42" s="164"/>
      <c r="AE42" s="140">
        <f t="shared" ref="AE42:AE57" si="136">AC42*AD42</f>
        <v>0</v>
      </c>
      <c r="AF42" s="150"/>
      <c r="AG42" s="528"/>
      <c r="AH42" s="143"/>
      <c r="AI42" s="146">
        <v>4</v>
      </c>
      <c r="AJ42" s="157" t="s">
        <v>11</v>
      </c>
      <c r="AK42" s="138">
        <v>0</v>
      </c>
      <c r="AL42" s="164"/>
      <c r="AM42" s="140">
        <f t="shared" ref="AM42:AM57" si="137">AK42*AL42</f>
        <v>0</v>
      </c>
      <c r="AN42" s="150"/>
      <c r="AO42" s="528"/>
      <c r="AP42" s="143"/>
      <c r="AQ42" s="146">
        <v>4</v>
      </c>
      <c r="AR42" s="157" t="s">
        <v>11</v>
      </c>
      <c r="AS42" s="138"/>
      <c r="AT42" s="164"/>
      <c r="AU42" s="140">
        <f t="shared" ref="AU42:AU57" si="138">AS42*AT42</f>
        <v>0</v>
      </c>
      <c r="AV42" s="150"/>
      <c r="AW42" s="528"/>
      <c r="AX42" s="143"/>
      <c r="AY42" s="146">
        <v>4</v>
      </c>
      <c r="AZ42" s="157" t="s">
        <v>11</v>
      </c>
      <c r="BA42" s="138"/>
      <c r="BB42" s="164"/>
      <c r="BC42" s="140">
        <f t="shared" ref="BC42:BC57" si="139">BA42*BB42</f>
        <v>0</v>
      </c>
      <c r="BD42" s="150"/>
      <c r="BE42" s="528"/>
      <c r="BF42" s="143"/>
      <c r="BG42" s="146">
        <v>4</v>
      </c>
      <c r="BH42" s="157" t="s">
        <v>11</v>
      </c>
      <c r="BI42" s="138">
        <v>0</v>
      </c>
      <c r="BJ42" s="164"/>
      <c r="BK42" s="140">
        <f t="shared" ref="BK42:BK57" si="140">BI42*BJ42</f>
        <v>0</v>
      </c>
      <c r="BL42" s="150"/>
      <c r="BM42" s="528"/>
      <c r="BN42" s="143"/>
      <c r="BO42" s="146">
        <v>4</v>
      </c>
      <c r="BP42" s="157" t="s">
        <v>11</v>
      </c>
      <c r="BQ42" s="138">
        <v>0</v>
      </c>
      <c r="BR42" s="164"/>
      <c r="BS42" s="140">
        <f t="shared" ref="BS42:BS57" si="141">BQ42*BR42</f>
        <v>0</v>
      </c>
      <c r="BT42" s="150"/>
      <c r="BU42" s="528"/>
      <c r="BV42" s="564"/>
      <c r="BW42" s="537"/>
      <c r="BX42" s="574" t="s">
        <v>11</v>
      </c>
      <c r="BY42" s="560"/>
      <c r="BZ42" s="580"/>
      <c r="CA42" s="562">
        <f t="shared" ref="CA42:CA57" si="142">BY42*BZ42</f>
        <v>0</v>
      </c>
      <c r="CB42" s="569"/>
      <c r="CC42" s="528"/>
      <c r="CD42" s="564"/>
      <c r="CE42" s="537"/>
      <c r="CF42" s="574" t="s">
        <v>11</v>
      </c>
      <c r="CG42" s="560"/>
      <c r="CH42" s="580"/>
      <c r="CI42" s="562">
        <f t="shared" ref="CI42:CI57" si="143">CG42*CH42</f>
        <v>0</v>
      </c>
      <c r="CJ42" s="569"/>
      <c r="CK42" s="528"/>
      <c r="CL42" s="143"/>
      <c r="CM42" s="146">
        <v>4</v>
      </c>
      <c r="CN42" s="157" t="s">
        <v>11</v>
      </c>
      <c r="CO42" s="138"/>
      <c r="CP42" s="164"/>
      <c r="CQ42" s="140">
        <f t="shared" ref="CQ42:CQ57" si="144">CO42*CP42</f>
        <v>0</v>
      </c>
      <c r="CR42" s="150"/>
      <c r="CS42" s="528"/>
      <c r="CT42" s="143"/>
      <c r="CU42" s="146">
        <v>4</v>
      </c>
      <c r="CV42" s="157" t="s">
        <v>11</v>
      </c>
      <c r="CW42" s="138"/>
      <c r="CX42" s="164"/>
      <c r="CY42" s="140">
        <f t="shared" si="12"/>
        <v>0</v>
      </c>
      <c r="CZ42" s="150"/>
      <c r="DA42" s="528"/>
      <c r="DB42" s="143"/>
      <c r="DC42" s="146"/>
      <c r="DD42" s="157" t="s">
        <v>11</v>
      </c>
      <c r="DE42" s="138"/>
      <c r="DF42" s="164"/>
      <c r="DG42" s="140">
        <f t="shared" si="13"/>
        <v>0</v>
      </c>
      <c r="DH42" s="150"/>
      <c r="DI42" s="528"/>
      <c r="DJ42" s="143"/>
      <c r="DK42" s="146"/>
      <c r="DL42" s="157" t="s">
        <v>11</v>
      </c>
      <c r="DM42" s="138">
        <v>0</v>
      </c>
      <c r="DN42" s="172"/>
      <c r="DO42" s="140">
        <f t="shared" si="14"/>
        <v>0</v>
      </c>
      <c r="DP42" s="150"/>
      <c r="DQ42" s="528"/>
      <c r="DR42" s="143"/>
      <c r="DS42" s="146"/>
      <c r="DT42" s="157" t="s">
        <v>11</v>
      </c>
      <c r="DU42" s="138"/>
      <c r="DV42" s="172"/>
      <c r="DW42" s="140">
        <f t="shared" si="15"/>
        <v>0</v>
      </c>
      <c r="DX42" s="150"/>
      <c r="DY42" s="528"/>
      <c r="DZ42" s="143"/>
      <c r="EA42" s="146"/>
      <c r="EB42" s="157" t="s">
        <v>11</v>
      </c>
      <c r="EC42" s="138"/>
      <c r="ED42" s="172"/>
      <c r="EE42" s="140">
        <f t="shared" si="16"/>
        <v>0</v>
      </c>
      <c r="EF42" s="150"/>
      <c r="EG42" s="528"/>
      <c r="EH42" s="143"/>
      <c r="EI42" s="146"/>
      <c r="EJ42" s="157" t="s">
        <v>11</v>
      </c>
      <c r="EK42" s="138"/>
      <c r="EL42" s="172"/>
      <c r="EM42" s="140">
        <f t="shared" si="17"/>
        <v>0</v>
      </c>
      <c r="EN42" s="150"/>
      <c r="EO42" s="528"/>
      <c r="EP42" s="143"/>
      <c r="EQ42" s="146"/>
      <c r="ER42" s="157" t="s">
        <v>11</v>
      </c>
      <c r="ES42" s="138"/>
      <c r="ET42" s="172"/>
      <c r="EU42" s="140">
        <f t="shared" si="18"/>
        <v>0</v>
      </c>
      <c r="EV42" s="150"/>
      <c r="EW42" s="528"/>
      <c r="EX42" s="143"/>
      <c r="EY42" s="146"/>
      <c r="EZ42" s="157" t="s">
        <v>11</v>
      </c>
      <c r="FA42" s="138"/>
      <c r="FB42" s="172"/>
      <c r="FC42" s="140">
        <f t="shared" si="19"/>
        <v>0</v>
      </c>
      <c r="FD42" s="150"/>
      <c r="FE42" s="528"/>
      <c r="FF42" s="143"/>
      <c r="FG42" s="146"/>
      <c r="FH42" s="157" t="s">
        <v>11</v>
      </c>
      <c r="FI42" s="138"/>
      <c r="FJ42" s="172"/>
      <c r="FK42" s="140">
        <f t="shared" si="20"/>
        <v>0</v>
      </c>
      <c r="FL42" s="150"/>
      <c r="FM42" s="528"/>
      <c r="FN42" s="143"/>
      <c r="FO42" s="146"/>
      <c r="FP42" s="157" t="s">
        <v>11</v>
      </c>
      <c r="FQ42" s="138"/>
      <c r="FR42" s="172"/>
      <c r="FS42" s="140">
        <f t="shared" si="21"/>
        <v>0</v>
      </c>
      <c r="FT42" s="150"/>
      <c r="FU42" s="528"/>
      <c r="FV42" s="143"/>
      <c r="FW42" s="146"/>
      <c r="FX42" s="157" t="s">
        <v>11</v>
      </c>
      <c r="FY42" s="138"/>
      <c r="FZ42" s="172"/>
      <c r="GA42" s="140">
        <f t="shared" si="22"/>
        <v>0</v>
      </c>
      <c r="GB42" s="150"/>
      <c r="GC42" s="528"/>
      <c r="GD42" s="143"/>
      <c r="GE42" s="146"/>
      <c r="GF42" s="157" t="s">
        <v>11</v>
      </c>
      <c r="GG42" s="138"/>
      <c r="GH42" s="172"/>
      <c r="GI42" s="140">
        <f t="shared" si="23"/>
        <v>0</v>
      </c>
      <c r="GJ42" s="150"/>
      <c r="GK42" s="528"/>
      <c r="GL42" s="143"/>
      <c r="GM42" s="146"/>
      <c r="GN42" s="157" t="s">
        <v>11</v>
      </c>
      <c r="GO42" s="175">
        <v>0</v>
      </c>
      <c r="GP42" s="164"/>
      <c r="GQ42" s="140">
        <f t="shared" ref="GQ42:GQ57" si="145">GO42*GP42</f>
        <v>0</v>
      </c>
      <c r="GR42" s="150"/>
      <c r="GS42" s="528"/>
      <c r="GT42" s="143"/>
      <c r="GU42" s="146"/>
      <c r="GV42" s="157" t="s">
        <v>11</v>
      </c>
      <c r="GW42" s="175">
        <v>0</v>
      </c>
      <c r="GX42" s="164"/>
      <c r="GY42" s="140">
        <f t="shared" ref="GY42:GY57" si="146">GW42*GX42</f>
        <v>0</v>
      </c>
      <c r="GZ42" s="150"/>
      <c r="HA42" s="528"/>
      <c r="HB42" s="143"/>
      <c r="HC42" s="146"/>
      <c r="HD42" s="157" t="s">
        <v>11</v>
      </c>
      <c r="HE42" s="175">
        <v>0</v>
      </c>
      <c r="HF42" s="164"/>
      <c r="HG42" s="140">
        <f t="shared" ref="HG42:HG57" si="147">HE42*HF42</f>
        <v>0</v>
      </c>
      <c r="HH42" s="150"/>
      <c r="HI42" s="528"/>
      <c r="HJ42" s="143"/>
      <c r="HK42" s="146"/>
      <c r="HL42" s="157" t="s">
        <v>11</v>
      </c>
      <c r="HM42" s="175">
        <v>0</v>
      </c>
      <c r="HN42" s="164"/>
      <c r="HO42" s="140">
        <f t="shared" ref="HO42:HO57" si="148">HM42*HN42</f>
        <v>0</v>
      </c>
      <c r="HP42" s="150"/>
      <c r="HQ42" s="528"/>
      <c r="HR42" s="143"/>
      <c r="HS42" s="146"/>
      <c r="HT42" s="157" t="s">
        <v>11</v>
      </c>
      <c r="HU42" s="175">
        <v>0</v>
      </c>
      <c r="HV42" s="164"/>
      <c r="HW42" s="140">
        <f t="shared" ref="HW42:HW57" si="149">HU42*HV42</f>
        <v>0</v>
      </c>
      <c r="HX42" s="150"/>
      <c r="HY42" s="528"/>
      <c r="HZ42" s="143"/>
      <c r="IA42" s="146"/>
      <c r="IB42" s="157" t="s">
        <v>11</v>
      </c>
      <c r="IC42" s="175">
        <v>0</v>
      </c>
      <c r="ID42" s="164"/>
      <c r="IE42" s="140">
        <f t="shared" ref="IE42:IE57" si="150">IC42*ID42</f>
        <v>0</v>
      </c>
      <c r="IF42" s="150"/>
      <c r="IG42" s="528"/>
      <c r="IH42" s="143"/>
      <c r="II42" s="146"/>
      <c r="IJ42" s="157" t="s">
        <v>11</v>
      </c>
      <c r="IK42" s="175">
        <v>0</v>
      </c>
      <c r="IL42" s="164"/>
      <c r="IM42" s="140">
        <f t="shared" ref="IM42:IM57" si="151">IK42*IL42</f>
        <v>0</v>
      </c>
      <c r="IN42" s="150"/>
      <c r="IO42" s="528"/>
      <c r="IP42" s="143"/>
      <c r="IQ42" s="146"/>
      <c r="IR42" s="157" t="s">
        <v>11</v>
      </c>
      <c r="IS42" s="175">
        <v>0</v>
      </c>
      <c r="IT42" s="164"/>
      <c r="IU42" s="140">
        <f t="shared" ref="IU42:IU57" si="152">IS42*IT42</f>
        <v>0</v>
      </c>
      <c r="IV42" s="150"/>
      <c r="IW42" s="528"/>
      <c r="IX42" s="143"/>
      <c r="IY42" s="146"/>
      <c r="IZ42" s="157" t="s">
        <v>11</v>
      </c>
      <c r="JA42" s="175">
        <v>0</v>
      </c>
      <c r="JB42" s="164"/>
      <c r="JC42" s="140">
        <f t="shared" ref="JC42:JC57" si="153">JA42*JB42</f>
        <v>0</v>
      </c>
      <c r="JD42" s="150"/>
      <c r="JE42" s="528"/>
      <c r="JF42" s="143"/>
      <c r="JG42" s="146"/>
      <c r="JH42" s="157" t="s">
        <v>11</v>
      </c>
      <c r="JI42" s="175">
        <v>0</v>
      </c>
      <c r="JJ42" s="164"/>
      <c r="JK42" s="140">
        <f t="shared" ref="JK42:JK57" si="154">JI42*JJ42</f>
        <v>0</v>
      </c>
      <c r="JL42" s="150"/>
      <c r="JM42" s="528"/>
      <c r="JN42" s="143"/>
      <c r="JO42" s="146"/>
      <c r="JP42" s="157" t="s">
        <v>11</v>
      </c>
      <c r="JQ42" s="175">
        <v>0</v>
      </c>
      <c r="JR42" s="164"/>
      <c r="JS42" s="140">
        <f t="shared" ref="JS42:JS57" si="155">JQ42*JR42</f>
        <v>0</v>
      </c>
      <c r="JT42" s="150"/>
      <c r="JU42" s="528"/>
      <c r="JV42" s="143"/>
      <c r="JW42" s="146"/>
      <c r="JX42" s="157" t="s">
        <v>11</v>
      </c>
      <c r="JY42" s="175">
        <v>0</v>
      </c>
      <c r="JZ42" s="164"/>
      <c r="KA42" s="140">
        <f t="shared" ref="KA42:KA57" si="156">JY42*JZ42</f>
        <v>0</v>
      </c>
      <c r="KB42" s="150"/>
      <c r="KC42" s="528"/>
      <c r="KD42" s="143"/>
      <c r="KE42" s="146"/>
      <c r="KF42" s="157" t="s">
        <v>11</v>
      </c>
      <c r="KG42" s="175">
        <v>0</v>
      </c>
      <c r="KH42" s="164"/>
      <c r="KI42" s="140">
        <f t="shared" ref="KI42:KI57" si="157">KG42*KH42</f>
        <v>0</v>
      </c>
      <c r="KJ42" s="150"/>
      <c r="KK42" s="528"/>
      <c r="KL42" s="143"/>
      <c r="KM42" s="146"/>
      <c r="KN42" s="157" t="s">
        <v>11</v>
      </c>
      <c r="KO42" s="175">
        <v>0</v>
      </c>
      <c r="KP42" s="164"/>
      <c r="KQ42" s="140">
        <f t="shared" ref="KQ42:KQ57" si="158">KO42*KP42</f>
        <v>0</v>
      </c>
      <c r="KR42" s="150"/>
      <c r="KS42" s="528"/>
      <c r="KT42" s="143"/>
      <c r="KU42" s="146"/>
      <c r="KV42" s="157" t="s">
        <v>11</v>
      </c>
      <c r="KW42" s="175">
        <v>0</v>
      </c>
      <c r="KX42" s="164"/>
      <c r="KY42" s="140">
        <f t="shared" ref="KY42:KY57" si="159">KW42*KX42</f>
        <v>0</v>
      </c>
      <c r="KZ42" s="150"/>
      <c r="LA42" s="528"/>
      <c r="LB42" s="143"/>
      <c r="LC42" s="146"/>
      <c r="LD42" s="157" t="s">
        <v>11</v>
      </c>
      <c r="LE42" s="175">
        <v>0</v>
      </c>
      <c r="LF42" s="164"/>
      <c r="LG42" s="140">
        <f t="shared" ref="LG42:LG57" si="160">LE42*LF42</f>
        <v>0</v>
      </c>
      <c r="LH42" s="150"/>
      <c r="LI42" s="528"/>
      <c r="LJ42" s="143"/>
      <c r="LK42" s="146"/>
      <c r="LL42" s="157" t="s">
        <v>11</v>
      </c>
      <c r="LM42" s="175">
        <v>0</v>
      </c>
      <c r="LN42" s="164"/>
      <c r="LO42" s="140">
        <f t="shared" ref="LO42:LO57" si="161">LM42*LN42</f>
        <v>0</v>
      </c>
      <c r="LP42" s="150"/>
      <c r="LQ42" s="528"/>
      <c r="LR42" s="143"/>
      <c r="LS42" s="146"/>
      <c r="LT42" s="157" t="s">
        <v>11</v>
      </c>
      <c r="LU42" s="175"/>
      <c r="LV42" s="164"/>
      <c r="LW42" s="140">
        <f t="shared" ref="LW42:LW57" si="162">LU42*LV42</f>
        <v>0</v>
      </c>
      <c r="LX42" s="150"/>
      <c r="LY42" s="528"/>
      <c r="LZ42" s="143"/>
      <c r="MA42" s="146"/>
      <c r="MB42" s="157" t="s">
        <v>11</v>
      </c>
      <c r="MC42" s="175"/>
      <c r="MD42" s="164"/>
      <c r="ME42" s="140">
        <f t="shared" ref="ME42:ME57" si="163">MC42*MD42</f>
        <v>0</v>
      </c>
      <c r="MF42" s="150"/>
      <c r="MG42" s="528"/>
      <c r="MH42" s="143"/>
      <c r="MI42" s="146"/>
      <c r="MJ42" s="157" t="s">
        <v>11</v>
      </c>
      <c r="MK42" s="175"/>
      <c r="ML42" s="164"/>
      <c r="MM42" s="140">
        <f t="shared" ref="MM42:MM57" si="164">MK42*ML42</f>
        <v>0</v>
      </c>
      <c r="MN42" s="150"/>
      <c r="MO42" s="528"/>
      <c r="MP42" s="143"/>
      <c r="MQ42" s="146"/>
      <c r="MR42" s="157" t="s">
        <v>11</v>
      </c>
      <c r="MS42" s="175"/>
      <c r="MT42" s="164"/>
      <c r="MU42" s="140">
        <f t="shared" ref="MU42:MU57" si="165">MS42*MT42</f>
        <v>0</v>
      </c>
      <c r="MV42" s="150"/>
      <c r="MW42" s="528"/>
      <c r="MX42" s="143"/>
      <c r="MY42" s="677"/>
      <c r="MZ42" s="663" t="s">
        <v>20</v>
      </c>
      <c r="NA42" s="175"/>
      <c r="NB42" s="164"/>
      <c r="NC42" s="140">
        <f t="shared" ref="NC42:ND69" si="166">NA42*NB42</f>
        <v>0</v>
      </c>
      <c r="ND42" s="150"/>
      <c r="NE42" s="528"/>
      <c r="NF42" s="143"/>
      <c r="NG42" s="677"/>
      <c r="NH42" s="663" t="s">
        <v>20</v>
      </c>
      <c r="NI42" s="175"/>
      <c r="NJ42" s="164"/>
      <c r="NK42" s="140">
        <f t="shared" ref="NK42:NK57" si="167">NI42*NJ42</f>
        <v>0</v>
      </c>
      <c r="NL42" s="150"/>
      <c r="NM42" s="528"/>
      <c r="NN42" s="143"/>
      <c r="NO42" s="677"/>
      <c r="NP42" s="663" t="s">
        <v>20</v>
      </c>
      <c r="NQ42" s="175"/>
      <c r="NR42" s="164"/>
      <c r="NS42" s="140">
        <f t="shared" ref="NS42:NS57" si="168">NQ42*NR42</f>
        <v>0</v>
      </c>
      <c r="NT42" s="150"/>
      <c r="NU42" s="528"/>
      <c r="NV42" s="143"/>
      <c r="NW42" s="677"/>
      <c r="NX42" s="663" t="s">
        <v>20</v>
      </c>
      <c r="NY42" s="175"/>
      <c r="NZ42" s="164"/>
      <c r="OA42" s="140">
        <f t="shared" ref="OA42:OA57" si="169">NY42*NZ42</f>
        <v>0</v>
      </c>
      <c r="OB42" s="150"/>
      <c r="OC42" s="528"/>
      <c r="OD42" s="143"/>
      <c r="OE42" s="677"/>
      <c r="OF42" s="663" t="s">
        <v>20</v>
      </c>
      <c r="OG42" s="175"/>
      <c r="OH42" s="164"/>
      <c r="OI42" s="140">
        <f t="shared" ref="OI42:OI57" si="170">OG42*OH42</f>
        <v>0</v>
      </c>
      <c r="OJ42" s="150"/>
      <c r="OK42" s="528"/>
      <c r="OL42" s="143"/>
      <c r="OM42" s="677"/>
      <c r="ON42" s="663" t="s">
        <v>20</v>
      </c>
      <c r="OO42" s="175"/>
      <c r="OP42" s="164"/>
      <c r="OQ42" s="140">
        <f t="shared" ref="OQ42:OQ57" si="171">OO42*OP42</f>
        <v>0</v>
      </c>
      <c r="OR42" s="150"/>
      <c r="OS42" s="528"/>
      <c r="OT42" s="143"/>
      <c r="OU42" s="677"/>
      <c r="OV42" s="663" t="s">
        <v>20</v>
      </c>
      <c r="OW42" s="175"/>
      <c r="OX42" s="164"/>
      <c r="OY42" s="140">
        <f t="shared" ref="OY42:OY57" si="172">OW42*OX42</f>
        <v>0</v>
      </c>
      <c r="OZ42" s="150"/>
      <c r="PA42" s="528"/>
      <c r="PB42" s="143"/>
      <c r="PC42" s="677"/>
      <c r="PD42" s="663" t="s">
        <v>20</v>
      </c>
      <c r="PE42" s="175"/>
      <c r="PF42" s="164"/>
      <c r="PG42" s="140">
        <f t="shared" ref="PG42:PG57" si="173">PE42*PF42</f>
        <v>0</v>
      </c>
      <c r="PH42" s="150"/>
      <c r="PI42" s="528"/>
      <c r="PJ42" s="143"/>
      <c r="PK42" s="677"/>
      <c r="PL42" s="663" t="s">
        <v>20</v>
      </c>
      <c r="PM42" s="175"/>
      <c r="PN42" s="164"/>
      <c r="PO42" s="140">
        <f t="shared" ref="PO42:PO57" si="174">PM42*PN42</f>
        <v>0</v>
      </c>
      <c r="PP42" s="150"/>
      <c r="PQ42" s="528"/>
      <c r="PR42" s="143"/>
      <c r="PS42" s="677"/>
      <c r="PT42" s="663" t="s">
        <v>20</v>
      </c>
      <c r="PU42" s="175"/>
      <c r="PV42" s="164"/>
      <c r="PW42" s="140">
        <f t="shared" ref="PW42:PW57" si="175">PU42*PV42</f>
        <v>0</v>
      </c>
      <c r="PX42" s="150"/>
      <c r="PY42" s="528"/>
      <c r="PZ42" s="143"/>
      <c r="QA42" s="677"/>
      <c r="QB42" s="663" t="s">
        <v>20</v>
      </c>
      <c r="QC42" s="175"/>
      <c r="QD42" s="164"/>
      <c r="QE42" s="140">
        <f t="shared" ref="QE42:QE57" si="176">QC42*QD42</f>
        <v>0</v>
      </c>
      <c r="QF42" s="150"/>
      <c r="QG42" s="528"/>
      <c r="QH42" s="143"/>
      <c r="QI42" s="677"/>
      <c r="QJ42" s="663" t="s">
        <v>20</v>
      </c>
      <c r="QK42" s="175"/>
      <c r="QL42" s="164"/>
      <c r="QM42" s="140">
        <f t="shared" ref="QM42:QM57" si="177">QK42*QL42</f>
        <v>0</v>
      </c>
      <c r="QN42" s="150"/>
      <c r="QO42" s="528"/>
      <c r="QP42" s="143"/>
      <c r="QQ42" s="677"/>
      <c r="QR42" s="663" t="s">
        <v>20</v>
      </c>
      <c r="QS42" s="175"/>
      <c r="QT42" s="164"/>
      <c r="QU42" s="140">
        <f t="shared" ref="QU42:QU57" si="178">QS42*QT42</f>
        <v>0</v>
      </c>
      <c r="QV42" s="150"/>
      <c r="QW42" s="528"/>
      <c r="QX42" s="143"/>
      <c r="QY42" s="677"/>
      <c r="QZ42" s="663" t="s">
        <v>20</v>
      </c>
      <c r="RA42" s="175"/>
      <c r="RB42" s="164"/>
      <c r="RC42" s="140">
        <f t="shared" ref="RC42:RC57" si="179">RA42*RB42</f>
        <v>0</v>
      </c>
      <c r="RD42" s="150"/>
      <c r="RE42" s="528"/>
      <c r="RF42" s="143"/>
      <c r="RG42" s="677"/>
      <c r="RH42" s="663" t="s">
        <v>20</v>
      </c>
      <c r="RI42" s="175"/>
      <c r="RJ42" s="164"/>
      <c r="RK42" s="140">
        <f t="shared" ref="RK42:RK57" si="180">RI42*RJ42</f>
        <v>0</v>
      </c>
      <c r="RL42" s="150"/>
      <c r="RM42" s="528"/>
      <c r="RN42" s="143"/>
      <c r="RO42" s="677"/>
      <c r="RP42" s="663" t="s">
        <v>20</v>
      </c>
      <c r="RQ42" s="175"/>
      <c r="RR42" s="164"/>
      <c r="RS42" s="140">
        <f t="shared" ref="RS42:RS57" si="181">RQ42*RR42</f>
        <v>0</v>
      </c>
      <c r="RT42" s="150"/>
      <c r="RU42" s="528"/>
      <c r="RV42" s="143"/>
      <c r="RW42" s="677"/>
      <c r="RX42" s="663" t="s">
        <v>20</v>
      </c>
      <c r="RY42" s="175"/>
      <c r="RZ42" s="164"/>
      <c r="SA42" s="140">
        <f t="shared" ref="SA42:SA57" si="182">RY42*RZ42</f>
        <v>0</v>
      </c>
      <c r="SB42" s="150"/>
      <c r="SC42" s="528"/>
      <c r="SD42" s="143"/>
      <c r="SE42" s="677"/>
      <c r="SF42" s="663" t="s">
        <v>20</v>
      </c>
      <c r="SG42" s="175"/>
      <c r="SH42" s="164"/>
      <c r="SI42" s="140">
        <f t="shared" ref="SI42:SI57" si="183">SG42*SH42</f>
        <v>0</v>
      </c>
      <c r="SJ42" s="150"/>
      <c r="SK42" s="528"/>
      <c r="SL42" s="143"/>
      <c r="SM42" s="677"/>
      <c r="SN42" s="663" t="s">
        <v>20</v>
      </c>
      <c r="SO42" s="175"/>
      <c r="SP42" s="164"/>
      <c r="SQ42" s="140">
        <f t="shared" ref="SQ42:SQ57" si="184">SO42*SP42</f>
        <v>0</v>
      </c>
      <c r="SR42" s="150"/>
      <c r="SS42" s="528"/>
      <c r="ST42" s="143"/>
      <c r="SU42" s="677"/>
      <c r="SV42" s="663" t="s">
        <v>20</v>
      </c>
      <c r="SW42" s="175"/>
      <c r="SX42" s="164"/>
      <c r="SY42" s="140">
        <f t="shared" ref="SY42:SY57" si="185">SW42*SX42</f>
        <v>0</v>
      </c>
      <c r="SZ42" s="150"/>
      <c r="TA42" s="528"/>
      <c r="TB42" s="143"/>
      <c r="TC42" s="677"/>
      <c r="TD42" s="663" t="s">
        <v>20</v>
      </c>
      <c r="TE42" s="175"/>
      <c r="TF42" s="164"/>
      <c r="TG42" s="140">
        <f t="shared" ref="TG42:TG57" si="186">TE42*TF42</f>
        <v>0</v>
      </c>
      <c r="TH42" s="150"/>
      <c r="TI42" s="528"/>
    </row>
    <row r="43" spans="2:529">
      <c r="B43" s="143"/>
      <c r="C43" s="146"/>
      <c r="D43" s="157" t="s">
        <v>90</v>
      </c>
      <c r="E43" s="138">
        <v>0</v>
      </c>
      <c r="F43" s="164"/>
      <c r="G43" s="140">
        <f t="shared" si="133"/>
        <v>0</v>
      </c>
      <c r="H43" s="150"/>
      <c r="I43" s="528"/>
      <c r="J43" s="143"/>
      <c r="K43" s="146">
        <v>50</v>
      </c>
      <c r="L43" s="157" t="s">
        <v>90</v>
      </c>
      <c r="M43" s="138">
        <v>0</v>
      </c>
      <c r="N43" s="164"/>
      <c r="O43" s="140">
        <f t="shared" si="134"/>
        <v>0</v>
      </c>
      <c r="P43" s="150"/>
      <c r="Q43" s="528"/>
      <c r="R43" s="143"/>
      <c r="S43" s="146">
        <v>50</v>
      </c>
      <c r="T43" s="157" t="s">
        <v>90</v>
      </c>
      <c r="U43" s="138">
        <v>0</v>
      </c>
      <c r="V43" s="164"/>
      <c r="W43" s="140">
        <f t="shared" si="135"/>
        <v>0</v>
      </c>
      <c r="X43" s="150"/>
      <c r="Y43" s="528"/>
      <c r="Z43" s="143"/>
      <c r="AA43" s="146">
        <v>50</v>
      </c>
      <c r="AB43" s="157" t="s">
        <v>90</v>
      </c>
      <c r="AC43" s="138">
        <v>0</v>
      </c>
      <c r="AD43" s="164"/>
      <c r="AE43" s="140">
        <f t="shared" si="136"/>
        <v>0</v>
      </c>
      <c r="AF43" s="150"/>
      <c r="AG43" s="528"/>
      <c r="AH43" s="143"/>
      <c r="AI43" s="146">
        <v>50</v>
      </c>
      <c r="AJ43" s="157" t="s">
        <v>90</v>
      </c>
      <c r="AK43" s="138">
        <v>0</v>
      </c>
      <c r="AL43" s="164"/>
      <c r="AM43" s="140">
        <f t="shared" si="137"/>
        <v>0</v>
      </c>
      <c r="AN43" s="150"/>
      <c r="AO43" s="528"/>
      <c r="AP43" s="143"/>
      <c r="AQ43" s="146">
        <v>50</v>
      </c>
      <c r="AR43" s="157" t="s">
        <v>90</v>
      </c>
      <c r="AS43" s="138"/>
      <c r="AT43" s="164"/>
      <c r="AU43" s="140">
        <f t="shared" si="138"/>
        <v>0</v>
      </c>
      <c r="AV43" s="150"/>
      <c r="AW43" s="528"/>
      <c r="AX43" s="143"/>
      <c r="AY43" s="146">
        <v>50</v>
      </c>
      <c r="AZ43" s="157" t="s">
        <v>90</v>
      </c>
      <c r="BA43" s="138">
        <v>0</v>
      </c>
      <c r="BB43" s="164"/>
      <c r="BC43" s="140">
        <f t="shared" si="139"/>
        <v>0</v>
      </c>
      <c r="BD43" s="150"/>
      <c r="BE43" s="528"/>
      <c r="BF43" s="143"/>
      <c r="BG43" s="146">
        <v>50</v>
      </c>
      <c r="BH43" s="157" t="s">
        <v>90</v>
      </c>
      <c r="BI43" s="138">
        <v>19</v>
      </c>
      <c r="BJ43" s="164"/>
      <c r="BK43" s="140">
        <f t="shared" si="140"/>
        <v>0</v>
      </c>
      <c r="BL43" s="150"/>
      <c r="BM43" s="528"/>
      <c r="BN43" s="143"/>
      <c r="BO43" s="146">
        <v>50</v>
      </c>
      <c r="BP43" s="157" t="s">
        <v>90</v>
      </c>
      <c r="BQ43" s="138">
        <v>0</v>
      </c>
      <c r="BR43" s="164"/>
      <c r="BS43" s="140">
        <f t="shared" si="141"/>
        <v>0</v>
      </c>
      <c r="BT43" s="150"/>
      <c r="BU43" s="528"/>
      <c r="BV43" s="564"/>
      <c r="BW43" s="537"/>
      <c r="BX43" s="574" t="s">
        <v>90</v>
      </c>
      <c r="BY43" s="560"/>
      <c r="BZ43" s="580"/>
      <c r="CA43" s="562">
        <f t="shared" si="142"/>
        <v>0</v>
      </c>
      <c r="CB43" s="569"/>
      <c r="CC43" s="528"/>
      <c r="CD43" s="564"/>
      <c r="CE43" s="537"/>
      <c r="CF43" s="574" t="s">
        <v>90</v>
      </c>
      <c r="CG43" s="560"/>
      <c r="CH43" s="580"/>
      <c r="CI43" s="562">
        <f t="shared" si="143"/>
        <v>0</v>
      </c>
      <c r="CJ43" s="569"/>
      <c r="CK43" s="528"/>
      <c r="CL43" s="143"/>
      <c r="CM43" s="146">
        <v>50</v>
      </c>
      <c r="CN43" s="157" t="s">
        <v>90</v>
      </c>
      <c r="CO43" s="138">
        <v>0</v>
      </c>
      <c r="CP43" s="164"/>
      <c r="CQ43" s="140">
        <f t="shared" si="144"/>
        <v>0</v>
      </c>
      <c r="CR43" s="150"/>
      <c r="CS43" s="528"/>
      <c r="CT43" s="143"/>
      <c r="CU43" s="146">
        <v>50</v>
      </c>
      <c r="CV43" s="157" t="s">
        <v>90</v>
      </c>
      <c r="CW43" s="138"/>
      <c r="CX43" s="164"/>
      <c r="CY43" s="140">
        <f t="shared" si="12"/>
        <v>0</v>
      </c>
      <c r="CZ43" s="150"/>
      <c r="DA43" s="528"/>
      <c r="DB43" s="143"/>
      <c r="DC43" s="146"/>
      <c r="DD43" s="157" t="s">
        <v>90</v>
      </c>
      <c r="DE43" s="138"/>
      <c r="DF43" s="164"/>
      <c r="DG43" s="140">
        <f t="shared" si="13"/>
        <v>0</v>
      </c>
      <c r="DH43" s="150"/>
      <c r="DI43" s="528"/>
      <c r="DJ43" s="143"/>
      <c r="DK43" s="146"/>
      <c r="DL43" s="157" t="s">
        <v>90</v>
      </c>
      <c r="DM43" s="138"/>
      <c r="DN43" s="172"/>
      <c r="DO43" s="140">
        <f t="shared" si="14"/>
        <v>0</v>
      </c>
      <c r="DP43" s="150"/>
      <c r="DQ43" s="528"/>
      <c r="DR43" s="143"/>
      <c r="DS43" s="146"/>
      <c r="DT43" s="157" t="s">
        <v>90</v>
      </c>
      <c r="DU43" s="138"/>
      <c r="DV43" s="172"/>
      <c r="DW43" s="140">
        <f t="shared" si="15"/>
        <v>0</v>
      </c>
      <c r="DX43" s="150"/>
      <c r="DY43" s="528"/>
      <c r="DZ43" s="143"/>
      <c r="EA43" s="146"/>
      <c r="EB43" s="157" t="s">
        <v>90</v>
      </c>
      <c r="EC43" s="138"/>
      <c r="ED43" s="172"/>
      <c r="EE43" s="140">
        <f t="shared" si="16"/>
        <v>0</v>
      </c>
      <c r="EF43" s="150"/>
      <c r="EG43" s="528"/>
      <c r="EH43" s="143"/>
      <c r="EI43" s="146"/>
      <c r="EJ43" s="157" t="s">
        <v>90</v>
      </c>
      <c r="EK43" s="138"/>
      <c r="EL43" s="172"/>
      <c r="EM43" s="140">
        <f t="shared" si="17"/>
        <v>0</v>
      </c>
      <c r="EN43" s="150"/>
      <c r="EO43" s="528"/>
      <c r="EP43" s="143"/>
      <c r="EQ43" s="146"/>
      <c r="ER43" s="157" t="s">
        <v>90</v>
      </c>
      <c r="ES43" s="138"/>
      <c r="ET43" s="172"/>
      <c r="EU43" s="140">
        <f t="shared" si="18"/>
        <v>0</v>
      </c>
      <c r="EV43" s="150"/>
      <c r="EW43" s="528"/>
      <c r="EX43" s="143"/>
      <c r="EY43" s="146"/>
      <c r="EZ43" s="157" t="s">
        <v>90</v>
      </c>
      <c r="FA43" s="138"/>
      <c r="FB43" s="172"/>
      <c r="FC43" s="140">
        <f t="shared" si="19"/>
        <v>0</v>
      </c>
      <c r="FD43" s="150"/>
      <c r="FE43" s="528"/>
      <c r="FF43" s="143"/>
      <c r="FG43" s="146"/>
      <c r="FH43" s="157" t="s">
        <v>90</v>
      </c>
      <c r="FI43" s="138"/>
      <c r="FJ43" s="172"/>
      <c r="FK43" s="140">
        <f t="shared" si="20"/>
        <v>0</v>
      </c>
      <c r="FL43" s="150"/>
      <c r="FM43" s="528"/>
      <c r="FN43" s="143"/>
      <c r="FO43" s="146"/>
      <c r="FP43" s="157" t="s">
        <v>90</v>
      </c>
      <c r="FQ43" s="138"/>
      <c r="FR43" s="172"/>
      <c r="FS43" s="140">
        <f t="shared" si="21"/>
        <v>0</v>
      </c>
      <c r="FT43" s="150"/>
      <c r="FU43" s="528"/>
      <c r="FV43" s="143"/>
      <c r="FW43" s="146"/>
      <c r="FX43" s="157" t="s">
        <v>90</v>
      </c>
      <c r="FY43" s="138"/>
      <c r="FZ43" s="172"/>
      <c r="GA43" s="140">
        <f t="shared" si="22"/>
        <v>0</v>
      </c>
      <c r="GB43" s="150"/>
      <c r="GC43" s="528"/>
      <c r="GD43" s="143"/>
      <c r="GE43" s="146"/>
      <c r="GF43" s="157" t="s">
        <v>90</v>
      </c>
      <c r="GG43" s="138"/>
      <c r="GH43" s="172"/>
      <c r="GI43" s="140">
        <f t="shared" si="23"/>
        <v>0</v>
      </c>
      <c r="GJ43" s="150"/>
      <c r="GK43" s="528"/>
      <c r="GL43" s="143"/>
      <c r="GM43" s="146"/>
      <c r="GN43" s="157" t="s">
        <v>90</v>
      </c>
      <c r="GO43" s="175">
        <v>0</v>
      </c>
      <c r="GP43" s="164"/>
      <c r="GQ43" s="140">
        <f t="shared" si="145"/>
        <v>0</v>
      </c>
      <c r="GR43" s="150"/>
      <c r="GS43" s="528"/>
      <c r="GT43" s="143"/>
      <c r="GU43" s="146"/>
      <c r="GV43" s="157" t="s">
        <v>90</v>
      </c>
      <c r="GW43" s="175">
        <v>0</v>
      </c>
      <c r="GX43" s="164"/>
      <c r="GY43" s="140">
        <f t="shared" si="146"/>
        <v>0</v>
      </c>
      <c r="GZ43" s="150"/>
      <c r="HA43" s="528"/>
      <c r="HB43" s="143"/>
      <c r="HC43" s="146"/>
      <c r="HD43" s="157" t="s">
        <v>90</v>
      </c>
      <c r="HE43" s="175">
        <v>0</v>
      </c>
      <c r="HF43" s="164"/>
      <c r="HG43" s="140">
        <f t="shared" si="147"/>
        <v>0</v>
      </c>
      <c r="HH43" s="150"/>
      <c r="HI43" s="528"/>
      <c r="HJ43" s="143"/>
      <c r="HK43" s="146"/>
      <c r="HL43" s="157" t="s">
        <v>90</v>
      </c>
      <c r="HM43" s="175">
        <v>0</v>
      </c>
      <c r="HN43" s="164"/>
      <c r="HO43" s="140">
        <f t="shared" si="148"/>
        <v>0</v>
      </c>
      <c r="HP43" s="150"/>
      <c r="HQ43" s="528"/>
      <c r="HR43" s="143"/>
      <c r="HS43" s="146"/>
      <c r="HT43" s="157" t="s">
        <v>90</v>
      </c>
      <c r="HU43" s="175">
        <v>0</v>
      </c>
      <c r="HV43" s="164"/>
      <c r="HW43" s="140">
        <f t="shared" si="149"/>
        <v>0</v>
      </c>
      <c r="HX43" s="150"/>
      <c r="HY43" s="528"/>
      <c r="HZ43" s="143"/>
      <c r="IA43" s="146"/>
      <c r="IB43" s="157" t="s">
        <v>90</v>
      </c>
      <c r="IC43" s="175">
        <v>0</v>
      </c>
      <c r="ID43" s="164"/>
      <c r="IE43" s="140">
        <f t="shared" si="150"/>
        <v>0</v>
      </c>
      <c r="IF43" s="150"/>
      <c r="IG43" s="528"/>
      <c r="IH43" s="143"/>
      <c r="II43" s="146"/>
      <c r="IJ43" s="157" t="s">
        <v>90</v>
      </c>
      <c r="IK43" s="175">
        <v>0</v>
      </c>
      <c r="IL43" s="164"/>
      <c r="IM43" s="140">
        <f t="shared" si="151"/>
        <v>0</v>
      </c>
      <c r="IN43" s="150"/>
      <c r="IO43" s="528"/>
      <c r="IP43" s="143"/>
      <c r="IQ43" s="146"/>
      <c r="IR43" s="157" t="s">
        <v>90</v>
      </c>
      <c r="IS43" s="175">
        <v>0</v>
      </c>
      <c r="IT43" s="164"/>
      <c r="IU43" s="140">
        <f t="shared" si="152"/>
        <v>0</v>
      </c>
      <c r="IV43" s="150"/>
      <c r="IW43" s="528"/>
      <c r="IX43" s="143"/>
      <c r="IY43" s="146"/>
      <c r="IZ43" s="157" t="s">
        <v>90</v>
      </c>
      <c r="JA43" s="175">
        <v>0</v>
      </c>
      <c r="JB43" s="164"/>
      <c r="JC43" s="140">
        <f t="shared" si="153"/>
        <v>0</v>
      </c>
      <c r="JD43" s="150"/>
      <c r="JE43" s="528"/>
      <c r="JF43" s="143"/>
      <c r="JG43" s="146"/>
      <c r="JH43" s="157" t="s">
        <v>90</v>
      </c>
      <c r="JI43" s="175">
        <v>0</v>
      </c>
      <c r="JJ43" s="164"/>
      <c r="JK43" s="140">
        <f t="shared" si="154"/>
        <v>0</v>
      </c>
      <c r="JL43" s="150"/>
      <c r="JM43" s="528"/>
      <c r="JN43" s="143"/>
      <c r="JO43" s="146"/>
      <c r="JP43" s="157" t="s">
        <v>90</v>
      </c>
      <c r="JQ43" s="175">
        <v>0</v>
      </c>
      <c r="JR43" s="164"/>
      <c r="JS43" s="140">
        <f t="shared" si="155"/>
        <v>0</v>
      </c>
      <c r="JT43" s="150"/>
      <c r="JU43" s="528"/>
      <c r="JV43" s="143"/>
      <c r="JW43" s="146"/>
      <c r="JX43" s="157" t="s">
        <v>90</v>
      </c>
      <c r="JY43" s="175">
        <v>0</v>
      </c>
      <c r="JZ43" s="164"/>
      <c r="KA43" s="140">
        <f t="shared" si="156"/>
        <v>0</v>
      </c>
      <c r="KB43" s="150"/>
      <c r="KC43" s="528"/>
      <c r="KD43" s="143"/>
      <c r="KE43" s="146"/>
      <c r="KF43" s="157" t="s">
        <v>90</v>
      </c>
      <c r="KG43" s="175">
        <v>0</v>
      </c>
      <c r="KH43" s="164"/>
      <c r="KI43" s="140">
        <f t="shared" si="157"/>
        <v>0</v>
      </c>
      <c r="KJ43" s="150"/>
      <c r="KK43" s="528"/>
      <c r="KL43" s="143"/>
      <c r="KM43" s="146"/>
      <c r="KN43" s="157" t="s">
        <v>90</v>
      </c>
      <c r="KO43" s="175">
        <v>0</v>
      </c>
      <c r="KP43" s="164"/>
      <c r="KQ43" s="140">
        <f t="shared" si="158"/>
        <v>0</v>
      </c>
      <c r="KR43" s="150"/>
      <c r="KS43" s="528"/>
      <c r="KT43" s="143"/>
      <c r="KU43" s="146"/>
      <c r="KV43" s="157" t="s">
        <v>90</v>
      </c>
      <c r="KW43" s="175">
        <v>0</v>
      </c>
      <c r="KX43" s="164"/>
      <c r="KY43" s="140">
        <f t="shared" si="159"/>
        <v>0</v>
      </c>
      <c r="KZ43" s="150"/>
      <c r="LA43" s="528"/>
      <c r="LB43" s="143"/>
      <c r="LC43" s="146"/>
      <c r="LD43" s="157" t="s">
        <v>90</v>
      </c>
      <c r="LE43" s="175">
        <v>0</v>
      </c>
      <c r="LF43" s="164"/>
      <c r="LG43" s="140">
        <f t="shared" si="160"/>
        <v>0</v>
      </c>
      <c r="LH43" s="150"/>
      <c r="LI43" s="528"/>
      <c r="LJ43" s="143"/>
      <c r="LK43" s="146"/>
      <c r="LL43" s="157" t="s">
        <v>90</v>
      </c>
      <c r="LM43" s="175">
        <v>0</v>
      </c>
      <c r="LN43" s="164"/>
      <c r="LO43" s="140">
        <f t="shared" si="161"/>
        <v>0</v>
      </c>
      <c r="LP43" s="150"/>
      <c r="LQ43" s="528"/>
      <c r="LR43" s="143"/>
      <c r="LS43" s="146"/>
      <c r="LT43" s="157" t="s">
        <v>90</v>
      </c>
      <c r="LU43" s="175"/>
      <c r="LV43" s="164"/>
      <c r="LW43" s="140">
        <f t="shared" si="162"/>
        <v>0</v>
      </c>
      <c r="LX43" s="150"/>
      <c r="LY43" s="528"/>
      <c r="LZ43" s="143"/>
      <c r="MA43" s="146"/>
      <c r="MB43" s="157" t="s">
        <v>90</v>
      </c>
      <c r="MC43" s="175"/>
      <c r="MD43" s="164"/>
      <c r="ME43" s="140">
        <f t="shared" si="163"/>
        <v>0</v>
      </c>
      <c r="MF43" s="150"/>
      <c r="MG43" s="528"/>
      <c r="MH43" s="143"/>
      <c r="MI43" s="146"/>
      <c r="MJ43" s="157" t="s">
        <v>90</v>
      </c>
      <c r="MK43" s="175"/>
      <c r="ML43" s="164"/>
      <c r="MM43" s="140">
        <f t="shared" si="164"/>
        <v>0</v>
      </c>
      <c r="MN43" s="150"/>
      <c r="MO43" s="528"/>
      <c r="MP43" s="143"/>
      <c r="MQ43" s="146"/>
      <c r="MR43" s="157" t="s">
        <v>90</v>
      </c>
      <c r="MS43" s="175"/>
      <c r="MT43" s="164"/>
      <c r="MU43" s="140">
        <f t="shared" si="165"/>
        <v>0</v>
      </c>
      <c r="MV43" s="150"/>
      <c r="MW43" s="528"/>
      <c r="MX43" s="143"/>
      <c r="MY43" s="146"/>
      <c r="MZ43" s="157" t="s">
        <v>84</v>
      </c>
      <c r="NA43" s="175"/>
      <c r="NB43" s="164"/>
      <c r="NC43" s="140">
        <f t="shared" si="166"/>
        <v>0</v>
      </c>
      <c r="ND43" s="150"/>
      <c r="NE43" s="528"/>
      <c r="NF43" s="143"/>
      <c r="NG43" s="146"/>
      <c r="NH43" s="157" t="s">
        <v>84</v>
      </c>
      <c r="NI43" s="175"/>
      <c r="NJ43" s="164"/>
      <c r="NK43" s="140">
        <f t="shared" si="167"/>
        <v>0</v>
      </c>
      <c r="NL43" s="150"/>
      <c r="NM43" s="528"/>
      <c r="NN43" s="143"/>
      <c r="NO43" s="146"/>
      <c r="NP43" s="157" t="s">
        <v>84</v>
      </c>
      <c r="NQ43" s="175"/>
      <c r="NR43" s="164"/>
      <c r="NS43" s="140">
        <f t="shared" si="168"/>
        <v>0</v>
      </c>
      <c r="NT43" s="150"/>
      <c r="NU43" s="528"/>
      <c r="NV43" s="143"/>
      <c r="NW43" s="146"/>
      <c r="NX43" s="157" t="s">
        <v>84</v>
      </c>
      <c r="NY43" s="175"/>
      <c r="NZ43" s="164"/>
      <c r="OA43" s="140">
        <f t="shared" si="169"/>
        <v>0</v>
      </c>
      <c r="OB43" s="150"/>
      <c r="OC43" s="528"/>
      <c r="OD43" s="143"/>
      <c r="OE43" s="146"/>
      <c r="OF43" s="157" t="s">
        <v>84</v>
      </c>
      <c r="OG43" s="175"/>
      <c r="OH43" s="164"/>
      <c r="OI43" s="140">
        <f t="shared" si="170"/>
        <v>0</v>
      </c>
      <c r="OJ43" s="150"/>
      <c r="OK43" s="528"/>
      <c r="OL43" s="143"/>
      <c r="OM43" s="146"/>
      <c r="ON43" s="157" t="s">
        <v>84</v>
      </c>
      <c r="OO43" s="175"/>
      <c r="OP43" s="164"/>
      <c r="OQ43" s="140">
        <f t="shared" si="171"/>
        <v>0</v>
      </c>
      <c r="OR43" s="150"/>
      <c r="OS43" s="528"/>
      <c r="OT43" s="143"/>
      <c r="OU43" s="146"/>
      <c r="OV43" s="157" t="s">
        <v>84</v>
      </c>
      <c r="OW43" s="175"/>
      <c r="OX43" s="164"/>
      <c r="OY43" s="140">
        <f t="shared" si="172"/>
        <v>0</v>
      </c>
      <c r="OZ43" s="150"/>
      <c r="PA43" s="528"/>
      <c r="PB43" s="143"/>
      <c r="PC43" s="146"/>
      <c r="PD43" s="157" t="s">
        <v>84</v>
      </c>
      <c r="PE43" s="175"/>
      <c r="PF43" s="164"/>
      <c r="PG43" s="140">
        <f t="shared" si="173"/>
        <v>0</v>
      </c>
      <c r="PH43" s="150"/>
      <c r="PI43" s="528"/>
      <c r="PJ43" s="143"/>
      <c r="PK43" s="146"/>
      <c r="PL43" s="157" t="s">
        <v>84</v>
      </c>
      <c r="PM43" s="175"/>
      <c r="PN43" s="164"/>
      <c r="PO43" s="140">
        <f t="shared" si="174"/>
        <v>0</v>
      </c>
      <c r="PP43" s="150"/>
      <c r="PQ43" s="528"/>
      <c r="PR43" s="143"/>
      <c r="PS43" s="146"/>
      <c r="PT43" s="157" t="s">
        <v>84</v>
      </c>
      <c r="PU43" s="175"/>
      <c r="PV43" s="164"/>
      <c r="PW43" s="140">
        <f t="shared" si="175"/>
        <v>0</v>
      </c>
      <c r="PX43" s="150"/>
      <c r="PY43" s="528"/>
      <c r="PZ43" s="143"/>
      <c r="QA43" s="146"/>
      <c r="QB43" s="157" t="s">
        <v>84</v>
      </c>
      <c r="QC43" s="175"/>
      <c r="QD43" s="164"/>
      <c r="QE43" s="140">
        <f t="shared" si="176"/>
        <v>0</v>
      </c>
      <c r="QF43" s="150"/>
      <c r="QG43" s="528"/>
      <c r="QH43" s="143"/>
      <c r="QI43" s="146"/>
      <c r="QJ43" s="157" t="s">
        <v>84</v>
      </c>
      <c r="QK43" s="175"/>
      <c r="QL43" s="164"/>
      <c r="QM43" s="140">
        <f t="shared" si="177"/>
        <v>0</v>
      </c>
      <c r="QN43" s="150"/>
      <c r="QO43" s="528"/>
      <c r="QP43" s="143"/>
      <c r="QQ43" s="146"/>
      <c r="QR43" s="157" t="s">
        <v>84</v>
      </c>
      <c r="QS43" s="175"/>
      <c r="QT43" s="164"/>
      <c r="QU43" s="140">
        <f t="shared" si="178"/>
        <v>0</v>
      </c>
      <c r="QV43" s="150"/>
      <c r="QW43" s="528"/>
      <c r="QX43" s="143"/>
      <c r="QY43" s="146"/>
      <c r="QZ43" s="157" t="s">
        <v>84</v>
      </c>
      <c r="RA43" s="175"/>
      <c r="RB43" s="164"/>
      <c r="RC43" s="140">
        <f t="shared" si="179"/>
        <v>0</v>
      </c>
      <c r="RD43" s="150"/>
      <c r="RE43" s="528"/>
      <c r="RF43" s="143"/>
      <c r="RG43" s="146"/>
      <c r="RH43" s="157" t="s">
        <v>84</v>
      </c>
      <c r="RI43" s="175"/>
      <c r="RJ43" s="164"/>
      <c r="RK43" s="140">
        <f t="shared" si="180"/>
        <v>0</v>
      </c>
      <c r="RL43" s="150"/>
      <c r="RM43" s="528"/>
      <c r="RN43" s="143"/>
      <c r="RO43" s="146"/>
      <c r="RP43" s="157" t="s">
        <v>84</v>
      </c>
      <c r="RQ43" s="175"/>
      <c r="RR43" s="164"/>
      <c r="RS43" s="140">
        <f t="shared" si="181"/>
        <v>0</v>
      </c>
      <c r="RT43" s="150"/>
      <c r="RU43" s="528"/>
      <c r="RV43" s="143"/>
      <c r="RW43" s="146"/>
      <c r="RX43" s="157" t="s">
        <v>84</v>
      </c>
      <c r="RY43" s="175"/>
      <c r="RZ43" s="164"/>
      <c r="SA43" s="140">
        <f t="shared" si="182"/>
        <v>0</v>
      </c>
      <c r="SB43" s="150"/>
      <c r="SC43" s="528"/>
      <c r="SD43" s="143"/>
      <c r="SE43" s="146"/>
      <c r="SF43" s="157" t="s">
        <v>84</v>
      </c>
      <c r="SG43" s="175"/>
      <c r="SH43" s="164"/>
      <c r="SI43" s="140">
        <f t="shared" si="183"/>
        <v>0</v>
      </c>
      <c r="SJ43" s="150"/>
      <c r="SK43" s="528"/>
      <c r="SL43" s="143"/>
      <c r="SM43" s="146"/>
      <c r="SN43" s="157" t="s">
        <v>84</v>
      </c>
      <c r="SO43" s="175"/>
      <c r="SP43" s="164"/>
      <c r="SQ43" s="140">
        <f t="shared" si="184"/>
        <v>0</v>
      </c>
      <c r="SR43" s="150"/>
      <c r="SS43" s="528"/>
      <c r="ST43" s="143"/>
      <c r="SU43" s="146"/>
      <c r="SV43" s="157" t="s">
        <v>84</v>
      </c>
      <c r="SW43" s="175"/>
      <c r="SX43" s="164"/>
      <c r="SY43" s="140">
        <f t="shared" si="185"/>
        <v>0</v>
      </c>
      <c r="SZ43" s="150"/>
      <c r="TA43" s="528"/>
      <c r="TB43" s="143"/>
      <c r="TC43" s="146"/>
      <c r="TD43" s="157" t="s">
        <v>84</v>
      </c>
      <c r="TE43" s="175"/>
      <c r="TF43" s="164"/>
      <c r="TG43" s="140">
        <f t="shared" si="186"/>
        <v>0</v>
      </c>
      <c r="TH43" s="150"/>
      <c r="TI43" s="528"/>
    </row>
    <row r="44" spans="2:529">
      <c r="B44" s="143"/>
      <c r="C44" s="146"/>
      <c r="D44" s="157" t="s">
        <v>84</v>
      </c>
      <c r="E44" s="138"/>
      <c r="F44" s="164"/>
      <c r="G44" s="140">
        <f t="shared" si="133"/>
        <v>0</v>
      </c>
      <c r="H44" s="154"/>
      <c r="I44" s="528"/>
      <c r="J44" s="143"/>
      <c r="K44" s="146">
        <v>25</v>
      </c>
      <c r="L44" s="157" t="s">
        <v>84</v>
      </c>
      <c r="M44" s="138">
        <v>3</v>
      </c>
      <c r="N44" s="164"/>
      <c r="O44" s="140">
        <f t="shared" si="134"/>
        <v>0</v>
      </c>
      <c r="P44" s="154"/>
      <c r="Q44" s="528"/>
      <c r="R44" s="143"/>
      <c r="S44" s="146">
        <v>25</v>
      </c>
      <c r="T44" s="157" t="s">
        <v>84</v>
      </c>
      <c r="U44" s="138">
        <v>0</v>
      </c>
      <c r="V44" s="164"/>
      <c r="W44" s="140">
        <f t="shared" si="135"/>
        <v>0</v>
      </c>
      <c r="X44" s="154"/>
      <c r="Y44" s="528"/>
      <c r="Z44" s="143"/>
      <c r="AA44" s="146">
        <v>25</v>
      </c>
      <c r="AB44" s="157" t="s">
        <v>84</v>
      </c>
      <c r="AC44" s="138"/>
      <c r="AD44" s="164"/>
      <c r="AE44" s="140">
        <f t="shared" si="136"/>
        <v>0</v>
      </c>
      <c r="AF44" s="154"/>
      <c r="AG44" s="528"/>
      <c r="AH44" s="143"/>
      <c r="AI44" s="146">
        <v>25</v>
      </c>
      <c r="AJ44" s="157" t="s">
        <v>84</v>
      </c>
      <c r="AK44" s="138">
        <v>0</v>
      </c>
      <c r="AL44" s="164"/>
      <c r="AM44" s="140">
        <f t="shared" si="137"/>
        <v>0</v>
      </c>
      <c r="AN44" s="154"/>
      <c r="AO44" s="528"/>
      <c r="AP44" s="143"/>
      <c r="AQ44" s="146">
        <v>25</v>
      </c>
      <c r="AR44" s="157" t="s">
        <v>84</v>
      </c>
      <c r="AS44" s="138"/>
      <c r="AT44" s="164"/>
      <c r="AU44" s="140">
        <f t="shared" si="138"/>
        <v>0</v>
      </c>
      <c r="AV44" s="154"/>
      <c r="AW44" s="528"/>
      <c r="AX44" s="143"/>
      <c r="AY44" s="146">
        <v>25</v>
      </c>
      <c r="AZ44" s="157" t="s">
        <v>84</v>
      </c>
      <c r="BA44" s="138"/>
      <c r="BB44" s="164"/>
      <c r="BC44" s="140">
        <f t="shared" si="139"/>
        <v>0</v>
      </c>
      <c r="BD44" s="154"/>
      <c r="BE44" s="528"/>
      <c r="BF44" s="143"/>
      <c r="BG44" s="146">
        <v>25</v>
      </c>
      <c r="BH44" s="157" t="s">
        <v>84</v>
      </c>
      <c r="BI44" s="138">
        <v>33</v>
      </c>
      <c r="BJ44" s="164"/>
      <c r="BK44" s="140">
        <f t="shared" si="140"/>
        <v>0</v>
      </c>
      <c r="BL44" s="154"/>
      <c r="BM44" s="528"/>
      <c r="BN44" s="143"/>
      <c r="BO44" s="146">
        <v>25</v>
      </c>
      <c r="BP44" s="157" t="s">
        <v>84</v>
      </c>
      <c r="BQ44" s="138"/>
      <c r="BR44" s="164"/>
      <c r="BS44" s="140">
        <f t="shared" si="141"/>
        <v>0</v>
      </c>
      <c r="BT44" s="154"/>
      <c r="BU44" s="528"/>
      <c r="BV44" s="564"/>
      <c r="BW44" s="537"/>
      <c r="BX44" s="574" t="s">
        <v>84</v>
      </c>
      <c r="BY44" s="560"/>
      <c r="BZ44" s="580"/>
      <c r="CA44" s="562">
        <f t="shared" si="142"/>
        <v>0</v>
      </c>
      <c r="CB44" s="571"/>
      <c r="CC44" s="528"/>
      <c r="CD44" s="564"/>
      <c r="CE44" s="537"/>
      <c r="CF44" s="574" t="s">
        <v>84</v>
      </c>
      <c r="CG44" s="560"/>
      <c r="CH44" s="580"/>
      <c r="CI44" s="562">
        <f t="shared" si="143"/>
        <v>0</v>
      </c>
      <c r="CJ44" s="571"/>
      <c r="CK44" s="528"/>
      <c r="CL44" s="143"/>
      <c r="CM44" s="146">
        <v>25</v>
      </c>
      <c r="CN44" s="157" t="s">
        <v>84</v>
      </c>
      <c r="CO44" s="138">
        <v>0</v>
      </c>
      <c r="CP44" s="164"/>
      <c r="CQ44" s="140">
        <f t="shared" si="144"/>
        <v>0</v>
      </c>
      <c r="CR44" s="154"/>
      <c r="CS44" s="528"/>
      <c r="CT44" s="143"/>
      <c r="CU44" s="146">
        <v>25</v>
      </c>
      <c r="CV44" s="157" t="s">
        <v>84</v>
      </c>
      <c r="CW44" s="138"/>
      <c r="CX44" s="164"/>
      <c r="CY44" s="140">
        <f t="shared" si="12"/>
        <v>0</v>
      </c>
      <c r="CZ44" s="154"/>
      <c r="DA44" s="528"/>
      <c r="DB44" s="143"/>
      <c r="DC44" s="146"/>
      <c r="DD44" s="157" t="s">
        <v>84</v>
      </c>
      <c r="DE44" s="138"/>
      <c r="DF44" s="164"/>
      <c r="DG44" s="140">
        <f t="shared" si="13"/>
        <v>0</v>
      </c>
      <c r="DH44" s="154"/>
      <c r="DI44" s="528"/>
      <c r="DJ44" s="143"/>
      <c r="DK44" s="146"/>
      <c r="DL44" s="157" t="s">
        <v>84</v>
      </c>
      <c r="DM44" s="138"/>
      <c r="DN44" s="172"/>
      <c r="DO44" s="140">
        <f t="shared" si="14"/>
        <v>0</v>
      </c>
      <c r="DP44" s="154"/>
      <c r="DQ44" s="528"/>
      <c r="DR44" s="143"/>
      <c r="DS44" s="146"/>
      <c r="DT44" s="157" t="s">
        <v>84</v>
      </c>
      <c r="DU44" s="138"/>
      <c r="DV44" s="172"/>
      <c r="DW44" s="140">
        <f t="shared" si="15"/>
        <v>0</v>
      </c>
      <c r="DX44" s="154"/>
      <c r="DY44" s="528"/>
      <c r="DZ44" s="143"/>
      <c r="EA44" s="146"/>
      <c r="EB44" s="157" t="s">
        <v>84</v>
      </c>
      <c r="EC44" s="138"/>
      <c r="ED44" s="172"/>
      <c r="EE44" s="140">
        <f t="shared" si="16"/>
        <v>0</v>
      </c>
      <c r="EF44" s="154"/>
      <c r="EG44" s="528"/>
      <c r="EH44" s="143"/>
      <c r="EI44" s="146"/>
      <c r="EJ44" s="157" t="s">
        <v>84</v>
      </c>
      <c r="EK44" s="138"/>
      <c r="EL44" s="172"/>
      <c r="EM44" s="140">
        <f t="shared" si="17"/>
        <v>0</v>
      </c>
      <c r="EN44" s="154"/>
      <c r="EO44" s="528"/>
      <c r="EP44" s="143"/>
      <c r="EQ44" s="146"/>
      <c r="ER44" s="157" t="s">
        <v>84</v>
      </c>
      <c r="ES44" s="138"/>
      <c r="ET44" s="172"/>
      <c r="EU44" s="140">
        <f t="shared" si="18"/>
        <v>0</v>
      </c>
      <c r="EV44" s="154"/>
      <c r="EW44" s="528"/>
      <c r="EX44" s="143"/>
      <c r="EY44" s="146"/>
      <c r="EZ44" s="157" t="s">
        <v>84</v>
      </c>
      <c r="FA44" s="138"/>
      <c r="FB44" s="172"/>
      <c r="FC44" s="140">
        <f t="shared" si="19"/>
        <v>0</v>
      </c>
      <c r="FD44" s="154"/>
      <c r="FE44" s="528"/>
      <c r="FF44" s="143"/>
      <c r="FG44" s="146"/>
      <c r="FH44" s="157" t="s">
        <v>84</v>
      </c>
      <c r="FI44" s="138"/>
      <c r="FJ44" s="172"/>
      <c r="FK44" s="140">
        <f t="shared" si="20"/>
        <v>0</v>
      </c>
      <c r="FL44" s="154"/>
      <c r="FM44" s="528"/>
      <c r="FN44" s="143"/>
      <c r="FO44" s="146"/>
      <c r="FP44" s="157" t="s">
        <v>84</v>
      </c>
      <c r="FQ44" s="138"/>
      <c r="FR44" s="172"/>
      <c r="FS44" s="140">
        <f t="shared" si="21"/>
        <v>0</v>
      </c>
      <c r="FT44" s="154"/>
      <c r="FU44" s="528"/>
      <c r="FV44" s="143"/>
      <c r="FW44" s="146"/>
      <c r="FX44" s="157" t="s">
        <v>84</v>
      </c>
      <c r="FY44" s="138"/>
      <c r="FZ44" s="172"/>
      <c r="GA44" s="140">
        <f t="shared" si="22"/>
        <v>0</v>
      </c>
      <c r="GB44" s="154"/>
      <c r="GC44" s="528"/>
      <c r="GD44" s="143"/>
      <c r="GE44" s="146"/>
      <c r="GF44" s="157" t="s">
        <v>84</v>
      </c>
      <c r="GG44" s="138"/>
      <c r="GH44" s="172"/>
      <c r="GI44" s="140">
        <f t="shared" si="23"/>
        <v>0</v>
      </c>
      <c r="GJ44" s="154"/>
      <c r="GK44" s="528"/>
      <c r="GL44" s="143"/>
      <c r="GM44" s="146"/>
      <c r="GN44" s="157" t="s">
        <v>84</v>
      </c>
      <c r="GO44" s="175">
        <v>0</v>
      </c>
      <c r="GP44" s="164"/>
      <c r="GQ44" s="140">
        <f t="shared" si="145"/>
        <v>0</v>
      </c>
      <c r="GR44" s="154"/>
      <c r="GS44" s="528"/>
      <c r="GT44" s="143"/>
      <c r="GU44" s="146"/>
      <c r="GV44" s="157" t="s">
        <v>84</v>
      </c>
      <c r="GW44" s="175">
        <v>0</v>
      </c>
      <c r="GX44" s="164"/>
      <c r="GY44" s="140">
        <f t="shared" si="146"/>
        <v>0</v>
      </c>
      <c r="GZ44" s="154"/>
      <c r="HA44" s="528"/>
      <c r="HB44" s="143"/>
      <c r="HC44" s="146"/>
      <c r="HD44" s="157" t="s">
        <v>84</v>
      </c>
      <c r="HE44" s="175">
        <v>0</v>
      </c>
      <c r="HF44" s="164"/>
      <c r="HG44" s="140">
        <f t="shared" si="147"/>
        <v>0</v>
      </c>
      <c r="HH44" s="154"/>
      <c r="HI44" s="528"/>
      <c r="HJ44" s="143"/>
      <c r="HK44" s="146"/>
      <c r="HL44" s="157" t="s">
        <v>84</v>
      </c>
      <c r="HM44" s="175">
        <v>0</v>
      </c>
      <c r="HN44" s="164"/>
      <c r="HO44" s="140">
        <f t="shared" si="148"/>
        <v>0</v>
      </c>
      <c r="HP44" s="154"/>
      <c r="HQ44" s="528"/>
      <c r="HR44" s="143"/>
      <c r="HS44" s="146"/>
      <c r="HT44" s="157" t="s">
        <v>84</v>
      </c>
      <c r="HU44" s="175">
        <v>0</v>
      </c>
      <c r="HV44" s="164"/>
      <c r="HW44" s="140">
        <f t="shared" si="149"/>
        <v>0</v>
      </c>
      <c r="HX44" s="154"/>
      <c r="HY44" s="528"/>
      <c r="HZ44" s="143"/>
      <c r="IA44" s="146"/>
      <c r="IB44" s="157" t="s">
        <v>84</v>
      </c>
      <c r="IC44" s="175">
        <v>0</v>
      </c>
      <c r="ID44" s="164"/>
      <c r="IE44" s="140">
        <f t="shared" si="150"/>
        <v>0</v>
      </c>
      <c r="IF44" s="154"/>
      <c r="IG44" s="528"/>
      <c r="IH44" s="143"/>
      <c r="II44" s="146"/>
      <c r="IJ44" s="157" t="s">
        <v>84</v>
      </c>
      <c r="IK44" s="175">
        <v>0</v>
      </c>
      <c r="IL44" s="164"/>
      <c r="IM44" s="140">
        <f t="shared" si="151"/>
        <v>0</v>
      </c>
      <c r="IN44" s="154"/>
      <c r="IO44" s="528"/>
      <c r="IP44" s="143"/>
      <c r="IQ44" s="146"/>
      <c r="IR44" s="157" t="s">
        <v>84</v>
      </c>
      <c r="IS44" s="175">
        <v>0</v>
      </c>
      <c r="IT44" s="164"/>
      <c r="IU44" s="140">
        <f t="shared" si="152"/>
        <v>0</v>
      </c>
      <c r="IV44" s="154"/>
      <c r="IW44" s="528"/>
      <c r="IX44" s="143"/>
      <c r="IY44" s="146"/>
      <c r="IZ44" s="157" t="s">
        <v>84</v>
      </c>
      <c r="JA44" s="175">
        <v>0</v>
      </c>
      <c r="JB44" s="164"/>
      <c r="JC44" s="140">
        <f t="shared" si="153"/>
        <v>0</v>
      </c>
      <c r="JD44" s="154"/>
      <c r="JE44" s="528"/>
      <c r="JF44" s="143"/>
      <c r="JG44" s="146"/>
      <c r="JH44" s="157" t="s">
        <v>84</v>
      </c>
      <c r="JI44" s="175">
        <v>0</v>
      </c>
      <c r="JJ44" s="164"/>
      <c r="JK44" s="140">
        <f t="shared" si="154"/>
        <v>0</v>
      </c>
      <c r="JL44" s="154"/>
      <c r="JM44" s="528"/>
      <c r="JN44" s="143"/>
      <c r="JO44" s="146"/>
      <c r="JP44" s="157" t="s">
        <v>84</v>
      </c>
      <c r="JQ44" s="175">
        <v>0</v>
      </c>
      <c r="JR44" s="164"/>
      <c r="JS44" s="140">
        <f t="shared" si="155"/>
        <v>0</v>
      </c>
      <c r="JT44" s="154"/>
      <c r="JU44" s="528"/>
      <c r="JV44" s="143"/>
      <c r="JW44" s="146"/>
      <c r="JX44" s="157" t="s">
        <v>84</v>
      </c>
      <c r="JY44" s="175">
        <v>0</v>
      </c>
      <c r="JZ44" s="164"/>
      <c r="KA44" s="140">
        <f t="shared" si="156"/>
        <v>0</v>
      </c>
      <c r="KB44" s="154"/>
      <c r="KC44" s="528"/>
      <c r="KD44" s="143"/>
      <c r="KE44" s="146"/>
      <c r="KF44" s="157" t="s">
        <v>84</v>
      </c>
      <c r="KG44" s="175">
        <v>0</v>
      </c>
      <c r="KH44" s="164"/>
      <c r="KI44" s="140">
        <f t="shared" si="157"/>
        <v>0</v>
      </c>
      <c r="KJ44" s="154"/>
      <c r="KK44" s="528"/>
      <c r="KL44" s="143"/>
      <c r="KM44" s="146"/>
      <c r="KN44" s="157" t="s">
        <v>84</v>
      </c>
      <c r="KO44" s="175">
        <v>0</v>
      </c>
      <c r="KP44" s="164"/>
      <c r="KQ44" s="140">
        <f t="shared" si="158"/>
        <v>0</v>
      </c>
      <c r="KR44" s="154"/>
      <c r="KS44" s="528"/>
      <c r="KT44" s="143"/>
      <c r="KU44" s="146"/>
      <c r="KV44" s="157" t="s">
        <v>84</v>
      </c>
      <c r="KW44" s="175">
        <v>0</v>
      </c>
      <c r="KX44" s="164"/>
      <c r="KY44" s="140">
        <f t="shared" si="159"/>
        <v>0</v>
      </c>
      <c r="KZ44" s="154"/>
      <c r="LA44" s="528"/>
      <c r="LB44" s="143"/>
      <c r="LC44" s="146"/>
      <c r="LD44" s="157" t="s">
        <v>84</v>
      </c>
      <c r="LE44" s="175">
        <v>0</v>
      </c>
      <c r="LF44" s="164"/>
      <c r="LG44" s="140">
        <f t="shared" si="160"/>
        <v>0</v>
      </c>
      <c r="LH44" s="154"/>
      <c r="LI44" s="528"/>
      <c r="LJ44" s="143"/>
      <c r="LK44" s="146"/>
      <c r="LL44" s="157" t="s">
        <v>84</v>
      </c>
      <c r="LM44" s="175">
        <v>0</v>
      </c>
      <c r="LN44" s="164"/>
      <c r="LO44" s="140">
        <f t="shared" si="161"/>
        <v>0</v>
      </c>
      <c r="LP44" s="154"/>
      <c r="LQ44" s="528"/>
      <c r="LR44" s="143"/>
      <c r="LS44" s="146"/>
      <c r="LT44" s="157" t="s">
        <v>84</v>
      </c>
      <c r="LU44" s="175"/>
      <c r="LV44" s="164"/>
      <c r="LW44" s="140">
        <f t="shared" si="162"/>
        <v>0</v>
      </c>
      <c r="LX44" s="154"/>
      <c r="LY44" s="528"/>
      <c r="LZ44" s="143"/>
      <c r="MA44" s="146"/>
      <c r="MB44" s="157" t="s">
        <v>84</v>
      </c>
      <c r="MC44" s="175"/>
      <c r="MD44" s="164"/>
      <c r="ME44" s="140">
        <f t="shared" si="163"/>
        <v>0</v>
      </c>
      <c r="MF44" s="154"/>
      <c r="MG44" s="528"/>
      <c r="MH44" s="143"/>
      <c r="MI44" s="146"/>
      <c r="MJ44" s="157" t="s">
        <v>84</v>
      </c>
      <c r="MK44" s="175"/>
      <c r="ML44" s="164"/>
      <c r="MM44" s="140">
        <f t="shared" si="164"/>
        <v>0</v>
      </c>
      <c r="MN44" s="154"/>
      <c r="MO44" s="528"/>
      <c r="MP44" s="143"/>
      <c r="MQ44" s="146"/>
      <c r="MR44" s="157" t="s">
        <v>84</v>
      </c>
      <c r="MS44" s="175"/>
      <c r="MT44" s="164"/>
      <c r="MU44" s="140">
        <f t="shared" si="165"/>
        <v>0</v>
      </c>
      <c r="MV44" s="154"/>
      <c r="MW44" s="528"/>
      <c r="MX44" s="143"/>
      <c r="MY44" s="146"/>
      <c r="MZ44" s="145" t="s">
        <v>85</v>
      </c>
      <c r="NA44" s="175"/>
      <c r="NB44" s="164"/>
      <c r="NC44" s="140">
        <f t="shared" si="166"/>
        <v>0</v>
      </c>
      <c r="ND44" s="702">
        <f>SUM(NC41:NC44)</f>
        <v>198.79250000000002</v>
      </c>
      <c r="NE44" s="528"/>
      <c r="NF44" s="143"/>
      <c r="NG44" s="146"/>
      <c r="NH44" s="145" t="s">
        <v>85</v>
      </c>
      <c r="NI44" s="175"/>
      <c r="NJ44" s="164"/>
      <c r="NK44" s="140">
        <f t="shared" si="167"/>
        <v>0</v>
      </c>
      <c r="NL44" s="702">
        <f>SUM(NK41:NK44)</f>
        <v>106.22500000000001</v>
      </c>
      <c r="NM44" s="528"/>
      <c r="NN44" s="143"/>
      <c r="NO44" s="146"/>
      <c r="NP44" s="145" t="s">
        <v>85</v>
      </c>
      <c r="NQ44" s="175"/>
      <c r="NR44" s="164"/>
      <c r="NS44" s="140">
        <f t="shared" si="168"/>
        <v>0</v>
      </c>
      <c r="NT44" s="702">
        <f>SUM(NS41:NS44)</f>
        <v>110.7775</v>
      </c>
      <c r="NU44" s="528"/>
      <c r="NV44" s="143"/>
      <c r="NW44" s="146"/>
      <c r="NX44" s="145" t="s">
        <v>85</v>
      </c>
      <c r="NY44" s="175"/>
      <c r="NZ44" s="164"/>
      <c r="OA44" s="140">
        <f t="shared" si="169"/>
        <v>0</v>
      </c>
      <c r="OB44" s="702">
        <f>SUM(OA41:OA44)</f>
        <v>22.762500000000003</v>
      </c>
      <c r="OC44" s="528"/>
      <c r="OD44" s="143"/>
      <c r="OE44" s="146"/>
      <c r="OF44" s="145" t="s">
        <v>85</v>
      </c>
      <c r="OG44" s="175"/>
      <c r="OH44" s="164"/>
      <c r="OI44" s="140">
        <f t="shared" si="170"/>
        <v>0</v>
      </c>
      <c r="OJ44" s="702">
        <f>SUM(OI41:OI44)</f>
        <v>28.832500000000003</v>
      </c>
      <c r="OK44" s="528"/>
      <c r="OL44" s="143"/>
      <c r="OM44" s="146"/>
      <c r="ON44" s="145" t="s">
        <v>85</v>
      </c>
      <c r="OO44" s="175"/>
      <c r="OP44" s="164"/>
      <c r="OQ44" s="140">
        <f t="shared" si="171"/>
        <v>0</v>
      </c>
      <c r="OR44" s="702">
        <f>SUM(OQ41:OQ44)</f>
        <v>60.7</v>
      </c>
      <c r="OS44" s="528"/>
      <c r="OT44" s="143"/>
      <c r="OU44" s="146"/>
      <c r="OV44" s="145" t="s">
        <v>85</v>
      </c>
      <c r="OW44" s="175"/>
      <c r="OX44" s="164"/>
      <c r="OY44" s="140">
        <f t="shared" si="172"/>
        <v>0</v>
      </c>
      <c r="OZ44" s="702">
        <f>SUM(OY41:OY44)</f>
        <v>0</v>
      </c>
      <c r="PA44" s="528"/>
      <c r="PB44" s="143"/>
      <c r="PC44" s="146"/>
      <c r="PD44" s="145" t="s">
        <v>85</v>
      </c>
      <c r="PE44" s="175"/>
      <c r="PF44" s="164"/>
      <c r="PG44" s="140">
        <f t="shared" si="173"/>
        <v>0</v>
      </c>
      <c r="PH44" s="702">
        <f>SUM(PG41:PG44)</f>
        <v>0</v>
      </c>
      <c r="PI44" s="528"/>
      <c r="PJ44" s="143"/>
      <c r="PK44" s="146"/>
      <c r="PL44" s="145" t="s">
        <v>85</v>
      </c>
      <c r="PM44" s="175"/>
      <c r="PN44" s="164"/>
      <c r="PO44" s="140">
        <f t="shared" si="174"/>
        <v>0</v>
      </c>
      <c r="PP44" s="702">
        <f>SUM(PO41:PO44)</f>
        <v>474.97750000000002</v>
      </c>
      <c r="PQ44" s="528"/>
      <c r="PR44" s="143"/>
      <c r="PS44" s="146"/>
      <c r="PT44" s="145" t="s">
        <v>85</v>
      </c>
      <c r="PU44" s="175"/>
      <c r="PV44" s="164"/>
      <c r="PW44" s="140">
        <f t="shared" si="175"/>
        <v>0</v>
      </c>
      <c r="PX44" s="702">
        <f>SUM(PW41:PW44)</f>
        <v>333.85</v>
      </c>
      <c r="PY44" s="528"/>
      <c r="PZ44" s="143"/>
      <c r="QA44" s="146"/>
      <c r="QB44" s="145" t="s">
        <v>85</v>
      </c>
      <c r="QC44" s="175"/>
      <c r="QD44" s="164"/>
      <c r="QE44" s="140">
        <f t="shared" si="176"/>
        <v>0</v>
      </c>
      <c r="QF44" s="702">
        <f>SUM(QE41:QE44)</f>
        <v>664.66500000000008</v>
      </c>
      <c r="QG44" s="528"/>
      <c r="QH44" s="143"/>
      <c r="QI44" s="146"/>
      <c r="QJ44" s="145" t="s">
        <v>85</v>
      </c>
      <c r="QK44" s="175"/>
      <c r="QL44" s="164"/>
      <c r="QM44" s="140">
        <f t="shared" si="177"/>
        <v>0</v>
      </c>
      <c r="QN44" s="702">
        <f>SUM(QM41:QM44)</f>
        <v>285.29000000000002</v>
      </c>
      <c r="QO44" s="528"/>
      <c r="QP44" s="143"/>
      <c r="QQ44" s="146"/>
      <c r="QR44" s="145" t="s">
        <v>85</v>
      </c>
      <c r="QS44" s="175"/>
      <c r="QT44" s="164"/>
      <c r="QU44" s="140">
        <f t="shared" si="178"/>
        <v>0</v>
      </c>
      <c r="QV44" s="702">
        <f>SUM(QU41:QU44)</f>
        <v>473.46000000000004</v>
      </c>
      <c r="QW44" s="528"/>
      <c r="QX44" s="143"/>
      <c r="QY44" s="146"/>
      <c r="QZ44" s="145" t="s">
        <v>85</v>
      </c>
      <c r="RA44" s="175"/>
      <c r="RB44" s="164"/>
      <c r="RC44" s="140">
        <f t="shared" si="179"/>
        <v>0</v>
      </c>
      <c r="RD44" s="702">
        <f>SUM(RC41:RC44)</f>
        <v>0</v>
      </c>
      <c r="RE44" s="528"/>
      <c r="RF44" s="143"/>
      <c r="RG44" s="146"/>
      <c r="RH44" s="145" t="s">
        <v>85</v>
      </c>
      <c r="RI44" s="175"/>
      <c r="RJ44" s="164"/>
      <c r="RK44" s="140">
        <f t="shared" si="180"/>
        <v>0</v>
      </c>
      <c r="RL44" s="702">
        <f>SUM(RK41:RK44)</f>
        <v>0</v>
      </c>
      <c r="RM44" s="528"/>
      <c r="RN44" s="143"/>
      <c r="RO44" s="146"/>
      <c r="RP44" s="145" t="s">
        <v>85</v>
      </c>
      <c r="RQ44" s="175"/>
      <c r="RR44" s="164"/>
      <c r="RS44" s="140">
        <f t="shared" si="181"/>
        <v>0</v>
      </c>
      <c r="RT44" s="702">
        <f>SUM(RS41:RS44)</f>
        <v>25.797499999999999</v>
      </c>
      <c r="RU44" s="528"/>
      <c r="RV44" s="143"/>
      <c r="RW44" s="146"/>
      <c r="RX44" s="145" t="s">
        <v>85</v>
      </c>
      <c r="RY44" s="175"/>
      <c r="RZ44" s="164"/>
      <c r="SA44" s="140">
        <f t="shared" si="182"/>
        <v>0</v>
      </c>
      <c r="SB44" s="702">
        <f>SUM(SA41:SA44)</f>
        <v>0</v>
      </c>
      <c r="SC44" s="528"/>
      <c r="SD44" s="143"/>
      <c r="SE44" s="146"/>
      <c r="SF44" s="145" t="s">
        <v>85</v>
      </c>
      <c r="SG44" s="175"/>
      <c r="SH44" s="164"/>
      <c r="SI44" s="140">
        <f t="shared" si="183"/>
        <v>0</v>
      </c>
      <c r="SJ44" s="702">
        <f>SUM(SI41:SI44)</f>
        <v>59.182500000000005</v>
      </c>
      <c r="SK44" s="528"/>
      <c r="SL44" s="143"/>
      <c r="SM44" s="146"/>
      <c r="SN44" s="145" t="s">
        <v>85</v>
      </c>
      <c r="SO44" s="175"/>
      <c r="SP44" s="164"/>
      <c r="SQ44" s="140">
        <f t="shared" si="184"/>
        <v>0</v>
      </c>
      <c r="SR44" s="702">
        <f>SUM(SQ41:SQ44)</f>
        <v>163.89000000000001</v>
      </c>
      <c r="SS44" s="528"/>
      <c r="ST44" s="143"/>
      <c r="SU44" s="146"/>
      <c r="SV44" s="145" t="s">
        <v>85</v>
      </c>
      <c r="SW44" s="175"/>
      <c r="SX44" s="164"/>
      <c r="SY44" s="140">
        <f t="shared" si="185"/>
        <v>0</v>
      </c>
      <c r="SZ44" s="702">
        <f>SUM(SY41:SY44)</f>
        <v>207.89750000000001</v>
      </c>
      <c r="TA44" s="528"/>
      <c r="TB44" s="143"/>
      <c r="TC44" s="146"/>
      <c r="TD44" s="145" t="s">
        <v>85</v>
      </c>
      <c r="TE44" s="175"/>
      <c r="TF44" s="164"/>
      <c r="TG44" s="140">
        <f t="shared" si="186"/>
        <v>0</v>
      </c>
      <c r="TH44" s="702">
        <f>SUM(TG41:TG44)</f>
        <v>264.04500000000002</v>
      </c>
      <c r="TI44" s="528"/>
    </row>
    <row r="45" spans="2:529">
      <c r="B45" s="143"/>
      <c r="C45" s="146"/>
      <c r="D45" s="145" t="s">
        <v>85</v>
      </c>
      <c r="E45" s="138"/>
      <c r="F45" s="164"/>
      <c r="G45" s="140">
        <f t="shared" si="133"/>
        <v>0</v>
      </c>
      <c r="H45" s="159">
        <f>SUM(G41:G45)</f>
        <v>410.29468354430378</v>
      </c>
      <c r="I45" s="528"/>
      <c r="J45" s="143"/>
      <c r="K45" s="152">
        <v>50</v>
      </c>
      <c r="L45" s="145" t="s">
        <v>85</v>
      </c>
      <c r="M45" s="138">
        <v>0</v>
      </c>
      <c r="N45" s="164"/>
      <c r="O45" s="140">
        <f t="shared" si="134"/>
        <v>0</v>
      </c>
      <c r="P45" s="159">
        <f>SUM(O41:O45)</f>
        <v>0</v>
      </c>
      <c r="Q45" s="528"/>
      <c r="R45" s="143"/>
      <c r="S45" s="152">
        <v>50</v>
      </c>
      <c r="T45" s="145" t="s">
        <v>85</v>
      </c>
      <c r="U45" s="138">
        <v>0</v>
      </c>
      <c r="V45" s="164"/>
      <c r="W45" s="140">
        <f t="shared" si="135"/>
        <v>0</v>
      </c>
      <c r="X45" s="159">
        <f>SUM(W41:W45)</f>
        <v>621.3711392405063</v>
      </c>
      <c r="Y45" s="528"/>
      <c r="Z45" s="143"/>
      <c r="AA45" s="152">
        <v>50</v>
      </c>
      <c r="AB45" s="145" t="s">
        <v>85</v>
      </c>
      <c r="AC45" s="138"/>
      <c r="AD45" s="164"/>
      <c r="AE45" s="140">
        <f t="shared" si="136"/>
        <v>0</v>
      </c>
      <c r="AF45" s="159">
        <f>SUM(AE41:AE45)</f>
        <v>192.69620253164558</v>
      </c>
      <c r="AG45" s="528"/>
      <c r="AH45" s="143"/>
      <c r="AI45" s="152">
        <v>50</v>
      </c>
      <c r="AJ45" s="145" t="s">
        <v>85</v>
      </c>
      <c r="AK45" s="138">
        <v>0</v>
      </c>
      <c r="AL45" s="164"/>
      <c r="AM45" s="140">
        <f t="shared" si="137"/>
        <v>0</v>
      </c>
      <c r="AN45" s="159">
        <f>SUM(AM41:AM45)</f>
        <v>623.74278481012664</v>
      </c>
      <c r="AO45" s="528"/>
      <c r="AP45" s="143"/>
      <c r="AQ45" s="152">
        <v>50</v>
      </c>
      <c r="AR45" s="145" t="s">
        <v>85</v>
      </c>
      <c r="AS45" s="138"/>
      <c r="AT45" s="164"/>
      <c r="AU45" s="140">
        <f t="shared" si="138"/>
        <v>0</v>
      </c>
      <c r="AV45" s="159">
        <f>SUM(AU41:AU45)</f>
        <v>0</v>
      </c>
      <c r="AW45" s="528"/>
      <c r="AX45" s="143"/>
      <c r="AY45" s="152">
        <v>50</v>
      </c>
      <c r="AZ45" s="145" t="s">
        <v>85</v>
      </c>
      <c r="BA45" s="138">
        <v>0</v>
      </c>
      <c r="BB45" s="164"/>
      <c r="BC45" s="140">
        <f t="shared" si="139"/>
        <v>0</v>
      </c>
      <c r="BD45" s="159">
        <f>SUM(BC41:BC45)</f>
        <v>155.34278481012657</v>
      </c>
      <c r="BE45" s="528"/>
      <c r="BF45" s="143"/>
      <c r="BG45" s="152">
        <v>50</v>
      </c>
      <c r="BH45" s="145" t="s">
        <v>85</v>
      </c>
      <c r="BI45" s="138">
        <v>3</v>
      </c>
      <c r="BJ45" s="164"/>
      <c r="BK45" s="140">
        <f t="shared" si="140"/>
        <v>0</v>
      </c>
      <c r="BL45" s="159">
        <f>SUM(BK41:BK45)</f>
        <v>1149.6551898734178</v>
      </c>
      <c r="BM45" s="528"/>
      <c r="BN45" s="143"/>
      <c r="BO45" s="152">
        <v>50</v>
      </c>
      <c r="BP45" s="145" t="s">
        <v>85</v>
      </c>
      <c r="BQ45" s="138">
        <v>0</v>
      </c>
      <c r="BR45" s="164"/>
      <c r="BS45" s="140">
        <f t="shared" si="141"/>
        <v>0</v>
      </c>
      <c r="BT45" s="159">
        <f>SUM(BS41:BS45)</f>
        <v>80.043037974683543</v>
      </c>
      <c r="BU45" s="528"/>
      <c r="BV45" s="564"/>
      <c r="BW45" s="544"/>
      <c r="BX45" s="536" t="s">
        <v>85</v>
      </c>
      <c r="BY45" s="560"/>
      <c r="BZ45" s="580"/>
      <c r="CA45" s="562">
        <f t="shared" si="142"/>
        <v>0</v>
      </c>
      <c r="CB45" s="575">
        <f>SUM(CA41:CA45)</f>
        <v>0</v>
      </c>
      <c r="CC45" s="528"/>
      <c r="CD45" s="564"/>
      <c r="CE45" s="544"/>
      <c r="CF45" s="536" t="s">
        <v>85</v>
      </c>
      <c r="CG45" s="560"/>
      <c r="CH45" s="580"/>
      <c r="CI45" s="562">
        <f t="shared" si="143"/>
        <v>0</v>
      </c>
      <c r="CJ45" s="575">
        <f>SUM(CI41:CI45)</f>
        <v>0</v>
      </c>
      <c r="CK45" s="528"/>
      <c r="CL45" s="143"/>
      <c r="CM45" s="152">
        <v>50</v>
      </c>
      <c r="CN45" s="145" t="s">
        <v>85</v>
      </c>
      <c r="CO45" s="138"/>
      <c r="CP45" s="164"/>
      <c r="CQ45" s="140">
        <f t="shared" si="144"/>
        <v>0</v>
      </c>
      <c r="CR45" s="159">
        <f>SUM(CQ41:CQ45)</f>
        <v>170.75848101265822</v>
      </c>
      <c r="CS45" s="528"/>
      <c r="CT45" s="143"/>
      <c r="CU45" s="152">
        <v>50</v>
      </c>
      <c r="CV45" s="145" t="s">
        <v>85</v>
      </c>
      <c r="CW45" s="138"/>
      <c r="CX45" s="164"/>
      <c r="CY45" s="140">
        <f t="shared" si="12"/>
        <v>0</v>
      </c>
      <c r="CZ45" s="159">
        <f>SUM(CY41:CY45)</f>
        <v>1149.6551898734178</v>
      </c>
      <c r="DA45" s="528"/>
      <c r="DB45" s="151"/>
      <c r="DC45" s="152"/>
      <c r="DD45" s="145" t="s">
        <v>85</v>
      </c>
      <c r="DE45" s="138"/>
      <c r="DF45" s="164"/>
      <c r="DG45" s="140">
        <f t="shared" si="13"/>
        <v>0</v>
      </c>
      <c r="DH45" s="159">
        <f>SUM(DG41:DG45)</f>
        <v>603.58379746835442</v>
      </c>
      <c r="DI45" s="528"/>
      <c r="DJ45" s="151"/>
      <c r="DK45" s="152"/>
      <c r="DL45" s="145" t="s">
        <v>85</v>
      </c>
      <c r="DM45" s="138">
        <v>0</v>
      </c>
      <c r="DN45" s="172"/>
      <c r="DO45" s="140">
        <f t="shared" si="14"/>
        <v>0</v>
      </c>
      <c r="DP45" s="159">
        <f>SUM(DO41:DO45)</f>
        <v>3305.4810126582279</v>
      </c>
      <c r="DQ45" s="528"/>
      <c r="DR45" s="151"/>
      <c r="DS45" s="152"/>
      <c r="DT45" s="145" t="s">
        <v>85</v>
      </c>
      <c r="DU45" s="138"/>
      <c r="DV45" s="172"/>
      <c r="DW45" s="140">
        <f t="shared" si="15"/>
        <v>0</v>
      </c>
      <c r="DX45" s="159">
        <f>SUM(DW41:DW45)</f>
        <v>0</v>
      </c>
      <c r="DY45" s="528"/>
      <c r="DZ45" s="151"/>
      <c r="EA45" s="152"/>
      <c r="EB45" s="145" t="s">
        <v>85</v>
      </c>
      <c r="EC45" s="138"/>
      <c r="ED45" s="172"/>
      <c r="EE45" s="140">
        <f t="shared" si="16"/>
        <v>0</v>
      </c>
      <c r="EF45" s="159">
        <f>SUM(EE41:EE45)</f>
        <v>136.36962025316456</v>
      </c>
      <c r="EG45" s="528"/>
      <c r="EH45" s="151"/>
      <c r="EI45" s="152"/>
      <c r="EJ45" s="145" t="s">
        <v>85</v>
      </c>
      <c r="EK45" s="138"/>
      <c r="EL45" s="172"/>
      <c r="EM45" s="140">
        <f t="shared" si="17"/>
        <v>0</v>
      </c>
      <c r="EN45" s="159">
        <f>SUM(EM41:EM45)</f>
        <v>1653.6298734177215</v>
      </c>
      <c r="EO45" s="528"/>
      <c r="EP45" s="151"/>
      <c r="EQ45" s="152"/>
      <c r="ER45" s="145" t="s">
        <v>85</v>
      </c>
      <c r="ES45" s="138"/>
      <c r="ET45" s="172"/>
      <c r="EU45" s="140">
        <f t="shared" si="18"/>
        <v>0</v>
      </c>
      <c r="EV45" s="159">
        <f>SUM(EU41:EU45)</f>
        <v>304.75645569620252</v>
      </c>
      <c r="EW45" s="528"/>
      <c r="EX45" s="151"/>
      <c r="EY45" s="152"/>
      <c r="EZ45" s="145" t="s">
        <v>85</v>
      </c>
      <c r="FA45" s="138"/>
      <c r="FB45" s="172"/>
      <c r="FC45" s="140">
        <f t="shared" si="19"/>
        <v>0</v>
      </c>
      <c r="FD45" s="159">
        <f>SUM(FC41:FC45)</f>
        <v>0</v>
      </c>
      <c r="FE45" s="528"/>
      <c r="FF45" s="151"/>
      <c r="FG45" s="152"/>
      <c r="FH45" s="145" t="s">
        <v>85</v>
      </c>
      <c r="FI45" s="138"/>
      <c r="FJ45" s="172"/>
      <c r="FK45" s="140">
        <f t="shared" si="20"/>
        <v>0</v>
      </c>
      <c r="FL45" s="159">
        <f>SUM(FK41:FK45)</f>
        <v>0</v>
      </c>
      <c r="FM45" s="528"/>
      <c r="FN45" s="151"/>
      <c r="FO45" s="152"/>
      <c r="FP45" s="145" t="s">
        <v>85</v>
      </c>
      <c r="FQ45" s="138"/>
      <c r="FR45" s="172"/>
      <c r="FS45" s="140">
        <f t="shared" si="21"/>
        <v>0</v>
      </c>
      <c r="FT45" s="159">
        <f>SUM(FS41:FS45)</f>
        <v>0</v>
      </c>
      <c r="FU45" s="528"/>
      <c r="FV45" s="151"/>
      <c r="FW45" s="152"/>
      <c r="FX45" s="145" t="s">
        <v>85</v>
      </c>
      <c r="FY45" s="138"/>
      <c r="FZ45" s="172"/>
      <c r="GA45" s="140">
        <f t="shared" si="22"/>
        <v>0</v>
      </c>
      <c r="GB45" s="159">
        <f>SUM(GA41:GA45)</f>
        <v>0</v>
      </c>
      <c r="GC45" s="528"/>
      <c r="GD45" s="151"/>
      <c r="GE45" s="152"/>
      <c r="GF45" s="145" t="s">
        <v>85</v>
      </c>
      <c r="GG45" s="138"/>
      <c r="GH45" s="172"/>
      <c r="GI45" s="140">
        <f t="shared" si="23"/>
        <v>0</v>
      </c>
      <c r="GJ45" s="159">
        <f>SUM(GI41:GI45)</f>
        <v>0</v>
      </c>
      <c r="GK45" s="528"/>
      <c r="GL45" s="143"/>
      <c r="GM45" s="146"/>
      <c r="GN45" s="145" t="s">
        <v>85</v>
      </c>
      <c r="GO45" s="175">
        <v>0</v>
      </c>
      <c r="GP45" s="164"/>
      <c r="GQ45" s="140">
        <f t="shared" si="145"/>
        <v>0</v>
      </c>
      <c r="GR45" s="159">
        <f>SUM(GQ41:GQ45)</f>
        <v>500.41721518987345</v>
      </c>
      <c r="GS45" s="528"/>
      <c r="GT45" s="143"/>
      <c r="GU45" s="146"/>
      <c r="GV45" s="145" t="s">
        <v>85</v>
      </c>
      <c r="GW45" s="175">
        <v>0</v>
      </c>
      <c r="GX45" s="164"/>
      <c r="GY45" s="140">
        <f t="shared" si="146"/>
        <v>0</v>
      </c>
      <c r="GZ45" s="159">
        <f>SUM(GY41:GY45)</f>
        <v>562.67291139240513</v>
      </c>
      <c r="HA45" s="528"/>
      <c r="HB45" s="143"/>
      <c r="HC45" s="146"/>
      <c r="HD45" s="145" t="s">
        <v>85</v>
      </c>
      <c r="HE45" s="175">
        <v>0</v>
      </c>
      <c r="HF45" s="164"/>
      <c r="HG45" s="140">
        <f t="shared" si="147"/>
        <v>0</v>
      </c>
      <c r="HH45" s="159">
        <f>SUM(HG41:HG45)</f>
        <v>621.3711392405063</v>
      </c>
      <c r="HI45" s="528"/>
      <c r="HJ45" s="143"/>
      <c r="HK45" s="146"/>
      <c r="HL45" s="145" t="s">
        <v>85</v>
      </c>
      <c r="HM45" s="175">
        <v>0</v>
      </c>
      <c r="HN45" s="164"/>
      <c r="HO45" s="140">
        <f t="shared" si="148"/>
        <v>0</v>
      </c>
      <c r="HP45" s="159">
        <f>SUM(HO41:HO45)</f>
        <v>71.14936708860759</v>
      </c>
      <c r="HQ45" s="528"/>
      <c r="HR45" s="143"/>
      <c r="HS45" s="146"/>
      <c r="HT45" s="145" t="s">
        <v>85</v>
      </c>
      <c r="HU45" s="175">
        <v>0</v>
      </c>
      <c r="HV45" s="164"/>
      <c r="HW45" s="140">
        <f t="shared" si="149"/>
        <v>0</v>
      </c>
      <c r="HX45" s="159">
        <f>SUM(HW41:HW45)</f>
        <v>724.53772151898738</v>
      </c>
      <c r="HY45" s="528"/>
      <c r="HZ45" s="143"/>
      <c r="IA45" s="146"/>
      <c r="IB45" s="145" t="s">
        <v>85</v>
      </c>
      <c r="IC45" s="175">
        <v>0</v>
      </c>
      <c r="ID45" s="164"/>
      <c r="IE45" s="140">
        <f t="shared" si="150"/>
        <v>0</v>
      </c>
      <c r="IF45" s="159">
        <f>SUM(IE41:IE45)</f>
        <v>340.33113924050633</v>
      </c>
      <c r="IG45" s="528"/>
      <c r="IH45" s="143"/>
      <c r="II45" s="146"/>
      <c r="IJ45" s="145" t="s">
        <v>85</v>
      </c>
      <c r="IK45" s="175">
        <v>0</v>
      </c>
      <c r="IL45" s="164"/>
      <c r="IM45" s="140">
        <f t="shared" si="151"/>
        <v>0</v>
      </c>
      <c r="IN45" s="159">
        <f>SUM(IM41:IM45)</f>
        <v>250.80151898734178</v>
      </c>
      <c r="IO45" s="528"/>
      <c r="IP45" s="143"/>
      <c r="IQ45" s="146"/>
      <c r="IR45" s="145" t="s">
        <v>85</v>
      </c>
      <c r="IS45" s="175">
        <v>0</v>
      </c>
      <c r="IT45" s="164"/>
      <c r="IU45" s="140">
        <f t="shared" si="152"/>
        <v>0</v>
      </c>
      <c r="IV45" s="159">
        <f>SUM(IU41:IU45)</f>
        <v>343.88860759493673</v>
      </c>
      <c r="IW45" s="528"/>
      <c r="IX45" s="143"/>
      <c r="IY45" s="146"/>
      <c r="IZ45" s="145" t="s">
        <v>85</v>
      </c>
      <c r="JA45" s="175">
        <v>0</v>
      </c>
      <c r="JB45" s="164"/>
      <c r="JC45" s="140">
        <f t="shared" si="153"/>
        <v>0</v>
      </c>
      <c r="JD45" s="159">
        <f>SUM(JC41:JC45)</f>
        <v>104.9453164556962</v>
      </c>
      <c r="JE45" s="528"/>
      <c r="JF45" s="143"/>
      <c r="JG45" s="146"/>
      <c r="JH45" s="145" t="s">
        <v>85</v>
      </c>
      <c r="JI45" s="175">
        <v>0</v>
      </c>
      <c r="JJ45" s="164"/>
      <c r="JK45" s="140">
        <f t="shared" si="154"/>
        <v>0</v>
      </c>
      <c r="JL45" s="159">
        <f>SUM(JK41:JK45)</f>
        <v>267.40303797468357</v>
      </c>
      <c r="JM45" s="528"/>
      <c r="JN45" s="143"/>
      <c r="JO45" s="146"/>
      <c r="JP45" s="145" t="s">
        <v>85</v>
      </c>
      <c r="JQ45" s="175">
        <v>0</v>
      </c>
      <c r="JR45" s="164"/>
      <c r="JS45" s="140">
        <f t="shared" si="155"/>
        <v>0</v>
      </c>
      <c r="JT45" s="159">
        <f>SUM(JS41:JS45)</f>
        <v>323.72962025316457</v>
      </c>
      <c r="JU45" s="528"/>
      <c r="JV45" s="143"/>
      <c r="JW45" s="146"/>
      <c r="JX45" s="145" t="s">
        <v>85</v>
      </c>
      <c r="JY45" s="175">
        <v>0</v>
      </c>
      <c r="JZ45" s="164"/>
      <c r="KA45" s="140">
        <f t="shared" si="156"/>
        <v>0</v>
      </c>
      <c r="KB45" s="159">
        <f>SUM(KA41:KA45)</f>
        <v>343.88860759493673</v>
      </c>
      <c r="KC45" s="528"/>
      <c r="KD45" s="143"/>
      <c r="KE45" s="146"/>
      <c r="KF45" s="145" t="s">
        <v>85</v>
      </c>
      <c r="KG45" s="175">
        <v>0</v>
      </c>
      <c r="KH45" s="164"/>
      <c r="KI45" s="140">
        <f t="shared" si="157"/>
        <v>0</v>
      </c>
      <c r="KJ45" s="159">
        <f>SUM(KI41:KI45)</f>
        <v>88.343797468354438</v>
      </c>
      <c r="KK45" s="528"/>
      <c r="KL45" s="143"/>
      <c r="KM45" s="146"/>
      <c r="KN45" s="145" t="s">
        <v>85</v>
      </c>
      <c r="KO45" s="175">
        <v>0</v>
      </c>
      <c r="KP45" s="164"/>
      <c r="KQ45" s="140">
        <f t="shared" si="158"/>
        <v>0</v>
      </c>
      <c r="KR45" s="159">
        <f>SUM(KQ41:KQ45)</f>
        <v>88.936708860759495</v>
      </c>
      <c r="KS45" s="528"/>
      <c r="KT45" s="143"/>
      <c r="KU45" s="146"/>
      <c r="KV45" s="145" t="s">
        <v>85</v>
      </c>
      <c r="KW45" s="175">
        <v>0</v>
      </c>
      <c r="KX45" s="164"/>
      <c r="KY45" s="140">
        <f t="shared" si="159"/>
        <v>0</v>
      </c>
      <c r="KZ45" s="159">
        <f>SUM(KY41:KY45)</f>
        <v>275.1108860759494</v>
      </c>
      <c r="LA45" s="528"/>
      <c r="LB45" s="143"/>
      <c r="LC45" s="146"/>
      <c r="LD45" s="145" t="s">
        <v>85</v>
      </c>
      <c r="LE45" s="175">
        <v>0</v>
      </c>
      <c r="LF45" s="164"/>
      <c r="LG45" s="140">
        <f t="shared" si="160"/>
        <v>0</v>
      </c>
      <c r="LH45" s="159">
        <f>SUM(LG41:LG45)</f>
        <v>564.45164556962027</v>
      </c>
      <c r="LI45" s="528"/>
      <c r="LJ45" s="143"/>
      <c r="LK45" s="146"/>
      <c r="LL45" s="145" t="s">
        <v>85</v>
      </c>
      <c r="LM45" s="175">
        <v>0</v>
      </c>
      <c r="LN45" s="164"/>
      <c r="LO45" s="140">
        <f t="shared" si="161"/>
        <v>0</v>
      </c>
      <c r="LP45" s="159">
        <f>SUM(LO41:LO45)</f>
        <v>725.13063291139247</v>
      </c>
      <c r="LQ45" s="528"/>
      <c r="LR45" s="143"/>
      <c r="LS45" s="146"/>
      <c r="LT45" s="145" t="s">
        <v>85</v>
      </c>
      <c r="LU45" s="175"/>
      <c r="LV45" s="164"/>
      <c r="LW45" s="140">
        <f t="shared" si="162"/>
        <v>0</v>
      </c>
      <c r="LX45" s="159">
        <f>SUM(LW41:LW45)</f>
        <v>476.70075949367089</v>
      </c>
      <c r="LY45" s="528"/>
      <c r="LZ45" s="143"/>
      <c r="MA45" s="146"/>
      <c r="MB45" s="145" t="s">
        <v>85</v>
      </c>
      <c r="MC45" s="175"/>
      <c r="MD45" s="164"/>
      <c r="ME45" s="140">
        <f t="shared" si="163"/>
        <v>0</v>
      </c>
      <c r="MF45" s="159">
        <f>SUM(ME41:ME45)</f>
        <v>1267.6445569620253</v>
      </c>
      <c r="MG45" s="528"/>
      <c r="MH45" s="143"/>
      <c r="MI45" s="146"/>
      <c r="MJ45" s="145" t="s">
        <v>85</v>
      </c>
      <c r="MK45" s="175"/>
      <c r="ML45" s="164"/>
      <c r="MM45" s="140">
        <f t="shared" si="164"/>
        <v>0</v>
      </c>
      <c r="MN45" s="159">
        <f>SUM(MM41:MM45)</f>
        <v>1208.353417721519</v>
      </c>
      <c r="MO45" s="528"/>
      <c r="MP45" s="143"/>
      <c r="MQ45" s="146"/>
      <c r="MR45" s="145" t="s">
        <v>85</v>
      </c>
      <c r="MS45" s="175"/>
      <c r="MT45" s="164"/>
      <c r="MU45" s="140">
        <f t="shared" si="165"/>
        <v>0</v>
      </c>
      <c r="MV45" s="159">
        <f>SUM(MU41:MU45)</f>
        <v>555.55797468354433</v>
      </c>
      <c r="MW45" s="528"/>
      <c r="MX45" s="686" t="s">
        <v>361</v>
      </c>
      <c r="MY45" s="687"/>
      <c r="MZ45" s="682" t="s">
        <v>11</v>
      </c>
      <c r="NA45" s="683"/>
      <c r="NB45" s="684"/>
      <c r="NC45" s="685">
        <f t="shared" si="166"/>
        <v>0</v>
      </c>
      <c r="ND45" s="685">
        <f t="shared" si="166"/>
        <v>0</v>
      </c>
      <c r="NE45" s="528"/>
      <c r="NF45" s="686" t="s">
        <v>361</v>
      </c>
      <c r="NG45" s="687"/>
      <c r="NH45" s="682" t="s">
        <v>11</v>
      </c>
      <c r="NI45" s="683"/>
      <c r="NJ45" s="684"/>
      <c r="NK45" s="685">
        <f t="shared" si="167"/>
        <v>0</v>
      </c>
      <c r="NL45" s="685">
        <f t="shared" ref="NL45:NL51" si="187">NJ45*NK45</f>
        <v>0</v>
      </c>
      <c r="NM45" s="528"/>
      <c r="NN45" s="686" t="s">
        <v>361</v>
      </c>
      <c r="NO45" s="687"/>
      <c r="NP45" s="682" t="s">
        <v>11</v>
      </c>
      <c r="NQ45" s="683"/>
      <c r="NR45" s="684"/>
      <c r="NS45" s="685">
        <f t="shared" si="168"/>
        <v>0</v>
      </c>
      <c r="NT45" s="685">
        <f t="shared" ref="NT45:NT51" si="188">NR45*NS45</f>
        <v>0</v>
      </c>
      <c r="NU45" s="528"/>
      <c r="NV45" s="686" t="s">
        <v>361</v>
      </c>
      <c r="NW45" s="687"/>
      <c r="NX45" s="682" t="s">
        <v>11</v>
      </c>
      <c r="NY45" s="683"/>
      <c r="NZ45" s="684"/>
      <c r="OA45" s="685">
        <f t="shared" si="169"/>
        <v>0</v>
      </c>
      <c r="OB45" s="685">
        <f t="shared" ref="OB45:OB51" si="189">NZ45*OA45</f>
        <v>0</v>
      </c>
      <c r="OC45" s="528"/>
      <c r="OD45" s="686" t="s">
        <v>361</v>
      </c>
      <c r="OE45" s="687"/>
      <c r="OF45" s="682" t="s">
        <v>11</v>
      </c>
      <c r="OG45" s="683"/>
      <c r="OH45" s="684"/>
      <c r="OI45" s="685">
        <f t="shared" si="170"/>
        <v>0</v>
      </c>
      <c r="OJ45" s="685">
        <f t="shared" ref="OJ45:OJ51" si="190">OH45*OI45</f>
        <v>0</v>
      </c>
      <c r="OK45" s="528"/>
      <c r="OL45" s="686" t="s">
        <v>361</v>
      </c>
      <c r="OM45" s="687"/>
      <c r="ON45" s="682" t="s">
        <v>11</v>
      </c>
      <c r="OO45" s="683"/>
      <c r="OP45" s="684"/>
      <c r="OQ45" s="685">
        <f t="shared" si="171"/>
        <v>0</v>
      </c>
      <c r="OR45" s="685">
        <f t="shared" ref="OR45:OR51" si="191">OP45*OQ45</f>
        <v>0</v>
      </c>
      <c r="OS45" s="528"/>
      <c r="OT45" s="686" t="s">
        <v>361</v>
      </c>
      <c r="OU45" s="687"/>
      <c r="OV45" s="682" t="s">
        <v>11</v>
      </c>
      <c r="OW45" s="683"/>
      <c r="OX45" s="684"/>
      <c r="OY45" s="685">
        <f t="shared" si="172"/>
        <v>0</v>
      </c>
      <c r="OZ45" s="685">
        <f t="shared" ref="OZ45:OZ51" si="192">OX45*OY45</f>
        <v>0</v>
      </c>
      <c r="PA45" s="528"/>
      <c r="PB45" s="686" t="s">
        <v>361</v>
      </c>
      <c r="PC45" s="687"/>
      <c r="PD45" s="682" t="s">
        <v>11</v>
      </c>
      <c r="PE45" s="683"/>
      <c r="PF45" s="684"/>
      <c r="PG45" s="685">
        <f t="shared" si="173"/>
        <v>0</v>
      </c>
      <c r="PH45" s="685">
        <f t="shared" ref="PH45:PH51" si="193">PF45*PG45</f>
        <v>0</v>
      </c>
      <c r="PI45" s="528"/>
      <c r="PJ45" s="686" t="s">
        <v>361</v>
      </c>
      <c r="PK45" s="687"/>
      <c r="PL45" s="682" t="s">
        <v>11</v>
      </c>
      <c r="PM45" s="683"/>
      <c r="PN45" s="684"/>
      <c r="PO45" s="685">
        <f t="shared" si="174"/>
        <v>0</v>
      </c>
      <c r="PP45" s="685">
        <f t="shared" ref="PP45:PP51" si="194">PN45*PO45</f>
        <v>0</v>
      </c>
      <c r="PQ45" s="528"/>
      <c r="PR45" s="686" t="s">
        <v>361</v>
      </c>
      <c r="PS45" s="687"/>
      <c r="PT45" s="682" t="s">
        <v>11</v>
      </c>
      <c r="PU45" s="683"/>
      <c r="PV45" s="684"/>
      <c r="PW45" s="685">
        <f t="shared" si="175"/>
        <v>0</v>
      </c>
      <c r="PX45" s="685">
        <f t="shared" ref="PX45:PX51" si="195">PV45*PW45</f>
        <v>0</v>
      </c>
      <c r="PY45" s="528"/>
      <c r="PZ45" s="686" t="s">
        <v>361</v>
      </c>
      <c r="QA45" s="687"/>
      <c r="QB45" s="682" t="s">
        <v>11</v>
      </c>
      <c r="QC45" s="683"/>
      <c r="QD45" s="684"/>
      <c r="QE45" s="685">
        <f t="shared" si="176"/>
        <v>0</v>
      </c>
      <c r="QF45" s="685">
        <f t="shared" ref="QF45:QF51" si="196">QD45*QE45</f>
        <v>0</v>
      </c>
      <c r="QG45" s="528"/>
      <c r="QH45" s="686" t="s">
        <v>361</v>
      </c>
      <c r="QI45" s="687"/>
      <c r="QJ45" s="682" t="s">
        <v>11</v>
      </c>
      <c r="QK45" s="683"/>
      <c r="QL45" s="684"/>
      <c r="QM45" s="685">
        <f t="shared" si="177"/>
        <v>0</v>
      </c>
      <c r="QN45" s="685">
        <f t="shared" ref="QN45:QN51" si="197">QL45*QM45</f>
        <v>0</v>
      </c>
      <c r="QO45" s="528"/>
      <c r="QP45" s="686" t="s">
        <v>361</v>
      </c>
      <c r="QQ45" s="687"/>
      <c r="QR45" s="682" t="s">
        <v>11</v>
      </c>
      <c r="QS45" s="683"/>
      <c r="QT45" s="684"/>
      <c r="QU45" s="685">
        <f t="shared" si="178"/>
        <v>0</v>
      </c>
      <c r="QV45" s="685">
        <f t="shared" ref="QV45:QV51" si="198">QT45*QU45</f>
        <v>0</v>
      </c>
      <c r="QW45" s="528"/>
      <c r="QX45" s="686" t="s">
        <v>361</v>
      </c>
      <c r="QY45" s="687"/>
      <c r="QZ45" s="682" t="s">
        <v>11</v>
      </c>
      <c r="RA45" s="683"/>
      <c r="RB45" s="684"/>
      <c r="RC45" s="685">
        <f t="shared" si="179"/>
        <v>0</v>
      </c>
      <c r="RD45" s="685">
        <f t="shared" ref="RD45:RD51" si="199">RB45*RC45</f>
        <v>0</v>
      </c>
      <c r="RE45" s="528"/>
      <c r="RF45" s="686" t="s">
        <v>361</v>
      </c>
      <c r="RG45" s="687"/>
      <c r="RH45" s="682" t="s">
        <v>11</v>
      </c>
      <c r="RI45" s="683"/>
      <c r="RJ45" s="684"/>
      <c r="RK45" s="685">
        <f t="shared" si="180"/>
        <v>0</v>
      </c>
      <c r="RL45" s="685">
        <f t="shared" ref="RL45:RL51" si="200">RJ45*RK45</f>
        <v>0</v>
      </c>
      <c r="RM45" s="528"/>
      <c r="RN45" s="686" t="s">
        <v>361</v>
      </c>
      <c r="RO45" s="687"/>
      <c r="RP45" s="682" t="s">
        <v>11</v>
      </c>
      <c r="RQ45" s="683"/>
      <c r="RR45" s="684"/>
      <c r="RS45" s="685">
        <f t="shared" si="181"/>
        <v>0</v>
      </c>
      <c r="RT45" s="685">
        <f t="shared" ref="RT45:RT51" si="201">RR45*RS45</f>
        <v>0</v>
      </c>
      <c r="RU45" s="528"/>
      <c r="RV45" s="686" t="s">
        <v>361</v>
      </c>
      <c r="RW45" s="687"/>
      <c r="RX45" s="682" t="s">
        <v>11</v>
      </c>
      <c r="RY45" s="683"/>
      <c r="RZ45" s="684"/>
      <c r="SA45" s="685">
        <f t="shared" si="182"/>
        <v>0</v>
      </c>
      <c r="SB45" s="685">
        <f t="shared" ref="SB45:SB51" si="202">RZ45*SA45</f>
        <v>0</v>
      </c>
      <c r="SC45" s="528"/>
      <c r="SD45" s="686" t="s">
        <v>361</v>
      </c>
      <c r="SE45" s="687"/>
      <c r="SF45" s="682" t="s">
        <v>11</v>
      </c>
      <c r="SG45" s="683"/>
      <c r="SH45" s="684"/>
      <c r="SI45" s="685">
        <f t="shared" si="183"/>
        <v>0</v>
      </c>
      <c r="SJ45" s="685">
        <f t="shared" ref="SJ45:SJ51" si="203">SH45*SI45</f>
        <v>0</v>
      </c>
      <c r="SK45" s="528"/>
      <c r="SL45" s="686" t="s">
        <v>361</v>
      </c>
      <c r="SM45" s="687"/>
      <c r="SN45" s="682" t="s">
        <v>11</v>
      </c>
      <c r="SO45" s="683"/>
      <c r="SP45" s="684"/>
      <c r="SQ45" s="685">
        <f t="shared" si="184"/>
        <v>0</v>
      </c>
      <c r="SR45" s="685">
        <f t="shared" ref="SR45:SR51" si="204">SP45*SQ45</f>
        <v>0</v>
      </c>
      <c r="SS45" s="528"/>
      <c r="ST45" s="686" t="s">
        <v>361</v>
      </c>
      <c r="SU45" s="687"/>
      <c r="SV45" s="682" t="s">
        <v>11</v>
      </c>
      <c r="SW45" s="683"/>
      <c r="SX45" s="684"/>
      <c r="SY45" s="685">
        <f t="shared" si="185"/>
        <v>0</v>
      </c>
      <c r="SZ45" s="685">
        <f t="shared" ref="SZ45:SZ51" si="205">SX45*SY45</f>
        <v>0</v>
      </c>
      <c r="TA45" s="528"/>
      <c r="TB45" s="686" t="s">
        <v>361</v>
      </c>
      <c r="TC45" s="687"/>
      <c r="TD45" s="682" t="s">
        <v>11</v>
      </c>
      <c r="TE45" s="683"/>
      <c r="TF45" s="684"/>
      <c r="TG45" s="685">
        <f t="shared" si="186"/>
        <v>0</v>
      </c>
      <c r="TH45" s="685">
        <f t="shared" ref="TH45:TH51" si="206">TF45*TG45</f>
        <v>0</v>
      </c>
      <c r="TI45" s="528"/>
    </row>
    <row r="46" spans="2:529">
      <c r="B46" s="143" t="s">
        <v>91</v>
      </c>
      <c r="C46" s="530">
        <v>2</v>
      </c>
      <c r="D46" s="157" t="s">
        <v>14</v>
      </c>
      <c r="E46" s="529">
        <v>23</v>
      </c>
      <c r="F46" s="139">
        <v>2.7548275862068965</v>
      </c>
      <c r="G46" s="140">
        <f t="shared" si="133"/>
        <v>63.361034482758619</v>
      </c>
      <c r="H46" s="159">
        <f>E46*F46</f>
        <v>63.361034482758619</v>
      </c>
      <c r="I46" s="528"/>
      <c r="J46" s="143" t="s">
        <v>91</v>
      </c>
      <c r="K46" s="163">
        <v>2</v>
      </c>
      <c r="L46" s="157" t="s">
        <v>14</v>
      </c>
      <c r="M46" s="138">
        <v>23</v>
      </c>
      <c r="N46" s="139">
        <v>2.7548275862068965</v>
      </c>
      <c r="O46" s="140">
        <f t="shared" si="134"/>
        <v>63.361034482758619</v>
      </c>
      <c r="P46" s="159">
        <f>M46*N46</f>
        <v>63.361034482758619</v>
      </c>
      <c r="Q46" s="528"/>
      <c r="R46" s="143" t="s">
        <v>91</v>
      </c>
      <c r="S46" s="163">
        <v>4</v>
      </c>
      <c r="T46" s="157" t="s">
        <v>14</v>
      </c>
      <c r="U46" s="138">
        <v>71</v>
      </c>
      <c r="V46" s="139">
        <v>2.7548275862068965</v>
      </c>
      <c r="W46" s="140">
        <f t="shared" si="135"/>
        <v>195.59275862068966</v>
      </c>
      <c r="X46" s="159">
        <f>U46*V46</f>
        <v>195.59275862068966</v>
      </c>
      <c r="Y46" s="528"/>
      <c r="Z46" s="143" t="s">
        <v>91</v>
      </c>
      <c r="AA46" s="163"/>
      <c r="AB46" s="157" t="s">
        <v>14</v>
      </c>
      <c r="AC46" s="138">
        <v>0</v>
      </c>
      <c r="AD46" s="139">
        <v>2.7548275862068965</v>
      </c>
      <c r="AE46" s="140">
        <f t="shared" si="136"/>
        <v>0</v>
      </c>
      <c r="AF46" s="159">
        <f>AC46*AD46</f>
        <v>0</v>
      </c>
      <c r="AG46" s="528"/>
      <c r="AH46" s="143" t="s">
        <v>91</v>
      </c>
      <c r="AI46" s="163">
        <v>6</v>
      </c>
      <c r="AJ46" s="157" t="s">
        <v>14</v>
      </c>
      <c r="AK46" s="138">
        <v>66</v>
      </c>
      <c r="AL46" s="139">
        <v>2.7548275862068965</v>
      </c>
      <c r="AM46" s="140">
        <f t="shared" si="137"/>
        <v>181.81862068965518</v>
      </c>
      <c r="AN46" s="159">
        <f>AK46*AL46</f>
        <v>181.81862068965518</v>
      </c>
      <c r="AO46" s="528"/>
      <c r="AP46" s="143" t="s">
        <v>91</v>
      </c>
      <c r="AQ46" s="163"/>
      <c r="AR46" s="157" t="s">
        <v>14</v>
      </c>
      <c r="AS46" s="138"/>
      <c r="AT46" s="139">
        <v>2.7548275862068965</v>
      </c>
      <c r="AU46" s="140">
        <f t="shared" si="138"/>
        <v>0</v>
      </c>
      <c r="AV46" s="159">
        <f>AS46*AT46</f>
        <v>0</v>
      </c>
      <c r="AW46" s="528"/>
      <c r="AX46" s="143" t="s">
        <v>91</v>
      </c>
      <c r="AY46" s="163">
        <v>2</v>
      </c>
      <c r="AZ46" s="157" t="s">
        <v>14</v>
      </c>
      <c r="BA46" s="138">
        <v>13</v>
      </c>
      <c r="BB46" s="139">
        <v>2.7548275862068965</v>
      </c>
      <c r="BC46" s="140">
        <f t="shared" si="139"/>
        <v>35.812758620689657</v>
      </c>
      <c r="BD46" s="159">
        <f>BA46*BB46</f>
        <v>35.812758620689657</v>
      </c>
      <c r="BE46" s="528"/>
      <c r="BF46" s="143" t="s">
        <v>91</v>
      </c>
      <c r="BG46" s="163">
        <v>5</v>
      </c>
      <c r="BH46" s="157" t="s">
        <v>14</v>
      </c>
      <c r="BI46" s="138">
        <v>47</v>
      </c>
      <c r="BJ46" s="139">
        <v>2.7548275862068965</v>
      </c>
      <c r="BK46" s="140">
        <f t="shared" si="140"/>
        <v>129.47689655172414</v>
      </c>
      <c r="BL46" s="159">
        <f>BI46*BJ46</f>
        <v>129.47689655172414</v>
      </c>
      <c r="BM46" s="528"/>
      <c r="BN46" s="143" t="s">
        <v>91</v>
      </c>
      <c r="BO46" s="163">
        <v>1</v>
      </c>
      <c r="BP46" s="157" t="s">
        <v>14</v>
      </c>
      <c r="BQ46" s="138">
        <v>8</v>
      </c>
      <c r="BR46" s="139">
        <v>2.7548275862068965</v>
      </c>
      <c r="BS46" s="140">
        <f t="shared" si="141"/>
        <v>22.038620689655172</v>
      </c>
      <c r="BT46" s="159">
        <f>BQ46*BR46</f>
        <v>22.038620689655172</v>
      </c>
      <c r="BU46" s="528"/>
      <c r="BV46" s="564" t="s">
        <v>91</v>
      </c>
      <c r="BW46" s="579"/>
      <c r="BX46" s="574" t="s">
        <v>14</v>
      </c>
      <c r="BY46" s="560"/>
      <c r="BZ46" s="561">
        <v>2.7548275862068965</v>
      </c>
      <c r="CA46" s="562">
        <f t="shared" si="142"/>
        <v>0</v>
      </c>
      <c r="CB46" s="575">
        <f>BY46*BZ46</f>
        <v>0</v>
      </c>
      <c r="CC46" s="528"/>
      <c r="CD46" s="564" t="s">
        <v>91</v>
      </c>
      <c r="CE46" s="579"/>
      <c r="CF46" s="574" t="s">
        <v>14</v>
      </c>
      <c r="CG46" s="560"/>
      <c r="CH46" s="561">
        <v>2.7548275862068965</v>
      </c>
      <c r="CI46" s="562">
        <f t="shared" si="143"/>
        <v>0</v>
      </c>
      <c r="CJ46" s="575">
        <f>CG46*CH46</f>
        <v>0</v>
      </c>
      <c r="CK46" s="528"/>
      <c r="CL46" s="143" t="s">
        <v>91</v>
      </c>
      <c r="CM46" s="163">
        <v>3</v>
      </c>
      <c r="CN46" s="157" t="s">
        <v>14</v>
      </c>
      <c r="CO46" s="138">
        <v>5</v>
      </c>
      <c r="CP46" s="139">
        <v>2.7548275862068965</v>
      </c>
      <c r="CQ46" s="140">
        <f t="shared" si="144"/>
        <v>13.774137931034483</v>
      </c>
      <c r="CR46" s="159">
        <f>CO46*CP46</f>
        <v>13.774137931034483</v>
      </c>
      <c r="CS46" s="528"/>
      <c r="CT46" s="143" t="s">
        <v>91</v>
      </c>
      <c r="CU46" s="163">
        <v>5</v>
      </c>
      <c r="CV46" s="157" t="s">
        <v>14</v>
      </c>
      <c r="CW46" s="138">
        <v>47</v>
      </c>
      <c r="CX46" s="139">
        <v>2.7548275862068965</v>
      </c>
      <c r="CY46" s="140">
        <f t="shared" si="12"/>
        <v>129.47689655172414</v>
      </c>
      <c r="CZ46" s="159">
        <f>CW46*CX46</f>
        <v>129.47689655172414</v>
      </c>
      <c r="DA46" s="528"/>
      <c r="DB46" s="143" t="s">
        <v>91</v>
      </c>
      <c r="DC46" s="163">
        <v>3</v>
      </c>
      <c r="DD46" s="157" t="s">
        <v>14</v>
      </c>
      <c r="DE46" s="138">
        <v>19</v>
      </c>
      <c r="DF46" s="139">
        <v>2.7548275862068965</v>
      </c>
      <c r="DG46" s="140">
        <f t="shared" si="13"/>
        <v>52.341724137931031</v>
      </c>
      <c r="DH46" s="159">
        <f>DE46*DF46</f>
        <v>52.341724137931031</v>
      </c>
      <c r="DI46" s="528"/>
      <c r="DJ46" s="143" t="s">
        <v>91</v>
      </c>
      <c r="DK46" s="163"/>
      <c r="DL46" s="157" t="s">
        <v>14</v>
      </c>
      <c r="DM46" s="138">
        <v>0</v>
      </c>
      <c r="DN46" s="170">
        <v>2.7548275862068965</v>
      </c>
      <c r="DO46" s="140">
        <f t="shared" si="14"/>
        <v>0</v>
      </c>
      <c r="DP46" s="159">
        <f>DM46*DN46</f>
        <v>0</v>
      </c>
      <c r="DQ46" s="528"/>
      <c r="DR46" s="143" t="s">
        <v>91</v>
      </c>
      <c r="DS46" s="163"/>
      <c r="DT46" s="157" t="s">
        <v>14</v>
      </c>
      <c r="DU46" s="138"/>
      <c r="DV46" s="170">
        <v>2.7548275862068965</v>
      </c>
      <c r="DW46" s="140">
        <f t="shared" si="15"/>
        <v>0</v>
      </c>
      <c r="DX46" s="159">
        <f>DU46*DV46</f>
        <v>0</v>
      </c>
      <c r="DY46" s="528"/>
      <c r="DZ46" s="143" t="s">
        <v>91</v>
      </c>
      <c r="EA46" s="163">
        <v>2</v>
      </c>
      <c r="EB46" s="157" t="s">
        <v>14</v>
      </c>
      <c r="EC46" s="138">
        <v>4</v>
      </c>
      <c r="ED46" s="170">
        <v>2.7548275862068965</v>
      </c>
      <c r="EE46" s="140">
        <f t="shared" si="16"/>
        <v>11.019310344827586</v>
      </c>
      <c r="EF46" s="159">
        <f>EC46*ED46</f>
        <v>11.019310344827586</v>
      </c>
      <c r="EG46" s="528"/>
      <c r="EH46" s="143" t="s">
        <v>91</v>
      </c>
      <c r="EI46" s="163">
        <v>6</v>
      </c>
      <c r="EJ46" s="157" t="s">
        <v>14</v>
      </c>
      <c r="EK46" s="138">
        <v>39</v>
      </c>
      <c r="EL46" s="170">
        <v>2.7548275862068965</v>
      </c>
      <c r="EM46" s="140">
        <f t="shared" si="17"/>
        <v>107.43827586206896</v>
      </c>
      <c r="EN46" s="159">
        <f>EK46*EL46</f>
        <v>107.43827586206896</v>
      </c>
      <c r="EO46" s="528"/>
      <c r="EP46" s="143" t="s">
        <v>91</v>
      </c>
      <c r="EQ46" s="163">
        <v>24</v>
      </c>
      <c r="ER46" s="157" t="s">
        <v>14</v>
      </c>
      <c r="ES46" s="138">
        <v>179</v>
      </c>
      <c r="ET46" s="170">
        <v>2.7548275862068965</v>
      </c>
      <c r="EU46" s="140">
        <f t="shared" si="18"/>
        <v>493.11413793103446</v>
      </c>
      <c r="EV46" s="159">
        <f>ES46*ET46</f>
        <v>493.11413793103446</v>
      </c>
      <c r="EW46" s="528"/>
      <c r="EX46" s="143" t="s">
        <v>91</v>
      </c>
      <c r="EY46" s="163"/>
      <c r="EZ46" s="157" t="s">
        <v>14</v>
      </c>
      <c r="FA46" s="138"/>
      <c r="FB46" s="170">
        <v>2.7548275862068965</v>
      </c>
      <c r="FC46" s="140">
        <f t="shared" si="19"/>
        <v>0</v>
      </c>
      <c r="FD46" s="159">
        <f>FA46*FB46</f>
        <v>0</v>
      </c>
      <c r="FE46" s="528"/>
      <c r="FF46" s="143" t="s">
        <v>91</v>
      </c>
      <c r="FG46" s="163"/>
      <c r="FH46" s="157" t="s">
        <v>14</v>
      </c>
      <c r="FI46" s="138"/>
      <c r="FJ46" s="170">
        <v>2.7548275862068965</v>
      </c>
      <c r="FK46" s="140">
        <f t="shared" si="20"/>
        <v>0</v>
      </c>
      <c r="FL46" s="159">
        <f>FI46*FJ46</f>
        <v>0</v>
      </c>
      <c r="FM46" s="528"/>
      <c r="FN46" s="143" t="s">
        <v>91</v>
      </c>
      <c r="FO46" s="163"/>
      <c r="FP46" s="157" t="s">
        <v>14</v>
      </c>
      <c r="FQ46" s="138"/>
      <c r="FR46" s="170">
        <v>2.7548275862068965</v>
      </c>
      <c r="FS46" s="140">
        <f t="shared" si="21"/>
        <v>0</v>
      </c>
      <c r="FT46" s="159">
        <f>FQ46*FR46</f>
        <v>0</v>
      </c>
      <c r="FU46" s="528"/>
      <c r="FV46" s="143" t="s">
        <v>91</v>
      </c>
      <c r="FW46" s="163"/>
      <c r="FX46" s="157" t="s">
        <v>14</v>
      </c>
      <c r="FY46" s="138"/>
      <c r="FZ46" s="170">
        <v>2.7548275862068965</v>
      </c>
      <c r="GA46" s="140">
        <f t="shared" si="22"/>
        <v>0</v>
      </c>
      <c r="GB46" s="159">
        <f>FY46*FZ46</f>
        <v>0</v>
      </c>
      <c r="GC46" s="528"/>
      <c r="GD46" s="143" t="s">
        <v>91</v>
      </c>
      <c r="GE46" s="163"/>
      <c r="GF46" s="157" t="s">
        <v>14</v>
      </c>
      <c r="GG46" s="138"/>
      <c r="GH46" s="170">
        <v>2.7548275862068965</v>
      </c>
      <c r="GI46" s="140">
        <f t="shared" si="23"/>
        <v>0</v>
      </c>
      <c r="GJ46" s="159">
        <f>GG46*GH46</f>
        <v>0</v>
      </c>
      <c r="GK46" s="528"/>
      <c r="GL46" s="143" t="s">
        <v>91</v>
      </c>
      <c r="GM46" s="176">
        <v>5</v>
      </c>
      <c r="GN46" s="157" t="s">
        <v>14</v>
      </c>
      <c r="GO46" s="175">
        <v>47</v>
      </c>
      <c r="GP46" s="139">
        <v>2.7548275862068965</v>
      </c>
      <c r="GQ46" s="140">
        <f t="shared" si="145"/>
        <v>129.47689655172414</v>
      </c>
      <c r="GR46" s="159">
        <f>GO46*GP46</f>
        <v>129.47689655172414</v>
      </c>
      <c r="GS46" s="528"/>
      <c r="GT46" s="143" t="s">
        <v>91</v>
      </c>
      <c r="GU46" s="176">
        <v>3</v>
      </c>
      <c r="GV46" s="157" t="s">
        <v>14</v>
      </c>
      <c r="GW46" s="175">
        <v>19</v>
      </c>
      <c r="GX46" s="139">
        <v>2.7548275862068965</v>
      </c>
      <c r="GY46" s="140">
        <f t="shared" si="146"/>
        <v>52.341724137931031</v>
      </c>
      <c r="GZ46" s="159">
        <f>GW46*GX46</f>
        <v>52.341724137931031</v>
      </c>
      <c r="HA46" s="528"/>
      <c r="HB46" s="143" t="s">
        <v>91</v>
      </c>
      <c r="HC46" s="176">
        <v>4</v>
      </c>
      <c r="HD46" s="157" t="s">
        <v>14</v>
      </c>
      <c r="HE46" s="175">
        <v>71</v>
      </c>
      <c r="HF46" s="139">
        <v>2.7548275862068965</v>
      </c>
      <c r="HG46" s="140">
        <f t="shared" si="147"/>
        <v>195.59275862068966</v>
      </c>
      <c r="HH46" s="159">
        <f>HE46*HF46</f>
        <v>195.59275862068966</v>
      </c>
      <c r="HI46" s="528"/>
      <c r="HJ46" s="143" t="s">
        <v>91</v>
      </c>
      <c r="HK46" s="176">
        <v>4</v>
      </c>
      <c r="HL46" s="157" t="s">
        <v>14</v>
      </c>
      <c r="HM46" s="175">
        <v>8</v>
      </c>
      <c r="HN46" s="139">
        <v>2.7548275862068965</v>
      </c>
      <c r="HO46" s="140">
        <f t="shared" si="148"/>
        <v>22.038620689655172</v>
      </c>
      <c r="HP46" s="159">
        <f>HM46*HN46</f>
        <v>22.038620689655172</v>
      </c>
      <c r="HQ46" s="528"/>
      <c r="HR46" s="143" t="s">
        <v>91</v>
      </c>
      <c r="HS46" s="176">
        <v>11</v>
      </c>
      <c r="HT46" s="157" t="s">
        <v>14</v>
      </c>
      <c r="HU46" s="175">
        <v>87</v>
      </c>
      <c r="HV46" s="139">
        <v>2.7548275862068965</v>
      </c>
      <c r="HW46" s="140">
        <f t="shared" si="149"/>
        <v>239.67</v>
      </c>
      <c r="HX46" s="159">
        <f>HU46*HV46</f>
        <v>239.67</v>
      </c>
      <c r="HY46" s="528"/>
      <c r="HZ46" s="143" t="s">
        <v>91</v>
      </c>
      <c r="IA46" s="176">
        <v>30</v>
      </c>
      <c r="IB46" s="157" t="s">
        <v>14</v>
      </c>
      <c r="IC46" s="175">
        <v>348</v>
      </c>
      <c r="ID46" s="139">
        <v>2.7548275862068965</v>
      </c>
      <c r="IE46" s="140">
        <f t="shared" si="150"/>
        <v>958.68</v>
      </c>
      <c r="IF46" s="159">
        <f>IC46*ID46</f>
        <v>958.68</v>
      </c>
      <c r="IG46" s="528"/>
      <c r="IH46" s="143" t="s">
        <v>91</v>
      </c>
      <c r="II46" s="176">
        <v>26</v>
      </c>
      <c r="IJ46" s="157" t="s">
        <v>14</v>
      </c>
      <c r="IK46" s="175">
        <v>386</v>
      </c>
      <c r="IL46" s="139">
        <v>2.7548275862068965</v>
      </c>
      <c r="IM46" s="140">
        <f t="shared" si="151"/>
        <v>1063.3634482758621</v>
      </c>
      <c r="IN46" s="159">
        <f>IK46*IL46</f>
        <v>1063.3634482758621</v>
      </c>
      <c r="IO46" s="528"/>
      <c r="IP46" s="143" t="s">
        <v>91</v>
      </c>
      <c r="IQ46" s="176">
        <v>32</v>
      </c>
      <c r="IR46" s="157" t="s">
        <v>14</v>
      </c>
      <c r="IS46" s="175">
        <v>333</v>
      </c>
      <c r="IT46" s="139">
        <v>2.7548275862068965</v>
      </c>
      <c r="IU46" s="140">
        <f t="shared" si="152"/>
        <v>917.35758620689649</v>
      </c>
      <c r="IV46" s="159">
        <f>IS46*IT46</f>
        <v>917.35758620689649</v>
      </c>
      <c r="IW46" s="528"/>
      <c r="IX46" s="143" t="s">
        <v>91</v>
      </c>
      <c r="IY46" s="176">
        <v>23</v>
      </c>
      <c r="IZ46" s="157" t="s">
        <v>14</v>
      </c>
      <c r="JA46" s="175">
        <v>254</v>
      </c>
      <c r="JB46" s="139">
        <v>2.7548275862068965</v>
      </c>
      <c r="JC46" s="140">
        <f t="shared" si="153"/>
        <v>699.72620689655173</v>
      </c>
      <c r="JD46" s="159">
        <f>JA46*JB46</f>
        <v>699.72620689655173</v>
      </c>
      <c r="JE46" s="528"/>
      <c r="JF46" s="143" t="s">
        <v>91</v>
      </c>
      <c r="JG46" s="176">
        <v>7</v>
      </c>
      <c r="JH46" s="157" t="s">
        <v>14</v>
      </c>
      <c r="JI46" s="175">
        <v>73</v>
      </c>
      <c r="JJ46" s="139">
        <v>2.7548275862068965</v>
      </c>
      <c r="JK46" s="140">
        <f t="shared" si="154"/>
        <v>201.10241379310344</v>
      </c>
      <c r="JL46" s="159">
        <f>JI46*JJ46</f>
        <v>201.10241379310344</v>
      </c>
      <c r="JM46" s="528"/>
      <c r="JN46" s="143" t="s">
        <v>91</v>
      </c>
      <c r="JO46" s="176">
        <v>7</v>
      </c>
      <c r="JP46" s="157" t="s">
        <v>14</v>
      </c>
      <c r="JQ46" s="175">
        <v>139</v>
      </c>
      <c r="JR46" s="139">
        <v>2.7548275862068965</v>
      </c>
      <c r="JS46" s="140">
        <f t="shared" si="155"/>
        <v>382.92103448275861</v>
      </c>
      <c r="JT46" s="159">
        <f>JQ46*JR46</f>
        <v>382.92103448275861</v>
      </c>
      <c r="JU46" s="528"/>
      <c r="JV46" s="143" t="s">
        <v>91</v>
      </c>
      <c r="JW46" s="176">
        <v>21</v>
      </c>
      <c r="JX46" s="157" t="s">
        <v>14</v>
      </c>
      <c r="JY46" s="175">
        <v>140</v>
      </c>
      <c r="JZ46" s="139">
        <v>2.7548275862068965</v>
      </c>
      <c r="KA46" s="140">
        <f t="shared" si="156"/>
        <v>385.6758620689655</v>
      </c>
      <c r="KB46" s="159">
        <f>JY46*JZ46</f>
        <v>385.6758620689655</v>
      </c>
      <c r="KC46" s="528"/>
      <c r="KD46" s="143" t="s">
        <v>91</v>
      </c>
      <c r="KE46" s="176">
        <v>0</v>
      </c>
      <c r="KF46" s="157" t="s">
        <v>14</v>
      </c>
      <c r="KG46" s="175">
        <v>0</v>
      </c>
      <c r="KH46" s="139">
        <v>2.7548275862068965</v>
      </c>
      <c r="KI46" s="140">
        <f t="shared" si="157"/>
        <v>0</v>
      </c>
      <c r="KJ46" s="159">
        <f>KG46*KH46</f>
        <v>0</v>
      </c>
      <c r="KK46" s="528"/>
      <c r="KL46" s="143" t="s">
        <v>91</v>
      </c>
      <c r="KM46" s="176">
        <v>2</v>
      </c>
      <c r="KN46" s="157" t="s">
        <v>14</v>
      </c>
      <c r="KO46" s="175">
        <v>23</v>
      </c>
      <c r="KP46" s="139">
        <v>2.7548275862068965</v>
      </c>
      <c r="KQ46" s="140">
        <f t="shared" si="158"/>
        <v>63.361034482758619</v>
      </c>
      <c r="KR46" s="159">
        <f>KO46*KP46</f>
        <v>63.361034482758619</v>
      </c>
      <c r="KS46" s="528"/>
      <c r="KT46" s="143" t="s">
        <v>91</v>
      </c>
      <c r="KU46" s="176">
        <v>3</v>
      </c>
      <c r="KV46" s="157" t="s">
        <v>14</v>
      </c>
      <c r="KW46" s="175">
        <v>7</v>
      </c>
      <c r="KX46" s="139">
        <v>2.7548275862068965</v>
      </c>
      <c r="KY46" s="140">
        <f t="shared" si="159"/>
        <v>19.283793103448275</v>
      </c>
      <c r="KZ46" s="159">
        <f>KW46*KX46</f>
        <v>19.283793103448275</v>
      </c>
      <c r="LA46" s="528"/>
      <c r="LB46" s="143" t="s">
        <v>91</v>
      </c>
      <c r="LC46" s="176">
        <v>6</v>
      </c>
      <c r="LD46" s="157" t="s">
        <v>14</v>
      </c>
      <c r="LE46" s="175">
        <v>41</v>
      </c>
      <c r="LF46" s="139">
        <v>2.7548275862068965</v>
      </c>
      <c r="LG46" s="140">
        <f t="shared" si="160"/>
        <v>112.94793103448275</v>
      </c>
      <c r="LH46" s="159">
        <f>LE46*LF46</f>
        <v>112.94793103448275</v>
      </c>
      <c r="LI46" s="528"/>
      <c r="LJ46" s="143" t="s">
        <v>91</v>
      </c>
      <c r="LK46" s="176">
        <v>10</v>
      </c>
      <c r="LL46" s="157" t="s">
        <v>14</v>
      </c>
      <c r="LM46" s="175">
        <v>107</v>
      </c>
      <c r="LN46" s="139">
        <v>2.7548275862068965</v>
      </c>
      <c r="LO46" s="140">
        <f t="shared" si="161"/>
        <v>294.76655172413791</v>
      </c>
      <c r="LP46" s="159">
        <f>LM46*LN46</f>
        <v>294.76655172413791</v>
      </c>
      <c r="LQ46" s="528"/>
      <c r="LR46" s="143" t="s">
        <v>91</v>
      </c>
      <c r="LS46" s="176">
        <v>15</v>
      </c>
      <c r="LT46" s="157" t="s">
        <v>14</v>
      </c>
      <c r="LU46" s="175">
        <v>125</v>
      </c>
      <c r="LV46" s="139">
        <v>2.7548275862068965</v>
      </c>
      <c r="LW46" s="140">
        <f t="shared" si="162"/>
        <v>344.35344827586204</v>
      </c>
      <c r="LX46" s="159">
        <f>LU46*LV46</f>
        <v>344.35344827586204</v>
      </c>
      <c r="LY46" s="528"/>
      <c r="LZ46" s="143" t="s">
        <v>91</v>
      </c>
      <c r="MA46" s="176">
        <v>24</v>
      </c>
      <c r="MB46" s="157" t="s">
        <v>14</v>
      </c>
      <c r="MC46" s="175">
        <v>191</v>
      </c>
      <c r="MD46" s="139">
        <v>2.7548275862068965</v>
      </c>
      <c r="ME46" s="140">
        <f t="shared" si="163"/>
        <v>526.17206896551727</v>
      </c>
      <c r="MF46" s="159">
        <f>MC46*MD46</f>
        <v>526.17206896551727</v>
      </c>
      <c r="MG46" s="528"/>
      <c r="MH46" s="143" t="s">
        <v>91</v>
      </c>
      <c r="MI46" s="176">
        <v>33</v>
      </c>
      <c r="MJ46" s="157" t="s">
        <v>14</v>
      </c>
      <c r="MK46" s="175">
        <v>328</v>
      </c>
      <c r="ML46" s="139">
        <v>2.7548275862068965</v>
      </c>
      <c r="MM46" s="140">
        <f t="shared" si="164"/>
        <v>903.583448275862</v>
      </c>
      <c r="MN46" s="159">
        <f>MK46*ML46</f>
        <v>903.583448275862</v>
      </c>
      <c r="MO46" s="528"/>
      <c r="MP46" s="143" t="s">
        <v>91</v>
      </c>
      <c r="MQ46" s="176">
        <v>24</v>
      </c>
      <c r="MR46" s="157" t="s">
        <v>14</v>
      </c>
      <c r="MS46" s="175">
        <v>240</v>
      </c>
      <c r="MT46" s="139">
        <v>2.7548275862068965</v>
      </c>
      <c r="MU46" s="140">
        <f t="shared" si="165"/>
        <v>661.15862068965521</v>
      </c>
      <c r="MV46" s="159">
        <f>MS46*MT46</f>
        <v>661.15862068965521</v>
      </c>
      <c r="MW46" s="528"/>
      <c r="MX46" s="686" t="s">
        <v>362</v>
      </c>
      <c r="MY46" s="693"/>
      <c r="MZ46" s="682" t="s">
        <v>11</v>
      </c>
      <c r="NA46" s="683"/>
      <c r="NB46" s="692"/>
      <c r="NC46" s="685">
        <f t="shared" si="166"/>
        <v>0</v>
      </c>
      <c r="ND46" s="685">
        <f t="shared" si="166"/>
        <v>0</v>
      </c>
      <c r="NE46" s="528"/>
      <c r="NF46" s="686" t="s">
        <v>362</v>
      </c>
      <c r="NG46" s="693"/>
      <c r="NH46" s="682" t="s">
        <v>11</v>
      </c>
      <c r="NI46" s="683"/>
      <c r="NJ46" s="692"/>
      <c r="NK46" s="685">
        <f t="shared" si="167"/>
        <v>0</v>
      </c>
      <c r="NL46" s="685">
        <f t="shared" si="187"/>
        <v>0</v>
      </c>
      <c r="NM46" s="528"/>
      <c r="NN46" s="686" t="s">
        <v>362</v>
      </c>
      <c r="NO46" s="693">
        <v>4</v>
      </c>
      <c r="NP46" s="682" t="s">
        <v>11</v>
      </c>
      <c r="NQ46" s="683">
        <v>57</v>
      </c>
      <c r="NR46" s="692"/>
      <c r="NS46" s="685">
        <f t="shared" si="168"/>
        <v>0</v>
      </c>
      <c r="NT46" s="685">
        <f t="shared" si="188"/>
        <v>0</v>
      </c>
      <c r="NU46" s="528"/>
      <c r="NV46" s="686" t="s">
        <v>362</v>
      </c>
      <c r="NW46" s="693">
        <v>3</v>
      </c>
      <c r="NX46" s="682" t="s">
        <v>11</v>
      </c>
      <c r="NY46" s="683">
        <v>13</v>
      </c>
      <c r="NZ46" s="692"/>
      <c r="OA46" s="685">
        <f t="shared" si="169"/>
        <v>0</v>
      </c>
      <c r="OB46" s="685">
        <f t="shared" si="189"/>
        <v>0</v>
      </c>
      <c r="OC46" s="528"/>
      <c r="OD46" s="686" t="s">
        <v>362</v>
      </c>
      <c r="OE46" s="693"/>
      <c r="OF46" s="682" t="s">
        <v>11</v>
      </c>
      <c r="OG46" s="683"/>
      <c r="OH46" s="692"/>
      <c r="OI46" s="685">
        <f t="shared" si="170"/>
        <v>0</v>
      </c>
      <c r="OJ46" s="685">
        <f t="shared" si="190"/>
        <v>0</v>
      </c>
      <c r="OK46" s="528"/>
      <c r="OL46" s="686" t="s">
        <v>362</v>
      </c>
      <c r="OM46" s="693"/>
      <c r="ON46" s="682" t="s">
        <v>11</v>
      </c>
      <c r="OO46" s="683"/>
      <c r="OP46" s="692"/>
      <c r="OQ46" s="685">
        <f t="shared" si="171"/>
        <v>0</v>
      </c>
      <c r="OR46" s="685">
        <f t="shared" si="191"/>
        <v>0</v>
      </c>
      <c r="OS46" s="528"/>
      <c r="OT46" s="686" t="s">
        <v>362</v>
      </c>
      <c r="OU46" s="693"/>
      <c r="OV46" s="682" t="s">
        <v>11</v>
      </c>
      <c r="OW46" s="683"/>
      <c r="OX46" s="692"/>
      <c r="OY46" s="685">
        <f t="shared" si="172"/>
        <v>0</v>
      </c>
      <c r="OZ46" s="685">
        <f t="shared" si="192"/>
        <v>0</v>
      </c>
      <c r="PA46" s="528"/>
      <c r="PB46" s="686" t="s">
        <v>362</v>
      </c>
      <c r="PC46" s="693"/>
      <c r="PD46" s="682" t="s">
        <v>11</v>
      </c>
      <c r="PE46" s="683"/>
      <c r="PF46" s="692"/>
      <c r="PG46" s="685">
        <f t="shared" si="173"/>
        <v>0</v>
      </c>
      <c r="PH46" s="685">
        <f t="shared" si="193"/>
        <v>0</v>
      </c>
      <c r="PI46" s="528"/>
      <c r="PJ46" s="686" t="s">
        <v>362</v>
      </c>
      <c r="PK46" s="693"/>
      <c r="PL46" s="682" t="s">
        <v>11</v>
      </c>
      <c r="PM46" s="683"/>
      <c r="PN46" s="692"/>
      <c r="PO46" s="685">
        <f t="shared" si="174"/>
        <v>0</v>
      </c>
      <c r="PP46" s="685">
        <f t="shared" si="194"/>
        <v>0</v>
      </c>
      <c r="PQ46" s="528"/>
      <c r="PR46" s="686" t="s">
        <v>362</v>
      </c>
      <c r="PS46" s="693">
        <v>1</v>
      </c>
      <c r="PT46" s="682" t="s">
        <v>11</v>
      </c>
      <c r="PU46" s="683">
        <v>6</v>
      </c>
      <c r="PV46" s="692"/>
      <c r="PW46" s="685">
        <f t="shared" si="175"/>
        <v>0</v>
      </c>
      <c r="PX46" s="685">
        <f t="shared" si="195"/>
        <v>0</v>
      </c>
      <c r="PY46" s="528"/>
      <c r="PZ46" s="686" t="s">
        <v>362</v>
      </c>
      <c r="QA46" s="693">
        <v>1</v>
      </c>
      <c r="QB46" s="682" t="s">
        <v>11</v>
      </c>
      <c r="QC46" s="683">
        <v>1</v>
      </c>
      <c r="QD46" s="692"/>
      <c r="QE46" s="685">
        <f t="shared" si="176"/>
        <v>0</v>
      </c>
      <c r="QF46" s="685">
        <f t="shared" si="196"/>
        <v>0</v>
      </c>
      <c r="QG46" s="528"/>
      <c r="QH46" s="686" t="s">
        <v>362</v>
      </c>
      <c r="QI46" s="693"/>
      <c r="QJ46" s="682" t="s">
        <v>11</v>
      </c>
      <c r="QK46" s="683"/>
      <c r="QL46" s="692"/>
      <c r="QM46" s="685">
        <f t="shared" si="177"/>
        <v>0</v>
      </c>
      <c r="QN46" s="685">
        <f t="shared" si="197"/>
        <v>0</v>
      </c>
      <c r="QO46" s="528"/>
      <c r="QP46" s="686" t="s">
        <v>362</v>
      </c>
      <c r="QQ46" s="693"/>
      <c r="QR46" s="682" t="s">
        <v>11</v>
      </c>
      <c r="QS46" s="683"/>
      <c r="QT46" s="692"/>
      <c r="QU46" s="685">
        <f t="shared" si="178"/>
        <v>0</v>
      </c>
      <c r="QV46" s="685">
        <f t="shared" si="198"/>
        <v>0</v>
      </c>
      <c r="QW46" s="528"/>
      <c r="QX46" s="686" t="s">
        <v>362</v>
      </c>
      <c r="QY46" s="693"/>
      <c r="QZ46" s="682" t="s">
        <v>11</v>
      </c>
      <c r="RA46" s="683"/>
      <c r="RB46" s="692"/>
      <c r="RC46" s="685">
        <f t="shared" si="179"/>
        <v>0</v>
      </c>
      <c r="RD46" s="685">
        <f t="shared" si="199"/>
        <v>0</v>
      </c>
      <c r="RE46" s="528"/>
      <c r="RF46" s="686" t="s">
        <v>362</v>
      </c>
      <c r="RG46" s="693"/>
      <c r="RH46" s="682" t="s">
        <v>11</v>
      </c>
      <c r="RI46" s="683"/>
      <c r="RJ46" s="692"/>
      <c r="RK46" s="685">
        <f t="shared" si="180"/>
        <v>0</v>
      </c>
      <c r="RL46" s="685">
        <f t="shared" si="200"/>
        <v>0</v>
      </c>
      <c r="RM46" s="528"/>
      <c r="RN46" s="686" t="s">
        <v>362</v>
      </c>
      <c r="RO46" s="693">
        <v>1</v>
      </c>
      <c r="RP46" s="682" t="s">
        <v>11</v>
      </c>
      <c r="RQ46" s="683">
        <v>6</v>
      </c>
      <c r="RR46" s="692"/>
      <c r="RS46" s="685">
        <f t="shared" si="181"/>
        <v>0</v>
      </c>
      <c r="RT46" s="685">
        <f t="shared" si="201"/>
        <v>0</v>
      </c>
      <c r="RU46" s="528"/>
      <c r="RV46" s="686" t="s">
        <v>362</v>
      </c>
      <c r="RW46" s="693"/>
      <c r="RX46" s="682" t="s">
        <v>11</v>
      </c>
      <c r="RY46" s="683"/>
      <c r="RZ46" s="692"/>
      <c r="SA46" s="685">
        <f t="shared" si="182"/>
        <v>0</v>
      </c>
      <c r="SB46" s="685">
        <f t="shared" si="202"/>
        <v>0</v>
      </c>
      <c r="SC46" s="528"/>
      <c r="SD46" s="686" t="s">
        <v>362</v>
      </c>
      <c r="SE46" s="693"/>
      <c r="SF46" s="682" t="s">
        <v>11</v>
      </c>
      <c r="SG46" s="683"/>
      <c r="SH46" s="692"/>
      <c r="SI46" s="685">
        <f t="shared" si="183"/>
        <v>0</v>
      </c>
      <c r="SJ46" s="685">
        <f t="shared" si="203"/>
        <v>0</v>
      </c>
      <c r="SK46" s="528"/>
      <c r="SL46" s="686" t="s">
        <v>362</v>
      </c>
      <c r="SM46" s="693">
        <v>2</v>
      </c>
      <c r="SN46" s="682" t="s">
        <v>11</v>
      </c>
      <c r="SO46" s="683">
        <v>19</v>
      </c>
      <c r="SP46" s="692"/>
      <c r="SQ46" s="685">
        <f t="shared" si="184"/>
        <v>0</v>
      </c>
      <c r="SR46" s="685">
        <f t="shared" si="204"/>
        <v>0</v>
      </c>
      <c r="SS46" s="528"/>
      <c r="ST46" s="686" t="s">
        <v>362</v>
      </c>
      <c r="SU46" s="693">
        <v>1</v>
      </c>
      <c r="SV46" s="682" t="s">
        <v>11</v>
      </c>
      <c r="SW46" s="683">
        <v>6</v>
      </c>
      <c r="SX46" s="692"/>
      <c r="SY46" s="685">
        <f t="shared" si="185"/>
        <v>0</v>
      </c>
      <c r="SZ46" s="685">
        <f t="shared" si="205"/>
        <v>0</v>
      </c>
      <c r="TA46" s="528"/>
      <c r="TB46" s="686" t="s">
        <v>362</v>
      </c>
      <c r="TC46" s="693">
        <v>1</v>
      </c>
      <c r="TD46" s="682" t="s">
        <v>11</v>
      </c>
      <c r="TE46" s="683">
        <v>6</v>
      </c>
      <c r="TF46" s="692"/>
      <c r="TG46" s="685">
        <f t="shared" si="186"/>
        <v>0</v>
      </c>
      <c r="TH46" s="685">
        <f t="shared" si="206"/>
        <v>0</v>
      </c>
      <c r="TI46" s="528"/>
    </row>
    <row r="47" spans="2:529">
      <c r="B47" s="143" t="s">
        <v>236</v>
      </c>
      <c r="C47" s="163">
        <v>20</v>
      </c>
      <c r="D47" s="157" t="s">
        <v>36</v>
      </c>
      <c r="E47" s="138">
        <v>437</v>
      </c>
      <c r="F47" s="164">
        <v>0.83900000000000008</v>
      </c>
      <c r="G47" s="140">
        <f t="shared" si="133"/>
        <v>366.64300000000003</v>
      </c>
      <c r="H47" s="149"/>
      <c r="I47" s="528"/>
      <c r="J47" s="143" t="s">
        <v>236</v>
      </c>
      <c r="K47" s="163">
        <v>6</v>
      </c>
      <c r="L47" s="157" t="s">
        <v>36</v>
      </c>
      <c r="M47" s="138">
        <v>88</v>
      </c>
      <c r="N47" s="164">
        <v>0.83900000000000008</v>
      </c>
      <c r="O47" s="140">
        <f t="shared" si="134"/>
        <v>73.832000000000008</v>
      </c>
      <c r="P47" s="149"/>
      <c r="Q47" s="528"/>
      <c r="R47" s="143" t="s">
        <v>236</v>
      </c>
      <c r="S47" s="163">
        <v>4</v>
      </c>
      <c r="T47" s="157" t="s">
        <v>36</v>
      </c>
      <c r="U47" s="138">
        <v>91</v>
      </c>
      <c r="V47" s="164">
        <v>0.83900000000000008</v>
      </c>
      <c r="W47" s="140">
        <f t="shared" si="135"/>
        <v>76.349000000000004</v>
      </c>
      <c r="X47" s="149"/>
      <c r="Y47" s="528"/>
      <c r="Z47" s="143" t="s">
        <v>236</v>
      </c>
      <c r="AA47" s="163">
        <v>6</v>
      </c>
      <c r="AB47" s="157" t="s">
        <v>36</v>
      </c>
      <c r="AC47" s="138">
        <v>178</v>
      </c>
      <c r="AD47" s="164">
        <v>0.83900000000000008</v>
      </c>
      <c r="AE47" s="140">
        <f t="shared" si="136"/>
        <v>149.34200000000001</v>
      </c>
      <c r="AF47" s="149"/>
      <c r="AG47" s="528"/>
      <c r="AH47" s="143" t="s">
        <v>236</v>
      </c>
      <c r="AI47" s="163">
        <v>6</v>
      </c>
      <c r="AJ47" s="157" t="s">
        <v>36</v>
      </c>
      <c r="AK47" s="138">
        <v>91</v>
      </c>
      <c r="AL47" s="164">
        <v>0.83900000000000008</v>
      </c>
      <c r="AM47" s="140">
        <f t="shared" si="137"/>
        <v>76.349000000000004</v>
      </c>
      <c r="AN47" s="149"/>
      <c r="AO47" s="528"/>
      <c r="AP47" s="143" t="s">
        <v>236</v>
      </c>
      <c r="AQ47" s="163"/>
      <c r="AR47" s="157" t="s">
        <v>36</v>
      </c>
      <c r="AS47" s="138"/>
      <c r="AT47" s="164">
        <v>0.83900000000000008</v>
      </c>
      <c r="AU47" s="140">
        <f t="shared" si="138"/>
        <v>0</v>
      </c>
      <c r="AV47" s="149"/>
      <c r="AW47" s="528"/>
      <c r="AX47" s="143" t="s">
        <v>236</v>
      </c>
      <c r="AY47" s="163">
        <v>17</v>
      </c>
      <c r="AZ47" s="157" t="s">
        <v>36</v>
      </c>
      <c r="BA47" s="138">
        <v>315</v>
      </c>
      <c r="BB47" s="164">
        <v>0.83900000000000008</v>
      </c>
      <c r="BC47" s="140">
        <f t="shared" si="139"/>
        <v>264.28500000000003</v>
      </c>
      <c r="BD47" s="149"/>
      <c r="BE47" s="528"/>
      <c r="BF47" s="143" t="s">
        <v>236</v>
      </c>
      <c r="BG47" s="163">
        <v>22</v>
      </c>
      <c r="BH47" s="157" t="s">
        <v>36</v>
      </c>
      <c r="BI47" s="138">
        <v>386</v>
      </c>
      <c r="BJ47" s="164">
        <v>0.83900000000000008</v>
      </c>
      <c r="BK47" s="140">
        <f t="shared" si="140"/>
        <v>323.85400000000004</v>
      </c>
      <c r="BL47" s="149"/>
      <c r="BM47" s="528"/>
      <c r="BN47" s="143" t="s">
        <v>236</v>
      </c>
      <c r="BO47" s="163">
        <v>9</v>
      </c>
      <c r="BP47" s="157" t="s">
        <v>36</v>
      </c>
      <c r="BQ47" s="138">
        <v>141</v>
      </c>
      <c r="BR47" s="164">
        <v>0.83900000000000008</v>
      </c>
      <c r="BS47" s="140">
        <f t="shared" si="141"/>
        <v>118.29900000000001</v>
      </c>
      <c r="BT47" s="149"/>
      <c r="BU47" s="528"/>
      <c r="BV47" s="564" t="s">
        <v>236</v>
      </c>
      <c r="BW47" s="579"/>
      <c r="BX47" s="574" t="s">
        <v>36</v>
      </c>
      <c r="BY47" s="560"/>
      <c r="BZ47" s="580">
        <v>0.83900000000000008</v>
      </c>
      <c r="CA47" s="562">
        <f t="shared" si="142"/>
        <v>0</v>
      </c>
      <c r="CB47" s="568"/>
      <c r="CC47" s="528"/>
      <c r="CD47" s="564" t="s">
        <v>236</v>
      </c>
      <c r="CE47" s="579"/>
      <c r="CF47" s="574" t="s">
        <v>36</v>
      </c>
      <c r="CG47" s="560"/>
      <c r="CH47" s="580">
        <v>0.83900000000000008</v>
      </c>
      <c r="CI47" s="562">
        <f t="shared" si="143"/>
        <v>0</v>
      </c>
      <c r="CJ47" s="568"/>
      <c r="CK47" s="528"/>
      <c r="CL47" s="143" t="s">
        <v>236</v>
      </c>
      <c r="CM47" s="163">
        <v>30</v>
      </c>
      <c r="CN47" s="157" t="s">
        <v>36</v>
      </c>
      <c r="CO47" s="138">
        <v>645</v>
      </c>
      <c r="CP47" s="164">
        <v>0.83900000000000008</v>
      </c>
      <c r="CQ47" s="140">
        <f t="shared" si="144"/>
        <v>541.15500000000009</v>
      </c>
      <c r="CR47" s="149"/>
      <c r="CS47" s="528"/>
      <c r="CT47" s="143" t="s">
        <v>236</v>
      </c>
      <c r="CU47" s="163">
        <v>22</v>
      </c>
      <c r="CV47" s="157" t="s">
        <v>36</v>
      </c>
      <c r="CW47" s="138">
        <v>386</v>
      </c>
      <c r="CX47" s="164">
        <v>0.83900000000000008</v>
      </c>
      <c r="CY47" s="140">
        <f t="shared" si="12"/>
        <v>323.85400000000004</v>
      </c>
      <c r="CZ47" s="149"/>
      <c r="DA47" s="528"/>
      <c r="DB47" s="143" t="s">
        <v>236</v>
      </c>
      <c r="DC47" s="163">
        <v>16</v>
      </c>
      <c r="DD47" s="157" t="s">
        <v>36</v>
      </c>
      <c r="DE47" s="138">
        <v>412</v>
      </c>
      <c r="DF47" s="164">
        <v>0.83900000000000008</v>
      </c>
      <c r="DG47" s="140">
        <f t="shared" si="13"/>
        <v>345.66800000000001</v>
      </c>
      <c r="DH47" s="149"/>
      <c r="DI47" s="528"/>
      <c r="DJ47" s="143" t="s">
        <v>236</v>
      </c>
      <c r="DK47" s="163"/>
      <c r="DL47" s="157" t="s">
        <v>36</v>
      </c>
      <c r="DM47" s="138">
        <v>0</v>
      </c>
      <c r="DN47" s="172">
        <v>0.83900000000000008</v>
      </c>
      <c r="DO47" s="140">
        <f t="shared" si="14"/>
        <v>0</v>
      </c>
      <c r="DP47" s="149"/>
      <c r="DQ47" s="528"/>
      <c r="DR47" s="143" t="s">
        <v>236</v>
      </c>
      <c r="DS47" s="163"/>
      <c r="DT47" s="157" t="s">
        <v>36</v>
      </c>
      <c r="DU47" s="138"/>
      <c r="DV47" s="172">
        <v>0.83900000000000008</v>
      </c>
      <c r="DW47" s="140">
        <f t="shared" si="15"/>
        <v>0</v>
      </c>
      <c r="DX47" s="149"/>
      <c r="DY47" s="528"/>
      <c r="DZ47" s="143" t="s">
        <v>236</v>
      </c>
      <c r="EA47" s="163">
        <v>17</v>
      </c>
      <c r="EB47" s="157" t="s">
        <v>36</v>
      </c>
      <c r="EC47" s="138">
        <v>176</v>
      </c>
      <c r="ED47" s="172">
        <v>0.83900000000000008</v>
      </c>
      <c r="EE47" s="140">
        <f t="shared" si="16"/>
        <v>147.66400000000002</v>
      </c>
      <c r="EF47" s="149"/>
      <c r="EG47" s="528"/>
      <c r="EH47" s="143" t="s">
        <v>236</v>
      </c>
      <c r="EI47" s="163">
        <v>68</v>
      </c>
      <c r="EJ47" s="157" t="s">
        <v>36</v>
      </c>
      <c r="EK47" s="138">
        <v>705</v>
      </c>
      <c r="EL47" s="172">
        <v>0.83900000000000008</v>
      </c>
      <c r="EM47" s="140">
        <f t="shared" si="17"/>
        <v>591.495</v>
      </c>
      <c r="EN47" s="149"/>
      <c r="EO47" s="528"/>
      <c r="EP47" s="143" t="s">
        <v>236</v>
      </c>
      <c r="EQ47" s="163">
        <v>4</v>
      </c>
      <c r="ER47" s="157" t="s">
        <v>36</v>
      </c>
      <c r="ES47" s="138">
        <v>18</v>
      </c>
      <c r="ET47" s="172">
        <v>0.83900000000000008</v>
      </c>
      <c r="EU47" s="140">
        <f t="shared" si="18"/>
        <v>15.102000000000002</v>
      </c>
      <c r="EV47" s="149"/>
      <c r="EW47" s="528"/>
      <c r="EX47" s="143" t="s">
        <v>236</v>
      </c>
      <c r="EY47" s="163"/>
      <c r="EZ47" s="157" t="s">
        <v>36</v>
      </c>
      <c r="FA47" s="138"/>
      <c r="FB47" s="172">
        <v>0.83900000000000008</v>
      </c>
      <c r="FC47" s="140">
        <f t="shared" si="19"/>
        <v>0</v>
      </c>
      <c r="FD47" s="149"/>
      <c r="FE47" s="528"/>
      <c r="FF47" s="143" t="s">
        <v>236</v>
      </c>
      <c r="FG47" s="163"/>
      <c r="FH47" s="157" t="s">
        <v>36</v>
      </c>
      <c r="FI47" s="138"/>
      <c r="FJ47" s="172">
        <v>0.83900000000000008</v>
      </c>
      <c r="FK47" s="140">
        <f t="shared" si="20"/>
        <v>0</v>
      </c>
      <c r="FL47" s="149"/>
      <c r="FM47" s="528"/>
      <c r="FN47" s="143" t="s">
        <v>236</v>
      </c>
      <c r="FO47" s="163"/>
      <c r="FP47" s="157" t="s">
        <v>36</v>
      </c>
      <c r="FQ47" s="138"/>
      <c r="FR47" s="172">
        <v>0.83900000000000008</v>
      </c>
      <c r="FS47" s="140">
        <f t="shared" si="21"/>
        <v>0</v>
      </c>
      <c r="FT47" s="149"/>
      <c r="FU47" s="528"/>
      <c r="FV47" s="143" t="s">
        <v>236</v>
      </c>
      <c r="FW47" s="163"/>
      <c r="FX47" s="157" t="s">
        <v>36</v>
      </c>
      <c r="FY47" s="138"/>
      <c r="FZ47" s="172">
        <v>0.83900000000000008</v>
      </c>
      <c r="GA47" s="140">
        <f t="shared" si="22"/>
        <v>0</v>
      </c>
      <c r="GB47" s="149"/>
      <c r="GC47" s="528"/>
      <c r="GD47" s="143" t="s">
        <v>236</v>
      </c>
      <c r="GE47" s="163"/>
      <c r="GF47" s="157" t="s">
        <v>36</v>
      </c>
      <c r="GG47" s="138"/>
      <c r="GH47" s="172">
        <v>0.83900000000000008</v>
      </c>
      <c r="GI47" s="140">
        <f t="shared" si="23"/>
        <v>0</v>
      </c>
      <c r="GJ47" s="149"/>
      <c r="GK47" s="528"/>
      <c r="GL47" s="143" t="s">
        <v>118</v>
      </c>
      <c r="GM47" s="163">
        <v>21</v>
      </c>
      <c r="GN47" s="157" t="s">
        <v>36</v>
      </c>
      <c r="GO47" s="175">
        <v>386</v>
      </c>
      <c r="GP47" s="164">
        <v>0.83900000000000008</v>
      </c>
      <c r="GQ47" s="140">
        <f t="shared" si="145"/>
        <v>323.85400000000004</v>
      </c>
      <c r="GR47" s="149"/>
      <c r="GS47" s="528"/>
      <c r="GT47" s="143" t="s">
        <v>118</v>
      </c>
      <c r="GU47" s="163">
        <v>16</v>
      </c>
      <c r="GV47" s="157" t="s">
        <v>36</v>
      </c>
      <c r="GW47" s="175">
        <v>406</v>
      </c>
      <c r="GX47" s="164">
        <v>0.83900000000000008</v>
      </c>
      <c r="GY47" s="140">
        <f t="shared" si="146"/>
        <v>340.63400000000001</v>
      </c>
      <c r="GZ47" s="149"/>
      <c r="HA47" s="528"/>
      <c r="HB47" s="143" t="s">
        <v>118</v>
      </c>
      <c r="HC47" s="163">
        <v>4</v>
      </c>
      <c r="HD47" s="157" t="s">
        <v>36</v>
      </c>
      <c r="HE47" s="175">
        <v>91</v>
      </c>
      <c r="HF47" s="164">
        <v>0.83900000000000008</v>
      </c>
      <c r="HG47" s="140">
        <f t="shared" si="147"/>
        <v>76.349000000000004</v>
      </c>
      <c r="HH47" s="149"/>
      <c r="HI47" s="528"/>
      <c r="HJ47" s="143" t="s">
        <v>118</v>
      </c>
      <c r="HK47" s="163">
        <v>33</v>
      </c>
      <c r="HL47" s="157" t="s">
        <v>36</v>
      </c>
      <c r="HM47" s="175">
        <v>252</v>
      </c>
      <c r="HN47" s="164">
        <v>0.83900000000000008</v>
      </c>
      <c r="HO47" s="140">
        <f t="shared" si="148"/>
        <v>211.42800000000003</v>
      </c>
      <c r="HP47" s="149"/>
      <c r="HQ47" s="528"/>
      <c r="HR47" s="143" t="s">
        <v>118</v>
      </c>
      <c r="HS47" s="163">
        <v>43</v>
      </c>
      <c r="HT47" s="157" t="s">
        <v>36</v>
      </c>
      <c r="HU47" s="175">
        <v>516</v>
      </c>
      <c r="HV47" s="164">
        <v>0.83900000000000008</v>
      </c>
      <c r="HW47" s="140">
        <f t="shared" si="149"/>
        <v>432.92400000000004</v>
      </c>
      <c r="HX47" s="149"/>
      <c r="HY47" s="528"/>
      <c r="HZ47" s="143" t="s">
        <v>118</v>
      </c>
      <c r="IA47" s="163">
        <v>16</v>
      </c>
      <c r="IB47" s="157" t="s">
        <v>36</v>
      </c>
      <c r="IC47" s="175">
        <v>152</v>
      </c>
      <c r="ID47" s="164">
        <v>0.83900000000000008</v>
      </c>
      <c r="IE47" s="140">
        <f t="shared" si="150"/>
        <v>127.52800000000001</v>
      </c>
      <c r="IF47" s="149"/>
      <c r="IG47" s="528"/>
      <c r="IH47" s="143" t="s">
        <v>118</v>
      </c>
      <c r="II47" s="163">
        <v>16</v>
      </c>
      <c r="IJ47" s="157" t="s">
        <v>36</v>
      </c>
      <c r="IK47" s="175">
        <v>75</v>
      </c>
      <c r="IL47" s="164">
        <v>0.83900000000000008</v>
      </c>
      <c r="IM47" s="140">
        <f t="shared" si="151"/>
        <v>62.925000000000004</v>
      </c>
      <c r="IN47" s="149"/>
      <c r="IO47" s="528"/>
      <c r="IP47" s="143" t="s">
        <v>118</v>
      </c>
      <c r="IQ47" s="163">
        <v>13</v>
      </c>
      <c r="IR47" s="157" t="s">
        <v>36</v>
      </c>
      <c r="IS47" s="175">
        <v>122</v>
      </c>
      <c r="IT47" s="164">
        <v>0.83900000000000008</v>
      </c>
      <c r="IU47" s="140">
        <f t="shared" si="152"/>
        <v>102.358</v>
      </c>
      <c r="IV47" s="149"/>
      <c r="IW47" s="528"/>
      <c r="IX47" s="143" t="s">
        <v>118</v>
      </c>
      <c r="IY47" s="163">
        <v>25</v>
      </c>
      <c r="IZ47" s="157" t="s">
        <v>36</v>
      </c>
      <c r="JA47" s="175">
        <v>288</v>
      </c>
      <c r="JB47" s="164">
        <v>0.83900000000000008</v>
      </c>
      <c r="JC47" s="140">
        <f t="shared" si="153"/>
        <v>241.63200000000003</v>
      </c>
      <c r="JD47" s="149"/>
      <c r="JE47" s="528"/>
      <c r="JF47" s="143" t="s">
        <v>118</v>
      </c>
      <c r="JG47" s="163">
        <v>7</v>
      </c>
      <c r="JH47" s="157" t="s">
        <v>36</v>
      </c>
      <c r="JI47" s="175">
        <v>161</v>
      </c>
      <c r="JJ47" s="164">
        <v>0.83900000000000008</v>
      </c>
      <c r="JK47" s="140">
        <f t="shared" si="154"/>
        <v>135.07900000000001</v>
      </c>
      <c r="JL47" s="149"/>
      <c r="JM47" s="528"/>
      <c r="JN47" s="143" t="s">
        <v>118</v>
      </c>
      <c r="JO47" s="163">
        <v>5</v>
      </c>
      <c r="JP47" s="157" t="s">
        <v>36</v>
      </c>
      <c r="JQ47" s="175">
        <v>80</v>
      </c>
      <c r="JR47" s="164">
        <v>0.83900000000000008</v>
      </c>
      <c r="JS47" s="140">
        <f t="shared" si="155"/>
        <v>67.12</v>
      </c>
      <c r="JT47" s="149"/>
      <c r="JU47" s="528"/>
      <c r="JV47" s="143" t="s">
        <v>118</v>
      </c>
      <c r="JW47" s="163">
        <v>25</v>
      </c>
      <c r="JX47" s="157" t="s">
        <v>36</v>
      </c>
      <c r="JY47" s="175">
        <v>274</v>
      </c>
      <c r="JZ47" s="164">
        <v>0.83900000000000008</v>
      </c>
      <c r="KA47" s="140">
        <f t="shared" si="156"/>
        <v>229.88600000000002</v>
      </c>
      <c r="KB47" s="149"/>
      <c r="KC47" s="528"/>
      <c r="KD47" s="143" t="s">
        <v>118</v>
      </c>
      <c r="KE47" s="163">
        <v>8</v>
      </c>
      <c r="KF47" s="157" t="s">
        <v>36</v>
      </c>
      <c r="KG47" s="175">
        <v>239</v>
      </c>
      <c r="KH47" s="164">
        <v>0.83900000000000008</v>
      </c>
      <c r="KI47" s="140">
        <f t="shared" si="157"/>
        <v>200.52100000000002</v>
      </c>
      <c r="KJ47" s="149"/>
      <c r="KK47" s="528"/>
      <c r="KL47" s="143" t="s">
        <v>118</v>
      </c>
      <c r="KM47" s="163">
        <v>6</v>
      </c>
      <c r="KN47" s="157" t="s">
        <v>36</v>
      </c>
      <c r="KO47" s="175">
        <v>128</v>
      </c>
      <c r="KP47" s="164">
        <v>0.83900000000000008</v>
      </c>
      <c r="KQ47" s="140">
        <f t="shared" si="158"/>
        <v>107.39200000000001</v>
      </c>
      <c r="KR47" s="149"/>
      <c r="KS47" s="528"/>
      <c r="KT47" s="143" t="s">
        <v>118</v>
      </c>
      <c r="KU47" s="163">
        <v>43</v>
      </c>
      <c r="KV47" s="157" t="s">
        <v>36</v>
      </c>
      <c r="KW47" s="175">
        <v>674</v>
      </c>
      <c r="KX47" s="164">
        <v>0.83900000000000008</v>
      </c>
      <c r="KY47" s="140">
        <f t="shared" si="159"/>
        <v>565.4860000000001</v>
      </c>
      <c r="KZ47" s="149"/>
      <c r="LA47" s="528"/>
      <c r="LB47" s="143" t="s">
        <v>118</v>
      </c>
      <c r="LC47" s="163">
        <v>48</v>
      </c>
      <c r="LD47" s="157" t="s">
        <v>36</v>
      </c>
      <c r="LE47" s="175">
        <v>632</v>
      </c>
      <c r="LF47" s="164">
        <v>0.83900000000000008</v>
      </c>
      <c r="LG47" s="140">
        <f t="shared" si="160"/>
        <v>530.24800000000005</v>
      </c>
      <c r="LH47" s="149"/>
      <c r="LI47" s="528"/>
      <c r="LJ47" s="143" t="s">
        <v>118</v>
      </c>
      <c r="LK47" s="163">
        <v>39</v>
      </c>
      <c r="LL47" s="157" t="s">
        <v>36</v>
      </c>
      <c r="LM47" s="175">
        <v>396</v>
      </c>
      <c r="LN47" s="164">
        <v>0.83900000000000008</v>
      </c>
      <c r="LO47" s="140">
        <f t="shared" si="161"/>
        <v>332.24400000000003</v>
      </c>
      <c r="LP47" s="149"/>
      <c r="LQ47" s="528"/>
      <c r="LR47" s="143" t="s">
        <v>118</v>
      </c>
      <c r="LS47" s="163">
        <v>16</v>
      </c>
      <c r="LT47" s="157" t="s">
        <v>36</v>
      </c>
      <c r="LU47" s="175">
        <v>137</v>
      </c>
      <c r="LV47" s="164">
        <v>0.83900000000000008</v>
      </c>
      <c r="LW47" s="140">
        <f t="shared" si="162"/>
        <v>114.94300000000001</v>
      </c>
      <c r="LX47" s="149"/>
      <c r="LY47" s="528"/>
      <c r="LZ47" s="143" t="s">
        <v>118</v>
      </c>
      <c r="MA47" s="163">
        <v>24</v>
      </c>
      <c r="MB47" s="157" t="s">
        <v>36</v>
      </c>
      <c r="MC47" s="175">
        <v>186</v>
      </c>
      <c r="MD47" s="164">
        <v>0.83900000000000008</v>
      </c>
      <c r="ME47" s="140">
        <f t="shared" si="163"/>
        <v>156.054</v>
      </c>
      <c r="MF47" s="149"/>
      <c r="MG47" s="528"/>
      <c r="MH47" s="143" t="s">
        <v>118</v>
      </c>
      <c r="MI47" s="163">
        <v>34</v>
      </c>
      <c r="MJ47" s="157" t="s">
        <v>36</v>
      </c>
      <c r="MK47" s="175">
        <v>359</v>
      </c>
      <c r="ML47" s="164">
        <v>0.83900000000000008</v>
      </c>
      <c r="MM47" s="140">
        <f t="shared" si="164"/>
        <v>301.20100000000002</v>
      </c>
      <c r="MN47" s="149"/>
      <c r="MO47" s="528"/>
      <c r="MP47" s="143" t="s">
        <v>118</v>
      </c>
      <c r="MQ47" s="163">
        <v>6</v>
      </c>
      <c r="MR47" s="157" t="s">
        <v>36</v>
      </c>
      <c r="MS47" s="175">
        <v>71</v>
      </c>
      <c r="MT47" s="164">
        <v>0.83900000000000008</v>
      </c>
      <c r="MU47" s="140">
        <f t="shared" si="165"/>
        <v>59.569000000000003</v>
      </c>
      <c r="MV47" s="149"/>
      <c r="MW47" s="528"/>
      <c r="MX47" s="686" t="s">
        <v>363</v>
      </c>
      <c r="MY47" s="693">
        <v>30</v>
      </c>
      <c r="MZ47" s="694" t="s">
        <v>11</v>
      </c>
      <c r="NA47" s="683">
        <v>210</v>
      </c>
      <c r="NB47" s="684"/>
      <c r="NC47" s="685">
        <f t="shared" si="166"/>
        <v>0</v>
      </c>
      <c r="ND47" s="685">
        <f t="shared" si="166"/>
        <v>0</v>
      </c>
      <c r="NE47" s="528"/>
      <c r="NF47" s="686" t="s">
        <v>363</v>
      </c>
      <c r="NG47" s="693">
        <v>35</v>
      </c>
      <c r="NH47" s="694" t="s">
        <v>11</v>
      </c>
      <c r="NI47" s="683">
        <v>255</v>
      </c>
      <c r="NJ47" s="684"/>
      <c r="NK47" s="685">
        <f t="shared" si="167"/>
        <v>0</v>
      </c>
      <c r="NL47" s="685">
        <f t="shared" si="187"/>
        <v>0</v>
      </c>
      <c r="NM47" s="528"/>
      <c r="NN47" s="686" t="s">
        <v>363</v>
      </c>
      <c r="NO47" s="693">
        <v>25</v>
      </c>
      <c r="NP47" s="694" t="s">
        <v>11</v>
      </c>
      <c r="NQ47" s="683">
        <v>83</v>
      </c>
      <c r="NR47" s="684"/>
      <c r="NS47" s="685">
        <f t="shared" si="168"/>
        <v>0</v>
      </c>
      <c r="NT47" s="685">
        <f t="shared" si="188"/>
        <v>0</v>
      </c>
      <c r="NU47" s="528"/>
      <c r="NV47" s="686" t="s">
        <v>363</v>
      </c>
      <c r="NW47" s="693">
        <v>12</v>
      </c>
      <c r="NX47" s="694" t="s">
        <v>11</v>
      </c>
      <c r="NY47" s="683">
        <v>88</v>
      </c>
      <c r="NZ47" s="684"/>
      <c r="OA47" s="685">
        <f t="shared" si="169"/>
        <v>0</v>
      </c>
      <c r="OB47" s="685">
        <f t="shared" si="189"/>
        <v>0</v>
      </c>
      <c r="OC47" s="528"/>
      <c r="OD47" s="686" t="s">
        <v>363</v>
      </c>
      <c r="OE47" s="693">
        <v>29</v>
      </c>
      <c r="OF47" s="694" t="s">
        <v>11</v>
      </c>
      <c r="OG47" s="683">
        <v>289</v>
      </c>
      <c r="OH47" s="684"/>
      <c r="OI47" s="685">
        <f t="shared" si="170"/>
        <v>0</v>
      </c>
      <c r="OJ47" s="685">
        <f t="shared" si="190"/>
        <v>0</v>
      </c>
      <c r="OK47" s="528"/>
      <c r="OL47" s="686" t="s">
        <v>363</v>
      </c>
      <c r="OM47" s="693">
        <v>22</v>
      </c>
      <c r="ON47" s="694" t="s">
        <v>11</v>
      </c>
      <c r="OO47" s="683">
        <v>115</v>
      </c>
      <c r="OP47" s="684"/>
      <c r="OQ47" s="685">
        <f t="shared" si="171"/>
        <v>0</v>
      </c>
      <c r="OR47" s="685">
        <f t="shared" si="191"/>
        <v>0</v>
      </c>
      <c r="OS47" s="528"/>
      <c r="OT47" s="686" t="s">
        <v>363</v>
      </c>
      <c r="OU47" s="693"/>
      <c r="OV47" s="694" t="s">
        <v>11</v>
      </c>
      <c r="OW47" s="683"/>
      <c r="OX47" s="684"/>
      <c r="OY47" s="685">
        <f t="shared" si="172"/>
        <v>0</v>
      </c>
      <c r="OZ47" s="685">
        <f t="shared" si="192"/>
        <v>0</v>
      </c>
      <c r="PA47" s="528"/>
      <c r="PB47" s="686" t="s">
        <v>363</v>
      </c>
      <c r="PC47" s="693"/>
      <c r="PD47" s="694" t="s">
        <v>11</v>
      </c>
      <c r="PE47" s="683"/>
      <c r="PF47" s="684"/>
      <c r="PG47" s="685">
        <f t="shared" si="173"/>
        <v>0</v>
      </c>
      <c r="PH47" s="685">
        <f t="shared" si="193"/>
        <v>0</v>
      </c>
      <c r="PI47" s="528"/>
      <c r="PJ47" s="686" t="s">
        <v>363</v>
      </c>
      <c r="PK47" s="693">
        <v>1</v>
      </c>
      <c r="PL47" s="694" t="s">
        <v>11</v>
      </c>
      <c r="PM47" s="683">
        <v>4</v>
      </c>
      <c r="PN47" s="684"/>
      <c r="PO47" s="685">
        <f t="shared" si="174"/>
        <v>0</v>
      </c>
      <c r="PP47" s="685">
        <f t="shared" si="194"/>
        <v>0</v>
      </c>
      <c r="PQ47" s="528"/>
      <c r="PR47" s="686" t="s">
        <v>363</v>
      </c>
      <c r="PS47" s="693">
        <v>2</v>
      </c>
      <c r="PT47" s="694" t="s">
        <v>11</v>
      </c>
      <c r="PU47" s="683">
        <v>4</v>
      </c>
      <c r="PV47" s="684"/>
      <c r="PW47" s="685">
        <f t="shared" si="175"/>
        <v>0</v>
      </c>
      <c r="PX47" s="685">
        <f t="shared" si="195"/>
        <v>0</v>
      </c>
      <c r="PY47" s="528"/>
      <c r="PZ47" s="686" t="s">
        <v>363</v>
      </c>
      <c r="QA47" s="693">
        <v>11</v>
      </c>
      <c r="QB47" s="694" t="s">
        <v>11</v>
      </c>
      <c r="QC47" s="683">
        <v>92</v>
      </c>
      <c r="QD47" s="684"/>
      <c r="QE47" s="685">
        <f t="shared" si="176"/>
        <v>0</v>
      </c>
      <c r="QF47" s="685">
        <f t="shared" si="196"/>
        <v>0</v>
      </c>
      <c r="QG47" s="528"/>
      <c r="QH47" s="686" t="s">
        <v>363</v>
      </c>
      <c r="QI47" s="693">
        <v>3</v>
      </c>
      <c r="QJ47" s="694" t="s">
        <v>11</v>
      </c>
      <c r="QK47" s="683">
        <v>15</v>
      </c>
      <c r="QL47" s="684"/>
      <c r="QM47" s="685">
        <f t="shared" si="177"/>
        <v>0</v>
      </c>
      <c r="QN47" s="685">
        <f t="shared" si="197"/>
        <v>0</v>
      </c>
      <c r="QO47" s="528"/>
      <c r="QP47" s="686" t="s">
        <v>363</v>
      </c>
      <c r="QQ47" s="693">
        <v>17</v>
      </c>
      <c r="QR47" s="694" t="s">
        <v>11</v>
      </c>
      <c r="QS47" s="683">
        <v>310</v>
      </c>
      <c r="QT47" s="684"/>
      <c r="QU47" s="685">
        <f t="shared" si="178"/>
        <v>0</v>
      </c>
      <c r="QV47" s="685">
        <f t="shared" si="198"/>
        <v>0</v>
      </c>
      <c r="QW47" s="528"/>
      <c r="QX47" s="686" t="s">
        <v>363</v>
      </c>
      <c r="QY47" s="693"/>
      <c r="QZ47" s="694" t="s">
        <v>11</v>
      </c>
      <c r="RA47" s="683"/>
      <c r="RB47" s="684"/>
      <c r="RC47" s="685">
        <f t="shared" si="179"/>
        <v>0</v>
      </c>
      <c r="RD47" s="685">
        <f t="shared" si="199"/>
        <v>0</v>
      </c>
      <c r="RE47" s="528"/>
      <c r="RF47" s="686" t="s">
        <v>363</v>
      </c>
      <c r="RG47" s="693"/>
      <c r="RH47" s="694" t="s">
        <v>11</v>
      </c>
      <c r="RI47" s="683"/>
      <c r="RJ47" s="684"/>
      <c r="RK47" s="685">
        <f t="shared" si="180"/>
        <v>0</v>
      </c>
      <c r="RL47" s="685">
        <f t="shared" si="200"/>
        <v>0</v>
      </c>
      <c r="RM47" s="528"/>
      <c r="RN47" s="686" t="s">
        <v>363</v>
      </c>
      <c r="RO47" s="693">
        <v>13</v>
      </c>
      <c r="RP47" s="694" t="s">
        <v>11</v>
      </c>
      <c r="RQ47" s="683">
        <v>105</v>
      </c>
      <c r="RR47" s="684"/>
      <c r="RS47" s="685">
        <f t="shared" si="181"/>
        <v>0</v>
      </c>
      <c r="RT47" s="685">
        <f t="shared" si="201"/>
        <v>0</v>
      </c>
      <c r="RU47" s="528"/>
      <c r="RV47" s="686" t="s">
        <v>363</v>
      </c>
      <c r="RW47" s="693"/>
      <c r="RX47" s="694" t="s">
        <v>11</v>
      </c>
      <c r="RY47" s="683"/>
      <c r="RZ47" s="684"/>
      <c r="SA47" s="685">
        <f t="shared" si="182"/>
        <v>0</v>
      </c>
      <c r="SB47" s="685">
        <f t="shared" si="202"/>
        <v>0</v>
      </c>
      <c r="SC47" s="528"/>
      <c r="SD47" s="686" t="s">
        <v>363</v>
      </c>
      <c r="SE47" s="693">
        <v>6</v>
      </c>
      <c r="SF47" s="694" t="s">
        <v>11</v>
      </c>
      <c r="SG47" s="683">
        <v>26</v>
      </c>
      <c r="SH47" s="684"/>
      <c r="SI47" s="685">
        <f t="shared" si="183"/>
        <v>0</v>
      </c>
      <c r="SJ47" s="685">
        <f t="shared" si="203"/>
        <v>0</v>
      </c>
      <c r="SK47" s="528"/>
      <c r="SL47" s="686" t="s">
        <v>363</v>
      </c>
      <c r="SM47" s="693">
        <v>13</v>
      </c>
      <c r="SN47" s="694" t="s">
        <v>11</v>
      </c>
      <c r="SO47" s="683">
        <v>46</v>
      </c>
      <c r="SP47" s="684"/>
      <c r="SQ47" s="685">
        <f t="shared" si="184"/>
        <v>0</v>
      </c>
      <c r="SR47" s="685">
        <f t="shared" si="204"/>
        <v>0</v>
      </c>
      <c r="SS47" s="528"/>
      <c r="ST47" s="686" t="s">
        <v>363</v>
      </c>
      <c r="SU47" s="693">
        <v>8</v>
      </c>
      <c r="SV47" s="694" t="s">
        <v>11</v>
      </c>
      <c r="SW47" s="683">
        <v>131</v>
      </c>
      <c r="SX47" s="684"/>
      <c r="SY47" s="685">
        <f t="shared" si="185"/>
        <v>0</v>
      </c>
      <c r="SZ47" s="685">
        <f t="shared" si="205"/>
        <v>0</v>
      </c>
      <c r="TA47" s="528"/>
      <c r="TB47" s="686" t="s">
        <v>363</v>
      </c>
      <c r="TC47" s="693">
        <v>9</v>
      </c>
      <c r="TD47" s="694" t="s">
        <v>11</v>
      </c>
      <c r="TE47" s="683">
        <v>36</v>
      </c>
      <c r="TF47" s="684"/>
      <c r="TG47" s="685">
        <f t="shared" si="186"/>
        <v>0</v>
      </c>
      <c r="TH47" s="685">
        <f t="shared" si="206"/>
        <v>0</v>
      </c>
      <c r="TI47" s="528"/>
    </row>
    <row r="48" spans="2:529">
      <c r="B48" s="145"/>
      <c r="C48" s="146"/>
      <c r="D48" s="151" t="s">
        <v>20</v>
      </c>
      <c r="E48" s="138">
        <v>0</v>
      </c>
      <c r="F48" s="139"/>
      <c r="G48" s="140">
        <f t="shared" si="133"/>
        <v>0</v>
      </c>
      <c r="H48" s="150"/>
      <c r="I48" s="528"/>
      <c r="J48" s="145"/>
      <c r="K48" s="146">
        <v>10</v>
      </c>
      <c r="L48" s="151" t="s">
        <v>20</v>
      </c>
      <c r="M48" s="138">
        <v>1</v>
      </c>
      <c r="N48" s="139"/>
      <c r="O48" s="140">
        <f t="shared" si="134"/>
        <v>0</v>
      </c>
      <c r="P48" s="150"/>
      <c r="Q48" s="528"/>
      <c r="R48" s="145"/>
      <c r="S48" s="146">
        <v>10</v>
      </c>
      <c r="T48" s="151" t="s">
        <v>20</v>
      </c>
      <c r="U48" s="138">
        <v>0</v>
      </c>
      <c r="V48" s="139"/>
      <c r="W48" s="140">
        <f t="shared" si="135"/>
        <v>0</v>
      </c>
      <c r="X48" s="150"/>
      <c r="Y48" s="528"/>
      <c r="Z48" s="145"/>
      <c r="AA48" s="146">
        <v>10</v>
      </c>
      <c r="AB48" s="151" t="s">
        <v>20</v>
      </c>
      <c r="AC48" s="138"/>
      <c r="AD48" s="139"/>
      <c r="AE48" s="140">
        <f t="shared" si="136"/>
        <v>0</v>
      </c>
      <c r="AF48" s="150"/>
      <c r="AG48" s="528"/>
      <c r="AH48" s="145"/>
      <c r="AI48" s="146">
        <v>10</v>
      </c>
      <c r="AJ48" s="151" t="s">
        <v>20</v>
      </c>
      <c r="AK48" s="138">
        <v>0</v>
      </c>
      <c r="AL48" s="139"/>
      <c r="AM48" s="140">
        <f t="shared" si="137"/>
        <v>0</v>
      </c>
      <c r="AN48" s="150"/>
      <c r="AO48" s="528"/>
      <c r="AP48" s="145"/>
      <c r="AQ48" s="146">
        <v>10</v>
      </c>
      <c r="AR48" s="151" t="s">
        <v>20</v>
      </c>
      <c r="AS48" s="138"/>
      <c r="AT48" s="139"/>
      <c r="AU48" s="140">
        <f t="shared" si="138"/>
        <v>0</v>
      </c>
      <c r="AV48" s="150"/>
      <c r="AW48" s="528"/>
      <c r="AX48" s="145"/>
      <c r="AY48" s="146">
        <v>10</v>
      </c>
      <c r="AZ48" s="151" t="s">
        <v>20</v>
      </c>
      <c r="BA48" s="138"/>
      <c r="BB48" s="139"/>
      <c r="BC48" s="140">
        <f t="shared" si="139"/>
        <v>0</v>
      </c>
      <c r="BD48" s="150"/>
      <c r="BE48" s="528"/>
      <c r="BF48" s="145"/>
      <c r="BG48" s="146">
        <v>10</v>
      </c>
      <c r="BH48" s="151" t="s">
        <v>20</v>
      </c>
      <c r="BI48" s="138"/>
      <c r="BJ48" s="139"/>
      <c r="BK48" s="140">
        <f t="shared" si="140"/>
        <v>0</v>
      </c>
      <c r="BL48" s="150"/>
      <c r="BM48" s="528"/>
      <c r="BN48" s="145"/>
      <c r="BO48" s="146">
        <v>10</v>
      </c>
      <c r="BP48" s="151" t="s">
        <v>20</v>
      </c>
      <c r="BQ48" s="138"/>
      <c r="BR48" s="139"/>
      <c r="BS48" s="140">
        <f t="shared" si="141"/>
        <v>0</v>
      </c>
      <c r="BT48" s="150"/>
      <c r="BU48" s="528"/>
      <c r="BV48" s="536"/>
      <c r="BW48" s="537"/>
      <c r="BX48" s="543" t="s">
        <v>20</v>
      </c>
      <c r="BY48" s="560"/>
      <c r="BZ48" s="561"/>
      <c r="CA48" s="562">
        <f t="shared" si="142"/>
        <v>0</v>
      </c>
      <c r="CB48" s="569"/>
      <c r="CC48" s="528"/>
      <c r="CD48" s="536"/>
      <c r="CE48" s="537"/>
      <c r="CF48" s="543" t="s">
        <v>20</v>
      </c>
      <c r="CG48" s="560"/>
      <c r="CH48" s="561"/>
      <c r="CI48" s="562">
        <f t="shared" si="143"/>
        <v>0</v>
      </c>
      <c r="CJ48" s="569"/>
      <c r="CK48" s="528"/>
      <c r="CL48" s="145"/>
      <c r="CM48" s="146">
        <v>10</v>
      </c>
      <c r="CN48" s="151" t="s">
        <v>20</v>
      </c>
      <c r="CO48" s="138"/>
      <c r="CP48" s="139"/>
      <c r="CQ48" s="140">
        <f t="shared" si="144"/>
        <v>0</v>
      </c>
      <c r="CR48" s="150"/>
      <c r="CS48" s="528"/>
      <c r="CT48" s="145"/>
      <c r="CU48" s="146">
        <v>10</v>
      </c>
      <c r="CV48" s="151" t="s">
        <v>20</v>
      </c>
      <c r="CW48" s="138"/>
      <c r="CX48" s="139"/>
      <c r="CY48" s="140">
        <f t="shared" si="12"/>
        <v>0</v>
      </c>
      <c r="CZ48" s="150"/>
      <c r="DA48" s="528"/>
      <c r="DB48" s="145"/>
      <c r="DC48" s="146"/>
      <c r="DD48" s="151" t="s">
        <v>20</v>
      </c>
      <c r="DE48" s="138"/>
      <c r="DF48" s="139"/>
      <c r="DG48" s="140">
        <f t="shared" si="13"/>
        <v>0</v>
      </c>
      <c r="DH48" s="150"/>
      <c r="DI48" s="528"/>
      <c r="DJ48" s="145"/>
      <c r="DK48" s="146"/>
      <c r="DL48" s="151" t="s">
        <v>20</v>
      </c>
      <c r="DM48" s="138">
        <v>0</v>
      </c>
      <c r="DN48" s="170"/>
      <c r="DO48" s="140">
        <f t="shared" si="14"/>
        <v>0</v>
      </c>
      <c r="DP48" s="150"/>
      <c r="DQ48" s="528"/>
      <c r="DR48" s="145"/>
      <c r="DS48" s="146"/>
      <c r="DT48" s="151" t="s">
        <v>20</v>
      </c>
      <c r="DU48" s="138"/>
      <c r="DV48" s="170"/>
      <c r="DW48" s="140">
        <f t="shared" si="15"/>
        <v>0</v>
      </c>
      <c r="DX48" s="150"/>
      <c r="DY48" s="528"/>
      <c r="DZ48" s="145"/>
      <c r="EA48" s="146"/>
      <c r="EB48" s="151" t="s">
        <v>20</v>
      </c>
      <c r="EC48" s="138"/>
      <c r="ED48" s="170"/>
      <c r="EE48" s="140">
        <f t="shared" si="16"/>
        <v>0</v>
      </c>
      <c r="EF48" s="150"/>
      <c r="EG48" s="528"/>
      <c r="EH48" s="145"/>
      <c r="EI48" s="146"/>
      <c r="EJ48" s="151" t="s">
        <v>20</v>
      </c>
      <c r="EK48" s="138"/>
      <c r="EL48" s="170"/>
      <c r="EM48" s="140">
        <f t="shared" si="17"/>
        <v>0</v>
      </c>
      <c r="EN48" s="150"/>
      <c r="EO48" s="528"/>
      <c r="EP48" s="145"/>
      <c r="EQ48" s="146"/>
      <c r="ER48" s="151" t="s">
        <v>20</v>
      </c>
      <c r="ES48" s="138"/>
      <c r="ET48" s="170"/>
      <c r="EU48" s="140">
        <f t="shared" si="18"/>
        <v>0</v>
      </c>
      <c r="EV48" s="150"/>
      <c r="EW48" s="528"/>
      <c r="EX48" s="145"/>
      <c r="EY48" s="146"/>
      <c r="EZ48" s="151" t="s">
        <v>20</v>
      </c>
      <c r="FA48" s="138"/>
      <c r="FB48" s="170"/>
      <c r="FC48" s="140">
        <f t="shared" si="19"/>
        <v>0</v>
      </c>
      <c r="FD48" s="150"/>
      <c r="FE48" s="528"/>
      <c r="FF48" s="145"/>
      <c r="FG48" s="146"/>
      <c r="FH48" s="151" t="s">
        <v>20</v>
      </c>
      <c r="FI48" s="138"/>
      <c r="FJ48" s="170"/>
      <c r="FK48" s="140">
        <f t="shared" si="20"/>
        <v>0</v>
      </c>
      <c r="FL48" s="150"/>
      <c r="FM48" s="528"/>
      <c r="FN48" s="145"/>
      <c r="FO48" s="146"/>
      <c r="FP48" s="151" t="s">
        <v>20</v>
      </c>
      <c r="FQ48" s="138"/>
      <c r="FR48" s="170"/>
      <c r="FS48" s="140">
        <f t="shared" si="21"/>
        <v>0</v>
      </c>
      <c r="FT48" s="150"/>
      <c r="FU48" s="528"/>
      <c r="FV48" s="145"/>
      <c r="FW48" s="146"/>
      <c r="FX48" s="151" t="s">
        <v>20</v>
      </c>
      <c r="FY48" s="138"/>
      <c r="FZ48" s="170"/>
      <c r="GA48" s="140">
        <f t="shared" si="22"/>
        <v>0</v>
      </c>
      <c r="GB48" s="150"/>
      <c r="GC48" s="528"/>
      <c r="GD48" s="145"/>
      <c r="GE48" s="146"/>
      <c r="GF48" s="151" t="s">
        <v>20</v>
      </c>
      <c r="GG48" s="138"/>
      <c r="GH48" s="170"/>
      <c r="GI48" s="140">
        <f t="shared" si="23"/>
        <v>0</v>
      </c>
      <c r="GJ48" s="150"/>
      <c r="GK48" s="528"/>
      <c r="GL48" s="145"/>
      <c r="GM48" s="146"/>
      <c r="GN48" s="151" t="s">
        <v>20</v>
      </c>
      <c r="GO48" s="175">
        <v>0</v>
      </c>
      <c r="GP48" s="139"/>
      <c r="GQ48" s="140">
        <f t="shared" si="145"/>
        <v>0</v>
      </c>
      <c r="GR48" s="150"/>
      <c r="GS48" s="528"/>
      <c r="GT48" s="145"/>
      <c r="GU48" s="146"/>
      <c r="GV48" s="151" t="s">
        <v>20</v>
      </c>
      <c r="GW48" s="175">
        <v>0</v>
      </c>
      <c r="GX48" s="139"/>
      <c r="GY48" s="140">
        <f t="shared" si="146"/>
        <v>0</v>
      </c>
      <c r="GZ48" s="150"/>
      <c r="HA48" s="528"/>
      <c r="HB48" s="145"/>
      <c r="HC48" s="146"/>
      <c r="HD48" s="151" t="s">
        <v>20</v>
      </c>
      <c r="HE48" s="175">
        <v>0</v>
      </c>
      <c r="HF48" s="139"/>
      <c r="HG48" s="140">
        <f t="shared" si="147"/>
        <v>0</v>
      </c>
      <c r="HH48" s="150"/>
      <c r="HI48" s="528"/>
      <c r="HJ48" s="145"/>
      <c r="HK48" s="146"/>
      <c r="HL48" s="151" t="s">
        <v>20</v>
      </c>
      <c r="HM48" s="175">
        <v>0</v>
      </c>
      <c r="HN48" s="139"/>
      <c r="HO48" s="140">
        <f t="shared" si="148"/>
        <v>0</v>
      </c>
      <c r="HP48" s="150"/>
      <c r="HQ48" s="528"/>
      <c r="HR48" s="145"/>
      <c r="HS48" s="146"/>
      <c r="HT48" s="151" t="s">
        <v>20</v>
      </c>
      <c r="HU48" s="175">
        <v>0</v>
      </c>
      <c r="HV48" s="139"/>
      <c r="HW48" s="140">
        <f t="shared" si="149"/>
        <v>0</v>
      </c>
      <c r="HX48" s="150"/>
      <c r="HY48" s="528"/>
      <c r="HZ48" s="145"/>
      <c r="IA48" s="146"/>
      <c r="IB48" s="151" t="s">
        <v>20</v>
      </c>
      <c r="IC48" s="175">
        <v>0</v>
      </c>
      <c r="ID48" s="139"/>
      <c r="IE48" s="140">
        <f t="shared" si="150"/>
        <v>0</v>
      </c>
      <c r="IF48" s="150"/>
      <c r="IG48" s="528"/>
      <c r="IH48" s="145"/>
      <c r="II48" s="146"/>
      <c r="IJ48" s="151" t="s">
        <v>20</v>
      </c>
      <c r="IK48" s="175">
        <v>4</v>
      </c>
      <c r="IL48" s="139"/>
      <c r="IM48" s="140">
        <f t="shared" si="151"/>
        <v>0</v>
      </c>
      <c r="IN48" s="150"/>
      <c r="IO48" s="528"/>
      <c r="IP48" s="145"/>
      <c r="IQ48" s="146"/>
      <c r="IR48" s="151" t="s">
        <v>20</v>
      </c>
      <c r="IS48" s="175">
        <v>0</v>
      </c>
      <c r="IT48" s="139"/>
      <c r="IU48" s="140">
        <f t="shared" si="152"/>
        <v>0</v>
      </c>
      <c r="IV48" s="150"/>
      <c r="IW48" s="528"/>
      <c r="IX48" s="145"/>
      <c r="IY48" s="146"/>
      <c r="IZ48" s="151" t="s">
        <v>20</v>
      </c>
      <c r="JA48" s="175">
        <v>0</v>
      </c>
      <c r="JB48" s="139"/>
      <c r="JC48" s="140">
        <f t="shared" si="153"/>
        <v>0</v>
      </c>
      <c r="JD48" s="150"/>
      <c r="JE48" s="528"/>
      <c r="JF48" s="145"/>
      <c r="JG48" s="146"/>
      <c r="JH48" s="151" t="s">
        <v>20</v>
      </c>
      <c r="JI48" s="175">
        <v>0</v>
      </c>
      <c r="JJ48" s="139"/>
      <c r="JK48" s="140">
        <f t="shared" si="154"/>
        <v>0</v>
      </c>
      <c r="JL48" s="150"/>
      <c r="JM48" s="528"/>
      <c r="JN48" s="145"/>
      <c r="JO48" s="146"/>
      <c r="JP48" s="151" t="s">
        <v>20</v>
      </c>
      <c r="JQ48" s="175">
        <v>0</v>
      </c>
      <c r="JR48" s="139"/>
      <c r="JS48" s="140">
        <f t="shared" si="155"/>
        <v>0</v>
      </c>
      <c r="JT48" s="150"/>
      <c r="JU48" s="528"/>
      <c r="JV48" s="145"/>
      <c r="JW48" s="146"/>
      <c r="JX48" s="151" t="s">
        <v>20</v>
      </c>
      <c r="JY48" s="175">
        <v>0</v>
      </c>
      <c r="JZ48" s="139"/>
      <c r="KA48" s="140">
        <f t="shared" si="156"/>
        <v>0</v>
      </c>
      <c r="KB48" s="150"/>
      <c r="KC48" s="528"/>
      <c r="KD48" s="145"/>
      <c r="KE48" s="146"/>
      <c r="KF48" s="151" t="s">
        <v>20</v>
      </c>
      <c r="KG48" s="175">
        <v>0</v>
      </c>
      <c r="KH48" s="139"/>
      <c r="KI48" s="140">
        <f t="shared" si="157"/>
        <v>0</v>
      </c>
      <c r="KJ48" s="150"/>
      <c r="KK48" s="528"/>
      <c r="KL48" s="145"/>
      <c r="KM48" s="146"/>
      <c r="KN48" s="151" t="s">
        <v>20</v>
      </c>
      <c r="KO48" s="175">
        <v>0</v>
      </c>
      <c r="KP48" s="139"/>
      <c r="KQ48" s="140">
        <f t="shared" si="158"/>
        <v>0</v>
      </c>
      <c r="KR48" s="150"/>
      <c r="KS48" s="528"/>
      <c r="KT48" s="145"/>
      <c r="KU48" s="146"/>
      <c r="KV48" s="151" t="s">
        <v>20</v>
      </c>
      <c r="KW48" s="175">
        <v>0</v>
      </c>
      <c r="KX48" s="139"/>
      <c r="KY48" s="140">
        <f t="shared" si="159"/>
        <v>0</v>
      </c>
      <c r="KZ48" s="150"/>
      <c r="LA48" s="528"/>
      <c r="LB48" s="145"/>
      <c r="LC48" s="146"/>
      <c r="LD48" s="151" t="s">
        <v>20</v>
      </c>
      <c r="LE48" s="175">
        <v>0</v>
      </c>
      <c r="LF48" s="139"/>
      <c r="LG48" s="140">
        <f t="shared" si="160"/>
        <v>0</v>
      </c>
      <c r="LH48" s="150"/>
      <c r="LI48" s="528"/>
      <c r="LJ48" s="145"/>
      <c r="LK48" s="146"/>
      <c r="LL48" s="151" t="s">
        <v>20</v>
      </c>
      <c r="LM48" s="175">
        <v>0</v>
      </c>
      <c r="LN48" s="139"/>
      <c r="LO48" s="140">
        <f t="shared" si="161"/>
        <v>0</v>
      </c>
      <c r="LP48" s="150"/>
      <c r="LQ48" s="528"/>
      <c r="LR48" s="145"/>
      <c r="LS48" s="146"/>
      <c r="LT48" s="151" t="s">
        <v>20</v>
      </c>
      <c r="LU48" s="175"/>
      <c r="LV48" s="139"/>
      <c r="LW48" s="140">
        <f t="shared" si="162"/>
        <v>0</v>
      </c>
      <c r="LX48" s="150"/>
      <c r="LY48" s="528"/>
      <c r="LZ48" s="145"/>
      <c r="MA48" s="146"/>
      <c r="MB48" s="151" t="s">
        <v>20</v>
      </c>
      <c r="MC48" s="175"/>
      <c r="MD48" s="139"/>
      <c r="ME48" s="140">
        <f t="shared" si="163"/>
        <v>0</v>
      </c>
      <c r="MF48" s="150"/>
      <c r="MG48" s="528"/>
      <c r="MH48" s="145"/>
      <c r="MI48" s="146"/>
      <c r="MJ48" s="151" t="s">
        <v>20</v>
      </c>
      <c r="MK48" s="175"/>
      <c r="ML48" s="139"/>
      <c r="MM48" s="140">
        <f t="shared" si="164"/>
        <v>0</v>
      </c>
      <c r="MN48" s="150"/>
      <c r="MO48" s="528"/>
      <c r="MP48" s="145"/>
      <c r="MQ48" s="146"/>
      <c r="MR48" s="151" t="s">
        <v>20</v>
      </c>
      <c r="MS48" s="175"/>
      <c r="MT48" s="139"/>
      <c r="MU48" s="140">
        <f t="shared" si="165"/>
        <v>0</v>
      </c>
      <c r="MV48" s="150"/>
      <c r="MW48" s="528"/>
      <c r="MX48" s="686" t="s">
        <v>364</v>
      </c>
      <c r="MY48" s="687">
        <v>16</v>
      </c>
      <c r="MZ48" s="682" t="s">
        <v>11</v>
      </c>
      <c r="NA48" s="683">
        <v>141</v>
      </c>
      <c r="NB48" s="692"/>
      <c r="NC48" s="685">
        <f t="shared" si="166"/>
        <v>0</v>
      </c>
      <c r="ND48" s="685">
        <f t="shared" si="166"/>
        <v>0</v>
      </c>
      <c r="NE48" s="528"/>
      <c r="NF48" s="686" t="s">
        <v>364</v>
      </c>
      <c r="NG48" s="687">
        <v>14</v>
      </c>
      <c r="NH48" s="682" t="s">
        <v>11</v>
      </c>
      <c r="NI48" s="683">
        <v>145</v>
      </c>
      <c r="NJ48" s="692"/>
      <c r="NK48" s="685">
        <f t="shared" si="167"/>
        <v>0</v>
      </c>
      <c r="NL48" s="685">
        <f t="shared" si="187"/>
        <v>0</v>
      </c>
      <c r="NM48" s="528"/>
      <c r="NN48" s="686" t="s">
        <v>364</v>
      </c>
      <c r="NO48" s="687">
        <v>16</v>
      </c>
      <c r="NP48" s="682" t="s">
        <v>11</v>
      </c>
      <c r="NQ48" s="683">
        <v>108</v>
      </c>
      <c r="NR48" s="692"/>
      <c r="NS48" s="685">
        <f t="shared" si="168"/>
        <v>0</v>
      </c>
      <c r="NT48" s="685">
        <f t="shared" si="188"/>
        <v>0</v>
      </c>
      <c r="NU48" s="528"/>
      <c r="NV48" s="686" t="s">
        <v>364</v>
      </c>
      <c r="NW48" s="687">
        <v>5</v>
      </c>
      <c r="NX48" s="682" t="s">
        <v>11</v>
      </c>
      <c r="NY48" s="683">
        <v>41</v>
      </c>
      <c r="NZ48" s="692"/>
      <c r="OA48" s="685">
        <f t="shared" si="169"/>
        <v>0</v>
      </c>
      <c r="OB48" s="685">
        <f t="shared" si="189"/>
        <v>0</v>
      </c>
      <c r="OC48" s="528"/>
      <c r="OD48" s="686" t="s">
        <v>364</v>
      </c>
      <c r="OE48" s="687">
        <v>13</v>
      </c>
      <c r="OF48" s="682" t="s">
        <v>11</v>
      </c>
      <c r="OG48" s="683">
        <v>170</v>
      </c>
      <c r="OH48" s="692"/>
      <c r="OI48" s="685">
        <f t="shared" si="170"/>
        <v>0</v>
      </c>
      <c r="OJ48" s="685">
        <f t="shared" si="190"/>
        <v>0</v>
      </c>
      <c r="OK48" s="528"/>
      <c r="OL48" s="686" t="s">
        <v>364</v>
      </c>
      <c r="OM48" s="687">
        <v>23</v>
      </c>
      <c r="ON48" s="682" t="s">
        <v>11</v>
      </c>
      <c r="OO48" s="683">
        <v>289</v>
      </c>
      <c r="OP48" s="692"/>
      <c r="OQ48" s="685">
        <f t="shared" si="171"/>
        <v>0</v>
      </c>
      <c r="OR48" s="685">
        <f t="shared" si="191"/>
        <v>0</v>
      </c>
      <c r="OS48" s="528"/>
      <c r="OT48" s="686" t="s">
        <v>364</v>
      </c>
      <c r="OU48" s="687"/>
      <c r="OV48" s="682" t="s">
        <v>11</v>
      </c>
      <c r="OW48" s="683"/>
      <c r="OX48" s="692"/>
      <c r="OY48" s="685">
        <f t="shared" si="172"/>
        <v>0</v>
      </c>
      <c r="OZ48" s="685">
        <f t="shared" si="192"/>
        <v>0</v>
      </c>
      <c r="PA48" s="528"/>
      <c r="PB48" s="686" t="s">
        <v>364</v>
      </c>
      <c r="PC48" s="687"/>
      <c r="PD48" s="682" t="s">
        <v>11</v>
      </c>
      <c r="PE48" s="683"/>
      <c r="PF48" s="692"/>
      <c r="PG48" s="685">
        <f t="shared" si="173"/>
        <v>0</v>
      </c>
      <c r="PH48" s="685">
        <f t="shared" si="193"/>
        <v>0</v>
      </c>
      <c r="PI48" s="528"/>
      <c r="PJ48" s="686" t="s">
        <v>364</v>
      </c>
      <c r="PK48" s="687">
        <v>1</v>
      </c>
      <c r="PL48" s="682" t="s">
        <v>11</v>
      </c>
      <c r="PM48" s="683">
        <v>11</v>
      </c>
      <c r="PN48" s="692"/>
      <c r="PO48" s="685">
        <f t="shared" si="174"/>
        <v>0</v>
      </c>
      <c r="PP48" s="685">
        <f t="shared" si="194"/>
        <v>0</v>
      </c>
      <c r="PQ48" s="528"/>
      <c r="PR48" s="686" t="s">
        <v>364</v>
      </c>
      <c r="PS48" s="687">
        <v>7</v>
      </c>
      <c r="PT48" s="682" t="s">
        <v>11</v>
      </c>
      <c r="PU48" s="683">
        <v>38</v>
      </c>
      <c r="PV48" s="692"/>
      <c r="PW48" s="685">
        <f t="shared" si="175"/>
        <v>0</v>
      </c>
      <c r="PX48" s="685">
        <f t="shared" si="195"/>
        <v>0</v>
      </c>
      <c r="PY48" s="528"/>
      <c r="PZ48" s="686" t="s">
        <v>364</v>
      </c>
      <c r="QA48" s="687">
        <v>6</v>
      </c>
      <c r="QB48" s="682" t="s">
        <v>11</v>
      </c>
      <c r="QC48" s="683">
        <v>26</v>
      </c>
      <c r="QD48" s="692"/>
      <c r="QE48" s="685">
        <f t="shared" si="176"/>
        <v>0</v>
      </c>
      <c r="QF48" s="685">
        <f t="shared" si="196"/>
        <v>0</v>
      </c>
      <c r="QG48" s="528"/>
      <c r="QH48" s="686" t="s">
        <v>364</v>
      </c>
      <c r="QI48" s="687">
        <v>3</v>
      </c>
      <c r="QJ48" s="682" t="s">
        <v>11</v>
      </c>
      <c r="QK48" s="683">
        <v>9</v>
      </c>
      <c r="QL48" s="692"/>
      <c r="QM48" s="685">
        <f t="shared" si="177"/>
        <v>0</v>
      </c>
      <c r="QN48" s="685">
        <f t="shared" si="197"/>
        <v>0</v>
      </c>
      <c r="QO48" s="528"/>
      <c r="QP48" s="686" t="s">
        <v>364</v>
      </c>
      <c r="QQ48" s="687">
        <v>6</v>
      </c>
      <c r="QR48" s="682" t="s">
        <v>11</v>
      </c>
      <c r="QS48" s="683">
        <v>25</v>
      </c>
      <c r="QT48" s="692"/>
      <c r="QU48" s="685">
        <f t="shared" si="178"/>
        <v>0</v>
      </c>
      <c r="QV48" s="685">
        <f t="shared" si="198"/>
        <v>0</v>
      </c>
      <c r="QW48" s="528"/>
      <c r="QX48" s="686" t="s">
        <v>364</v>
      </c>
      <c r="QY48" s="687"/>
      <c r="QZ48" s="682" t="s">
        <v>11</v>
      </c>
      <c r="RA48" s="683"/>
      <c r="RB48" s="692"/>
      <c r="RC48" s="685">
        <f t="shared" si="179"/>
        <v>0</v>
      </c>
      <c r="RD48" s="685">
        <f t="shared" si="199"/>
        <v>0</v>
      </c>
      <c r="RE48" s="528"/>
      <c r="RF48" s="686" t="s">
        <v>364</v>
      </c>
      <c r="RG48" s="687"/>
      <c r="RH48" s="682" t="s">
        <v>11</v>
      </c>
      <c r="RI48" s="683"/>
      <c r="RJ48" s="692"/>
      <c r="RK48" s="685">
        <f t="shared" si="180"/>
        <v>0</v>
      </c>
      <c r="RL48" s="685">
        <f t="shared" si="200"/>
        <v>0</v>
      </c>
      <c r="RM48" s="528"/>
      <c r="RN48" s="686" t="s">
        <v>364</v>
      </c>
      <c r="RO48" s="687">
        <v>4</v>
      </c>
      <c r="RP48" s="682" t="s">
        <v>11</v>
      </c>
      <c r="RQ48" s="683">
        <v>39</v>
      </c>
      <c r="RR48" s="692"/>
      <c r="RS48" s="685">
        <f t="shared" si="181"/>
        <v>0</v>
      </c>
      <c r="RT48" s="685">
        <f t="shared" si="201"/>
        <v>0</v>
      </c>
      <c r="RU48" s="528"/>
      <c r="RV48" s="686" t="s">
        <v>364</v>
      </c>
      <c r="RW48" s="687">
        <v>1</v>
      </c>
      <c r="RX48" s="682" t="s">
        <v>11</v>
      </c>
      <c r="RY48" s="683">
        <v>10</v>
      </c>
      <c r="RZ48" s="692"/>
      <c r="SA48" s="685">
        <f t="shared" si="182"/>
        <v>0</v>
      </c>
      <c r="SB48" s="685">
        <f t="shared" si="202"/>
        <v>0</v>
      </c>
      <c r="SC48" s="528"/>
      <c r="SD48" s="686" t="s">
        <v>364</v>
      </c>
      <c r="SE48" s="687">
        <v>9</v>
      </c>
      <c r="SF48" s="682" t="s">
        <v>11</v>
      </c>
      <c r="SG48" s="683">
        <v>61</v>
      </c>
      <c r="SH48" s="692"/>
      <c r="SI48" s="685">
        <f t="shared" si="183"/>
        <v>0</v>
      </c>
      <c r="SJ48" s="685">
        <f t="shared" si="203"/>
        <v>0</v>
      </c>
      <c r="SK48" s="528"/>
      <c r="SL48" s="686" t="s">
        <v>364</v>
      </c>
      <c r="SM48" s="687">
        <v>20</v>
      </c>
      <c r="SN48" s="682" t="s">
        <v>11</v>
      </c>
      <c r="SO48" s="683">
        <v>128</v>
      </c>
      <c r="SP48" s="692"/>
      <c r="SQ48" s="685">
        <f t="shared" si="184"/>
        <v>0</v>
      </c>
      <c r="SR48" s="685">
        <f t="shared" si="204"/>
        <v>0</v>
      </c>
      <c r="SS48" s="528"/>
      <c r="ST48" s="686" t="s">
        <v>364</v>
      </c>
      <c r="SU48" s="687">
        <v>7</v>
      </c>
      <c r="SV48" s="682" t="s">
        <v>11</v>
      </c>
      <c r="SW48" s="683">
        <v>49</v>
      </c>
      <c r="SX48" s="692"/>
      <c r="SY48" s="685">
        <f t="shared" si="185"/>
        <v>0</v>
      </c>
      <c r="SZ48" s="685">
        <f t="shared" si="205"/>
        <v>0</v>
      </c>
      <c r="TA48" s="528"/>
      <c r="TB48" s="686" t="s">
        <v>364</v>
      </c>
      <c r="TC48" s="687">
        <v>15</v>
      </c>
      <c r="TD48" s="682" t="s">
        <v>11</v>
      </c>
      <c r="TE48" s="683">
        <v>78</v>
      </c>
      <c r="TF48" s="692"/>
      <c r="TG48" s="685">
        <f t="shared" si="186"/>
        <v>0</v>
      </c>
      <c r="TH48" s="685">
        <f t="shared" si="206"/>
        <v>0</v>
      </c>
      <c r="TI48" s="528"/>
    </row>
    <row r="49" spans="2:529">
      <c r="B49" s="145"/>
      <c r="C49" s="146"/>
      <c r="D49" s="157" t="s">
        <v>84</v>
      </c>
      <c r="E49" s="138">
        <v>0</v>
      </c>
      <c r="F49" s="139"/>
      <c r="G49" s="140">
        <f t="shared" si="133"/>
        <v>0</v>
      </c>
      <c r="H49" s="150"/>
      <c r="I49" s="528"/>
      <c r="J49" s="145"/>
      <c r="K49" s="146">
        <v>8</v>
      </c>
      <c r="L49" s="157" t="s">
        <v>84</v>
      </c>
      <c r="M49" s="138">
        <v>3</v>
      </c>
      <c r="N49" s="139"/>
      <c r="O49" s="140">
        <f t="shared" si="134"/>
        <v>0</v>
      </c>
      <c r="P49" s="150"/>
      <c r="Q49" s="528"/>
      <c r="R49" s="145"/>
      <c r="S49" s="146">
        <v>8</v>
      </c>
      <c r="T49" s="157" t="s">
        <v>84</v>
      </c>
      <c r="U49" s="138">
        <v>0</v>
      </c>
      <c r="V49" s="139"/>
      <c r="W49" s="140">
        <f t="shared" si="135"/>
        <v>0</v>
      </c>
      <c r="X49" s="150"/>
      <c r="Y49" s="528"/>
      <c r="Z49" s="145"/>
      <c r="AA49" s="146">
        <v>8</v>
      </c>
      <c r="AB49" s="157" t="s">
        <v>84</v>
      </c>
      <c r="AC49" s="138"/>
      <c r="AD49" s="139"/>
      <c r="AE49" s="140">
        <f t="shared" si="136"/>
        <v>0</v>
      </c>
      <c r="AF49" s="150"/>
      <c r="AG49" s="528"/>
      <c r="AH49" s="145"/>
      <c r="AI49" s="146">
        <v>8</v>
      </c>
      <c r="AJ49" s="157" t="s">
        <v>84</v>
      </c>
      <c r="AK49" s="138">
        <v>0</v>
      </c>
      <c r="AL49" s="139"/>
      <c r="AM49" s="140">
        <f t="shared" si="137"/>
        <v>0</v>
      </c>
      <c r="AN49" s="150"/>
      <c r="AO49" s="528"/>
      <c r="AP49" s="145"/>
      <c r="AQ49" s="146">
        <v>8</v>
      </c>
      <c r="AR49" s="157" t="s">
        <v>84</v>
      </c>
      <c r="AS49" s="138"/>
      <c r="AT49" s="139"/>
      <c r="AU49" s="140">
        <f t="shared" si="138"/>
        <v>0</v>
      </c>
      <c r="AV49" s="150"/>
      <c r="AW49" s="528"/>
      <c r="AX49" s="145"/>
      <c r="AY49" s="146">
        <v>8</v>
      </c>
      <c r="AZ49" s="157" t="s">
        <v>84</v>
      </c>
      <c r="BA49" s="138"/>
      <c r="BB49" s="139"/>
      <c r="BC49" s="140">
        <f t="shared" si="139"/>
        <v>0</v>
      </c>
      <c r="BD49" s="150"/>
      <c r="BE49" s="528"/>
      <c r="BF49" s="145"/>
      <c r="BG49" s="146">
        <v>8</v>
      </c>
      <c r="BH49" s="157" t="s">
        <v>84</v>
      </c>
      <c r="BI49" s="138"/>
      <c r="BJ49" s="139"/>
      <c r="BK49" s="140">
        <f t="shared" si="140"/>
        <v>0</v>
      </c>
      <c r="BL49" s="150"/>
      <c r="BM49" s="528"/>
      <c r="BN49" s="145"/>
      <c r="BO49" s="146">
        <v>8</v>
      </c>
      <c r="BP49" s="157" t="s">
        <v>84</v>
      </c>
      <c r="BQ49" s="138"/>
      <c r="BR49" s="139"/>
      <c r="BS49" s="140">
        <f t="shared" si="141"/>
        <v>0</v>
      </c>
      <c r="BT49" s="150"/>
      <c r="BU49" s="528"/>
      <c r="BV49" s="536"/>
      <c r="BW49" s="537"/>
      <c r="BX49" s="574" t="s">
        <v>84</v>
      </c>
      <c r="BY49" s="560"/>
      <c r="BZ49" s="561"/>
      <c r="CA49" s="562">
        <f t="shared" si="142"/>
        <v>0</v>
      </c>
      <c r="CB49" s="569"/>
      <c r="CC49" s="528"/>
      <c r="CD49" s="536"/>
      <c r="CE49" s="537"/>
      <c r="CF49" s="574" t="s">
        <v>84</v>
      </c>
      <c r="CG49" s="560"/>
      <c r="CH49" s="561"/>
      <c r="CI49" s="562">
        <f t="shared" si="143"/>
        <v>0</v>
      </c>
      <c r="CJ49" s="569"/>
      <c r="CK49" s="528"/>
      <c r="CL49" s="145"/>
      <c r="CM49" s="146">
        <v>8</v>
      </c>
      <c r="CN49" s="157" t="s">
        <v>84</v>
      </c>
      <c r="CO49" s="138">
        <v>0</v>
      </c>
      <c r="CP49" s="139"/>
      <c r="CQ49" s="140">
        <f t="shared" si="144"/>
        <v>0</v>
      </c>
      <c r="CR49" s="150"/>
      <c r="CS49" s="528"/>
      <c r="CT49" s="145"/>
      <c r="CU49" s="146">
        <v>8</v>
      </c>
      <c r="CV49" s="157" t="s">
        <v>84</v>
      </c>
      <c r="CW49" s="138"/>
      <c r="CX49" s="139"/>
      <c r="CY49" s="140">
        <f t="shared" si="12"/>
        <v>0</v>
      </c>
      <c r="CZ49" s="150"/>
      <c r="DA49" s="528"/>
      <c r="DB49" s="145"/>
      <c r="DC49" s="146"/>
      <c r="DD49" s="157" t="s">
        <v>84</v>
      </c>
      <c r="DE49" s="138"/>
      <c r="DF49" s="139"/>
      <c r="DG49" s="140">
        <f t="shared" si="13"/>
        <v>0</v>
      </c>
      <c r="DH49" s="150"/>
      <c r="DI49" s="528"/>
      <c r="DJ49" s="145"/>
      <c r="DK49" s="146"/>
      <c r="DL49" s="157" t="s">
        <v>84</v>
      </c>
      <c r="DM49" s="138">
        <v>0</v>
      </c>
      <c r="DN49" s="170"/>
      <c r="DO49" s="140">
        <f t="shared" si="14"/>
        <v>0</v>
      </c>
      <c r="DP49" s="150"/>
      <c r="DQ49" s="528"/>
      <c r="DR49" s="145"/>
      <c r="DS49" s="146"/>
      <c r="DT49" s="157" t="s">
        <v>84</v>
      </c>
      <c r="DU49" s="138"/>
      <c r="DV49" s="170"/>
      <c r="DW49" s="140">
        <f t="shared" si="15"/>
        <v>0</v>
      </c>
      <c r="DX49" s="150"/>
      <c r="DY49" s="528"/>
      <c r="DZ49" s="145"/>
      <c r="EA49" s="146"/>
      <c r="EB49" s="157" t="s">
        <v>84</v>
      </c>
      <c r="EC49" s="138"/>
      <c r="ED49" s="170"/>
      <c r="EE49" s="140">
        <f t="shared" si="16"/>
        <v>0</v>
      </c>
      <c r="EF49" s="150"/>
      <c r="EG49" s="528"/>
      <c r="EH49" s="145"/>
      <c r="EI49" s="146"/>
      <c r="EJ49" s="157" t="s">
        <v>84</v>
      </c>
      <c r="EK49" s="138"/>
      <c r="EL49" s="170"/>
      <c r="EM49" s="140">
        <f t="shared" si="17"/>
        <v>0</v>
      </c>
      <c r="EN49" s="150"/>
      <c r="EO49" s="528"/>
      <c r="EP49" s="145"/>
      <c r="EQ49" s="146"/>
      <c r="ER49" s="157" t="s">
        <v>84</v>
      </c>
      <c r="ES49" s="138"/>
      <c r="ET49" s="170"/>
      <c r="EU49" s="140">
        <f t="shared" si="18"/>
        <v>0</v>
      </c>
      <c r="EV49" s="150"/>
      <c r="EW49" s="528"/>
      <c r="EX49" s="145"/>
      <c r="EY49" s="146"/>
      <c r="EZ49" s="157" t="s">
        <v>84</v>
      </c>
      <c r="FA49" s="138"/>
      <c r="FB49" s="170"/>
      <c r="FC49" s="140">
        <f t="shared" si="19"/>
        <v>0</v>
      </c>
      <c r="FD49" s="150"/>
      <c r="FE49" s="528"/>
      <c r="FF49" s="145"/>
      <c r="FG49" s="146"/>
      <c r="FH49" s="157" t="s">
        <v>84</v>
      </c>
      <c r="FI49" s="138"/>
      <c r="FJ49" s="170"/>
      <c r="FK49" s="140">
        <f t="shared" si="20"/>
        <v>0</v>
      </c>
      <c r="FL49" s="150"/>
      <c r="FM49" s="528"/>
      <c r="FN49" s="145"/>
      <c r="FO49" s="146"/>
      <c r="FP49" s="157" t="s">
        <v>84</v>
      </c>
      <c r="FQ49" s="138"/>
      <c r="FR49" s="170"/>
      <c r="FS49" s="140">
        <f t="shared" si="21"/>
        <v>0</v>
      </c>
      <c r="FT49" s="150"/>
      <c r="FU49" s="528"/>
      <c r="FV49" s="145"/>
      <c r="FW49" s="146"/>
      <c r="FX49" s="157" t="s">
        <v>84</v>
      </c>
      <c r="FY49" s="138"/>
      <c r="FZ49" s="170"/>
      <c r="GA49" s="140">
        <f t="shared" si="22"/>
        <v>0</v>
      </c>
      <c r="GB49" s="150"/>
      <c r="GC49" s="528"/>
      <c r="GD49" s="145"/>
      <c r="GE49" s="146"/>
      <c r="GF49" s="157" t="s">
        <v>84</v>
      </c>
      <c r="GG49" s="138"/>
      <c r="GH49" s="170"/>
      <c r="GI49" s="140">
        <f t="shared" si="23"/>
        <v>0</v>
      </c>
      <c r="GJ49" s="150"/>
      <c r="GK49" s="528"/>
      <c r="GL49" s="145"/>
      <c r="GM49" s="146"/>
      <c r="GN49" s="157" t="s">
        <v>84</v>
      </c>
      <c r="GO49" s="175">
        <v>0</v>
      </c>
      <c r="GP49" s="139"/>
      <c r="GQ49" s="140">
        <f t="shared" si="145"/>
        <v>0</v>
      </c>
      <c r="GR49" s="150"/>
      <c r="GS49" s="528"/>
      <c r="GT49" s="145"/>
      <c r="GU49" s="146"/>
      <c r="GV49" s="157" t="s">
        <v>84</v>
      </c>
      <c r="GW49" s="175">
        <v>0</v>
      </c>
      <c r="GX49" s="139"/>
      <c r="GY49" s="140">
        <f t="shared" si="146"/>
        <v>0</v>
      </c>
      <c r="GZ49" s="150"/>
      <c r="HA49" s="528"/>
      <c r="HB49" s="145"/>
      <c r="HC49" s="146"/>
      <c r="HD49" s="157" t="s">
        <v>84</v>
      </c>
      <c r="HE49" s="175">
        <v>0</v>
      </c>
      <c r="HF49" s="139"/>
      <c r="HG49" s="140">
        <f t="shared" si="147"/>
        <v>0</v>
      </c>
      <c r="HH49" s="150"/>
      <c r="HI49" s="528"/>
      <c r="HJ49" s="145"/>
      <c r="HK49" s="146"/>
      <c r="HL49" s="157" t="s">
        <v>84</v>
      </c>
      <c r="HM49" s="175">
        <v>0</v>
      </c>
      <c r="HN49" s="139"/>
      <c r="HO49" s="140">
        <f t="shared" si="148"/>
        <v>0</v>
      </c>
      <c r="HP49" s="150"/>
      <c r="HQ49" s="528"/>
      <c r="HR49" s="145"/>
      <c r="HS49" s="146"/>
      <c r="HT49" s="157" t="s">
        <v>84</v>
      </c>
      <c r="HU49" s="175">
        <v>0</v>
      </c>
      <c r="HV49" s="139"/>
      <c r="HW49" s="140">
        <f t="shared" si="149"/>
        <v>0</v>
      </c>
      <c r="HX49" s="150"/>
      <c r="HY49" s="528"/>
      <c r="HZ49" s="145"/>
      <c r="IA49" s="146"/>
      <c r="IB49" s="157" t="s">
        <v>84</v>
      </c>
      <c r="IC49" s="175">
        <v>0</v>
      </c>
      <c r="ID49" s="139"/>
      <c r="IE49" s="140">
        <f t="shared" si="150"/>
        <v>0</v>
      </c>
      <c r="IF49" s="150"/>
      <c r="IG49" s="528"/>
      <c r="IH49" s="145"/>
      <c r="II49" s="146"/>
      <c r="IJ49" s="157" t="s">
        <v>84</v>
      </c>
      <c r="IK49" s="175">
        <v>0</v>
      </c>
      <c r="IL49" s="139"/>
      <c r="IM49" s="140">
        <f t="shared" si="151"/>
        <v>0</v>
      </c>
      <c r="IN49" s="150"/>
      <c r="IO49" s="528"/>
      <c r="IP49" s="145"/>
      <c r="IQ49" s="146"/>
      <c r="IR49" s="157" t="s">
        <v>84</v>
      </c>
      <c r="IS49" s="175">
        <v>0</v>
      </c>
      <c r="IT49" s="139"/>
      <c r="IU49" s="140">
        <f t="shared" si="152"/>
        <v>0</v>
      </c>
      <c r="IV49" s="150"/>
      <c r="IW49" s="528"/>
      <c r="IX49" s="145"/>
      <c r="IY49" s="146"/>
      <c r="IZ49" s="157" t="s">
        <v>84</v>
      </c>
      <c r="JA49" s="175">
        <v>0</v>
      </c>
      <c r="JB49" s="139"/>
      <c r="JC49" s="140">
        <f t="shared" si="153"/>
        <v>0</v>
      </c>
      <c r="JD49" s="150"/>
      <c r="JE49" s="528"/>
      <c r="JF49" s="145"/>
      <c r="JG49" s="146"/>
      <c r="JH49" s="157" t="s">
        <v>84</v>
      </c>
      <c r="JI49" s="175">
        <v>0</v>
      </c>
      <c r="JJ49" s="139"/>
      <c r="JK49" s="140">
        <f t="shared" si="154"/>
        <v>0</v>
      </c>
      <c r="JL49" s="150"/>
      <c r="JM49" s="528"/>
      <c r="JN49" s="145"/>
      <c r="JO49" s="146"/>
      <c r="JP49" s="157" t="s">
        <v>84</v>
      </c>
      <c r="JQ49" s="175">
        <v>0</v>
      </c>
      <c r="JR49" s="139"/>
      <c r="JS49" s="140">
        <f t="shared" si="155"/>
        <v>0</v>
      </c>
      <c r="JT49" s="150"/>
      <c r="JU49" s="528"/>
      <c r="JV49" s="145"/>
      <c r="JW49" s="146"/>
      <c r="JX49" s="157" t="s">
        <v>84</v>
      </c>
      <c r="JY49" s="175">
        <v>0</v>
      </c>
      <c r="JZ49" s="139"/>
      <c r="KA49" s="140">
        <f t="shared" si="156"/>
        <v>0</v>
      </c>
      <c r="KB49" s="150"/>
      <c r="KC49" s="528"/>
      <c r="KD49" s="145"/>
      <c r="KE49" s="146"/>
      <c r="KF49" s="157" t="s">
        <v>84</v>
      </c>
      <c r="KG49" s="175">
        <v>0</v>
      </c>
      <c r="KH49" s="139"/>
      <c r="KI49" s="140">
        <f t="shared" si="157"/>
        <v>0</v>
      </c>
      <c r="KJ49" s="150"/>
      <c r="KK49" s="528"/>
      <c r="KL49" s="145"/>
      <c r="KM49" s="146"/>
      <c r="KN49" s="157" t="s">
        <v>84</v>
      </c>
      <c r="KO49" s="175">
        <v>0</v>
      </c>
      <c r="KP49" s="139"/>
      <c r="KQ49" s="140">
        <f t="shared" si="158"/>
        <v>0</v>
      </c>
      <c r="KR49" s="150"/>
      <c r="KS49" s="528"/>
      <c r="KT49" s="145"/>
      <c r="KU49" s="146"/>
      <c r="KV49" s="157" t="s">
        <v>84</v>
      </c>
      <c r="KW49" s="175">
        <v>0</v>
      </c>
      <c r="KX49" s="139"/>
      <c r="KY49" s="140">
        <f t="shared" si="159"/>
        <v>0</v>
      </c>
      <c r="KZ49" s="150"/>
      <c r="LA49" s="528"/>
      <c r="LB49" s="145"/>
      <c r="LC49" s="146"/>
      <c r="LD49" s="157" t="s">
        <v>84</v>
      </c>
      <c r="LE49" s="175">
        <v>0</v>
      </c>
      <c r="LF49" s="139"/>
      <c r="LG49" s="140">
        <f t="shared" si="160"/>
        <v>0</v>
      </c>
      <c r="LH49" s="150"/>
      <c r="LI49" s="528"/>
      <c r="LJ49" s="145"/>
      <c r="LK49" s="146"/>
      <c r="LL49" s="157" t="s">
        <v>84</v>
      </c>
      <c r="LM49" s="175">
        <v>0</v>
      </c>
      <c r="LN49" s="139"/>
      <c r="LO49" s="140">
        <f t="shared" si="161"/>
        <v>0</v>
      </c>
      <c r="LP49" s="150"/>
      <c r="LQ49" s="528"/>
      <c r="LR49" s="145"/>
      <c r="LS49" s="146"/>
      <c r="LT49" s="157" t="s">
        <v>84</v>
      </c>
      <c r="LU49" s="175"/>
      <c r="LV49" s="139"/>
      <c r="LW49" s="140">
        <f t="shared" si="162"/>
        <v>0</v>
      </c>
      <c r="LX49" s="150"/>
      <c r="LY49" s="528"/>
      <c r="LZ49" s="145"/>
      <c r="MA49" s="146"/>
      <c r="MB49" s="157" t="s">
        <v>84</v>
      </c>
      <c r="MC49" s="175"/>
      <c r="MD49" s="139"/>
      <c r="ME49" s="140">
        <f t="shared" si="163"/>
        <v>0</v>
      </c>
      <c r="MF49" s="150"/>
      <c r="MG49" s="528"/>
      <c r="MH49" s="145"/>
      <c r="MI49" s="146"/>
      <c r="MJ49" s="157" t="s">
        <v>84</v>
      </c>
      <c r="MK49" s="175"/>
      <c r="ML49" s="139"/>
      <c r="MM49" s="140">
        <f t="shared" si="164"/>
        <v>0</v>
      </c>
      <c r="MN49" s="150"/>
      <c r="MO49" s="528"/>
      <c r="MP49" s="145"/>
      <c r="MQ49" s="146"/>
      <c r="MR49" s="157" t="s">
        <v>84</v>
      </c>
      <c r="MS49" s="175"/>
      <c r="MT49" s="139"/>
      <c r="MU49" s="140">
        <f t="shared" si="165"/>
        <v>0</v>
      </c>
      <c r="MV49" s="150"/>
      <c r="MW49" s="528"/>
      <c r="MX49" s="686" t="s">
        <v>365</v>
      </c>
      <c r="MY49" s="687">
        <v>8</v>
      </c>
      <c r="MZ49" s="682" t="s">
        <v>11</v>
      </c>
      <c r="NA49" s="683">
        <v>20</v>
      </c>
      <c r="NB49" s="692"/>
      <c r="NC49" s="685">
        <f t="shared" si="166"/>
        <v>0</v>
      </c>
      <c r="ND49" s="685">
        <f t="shared" si="166"/>
        <v>0</v>
      </c>
      <c r="NE49" s="528"/>
      <c r="NF49" s="686" t="s">
        <v>365</v>
      </c>
      <c r="NG49" s="687">
        <v>10</v>
      </c>
      <c r="NH49" s="682" t="s">
        <v>11</v>
      </c>
      <c r="NI49" s="683">
        <v>38</v>
      </c>
      <c r="NJ49" s="692"/>
      <c r="NK49" s="685">
        <f t="shared" si="167"/>
        <v>0</v>
      </c>
      <c r="NL49" s="685">
        <f t="shared" si="187"/>
        <v>0</v>
      </c>
      <c r="NM49" s="528"/>
      <c r="NN49" s="686" t="s">
        <v>365</v>
      </c>
      <c r="NO49" s="687">
        <v>16</v>
      </c>
      <c r="NP49" s="682" t="s">
        <v>11</v>
      </c>
      <c r="NQ49" s="683">
        <v>81</v>
      </c>
      <c r="NR49" s="692"/>
      <c r="NS49" s="685">
        <f t="shared" si="168"/>
        <v>0</v>
      </c>
      <c r="NT49" s="685">
        <f t="shared" si="188"/>
        <v>0</v>
      </c>
      <c r="NU49" s="528"/>
      <c r="NV49" s="686" t="s">
        <v>365</v>
      </c>
      <c r="NW49" s="687">
        <v>5</v>
      </c>
      <c r="NX49" s="682" t="s">
        <v>11</v>
      </c>
      <c r="NY49" s="683">
        <v>25</v>
      </c>
      <c r="NZ49" s="692"/>
      <c r="OA49" s="685">
        <f t="shared" si="169"/>
        <v>0</v>
      </c>
      <c r="OB49" s="685">
        <f t="shared" si="189"/>
        <v>0</v>
      </c>
      <c r="OC49" s="528"/>
      <c r="OD49" s="686" t="s">
        <v>365</v>
      </c>
      <c r="OE49" s="687">
        <v>6</v>
      </c>
      <c r="OF49" s="682" t="s">
        <v>11</v>
      </c>
      <c r="OG49" s="683">
        <v>10</v>
      </c>
      <c r="OH49" s="692"/>
      <c r="OI49" s="685">
        <f t="shared" si="170"/>
        <v>0</v>
      </c>
      <c r="OJ49" s="685">
        <f t="shared" si="190"/>
        <v>0</v>
      </c>
      <c r="OK49" s="528"/>
      <c r="OL49" s="686" t="s">
        <v>365</v>
      </c>
      <c r="OM49" s="687">
        <v>6</v>
      </c>
      <c r="ON49" s="682" t="s">
        <v>11</v>
      </c>
      <c r="OO49" s="683">
        <v>15</v>
      </c>
      <c r="OP49" s="692"/>
      <c r="OQ49" s="685">
        <f t="shared" si="171"/>
        <v>0</v>
      </c>
      <c r="OR49" s="685">
        <f t="shared" si="191"/>
        <v>0</v>
      </c>
      <c r="OS49" s="528"/>
      <c r="OT49" s="686" t="s">
        <v>365</v>
      </c>
      <c r="OU49" s="687"/>
      <c r="OV49" s="682" t="s">
        <v>11</v>
      </c>
      <c r="OW49" s="683"/>
      <c r="OX49" s="692"/>
      <c r="OY49" s="685">
        <f t="shared" si="172"/>
        <v>0</v>
      </c>
      <c r="OZ49" s="685">
        <f t="shared" si="192"/>
        <v>0</v>
      </c>
      <c r="PA49" s="528"/>
      <c r="PB49" s="686" t="s">
        <v>365</v>
      </c>
      <c r="PC49" s="687"/>
      <c r="PD49" s="682" t="s">
        <v>11</v>
      </c>
      <c r="PE49" s="683"/>
      <c r="PF49" s="692"/>
      <c r="PG49" s="685">
        <f t="shared" si="173"/>
        <v>0</v>
      </c>
      <c r="PH49" s="685">
        <f t="shared" si="193"/>
        <v>0</v>
      </c>
      <c r="PI49" s="528"/>
      <c r="PJ49" s="686" t="s">
        <v>365</v>
      </c>
      <c r="PK49" s="687">
        <v>1</v>
      </c>
      <c r="PL49" s="682" t="s">
        <v>11</v>
      </c>
      <c r="PM49" s="683">
        <v>13</v>
      </c>
      <c r="PN49" s="692"/>
      <c r="PO49" s="685">
        <f t="shared" si="174"/>
        <v>0</v>
      </c>
      <c r="PP49" s="685">
        <f t="shared" si="194"/>
        <v>0</v>
      </c>
      <c r="PQ49" s="528"/>
      <c r="PR49" s="686" t="s">
        <v>365</v>
      </c>
      <c r="PS49" s="687">
        <v>1</v>
      </c>
      <c r="PT49" s="682" t="s">
        <v>11</v>
      </c>
      <c r="PU49" s="683">
        <v>1</v>
      </c>
      <c r="PV49" s="692"/>
      <c r="PW49" s="685">
        <f t="shared" si="175"/>
        <v>0</v>
      </c>
      <c r="PX49" s="685">
        <f t="shared" si="195"/>
        <v>0</v>
      </c>
      <c r="PY49" s="528"/>
      <c r="PZ49" s="686" t="s">
        <v>365</v>
      </c>
      <c r="QA49" s="687">
        <v>1</v>
      </c>
      <c r="QB49" s="682" t="s">
        <v>11</v>
      </c>
      <c r="QC49" s="683">
        <v>6</v>
      </c>
      <c r="QD49" s="692"/>
      <c r="QE49" s="685">
        <f t="shared" si="176"/>
        <v>0</v>
      </c>
      <c r="QF49" s="685">
        <f t="shared" si="196"/>
        <v>0</v>
      </c>
      <c r="QG49" s="528"/>
      <c r="QH49" s="686" t="s">
        <v>365</v>
      </c>
      <c r="QI49" s="687">
        <v>6</v>
      </c>
      <c r="QJ49" s="682" t="s">
        <v>11</v>
      </c>
      <c r="QK49" s="683">
        <v>16</v>
      </c>
      <c r="QL49" s="692"/>
      <c r="QM49" s="685">
        <f t="shared" si="177"/>
        <v>0</v>
      </c>
      <c r="QN49" s="685">
        <f t="shared" si="197"/>
        <v>0</v>
      </c>
      <c r="QO49" s="528"/>
      <c r="QP49" s="686" t="s">
        <v>365</v>
      </c>
      <c r="QQ49" s="687">
        <v>10</v>
      </c>
      <c r="QR49" s="682" t="s">
        <v>11</v>
      </c>
      <c r="QS49" s="683">
        <v>80</v>
      </c>
      <c r="QT49" s="692"/>
      <c r="QU49" s="685">
        <f t="shared" si="178"/>
        <v>0</v>
      </c>
      <c r="QV49" s="685">
        <f t="shared" si="198"/>
        <v>0</v>
      </c>
      <c r="QW49" s="528"/>
      <c r="QX49" s="686" t="s">
        <v>365</v>
      </c>
      <c r="QY49" s="687"/>
      <c r="QZ49" s="682" t="s">
        <v>11</v>
      </c>
      <c r="RA49" s="683"/>
      <c r="RB49" s="692"/>
      <c r="RC49" s="685">
        <f t="shared" si="179"/>
        <v>0</v>
      </c>
      <c r="RD49" s="685">
        <f t="shared" si="199"/>
        <v>0</v>
      </c>
      <c r="RE49" s="528"/>
      <c r="RF49" s="686" t="s">
        <v>365</v>
      </c>
      <c r="RG49" s="687"/>
      <c r="RH49" s="682" t="s">
        <v>11</v>
      </c>
      <c r="RI49" s="683"/>
      <c r="RJ49" s="692"/>
      <c r="RK49" s="685">
        <f t="shared" si="180"/>
        <v>0</v>
      </c>
      <c r="RL49" s="685">
        <f t="shared" si="200"/>
        <v>0</v>
      </c>
      <c r="RM49" s="528"/>
      <c r="RN49" s="686" t="s">
        <v>365</v>
      </c>
      <c r="RO49" s="687">
        <v>4</v>
      </c>
      <c r="RP49" s="682" t="s">
        <v>11</v>
      </c>
      <c r="RQ49" s="683">
        <v>11</v>
      </c>
      <c r="RR49" s="692"/>
      <c r="RS49" s="685">
        <f t="shared" si="181"/>
        <v>0</v>
      </c>
      <c r="RT49" s="685">
        <f t="shared" si="201"/>
        <v>0</v>
      </c>
      <c r="RU49" s="528"/>
      <c r="RV49" s="686" t="s">
        <v>365</v>
      </c>
      <c r="RW49" s="687">
        <v>1</v>
      </c>
      <c r="RX49" s="682" t="s">
        <v>11</v>
      </c>
      <c r="RY49" s="683">
        <v>1</v>
      </c>
      <c r="RZ49" s="692"/>
      <c r="SA49" s="685">
        <f t="shared" si="182"/>
        <v>0</v>
      </c>
      <c r="SB49" s="685">
        <f t="shared" si="202"/>
        <v>0</v>
      </c>
      <c r="SC49" s="528"/>
      <c r="SD49" s="686" t="s">
        <v>365</v>
      </c>
      <c r="SE49" s="687">
        <v>5</v>
      </c>
      <c r="SF49" s="682" t="s">
        <v>11</v>
      </c>
      <c r="SG49" s="683">
        <v>7</v>
      </c>
      <c r="SH49" s="692"/>
      <c r="SI49" s="685">
        <f t="shared" si="183"/>
        <v>0</v>
      </c>
      <c r="SJ49" s="685">
        <f t="shared" si="203"/>
        <v>0</v>
      </c>
      <c r="SK49" s="528"/>
      <c r="SL49" s="686" t="s">
        <v>365</v>
      </c>
      <c r="SM49" s="687">
        <v>16</v>
      </c>
      <c r="SN49" s="682" t="s">
        <v>11</v>
      </c>
      <c r="SO49" s="683">
        <v>79</v>
      </c>
      <c r="SP49" s="692"/>
      <c r="SQ49" s="685">
        <f t="shared" si="184"/>
        <v>0</v>
      </c>
      <c r="SR49" s="685">
        <f t="shared" si="204"/>
        <v>0</v>
      </c>
      <c r="SS49" s="528"/>
      <c r="ST49" s="686" t="s">
        <v>365</v>
      </c>
      <c r="SU49" s="687">
        <v>6</v>
      </c>
      <c r="SV49" s="682" t="s">
        <v>11</v>
      </c>
      <c r="SW49" s="683">
        <v>19</v>
      </c>
      <c r="SX49" s="692"/>
      <c r="SY49" s="685">
        <f t="shared" si="185"/>
        <v>0</v>
      </c>
      <c r="SZ49" s="685">
        <f t="shared" si="205"/>
        <v>0</v>
      </c>
      <c r="TA49" s="528"/>
      <c r="TB49" s="686" t="s">
        <v>365</v>
      </c>
      <c r="TC49" s="687">
        <v>7</v>
      </c>
      <c r="TD49" s="682" t="s">
        <v>11</v>
      </c>
      <c r="TE49" s="683">
        <v>13</v>
      </c>
      <c r="TF49" s="692"/>
      <c r="TG49" s="685">
        <f t="shared" si="186"/>
        <v>0</v>
      </c>
      <c r="TH49" s="685">
        <f t="shared" si="206"/>
        <v>0</v>
      </c>
      <c r="TI49" s="528"/>
    </row>
    <row r="50" spans="2:529">
      <c r="B50" s="151"/>
      <c r="C50" s="161"/>
      <c r="D50" s="145" t="s">
        <v>85</v>
      </c>
      <c r="E50" s="138">
        <v>0</v>
      </c>
      <c r="F50" s="139"/>
      <c r="G50" s="140">
        <f t="shared" si="133"/>
        <v>0</v>
      </c>
      <c r="H50" s="159">
        <f>SUM(G47:G50)</f>
        <v>366.64300000000003</v>
      </c>
      <c r="I50" s="528"/>
      <c r="J50" s="151"/>
      <c r="K50" s="161">
        <v>12</v>
      </c>
      <c r="L50" s="145" t="s">
        <v>85</v>
      </c>
      <c r="M50" s="138">
        <v>0</v>
      </c>
      <c r="N50" s="139"/>
      <c r="O50" s="140">
        <f t="shared" si="134"/>
        <v>0</v>
      </c>
      <c r="P50" s="159">
        <f>SUM(O47:O50)</f>
        <v>73.832000000000008</v>
      </c>
      <c r="Q50" s="528"/>
      <c r="R50" s="151"/>
      <c r="S50" s="161">
        <v>12</v>
      </c>
      <c r="T50" s="145" t="s">
        <v>85</v>
      </c>
      <c r="U50" s="138">
        <v>0</v>
      </c>
      <c r="V50" s="139"/>
      <c r="W50" s="140">
        <f t="shared" si="135"/>
        <v>0</v>
      </c>
      <c r="X50" s="159">
        <f>SUM(W47:W50)</f>
        <v>76.349000000000004</v>
      </c>
      <c r="Y50" s="528"/>
      <c r="Z50" s="151"/>
      <c r="AA50" s="161">
        <v>12</v>
      </c>
      <c r="AB50" s="145" t="s">
        <v>85</v>
      </c>
      <c r="AC50" s="138"/>
      <c r="AD50" s="139"/>
      <c r="AE50" s="140">
        <f t="shared" si="136"/>
        <v>0</v>
      </c>
      <c r="AF50" s="159">
        <f>SUM(AE47:AE50)</f>
        <v>149.34200000000001</v>
      </c>
      <c r="AG50" s="528"/>
      <c r="AH50" s="151"/>
      <c r="AI50" s="161">
        <v>12</v>
      </c>
      <c r="AJ50" s="145" t="s">
        <v>85</v>
      </c>
      <c r="AK50" s="138">
        <v>0</v>
      </c>
      <c r="AL50" s="139"/>
      <c r="AM50" s="140">
        <f t="shared" si="137"/>
        <v>0</v>
      </c>
      <c r="AN50" s="159">
        <f>SUM(AM47:AM50)</f>
        <v>76.349000000000004</v>
      </c>
      <c r="AO50" s="528"/>
      <c r="AP50" s="151"/>
      <c r="AQ50" s="161">
        <v>12</v>
      </c>
      <c r="AR50" s="145" t="s">
        <v>85</v>
      </c>
      <c r="AS50" s="138"/>
      <c r="AT50" s="139"/>
      <c r="AU50" s="140">
        <f t="shared" si="138"/>
        <v>0</v>
      </c>
      <c r="AV50" s="159">
        <f>SUM(AU47:AU50)</f>
        <v>0</v>
      </c>
      <c r="AW50" s="528"/>
      <c r="AX50" s="151"/>
      <c r="AY50" s="161">
        <v>12</v>
      </c>
      <c r="AZ50" s="145" t="s">
        <v>85</v>
      </c>
      <c r="BA50" s="138"/>
      <c r="BB50" s="139"/>
      <c r="BC50" s="140">
        <f t="shared" si="139"/>
        <v>0</v>
      </c>
      <c r="BD50" s="159">
        <f>SUM(BC47:BC50)</f>
        <v>264.28500000000003</v>
      </c>
      <c r="BE50" s="528"/>
      <c r="BF50" s="151"/>
      <c r="BG50" s="161">
        <v>12</v>
      </c>
      <c r="BH50" s="145" t="s">
        <v>85</v>
      </c>
      <c r="BI50" s="138">
        <v>0</v>
      </c>
      <c r="BJ50" s="139"/>
      <c r="BK50" s="140">
        <f t="shared" si="140"/>
        <v>0</v>
      </c>
      <c r="BL50" s="159">
        <f>SUM(BK47:BK50)</f>
        <v>323.85400000000004</v>
      </c>
      <c r="BM50" s="528"/>
      <c r="BN50" s="151"/>
      <c r="BO50" s="161">
        <v>12</v>
      </c>
      <c r="BP50" s="145" t="s">
        <v>85</v>
      </c>
      <c r="BQ50" s="138">
        <v>0</v>
      </c>
      <c r="BR50" s="139"/>
      <c r="BS50" s="140">
        <f t="shared" si="141"/>
        <v>0</v>
      </c>
      <c r="BT50" s="159">
        <f>SUM(BS47:BS50)</f>
        <v>118.29900000000001</v>
      </c>
      <c r="BU50" s="528"/>
      <c r="BV50" s="543"/>
      <c r="BW50" s="577"/>
      <c r="BX50" s="536" t="s">
        <v>85</v>
      </c>
      <c r="BY50" s="560"/>
      <c r="BZ50" s="561"/>
      <c r="CA50" s="562">
        <f t="shared" si="142"/>
        <v>0</v>
      </c>
      <c r="CB50" s="575">
        <f>SUM(CA47:CA50)</f>
        <v>0</v>
      </c>
      <c r="CC50" s="528"/>
      <c r="CD50" s="543"/>
      <c r="CE50" s="577"/>
      <c r="CF50" s="536" t="s">
        <v>85</v>
      </c>
      <c r="CG50" s="560"/>
      <c r="CH50" s="561"/>
      <c r="CI50" s="562">
        <f t="shared" si="143"/>
        <v>0</v>
      </c>
      <c r="CJ50" s="575">
        <f>SUM(CI47:CI50)</f>
        <v>0</v>
      </c>
      <c r="CK50" s="528"/>
      <c r="CL50" s="151"/>
      <c r="CM50" s="161">
        <v>12</v>
      </c>
      <c r="CN50" s="145" t="s">
        <v>85</v>
      </c>
      <c r="CO50" s="138">
        <v>0</v>
      </c>
      <c r="CP50" s="139"/>
      <c r="CQ50" s="140">
        <f t="shared" si="144"/>
        <v>0</v>
      </c>
      <c r="CR50" s="159">
        <f>SUM(CQ47:CQ50)</f>
        <v>541.15500000000009</v>
      </c>
      <c r="CS50" s="528"/>
      <c r="CT50" s="151"/>
      <c r="CU50" s="161">
        <v>12</v>
      </c>
      <c r="CV50" s="145" t="s">
        <v>85</v>
      </c>
      <c r="CW50" s="138"/>
      <c r="CX50" s="139"/>
      <c r="CY50" s="140">
        <f t="shared" si="12"/>
        <v>0</v>
      </c>
      <c r="CZ50" s="159">
        <f>SUM(CY47:CY50)</f>
        <v>323.85400000000004</v>
      </c>
      <c r="DA50" s="528"/>
      <c r="DB50" s="151"/>
      <c r="DC50" s="146"/>
      <c r="DD50" s="145" t="s">
        <v>85</v>
      </c>
      <c r="DE50" s="138"/>
      <c r="DF50" s="139"/>
      <c r="DG50" s="140">
        <f t="shared" si="13"/>
        <v>0</v>
      </c>
      <c r="DH50" s="159">
        <f>SUM(DG47:DG50)</f>
        <v>345.66800000000001</v>
      </c>
      <c r="DI50" s="528"/>
      <c r="DJ50" s="151"/>
      <c r="DK50" s="161"/>
      <c r="DL50" s="145" t="s">
        <v>85</v>
      </c>
      <c r="DM50" s="138">
        <v>0</v>
      </c>
      <c r="DN50" s="170"/>
      <c r="DO50" s="140">
        <f t="shared" si="14"/>
        <v>0</v>
      </c>
      <c r="DP50" s="159">
        <f>SUM(DO47:DO50)</f>
        <v>0</v>
      </c>
      <c r="DQ50" s="528"/>
      <c r="DR50" s="151"/>
      <c r="DS50" s="161"/>
      <c r="DT50" s="145" t="s">
        <v>85</v>
      </c>
      <c r="DU50" s="138"/>
      <c r="DV50" s="170"/>
      <c r="DW50" s="140">
        <f t="shared" si="15"/>
        <v>0</v>
      </c>
      <c r="DX50" s="159">
        <f>SUM(DW47:DW50)</f>
        <v>0</v>
      </c>
      <c r="DY50" s="528"/>
      <c r="DZ50" s="151"/>
      <c r="EA50" s="161"/>
      <c r="EB50" s="145" t="s">
        <v>85</v>
      </c>
      <c r="EC50" s="138"/>
      <c r="ED50" s="170"/>
      <c r="EE50" s="140">
        <f t="shared" si="16"/>
        <v>0</v>
      </c>
      <c r="EF50" s="159">
        <f>SUM(EE47:EE50)</f>
        <v>147.66400000000002</v>
      </c>
      <c r="EG50" s="528"/>
      <c r="EH50" s="151"/>
      <c r="EI50" s="161"/>
      <c r="EJ50" s="145" t="s">
        <v>85</v>
      </c>
      <c r="EK50" s="138"/>
      <c r="EL50" s="170"/>
      <c r="EM50" s="140">
        <f t="shared" si="17"/>
        <v>0</v>
      </c>
      <c r="EN50" s="159">
        <f>SUM(EM47:EM50)</f>
        <v>591.495</v>
      </c>
      <c r="EO50" s="528"/>
      <c r="EP50" s="151"/>
      <c r="EQ50" s="161"/>
      <c r="ER50" s="145" t="s">
        <v>85</v>
      </c>
      <c r="ES50" s="138"/>
      <c r="ET50" s="170"/>
      <c r="EU50" s="140">
        <f t="shared" si="18"/>
        <v>0</v>
      </c>
      <c r="EV50" s="159">
        <f>SUM(EU47:EU50)</f>
        <v>15.102000000000002</v>
      </c>
      <c r="EW50" s="528"/>
      <c r="EX50" s="151"/>
      <c r="EY50" s="161"/>
      <c r="EZ50" s="145" t="s">
        <v>85</v>
      </c>
      <c r="FA50" s="138"/>
      <c r="FB50" s="170"/>
      <c r="FC50" s="140">
        <f t="shared" si="19"/>
        <v>0</v>
      </c>
      <c r="FD50" s="159">
        <f>SUM(FC47:FC50)</f>
        <v>0</v>
      </c>
      <c r="FE50" s="528"/>
      <c r="FF50" s="151"/>
      <c r="FG50" s="161"/>
      <c r="FH50" s="145" t="s">
        <v>85</v>
      </c>
      <c r="FI50" s="138"/>
      <c r="FJ50" s="170"/>
      <c r="FK50" s="140">
        <f t="shared" si="20"/>
        <v>0</v>
      </c>
      <c r="FL50" s="159">
        <f>SUM(FK47:FK50)</f>
        <v>0</v>
      </c>
      <c r="FM50" s="528"/>
      <c r="FN50" s="151"/>
      <c r="FO50" s="161"/>
      <c r="FP50" s="145" t="s">
        <v>85</v>
      </c>
      <c r="FQ50" s="138"/>
      <c r="FR50" s="170"/>
      <c r="FS50" s="140">
        <f t="shared" si="21"/>
        <v>0</v>
      </c>
      <c r="FT50" s="159">
        <f>SUM(FS47:FS50)</f>
        <v>0</v>
      </c>
      <c r="FU50" s="528"/>
      <c r="FV50" s="151"/>
      <c r="FW50" s="161"/>
      <c r="FX50" s="145" t="s">
        <v>85</v>
      </c>
      <c r="FY50" s="138"/>
      <c r="FZ50" s="170"/>
      <c r="GA50" s="140">
        <f t="shared" si="22"/>
        <v>0</v>
      </c>
      <c r="GB50" s="159">
        <f>SUM(GA47:GA50)</f>
        <v>0</v>
      </c>
      <c r="GC50" s="528"/>
      <c r="GD50" s="151"/>
      <c r="GE50" s="161"/>
      <c r="GF50" s="145" t="s">
        <v>85</v>
      </c>
      <c r="GG50" s="138"/>
      <c r="GH50" s="170"/>
      <c r="GI50" s="140">
        <f t="shared" si="23"/>
        <v>0</v>
      </c>
      <c r="GJ50" s="159">
        <f>SUM(GI47:GI50)</f>
        <v>0</v>
      </c>
      <c r="GK50" s="528"/>
      <c r="GL50" s="151"/>
      <c r="GM50" s="161"/>
      <c r="GN50" s="145" t="s">
        <v>85</v>
      </c>
      <c r="GO50" s="175">
        <v>0</v>
      </c>
      <c r="GP50" s="139"/>
      <c r="GQ50" s="140">
        <f t="shared" si="145"/>
        <v>0</v>
      </c>
      <c r="GR50" s="159">
        <f>SUM(GQ47:GQ50)</f>
        <v>323.85400000000004</v>
      </c>
      <c r="GS50" s="528"/>
      <c r="GT50" s="151"/>
      <c r="GU50" s="161"/>
      <c r="GV50" s="145" t="s">
        <v>85</v>
      </c>
      <c r="GW50" s="175">
        <v>0</v>
      </c>
      <c r="GX50" s="139"/>
      <c r="GY50" s="140">
        <f t="shared" si="146"/>
        <v>0</v>
      </c>
      <c r="GZ50" s="159">
        <f>SUM(GY47:GY50)</f>
        <v>340.63400000000001</v>
      </c>
      <c r="HA50" s="528"/>
      <c r="HB50" s="151"/>
      <c r="HC50" s="161"/>
      <c r="HD50" s="145" t="s">
        <v>85</v>
      </c>
      <c r="HE50" s="175">
        <v>0</v>
      </c>
      <c r="HF50" s="139"/>
      <c r="HG50" s="140">
        <f t="shared" si="147"/>
        <v>0</v>
      </c>
      <c r="HH50" s="159">
        <f>SUM(HG47:HG50)</f>
        <v>76.349000000000004</v>
      </c>
      <c r="HI50" s="528"/>
      <c r="HJ50" s="151"/>
      <c r="HK50" s="161"/>
      <c r="HL50" s="145" t="s">
        <v>85</v>
      </c>
      <c r="HM50" s="175">
        <v>0</v>
      </c>
      <c r="HN50" s="139"/>
      <c r="HO50" s="140">
        <f t="shared" si="148"/>
        <v>0</v>
      </c>
      <c r="HP50" s="159">
        <f>SUM(HO47:HO50)</f>
        <v>211.42800000000003</v>
      </c>
      <c r="HQ50" s="528"/>
      <c r="HR50" s="151"/>
      <c r="HS50" s="161"/>
      <c r="HT50" s="145" t="s">
        <v>85</v>
      </c>
      <c r="HU50" s="175">
        <v>0</v>
      </c>
      <c r="HV50" s="139"/>
      <c r="HW50" s="140">
        <f t="shared" si="149"/>
        <v>0</v>
      </c>
      <c r="HX50" s="159">
        <f>SUM(HW47:HW50)</f>
        <v>432.92400000000004</v>
      </c>
      <c r="HY50" s="528"/>
      <c r="HZ50" s="151"/>
      <c r="IA50" s="161"/>
      <c r="IB50" s="145" t="s">
        <v>85</v>
      </c>
      <c r="IC50" s="175">
        <v>0</v>
      </c>
      <c r="ID50" s="139"/>
      <c r="IE50" s="140">
        <f t="shared" si="150"/>
        <v>0</v>
      </c>
      <c r="IF50" s="159">
        <f>SUM(IE47:IE50)</f>
        <v>127.52800000000001</v>
      </c>
      <c r="IG50" s="528"/>
      <c r="IH50" s="151"/>
      <c r="II50" s="161"/>
      <c r="IJ50" s="145" t="s">
        <v>85</v>
      </c>
      <c r="IK50" s="175">
        <v>0</v>
      </c>
      <c r="IL50" s="139"/>
      <c r="IM50" s="140">
        <f t="shared" si="151"/>
        <v>0</v>
      </c>
      <c r="IN50" s="159">
        <f>SUM(IM47:IM50)</f>
        <v>62.925000000000004</v>
      </c>
      <c r="IO50" s="528"/>
      <c r="IP50" s="151"/>
      <c r="IQ50" s="161"/>
      <c r="IR50" s="145" t="s">
        <v>85</v>
      </c>
      <c r="IS50" s="175">
        <v>0</v>
      </c>
      <c r="IT50" s="139"/>
      <c r="IU50" s="140">
        <f t="shared" si="152"/>
        <v>0</v>
      </c>
      <c r="IV50" s="159">
        <f>SUM(IU47:IU50)</f>
        <v>102.358</v>
      </c>
      <c r="IW50" s="528"/>
      <c r="IX50" s="151"/>
      <c r="IY50" s="161"/>
      <c r="IZ50" s="145" t="s">
        <v>85</v>
      </c>
      <c r="JA50" s="175">
        <v>0</v>
      </c>
      <c r="JB50" s="139"/>
      <c r="JC50" s="140">
        <f t="shared" si="153"/>
        <v>0</v>
      </c>
      <c r="JD50" s="159">
        <f>SUM(JC47:JC50)</f>
        <v>241.63200000000003</v>
      </c>
      <c r="JE50" s="528"/>
      <c r="JF50" s="151"/>
      <c r="JG50" s="161"/>
      <c r="JH50" s="145" t="s">
        <v>85</v>
      </c>
      <c r="JI50" s="175">
        <v>0</v>
      </c>
      <c r="JJ50" s="139"/>
      <c r="JK50" s="140">
        <f t="shared" si="154"/>
        <v>0</v>
      </c>
      <c r="JL50" s="159">
        <f>SUM(JK47:JK50)</f>
        <v>135.07900000000001</v>
      </c>
      <c r="JM50" s="528"/>
      <c r="JN50" s="151"/>
      <c r="JO50" s="161"/>
      <c r="JP50" s="145" t="s">
        <v>85</v>
      </c>
      <c r="JQ50" s="175">
        <v>0</v>
      </c>
      <c r="JR50" s="139"/>
      <c r="JS50" s="140">
        <f t="shared" si="155"/>
        <v>0</v>
      </c>
      <c r="JT50" s="159">
        <f>SUM(JS47:JS50)</f>
        <v>67.12</v>
      </c>
      <c r="JU50" s="528"/>
      <c r="JV50" s="151"/>
      <c r="JW50" s="161"/>
      <c r="JX50" s="145" t="s">
        <v>85</v>
      </c>
      <c r="JY50" s="175">
        <v>0</v>
      </c>
      <c r="JZ50" s="139"/>
      <c r="KA50" s="140">
        <f t="shared" si="156"/>
        <v>0</v>
      </c>
      <c r="KB50" s="159">
        <f>SUM(KA47:KA50)</f>
        <v>229.88600000000002</v>
      </c>
      <c r="KC50" s="528"/>
      <c r="KD50" s="151"/>
      <c r="KE50" s="161"/>
      <c r="KF50" s="145" t="s">
        <v>85</v>
      </c>
      <c r="KG50" s="175">
        <v>0</v>
      </c>
      <c r="KH50" s="139"/>
      <c r="KI50" s="140">
        <f t="shared" si="157"/>
        <v>0</v>
      </c>
      <c r="KJ50" s="159">
        <f>SUM(KI47:KI50)</f>
        <v>200.52100000000002</v>
      </c>
      <c r="KK50" s="528"/>
      <c r="KL50" s="151"/>
      <c r="KM50" s="161"/>
      <c r="KN50" s="145" t="s">
        <v>85</v>
      </c>
      <c r="KO50" s="175">
        <v>0</v>
      </c>
      <c r="KP50" s="139"/>
      <c r="KQ50" s="140">
        <f t="shared" si="158"/>
        <v>0</v>
      </c>
      <c r="KR50" s="159">
        <f>SUM(KQ47:KQ50)</f>
        <v>107.39200000000001</v>
      </c>
      <c r="KS50" s="528"/>
      <c r="KT50" s="151"/>
      <c r="KU50" s="161"/>
      <c r="KV50" s="145" t="s">
        <v>85</v>
      </c>
      <c r="KW50" s="175">
        <v>0</v>
      </c>
      <c r="KX50" s="139"/>
      <c r="KY50" s="140">
        <f t="shared" si="159"/>
        <v>0</v>
      </c>
      <c r="KZ50" s="159">
        <f>SUM(KY47:KY50)</f>
        <v>565.4860000000001</v>
      </c>
      <c r="LA50" s="528"/>
      <c r="LB50" s="151"/>
      <c r="LC50" s="161"/>
      <c r="LD50" s="145" t="s">
        <v>85</v>
      </c>
      <c r="LE50" s="175">
        <v>0</v>
      </c>
      <c r="LF50" s="139"/>
      <c r="LG50" s="140">
        <f t="shared" si="160"/>
        <v>0</v>
      </c>
      <c r="LH50" s="159">
        <f>SUM(LG47:LG50)</f>
        <v>530.24800000000005</v>
      </c>
      <c r="LI50" s="528"/>
      <c r="LJ50" s="151"/>
      <c r="LK50" s="161"/>
      <c r="LL50" s="145" t="s">
        <v>85</v>
      </c>
      <c r="LM50" s="175">
        <v>0</v>
      </c>
      <c r="LN50" s="139"/>
      <c r="LO50" s="140">
        <f t="shared" si="161"/>
        <v>0</v>
      </c>
      <c r="LP50" s="159">
        <f>SUM(LO47:LO50)</f>
        <v>332.24400000000003</v>
      </c>
      <c r="LQ50" s="528"/>
      <c r="LR50" s="151"/>
      <c r="LS50" s="161"/>
      <c r="LT50" s="145" t="s">
        <v>85</v>
      </c>
      <c r="LU50" s="175"/>
      <c r="LV50" s="139"/>
      <c r="LW50" s="140">
        <f t="shared" si="162"/>
        <v>0</v>
      </c>
      <c r="LX50" s="159">
        <f>SUM(LW47:LW50)</f>
        <v>114.94300000000001</v>
      </c>
      <c r="LY50" s="528"/>
      <c r="LZ50" s="151"/>
      <c r="MA50" s="161"/>
      <c r="MB50" s="145" t="s">
        <v>85</v>
      </c>
      <c r="MC50" s="175"/>
      <c r="MD50" s="139"/>
      <c r="ME50" s="140">
        <f t="shared" si="163"/>
        <v>0</v>
      </c>
      <c r="MF50" s="159">
        <f>SUM(ME47:ME50)</f>
        <v>156.054</v>
      </c>
      <c r="MG50" s="528"/>
      <c r="MH50" s="151"/>
      <c r="MI50" s="161"/>
      <c r="MJ50" s="145" t="s">
        <v>85</v>
      </c>
      <c r="MK50" s="175"/>
      <c r="ML50" s="139"/>
      <c r="MM50" s="140">
        <f t="shared" si="164"/>
        <v>0</v>
      </c>
      <c r="MN50" s="159">
        <f>SUM(MM47:MM50)</f>
        <v>301.20100000000002</v>
      </c>
      <c r="MO50" s="528"/>
      <c r="MP50" s="151"/>
      <c r="MQ50" s="161"/>
      <c r="MR50" s="145" t="s">
        <v>85</v>
      </c>
      <c r="MS50" s="175"/>
      <c r="MT50" s="139"/>
      <c r="MU50" s="140">
        <f t="shared" si="165"/>
        <v>0</v>
      </c>
      <c r="MV50" s="159">
        <f>SUM(MU47:MU50)</f>
        <v>59.569000000000003</v>
      </c>
      <c r="MW50" s="528"/>
      <c r="MX50" s="695" t="s">
        <v>366</v>
      </c>
      <c r="MY50" s="687">
        <v>1</v>
      </c>
      <c r="MZ50" s="694" t="s">
        <v>36</v>
      </c>
      <c r="NA50" s="683">
        <v>2</v>
      </c>
      <c r="NB50" s="692"/>
      <c r="NC50" s="685">
        <f t="shared" si="166"/>
        <v>0</v>
      </c>
      <c r="ND50" s="685">
        <f t="shared" si="166"/>
        <v>0</v>
      </c>
      <c r="NE50" s="528"/>
      <c r="NF50" s="695" t="s">
        <v>366</v>
      </c>
      <c r="NG50" s="687">
        <v>2</v>
      </c>
      <c r="NH50" s="694" t="s">
        <v>36</v>
      </c>
      <c r="NI50" s="683">
        <v>9</v>
      </c>
      <c r="NJ50" s="692"/>
      <c r="NK50" s="685">
        <f t="shared" si="167"/>
        <v>0</v>
      </c>
      <c r="NL50" s="685">
        <f t="shared" si="187"/>
        <v>0</v>
      </c>
      <c r="NM50" s="528"/>
      <c r="NN50" s="695" t="s">
        <v>366</v>
      </c>
      <c r="NO50" s="687">
        <v>7</v>
      </c>
      <c r="NP50" s="694" t="s">
        <v>36</v>
      </c>
      <c r="NQ50" s="683">
        <v>33</v>
      </c>
      <c r="NR50" s="692"/>
      <c r="NS50" s="685">
        <f t="shared" si="168"/>
        <v>0</v>
      </c>
      <c r="NT50" s="685">
        <f t="shared" si="188"/>
        <v>0</v>
      </c>
      <c r="NU50" s="528"/>
      <c r="NV50" s="695" t="s">
        <v>366</v>
      </c>
      <c r="NW50" s="687">
        <v>2</v>
      </c>
      <c r="NX50" s="694" t="s">
        <v>36</v>
      </c>
      <c r="NY50" s="683">
        <v>3</v>
      </c>
      <c r="NZ50" s="692"/>
      <c r="OA50" s="685">
        <f t="shared" si="169"/>
        <v>0</v>
      </c>
      <c r="OB50" s="685">
        <f t="shared" si="189"/>
        <v>0</v>
      </c>
      <c r="OC50" s="528"/>
      <c r="OD50" s="695" t="s">
        <v>366</v>
      </c>
      <c r="OE50" s="687">
        <v>2</v>
      </c>
      <c r="OF50" s="694" t="s">
        <v>36</v>
      </c>
      <c r="OG50" s="683">
        <v>4</v>
      </c>
      <c r="OH50" s="692"/>
      <c r="OI50" s="685">
        <f t="shared" si="170"/>
        <v>0</v>
      </c>
      <c r="OJ50" s="685">
        <f t="shared" si="190"/>
        <v>0</v>
      </c>
      <c r="OK50" s="528"/>
      <c r="OL50" s="695" t="s">
        <v>366</v>
      </c>
      <c r="OM50" s="687">
        <v>1</v>
      </c>
      <c r="ON50" s="694" t="s">
        <v>36</v>
      </c>
      <c r="OO50" s="683">
        <v>2</v>
      </c>
      <c r="OP50" s="692"/>
      <c r="OQ50" s="685">
        <f t="shared" si="171"/>
        <v>0</v>
      </c>
      <c r="OR50" s="685">
        <f t="shared" si="191"/>
        <v>0</v>
      </c>
      <c r="OS50" s="528"/>
      <c r="OT50" s="695" t="s">
        <v>366</v>
      </c>
      <c r="OU50" s="687"/>
      <c r="OV50" s="694" t="s">
        <v>36</v>
      </c>
      <c r="OW50" s="683"/>
      <c r="OX50" s="692"/>
      <c r="OY50" s="685">
        <f t="shared" si="172"/>
        <v>0</v>
      </c>
      <c r="OZ50" s="685">
        <f t="shared" si="192"/>
        <v>0</v>
      </c>
      <c r="PA50" s="528"/>
      <c r="PB50" s="695" t="s">
        <v>366</v>
      </c>
      <c r="PC50" s="687"/>
      <c r="PD50" s="694" t="s">
        <v>36</v>
      </c>
      <c r="PE50" s="683"/>
      <c r="PF50" s="692"/>
      <c r="PG50" s="685">
        <f t="shared" si="173"/>
        <v>0</v>
      </c>
      <c r="PH50" s="685">
        <f t="shared" si="193"/>
        <v>0</v>
      </c>
      <c r="PI50" s="528"/>
      <c r="PJ50" s="695" t="s">
        <v>366</v>
      </c>
      <c r="PK50" s="687"/>
      <c r="PL50" s="694" t="s">
        <v>36</v>
      </c>
      <c r="PM50" s="683"/>
      <c r="PN50" s="692"/>
      <c r="PO50" s="685">
        <f t="shared" si="174"/>
        <v>0</v>
      </c>
      <c r="PP50" s="685">
        <f t="shared" si="194"/>
        <v>0</v>
      </c>
      <c r="PQ50" s="528"/>
      <c r="PR50" s="695" t="s">
        <v>366</v>
      </c>
      <c r="PS50" s="687"/>
      <c r="PT50" s="694" t="s">
        <v>36</v>
      </c>
      <c r="PU50" s="683"/>
      <c r="PV50" s="692"/>
      <c r="PW50" s="685">
        <f t="shared" si="175"/>
        <v>0</v>
      </c>
      <c r="PX50" s="685">
        <f t="shared" si="195"/>
        <v>0</v>
      </c>
      <c r="PY50" s="528"/>
      <c r="PZ50" s="695" t="s">
        <v>366</v>
      </c>
      <c r="QA50" s="687"/>
      <c r="QB50" s="694" t="s">
        <v>36</v>
      </c>
      <c r="QC50" s="683"/>
      <c r="QD50" s="692"/>
      <c r="QE50" s="685">
        <f t="shared" si="176"/>
        <v>0</v>
      </c>
      <c r="QF50" s="685">
        <f t="shared" si="196"/>
        <v>0</v>
      </c>
      <c r="QG50" s="528"/>
      <c r="QH50" s="695" t="s">
        <v>366</v>
      </c>
      <c r="QI50" s="687">
        <v>3</v>
      </c>
      <c r="QJ50" s="694" t="s">
        <v>36</v>
      </c>
      <c r="QK50" s="683">
        <v>25</v>
      </c>
      <c r="QL50" s="692"/>
      <c r="QM50" s="685">
        <f t="shared" si="177"/>
        <v>0</v>
      </c>
      <c r="QN50" s="685">
        <f t="shared" si="197"/>
        <v>0</v>
      </c>
      <c r="QO50" s="528"/>
      <c r="QP50" s="695" t="s">
        <v>366</v>
      </c>
      <c r="QQ50" s="687">
        <v>1</v>
      </c>
      <c r="QR50" s="694" t="s">
        <v>36</v>
      </c>
      <c r="QS50" s="683">
        <v>2</v>
      </c>
      <c r="QT50" s="692"/>
      <c r="QU50" s="685">
        <f t="shared" si="178"/>
        <v>0</v>
      </c>
      <c r="QV50" s="685">
        <f t="shared" si="198"/>
        <v>0</v>
      </c>
      <c r="QW50" s="528"/>
      <c r="QX50" s="695" t="s">
        <v>366</v>
      </c>
      <c r="QY50" s="687"/>
      <c r="QZ50" s="694" t="s">
        <v>36</v>
      </c>
      <c r="RA50" s="683"/>
      <c r="RB50" s="692"/>
      <c r="RC50" s="685">
        <f t="shared" si="179"/>
        <v>0</v>
      </c>
      <c r="RD50" s="685">
        <f t="shared" si="199"/>
        <v>0</v>
      </c>
      <c r="RE50" s="528"/>
      <c r="RF50" s="695" t="s">
        <v>366</v>
      </c>
      <c r="RG50" s="687"/>
      <c r="RH50" s="694" t="s">
        <v>36</v>
      </c>
      <c r="RI50" s="683"/>
      <c r="RJ50" s="692"/>
      <c r="RK50" s="685">
        <f t="shared" si="180"/>
        <v>0</v>
      </c>
      <c r="RL50" s="685">
        <f t="shared" si="200"/>
        <v>0</v>
      </c>
      <c r="RM50" s="528"/>
      <c r="RN50" s="695" t="s">
        <v>366</v>
      </c>
      <c r="RO50" s="687">
        <v>5</v>
      </c>
      <c r="RP50" s="694" t="s">
        <v>36</v>
      </c>
      <c r="RQ50" s="683">
        <v>28</v>
      </c>
      <c r="RR50" s="692"/>
      <c r="RS50" s="685">
        <f t="shared" si="181"/>
        <v>0</v>
      </c>
      <c r="RT50" s="685">
        <f t="shared" si="201"/>
        <v>0</v>
      </c>
      <c r="RU50" s="528"/>
      <c r="RV50" s="695" t="s">
        <v>366</v>
      </c>
      <c r="RW50" s="687"/>
      <c r="RX50" s="694" t="s">
        <v>36</v>
      </c>
      <c r="RY50" s="683"/>
      <c r="RZ50" s="692"/>
      <c r="SA50" s="685">
        <f t="shared" si="182"/>
        <v>0</v>
      </c>
      <c r="SB50" s="685">
        <f t="shared" si="202"/>
        <v>0</v>
      </c>
      <c r="SC50" s="528"/>
      <c r="SD50" s="695" t="s">
        <v>366</v>
      </c>
      <c r="SE50" s="687">
        <v>2</v>
      </c>
      <c r="SF50" s="694" t="s">
        <v>36</v>
      </c>
      <c r="SG50" s="683">
        <v>13</v>
      </c>
      <c r="SH50" s="692"/>
      <c r="SI50" s="685">
        <f t="shared" si="183"/>
        <v>0</v>
      </c>
      <c r="SJ50" s="685">
        <f t="shared" si="203"/>
        <v>0</v>
      </c>
      <c r="SK50" s="528"/>
      <c r="SL50" s="695" t="s">
        <v>366</v>
      </c>
      <c r="SM50" s="687">
        <v>2</v>
      </c>
      <c r="SN50" s="694" t="s">
        <v>36</v>
      </c>
      <c r="SO50" s="683">
        <v>5</v>
      </c>
      <c r="SP50" s="692"/>
      <c r="SQ50" s="685">
        <f t="shared" si="184"/>
        <v>0</v>
      </c>
      <c r="SR50" s="685">
        <f t="shared" si="204"/>
        <v>0</v>
      </c>
      <c r="SS50" s="528"/>
      <c r="ST50" s="695" t="s">
        <v>366</v>
      </c>
      <c r="SU50" s="687">
        <v>2</v>
      </c>
      <c r="SV50" s="694" t="s">
        <v>36</v>
      </c>
      <c r="SW50" s="683">
        <v>19</v>
      </c>
      <c r="SX50" s="692"/>
      <c r="SY50" s="685">
        <f t="shared" si="185"/>
        <v>0</v>
      </c>
      <c r="SZ50" s="685">
        <f t="shared" si="205"/>
        <v>0</v>
      </c>
      <c r="TA50" s="528"/>
      <c r="TB50" s="695" t="s">
        <v>366</v>
      </c>
      <c r="TC50" s="687">
        <v>3</v>
      </c>
      <c r="TD50" s="694" t="s">
        <v>36</v>
      </c>
      <c r="TE50" s="683">
        <v>10</v>
      </c>
      <c r="TF50" s="692"/>
      <c r="TG50" s="685">
        <f t="shared" si="186"/>
        <v>0</v>
      </c>
      <c r="TH50" s="685">
        <f t="shared" si="206"/>
        <v>0</v>
      </c>
      <c r="TI50" s="528"/>
    </row>
    <row r="51" spans="2:529">
      <c r="B51" s="155" t="s">
        <v>92</v>
      </c>
      <c r="C51" s="163">
        <v>6</v>
      </c>
      <c r="D51" s="157" t="s">
        <v>14</v>
      </c>
      <c r="E51" s="138">
        <v>36</v>
      </c>
      <c r="F51" s="164">
        <v>0.36472222222222223</v>
      </c>
      <c r="G51" s="140">
        <f t="shared" si="133"/>
        <v>13.13</v>
      </c>
      <c r="H51" s="149"/>
      <c r="I51" s="528"/>
      <c r="J51" s="155" t="s">
        <v>92</v>
      </c>
      <c r="K51" s="163">
        <v>1</v>
      </c>
      <c r="L51" s="157" t="s">
        <v>14</v>
      </c>
      <c r="M51" s="138">
        <v>0</v>
      </c>
      <c r="N51" s="164">
        <v>0.36472222222222223</v>
      </c>
      <c r="O51" s="140">
        <f t="shared" si="134"/>
        <v>0</v>
      </c>
      <c r="P51" s="149"/>
      <c r="Q51" s="528"/>
      <c r="R51" s="155" t="s">
        <v>92</v>
      </c>
      <c r="S51" s="163">
        <v>2</v>
      </c>
      <c r="T51" s="157" t="s">
        <v>14</v>
      </c>
      <c r="U51" s="138">
        <v>25</v>
      </c>
      <c r="V51" s="164">
        <v>0.36472222222222223</v>
      </c>
      <c r="W51" s="140">
        <f t="shared" si="135"/>
        <v>9.1180555555555554</v>
      </c>
      <c r="X51" s="149"/>
      <c r="Y51" s="528"/>
      <c r="Z51" s="155" t="s">
        <v>92</v>
      </c>
      <c r="AA51" s="163"/>
      <c r="AB51" s="157" t="s">
        <v>14</v>
      </c>
      <c r="AC51" s="138">
        <v>0</v>
      </c>
      <c r="AD51" s="164">
        <v>0.36472222222222223</v>
      </c>
      <c r="AE51" s="140">
        <f t="shared" si="136"/>
        <v>0</v>
      </c>
      <c r="AF51" s="149"/>
      <c r="AG51" s="528"/>
      <c r="AH51" s="155" t="s">
        <v>92</v>
      </c>
      <c r="AI51" s="163"/>
      <c r="AJ51" s="157" t="s">
        <v>14</v>
      </c>
      <c r="AK51" s="138">
        <v>0</v>
      </c>
      <c r="AL51" s="164">
        <v>0.36472222222222223</v>
      </c>
      <c r="AM51" s="140">
        <f t="shared" si="137"/>
        <v>0</v>
      </c>
      <c r="AN51" s="149"/>
      <c r="AO51" s="528"/>
      <c r="AP51" s="155" t="s">
        <v>92</v>
      </c>
      <c r="AQ51" s="163"/>
      <c r="AR51" s="157" t="s">
        <v>14</v>
      </c>
      <c r="AS51" s="138"/>
      <c r="AT51" s="164">
        <v>0.36472222222222223</v>
      </c>
      <c r="AU51" s="140">
        <f t="shared" si="138"/>
        <v>0</v>
      </c>
      <c r="AV51" s="149"/>
      <c r="AW51" s="528"/>
      <c r="AX51" s="155" t="s">
        <v>92</v>
      </c>
      <c r="AY51" s="163">
        <v>6</v>
      </c>
      <c r="AZ51" s="157" t="s">
        <v>14</v>
      </c>
      <c r="BA51" s="138">
        <v>0</v>
      </c>
      <c r="BB51" s="164">
        <v>0.36472222222222223</v>
      </c>
      <c r="BC51" s="140">
        <f t="shared" si="139"/>
        <v>0</v>
      </c>
      <c r="BD51" s="149"/>
      <c r="BE51" s="528"/>
      <c r="BF51" s="155" t="s">
        <v>92</v>
      </c>
      <c r="BG51" s="163">
        <v>10</v>
      </c>
      <c r="BH51" s="157" t="s">
        <v>14</v>
      </c>
      <c r="BI51" s="138">
        <v>185</v>
      </c>
      <c r="BJ51" s="164">
        <v>0.36472222222222223</v>
      </c>
      <c r="BK51" s="140">
        <f t="shared" si="140"/>
        <v>67.473611111111111</v>
      </c>
      <c r="BL51" s="149"/>
      <c r="BM51" s="528"/>
      <c r="BN51" s="155" t="s">
        <v>92</v>
      </c>
      <c r="BO51" s="163">
        <v>3</v>
      </c>
      <c r="BP51" s="157" t="s">
        <v>14</v>
      </c>
      <c r="BQ51" s="138">
        <v>0</v>
      </c>
      <c r="BR51" s="164">
        <v>0.36472222222222223</v>
      </c>
      <c r="BS51" s="140">
        <f t="shared" si="141"/>
        <v>0</v>
      </c>
      <c r="BT51" s="149"/>
      <c r="BU51" s="528"/>
      <c r="BV51" s="572" t="s">
        <v>92</v>
      </c>
      <c r="BW51" s="579"/>
      <c r="BX51" s="574" t="s">
        <v>14</v>
      </c>
      <c r="BY51" s="560"/>
      <c r="BZ51" s="580">
        <v>0.36472222222222223</v>
      </c>
      <c r="CA51" s="562">
        <f t="shared" si="142"/>
        <v>0</v>
      </c>
      <c r="CB51" s="568"/>
      <c r="CC51" s="528"/>
      <c r="CD51" s="572" t="s">
        <v>92</v>
      </c>
      <c r="CE51" s="579"/>
      <c r="CF51" s="574" t="s">
        <v>14</v>
      </c>
      <c r="CG51" s="560"/>
      <c r="CH51" s="580">
        <v>0.36472222222222223</v>
      </c>
      <c r="CI51" s="562">
        <f t="shared" si="143"/>
        <v>0</v>
      </c>
      <c r="CJ51" s="568"/>
      <c r="CK51" s="528"/>
      <c r="CL51" s="155" t="s">
        <v>92</v>
      </c>
      <c r="CM51" s="163">
        <v>3</v>
      </c>
      <c r="CN51" s="157" t="s">
        <v>14</v>
      </c>
      <c r="CO51" s="138">
        <v>21</v>
      </c>
      <c r="CP51" s="164">
        <v>0.36472222222222223</v>
      </c>
      <c r="CQ51" s="140">
        <f t="shared" si="144"/>
        <v>7.6591666666666667</v>
      </c>
      <c r="CR51" s="149"/>
      <c r="CS51" s="528"/>
      <c r="CT51" s="155" t="s">
        <v>92</v>
      </c>
      <c r="CU51" s="163">
        <v>10</v>
      </c>
      <c r="CV51" s="157" t="s">
        <v>14</v>
      </c>
      <c r="CW51" s="138">
        <v>185</v>
      </c>
      <c r="CX51" s="164">
        <v>0.36472222222222223</v>
      </c>
      <c r="CY51" s="140">
        <f t="shared" si="12"/>
        <v>67.473611111111111</v>
      </c>
      <c r="CZ51" s="149"/>
      <c r="DA51" s="528"/>
      <c r="DB51" s="155" t="s">
        <v>92</v>
      </c>
      <c r="DC51" s="163">
        <v>1</v>
      </c>
      <c r="DD51" s="157" t="s">
        <v>14</v>
      </c>
      <c r="DE51" s="138">
        <v>6</v>
      </c>
      <c r="DF51" s="164">
        <v>0.36472222222222223</v>
      </c>
      <c r="DG51" s="140">
        <f t="shared" si="13"/>
        <v>2.1883333333333335</v>
      </c>
      <c r="DH51" s="149"/>
      <c r="DI51" s="528"/>
      <c r="DJ51" s="155" t="s">
        <v>92</v>
      </c>
      <c r="DK51" s="163">
        <v>6</v>
      </c>
      <c r="DL51" s="157" t="s">
        <v>14</v>
      </c>
      <c r="DM51" s="138">
        <v>0</v>
      </c>
      <c r="DN51" s="172">
        <v>0.36472222222222223</v>
      </c>
      <c r="DO51" s="140">
        <f t="shared" si="14"/>
        <v>0</v>
      </c>
      <c r="DP51" s="149"/>
      <c r="DQ51" s="528"/>
      <c r="DR51" s="155" t="s">
        <v>92</v>
      </c>
      <c r="DS51" s="163"/>
      <c r="DT51" s="157" t="s">
        <v>14</v>
      </c>
      <c r="DU51" s="138"/>
      <c r="DV51" s="172">
        <v>0.36472222222222223</v>
      </c>
      <c r="DW51" s="140">
        <f t="shared" si="15"/>
        <v>0</v>
      </c>
      <c r="DX51" s="149"/>
      <c r="DY51" s="528"/>
      <c r="DZ51" s="155" t="s">
        <v>92</v>
      </c>
      <c r="EA51" s="163">
        <v>0</v>
      </c>
      <c r="EB51" s="157" t="s">
        <v>14</v>
      </c>
      <c r="EC51" s="138">
        <v>0</v>
      </c>
      <c r="ED51" s="172">
        <v>0.36472222222222223</v>
      </c>
      <c r="EE51" s="140">
        <f t="shared" si="16"/>
        <v>0</v>
      </c>
      <c r="EF51" s="149"/>
      <c r="EG51" s="528"/>
      <c r="EH51" s="155" t="s">
        <v>92</v>
      </c>
      <c r="EI51" s="163">
        <v>14</v>
      </c>
      <c r="EJ51" s="157" t="s">
        <v>14</v>
      </c>
      <c r="EK51" s="138">
        <v>0</v>
      </c>
      <c r="EL51" s="172">
        <v>0.36472222222222223</v>
      </c>
      <c r="EM51" s="140">
        <f t="shared" si="17"/>
        <v>0</v>
      </c>
      <c r="EN51" s="149"/>
      <c r="EO51" s="528"/>
      <c r="EP51" s="155" t="s">
        <v>92</v>
      </c>
      <c r="EQ51" s="163">
        <v>23</v>
      </c>
      <c r="ER51" s="157" t="s">
        <v>14</v>
      </c>
      <c r="ES51" s="138">
        <v>156</v>
      </c>
      <c r="ET51" s="172">
        <v>0.36472222222222223</v>
      </c>
      <c r="EU51" s="140">
        <f t="shared" si="18"/>
        <v>56.896666666666668</v>
      </c>
      <c r="EV51" s="149"/>
      <c r="EW51" s="528"/>
      <c r="EX51" s="155" t="s">
        <v>92</v>
      </c>
      <c r="EY51" s="163"/>
      <c r="EZ51" s="157" t="s">
        <v>14</v>
      </c>
      <c r="FA51" s="138"/>
      <c r="FB51" s="172">
        <v>0.36472222222222223</v>
      </c>
      <c r="FC51" s="140">
        <f t="shared" si="19"/>
        <v>0</v>
      </c>
      <c r="FD51" s="149"/>
      <c r="FE51" s="528"/>
      <c r="FF51" s="155" t="s">
        <v>92</v>
      </c>
      <c r="FG51" s="163"/>
      <c r="FH51" s="157" t="s">
        <v>14</v>
      </c>
      <c r="FI51" s="138"/>
      <c r="FJ51" s="172">
        <v>0.36472222222222223</v>
      </c>
      <c r="FK51" s="140">
        <f t="shared" si="20"/>
        <v>0</v>
      </c>
      <c r="FL51" s="149"/>
      <c r="FM51" s="528"/>
      <c r="FN51" s="155" t="s">
        <v>92</v>
      </c>
      <c r="FO51" s="163"/>
      <c r="FP51" s="157" t="s">
        <v>14</v>
      </c>
      <c r="FQ51" s="138"/>
      <c r="FR51" s="172">
        <v>0.36472222222222223</v>
      </c>
      <c r="FS51" s="140">
        <f t="shared" si="21"/>
        <v>0</v>
      </c>
      <c r="FT51" s="149"/>
      <c r="FU51" s="528"/>
      <c r="FV51" s="155" t="s">
        <v>92</v>
      </c>
      <c r="FW51" s="163"/>
      <c r="FX51" s="157" t="s">
        <v>14</v>
      </c>
      <c r="FY51" s="138"/>
      <c r="FZ51" s="172">
        <v>0.36472222222222223</v>
      </c>
      <c r="GA51" s="140">
        <f t="shared" si="22"/>
        <v>0</v>
      </c>
      <c r="GB51" s="149"/>
      <c r="GC51" s="528"/>
      <c r="GD51" s="155" t="s">
        <v>92</v>
      </c>
      <c r="GE51" s="163"/>
      <c r="GF51" s="157" t="s">
        <v>14</v>
      </c>
      <c r="GG51" s="138"/>
      <c r="GH51" s="172">
        <v>0.36472222222222223</v>
      </c>
      <c r="GI51" s="140">
        <f t="shared" si="23"/>
        <v>0</v>
      </c>
      <c r="GJ51" s="149"/>
      <c r="GK51" s="528"/>
      <c r="GL51" s="155" t="s">
        <v>92</v>
      </c>
      <c r="GM51" s="163">
        <v>8</v>
      </c>
      <c r="GN51" s="157" t="s">
        <v>14</v>
      </c>
      <c r="GO51" s="175">
        <v>185</v>
      </c>
      <c r="GP51" s="164">
        <v>0.36472222222222223</v>
      </c>
      <c r="GQ51" s="140">
        <f t="shared" si="145"/>
        <v>67.473611111111111</v>
      </c>
      <c r="GR51" s="149"/>
      <c r="GS51" s="528"/>
      <c r="GT51" s="155" t="s">
        <v>92</v>
      </c>
      <c r="GU51" s="163">
        <v>0</v>
      </c>
      <c r="GV51" s="157" t="s">
        <v>14</v>
      </c>
      <c r="GW51" s="175">
        <v>0</v>
      </c>
      <c r="GX51" s="164">
        <v>0.36472222222222223</v>
      </c>
      <c r="GY51" s="140">
        <f t="shared" si="146"/>
        <v>0</v>
      </c>
      <c r="GZ51" s="149"/>
      <c r="HA51" s="528"/>
      <c r="HB51" s="155" t="s">
        <v>92</v>
      </c>
      <c r="HC51" s="163">
        <v>2</v>
      </c>
      <c r="HD51" s="157" t="s">
        <v>14</v>
      </c>
      <c r="HE51" s="175">
        <v>0</v>
      </c>
      <c r="HF51" s="164">
        <v>0.36472222222222223</v>
      </c>
      <c r="HG51" s="140">
        <f t="shared" si="147"/>
        <v>0</v>
      </c>
      <c r="HH51" s="149"/>
      <c r="HI51" s="528"/>
      <c r="HJ51" s="155" t="s">
        <v>92</v>
      </c>
      <c r="HK51" s="163">
        <v>0</v>
      </c>
      <c r="HL51" s="157" t="s">
        <v>14</v>
      </c>
      <c r="HM51" s="175">
        <v>0</v>
      </c>
      <c r="HN51" s="164">
        <v>0.36472222222222223</v>
      </c>
      <c r="HO51" s="140">
        <f t="shared" si="148"/>
        <v>0</v>
      </c>
      <c r="HP51" s="149"/>
      <c r="HQ51" s="528"/>
      <c r="HR51" s="155" t="s">
        <v>92</v>
      </c>
      <c r="HS51" s="163">
        <v>7</v>
      </c>
      <c r="HT51" s="157" t="s">
        <v>14</v>
      </c>
      <c r="HU51" s="175">
        <v>42</v>
      </c>
      <c r="HV51" s="164">
        <v>0.36472222222222223</v>
      </c>
      <c r="HW51" s="140">
        <f t="shared" si="149"/>
        <v>15.318333333333333</v>
      </c>
      <c r="HX51" s="149"/>
      <c r="HY51" s="528"/>
      <c r="HZ51" s="155" t="s">
        <v>92</v>
      </c>
      <c r="IA51" s="163">
        <v>5</v>
      </c>
      <c r="IB51" s="157" t="s">
        <v>14</v>
      </c>
      <c r="IC51" s="175">
        <v>118</v>
      </c>
      <c r="ID51" s="164">
        <v>0.36472222222222223</v>
      </c>
      <c r="IE51" s="140">
        <f t="shared" si="150"/>
        <v>43.037222222222219</v>
      </c>
      <c r="IF51" s="149"/>
      <c r="IG51" s="528"/>
      <c r="IH51" s="155" t="s">
        <v>92</v>
      </c>
      <c r="II51" s="163">
        <v>20</v>
      </c>
      <c r="IJ51" s="157" t="s">
        <v>14</v>
      </c>
      <c r="IK51" s="175">
        <v>216</v>
      </c>
      <c r="IL51" s="164">
        <v>0.36472222222222223</v>
      </c>
      <c r="IM51" s="140">
        <f t="shared" si="151"/>
        <v>78.78</v>
      </c>
      <c r="IN51" s="149"/>
      <c r="IO51" s="528"/>
      <c r="IP51" s="155" t="s">
        <v>92</v>
      </c>
      <c r="IQ51" s="163">
        <v>35</v>
      </c>
      <c r="IR51" s="157" t="s">
        <v>14</v>
      </c>
      <c r="IS51" s="175">
        <v>500</v>
      </c>
      <c r="IT51" s="164">
        <v>0.36472222222222223</v>
      </c>
      <c r="IU51" s="140">
        <f t="shared" si="152"/>
        <v>182.36111111111111</v>
      </c>
      <c r="IV51" s="149"/>
      <c r="IW51" s="528"/>
      <c r="IX51" s="155" t="s">
        <v>92</v>
      </c>
      <c r="IY51" s="163">
        <v>22</v>
      </c>
      <c r="IZ51" s="157" t="s">
        <v>14</v>
      </c>
      <c r="JA51" s="175">
        <v>329</v>
      </c>
      <c r="JB51" s="164">
        <v>0.36472222222222223</v>
      </c>
      <c r="JC51" s="140">
        <f t="shared" si="153"/>
        <v>119.99361111111111</v>
      </c>
      <c r="JD51" s="149"/>
      <c r="JE51" s="528"/>
      <c r="JF51" s="155" t="s">
        <v>92</v>
      </c>
      <c r="JG51" s="163">
        <v>16</v>
      </c>
      <c r="JH51" s="157" t="s">
        <v>14</v>
      </c>
      <c r="JI51" s="175">
        <v>238</v>
      </c>
      <c r="JJ51" s="164">
        <v>0.36472222222222223</v>
      </c>
      <c r="JK51" s="140">
        <f t="shared" si="154"/>
        <v>86.803888888888892</v>
      </c>
      <c r="JL51" s="149"/>
      <c r="JM51" s="528"/>
      <c r="JN51" s="155" t="s">
        <v>92</v>
      </c>
      <c r="JO51" s="163">
        <v>15</v>
      </c>
      <c r="JP51" s="157" t="s">
        <v>14</v>
      </c>
      <c r="JQ51" s="175">
        <v>311</v>
      </c>
      <c r="JR51" s="164">
        <v>0.36472222222222223</v>
      </c>
      <c r="JS51" s="140">
        <f t="shared" si="155"/>
        <v>113.42861111111111</v>
      </c>
      <c r="JT51" s="149"/>
      <c r="JU51" s="528"/>
      <c r="JV51" s="155" t="s">
        <v>92</v>
      </c>
      <c r="JW51" s="163">
        <v>7</v>
      </c>
      <c r="JX51" s="157" t="s">
        <v>14</v>
      </c>
      <c r="JY51" s="175">
        <v>100</v>
      </c>
      <c r="JZ51" s="164">
        <v>0.36472222222222223</v>
      </c>
      <c r="KA51" s="140">
        <f t="shared" si="156"/>
        <v>36.472222222222221</v>
      </c>
      <c r="KB51" s="149"/>
      <c r="KC51" s="528"/>
      <c r="KD51" s="155" t="s">
        <v>92</v>
      </c>
      <c r="KE51" s="163">
        <v>4</v>
      </c>
      <c r="KF51" s="157" t="s">
        <v>14</v>
      </c>
      <c r="KG51" s="175">
        <v>0</v>
      </c>
      <c r="KH51" s="164">
        <v>0.36472222222222223</v>
      </c>
      <c r="KI51" s="140">
        <f t="shared" si="157"/>
        <v>0</v>
      </c>
      <c r="KJ51" s="149"/>
      <c r="KK51" s="528"/>
      <c r="KL51" s="155" t="s">
        <v>92</v>
      </c>
      <c r="KM51" s="163">
        <v>0</v>
      </c>
      <c r="KN51" s="157" t="s">
        <v>14</v>
      </c>
      <c r="KO51" s="175">
        <v>0</v>
      </c>
      <c r="KP51" s="164">
        <v>0.36472222222222223</v>
      </c>
      <c r="KQ51" s="140">
        <f t="shared" si="158"/>
        <v>0</v>
      </c>
      <c r="KR51" s="149"/>
      <c r="KS51" s="528"/>
      <c r="KT51" s="155" t="s">
        <v>92</v>
      </c>
      <c r="KU51" s="163">
        <v>0</v>
      </c>
      <c r="KV51" s="157" t="s">
        <v>14</v>
      </c>
      <c r="KW51" s="175">
        <v>0</v>
      </c>
      <c r="KX51" s="164">
        <v>0.36472222222222223</v>
      </c>
      <c r="KY51" s="140">
        <f t="shared" si="159"/>
        <v>0</v>
      </c>
      <c r="KZ51" s="149"/>
      <c r="LA51" s="528"/>
      <c r="LB51" s="155" t="s">
        <v>92</v>
      </c>
      <c r="LC51" s="163">
        <v>10</v>
      </c>
      <c r="LD51" s="157" t="s">
        <v>14</v>
      </c>
      <c r="LE51" s="175">
        <v>50</v>
      </c>
      <c r="LF51" s="164">
        <v>0.36472222222222223</v>
      </c>
      <c r="LG51" s="140">
        <f t="shared" si="160"/>
        <v>18.236111111111111</v>
      </c>
      <c r="LH51" s="149"/>
      <c r="LI51" s="528"/>
      <c r="LJ51" s="155" t="s">
        <v>92</v>
      </c>
      <c r="LK51" s="163">
        <v>6</v>
      </c>
      <c r="LL51" s="157" t="s">
        <v>14</v>
      </c>
      <c r="LM51" s="175">
        <v>0</v>
      </c>
      <c r="LN51" s="164">
        <v>0.36472222222222223</v>
      </c>
      <c r="LO51" s="140">
        <f t="shared" si="161"/>
        <v>0</v>
      </c>
      <c r="LP51" s="149"/>
      <c r="LQ51" s="528"/>
      <c r="LR51" s="155" t="s">
        <v>92</v>
      </c>
      <c r="LS51" s="163">
        <v>18</v>
      </c>
      <c r="LT51" s="157" t="s">
        <v>14</v>
      </c>
      <c r="LU51" s="175">
        <v>50</v>
      </c>
      <c r="LV51" s="164">
        <v>0.36472222222222223</v>
      </c>
      <c r="LW51" s="140">
        <f t="shared" si="162"/>
        <v>18.236111111111111</v>
      </c>
      <c r="LX51" s="149"/>
      <c r="LY51" s="528"/>
      <c r="LZ51" s="155" t="s">
        <v>92</v>
      </c>
      <c r="MA51" s="163">
        <v>19</v>
      </c>
      <c r="MB51" s="157" t="s">
        <v>14</v>
      </c>
      <c r="MC51" s="175">
        <v>231</v>
      </c>
      <c r="MD51" s="164">
        <v>0.36472222222222223</v>
      </c>
      <c r="ME51" s="140">
        <f t="shared" si="163"/>
        <v>84.250833333333333</v>
      </c>
      <c r="MF51" s="149"/>
      <c r="MG51" s="528"/>
      <c r="MH51" s="155" t="s">
        <v>92</v>
      </c>
      <c r="MI51" s="163">
        <v>42</v>
      </c>
      <c r="MJ51" s="157" t="s">
        <v>14</v>
      </c>
      <c r="MK51" s="175">
        <v>466</v>
      </c>
      <c r="ML51" s="164">
        <v>0.36472222222222223</v>
      </c>
      <c r="MM51" s="140">
        <f t="shared" si="164"/>
        <v>169.96055555555554</v>
      </c>
      <c r="MN51" s="149"/>
      <c r="MO51" s="528"/>
      <c r="MP51" s="155" t="s">
        <v>92</v>
      </c>
      <c r="MQ51" s="163">
        <v>37</v>
      </c>
      <c r="MR51" s="157" t="s">
        <v>14</v>
      </c>
      <c r="MS51" s="175">
        <v>367</v>
      </c>
      <c r="MT51" s="164">
        <v>0.36472222222222223</v>
      </c>
      <c r="MU51" s="140">
        <f t="shared" si="165"/>
        <v>133.85305555555556</v>
      </c>
      <c r="MV51" s="149"/>
      <c r="MW51" s="528"/>
      <c r="MX51" s="686" t="s">
        <v>367</v>
      </c>
      <c r="MY51" s="681">
        <v>5</v>
      </c>
      <c r="MZ51" s="694" t="s">
        <v>14</v>
      </c>
      <c r="NA51" s="696">
        <v>73</v>
      </c>
      <c r="NB51" s="697"/>
      <c r="NC51" s="698">
        <f t="shared" si="166"/>
        <v>0</v>
      </c>
      <c r="ND51" s="698">
        <f t="shared" si="166"/>
        <v>0</v>
      </c>
      <c r="NE51" s="528"/>
      <c r="NF51" s="686" t="s">
        <v>367</v>
      </c>
      <c r="NG51" s="681"/>
      <c r="NH51" s="694" t="s">
        <v>14</v>
      </c>
      <c r="NI51" s="696"/>
      <c r="NJ51" s="697"/>
      <c r="NK51" s="698">
        <f t="shared" si="167"/>
        <v>0</v>
      </c>
      <c r="NL51" s="698">
        <f t="shared" si="187"/>
        <v>0</v>
      </c>
      <c r="NM51" s="528"/>
      <c r="NN51" s="686" t="s">
        <v>367</v>
      </c>
      <c r="NO51" s="681">
        <v>1</v>
      </c>
      <c r="NP51" s="694" t="s">
        <v>14</v>
      </c>
      <c r="NQ51" s="696">
        <v>1</v>
      </c>
      <c r="NR51" s="697"/>
      <c r="NS51" s="698">
        <f t="shared" si="168"/>
        <v>0</v>
      </c>
      <c r="NT51" s="698">
        <f t="shared" si="188"/>
        <v>0</v>
      </c>
      <c r="NU51" s="528"/>
      <c r="NV51" s="686" t="s">
        <v>367</v>
      </c>
      <c r="NW51" s="681"/>
      <c r="NX51" s="694" t="s">
        <v>14</v>
      </c>
      <c r="NY51" s="696"/>
      <c r="NZ51" s="697"/>
      <c r="OA51" s="698">
        <f t="shared" si="169"/>
        <v>0</v>
      </c>
      <c r="OB51" s="698">
        <f t="shared" si="189"/>
        <v>0</v>
      </c>
      <c r="OC51" s="528"/>
      <c r="OD51" s="686" t="s">
        <v>367</v>
      </c>
      <c r="OE51" s="681"/>
      <c r="OF51" s="694" t="s">
        <v>14</v>
      </c>
      <c r="OG51" s="696"/>
      <c r="OH51" s="697"/>
      <c r="OI51" s="698">
        <f t="shared" si="170"/>
        <v>0</v>
      </c>
      <c r="OJ51" s="698">
        <f t="shared" si="190"/>
        <v>0</v>
      </c>
      <c r="OK51" s="528"/>
      <c r="OL51" s="686" t="s">
        <v>367</v>
      </c>
      <c r="OM51" s="681"/>
      <c r="ON51" s="694" t="s">
        <v>14</v>
      </c>
      <c r="OO51" s="696"/>
      <c r="OP51" s="697"/>
      <c r="OQ51" s="698">
        <f t="shared" si="171"/>
        <v>0</v>
      </c>
      <c r="OR51" s="698">
        <f t="shared" si="191"/>
        <v>0</v>
      </c>
      <c r="OS51" s="528"/>
      <c r="OT51" s="686" t="s">
        <v>367</v>
      </c>
      <c r="OU51" s="681"/>
      <c r="OV51" s="694" t="s">
        <v>14</v>
      </c>
      <c r="OW51" s="696"/>
      <c r="OX51" s="697"/>
      <c r="OY51" s="698">
        <f t="shared" si="172"/>
        <v>0</v>
      </c>
      <c r="OZ51" s="698">
        <f t="shared" si="192"/>
        <v>0</v>
      </c>
      <c r="PA51" s="528"/>
      <c r="PB51" s="686" t="s">
        <v>367</v>
      </c>
      <c r="PC51" s="681"/>
      <c r="PD51" s="694" t="s">
        <v>14</v>
      </c>
      <c r="PE51" s="696"/>
      <c r="PF51" s="697"/>
      <c r="PG51" s="698">
        <f t="shared" si="173"/>
        <v>0</v>
      </c>
      <c r="PH51" s="698">
        <f t="shared" si="193"/>
        <v>0</v>
      </c>
      <c r="PI51" s="528"/>
      <c r="PJ51" s="686" t="s">
        <v>367</v>
      </c>
      <c r="PK51" s="681"/>
      <c r="PL51" s="694" t="s">
        <v>14</v>
      </c>
      <c r="PM51" s="696"/>
      <c r="PN51" s="697"/>
      <c r="PO51" s="698">
        <f t="shared" si="174"/>
        <v>0</v>
      </c>
      <c r="PP51" s="698">
        <f t="shared" si="194"/>
        <v>0</v>
      </c>
      <c r="PQ51" s="528"/>
      <c r="PR51" s="686" t="s">
        <v>367</v>
      </c>
      <c r="PS51" s="681">
        <v>1</v>
      </c>
      <c r="PT51" s="694" t="s">
        <v>14</v>
      </c>
      <c r="PU51" s="696">
        <v>30</v>
      </c>
      <c r="PV51" s="697"/>
      <c r="PW51" s="698">
        <f t="shared" si="175"/>
        <v>0</v>
      </c>
      <c r="PX51" s="698">
        <f t="shared" si="195"/>
        <v>0</v>
      </c>
      <c r="PY51" s="528"/>
      <c r="PZ51" s="686" t="s">
        <v>367</v>
      </c>
      <c r="QA51" s="681">
        <v>3</v>
      </c>
      <c r="QB51" s="694" t="s">
        <v>14</v>
      </c>
      <c r="QC51" s="696">
        <v>51</v>
      </c>
      <c r="QD51" s="697"/>
      <c r="QE51" s="698">
        <f t="shared" si="176"/>
        <v>0</v>
      </c>
      <c r="QF51" s="698">
        <f t="shared" si="196"/>
        <v>0</v>
      </c>
      <c r="QG51" s="528"/>
      <c r="QH51" s="686" t="s">
        <v>367</v>
      </c>
      <c r="QI51" s="681">
        <v>1</v>
      </c>
      <c r="QJ51" s="694" t="s">
        <v>14</v>
      </c>
      <c r="QK51" s="696">
        <v>5</v>
      </c>
      <c r="QL51" s="697"/>
      <c r="QM51" s="698">
        <f t="shared" si="177"/>
        <v>0</v>
      </c>
      <c r="QN51" s="698">
        <f t="shared" si="197"/>
        <v>0</v>
      </c>
      <c r="QO51" s="528"/>
      <c r="QP51" s="686" t="s">
        <v>367</v>
      </c>
      <c r="QQ51" s="681">
        <v>2</v>
      </c>
      <c r="QR51" s="694" t="s">
        <v>14</v>
      </c>
      <c r="QS51" s="696">
        <v>32</v>
      </c>
      <c r="QT51" s="697"/>
      <c r="QU51" s="698">
        <f t="shared" si="178"/>
        <v>0</v>
      </c>
      <c r="QV51" s="698">
        <f t="shared" si="198"/>
        <v>0</v>
      </c>
      <c r="QW51" s="528"/>
      <c r="QX51" s="686" t="s">
        <v>367</v>
      </c>
      <c r="QY51" s="681"/>
      <c r="QZ51" s="694" t="s">
        <v>14</v>
      </c>
      <c r="RA51" s="696"/>
      <c r="RB51" s="697"/>
      <c r="RC51" s="698">
        <f t="shared" si="179"/>
        <v>0</v>
      </c>
      <c r="RD51" s="698">
        <f t="shared" si="199"/>
        <v>0</v>
      </c>
      <c r="RE51" s="528"/>
      <c r="RF51" s="686" t="s">
        <v>367</v>
      </c>
      <c r="RG51" s="681"/>
      <c r="RH51" s="694" t="s">
        <v>14</v>
      </c>
      <c r="RI51" s="696"/>
      <c r="RJ51" s="697"/>
      <c r="RK51" s="698">
        <f t="shared" si="180"/>
        <v>0</v>
      </c>
      <c r="RL51" s="698">
        <f t="shared" si="200"/>
        <v>0</v>
      </c>
      <c r="RM51" s="528"/>
      <c r="RN51" s="686" t="s">
        <v>367</v>
      </c>
      <c r="RO51" s="681"/>
      <c r="RP51" s="694" t="s">
        <v>14</v>
      </c>
      <c r="RQ51" s="696"/>
      <c r="RR51" s="697"/>
      <c r="RS51" s="698">
        <f t="shared" si="181"/>
        <v>0</v>
      </c>
      <c r="RT51" s="698">
        <f t="shared" si="201"/>
        <v>0</v>
      </c>
      <c r="RU51" s="528"/>
      <c r="RV51" s="686" t="s">
        <v>367</v>
      </c>
      <c r="RW51" s="681"/>
      <c r="RX51" s="694" t="s">
        <v>14</v>
      </c>
      <c r="RY51" s="696"/>
      <c r="RZ51" s="697"/>
      <c r="SA51" s="698">
        <f t="shared" si="182"/>
        <v>0</v>
      </c>
      <c r="SB51" s="698">
        <f t="shared" si="202"/>
        <v>0</v>
      </c>
      <c r="SC51" s="528"/>
      <c r="SD51" s="686" t="s">
        <v>367</v>
      </c>
      <c r="SE51" s="681"/>
      <c r="SF51" s="694" t="s">
        <v>14</v>
      </c>
      <c r="SG51" s="696"/>
      <c r="SH51" s="697"/>
      <c r="SI51" s="698">
        <f t="shared" si="183"/>
        <v>0</v>
      </c>
      <c r="SJ51" s="698">
        <f t="shared" si="203"/>
        <v>0</v>
      </c>
      <c r="SK51" s="528"/>
      <c r="SL51" s="686" t="s">
        <v>367</v>
      </c>
      <c r="SM51" s="681"/>
      <c r="SN51" s="694" t="s">
        <v>14</v>
      </c>
      <c r="SO51" s="696"/>
      <c r="SP51" s="697"/>
      <c r="SQ51" s="698">
        <f t="shared" si="184"/>
        <v>0</v>
      </c>
      <c r="SR51" s="698">
        <f t="shared" si="204"/>
        <v>0</v>
      </c>
      <c r="SS51" s="528"/>
      <c r="ST51" s="686" t="s">
        <v>367</v>
      </c>
      <c r="SU51" s="681"/>
      <c r="SV51" s="694" t="s">
        <v>14</v>
      </c>
      <c r="SW51" s="696"/>
      <c r="SX51" s="697"/>
      <c r="SY51" s="698">
        <f t="shared" si="185"/>
        <v>0</v>
      </c>
      <c r="SZ51" s="698">
        <f t="shared" si="205"/>
        <v>0</v>
      </c>
      <c r="TA51" s="528"/>
      <c r="TB51" s="686" t="s">
        <v>367</v>
      </c>
      <c r="TC51" s="681"/>
      <c r="TD51" s="694" t="s">
        <v>14</v>
      </c>
      <c r="TE51" s="696"/>
      <c r="TF51" s="697"/>
      <c r="TG51" s="698">
        <f t="shared" si="186"/>
        <v>0</v>
      </c>
      <c r="TH51" s="698">
        <f t="shared" si="206"/>
        <v>0</v>
      </c>
      <c r="TI51" s="528"/>
    </row>
    <row r="52" spans="2:529">
      <c r="B52" s="145"/>
      <c r="C52" s="146"/>
      <c r="D52" s="151" t="s">
        <v>42</v>
      </c>
      <c r="E52" s="138">
        <v>30</v>
      </c>
      <c r="F52" s="139">
        <v>0.85592592592592587</v>
      </c>
      <c r="G52" s="140">
        <f t="shared" si="133"/>
        <v>25.677777777777777</v>
      </c>
      <c r="H52" s="159">
        <f>SUM(G51:G52)</f>
        <v>38.80777777777778</v>
      </c>
      <c r="I52" s="528"/>
      <c r="J52" s="145"/>
      <c r="K52" s="146"/>
      <c r="L52" s="151" t="s">
        <v>42</v>
      </c>
      <c r="M52" s="138">
        <v>5</v>
      </c>
      <c r="N52" s="139">
        <v>0.85592592592592587</v>
      </c>
      <c r="O52" s="140">
        <f t="shared" si="134"/>
        <v>4.2796296296296292</v>
      </c>
      <c r="P52" s="159">
        <f>SUM(O51:O52)</f>
        <v>4.2796296296296292</v>
      </c>
      <c r="Q52" s="528"/>
      <c r="R52" s="145"/>
      <c r="S52" s="146"/>
      <c r="T52" s="151" t="s">
        <v>42</v>
      </c>
      <c r="U52" s="138">
        <v>1</v>
      </c>
      <c r="V52" s="139">
        <v>0.85592592592592587</v>
      </c>
      <c r="W52" s="140">
        <f t="shared" si="135"/>
        <v>0.85592592592592587</v>
      </c>
      <c r="X52" s="159">
        <f>SUM(W51:W52)</f>
        <v>9.9739814814814807</v>
      </c>
      <c r="Y52" s="528"/>
      <c r="Z52" s="145"/>
      <c r="AA52" s="146"/>
      <c r="AB52" s="151" t="s">
        <v>42</v>
      </c>
      <c r="AC52" s="138">
        <v>0</v>
      </c>
      <c r="AD52" s="139">
        <v>0.85592592592592587</v>
      </c>
      <c r="AE52" s="140">
        <f t="shared" si="136"/>
        <v>0</v>
      </c>
      <c r="AF52" s="159">
        <f>SUM(AE51:AE52)</f>
        <v>0</v>
      </c>
      <c r="AG52" s="528"/>
      <c r="AH52" s="145"/>
      <c r="AI52" s="146"/>
      <c r="AJ52" s="151" t="s">
        <v>42</v>
      </c>
      <c r="AK52" s="138">
        <v>0</v>
      </c>
      <c r="AL52" s="139">
        <v>0.85592592592592587</v>
      </c>
      <c r="AM52" s="140">
        <f t="shared" si="137"/>
        <v>0</v>
      </c>
      <c r="AN52" s="159">
        <f>SUM(AM51:AM52)</f>
        <v>0</v>
      </c>
      <c r="AO52" s="528"/>
      <c r="AP52" s="145"/>
      <c r="AQ52" s="146"/>
      <c r="AR52" s="151" t="s">
        <v>42</v>
      </c>
      <c r="AS52" s="138"/>
      <c r="AT52" s="139">
        <v>0.85592592592592587</v>
      </c>
      <c r="AU52" s="140">
        <f t="shared" si="138"/>
        <v>0</v>
      </c>
      <c r="AV52" s="159">
        <f>SUM(AU51:AU52)</f>
        <v>0</v>
      </c>
      <c r="AW52" s="528"/>
      <c r="AX52" s="145"/>
      <c r="AY52" s="146"/>
      <c r="AZ52" s="151" t="s">
        <v>42</v>
      </c>
      <c r="BA52" s="138">
        <v>44</v>
      </c>
      <c r="BB52" s="139">
        <v>0.85592592592592587</v>
      </c>
      <c r="BC52" s="140">
        <f t="shared" si="139"/>
        <v>37.660740740740735</v>
      </c>
      <c r="BD52" s="159">
        <f>SUM(BC51:BC52)</f>
        <v>37.660740740740735</v>
      </c>
      <c r="BE52" s="528"/>
      <c r="BF52" s="145"/>
      <c r="BG52" s="146"/>
      <c r="BH52" s="151" t="s">
        <v>42</v>
      </c>
      <c r="BI52" s="138">
        <v>71</v>
      </c>
      <c r="BJ52" s="139">
        <v>0.85592592592592587</v>
      </c>
      <c r="BK52" s="140">
        <f t="shared" si="140"/>
        <v>60.770740740740735</v>
      </c>
      <c r="BL52" s="159">
        <f>SUM(BK51:BK52)</f>
        <v>128.24435185185183</v>
      </c>
      <c r="BM52" s="528"/>
      <c r="BN52" s="145"/>
      <c r="BO52" s="146"/>
      <c r="BP52" s="151" t="s">
        <v>42</v>
      </c>
      <c r="BQ52" s="138">
        <v>19</v>
      </c>
      <c r="BR52" s="139">
        <v>0.85592592592592587</v>
      </c>
      <c r="BS52" s="140">
        <f t="shared" si="141"/>
        <v>16.26259259259259</v>
      </c>
      <c r="BT52" s="159">
        <f>SUM(BS51:BS52)</f>
        <v>16.26259259259259</v>
      </c>
      <c r="BU52" s="528"/>
      <c r="BV52" s="536"/>
      <c r="BW52" s="537"/>
      <c r="BX52" s="543" t="s">
        <v>42</v>
      </c>
      <c r="BY52" s="560"/>
      <c r="BZ52" s="561">
        <v>0.85592592592592587</v>
      </c>
      <c r="CA52" s="562">
        <f t="shared" si="142"/>
        <v>0</v>
      </c>
      <c r="CB52" s="575">
        <f>SUM(CA51:CA52)</f>
        <v>0</v>
      </c>
      <c r="CC52" s="528"/>
      <c r="CD52" s="536"/>
      <c r="CE52" s="537"/>
      <c r="CF52" s="543" t="s">
        <v>42</v>
      </c>
      <c r="CG52" s="560"/>
      <c r="CH52" s="561">
        <v>0.85592592592592587</v>
      </c>
      <c r="CI52" s="562">
        <f t="shared" si="143"/>
        <v>0</v>
      </c>
      <c r="CJ52" s="575">
        <f>SUM(CI51:CI52)</f>
        <v>0</v>
      </c>
      <c r="CK52" s="528"/>
      <c r="CL52" s="145"/>
      <c r="CM52" s="146"/>
      <c r="CN52" s="151" t="s">
        <v>42</v>
      </c>
      <c r="CO52" s="138">
        <v>10</v>
      </c>
      <c r="CP52" s="139">
        <v>0.85592592592592587</v>
      </c>
      <c r="CQ52" s="140">
        <f t="shared" si="144"/>
        <v>8.5592592592592585</v>
      </c>
      <c r="CR52" s="159">
        <f>SUM(CQ51:CQ52)</f>
        <v>16.218425925925924</v>
      </c>
      <c r="CS52" s="528"/>
      <c r="CT52" s="145"/>
      <c r="CU52" s="146"/>
      <c r="CV52" s="151" t="s">
        <v>42</v>
      </c>
      <c r="CW52" s="138">
        <v>71</v>
      </c>
      <c r="CX52" s="139">
        <v>0.85592592592592587</v>
      </c>
      <c r="CY52" s="140">
        <f t="shared" si="12"/>
        <v>60.770740740740735</v>
      </c>
      <c r="CZ52" s="159">
        <f>SUM(CY51:CY52)</f>
        <v>128.24435185185183</v>
      </c>
      <c r="DA52" s="528"/>
      <c r="DB52" s="145"/>
      <c r="DC52" s="146"/>
      <c r="DD52" s="151" t="s">
        <v>42</v>
      </c>
      <c r="DE52" s="138">
        <v>0</v>
      </c>
      <c r="DF52" s="139">
        <v>0.85592592592592587</v>
      </c>
      <c r="DG52" s="140">
        <f t="shared" si="13"/>
        <v>0</v>
      </c>
      <c r="DH52" s="159">
        <f>SUM(DG51:DG52)</f>
        <v>2.1883333333333335</v>
      </c>
      <c r="DI52" s="528"/>
      <c r="DJ52" s="145"/>
      <c r="DK52" s="146"/>
      <c r="DL52" s="151" t="s">
        <v>42</v>
      </c>
      <c r="DM52" s="138">
        <v>66</v>
      </c>
      <c r="DN52" s="170">
        <v>0.85592592592592587</v>
      </c>
      <c r="DO52" s="140">
        <f t="shared" si="14"/>
        <v>56.49111111111111</v>
      </c>
      <c r="DP52" s="159">
        <f>SUM(DO51:DO52)</f>
        <v>56.49111111111111</v>
      </c>
      <c r="DQ52" s="528"/>
      <c r="DR52" s="145"/>
      <c r="DS52" s="146"/>
      <c r="DT52" s="151" t="s">
        <v>42</v>
      </c>
      <c r="DU52" s="138"/>
      <c r="DV52" s="170">
        <v>0.85592592592592587</v>
      </c>
      <c r="DW52" s="140">
        <f t="shared" si="15"/>
        <v>0</v>
      </c>
      <c r="DX52" s="159">
        <f>SUM(DW51:DW52)</f>
        <v>0</v>
      </c>
      <c r="DY52" s="528"/>
      <c r="DZ52" s="145"/>
      <c r="EA52" s="146"/>
      <c r="EB52" s="151" t="s">
        <v>42</v>
      </c>
      <c r="EC52" s="138">
        <v>0</v>
      </c>
      <c r="ED52" s="170">
        <v>0.85592592592592587</v>
      </c>
      <c r="EE52" s="140">
        <f t="shared" si="16"/>
        <v>0</v>
      </c>
      <c r="EF52" s="159">
        <f>SUM(EE51:EE52)</f>
        <v>0</v>
      </c>
      <c r="EG52" s="528"/>
      <c r="EH52" s="145"/>
      <c r="EI52" s="146"/>
      <c r="EJ52" s="151" t="s">
        <v>42</v>
      </c>
      <c r="EK52" s="138">
        <v>142</v>
      </c>
      <c r="EL52" s="170">
        <v>0.85592592592592587</v>
      </c>
      <c r="EM52" s="140">
        <f t="shared" si="17"/>
        <v>121.54148148148147</v>
      </c>
      <c r="EN52" s="159">
        <f>SUM(EM51:EM52)</f>
        <v>121.54148148148147</v>
      </c>
      <c r="EO52" s="528"/>
      <c r="EP52" s="145"/>
      <c r="EQ52" s="146"/>
      <c r="ER52" s="151" t="s">
        <v>42</v>
      </c>
      <c r="ES52" s="138">
        <v>205</v>
      </c>
      <c r="ET52" s="170">
        <v>0.85592592592592587</v>
      </c>
      <c r="EU52" s="140">
        <f t="shared" si="18"/>
        <v>175.46481481481482</v>
      </c>
      <c r="EV52" s="159">
        <f>SUM(EU51:EU52)</f>
        <v>232.36148148148149</v>
      </c>
      <c r="EW52" s="528"/>
      <c r="EX52" s="145"/>
      <c r="EY52" s="146"/>
      <c r="EZ52" s="151" t="s">
        <v>42</v>
      </c>
      <c r="FA52" s="138"/>
      <c r="FB52" s="170">
        <v>0.85592592592592587</v>
      </c>
      <c r="FC52" s="140">
        <f t="shared" si="19"/>
        <v>0</v>
      </c>
      <c r="FD52" s="159">
        <f>SUM(FC51:FC52)</f>
        <v>0</v>
      </c>
      <c r="FE52" s="528"/>
      <c r="FF52" s="145"/>
      <c r="FG52" s="146"/>
      <c r="FH52" s="151" t="s">
        <v>42</v>
      </c>
      <c r="FI52" s="138"/>
      <c r="FJ52" s="170">
        <v>0.85592592592592587</v>
      </c>
      <c r="FK52" s="140">
        <f t="shared" si="20"/>
        <v>0</v>
      </c>
      <c r="FL52" s="159">
        <f>SUM(FK51:FK52)</f>
        <v>0</v>
      </c>
      <c r="FM52" s="528"/>
      <c r="FN52" s="145"/>
      <c r="FO52" s="146"/>
      <c r="FP52" s="151" t="s">
        <v>42</v>
      </c>
      <c r="FQ52" s="138"/>
      <c r="FR52" s="170">
        <v>0.85592592592592587</v>
      </c>
      <c r="FS52" s="140">
        <f t="shared" si="21"/>
        <v>0</v>
      </c>
      <c r="FT52" s="159">
        <f>SUM(FS51:FS52)</f>
        <v>0</v>
      </c>
      <c r="FU52" s="528"/>
      <c r="FV52" s="145"/>
      <c r="FW52" s="146"/>
      <c r="FX52" s="151" t="s">
        <v>42</v>
      </c>
      <c r="FY52" s="138"/>
      <c r="FZ52" s="170">
        <v>0.85592592592592587</v>
      </c>
      <c r="GA52" s="140">
        <f t="shared" si="22"/>
        <v>0</v>
      </c>
      <c r="GB52" s="159">
        <f>SUM(GA51:GA52)</f>
        <v>0</v>
      </c>
      <c r="GC52" s="528"/>
      <c r="GD52" s="145"/>
      <c r="GE52" s="146"/>
      <c r="GF52" s="151" t="s">
        <v>42</v>
      </c>
      <c r="GG52" s="138"/>
      <c r="GH52" s="170">
        <v>0.85592592592592587</v>
      </c>
      <c r="GI52" s="140">
        <f t="shared" si="23"/>
        <v>0</v>
      </c>
      <c r="GJ52" s="159">
        <f>SUM(GI51:GI52)</f>
        <v>0</v>
      </c>
      <c r="GK52" s="528"/>
      <c r="GL52" s="145"/>
      <c r="GM52" s="146"/>
      <c r="GN52" s="151" t="s">
        <v>42</v>
      </c>
      <c r="GO52" s="175">
        <v>71</v>
      </c>
      <c r="GP52" s="139">
        <v>0.85592592592592587</v>
      </c>
      <c r="GQ52" s="140">
        <f t="shared" si="145"/>
        <v>60.770740740740735</v>
      </c>
      <c r="GR52" s="159">
        <f>SUM(GQ51:GQ52)</f>
        <v>128.24435185185183</v>
      </c>
      <c r="GS52" s="528"/>
      <c r="GT52" s="145"/>
      <c r="GU52" s="146"/>
      <c r="GV52" s="151" t="s">
        <v>42</v>
      </c>
      <c r="GW52" s="175">
        <v>0</v>
      </c>
      <c r="GX52" s="139">
        <v>0.85592592592592587</v>
      </c>
      <c r="GY52" s="140">
        <f t="shared" si="146"/>
        <v>0</v>
      </c>
      <c r="GZ52" s="159">
        <f>SUM(GY51:GY52)</f>
        <v>0</v>
      </c>
      <c r="HA52" s="528"/>
      <c r="HB52" s="145"/>
      <c r="HC52" s="146"/>
      <c r="HD52" s="151" t="s">
        <v>42</v>
      </c>
      <c r="HE52" s="175">
        <v>6</v>
      </c>
      <c r="HF52" s="139">
        <v>0.85592592592592587</v>
      </c>
      <c r="HG52" s="140">
        <f t="shared" si="147"/>
        <v>5.1355555555555554</v>
      </c>
      <c r="HH52" s="159">
        <f>SUM(HG51:HG52)</f>
        <v>5.1355555555555554</v>
      </c>
      <c r="HI52" s="528"/>
      <c r="HJ52" s="145"/>
      <c r="HK52" s="146"/>
      <c r="HL52" s="151" t="s">
        <v>42</v>
      </c>
      <c r="HM52" s="175">
        <v>0</v>
      </c>
      <c r="HN52" s="139">
        <v>0.85592592592592587</v>
      </c>
      <c r="HO52" s="140">
        <f t="shared" si="148"/>
        <v>0</v>
      </c>
      <c r="HP52" s="159">
        <f>SUM(HO51:HO52)</f>
        <v>0</v>
      </c>
      <c r="HQ52" s="528"/>
      <c r="HR52" s="145"/>
      <c r="HS52" s="146"/>
      <c r="HT52" s="151" t="s">
        <v>42</v>
      </c>
      <c r="HU52" s="175">
        <v>12</v>
      </c>
      <c r="HV52" s="139">
        <v>0.85592592592592587</v>
      </c>
      <c r="HW52" s="140">
        <f t="shared" si="149"/>
        <v>10.271111111111111</v>
      </c>
      <c r="HX52" s="159">
        <f>SUM(HW51:HW52)</f>
        <v>25.589444444444446</v>
      </c>
      <c r="HY52" s="528"/>
      <c r="HZ52" s="145"/>
      <c r="IA52" s="146"/>
      <c r="IB52" s="151" t="s">
        <v>42</v>
      </c>
      <c r="IC52" s="175">
        <v>33</v>
      </c>
      <c r="ID52" s="139">
        <v>0.85592592592592587</v>
      </c>
      <c r="IE52" s="140">
        <f t="shared" si="150"/>
        <v>28.245555555555555</v>
      </c>
      <c r="IF52" s="159">
        <f>SUM(IE51:IE52)</f>
        <v>71.282777777777767</v>
      </c>
      <c r="IG52" s="528"/>
      <c r="IH52" s="145"/>
      <c r="II52" s="146"/>
      <c r="IJ52" s="151" t="s">
        <v>42</v>
      </c>
      <c r="IK52" s="175">
        <v>113</v>
      </c>
      <c r="IL52" s="139">
        <v>0.85592592592592587</v>
      </c>
      <c r="IM52" s="140">
        <f t="shared" si="151"/>
        <v>96.719629629629623</v>
      </c>
      <c r="IN52" s="159">
        <f>SUM(IM51:IM52)</f>
        <v>175.49962962962962</v>
      </c>
      <c r="IO52" s="528"/>
      <c r="IP52" s="145"/>
      <c r="IQ52" s="146"/>
      <c r="IR52" s="151" t="s">
        <v>42</v>
      </c>
      <c r="IS52" s="175">
        <v>111</v>
      </c>
      <c r="IT52" s="139">
        <v>0.85592592592592587</v>
      </c>
      <c r="IU52" s="140">
        <f t="shared" si="152"/>
        <v>95.007777777777775</v>
      </c>
      <c r="IV52" s="159">
        <f>SUM(IU51:IU52)</f>
        <v>277.36888888888888</v>
      </c>
      <c r="IW52" s="528"/>
      <c r="IX52" s="145"/>
      <c r="IY52" s="146"/>
      <c r="IZ52" s="151" t="s">
        <v>42</v>
      </c>
      <c r="JA52" s="175">
        <v>158</v>
      </c>
      <c r="JB52" s="139">
        <v>0.85592592592592587</v>
      </c>
      <c r="JC52" s="140">
        <f t="shared" si="153"/>
        <v>135.23629629629627</v>
      </c>
      <c r="JD52" s="159">
        <f>SUM(JC51:JC52)</f>
        <v>255.22990740740738</v>
      </c>
      <c r="JE52" s="528"/>
      <c r="JF52" s="145"/>
      <c r="JG52" s="146"/>
      <c r="JH52" s="151" t="s">
        <v>42</v>
      </c>
      <c r="JI52" s="175">
        <v>260</v>
      </c>
      <c r="JJ52" s="139">
        <v>0.85592592592592587</v>
      </c>
      <c r="JK52" s="140">
        <f t="shared" si="154"/>
        <v>222.54074074074072</v>
      </c>
      <c r="JL52" s="159">
        <f>SUM(JK51:JK52)</f>
        <v>309.34462962962959</v>
      </c>
      <c r="JM52" s="528"/>
      <c r="JN52" s="145"/>
      <c r="JO52" s="146"/>
      <c r="JP52" s="151" t="s">
        <v>42</v>
      </c>
      <c r="JQ52" s="175">
        <v>343</v>
      </c>
      <c r="JR52" s="139">
        <v>0.85592592592592587</v>
      </c>
      <c r="JS52" s="140">
        <f t="shared" si="155"/>
        <v>293.58259259259256</v>
      </c>
      <c r="JT52" s="159">
        <f>SUM(JS51:JS52)</f>
        <v>407.0112037037037</v>
      </c>
      <c r="JU52" s="528"/>
      <c r="JV52" s="145"/>
      <c r="JW52" s="146"/>
      <c r="JX52" s="151" t="s">
        <v>42</v>
      </c>
      <c r="JY52" s="175">
        <v>60</v>
      </c>
      <c r="JZ52" s="139">
        <v>0.85592592592592587</v>
      </c>
      <c r="KA52" s="140">
        <f t="shared" si="156"/>
        <v>51.355555555555554</v>
      </c>
      <c r="KB52" s="159">
        <f>SUM(KA51:KA52)</f>
        <v>87.827777777777783</v>
      </c>
      <c r="KC52" s="528"/>
      <c r="KD52" s="145"/>
      <c r="KE52" s="146"/>
      <c r="KF52" s="151" t="s">
        <v>42</v>
      </c>
      <c r="KG52" s="175">
        <v>30</v>
      </c>
      <c r="KH52" s="139">
        <v>0.85592592592592587</v>
      </c>
      <c r="KI52" s="140">
        <f t="shared" si="157"/>
        <v>25.677777777777777</v>
      </c>
      <c r="KJ52" s="159">
        <f>SUM(KI51:KI52)</f>
        <v>25.677777777777777</v>
      </c>
      <c r="KK52" s="528"/>
      <c r="KL52" s="145"/>
      <c r="KM52" s="146"/>
      <c r="KN52" s="151" t="s">
        <v>42</v>
      </c>
      <c r="KO52" s="175">
        <v>0</v>
      </c>
      <c r="KP52" s="139">
        <v>0.85592592592592587</v>
      </c>
      <c r="KQ52" s="140">
        <f t="shared" si="158"/>
        <v>0</v>
      </c>
      <c r="KR52" s="159">
        <f>SUM(KQ51:KQ52)</f>
        <v>0</v>
      </c>
      <c r="KS52" s="528"/>
      <c r="KT52" s="145"/>
      <c r="KU52" s="146"/>
      <c r="KV52" s="151" t="s">
        <v>42</v>
      </c>
      <c r="KW52" s="175">
        <v>0</v>
      </c>
      <c r="KX52" s="139">
        <v>0.85592592592592587</v>
      </c>
      <c r="KY52" s="140">
        <f t="shared" si="159"/>
        <v>0</v>
      </c>
      <c r="KZ52" s="159">
        <f>SUM(KY51:KY52)</f>
        <v>0</v>
      </c>
      <c r="LA52" s="528"/>
      <c r="LB52" s="145"/>
      <c r="LC52" s="146"/>
      <c r="LD52" s="151" t="s">
        <v>42</v>
      </c>
      <c r="LE52" s="175">
        <v>18</v>
      </c>
      <c r="LF52" s="139">
        <v>0.85592592592592587</v>
      </c>
      <c r="LG52" s="140">
        <f t="shared" si="160"/>
        <v>15.406666666666666</v>
      </c>
      <c r="LH52" s="159">
        <f>SUM(LG51:LG52)</f>
        <v>33.642777777777781</v>
      </c>
      <c r="LI52" s="528"/>
      <c r="LJ52" s="145"/>
      <c r="LK52" s="146"/>
      <c r="LL52" s="151" t="s">
        <v>42</v>
      </c>
      <c r="LM52" s="175">
        <v>23</v>
      </c>
      <c r="LN52" s="139">
        <v>0.85592592592592587</v>
      </c>
      <c r="LO52" s="140">
        <f t="shared" si="161"/>
        <v>19.686296296296295</v>
      </c>
      <c r="LP52" s="159">
        <f>SUM(LO51:LO52)</f>
        <v>19.686296296296295</v>
      </c>
      <c r="LQ52" s="528"/>
      <c r="LR52" s="145"/>
      <c r="LS52" s="146"/>
      <c r="LT52" s="151" t="s">
        <v>42</v>
      </c>
      <c r="LU52" s="175">
        <v>62</v>
      </c>
      <c r="LV52" s="139">
        <v>0.85592592592592587</v>
      </c>
      <c r="LW52" s="140">
        <f t="shared" si="162"/>
        <v>53.067407407407401</v>
      </c>
      <c r="LX52" s="159">
        <f>SUM(LW51:LW52)</f>
        <v>71.303518518518516</v>
      </c>
      <c r="LY52" s="528"/>
      <c r="LZ52" s="145"/>
      <c r="MA52" s="146"/>
      <c r="MB52" s="151" t="s">
        <v>42</v>
      </c>
      <c r="MC52" s="175">
        <v>107</v>
      </c>
      <c r="MD52" s="139">
        <v>0.85592592592592587</v>
      </c>
      <c r="ME52" s="140">
        <f t="shared" si="163"/>
        <v>91.584074074074067</v>
      </c>
      <c r="MF52" s="159">
        <f>SUM(ME51:ME52)</f>
        <v>175.8349074074074</v>
      </c>
      <c r="MG52" s="528"/>
      <c r="MH52" s="145"/>
      <c r="MI52" s="146"/>
      <c r="MJ52" s="151" t="s">
        <v>42</v>
      </c>
      <c r="MK52" s="175">
        <v>329</v>
      </c>
      <c r="ML52" s="139">
        <v>0.85592592592592587</v>
      </c>
      <c r="MM52" s="140">
        <f t="shared" si="164"/>
        <v>281.59962962962959</v>
      </c>
      <c r="MN52" s="159">
        <f>SUM(MM51:MM52)</f>
        <v>451.56018518518511</v>
      </c>
      <c r="MO52" s="528"/>
      <c r="MP52" s="145"/>
      <c r="MQ52" s="146"/>
      <c r="MR52" s="151" t="s">
        <v>42</v>
      </c>
      <c r="MS52" s="175">
        <v>129</v>
      </c>
      <c r="MT52" s="139">
        <v>0.85592592592592587</v>
      </c>
      <c r="MU52" s="140">
        <f t="shared" si="165"/>
        <v>110.41444444444444</v>
      </c>
      <c r="MV52" s="159">
        <f>SUM(MU51:MU52)</f>
        <v>244.26749999999998</v>
      </c>
      <c r="MW52" s="528"/>
      <c r="MX52" s="143" t="s">
        <v>89</v>
      </c>
      <c r="MY52" s="144">
        <v>20</v>
      </c>
      <c r="MZ52" s="157" t="s">
        <v>14</v>
      </c>
      <c r="NA52" s="175">
        <v>318</v>
      </c>
      <c r="NB52" s="164">
        <v>0.5929113924050633</v>
      </c>
      <c r="NC52" s="674">
        <f t="shared" si="166"/>
        <v>188.54582278481013</v>
      </c>
      <c r="ND52" s="149"/>
      <c r="NE52" s="528"/>
      <c r="NF52" s="143" t="s">
        <v>89</v>
      </c>
      <c r="NG52" s="144">
        <v>22</v>
      </c>
      <c r="NH52" s="157" t="s">
        <v>14</v>
      </c>
      <c r="NI52" s="164">
        <v>867</v>
      </c>
      <c r="NJ52" s="164">
        <v>0.5929113924050633</v>
      </c>
      <c r="NK52" s="674">
        <f t="shared" si="167"/>
        <v>514.05417721518984</v>
      </c>
      <c r="NL52" s="149"/>
      <c r="NM52" s="528"/>
      <c r="NN52" s="143" t="s">
        <v>89</v>
      </c>
      <c r="NO52" s="144">
        <v>23</v>
      </c>
      <c r="NP52" s="157" t="s">
        <v>14</v>
      </c>
      <c r="NQ52" s="170">
        <v>502</v>
      </c>
      <c r="NR52" s="164">
        <v>0.5929113924050633</v>
      </c>
      <c r="NS52" s="674">
        <f t="shared" si="168"/>
        <v>297.64151898734178</v>
      </c>
      <c r="NT52" s="149"/>
      <c r="NU52" s="528"/>
      <c r="NV52" s="143" t="s">
        <v>89</v>
      </c>
      <c r="NW52" s="144">
        <v>9</v>
      </c>
      <c r="NX52" s="157" t="s">
        <v>14</v>
      </c>
      <c r="NY52" s="170">
        <v>190</v>
      </c>
      <c r="NZ52" s="164">
        <v>0.5929113924050633</v>
      </c>
      <c r="OA52" s="674">
        <f t="shared" si="169"/>
        <v>112.65316455696203</v>
      </c>
      <c r="OB52" s="149"/>
      <c r="OC52" s="528"/>
      <c r="OD52" s="143" t="s">
        <v>89</v>
      </c>
      <c r="OE52" s="144">
        <v>10</v>
      </c>
      <c r="OF52" s="157" t="s">
        <v>14</v>
      </c>
      <c r="OG52" s="170">
        <v>314</v>
      </c>
      <c r="OH52" s="164">
        <v>0.5929113924050633</v>
      </c>
      <c r="OI52" s="674">
        <f t="shared" si="170"/>
        <v>186.17417721518987</v>
      </c>
      <c r="OJ52" s="149"/>
      <c r="OK52" s="528"/>
      <c r="OL52" s="143" t="s">
        <v>89</v>
      </c>
      <c r="OM52" s="144">
        <v>15</v>
      </c>
      <c r="ON52" s="157" t="s">
        <v>14</v>
      </c>
      <c r="OO52" s="170">
        <v>400</v>
      </c>
      <c r="OP52" s="164">
        <v>0.5929113924050633</v>
      </c>
      <c r="OQ52" s="674">
        <f t="shared" si="171"/>
        <v>237.16455696202533</v>
      </c>
      <c r="OR52" s="149"/>
      <c r="OS52" s="528"/>
      <c r="OT52" s="143" t="s">
        <v>89</v>
      </c>
      <c r="OU52" s="144"/>
      <c r="OV52" s="157" t="s">
        <v>14</v>
      </c>
      <c r="OW52" s="170"/>
      <c r="OX52" s="164">
        <v>0.5929113924050633</v>
      </c>
      <c r="OY52" s="674">
        <f t="shared" si="172"/>
        <v>0</v>
      </c>
      <c r="OZ52" s="149"/>
      <c r="PA52" s="528"/>
      <c r="PB52" s="143" t="s">
        <v>89</v>
      </c>
      <c r="PC52" s="144"/>
      <c r="PD52" s="157" t="s">
        <v>14</v>
      </c>
      <c r="PE52" s="170"/>
      <c r="PF52" s="164">
        <v>0.5929113924050633</v>
      </c>
      <c r="PG52" s="674">
        <f t="shared" si="173"/>
        <v>0</v>
      </c>
      <c r="PH52" s="149"/>
      <c r="PI52" s="528"/>
      <c r="PJ52" s="143" t="s">
        <v>89</v>
      </c>
      <c r="PK52" s="144">
        <v>8</v>
      </c>
      <c r="PL52" s="157" t="s">
        <v>14</v>
      </c>
      <c r="PM52" s="170">
        <v>380</v>
      </c>
      <c r="PN52" s="164">
        <v>0.5929113924050633</v>
      </c>
      <c r="PO52" s="674">
        <f t="shared" si="174"/>
        <v>225.30632911392405</v>
      </c>
      <c r="PP52" s="149"/>
      <c r="PQ52" s="528"/>
      <c r="PR52" s="143" t="s">
        <v>89</v>
      </c>
      <c r="PS52" s="144">
        <v>20</v>
      </c>
      <c r="PT52" s="157" t="s">
        <v>14</v>
      </c>
      <c r="PU52" s="170">
        <v>899</v>
      </c>
      <c r="PV52" s="164">
        <v>0.5929113924050633</v>
      </c>
      <c r="PW52" s="674">
        <f t="shared" si="175"/>
        <v>533.02734177215189</v>
      </c>
      <c r="PX52" s="149"/>
      <c r="PY52" s="528"/>
      <c r="PZ52" s="143" t="s">
        <v>89</v>
      </c>
      <c r="QA52" s="144">
        <v>24</v>
      </c>
      <c r="QB52" s="157" t="s">
        <v>14</v>
      </c>
      <c r="QC52" s="170">
        <v>1651</v>
      </c>
      <c r="QD52" s="164">
        <v>0.5929113924050633</v>
      </c>
      <c r="QE52" s="674">
        <f t="shared" si="176"/>
        <v>978.89670886075953</v>
      </c>
      <c r="QF52" s="149"/>
      <c r="QG52" s="528"/>
      <c r="QH52" s="143" t="s">
        <v>89</v>
      </c>
      <c r="QI52" s="144">
        <v>20</v>
      </c>
      <c r="QJ52" s="157" t="s">
        <v>14</v>
      </c>
      <c r="QK52" s="170">
        <v>630</v>
      </c>
      <c r="QL52" s="164">
        <v>0.5929113924050633</v>
      </c>
      <c r="QM52" s="674">
        <f t="shared" si="177"/>
        <v>373.53417721518986</v>
      </c>
      <c r="QN52" s="149"/>
      <c r="QO52" s="528"/>
      <c r="QP52" s="143" t="s">
        <v>89</v>
      </c>
      <c r="QQ52" s="144">
        <v>25</v>
      </c>
      <c r="QR52" s="157" t="s">
        <v>14</v>
      </c>
      <c r="QS52" s="170">
        <v>1488</v>
      </c>
      <c r="QT52" s="164">
        <v>0.5929113924050633</v>
      </c>
      <c r="QU52" s="674">
        <f t="shared" si="178"/>
        <v>882.25215189873416</v>
      </c>
      <c r="QV52" s="149"/>
      <c r="QW52" s="528"/>
      <c r="QX52" s="143" t="s">
        <v>89</v>
      </c>
      <c r="QY52" s="144"/>
      <c r="QZ52" s="157" t="s">
        <v>14</v>
      </c>
      <c r="RA52" s="170"/>
      <c r="RB52" s="164">
        <v>0.5929113924050633</v>
      </c>
      <c r="RC52" s="674">
        <f t="shared" si="179"/>
        <v>0</v>
      </c>
      <c r="RD52" s="149"/>
      <c r="RE52" s="528"/>
      <c r="RF52" s="143" t="s">
        <v>89</v>
      </c>
      <c r="RG52" s="144"/>
      <c r="RH52" s="157" t="s">
        <v>14</v>
      </c>
      <c r="RI52" s="170"/>
      <c r="RJ52" s="164">
        <v>0.5929113924050633</v>
      </c>
      <c r="RK52" s="674">
        <f t="shared" si="180"/>
        <v>0</v>
      </c>
      <c r="RL52" s="149"/>
      <c r="RM52" s="528"/>
      <c r="RN52" s="143" t="s">
        <v>89</v>
      </c>
      <c r="RO52" s="144">
        <v>16</v>
      </c>
      <c r="RP52" s="157" t="s">
        <v>14</v>
      </c>
      <c r="RQ52" s="170">
        <v>213</v>
      </c>
      <c r="RR52" s="164">
        <v>0.5929113924050633</v>
      </c>
      <c r="RS52" s="674">
        <f t="shared" si="181"/>
        <v>126.29012658227849</v>
      </c>
      <c r="RT52" s="149"/>
      <c r="RU52" s="528"/>
      <c r="RV52" s="143" t="s">
        <v>89</v>
      </c>
      <c r="RW52" s="144">
        <v>10</v>
      </c>
      <c r="RX52" s="157" t="s">
        <v>14</v>
      </c>
      <c r="RY52" s="170">
        <v>554</v>
      </c>
      <c r="RZ52" s="164">
        <v>0.5929113924050633</v>
      </c>
      <c r="SA52" s="674">
        <f t="shared" si="182"/>
        <v>328.47291139240508</v>
      </c>
      <c r="SB52" s="149"/>
      <c r="SC52" s="528"/>
      <c r="SD52" s="143" t="s">
        <v>89</v>
      </c>
      <c r="SE52" s="144">
        <v>4</v>
      </c>
      <c r="SF52" s="157" t="s">
        <v>14</v>
      </c>
      <c r="SG52" s="170">
        <v>29</v>
      </c>
      <c r="SH52" s="164">
        <v>0.5929113924050633</v>
      </c>
      <c r="SI52" s="674">
        <f t="shared" si="183"/>
        <v>17.194430379746837</v>
      </c>
      <c r="SJ52" s="149"/>
      <c r="SK52" s="528"/>
      <c r="SL52" s="143" t="s">
        <v>89</v>
      </c>
      <c r="SM52" s="144">
        <v>13</v>
      </c>
      <c r="SN52" s="157" t="s">
        <v>14</v>
      </c>
      <c r="SO52" s="780">
        <v>278</v>
      </c>
      <c r="SP52" s="164">
        <v>0.5929113924050633</v>
      </c>
      <c r="SQ52" s="674">
        <f t="shared" si="184"/>
        <v>164.8293670886076</v>
      </c>
      <c r="SR52" s="149"/>
      <c r="SS52" s="528"/>
      <c r="ST52" s="143" t="s">
        <v>89</v>
      </c>
      <c r="SU52" s="144">
        <v>9</v>
      </c>
      <c r="SV52" s="157" t="s">
        <v>14</v>
      </c>
      <c r="SW52" s="170">
        <v>612</v>
      </c>
      <c r="SX52" s="164">
        <v>0.5929113924050633</v>
      </c>
      <c r="SY52" s="674">
        <f t="shared" si="185"/>
        <v>362.86177215189872</v>
      </c>
      <c r="SZ52" s="149"/>
      <c r="TA52" s="528"/>
      <c r="TB52" s="143" t="s">
        <v>89</v>
      </c>
      <c r="TC52" s="144">
        <v>35</v>
      </c>
      <c r="TD52" s="157" t="s">
        <v>14</v>
      </c>
      <c r="TE52" s="170">
        <v>3232</v>
      </c>
      <c r="TF52" s="164">
        <v>0.5929113924050633</v>
      </c>
      <c r="TG52" s="674">
        <f t="shared" si="186"/>
        <v>1916.2896202531647</v>
      </c>
      <c r="TH52" s="149"/>
      <c r="TI52" s="528"/>
    </row>
    <row r="53" spans="2:529">
      <c r="B53" s="143" t="s">
        <v>93</v>
      </c>
      <c r="C53" s="163">
        <v>10</v>
      </c>
      <c r="D53" s="157" t="s">
        <v>94</v>
      </c>
      <c r="E53" s="138">
        <v>0</v>
      </c>
      <c r="F53" s="164">
        <v>0.28360000000000002</v>
      </c>
      <c r="G53" s="140">
        <f t="shared" si="133"/>
        <v>0</v>
      </c>
      <c r="H53" s="149"/>
      <c r="I53" s="528"/>
      <c r="J53" s="143" t="s">
        <v>93</v>
      </c>
      <c r="K53" s="163">
        <v>6</v>
      </c>
      <c r="L53" s="157" t="s">
        <v>94</v>
      </c>
      <c r="M53" s="138">
        <v>0</v>
      </c>
      <c r="N53" s="164">
        <v>0.28360000000000002</v>
      </c>
      <c r="O53" s="140">
        <f t="shared" si="134"/>
        <v>0</v>
      </c>
      <c r="P53" s="149"/>
      <c r="Q53" s="528"/>
      <c r="R53" s="143" t="s">
        <v>93</v>
      </c>
      <c r="S53" s="163"/>
      <c r="T53" s="157" t="s">
        <v>94</v>
      </c>
      <c r="U53" s="138">
        <v>0</v>
      </c>
      <c r="V53" s="164">
        <v>0.28360000000000002</v>
      </c>
      <c r="W53" s="140">
        <f t="shared" si="135"/>
        <v>0</v>
      </c>
      <c r="X53" s="149"/>
      <c r="Y53" s="528"/>
      <c r="Z53" s="143" t="s">
        <v>93</v>
      </c>
      <c r="AA53" s="163"/>
      <c r="AB53" s="157" t="s">
        <v>94</v>
      </c>
      <c r="AC53" s="138">
        <v>0</v>
      </c>
      <c r="AD53" s="164">
        <v>0.28360000000000002</v>
      </c>
      <c r="AE53" s="140">
        <f t="shared" si="136"/>
        <v>0</v>
      </c>
      <c r="AF53" s="149"/>
      <c r="AG53" s="528"/>
      <c r="AH53" s="143" t="s">
        <v>93</v>
      </c>
      <c r="AI53" s="163">
        <v>6</v>
      </c>
      <c r="AJ53" s="157" t="s">
        <v>94</v>
      </c>
      <c r="AK53" s="138">
        <v>0</v>
      </c>
      <c r="AL53" s="164">
        <v>0.28360000000000002</v>
      </c>
      <c r="AM53" s="140">
        <f t="shared" si="137"/>
        <v>0</v>
      </c>
      <c r="AN53" s="149"/>
      <c r="AO53" s="528"/>
      <c r="AP53" s="143" t="s">
        <v>93</v>
      </c>
      <c r="AQ53" s="163"/>
      <c r="AR53" s="157" t="s">
        <v>94</v>
      </c>
      <c r="AS53" s="138"/>
      <c r="AT53" s="164">
        <v>0.28360000000000002</v>
      </c>
      <c r="AU53" s="140">
        <f t="shared" si="138"/>
        <v>0</v>
      </c>
      <c r="AV53" s="149"/>
      <c r="AW53" s="528"/>
      <c r="AX53" s="143" t="s">
        <v>93</v>
      </c>
      <c r="AY53" s="163">
        <v>9</v>
      </c>
      <c r="AZ53" s="157" t="s">
        <v>94</v>
      </c>
      <c r="BA53" s="138">
        <v>682</v>
      </c>
      <c r="BB53" s="164">
        <v>0.28360000000000002</v>
      </c>
      <c r="BC53" s="140">
        <f t="shared" si="139"/>
        <v>193.4152</v>
      </c>
      <c r="BD53" s="149"/>
      <c r="BE53" s="528"/>
      <c r="BF53" s="143" t="s">
        <v>93</v>
      </c>
      <c r="BG53" s="163">
        <v>21</v>
      </c>
      <c r="BH53" s="157" t="s">
        <v>94</v>
      </c>
      <c r="BI53" s="138">
        <v>1657</v>
      </c>
      <c r="BJ53" s="164">
        <v>0.28360000000000002</v>
      </c>
      <c r="BK53" s="140">
        <f t="shared" si="140"/>
        <v>469.92520000000002</v>
      </c>
      <c r="BL53" s="149"/>
      <c r="BM53" s="528"/>
      <c r="BN53" s="143" t="s">
        <v>93</v>
      </c>
      <c r="BO53" s="163">
        <v>5</v>
      </c>
      <c r="BP53" s="157" t="s">
        <v>94</v>
      </c>
      <c r="BQ53" s="138">
        <v>0</v>
      </c>
      <c r="BR53" s="164">
        <v>0.28360000000000002</v>
      </c>
      <c r="BS53" s="140">
        <f t="shared" si="141"/>
        <v>0</v>
      </c>
      <c r="BT53" s="149"/>
      <c r="BU53" s="528"/>
      <c r="BV53" s="564" t="s">
        <v>93</v>
      </c>
      <c r="BW53" s="579"/>
      <c r="BX53" s="574" t="s">
        <v>94</v>
      </c>
      <c r="BY53" s="560"/>
      <c r="BZ53" s="580">
        <v>0.28360000000000002</v>
      </c>
      <c r="CA53" s="562">
        <f t="shared" si="142"/>
        <v>0</v>
      </c>
      <c r="CB53" s="568"/>
      <c r="CC53" s="528"/>
      <c r="CD53" s="564" t="s">
        <v>93</v>
      </c>
      <c r="CE53" s="579"/>
      <c r="CF53" s="574" t="s">
        <v>94</v>
      </c>
      <c r="CG53" s="560"/>
      <c r="CH53" s="580">
        <v>0.28360000000000002</v>
      </c>
      <c r="CI53" s="562">
        <f t="shared" si="143"/>
        <v>0</v>
      </c>
      <c r="CJ53" s="568"/>
      <c r="CK53" s="528"/>
      <c r="CL53" s="143" t="s">
        <v>93</v>
      </c>
      <c r="CM53" s="163">
        <v>17</v>
      </c>
      <c r="CN53" s="157" t="s">
        <v>94</v>
      </c>
      <c r="CO53" s="138">
        <v>15</v>
      </c>
      <c r="CP53" s="164">
        <v>0.28360000000000002</v>
      </c>
      <c r="CQ53" s="140">
        <f t="shared" si="144"/>
        <v>4.2540000000000004</v>
      </c>
      <c r="CR53" s="149"/>
      <c r="CS53" s="528"/>
      <c r="CT53" s="143" t="s">
        <v>93</v>
      </c>
      <c r="CU53" s="163">
        <v>21</v>
      </c>
      <c r="CV53" s="157" t="s">
        <v>94</v>
      </c>
      <c r="CW53" s="138">
        <v>1657</v>
      </c>
      <c r="CX53" s="164">
        <v>0.28360000000000002</v>
      </c>
      <c r="CY53" s="140">
        <f t="shared" si="12"/>
        <v>469.92520000000002</v>
      </c>
      <c r="CZ53" s="149"/>
      <c r="DA53" s="528"/>
      <c r="DB53" s="143" t="s">
        <v>93</v>
      </c>
      <c r="DC53" s="163">
        <v>8</v>
      </c>
      <c r="DD53" s="157" t="s">
        <v>94</v>
      </c>
      <c r="DE53" s="138">
        <v>40</v>
      </c>
      <c r="DF53" s="164">
        <v>0.28360000000000002</v>
      </c>
      <c r="DG53" s="140">
        <f t="shared" si="13"/>
        <v>11.344000000000001</v>
      </c>
      <c r="DH53" s="149"/>
      <c r="DI53" s="528"/>
      <c r="DJ53" s="143" t="s">
        <v>93</v>
      </c>
      <c r="DK53" s="163">
        <v>11</v>
      </c>
      <c r="DL53" s="157" t="s">
        <v>94</v>
      </c>
      <c r="DM53" s="138">
        <v>329</v>
      </c>
      <c r="DN53" s="172">
        <v>0.28360000000000002</v>
      </c>
      <c r="DO53" s="140">
        <f t="shared" si="14"/>
        <v>93.304400000000001</v>
      </c>
      <c r="DP53" s="149"/>
      <c r="DQ53" s="528"/>
      <c r="DR53" s="143" t="s">
        <v>93</v>
      </c>
      <c r="DS53" s="163"/>
      <c r="DT53" s="157" t="s">
        <v>94</v>
      </c>
      <c r="DU53" s="138"/>
      <c r="DV53" s="172">
        <v>0.28360000000000002</v>
      </c>
      <c r="DW53" s="140">
        <f t="shared" si="15"/>
        <v>0</v>
      </c>
      <c r="DX53" s="149"/>
      <c r="DY53" s="528"/>
      <c r="DZ53" s="143" t="s">
        <v>93</v>
      </c>
      <c r="EA53" s="163">
        <v>0</v>
      </c>
      <c r="EB53" s="157" t="s">
        <v>94</v>
      </c>
      <c r="EC53" s="138">
        <v>0</v>
      </c>
      <c r="ED53" s="172">
        <v>0.28360000000000002</v>
      </c>
      <c r="EE53" s="140">
        <f t="shared" si="16"/>
        <v>0</v>
      </c>
      <c r="EF53" s="149"/>
      <c r="EG53" s="528"/>
      <c r="EH53" s="143" t="s">
        <v>93</v>
      </c>
      <c r="EI53" s="163">
        <v>7</v>
      </c>
      <c r="EJ53" s="157" t="s">
        <v>94</v>
      </c>
      <c r="EK53" s="138">
        <v>0</v>
      </c>
      <c r="EL53" s="172">
        <v>0.28360000000000002</v>
      </c>
      <c r="EM53" s="140">
        <f t="shared" si="17"/>
        <v>0</v>
      </c>
      <c r="EN53" s="149"/>
      <c r="EO53" s="528"/>
      <c r="EP53" s="143" t="s">
        <v>93</v>
      </c>
      <c r="EQ53" s="163">
        <v>29</v>
      </c>
      <c r="ER53" s="157" t="s">
        <v>94</v>
      </c>
      <c r="ES53" s="138">
        <v>114</v>
      </c>
      <c r="ET53" s="172">
        <v>0.28360000000000002</v>
      </c>
      <c r="EU53" s="140">
        <f t="shared" si="18"/>
        <v>32.330400000000004</v>
      </c>
      <c r="EV53" s="149"/>
      <c r="EW53" s="528"/>
      <c r="EX53" s="143" t="s">
        <v>93</v>
      </c>
      <c r="EY53" s="163"/>
      <c r="EZ53" s="157" t="s">
        <v>94</v>
      </c>
      <c r="FA53" s="138"/>
      <c r="FB53" s="172">
        <v>0.28360000000000002</v>
      </c>
      <c r="FC53" s="140">
        <f t="shared" si="19"/>
        <v>0</v>
      </c>
      <c r="FD53" s="149"/>
      <c r="FE53" s="528"/>
      <c r="FF53" s="143" t="s">
        <v>93</v>
      </c>
      <c r="FG53" s="163"/>
      <c r="FH53" s="157" t="s">
        <v>94</v>
      </c>
      <c r="FI53" s="138"/>
      <c r="FJ53" s="172">
        <v>0.28360000000000002</v>
      </c>
      <c r="FK53" s="140">
        <f t="shared" si="20"/>
        <v>0</v>
      </c>
      <c r="FL53" s="149"/>
      <c r="FM53" s="528"/>
      <c r="FN53" s="143" t="s">
        <v>93</v>
      </c>
      <c r="FO53" s="163"/>
      <c r="FP53" s="157" t="s">
        <v>94</v>
      </c>
      <c r="FQ53" s="138"/>
      <c r="FR53" s="172">
        <v>0.28360000000000002</v>
      </c>
      <c r="FS53" s="140">
        <f t="shared" si="21"/>
        <v>0</v>
      </c>
      <c r="FT53" s="149"/>
      <c r="FU53" s="528"/>
      <c r="FV53" s="143" t="s">
        <v>93</v>
      </c>
      <c r="FW53" s="163"/>
      <c r="FX53" s="157" t="s">
        <v>94</v>
      </c>
      <c r="FY53" s="138"/>
      <c r="FZ53" s="172">
        <v>0.28360000000000002</v>
      </c>
      <c r="GA53" s="140">
        <f t="shared" si="22"/>
        <v>0</v>
      </c>
      <c r="GB53" s="149"/>
      <c r="GC53" s="528"/>
      <c r="GD53" s="143" t="s">
        <v>93</v>
      </c>
      <c r="GE53" s="163"/>
      <c r="GF53" s="157" t="s">
        <v>94</v>
      </c>
      <c r="GG53" s="138"/>
      <c r="GH53" s="172">
        <v>0.28360000000000002</v>
      </c>
      <c r="GI53" s="140">
        <f t="shared" si="23"/>
        <v>0</v>
      </c>
      <c r="GJ53" s="149"/>
      <c r="GK53" s="528"/>
      <c r="GL53" s="143" t="s">
        <v>93</v>
      </c>
      <c r="GM53" s="163">
        <v>19</v>
      </c>
      <c r="GN53" s="157" t="s">
        <v>94</v>
      </c>
      <c r="GO53" s="175">
        <v>1657</v>
      </c>
      <c r="GP53" s="164">
        <v>0.28360000000000002</v>
      </c>
      <c r="GQ53" s="140">
        <f t="shared" si="145"/>
        <v>469.92520000000002</v>
      </c>
      <c r="GR53" s="149"/>
      <c r="GS53" s="528"/>
      <c r="GT53" s="143" t="s">
        <v>93</v>
      </c>
      <c r="GU53" s="163">
        <v>7</v>
      </c>
      <c r="GV53" s="157" t="s">
        <v>94</v>
      </c>
      <c r="GW53" s="175">
        <v>0</v>
      </c>
      <c r="GX53" s="164">
        <v>0.28360000000000002</v>
      </c>
      <c r="GY53" s="140">
        <f t="shared" si="146"/>
        <v>0</v>
      </c>
      <c r="GZ53" s="149"/>
      <c r="HA53" s="528"/>
      <c r="HB53" s="143" t="s">
        <v>93</v>
      </c>
      <c r="HC53" s="163">
        <v>0</v>
      </c>
      <c r="HD53" s="157" t="s">
        <v>94</v>
      </c>
      <c r="HE53" s="175">
        <v>0</v>
      </c>
      <c r="HF53" s="164">
        <v>0.28360000000000002</v>
      </c>
      <c r="HG53" s="140">
        <f t="shared" si="147"/>
        <v>0</v>
      </c>
      <c r="HH53" s="149"/>
      <c r="HI53" s="528"/>
      <c r="HJ53" s="143" t="s">
        <v>93</v>
      </c>
      <c r="HK53" s="163">
        <v>0</v>
      </c>
      <c r="HL53" s="157" t="s">
        <v>94</v>
      </c>
      <c r="HM53" s="175">
        <v>0</v>
      </c>
      <c r="HN53" s="164">
        <v>0.28360000000000002</v>
      </c>
      <c r="HO53" s="140">
        <f t="shared" si="148"/>
        <v>0</v>
      </c>
      <c r="HP53" s="149"/>
      <c r="HQ53" s="528"/>
      <c r="HR53" s="143" t="s">
        <v>93</v>
      </c>
      <c r="HS53" s="163">
        <v>4</v>
      </c>
      <c r="HT53" s="157" t="s">
        <v>94</v>
      </c>
      <c r="HU53" s="175">
        <v>0</v>
      </c>
      <c r="HV53" s="164">
        <v>0.28360000000000002</v>
      </c>
      <c r="HW53" s="140">
        <f t="shared" si="149"/>
        <v>0</v>
      </c>
      <c r="HX53" s="149"/>
      <c r="HY53" s="528"/>
      <c r="HZ53" s="143" t="s">
        <v>93</v>
      </c>
      <c r="IA53" s="163">
        <v>12</v>
      </c>
      <c r="IB53" s="157" t="s">
        <v>94</v>
      </c>
      <c r="IC53" s="175">
        <v>0</v>
      </c>
      <c r="ID53" s="164">
        <v>0.28360000000000002</v>
      </c>
      <c r="IE53" s="140">
        <f t="shared" si="150"/>
        <v>0</v>
      </c>
      <c r="IF53" s="149"/>
      <c r="IG53" s="528"/>
      <c r="IH53" s="143" t="s">
        <v>93</v>
      </c>
      <c r="II53" s="163">
        <v>29</v>
      </c>
      <c r="IJ53" s="157" t="s">
        <v>94</v>
      </c>
      <c r="IK53" s="175">
        <v>490</v>
      </c>
      <c r="IL53" s="164">
        <v>0.28360000000000002</v>
      </c>
      <c r="IM53" s="140">
        <f t="shared" si="151"/>
        <v>138.964</v>
      </c>
      <c r="IN53" s="149"/>
      <c r="IO53" s="528"/>
      <c r="IP53" s="143" t="s">
        <v>93</v>
      </c>
      <c r="IQ53" s="163">
        <v>94</v>
      </c>
      <c r="IR53" s="157" t="s">
        <v>94</v>
      </c>
      <c r="IS53" s="175">
        <v>2587</v>
      </c>
      <c r="IT53" s="164">
        <v>0.28360000000000002</v>
      </c>
      <c r="IU53" s="140">
        <f t="shared" si="152"/>
        <v>733.67320000000007</v>
      </c>
      <c r="IV53" s="149"/>
      <c r="IW53" s="528"/>
      <c r="IX53" s="143" t="s">
        <v>93</v>
      </c>
      <c r="IY53" s="163">
        <v>47</v>
      </c>
      <c r="IZ53" s="157" t="s">
        <v>94</v>
      </c>
      <c r="JA53" s="175">
        <v>210</v>
      </c>
      <c r="JB53" s="164">
        <v>0.28360000000000002</v>
      </c>
      <c r="JC53" s="140">
        <f t="shared" si="153"/>
        <v>59.556000000000004</v>
      </c>
      <c r="JD53" s="149"/>
      <c r="JE53" s="528"/>
      <c r="JF53" s="143" t="s">
        <v>93</v>
      </c>
      <c r="JG53" s="163">
        <v>37</v>
      </c>
      <c r="JH53" s="157" t="s">
        <v>94</v>
      </c>
      <c r="JI53" s="175">
        <v>704</v>
      </c>
      <c r="JJ53" s="164">
        <v>0.28360000000000002</v>
      </c>
      <c r="JK53" s="140">
        <f t="shared" si="154"/>
        <v>199.65440000000001</v>
      </c>
      <c r="JL53" s="149"/>
      <c r="JM53" s="528"/>
      <c r="JN53" s="143" t="s">
        <v>93</v>
      </c>
      <c r="JO53" s="163">
        <v>36</v>
      </c>
      <c r="JP53" s="157" t="s">
        <v>94</v>
      </c>
      <c r="JQ53" s="175">
        <v>20</v>
      </c>
      <c r="JR53" s="164">
        <v>0.28360000000000002</v>
      </c>
      <c r="JS53" s="140">
        <f t="shared" si="155"/>
        <v>5.6720000000000006</v>
      </c>
      <c r="JT53" s="149"/>
      <c r="JU53" s="528"/>
      <c r="JV53" s="143" t="s">
        <v>93</v>
      </c>
      <c r="JW53" s="163">
        <v>31</v>
      </c>
      <c r="JX53" s="157" t="s">
        <v>94</v>
      </c>
      <c r="JY53" s="175">
        <v>84</v>
      </c>
      <c r="JZ53" s="164">
        <v>0.28360000000000002</v>
      </c>
      <c r="KA53" s="140">
        <f t="shared" si="156"/>
        <v>23.822400000000002</v>
      </c>
      <c r="KB53" s="149"/>
      <c r="KC53" s="528"/>
      <c r="KD53" s="143" t="s">
        <v>93</v>
      </c>
      <c r="KE53" s="163">
        <v>19</v>
      </c>
      <c r="KF53" s="157" t="s">
        <v>94</v>
      </c>
      <c r="KG53" s="175">
        <v>0</v>
      </c>
      <c r="KH53" s="164">
        <v>0.28360000000000002</v>
      </c>
      <c r="KI53" s="140">
        <f t="shared" si="157"/>
        <v>0</v>
      </c>
      <c r="KJ53" s="149"/>
      <c r="KK53" s="528"/>
      <c r="KL53" s="143" t="s">
        <v>93</v>
      </c>
      <c r="KM53" s="163">
        <v>6</v>
      </c>
      <c r="KN53" s="157" t="s">
        <v>94</v>
      </c>
      <c r="KO53" s="175">
        <v>0</v>
      </c>
      <c r="KP53" s="164">
        <v>0.28360000000000002</v>
      </c>
      <c r="KQ53" s="140">
        <f t="shared" si="158"/>
        <v>0</v>
      </c>
      <c r="KR53" s="149"/>
      <c r="KS53" s="528"/>
      <c r="KT53" s="143" t="s">
        <v>93</v>
      </c>
      <c r="KU53" s="163">
        <v>0</v>
      </c>
      <c r="KV53" s="157" t="s">
        <v>94</v>
      </c>
      <c r="KW53" s="175">
        <v>0</v>
      </c>
      <c r="KX53" s="164">
        <v>0.28360000000000002</v>
      </c>
      <c r="KY53" s="140">
        <f t="shared" si="159"/>
        <v>0</v>
      </c>
      <c r="KZ53" s="149"/>
      <c r="LA53" s="528"/>
      <c r="LB53" s="143" t="s">
        <v>93</v>
      </c>
      <c r="LC53" s="163">
        <v>2</v>
      </c>
      <c r="LD53" s="157" t="s">
        <v>94</v>
      </c>
      <c r="LE53" s="175">
        <v>0</v>
      </c>
      <c r="LF53" s="164">
        <v>0.28360000000000002</v>
      </c>
      <c r="LG53" s="140">
        <f t="shared" si="160"/>
        <v>0</v>
      </c>
      <c r="LH53" s="149"/>
      <c r="LI53" s="528"/>
      <c r="LJ53" s="143" t="s">
        <v>93</v>
      </c>
      <c r="LK53" s="163">
        <v>5</v>
      </c>
      <c r="LL53" s="157" t="s">
        <v>94</v>
      </c>
      <c r="LM53" s="175">
        <v>0</v>
      </c>
      <c r="LN53" s="164">
        <v>0.28360000000000002</v>
      </c>
      <c r="LO53" s="140">
        <f t="shared" si="161"/>
        <v>0</v>
      </c>
      <c r="LP53" s="149"/>
      <c r="LQ53" s="528"/>
      <c r="LR53" s="143" t="s">
        <v>93</v>
      </c>
      <c r="LS53" s="163">
        <v>13</v>
      </c>
      <c r="LT53" s="157" t="s">
        <v>94</v>
      </c>
      <c r="LU53" s="175">
        <v>53</v>
      </c>
      <c r="LV53" s="164">
        <v>0.28360000000000002</v>
      </c>
      <c r="LW53" s="140">
        <f t="shared" si="162"/>
        <v>15.030800000000001</v>
      </c>
      <c r="LX53" s="149"/>
      <c r="LY53" s="528"/>
      <c r="LZ53" s="143" t="s">
        <v>93</v>
      </c>
      <c r="MA53" s="163">
        <v>24</v>
      </c>
      <c r="MB53" s="157" t="s">
        <v>94</v>
      </c>
      <c r="MC53" s="175">
        <v>279</v>
      </c>
      <c r="MD53" s="164">
        <v>0.28360000000000002</v>
      </c>
      <c r="ME53" s="140">
        <f t="shared" si="163"/>
        <v>79.124400000000009</v>
      </c>
      <c r="MF53" s="149"/>
      <c r="MG53" s="528"/>
      <c r="MH53" s="143" t="s">
        <v>93</v>
      </c>
      <c r="MI53" s="163">
        <v>52</v>
      </c>
      <c r="MJ53" s="157" t="s">
        <v>94</v>
      </c>
      <c r="MK53" s="175">
        <v>417</v>
      </c>
      <c r="ML53" s="164">
        <v>0.28360000000000002</v>
      </c>
      <c r="MM53" s="140">
        <f t="shared" si="164"/>
        <v>118.2612</v>
      </c>
      <c r="MN53" s="149"/>
      <c r="MO53" s="528"/>
      <c r="MP53" s="143" t="s">
        <v>93</v>
      </c>
      <c r="MQ53" s="163">
        <v>41</v>
      </c>
      <c r="MR53" s="157" t="s">
        <v>94</v>
      </c>
      <c r="MS53" s="175">
        <v>50</v>
      </c>
      <c r="MT53" s="164">
        <v>0.28360000000000002</v>
      </c>
      <c r="MU53" s="140">
        <f t="shared" si="165"/>
        <v>14.180000000000001</v>
      </c>
      <c r="MV53" s="149"/>
      <c r="MW53" s="528"/>
      <c r="MX53" s="145"/>
      <c r="MY53" s="174"/>
      <c r="MZ53" s="662" t="s">
        <v>11</v>
      </c>
      <c r="NA53" s="175"/>
      <c r="NB53" s="164"/>
      <c r="NC53" s="674">
        <f t="shared" si="166"/>
        <v>0</v>
      </c>
      <c r="ND53" s="150"/>
      <c r="NE53" s="528"/>
      <c r="NF53" s="145"/>
      <c r="NG53" s="174"/>
      <c r="NH53" s="662" t="s">
        <v>11</v>
      </c>
      <c r="NI53" s="175"/>
      <c r="NJ53" s="164"/>
      <c r="NK53" s="674">
        <f t="shared" si="167"/>
        <v>0</v>
      </c>
      <c r="NL53" s="150"/>
      <c r="NM53" s="528"/>
      <c r="NN53" s="145"/>
      <c r="NO53" s="174"/>
      <c r="NP53" s="662" t="s">
        <v>11</v>
      </c>
      <c r="NQ53" s="175">
        <v>5</v>
      </c>
      <c r="NR53" s="164"/>
      <c r="NS53" s="674">
        <f t="shared" si="168"/>
        <v>0</v>
      </c>
      <c r="NT53" s="150"/>
      <c r="NU53" s="528"/>
      <c r="NV53" s="145"/>
      <c r="NW53" s="174"/>
      <c r="NX53" s="662" t="s">
        <v>11</v>
      </c>
      <c r="NY53" s="175"/>
      <c r="NZ53" s="164"/>
      <c r="OA53" s="674">
        <f t="shared" si="169"/>
        <v>0</v>
      </c>
      <c r="OB53" s="150"/>
      <c r="OC53" s="528"/>
      <c r="OD53" s="145"/>
      <c r="OE53" s="174"/>
      <c r="OF53" s="662" t="s">
        <v>11</v>
      </c>
      <c r="OG53" s="175"/>
      <c r="OH53" s="164"/>
      <c r="OI53" s="674">
        <f t="shared" si="170"/>
        <v>0</v>
      </c>
      <c r="OJ53" s="150"/>
      <c r="OK53" s="528"/>
      <c r="OL53" s="145"/>
      <c r="OM53" s="174"/>
      <c r="ON53" s="662" t="s">
        <v>11</v>
      </c>
      <c r="OO53" s="175"/>
      <c r="OP53" s="164"/>
      <c r="OQ53" s="674">
        <f t="shared" si="171"/>
        <v>0</v>
      </c>
      <c r="OR53" s="150"/>
      <c r="OS53" s="528"/>
      <c r="OT53" s="145"/>
      <c r="OU53" s="174"/>
      <c r="OV53" s="662" t="s">
        <v>11</v>
      </c>
      <c r="OW53" s="175"/>
      <c r="OX53" s="164"/>
      <c r="OY53" s="674">
        <f t="shared" si="172"/>
        <v>0</v>
      </c>
      <c r="OZ53" s="150"/>
      <c r="PA53" s="528"/>
      <c r="PB53" s="145"/>
      <c r="PC53" s="174"/>
      <c r="PD53" s="662" t="s">
        <v>11</v>
      </c>
      <c r="PE53" s="175"/>
      <c r="PF53" s="164"/>
      <c r="PG53" s="674">
        <f t="shared" si="173"/>
        <v>0</v>
      </c>
      <c r="PH53" s="150"/>
      <c r="PI53" s="528"/>
      <c r="PJ53" s="145"/>
      <c r="PK53" s="174"/>
      <c r="PL53" s="662" t="s">
        <v>11</v>
      </c>
      <c r="PM53" s="175"/>
      <c r="PN53" s="164"/>
      <c r="PO53" s="674">
        <f t="shared" si="174"/>
        <v>0</v>
      </c>
      <c r="PP53" s="150"/>
      <c r="PQ53" s="528"/>
      <c r="PR53" s="145"/>
      <c r="PS53" s="174"/>
      <c r="PT53" s="662" t="s">
        <v>11</v>
      </c>
      <c r="PU53" s="175"/>
      <c r="PV53" s="164"/>
      <c r="PW53" s="674">
        <f t="shared" si="175"/>
        <v>0</v>
      </c>
      <c r="PX53" s="150"/>
      <c r="PY53" s="528"/>
      <c r="PZ53" s="145"/>
      <c r="QA53" s="174"/>
      <c r="QB53" s="662" t="s">
        <v>11</v>
      </c>
      <c r="QC53" s="175"/>
      <c r="QD53" s="164"/>
      <c r="QE53" s="674">
        <f t="shared" si="176"/>
        <v>0</v>
      </c>
      <c r="QF53" s="150"/>
      <c r="QG53" s="528"/>
      <c r="QH53" s="145"/>
      <c r="QI53" s="174"/>
      <c r="QJ53" s="662" t="s">
        <v>11</v>
      </c>
      <c r="QK53" s="175"/>
      <c r="QL53" s="164"/>
      <c r="QM53" s="674">
        <f t="shared" si="177"/>
        <v>0</v>
      </c>
      <c r="QN53" s="150"/>
      <c r="QO53" s="528"/>
      <c r="QP53" s="145"/>
      <c r="QQ53" s="174"/>
      <c r="QR53" s="662" t="s">
        <v>11</v>
      </c>
      <c r="QS53" s="175"/>
      <c r="QT53" s="164"/>
      <c r="QU53" s="674">
        <f t="shared" si="178"/>
        <v>0</v>
      </c>
      <c r="QV53" s="150"/>
      <c r="QW53" s="528"/>
      <c r="QX53" s="145"/>
      <c r="QY53" s="174"/>
      <c r="QZ53" s="662" t="s">
        <v>11</v>
      </c>
      <c r="RA53" s="175"/>
      <c r="RB53" s="164"/>
      <c r="RC53" s="674">
        <f t="shared" si="179"/>
        <v>0</v>
      </c>
      <c r="RD53" s="150"/>
      <c r="RE53" s="528"/>
      <c r="RF53" s="145"/>
      <c r="RG53" s="174"/>
      <c r="RH53" s="662" t="s">
        <v>11</v>
      </c>
      <c r="RI53" s="175"/>
      <c r="RJ53" s="164"/>
      <c r="RK53" s="674">
        <f t="shared" si="180"/>
        <v>0</v>
      </c>
      <c r="RL53" s="150"/>
      <c r="RM53" s="528"/>
      <c r="RN53" s="145"/>
      <c r="RO53" s="174"/>
      <c r="RP53" s="662" t="s">
        <v>11</v>
      </c>
      <c r="RQ53" s="175"/>
      <c r="RR53" s="164"/>
      <c r="RS53" s="674">
        <f t="shared" si="181"/>
        <v>0</v>
      </c>
      <c r="RT53" s="150"/>
      <c r="RU53" s="528"/>
      <c r="RV53" s="145"/>
      <c r="RW53" s="174"/>
      <c r="RX53" s="662" t="s">
        <v>11</v>
      </c>
      <c r="RY53" s="175"/>
      <c r="RZ53" s="164"/>
      <c r="SA53" s="674">
        <f t="shared" si="182"/>
        <v>0</v>
      </c>
      <c r="SB53" s="150"/>
      <c r="SC53" s="528"/>
      <c r="SD53" s="145"/>
      <c r="SE53" s="174"/>
      <c r="SF53" s="662" t="s">
        <v>11</v>
      </c>
      <c r="SG53" s="175"/>
      <c r="SH53" s="164"/>
      <c r="SI53" s="674">
        <f t="shared" si="183"/>
        <v>0</v>
      </c>
      <c r="SJ53" s="150"/>
      <c r="SK53" s="528"/>
      <c r="SL53" s="145"/>
      <c r="SM53" s="174"/>
      <c r="SN53" s="662" t="s">
        <v>11</v>
      </c>
      <c r="SO53" s="175"/>
      <c r="SP53" s="164"/>
      <c r="SQ53" s="674">
        <f t="shared" si="184"/>
        <v>0</v>
      </c>
      <c r="SR53" s="150"/>
      <c r="SS53" s="528"/>
      <c r="ST53" s="145"/>
      <c r="SU53" s="174"/>
      <c r="SV53" s="662" t="s">
        <v>11</v>
      </c>
      <c r="SW53" s="175"/>
      <c r="SX53" s="164"/>
      <c r="SY53" s="674">
        <f t="shared" si="185"/>
        <v>0</v>
      </c>
      <c r="SZ53" s="150"/>
      <c r="TA53" s="528"/>
      <c r="TB53" s="145"/>
      <c r="TC53" s="174"/>
      <c r="TD53" s="662" t="s">
        <v>11</v>
      </c>
      <c r="TE53" s="175"/>
      <c r="TF53" s="164"/>
      <c r="TG53" s="674">
        <f t="shared" si="186"/>
        <v>0</v>
      </c>
      <c r="TH53" s="150"/>
      <c r="TI53" s="528"/>
    </row>
    <row r="54" spans="2:529">
      <c r="B54" s="145"/>
      <c r="C54" s="146"/>
      <c r="D54" s="151" t="s">
        <v>95</v>
      </c>
      <c r="E54" s="138">
        <v>0</v>
      </c>
      <c r="F54" s="139">
        <v>1.1644827586206898</v>
      </c>
      <c r="G54" s="140">
        <f t="shared" si="133"/>
        <v>0</v>
      </c>
      <c r="H54" s="150"/>
      <c r="I54" s="528"/>
      <c r="J54" s="145"/>
      <c r="K54" s="146"/>
      <c r="L54" s="151" t="s">
        <v>95</v>
      </c>
      <c r="M54" s="138">
        <v>0</v>
      </c>
      <c r="N54" s="139">
        <v>1.1644827586206898</v>
      </c>
      <c r="O54" s="140">
        <f t="shared" si="134"/>
        <v>0</v>
      </c>
      <c r="P54" s="150"/>
      <c r="Q54" s="528"/>
      <c r="R54" s="145"/>
      <c r="S54" s="146"/>
      <c r="T54" s="151" t="s">
        <v>95</v>
      </c>
      <c r="U54" s="138">
        <v>0</v>
      </c>
      <c r="V54" s="139">
        <v>1.1644827586206898</v>
      </c>
      <c r="W54" s="140">
        <f t="shared" si="135"/>
        <v>0</v>
      </c>
      <c r="X54" s="150"/>
      <c r="Y54" s="528"/>
      <c r="Z54" s="145"/>
      <c r="AA54" s="146"/>
      <c r="AB54" s="151" t="s">
        <v>95</v>
      </c>
      <c r="AC54" s="138">
        <v>0</v>
      </c>
      <c r="AD54" s="139">
        <v>1.1644827586206898</v>
      </c>
      <c r="AE54" s="140">
        <f t="shared" si="136"/>
        <v>0</v>
      </c>
      <c r="AF54" s="150"/>
      <c r="AG54" s="528"/>
      <c r="AH54" s="145"/>
      <c r="AI54" s="146"/>
      <c r="AJ54" s="151" t="s">
        <v>95</v>
      </c>
      <c r="AK54" s="138">
        <v>0</v>
      </c>
      <c r="AL54" s="139">
        <v>1.1644827586206898</v>
      </c>
      <c r="AM54" s="140">
        <f t="shared" si="137"/>
        <v>0</v>
      </c>
      <c r="AN54" s="150"/>
      <c r="AO54" s="528"/>
      <c r="AP54" s="145"/>
      <c r="AQ54" s="146"/>
      <c r="AR54" s="151" t="s">
        <v>95</v>
      </c>
      <c r="AS54" s="138"/>
      <c r="AT54" s="139">
        <v>1.1644827586206898</v>
      </c>
      <c r="AU54" s="140">
        <f t="shared" si="138"/>
        <v>0</v>
      </c>
      <c r="AV54" s="150"/>
      <c r="AW54" s="528"/>
      <c r="AX54" s="145"/>
      <c r="AY54" s="146"/>
      <c r="AZ54" s="151" t="s">
        <v>95</v>
      </c>
      <c r="BA54" s="138">
        <v>30</v>
      </c>
      <c r="BB54" s="139">
        <v>1.1644827586206898</v>
      </c>
      <c r="BC54" s="140">
        <f t="shared" si="139"/>
        <v>34.934482758620696</v>
      </c>
      <c r="BD54" s="150"/>
      <c r="BE54" s="528"/>
      <c r="BF54" s="145"/>
      <c r="BG54" s="146"/>
      <c r="BH54" s="151" t="s">
        <v>95</v>
      </c>
      <c r="BI54" s="138">
        <v>132</v>
      </c>
      <c r="BJ54" s="139">
        <v>1.1644827586206898</v>
      </c>
      <c r="BK54" s="140">
        <f t="shared" si="140"/>
        <v>153.71172413793107</v>
      </c>
      <c r="BL54" s="150"/>
      <c r="BM54" s="528"/>
      <c r="BN54" s="145"/>
      <c r="BO54" s="146"/>
      <c r="BP54" s="151" t="s">
        <v>95</v>
      </c>
      <c r="BQ54" s="138">
        <v>15</v>
      </c>
      <c r="BR54" s="139">
        <v>1.1644827586206898</v>
      </c>
      <c r="BS54" s="140">
        <f t="shared" si="141"/>
        <v>17.467241379310348</v>
      </c>
      <c r="BT54" s="150"/>
      <c r="BU54" s="528"/>
      <c r="BV54" s="536"/>
      <c r="BW54" s="537"/>
      <c r="BX54" s="543" t="s">
        <v>95</v>
      </c>
      <c r="BY54" s="560"/>
      <c r="BZ54" s="561">
        <v>1.1644827586206898</v>
      </c>
      <c r="CA54" s="562">
        <f t="shared" si="142"/>
        <v>0</v>
      </c>
      <c r="CB54" s="569"/>
      <c r="CC54" s="528"/>
      <c r="CD54" s="536"/>
      <c r="CE54" s="537"/>
      <c r="CF54" s="543" t="s">
        <v>95</v>
      </c>
      <c r="CG54" s="560"/>
      <c r="CH54" s="561">
        <v>1.1644827586206898</v>
      </c>
      <c r="CI54" s="562">
        <f t="shared" si="143"/>
        <v>0</v>
      </c>
      <c r="CJ54" s="569"/>
      <c r="CK54" s="528"/>
      <c r="CL54" s="145"/>
      <c r="CM54" s="146"/>
      <c r="CN54" s="151" t="s">
        <v>95</v>
      </c>
      <c r="CO54" s="138">
        <v>171</v>
      </c>
      <c r="CP54" s="139">
        <v>1.1644827586206898</v>
      </c>
      <c r="CQ54" s="140">
        <f t="shared" si="144"/>
        <v>199.12655172413795</v>
      </c>
      <c r="CR54" s="150"/>
      <c r="CS54" s="528"/>
      <c r="CT54" s="145"/>
      <c r="CU54" s="146"/>
      <c r="CV54" s="151" t="s">
        <v>95</v>
      </c>
      <c r="CW54" s="138">
        <v>132</v>
      </c>
      <c r="CX54" s="139">
        <v>1.1644827586206898</v>
      </c>
      <c r="CY54" s="140">
        <f t="shared" si="12"/>
        <v>153.71172413793107</v>
      </c>
      <c r="CZ54" s="150"/>
      <c r="DA54" s="528"/>
      <c r="DB54" s="145"/>
      <c r="DC54" s="146"/>
      <c r="DD54" s="151" t="s">
        <v>95</v>
      </c>
      <c r="DE54" s="138">
        <v>0</v>
      </c>
      <c r="DF54" s="139">
        <v>1.1644827586206898</v>
      </c>
      <c r="DG54" s="140">
        <f t="shared" si="13"/>
        <v>0</v>
      </c>
      <c r="DH54" s="150"/>
      <c r="DI54" s="528"/>
      <c r="DJ54" s="145"/>
      <c r="DK54" s="146"/>
      <c r="DL54" s="151" t="s">
        <v>95</v>
      </c>
      <c r="DM54" s="138">
        <v>0</v>
      </c>
      <c r="DN54" s="170">
        <v>1.1644827586206898</v>
      </c>
      <c r="DO54" s="140">
        <f t="shared" si="14"/>
        <v>0</v>
      </c>
      <c r="DP54" s="150"/>
      <c r="DQ54" s="528"/>
      <c r="DR54" s="145"/>
      <c r="DS54" s="146"/>
      <c r="DT54" s="151" t="s">
        <v>95</v>
      </c>
      <c r="DU54" s="138"/>
      <c r="DV54" s="170">
        <v>1.1644827586206898</v>
      </c>
      <c r="DW54" s="140">
        <f t="shared" si="15"/>
        <v>0</v>
      </c>
      <c r="DX54" s="150"/>
      <c r="DY54" s="528"/>
      <c r="DZ54" s="145"/>
      <c r="EA54" s="146"/>
      <c r="EB54" s="151" t="s">
        <v>95</v>
      </c>
      <c r="EC54" s="138">
        <v>0</v>
      </c>
      <c r="ED54" s="170">
        <v>1.1644827586206898</v>
      </c>
      <c r="EE54" s="140">
        <f t="shared" si="16"/>
        <v>0</v>
      </c>
      <c r="EF54" s="150"/>
      <c r="EG54" s="528"/>
      <c r="EH54" s="145"/>
      <c r="EI54" s="146"/>
      <c r="EJ54" s="151" t="s">
        <v>95</v>
      </c>
      <c r="EK54" s="138">
        <v>0</v>
      </c>
      <c r="EL54" s="170">
        <v>1.1644827586206898</v>
      </c>
      <c r="EM54" s="140">
        <f t="shared" si="17"/>
        <v>0</v>
      </c>
      <c r="EN54" s="150"/>
      <c r="EO54" s="528"/>
      <c r="EP54" s="145"/>
      <c r="EQ54" s="146"/>
      <c r="ER54" s="151" t="s">
        <v>95</v>
      </c>
      <c r="ES54" s="138">
        <v>22</v>
      </c>
      <c r="ET54" s="170">
        <v>1.1644827586206898</v>
      </c>
      <c r="EU54" s="140">
        <f t="shared" si="18"/>
        <v>25.618620689655177</v>
      </c>
      <c r="EV54" s="150"/>
      <c r="EW54" s="528"/>
      <c r="EX54" s="145"/>
      <c r="EY54" s="146"/>
      <c r="EZ54" s="151" t="s">
        <v>95</v>
      </c>
      <c r="FA54" s="138"/>
      <c r="FB54" s="170">
        <v>1.1644827586206898</v>
      </c>
      <c r="FC54" s="140">
        <f t="shared" si="19"/>
        <v>0</v>
      </c>
      <c r="FD54" s="150"/>
      <c r="FE54" s="528"/>
      <c r="FF54" s="145"/>
      <c r="FG54" s="146"/>
      <c r="FH54" s="151" t="s">
        <v>95</v>
      </c>
      <c r="FI54" s="138"/>
      <c r="FJ54" s="170">
        <v>1.1644827586206898</v>
      </c>
      <c r="FK54" s="140">
        <f t="shared" si="20"/>
        <v>0</v>
      </c>
      <c r="FL54" s="150"/>
      <c r="FM54" s="528"/>
      <c r="FN54" s="145"/>
      <c r="FO54" s="146"/>
      <c r="FP54" s="151" t="s">
        <v>95</v>
      </c>
      <c r="FQ54" s="138"/>
      <c r="FR54" s="170">
        <v>1.1644827586206898</v>
      </c>
      <c r="FS54" s="140">
        <f t="shared" si="21"/>
        <v>0</v>
      </c>
      <c r="FT54" s="150"/>
      <c r="FU54" s="528"/>
      <c r="FV54" s="145"/>
      <c r="FW54" s="146"/>
      <c r="FX54" s="151" t="s">
        <v>95</v>
      </c>
      <c r="FY54" s="138"/>
      <c r="FZ54" s="170">
        <v>1.1644827586206898</v>
      </c>
      <c r="GA54" s="140">
        <f t="shared" si="22"/>
        <v>0</v>
      </c>
      <c r="GB54" s="150"/>
      <c r="GC54" s="528"/>
      <c r="GD54" s="145"/>
      <c r="GE54" s="146"/>
      <c r="GF54" s="151" t="s">
        <v>95</v>
      </c>
      <c r="GG54" s="138"/>
      <c r="GH54" s="170">
        <v>1.1644827586206898</v>
      </c>
      <c r="GI54" s="140">
        <f t="shared" si="23"/>
        <v>0</v>
      </c>
      <c r="GJ54" s="150"/>
      <c r="GK54" s="528"/>
      <c r="GL54" s="145"/>
      <c r="GM54" s="146"/>
      <c r="GN54" s="151" t="s">
        <v>95</v>
      </c>
      <c r="GO54" s="175">
        <v>132</v>
      </c>
      <c r="GP54" s="139">
        <v>1.1644827586206898</v>
      </c>
      <c r="GQ54" s="140">
        <f t="shared" si="145"/>
        <v>153.71172413793107</v>
      </c>
      <c r="GR54" s="150"/>
      <c r="GS54" s="528"/>
      <c r="GT54" s="145"/>
      <c r="GU54" s="146"/>
      <c r="GV54" s="151" t="s">
        <v>95</v>
      </c>
      <c r="GW54" s="175">
        <v>0</v>
      </c>
      <c r="GX54" s="139">
        <v>1.1644827586206898</v>
      </c>
      <c r="GY54" s="140">
        <f t="shared" si="146"/>
        <v>0</v>
      </c>
      <c r="GZ54" s="150"/>
      <c r="HA54" s="528"/>
      <c r="HB54" s="145"/>
      <c r="HC54" s="146"/>
      <c r="HD54" s="151" t="s">
        <v>95</v>
      </c>
      <c r="HE54" s="175">
        <v>0</v>
      </c>
      <c r="HF54" s="139">
        <v>1.1644827586206898</v>
      </c>
      <c r="HG54" s="140">
        <f t="shared" si="147"/>
        <v>0</v>
      </c>
      <c r="HH54" s="150"/>
      <c r="HI54" s="528"/>
      <c r="HJ54" s="145"/>
      <c r="HK54" s="146"/>
      <c r="HL54" s="151" t="s">
        <v>95</v>
      </c>
      <c r="HM54" s="175">
        <v>0</v>
      </c>
      <c r="HN54" s="139">
        <v>1.1644827586206898</v>
      </c>
      <c r="HO54" s="140">
        <f t="shared" si="148"/>
        <v>0</v>
      </c>
      <c r="HP54" s="150"/>
      <c r="HQ54" s="528"/>
      <c r="HR54" s="145"/>
      <c r="HS54" s="146"/>
      <c r="HT54" s="151" t="s">
        <v>95</v>
      </c>
      <c r="HU54" s="175">
        <v>0</v>
      </c>
      <c r="HV54" s="139">
        <v>1.1644827586206898</v>
      </c>
      <c r="HW54" s="140">
        <f t="shared" si="149"/>
        <v>0</v>
      </c>
      <c r="HX54" s="150"/>
      <c r="HY54" s="528"/>
      <c r="HZ54" s="145"/>
      <c r="IA54" s="146"/>
      <c r="IB54" s="151" t="s">
        <v>95</v>
      </c>
      <c r="IC54" s="175">
        <v>0</v>
      </c>
      <c r="ID54" s="139">
        <v>1.1644827586206898</v>
      </c>
      <c r="IE54" s="140">
        <f t="shared" si="150"/>
        <v>0</v>
      </c>
      <c r="IF54" s="150"/>
      <c r="IG54" s="528"/>
      <c r="IH54" s="145"/>
      <c r="II54" s="146"/>
      <c r="IJ54" s="151" t="s">
        <v>95</v>
      </c>
      <c r="IK54" s="175">
        <v>444</v>
      </c>
      <c r="IL54" s="139">
        <v>1.1644827586206898</v>
      </c>
      <c r="IM54" s="140">
        <f t="shared" si="151"/>
        <v>517.0303448275863</v>
      </c>
      <c r="IN54" s="150"/>
      <c r="IO54" s="528"/>
      <c r="IP54" s="145"/>
      <c r="IQ54" s="146"/>
      <c r="IR54" s="151" t="s">
        <v>95</v>
      </c>
      <c r="IS54" s="175">
        <v>797</v>
      </c>
      <c r="IT54" s="139">
        <v>1.1644827586206898</v>
      </c>
      <c r="IU54" s="140">
        <f t="shared" si="152"/>
        <v>928.09275862068978</v>
      </c>
      <c r="IV54" s="150"/>
      <c r="IW54" s="528"/>
      <c r="IX54" s="145"/>
      <c r="IY54" s="146"/>
      <c r="IZ54" s="151" t="s">
        <v>95</v>
      </c>
      <c r="JA54" s="175">
        <v>1018</v>
      </c>
      <c r="JB54" s="139">
        <v>1.1644827586206898</v>
      </c>
      <c r="JC54" s="140">
        <f t="shared" si="153"/>
        <v>1185.4434482758622</v>
      </c>
      <c r="JD54" s="150"/>
      <c r="JE54" s="528"/>
      <c r="JF54" s="145"/>
      <c r="JG54" s="146"/>
      <c r="JH54" s="151" t="s">
        <v>95</v>
      </c>
      <c r="JI54" s="175">
        <v>554</v>
      </c>
      <c r="JJ54" s="139">
        <v>1.1644827586206898</v>
      </c>
      <c r="JK54" s="140">
        <f t="shared" si="154"/>
        <v>645.12344827586219</v>
      </c>
      <c r="JL54" s="150"/>
      <c r="JM54" s="528"/>
      <c r="JN54" s="145"/>
      <c r="JO54" s="146"/>
      <c r="JP54" s="151" t="s">
        <v>95</v>
      </c>
      <c r="JQ54" s="175">
        <v>1666</v>
      </c>
      <c r="JR54" s="139">
        <v>1.1644827586206898</v>
      </c>
      <c r="JS54" s="140">
        <f t="shared" si="155"/>
        <v>1940.0282758620692</v>
      </c>
      <c r="JT54" s="150"/>
      <c r="JU54" s="528"/>
      <c r="JV54" s="145"/>
      <c r="JW54" s="146"/>
      <c r="JX54" s="151" t="s">
        <v>95</v>
      </c>
      <c r="JY54" s="175">
        <v>215</v>
      </c>
      <c r="JZ54" s="139">
        <v>1.1644827586206898</v>
      </c>
      <c r="KA54" s="140">
        <f t="shared" si="156"/>
        <v>250.3637931034483</v>
      </c>
      <c r="KB54" s="150"/>
      <c r="KC54" s="528"/>
      <c r="KD54" s="145"/>
      <c r="KE54" s="146"/>
      <c r="KF54" s="151" t="s">
        <v>95</v>
      </c>
      <c r="KG54" s="175">
        <v>63</v>
      </c>
      <c r="KH54" s="139">
        <v>1.1644827586206898</v>
      </c>
      <c r="KI54" s="140">
        <f t="shared" si="157"/>
        <v>73.362413793103457</v>
      </c>
      <c r="KJ54" s="150"/>
      <c r="KK54" s="528"/>
      <c r="KL54" s="145"/>
      <c r="KM54" s="146"/>
      <c r="KN54" s="151" t="s">
        <v>95</v>
      </c>
      <c r="KO54" s="175">
        <v>0</v>
      </c>
      <c r="KP54" s="139">
        <v>1.1644827586206898</v>
      </c>
      <c r="KQ54" s="140">
        <f t="shared" si="158"/>
        <v>0</v>
      </c>
      <c r="KR54" s="150"/>
      <c r="KS54" s="528"/>
      <c r="KT54" s="145"/>
      <c r="KU54" s="146"/>
      <c r="KV54" s="151" t="s">
        <v>95</v>
      </c>
      <c r="KW54" s="175">
        <v>0</v>
      </c>
      <c r="KX54" s="139">
        <v>1.1644827586206898</v>
      </c>
      <c r="KY54" s="140">
        <f t="shared" si="159"/>
        <v>0</v>
      </c>
      <c r="KZ54" s="150"/>
      <c r="LA54" s="528"/>
      <c r="LB54" s="145"/>
      <c r="LC54" s="146"/>
      <c r="LD54" s="151" t="s">
        <v>95</v>
      </c>
      <c r="LE54" s="175">
        <v>0</v>
      </c>
      <c r="LF54" s="139">
        <v>1.1644827586206898</v>
      </c>
      <c r="LG54" s="140">
        <f t="shared" si="160"/>
        <v>0</v>
      </c>
      <c r="LH54" s="150"/>
      <c r="LI54" s="528"/>
      <c r="LJ54" s="145"/>
      <c r="LK54" s="146"/>
      <c r="LL54" s="151" t="s">
        <v>95</v>
      </c>
      <c r="LM54" s="175">
        <v>12</v>
      </c>
      <c r="LN54" s="139">
        <v>1.1644827586206898</v>
      </c>
      <c r="LO54" s="140">
        <f t="shared" si="161"/>
        <v>13.973793103448278</v>
      </c>
      <c r="LP54" s="150"/>
      <c r="LQ54" s="528"/>
      <c r="LR54" s="145"/>
      <c r="LS54" s="146"/>
      <c r="LT54" s="151" t="s">
        <v>95</v>
      </c>
      <c r="LU54" s="175">
        <v>16</v>
      </c>
      <c r="LV54" s="139">
        <v>1.1644827586206898</v>
      </c>
      <c r="LW54" s="140">
        <f t="shared" si="162"/>
        <v>18.631724137931037</v>
      </c>
      <c r="LX54" s="150"/>
      <c r="LY54" s="528"/>
      <c r="LZ54" s="145"/>
      <c r="MA54" s="146"/>
      <c r="MB54" s="151" t="s">
        <v>95</v>
      </c>
      <c r="MC54" s="175">
        <v>27</v>
      </c>
      <c r="MD54" s="139">
        <v>1.1644827586206898</v>
      </c>
      <c r="ME54" s="140">
        <f t="shared" si="163"/>
        <v>31.441034482758624</v>
      </c>
      <c r="MF54" s="150"/>
      <c r="MG54" s="528"/>
      <c r="MH54" s="145"/>
      <c r="MI54" s="146"/>
      <c r="MJ54" s="151" t="s">
        <v>95</v>
      </c>
      <c r="MK54" s="175">
        <v>522</v>
      </c>
      <c r="ML54" s="139">
        <v>1.1644827586206898</v>
      </c>
      <c r="MM54" s="140">
        <f t="shared" si="164"/>
        <v>607.86000000000013</v>
      </c>
      <c r="MN54" s="150"/>
      <c r="MO54" s="528"/>
      <c r="MP54" s="145"/>
      <c r="MQ54" s="146"/>
      <c r="MR54" s="151" t="s">
        <v>95</v>
      </c>
      <c r="MS54" s="175">
        <v>698</v>
      </c>
      <c r="MT54" s="139">
        <v>1.1644827586206898</v>
      </c>
      <c r="MU54" s="140">
        <f t="shared" si="165"/>
        <v>812.80896551724152</v>
      </c>
      <c r="MV54" s="150"/>
      <c r="MW54" s="528"/>
      <c r="MX54" s="145"/>
      <c r="MY54" s="146"/>
      <c r="MZ54" s="157" t="s">
        <v>20</v>
      </c>
      <c r="NA54" s="175"/>
      <c r="NB54" s="139"/>
      <c r="NC54" s="674">
        <f t="shared" si="166"/>
        <v>0</v>
      </c>
      <c r="ND54" s="150"/>
      <c r="NE54" s="528"/>
      <c r="NF54" s="145"/>
      <c r="NG54" s="146"/>
      <c r="NH54" s="157" t="s">
        <v>20</v>
      </c>
      <c r="NI54" s="175"/>
      <c r="NJ54" s="139"/>
      <c r="NK54" s="674">
        <f t="shared" si="167"/>
        <v>0</v>
      </c>
      <c r="NL54" s="150"/>
      <c r="NM54" s="528"/>
      <c r="NN54" s="145"/>
      <c r="NO54" s="146"/>
      <c r="NP54" s="157" t="s">
        <v>20</v>
      </c>
      <c r="NQ54" s="175"/>
      <c r="NR54" s="139"/>
      <c r="NS54" s="674">
        <f t="shared" si="168"/>
        <v>0</v>
      </c>
      <c r="NT54" s="150"/>
      <c r="NU54" s="528"/>
      <c r="NV54" s="145"/>
      <c r="NW54" s="146"/>
      <c r="NX54" s="157" t="s">
        <v>20</v>
      </c>
      <c r="NY54" s="175"/>
      <c r="NZ54" s="139"/>
      <c r="OA54" s="674">
        <f t="shared" si="169"/>
        <v>0</v>
      </c>
      <c r="OB54" s="150"/>
      <c r="OC54" s="528"/>
      <c r="OD54" s="145"/>
      <c r="OE54" s="146"/>
      <c r="OF54" s="157" t="s">
        <v>20</v>
      </c>
      <c r="OG54" s="175"/>
      <c r="OH54" s="139"/>
      <c r="OI54" s="674">
        <f t="shared" si="170"/>
        <v>0</v>
      </c>
      <c r="OJ54" s="150"/>
      <c r="OK54" s="528"/>
      <c r="OL54" s="145"/>
      <c r="OM54" s="146"/>
      <c r="ON54" s="157" t="s">
        <v>20</v>
      </c>
      <c r="OO54" s="175"/>
      <c r="OP54" s="139"/>
      <c r="OQ54" s="674">
        <f t="shared" si="171"/>
        <v>0</v>
      </c>
      <c r="OR54" s="150"/>
      <c r="OS54" s="528"/>
      <c r="OT54" s="145"/>
      <c r="OU54" s="146"/>
      <c r="OV54" s="157" t="s">
        <v>20</v>
      </c>
      <c r="OW54" s="175"/>
      <c r="OX54" s="139"/>
      <c r="OY54" s="674">
        <f t="shared" si="172"/>
        <v>0</v>
      </c>
      <c r="OZ54" s="150"/>
      <c r="PA54" s="528"/>
      <c r="PB54" s="145"/>
      <c r="PC54" s="146"/>
      <c r="PD54" s="157" t="s">
        <v>20</v>
      </c>
      <c r="PE54" s="175"/>
      <c r="PF54" s="139"/>
      <c r="PG54" s="674">
        <f t="shared" si="173"/>
        <v>0</v>
      </c>
      <c r="PH54" s="150"/>
      <c r="PI54" s="528"/>
      <c r="PJ54" s="145"/>
      <c r="PK54" s="146"/>
      <c r="PL54" s="157" t="s">
        <v>20</v>
      </c>
      <c r="PM54" s="175"/>
      <c r="PN54" s="139"/>
      <c r="PO54" s="674">
        <f t="shared" si="174"/>
        <v>0</v>
      </c>
      <c r="PP54" s="150"/>
      <c r="PQ54" s="528"/>
      <c r="PR54" s="145"/>
      <c r="PS54" s="146"/>
      <c r="PT54" s="157" t="s">
        <v>20</v>
      </c>
      <c r="PU54" s="175">
        <v>51</v>
      </c>
      <c r="PV54" s="139"/>
      <c r="PW54" s="674">
        <f t="shared" si="175"/>
        <v>0</v>
      </c>
      <c r="PX54" s="150"/>
      <c r="PY54" s="528"/>
      <c r="PZ54" s="145"/>
      <c r="QA54" s="146"/>
      <c r="QB54" s="157" t="s">
        <v>20</v>
      </c>
      <c r="QC54" s="175"/>
      <c r="QD54" s="139"/>
      <c r="QE54" s="674">
        <f t="shared" si="176"/>
        <v>0</v>
      </c>
      <c r="QF54" s="150"/>
      <c r="QG54" s="528"/>
      <c r="QH54" s="145"/>
      <c r="QI54" s="146"/>
      <c r="QJ54" s="157" t="s">
        <v>20</v>
      </c>
      <c r="QK54" s="175"/>
      <c r="QL54" s="139"/>
      <c r="QM54" s="674">
        <f t="shared" si="177"/>
        <v>0</v>
      </c>
      <c r="QN54" s="150"/>
      <c r="QO54" s="528"/>
      <c r="QP54" s="145"/>
      <c r="QQ54" s="146"/>
      <c r="QR54" s="157" t="s">
        <v>20</v>
      </c>
      <c r="QS54" s="175"/>
      <c r="QT54" s="139"/>
      <c r="QU54" s="674">
        <f t="shared" si="178"/>
        <v>0</v>
      </c>
      <c r="QV54" s="150"/>
      <c r="QW54" s="528"/>
      <c r="QX54" s="145"/>
      <c r="QY54" s="146"/>
      <c r="QZ54" s="157" t="s">
        <v>20</v>
      </c>
      <c r="RA54" s="175"/>
      <c r="RB54" s="139"/>
      <c r="RC54" s="674">
        <f t="shared" si="179"/>
        <v>0</v>
      </c>
      <c r="RD54" s="150"/>
      <c r="RE54" s="528"/>
      <c r="RF54" s="145"/>
      <c r="RG54" s="146"/>
      <c r="RH54" s="157" t="s">
        <v>20</v>
      </c>
      <c r="RI54" s="175"/>
      <c r="RJ54" s="139"/>
      <c r="RK54" s="674">
        <f t="shared" si="180"/>
        <v>0</v>
      </c>
      <c r="RL54" s="150"/>
      <c r="RM54" s="528"/>
      <c r="RN54" s="145"/>
      <c r="RO54" s="146"/>
      <c r="RP54" s="157" t="s">
        <v>20</v>
      </c>
      <c r="RQ54" s="175"/>
      <c r="RR54" s="139"/>
      <c r="RS54" s="674">
        <f t="shared" si="181"/>
        <v>0</v>
      </c>
      <c r="RT54" s="150"/>
      <c r="RU54" s="528"/>
      <c r="RV54" s="145"/>
      <c r="RW54" s="146"/>
      <c r="RX54" s="157" t="s">
        <v>20</v>
      </c>
      <c r="RY54" s="175"/>
      <c r="RZ54" s="139"/>
      <c r="SA54" s="674">
        <f t="shared" si="182"/>
        <v>0</v>
      </c>
      <c r="SB54" s="150"/>
      <c r="SC54" s="528"/>
      <c r="SD54" s="145"/>
      <c r="SE54" s="146"/>
      <c r="SF54" s="157" t="s">
        <v>20</v>
      </c>
      <c r="SG54" s="175"/>
      <c r="SH54" s="139"/>
      <c r="SI54" s="674">
        <f t="shared" si="183"/>
        <v>0</v>
      </c>
      <c r="SJ54" s="150"/>
      <c r="SK54" s="528"/>
      <c r="SL54" s="145"/>
      <c r="SM54" s="146"/>
      <c r="SN54" s="157" t="s">
        <v>20</v>
      </c>
      <c r="SO54" s="175"/>
      <c r="SP54" s="139"/>
      <c r="SQ54" s="674">
        <f t="shared" si="184"/>
        <v>0</v>
      </c>
      <c r="SR54" s="150"/>
      <c r="SS54" s="528"/>
      <c r="ST54" s="145"/>
      <c r="SU54" s="146"/>
      <c r="SV54" s="157" t="s">
        <v>20</v>
      </c>
      <c r="SW54" s="175"/>
      <c r="SX54" s="139"/>
      <c r="SY54" s="674">
        <f t="shared" si="185"/>
        <v>0</v>
      </c>
      <c r="SZ54" s="150"/>
      <c r="TA54" s="528"/>
      <c r="TB54" s="145"/>
      <c r="TC54" s="146"/>
      <c r="TD54" s="157" t="s">
        <v>20</v>
      </c>
      <c r="TE54" s="175"/>
      <c r="TF54" s="139"/>
      <c r="TG54" s="674">
        <f t="shared" si="186"/>
        <v>0</v>
      </c>
      <c r="TH54" s="150"/>
      <c r="TI54" s="528"/>
    </row>
    <row r="55" spans="2:529">
      <c r="B55" s="145"/>
      <c r="C55" s="146"/>
      <c r="D55" s="157" t="s">
        <v>96</v>
      </c>
      <c r="E55" s="138">
        <v>125</v>
      </c>
      <c r="F55" s="139">
        <v>0.73671428571428577</v>
      </c>
      <c r="G55" s="140">
        <f t="shared" si="133"/>
        <v>92.089285714285722</v>
      </c>
      <c r="H55" s="159">
        <f>SUM(G53:G55)</f>
        <v>92.089285714285722</v>
      </c>
      <c r="I55" s="528"/>
      <c r="J55" s="145"/>
      <c r="K55" s="146"/>
      <c r="L55" s="157" t="s">
        <v>96</v>
      </c>
      <c r="M55" s="138">
        <v>303</v>
      </c>
      <c r="N55" s="139">
        <v>0.73671428571428577</v>
      </c>
      <c r="O55" s="140">
        <f t="shared" si="134"/>
        <v>223.22442857142858</v>
      </c>
      <c r="P55" s="159">
        <f>SUM(O53:O55)</f>
        <v>223.22442857142858</v>
      </c>
      <c r="Q55" s="528"/>
      <c r="R55" s="145"/>
      <c r="S55" s="146"/>
      <c r="T55" s="157" t="s">
        <v>96</v>
      </c>
      <c r="U55" s="138">
        <v>0</v>
      </c>
      <c r="V55" s="139">
        <v>0.73671428571428577</v>
      </c>
      <c r="W55" s="140">
        <f t="shared" si="135"/>
        <v>0</v>
      </c>
      <c r="X55" s="159">
        <f>SUM(W53:W55)</f>
        <v>0</v>
      </c>
      <c r="Y55" s="528"/>
      <c r="Z55" s="145"/>
      <c r="AA55" s="146"/>
      <c r="AB55" s="157" t="s">
        <v>96</v>
      </c>
      <c r="AC55" s="138">
        <v>0</v>
      </c>
      <c r="AD55" s="139">
        <v>0.73671428571428577</v>
      </c>
      <c r="AE55" s="140">
        <f t="shared" si="136"/>
        <v>0</v>
      </c>
      <c r="AF55" s="159">
        <f>SUM(AE53:AE55)</f>
        <v>0</v>
      </c>
      <c r="AG55" s="528"/>
      <c r="AH55" s="145"/>
      <c r="AI55" s="146"/>
      <c r="AJ55" s="157" t="s">
        <v>96</v>
      </c>
      <c r="AK55" s="138">
        <v>66</v>
      </c>
      <c r="AL55" s="139">
        <v>0.73671428571428577</v>
      </c>
      <c r="AM55" s="140">
        <f t="shared" si="137"/>
        <v>48.623142857142859</v>
      </c>
      <c r="AN55" s="159">
        <f>SUM(AM53:AM55)</f>
        <v>48.623142857142859</v>
      </c>
      <c r="AO55" s="528"/>
      <c r="AP55" s="145"/>
      <c r="AQ55" s="146"/>
      <c r="AR55" s="157" t="s">
        <v>96</v>
      </c>
      <c r="AS55" s="138"/>
      <c r="AT55" s="139">
        <v>0.73671428571428577</v>
      </c>
      <c r="AU55" s="140">
        <f t="shared" si="138"/>
        <v>0</v>
      </c>
      <c r="AV55" s="159">
        <f>SUM(AU53:AU55)</f>
        <v>0</v>
      </c>
      <c r="AW55" s="528"/>
      <c r="AX55" s="145"/>
      <c r="AY55" s="146"/>
      <c r="AZ55" s="157" t="s">
        <v>96</v>
      </c>
      <c r="BA55" s="138">
        <v>46</v>
      </c>
      <c r="BB55" s="139">
        <v>0.73671428571428577</v>
      </c>
      <c r="BC55" s="140">
        <f t="shared" si="139"/>
        <v>33.888857142857148</v>
      </c>
      <c r="BD55" s="159">
        <f>SUM(BC53:BC55)</f>
        <v>262.23853990147785</v>
      </c>
      <c r="BE55" s="528"/>
      <c r="BF55" s="145"/>
      <c r="BG55" s="146"/>
      <c r="BH55" s="157" t="s">
        <v>96</v>
      </c>
      <c r="BI55" s="138">
        <v>160</v>
      </c>
      <c r="BJ55" s="139">
        <v>0.73671428571428577</v>
      </c>
      <c r="BK55" s="140">
        <f t="shared" si="140"/>
        <v>117.87428571428572</v>
      </c>
      <c r="BL55" s="159">
        <f>SUM(BK53:BK55)</f>
        <v>741.51120985221689</v>
      </c>
      <c r="BM55" s="528"/>
      <c r="BN55" s="145"/>
      <c r="BO55" s="146"/>
      <c r="BP55" s="157" t="s">
        <v>96</v>
      </c>
      <c r="BQ55" s="138">
        <v>85</v>
      </c>
      <c r="BR55" s="139">
        <v>0.73671428571428577</v>
      </c>
      <c r="BS55" s="140">
        <f t="shared" si="141"/>
        <v>62.620714285714293</v>
      </c>
      <c r="BT55" s="159">
        <f>SUM(BS53:BS55)</f>
        <v>80.087955665024637</v>
      </c>
      <c r="BU55" s="528"/>
      <c r="BV55" s="536"/>
      <c r="BW55" s="537"/>
      <c r="BX55" s="574" t="s">
        <v>96</v>
      </c>
      <c r="BY55" s="560"/>
      <c r="BZ55" s="561">
        <v>0.73671428571428577</v>
      </c>
      <c r="CA55" s="562">
        <f t="shared" si="142"/>
        <v>0</v>
      </c>
      <c r="CB55" s="575">
        <f>SUM(CA53:CA55)</f>
        <v>0</v>
      </c>
      <c r="CC55" s="528"/>
      <c r="CD55" s="536"/>
      <c r="CE55" s="537"/>
      <c r="CF55" s="574" t="s">
        <v>96</v>
      </c>
      <c r="CG55" s="560"/>
      <c r="CH55" s="561">
        <v>0.73671428571428577</v>
      </c>
      <c r="CI55" s="562">
        <f t="shared" si="143"/>
        <v>0</v>
      </c>
      <c r="CJ55" s="575">
        <f>SUM(CI53:CI55)</f>
        <v>0</v>
      </c>
      <c r="CK55" s="528"/>
      <c r="CL55" s="145"/>
      <c r="CM55" s="146"/>
      <c r="CN55" s="157" t="s">
        <v>96</v>
      </c>
      <c r="CO55" s="138">
        <v>70</v>
      </c>
      <c r="CP55" s="139">
        <v>0.73671428571428577</v>
      </c>
      <c r="CQ55" s="140">
        <f t="shared" si="144"/>
        <v>51.57</v>
      </c>
      <c r="CR55" s="159">
        <f>SUM(CQ53:CQ55)</f>
        <v>254.95055172413794</v>
      </c>
      <c r="CS55" s="528"/>
      <c r="CT55" s="145"/>
      <c r="CU55" s="146"/>
      <c r="CV55" s="157" t="s">
        <v>96</v>
      </c>
      <c r="CW55" s="138">
        <v>160</v>
      </c>
      <c r="CX55" s="139">
        <v>0.73671428571428577</v>
      </c>
      <c r="CY55" s="140">
        <f t="shared" si="12"/>
        <v>117.87428571428572</v>
      </c>
      <c r="CZ55" s="159">
        <f>SUM(CY53:CY55)</f>
        <v>741.51120985221689</v>
      </c>
      <c r="DA55" s="528"/>
      <c r="DB55" s="145"/>
      <c r="DC55" s="146"/>
      <c r="DD55" s="157" t="s">
        <v>96</v>
      </c>
      <c r="DE55" s="138">
        <v>140</v>
      </c>
      <c r="DF55" s="139">
        <v>0.73671428571428577</v>
      </c>
      <c r="DG55" s="140">
        <f t="shared" si="13"/>
        <v>103.14</v>
      </c>
      <c r="DH55" s="159">
        <f>SUM(DG53:DG55)</f>
        <v>114.48400000000001</v>
      </c>
      <c r="DI55" s="528"/>
      <c r="DJ55" s="145"/>
      <c r="DK55" s="146"/>
      <c r="DL55" s="157" t="s">
        <v>96</v>
      </c>
      <c r="DM55" s="138">
        <v>25</v>
      </c>
      <c r="DN55" s="170">
        <v>0.73671428571428577</v>
      </c>
      <c r="DO55" s="140">
        <f t="shared" si="14"/>
        <v>18.417857142857144</v>
      </c>
      <c r="DP55" s="159">
        <f>SUM(DO53:DO55)</f>
        <v>111.72225714285715</v>
      </c>
      <c r="DQ55" s="528"/>
      <c r="DR55" s="145"/>
      <c r="DS55" s="146"/>
      <c r="DT55" s="157" t="s">
        <v>96</v>
      </c>
      <c r="DU55" s="138"/>
      <c r="DV55" s="170">
        <v>0.73671428571428577</v>
      </c>
      <c r="DW55" s="140">
        <f t="shared" si="15"/>
        <v>0</v>
      </c>
      <c r="DX55" s="159">
        <f>SUM(DW53:DW55)</f>
        <v>0</v>
      </c>
      <c r="DY55" s="528"/>
      <c r="DZ55" s="145"/>
      <c r="EA55" s="146"/>
      <c r="EB55" s="157" t="s">
        <v>96</v>
      </c>
      <c r="EC55" s="138">
        <v>0</v>
      </c>
      <c r="ED55" s="170">
        <v>0.73671428571428577</v>
      </c>
      <c r="EE55" s="140">
        <f t="shared" si="16"/>
        <v>0</v>
      </c>
      <c r="EF55" s="159">
        <f>SUM(EE53:EE55)</f>
        <v>0</v>
      </c>
      <c r="EG55" s="528"/>
      <c r="EH55" s="145"/>
      <c r="EI55" s="146"/>
      <c r="EJ55" s="157" t="s">
        <v>96</v>
      </c>
      <c r="EK55" s="138">
        <v>100</v>
      </c>
      <c r="EL55" s="170">
        <v>0.73671428571428577</v>
      </c>
      <c r="EM55" s="140">
        <f t="shared" si="17"/>
        <v>73.671428571428578</v>
      </c>
      <c r="EN55" s="159">
        <f>SUM(EM53:EM55)</f>
        <v>73.671428571428578</v>
      </c>
      <c r="EO55" s="528"/>
      <c r="EP55" s="145"/>
      <c r="EQ55" s="146"/>
      <c r="ER55" s="157" t="s">
        <v>96</v>
      </c>
      <c r="ES55" s="138">
        <v>207</v>
      </c>
      <c r="ET55" s="170">
        <v>0.73671428571428577</v>
      </c>
      <c r="EU55" s="140">
        <f t="shared" si="18"/>
        <v>152.49985714285717</v>
      </c>
      <c r="EV55" s="159">
        <f>SUM(EU53:EU55)</f>
        <v>210.44887783251235</v>
      </c>
      <c r="EW55" s="528"/>
      <c r="EX55" s="145"/>
      <c r="EY55" s="146"/>
      <c r="EZ55" s="157" t="s">
        <v>96</v>
      </c>
      <c r="FA55" s="138"/>
      <c r="FB55" s="170">
        <v>0.73671428571428577</v>
      </c>
      <c r="FC55" s="140">
        <f t="shared" si="19"/>
        <v>0</v>
      </c>
      <c r="FD55" s="159">
        <f>SUM(FC53:FC55)</f>
        <v>0</v>
      </c>
      <c r="FE55" s="528"/>
      <c r="FF55" s="145"/>
      <c r="FG55" s="146"/>
      <c r="FH55" s="157" t="s">
        <v>96</v>
      </c>
      <c r="FI55" s="138"/>
      <c r="FJ55" s="170">
        <v>0.73671428571428577</v>
      </c>
      <c r="FK55" s="140">
        <f t="shared" si="20"/>
        <v>0</v>
      </c>
      <c r="FL55" s="159">
        <f>SUM(FK53:FK55)</f>
        <v>0</v>
      </c>
      <c r="FM55" s="528"/>
      <c r="FN55" s="145"/>
      <c r="FO55" s="146"/>
      <c r="FP55" s="157" t="s">
        <v>96</v>
      </c>
      <c r="FQ55" s="138"/>
      <c r="FR55" s="170">
        <v>0.73671428571428577</v>
      </c>
      <c r="FS55" s="140">
        <f t="shared" si="21"/>
        <v>0</v>
      </c>
      <c r="FT55" s="159">
        <f>SUM(FS53:FS55)</f>
        <v>0</v>
      </c>
      <c r="FU55" s="528"/>
      <c r="FV55" s="145"/>
      <c r="FW55" s="146"/>
      <c r="FX55" s="157" t="s">
        <v>96</v>
      </c>
      <c r="FY55" s="138"/>
      <c r="FZ55" s="170">
        <v>0.73671428571428577</v>
      </c>
      <c r="GA55" s="140">
        <f t="shared" si="22"/>
        <v>0</v>
      </c>
      <c r="GB55" s="159">
        <f>SUM(GA53:GA55)</f>
        <v>0</v>
      </c>
      <c r="GC55" s="528"/>
      <c r="GD55" s="145"/>
      <c r="GE55" s="146"/>
      <c r="GF55" s="157" t="s">
        <v>96</v>
      </c>
      <c r="GG55" s="138"/>
      <c r="GH55" s="170">
        <v>0.73671428571428577</v>
      </c>
      <c r="GI55" s="140">
        <f t="shared" si="23"/>
        <v>0</v>
      </c>
      <c r="GJ55" s="159">
        <f>SUM(GI53:GI55)</f>
        <v>0</v>
      </c>
      <c r="GK55" s="528"/>
      <c r="GL55" s="145"/>
      <c r="GM55" s="146"/>
      <c r="GN55" s="157" t="s">
        <v>96</v>
      </c>
      <c r="GO55" s="175">
        <v>160</v>
      </c>
      <c r="GP55" s="139">
        <v>0.73671428571428577</v>
      </c>
      <c r="GQ55" s="140">
        <f t="shared" si="145"/>
        <v>117.87428571428572</v>
      </c>
      <c r="GR55" s="159">
        <f>SUM(GQ53:GQ55)</f>
        <v>741.51120985221689</v>
      </c>
      <c r="GS55" s="528"/>
      <c r="GT55" s="145"/>
      <c r="GU55" s="146"/>
      <c r="GV55" s="157" t="s">
        <v>96</v>
      </c>
      <c r="GW55" s="175">
        <v>140</v>
      </c>
      <c r="GX55" s="139">
        <v>0.73671428571428577</v>
      </c>
      <c r="GY55" s="140">
        <f t="shared" si="146"/>
        <v>103.14</v>
      </c>
      <c r="GZ55" s="159">
        <f>SUM(GY53:GY55)</f>
        <v>103.14</v>
      </c>
      <c r="HA55" s="528"/>
      <c r="HB55" s="145"/>
      <c r="HC55" s="146"/>
      <c r="HD55" s="157" t="s">
        <v>96</v>
      </c>
      <c r="HE55" s="175">
        <v>0</v>
      </c>
      <c r="HF55" s="139">
        <v>0.73671428571428577</v>
      </c>
      <c r="HG55" s="140">
        <f t="shared" si="147"/>
        <v>0</v>
      </c>
      <c r="HH55" s="159">
        <f>SUM(HG53:HG55)</f>
        <v>0</v>
      </c>
      <c r="HI55" s="528"/>
      <c r="HJ55" s="145"/>
      <c r="HK55" s="146"/>
      <c r="HL55" s="157" t="s">
        <v>96</v>
      </c>
      <c r="HM55" s="175">
        <v>0</v>
      </c>
      <c r="HN55" s="139">
        <v>0.73671428571428577</v>
      </c>
      <c r="HO55" s="140">
        <f t="shared" si="148"/>
        <v>0</v>
      </c>
      <c r="HP55" s="159">
        <f>SUM(HO53:HO55)</f>
        <v>0</v>
      </c>
      <c r="HQ55" s="528"/>
      <c r="HR55" s="145"/>
      <c r="HS55" s="146"/>
      <c r="HT55" s="157" t="s">
        <v>96</v>
      </c>
      <c r="HU55" s="175">
        <v>21</v>
      </c>
      <c r="HV55" s="139">
        <v>0.73671428571428577</v>
      </c>
      <c r="HW55" s="140">
        <f t="shared" si="149"/>
        <v>15.471000000000002</v>
      </c>
      <c r="HX55" s="159">
        <f>SUM(HW53:HW55)</f>
        <v>15.471000000000002</v>
      </c>
      <c r="HY55" s="528"/>
      <c r="HZ55" s="145"/>
      <c r="IA55" s="146"/>
      <c r="IB55" s="157" t="s">
        <v>96</v>
      </c>
      <c r="IC55" s="175">
        <v>84</v>
      </c>
      <c r="ID55" s="139">
        <v>0.73671428571428577</v>
      </c>
      <c r="IE55" s="140">
        <f t="shared" si="150"/>
        <v>61.884000000000007</v>
      </c>
      <c r="IF55" s="159">
        <f>SUM(IE53:IE55)</f>
        <v>61.884000000000007</v>
      </c>
      <c r="IG55" s="528"/>
      <c r="IH55" s="145"/>
      <c r="II55" s="146"/>
      <c r="IJ55" s="157" t="s">
        <v>96</v>
      </c>
      <c r="IK55" s="175">
        <v>8</v>
      </c>
      <c r="IL55" s="139">
        <v>0.73671428571428577</v>
      </c>
      <c r="IM55" s="140">
        <f t="shared" si="151"/>
        <v>5.8937142857142861</v>
      </c>
      <c r="IN55" s="159">
        <f>SUM(IM53:IM55)</f>
        <v>661.88805911330053</v>
      </c>
      <c r="IO55" s="528"/>
      <c r="IP55" s="145"/>
      <c r="IQ55" s="146"/>
      <c r="IR55" s="157" t="s">
        <v>96</v>
      </c>
      <c r="IS55" s="175">
        <v>39</v>
      </c>
      <c r="IT55" s="139">
        <v>0.73671428571428577</v>
      </c>
      <c r="IU55" s="140">
        <f t="shared" si="152"/>
        <v>28.731857142857145</v>
      </c>
      <c r="IV55" s="159">
        <f>SUM(IU53:IU55)</f>
        <v>1690.4978157635469</v>
      </c>
      <c r="IW55" s="528"/>
      <c r="IX55" s="145"/>
      <c r="IY55" s="146"/>
      <c r="IZ55" s="157" t="s">
        <v>96</v>
      </c>
      <c r="JA55" s="175">
        <v>31</v>
      </c>
      <c r="JB55" s="139">
        <v>0.73671428571428577</v>
      </c>
      <c r="JC55" s="140">
        <f t="shared" si="153"/>
        <v>22.838142857142859</v>
      </c>
      <c r="JD55" s="159">
        <f>SUM(JC53:JC55)</f>
        <v>1267.8375911330052</v>
      </c>
      <c r="JE55" s="528"/>
      <c r="JF55" s="145"/>
      <c r="JG55" s="146"/>
      <c r="JH55" s="157" t="s">
        <v>96</v>
      </c>
      <c r="JI55" s="175">
        <v>44</v>
      </c>
      <c r="JJ55" s="139">
        <v>0.73671428571428577</v>
      </c>
      <c r="JK55" s="140">
        <f t="shared" si="154"/>
        <v>32.415428571428571</v>
      </c>
      <c r="JL55" s="159">
        <f>SUM(JK53:JK55)</f>
        <v>877.1932768472908</v>
      </c>
      <c r="JM55" s="528"/>
      <c r="JN55" s="145"/>
      <c r="JO55" s="146"/>
      <c r="JP55" s="157" t="s">
        <v>96</v>
      </c>
      <c r="JQ55" s="175">
        <v>712</v>
      </c>
      <c r="JR55" s="139">
        <v>0.73671428571428577</v>
      </c>
      <c r="JS55" s="140">
        <f t="shared" si="155"/>
        <v>524.54057142857141</v>
      </c>
      <c r="JT55" s="159">
        <f>SUM(JS53:JS55)</f>
        <v>2470.2408472906409</v>
      </c>
      <c r="JU55" s="528"/>
      <c r="JV55" s="145"/>
      <c r="JW55" s="146"/>
      <c r="JX55" s="157" t="s">
        <v>96</v>
      </c>
      <c r="JY55" s="175">
        <v>30</v>
      </c>
      <c r="JZ55" s="139">
        <v>0.73671428571428577</v>
      </c>
      <c r="KA55" s="140">
        <f t="shared" si="156"/>
        <v>22.101428571428574</v>
      </c>
      <c r="KB55" s="159">
        <f>SUM(KA53:KA55)</f>
        <v>296.2876216748769</v>
      </c>
      <c r="KC55" s="528"/>
      <c r="KD55" s="145"/>
      <c r="KE55" s="146"/>
      <c r="KF55" s="157" t="s">
        <v>96</v>
      </c>
      <c r="KG55" s="175">
        <v>324</v>
      </c>
      <c r="KH55" s="139">
        <v>0.73671428571428577</v>
      </c>
      <c r="KI55" s="140">
        <f t="shared" si="157"/>
        <v>238.69542857142858</v>
      </c>
      <c r="KJ55" s="159">
        <f>SUM(KI53:KI55)</f>
        <v>312.05784236453201</v>
      </c>
      <c r="KK55" s="528"/>
      <c r="KL55" s="145"/>
      <c r="KM55" s="146"/>
      <c r="KN55" s="157" t="s">
        <v>96</v>
      </c>
      <c r="KO55" s="175">
        <v>303</v>
      </c>
      <c r="KP55" s="139">
        <v>0.73671428571428577</v>
      </c>
      <c r="KQ55" s="140">
        <f t="shared" si="158"/>
        <v>223.22442857142858</v>
      </c>
      <c r="KR55" s="159">
        <f>SUM(KQ53:KQ55)</f>
        <v>223.22442857142858</v>
      </c>
      <c r="KS55" s="528"/>
      <c r="KT55" s="145"/>
      <c r="KU55" s="146"/>
      <c r="KV55" s="157" t="s">
        <v>96</v>
      </c>
      <c r="KW55" s="175">
        <v>0</v>
      </c>
      <c r="KX55" s="139">
        <v>0.73671428571428577</v>
      </c>
      <c r="KY55" s="140">
        <f t="shared" si="159"/>
        <v>0</v>
      </c>
      <c r="KZ55" s="159">
        <f>SUM(KY53:KY55)</f>
        <v>0</v>
      </c>
      <c r="LA55" s="528"/>
      <c r="LB55" s="145"/>
      <c r="LC55" s="146"/>
      <c r="LD55" s="157" t="s">
        <v>96</v>
      </c>
      <c r="LE55" s="175">
        <v>4</v>
      </c>
      <c r="LF55" s="139">
        <v>0.73671428571428577</v>
      </c>
      <c r="LG55" s="140">
        <f t="shared" si="160"/>
        <v>2.9468571428571431</v>
      </c>
      <c r="LH55" s="159">
        <f>SUM(LG53:LG55)</f>
        <v>2.9468571428571431</v>
      </c>
      <c r="LI55" s="528"/>
      <c r="LJ55" s="145"/>
      <c r="LK55" s="146"/>
      <c r="LL55" s="157" t="s">
        <v>96</v>
      </c>
      <c r="LM55" s="175">
        <v>7</v>
      </c>
      <c r="LN55" s="139">
        <v>0.73671428571428577</v>
      </c>
      <c r="LO55" s="140">
        <f t="shared" si="161"/>
        <v>5.157</v>
      </c>
      <c r="LP55" s="159">
        <f>SUM(LO53:LO55)</f>
        <v>19.130793103448276</v>
      </c>
      <c r="LQ55" s="528"/>
      <c r="LR55" s="145"/>
      <c r="LS55" s="146"/>
      <c r="LT55" s="157" t="s">
        <v>96</v>
      </c>
      <c r="LU55" s="175">
        <v>86</v>
      </c>
      <c r="LV55" s="139">
        <v>0.73671428571428577</v>
      </c>
      <c r="LW55" s="140">
        <f t="shared" si="162"/>
        <v>63.357428571428578</v>
      </c>
      <c r="LX55" s="159">
        <f>SUM(LW53:LW55)</f>
        <v>97.019952709359615</v>
      </c>
      <c r="LY55" s="528"/>
      <c r="LZ55" s="145"/>
      <c r="MA55" s="146"/>
      <c r="MB55" s="157" t="s">
        <v>96</v>
      </c>
      <c r="MC55" s="175">
        <v>135</v>
      </c>
      <c r="MD55" s="139">
        <v>0.73671428571428577</v>
      </c>
      <c r="ME55" s="140">
        <f t="shared" si="163"/>
        <v>99.456428571428575</v>
      </c>
      <c r="MF55" s="159">
        <f>SUM(ME53:ME55)</f>
        <v>210.02186305418721</v>
      </c>
      <c r="MG55" s="528"/>
      <c r="MH55" s="145"/>
      <c r="MI55" s="146"/>
      <c r="MJ55" s="157" t="s">
        <v>96</v>
      </c>
      <c r="MK55" s="175">
        <v>102</v>
      </c>
      <c r="ML55" s="139">
        <v>0.73671428571428577</v>
      </c>
      <c r="MM55" s="140">
        <f t="shared" si="164"/>
        <v>75.144857142857148</v>
      </c>
      <c r="MN55" s="159">
        <f>SUM(MM53:MM55)</f>
        <v>801.26605714285733</v>
      </c>
      <c r="MO55" s="528"/>
      <c r="MP55" s="145"/>
      <c r="MQ55" s="146"/>
      <c r="MR55" s="157" t="s">
        <v>96</v>
      </c>
      <c r="MS55" s="175">
        <v>150</v>
      </c>
      <c r="MT55" s="139">
        <v>0.73671428571428577</v>
      </c>
      <c r="MU55" s="140">
        <f t="shared" si="165"/>
        <v>110.50714285714287</v>
      </c>
      <c r="MV55" s="159">
        <f>SUM(MU53:MU55)</f>
        <v>937.49610837438433</v>
      </c>
      <c r="MW55" s="528"/>
      <c r="MX55" s="143"/>
      <c r="MY55" s="174"/>
      <c r="MZ55" s="663" t="s">
        <v>84</v>
      </c>
      <c r="NA55" s="175"/>
      <c r="NB55" s="139"/>
      <c r="NC55" s="674">
        <f t="shared" si="166"/>
        <v>0</v>
      </c>
      <c r="ND55" s="154"/>
      <c r="NE55" s="528"/>
      <c r="NF55" s="143"/>
      <c r="NG55" s="174"/>
      <c r="NH55" s="663" t="s">
        <v>84</v>
      </c>
      <c r="NI55" s="175"/>
      <c r="NJ55" s="139"/>
      <c r="NK55" s="674">
        <f t="shared" si="167"/>
        <v>0</v>
      </c>
      <c r="NL55" s="154"/>
      <c r="NM55" s="528"/>
      <c r="NN55" s="143"/>
      <c r="NO55" s="174"/>
      <c r="NP55" s="663" t="s">
        <v>84</v>
      </c>
      <c r="NQ55" s="175"/>
      <c r="NR55" s="139"/>
      <c r="NS55" s="674">
        <f t="shared" si="168"/>
        <v>0</v>
      </c>
      <c r="NT55" s="154"/>
      <c r="NU55" s="528"/>
      <c r="NV55" s="143"/>
      <c r="NW55" s="174"/>
      <c r="NX55" s="663" t="s">
        <v>84</v>
      </c>
      <c r="NY55" s="175"/>
      <c r="NZ55" s="139"/>
      <c r="OA55" s="674">
        <f t="shared" si="169"/>
        <v>0</v>
      </c>
      <c r="OB55" s="154"/>
      <c r="OC55" s="528"/>
      <c r="OD55" s="143"/>
      <c r="OE55" s="174"/>
      <c r="OF55" s="663" t="s">
        <v>84</v>
      </c>
      <c r="OG55" s="175"/>
      <c r="OH55" s="139"/>
      <c r="OI55" s="674">
        <f t="shared" si="170"/>
        <v>0</v>
      </c>
      <c r="OJ55" s="154"/>
      <c r="OK55" s="528"/>
      <c r="OL55" s="143"/>
      <c r="OM55" s="174"/>
      <c r="ON55" s="663" t="s">
        <v>84</v>
      </c>
      <c r="OO55" s="175"/>
      <c r="OP55" s="139"/>
      <c r="OQ55" s="674">
        <f t="shared" si="171"/>
        <v>0</v>
      </c>
      <c r="OR55" s="154"/>
      <c r="OS55" s="528"/>
      <c r="OT55" s="143"/>
      <c r="OU55" s="174"/>
      <c r="OV55" s="663" t="s">
        <v>84</v>
      </c>
      <c r="OW55" s="175"/>
      <c r="OX55" s="139"/>
      <c r="OY55" s="674">
        <f t="shared" si="172"/>
        <v>0</v>
      </c>
      <c r="OZ55" s="154"/>
      <c r="PA55" s="528"/>
      <c r="PB55" s="143"/>
      <c r="PC55" s="174"/>
      <c r="PD55" s="663" t="s">
        <v>84</v>
      </c>
      <c r="PE55" s="175"/>
      <c r="PF55" s="139"/>
      <c r="PG55" s="674">
        <f t="shared" si="173"/>
        <v>0</v>
      </c>
      <c r="PH55" s="154"/>
      <c r="PI55" s="528"/>
      <c r="PJ55" s="143"/>
      <c r="PK55" s="174"/>
      <c r="PL55" s="663" t="s">
        <v>84</v>
      </c>
      <c r="PM55" s="175"/>
      <c r="PN55" s="139"/>
      <c r="PO55" s="674">
        <f t="shared" si="174"/>
        <v>0</v>
      </c>
      <c r="PP55" s="154"/>
      <c r="PQ55" s="528"/>
      <c r="PR55" s="143"/>
      <c r="PS55" s="174"/>
      <c r="PT55" s="663" t="s">
        <v>84</v>
      </c>
      <c r="PU55" s="175"/>
      <c r="PV55" s="139"/>
      <c r="PW55" s="674">
        <f t="shared" si="175"/>
        <v>0</v>
      </c>
      <c r="PX55" s="154"/>
      <c r="PY55" s="528"/>
      <c r="PZ55" s="143"/>
      <c r="QA55" s="174"/>
      <c r="QB55" s="663" t="s">
        <v>84</v>
      </c>
      <c r="QC55" s="175"/>
      <c r="QD55" s="139"/>
      <c r="QE55" s="674">
        <f t="shared" si="176"/>
        <v>0</v>
      </c>
      <c r="QF55" s="154"/>
      <c r="QG55" s="528"/>
      <c r="QH55" s="143"/>
      <c r="QI55" s="174"/>
      <c r="QJ55" s="663" t="s">
        <v>84</v>
      </c>
      <c r="QK55" s="175"/>
      <c r="QL55" s="139"/>
      <c r="QM55" s="674">
        <f t="shared" si="177"/>
        <v>0</v>
      </c>
      <c r="QN55" s="154"/>
      <c r="QO55" s="528"/>
      <c r="QP55" s="143"/>
      <c r="QQ55" s="174"/>
      <c r="QR55" s="663" t="s">
        <v>84</v>
      </c>
      <c r="QS55" s="175"/>
      <c r="QT55" s="139"/>
      <c r="QU55" s="674">
        <f t="shared" si="178"/>
        <v>0</v>
      </c>
      <c r="QV55" s="154"/>
      <c r="QW55" s="528"/>
      <c r="QX55" s="143"/>
      <c r="QY55" s="174"/>
      <c r="QZ55" s="663" t="s">
        <v>84</v>
      </c>
      <c r="RA55" s="175"/>
      <c r="RB55" s="139"/>
      <c r="RC55" s="674">
        <f t="shared" si="179"/>
        <v>0</v>
      </c>
      <c r="RD55" s="154"/>
      <c r="RE55" s="528"/>
      <c r="RF55" s="143"/>
      <c r="RG55" s="174"/>
      <c r="RH55" s="663" t="s">
        <v>84</v>
      </c>
      <c r="RI55" s="175"/>
      <c r="RJ55" s="139"/>
      <c r="RK55" s="674">
        <f t="shared" si="180"/>
        <v>0</v>
      </c>
      <c r="RL55" s="154"/>
      <c r="RM55" s="528"/>
      <c r="RN55" s="143"/>
      <c r="RO55" s="174"/>
      <c r="RP55" s="663" t="s">
        <v>84</v>
      </c>
      <c r="RQ55" s="175"/>
      <c r="RR55" s="139"/>
      <c r="RS55" s="674">
        <f t="shared" si="181"/>
        <v>0</v>
      </c>
      <c r="RT55" s="154"/>
      <c r="RU55" s="528"/>
      <c r="RV55" s="143"/>
      <c r="RW55" s="174"/>
      <c r="RX55" s="663" t="s">
        <v>84</v>
      </c>
      <c r="RY55" s="175"/>
      <c r="RZ55" s="139"/>
      <c r="SA55" s="674">
        <f t="shared" si="182"/>
        <v>0</v>
      </c>
      <c r="SB55" s="154"/>
      <c r="SC55" s="528"/>
      <c r="SD55" s="143"/>
      <c r="SE55" s="174"/>
      <c r="SF55" s="663" t="s">
        <v>84</v>
      </c>
      <c r="SG55" s="175"/>
      <c r="SH55" s="139"/>
      <c r="SI55" s="674">
        <f t="shared" si="183"/>
        <v>0</v>
      </c>
      <c r="SJ55" s="154"/>
      <c r="SK55" s="528"/>
      <c r="SL55" s="143"/>
      <c r="SM55" s="174"/>
      <c r="SN55" s="663" t="s">
        <v>84</v>
      </c>
      <c r="SO55" s="175"/>
      <c r="SP55" s="139"/>
      <c r="SQ55" s="674">
        <f t="shared" si="184"/>
        <v>0</v>
      </c>
      <c r="SR55" s="154"/>
      <c r="SS55" s="528"/>
      <c r="ST55" s="143"/>
      <c r="SU55" s="174"/>
      <c r="SV55" s="663" t="s">
        <v>84</v>
      </c>
      <c r="SW55" s="175"/>
      <c r="SX55" s="139"/>
      <c r="SY55" s="674">
        <f t="shared" si="185"/>
        <v>0</v>
      </c>
      <c r="SZ55" s="154"/>
      <c r="TA55" s="528"/>
      <c r="TB55" s="143"/>
      <c r="TC55" s="174"/>
      <c r="TD55" s="663" t="s">
        <v>84</v>
      </c>
      <c r="TE55" s="175"/>
      <c r="TF55" s="139"/>
      <c r="TG55" s="674">
        <f t="shared" si="186"/>
        <v>0</v>
      </c>
      <c r="TH55" s="154"/>
      <c r="TI55" s="528"/>
    </row>
    <row r="56" spans="2:529">
      <c r="B56" s="143" t="s">
        <v>97</v>
      </c>
      <c r="C56" s="144">
        <v>15</v>
      </c>
      <c r="D56" s="157" t="s">
        <v>36</v>
      </c>
      <c r="E56" s="138">
        <v>324</v>
      </c>
      <c r="F56" s="164">
        <v>4.8559259259259262</v>
      </c>
      <c r="G56" s="140">
        <f t="shared" si="133"/>
        <v>1573.3200000000002</v>
      </c>
      <c r="H56" s="149"/>
      <c r="I56" s="528"/>
      <c r="J56" s="143" t="s">
        <v>97</v>
      </c>
      <c r="K56" s="144">
        <v>11</v>
      </c>
      <c r="L56" s="157" t="s">
        <v>36</v>
      </c>
      <c r="M56" s="138">
        <v>97</v>
      </c>
      <c r="N56" s="164">
        <v>4.8559259259259262</v>
      </c>
      <c r="O56" s="140">
        <f t="shared" si="134"/>
        <v>471.02481481481482</v>
      </c>
      <c r="P56" s="149"/>
      <c r="Q56" s="528"/>
      <c r="R56" s="143" t="s">
        <v>97</v>
      </c>
      <c r="S56" s="144">
        <v>10</v>
      </c>
      <c r="T56" s="157" t="s">
        <v>36</v>
      </c>
      <c r="U56" s="138">
        <v>358</v>
      </c>
      <c r="V56" s="164">
        <v>4.8559259259259262</v>
      </c>
      <c r="W56" s="140">
        <f t="shared" si="135"/>
        <v>1738.4214814814816</v>
      </c>
      <c r="X56" s="149"/>
      <c r="Y56" s="528"/>
      <c r="Z56" s="143" t="s">
        <v>97</v>
      </c>
      <c r="AA56" s="144">
        <v>19</v>
      </c>
      <c r="AB56" s="157" t="s">
        <v>36</v>
      </c>
      <c r="AC56" s="138">
        <v>195</v>
      </c>
      <c r="AD56" s="164">
        <v>4.8559259259259262</v>
      </c>
      <c r="AE56" s="140">
        <f t="shared" si="136"/>
        <v>946.90555555555557</v>
      </c>
      <c r="AF56" s="149"/>
      <c r="AG56" s="528"/>
      <c r="AH56" s="143" t="s">
        <v>97</v>
      </c>
      <c r="AI56" s="144">
        <v>10</v>
      </c>
      <c r="AJ56" s="157" t="s">
        <v>36</v>
      </c>
      <c r="AK56" s="138">
        <v>329</v>
      </c>
      <c r="AL56" s="164">
        <v>4.8559259259259262</v>
      </c>
      <c r="AM56" s="140">
        <f t="shared" si="137"/>
        <v>1597.5996296296298</v>
      </c>
      <c r="AN56" s="149"/>
      <c r="AO56" s="528"/>
      <c r="AP56" s="143" t="s">
        <v>97</v>
      </c>
      <c r="AQ56" s="144"/>
      <c r="AR56" s="157" t="s">
        <v>36</v>
      </c>
      <c r="AS56" s="138"/>
      <c r="AT56" s="164">
        <v>4.8559259259259262</v>
      </c>
      <c r="AU56" s="140">
        <f t="shared" si="138"/>
        <v>0</v>
      </c>
      <c r="AV56" s="149"/>
      <c r="AW56" s="528"/>
      <c r="AX56" s="143" t="s">
        <v>97</v>
      </c>
      <c r="AY56" s="144">
        <v>13</v>
      </c>
      <c r="AZ56" s="157" t="s">
        <v>36</v>
      </c>
      <c r="BA56" s="138">
        <v>141</v>
      </c>
      <c r="BB56" s="164">
        <v>4.8559259259259262</v>
      </c>
      <c r="BC56" s="140">
        <f t="shared" si="139"/>
        <v>684.68555555555554</v>
      </c>
      <c r="BD56" s="149"/>
      <c r="BE56" s="528"/>
      <c r="BF56" s="143" t="s">
        <v>97</v>
      </c>
      <c r="BG56" s="144">
        <v>12</v>
      </c>
      <c r="BH56" s="157" t="s">
        <v>36</v>
      </c>
      <c r="BI56" s="138">
        <v>208</v>
      </c>
      <c r="BJ56" s="164">
        <v>4.8559259259259262</v>
      </c>
      <c r="BK56" s="140">
        <f t="shared" si="140"/>
        <v>1010.0325925925927</v>
      </c>
      <c r="BL56" s="149"/>
      <c r="BM56" s="528"/>
      <c r="BN56" s="143" t="s">
        <v>97</v>
      </c>
      <c r="BO56" s="144">
        <v>2</v>
      </c>
      <c r="BP56" s="157" t="s">
        <v>36</v>
      </c>
      <c r="BQ56" s="138">
        <v>8</v>
      </c>
      <c r="BR56" s="164">
        <v>4.8559259259259262</v>
      </c>
      <c r="BS56" s="140">
        <f t="shared" si="141"/>
        <v>38.84740740740741</v>
      </c>
      <c r="BT56" s="149"/>
      <c r="BU56" s="528"/>
      <c r="BV56" s="564" t="s">
        <v>97</v>
      </c>
      <c r="BW56" s="565"/>
      <c r="BX56" s="574" t="s">
        <v>36</v>
      </c>
      <c r="BY56" s="560"/>
      <c r="BZ56" s="580">
        <v>4.8559259259259262</v>
      </c>
      <c r="CA56" s="562">
        <f t="shared" si="142"/>
        <v>0</v>
      </c>
      <c r="CB56" s="568"/>
      <c r="CC56" s="528"/>
      <c r="CD56" s="564" t="s">
        <v>97</v>
      </c>
      <c r="CE56" s="565"/>
      <c r="CF56" s="574" t="s">
        <v>36</v>
      </c>
      <c r="CG56" s="560"/>
      <c r="CH56" s="580">
        <v>4.8559259259259262</v>
      </c>
      <c r="CI56" s="562">
        <f t="shared" si="143"/>
        <v>0</v>
      </c>
      <c r="CJ56" s="568"/>
      <c r="CK56" s="528"/>
      <c r="CL56" s="143" t="s">
        <v>97</v>
      </c>
      <c r="CM56" s="144">
        <v>16</v>
      </c>
      <c r="CN56" s="157" t="s">
        <v>36</v>
      </c>
      <c r="CO56" s="138">
        <v>273</v>
      </c>
      <c r="CP56" s="164">
        <v>4.8559259259259262</v>
      </c>
      <c r="CQ56" s="140">
        <f t="shared" si="144"/>
        <v>1325.6677777777779</v>
      </c>
      <c r="CR56" s="149"/>
      <c r="CS56" s="528"/>
      <c r="CT56" s="143" t="s">
        <v>97</v>
      </c>
      <c r="CU56" s="144">
        <v>12</v>
      </c>
      <c r="CV56" s="157" t="s">
        <v>36</v>
      </c>
      <c r="CW56" s="138">
        <v>208</v>
      </c>
      <c r="CX56" s="164">
        <v>4.8559259259259262</v>
      </c>
      <c r="CY56" s="140">
        <f t="shared" si="12"/>
        <v>1010.0325925925927</v>
      </c>
      <c r="CZ56" s="149"/>
      <c r="DA56" s="528"/>
      <c r="DB56" s="143" t="s">
        <v>97</v>
      </c>
      <c r="DC56" s="144">
        <v>14</v>
      </c>
      <c r="DD56" s="157" t="s">
        <v>36</v>
      </c>
      <c r="DE56" s="138">
        <v>194</v>
      </c>
      <c r="DF56" s="164">
        <v>4.8559259259259262</v>
      </c>
      <c r="DG56" s="140">
        <f t="shared" si="13"/>
        <v>942.04962962962964</v>
      </c>
      <c r="DH56" s="149"/>
      <c r="DI56" s="528"/>
      <c r="DJ56" s="143" t="s">
        <v>97</v>
      </c>
      <c r="DK56" s="144"/>
      <c r="DL56" s="157" t="s">
        <v>36</v>
      </c>
      <c r="DM56" s="138">
        <v>0</v>
      </c>
      <c r="DN56" s="172">
        <v>4.8559259259259262</v>
      </c>
      <c r="DO56" s="140">
        <f t="shared" si="14"/>
        <v>0</v>
      </c>
      <c r="DP56" s="149"/>
      <c r="DQ56" s="528"/>
      <c r="DR56" s="143" t="s">
        <v>97</v>
      </c>
      <c r="DS56" s="144"/>
      <c r="DT56" s="157" t="s">
        <v>36</v>
      </c>
      <c r="DU56" s="138"/>
      <c r="DV56" s="172">
        <v>4.8559259259259262</v>
      </c>
      <c r="DW56" s="140">
        <f t="shared" si="15"/>
        <v>0</v>
      </c>
      <c r="DX56" s="149"/>
      <c r="DY56" s="528"/>
      <c r="DZ56" s="143" t="s">
        <v>97</v>
      </c>
      <c r="EA56" s="144">
        <v>58</v>
      </c>
      <c r="EB56" s="157" t="s">
        <v>36</v>
      </c>
      <c r="EC56" s="138">
        <v>579</v>
      </c>
      <c r="ED56" s="172">
        <v>4.8559259259259262</v>
      </c>
      <c r="EE56" s="140">
        <f t="shared" si="16"/>
        <v>2811.5811111111111</v>
      </c>
      <c r="EF56" s="149"/>
      <c r="EG56" s="528"/>
      <c r="EH56" s="143" t="s">
        <v>97</v>
      </c>
      <c r="EI56" s="144">
        <v>64</v>
      </c>
      <c r="EJ56" s="157" t="s">
        <v>36</v>
      </c>
      <c r="EK56" s="138">
        <v>762</v>
      </c>
      <c r="EL56" s="172">
        <v>4.8559259259259262</v>
      </c>
      <c r="EM56" s="140">
        <f t="shared" si="17"/>
        <v>3700.215555555556</v>
      </c>
      <c r="EN56" s="149"/>
      <c r="EO56" s="528"/>
      <c r="EP56" s="143" t="s">
        <v>97</v>
      </c>
      <c r="EQ56" s="144">
        <v>25</v>
      </c>
      <c r="ER56" s="157" t="s">
        <v>36</v>
      </c>
      <c r="ES56" s="138">
        <v>315</v>
      </c>
      <c r="ET56" s="172">
        <v>4.8559259259259262</v>
      </c>
      <c r="EU56" s="140">
        <f t="shared" si="18"/>
        <v>1529.6166666666668</v>
      </c>
      <c r="EV56" s="149"/>
      <c r="EW56" s="528"/>
      <c r="EX56" s="143" t="s">
        <v>97</v>
      </c>
      <c r="EY56" s="144"/>
      <c r="EZ56" s="157" t="s">
        <v>36</v>
      </c>
      <c r="FA56" s="138"/>
      <c r="FB56" s="172">
        <v>4.8559259259259262</v>
      </c>
      <c r="FC56" s="140">
        <f t="shared" si="19"/>
        <v>0</v>
      </c>
      <c r="FD56" s="149"/>
      <c r="FE56" s="528"/>
      <c r="FF56" s="143" t="s">
        <v>97</v>
      </c>
      <c r="FG56" s="144"/>
      <c r="FH56" s="157" t="s">
        <v>36</v>
      </c>
      <c r="FI56" s="138"/>
      <c r="FJ56" s="172">
        <v>4.8559259259259262</v>
      </c>
      <c r="FK56" s="140">
        <f t="shared" si="20"/>
        <v>0</v>
      </c>
      <c r="FL56" s="149"/>
      <c r="FM56" s="528"/>
      <c r="FN56" s="143" t="s">
        <v>97</v>
      </c>
      <c r="FO56" s="144"/>
      <c r="FP56" s="157" t="s">
        <v>36</v>
      </c>
      <c r="FQ56" s="138"/>
      <c r="FR56" s="172">
        <v>4.8559259259259262</v>
      </c>
      <c r="FS56" s="140">
        <f t="shared" si="21"/>
        <v>0</v>
      </c>
      <c r="FT56" s="149"/>
      <c r="FU56" s="528"/>
      <c r="FV56" s="143" t="s">
        <v>97</v>
      </c>
      <c r="FW56" s="144"/>
      <c r="FX56" s="157" t="s">
        <v>36</v>
      </c>
      <c r="FY56" s="138"/>
      <c r="FZ56" s="172">
        <v>4.8559259259259262</v>
      </c>
      <c r="GA56" s="140">
        <f t="shared" si="22"/>
        <v>0</v>
      </c>
      <c r="GB56" s="149"/>
      <c r="GC56" s="528"/>
      <c r="GD56" s="143" t="s">
        <v>97</v>
      </c>
      <c r="GE56" s="144"/>
      <c r="GF56" s="157" t="s">
        <v>36</v>
      </c>
      <c r="GG56" s="138"/>
      <c r="GH56" s="172">
        <v>4.8559259259259262</v>
      </c>
      <c r="GI56" s="140">
        <f t="shared" si="23"/>
        <v>0</v>
      </c>
      <c r="GJ56" s="149"/>
      <c r="GK56" s="528"/>
      <c r="GL56" s="143" t="s">
        <v>97</v>
      </c>
      <c r="GM56" s="144">
        <v>12</v>
      </c>
      <c r="GN56" s="157" t="s">
        <v>36</v>
      </c>
      <c r="GO56" s="175">
        <v>196</v>
      </c>
      <c r="GP56" s="164">
        <v>4.8559259259259262</v>
      </c>
      <c r="GQ56" s="140">
        <f t="shared" si="145"/>
        <v>951.7614814814815</v>
      </c>
      <c r="GR56" s="149"/>
      <c r="GS56" s="528"/>
      <c r="GT56" s="143" t="s">
        <v>97</v>
      </c>
      <c r="GU56" s="144">
        <v>16</v>
      </c>
      <c r="GV56" s="157" t="s">
        <v>36</v>
      </c>
      <c r="GW56" s="175">
        <v>238</v>
      </c>
      <c r="GX56" s="164">
        <v>4.8559259259259262</v>
      </c>
      <c r="GY56" s="140">
        <f t="shared" si="146"/>
        <v>1155.7103703703704</v>
      </c>
      <c r="GZ56" s="149"/>
      <c r="HA56" s="528"/>
      <c r="HB56" s="143" t="s">
        <v>97</v>
      </c>
      <c r="HC56" s="144">
        <v>10</v>
      </c>
      <c r="HD56" s="157" t="s">
        <v>36</v>
      </c>
      <c r="HE56" s="175">
        <v>358</v>
      </c>
      <c r="HF56" s="164">
        <v>4.8559259259259262</v>
      </c>
      <c r="HG56" s="140">
        <f t="shared" si="147"/>
        <v>1738.4214814814816</v>
      </c>
      <c r="HH56" s="149"/>
      <c r="HI56" s="528"/>
      <c r="HJ56" s="143" t="s">
        <v>97</v>
      </c>
      <c r="HK56" s="144">
        <v>37</v>
      </c>
      <c r="HL56" s="157" t="s">
        <v>36</v>
      </c>
      <c r="HM56" s="175">
        <v>370</v>
      </c>
      <c r="HN56" s="164">
        <v>4.8559259259259262</v>
      </c>
      <c r="HO56" s="140">
        <f t="shared" si="148"/>
        <v>1796.6925925925927</v>
      </c>
      <c r="HP56" s="149"/>
      <c r="HQ56" s="528"/>
      <c r="HR56" s="143" t="s">
        <v>97</v>
      </c>
      <c r="HS56" s="144">
        <v>25</v>
      </c>
      <c r="HT56" s="157" t="s">
        <v>36</v>
      </c>
      <c r="HU56" s="175">
        <v>268</v>
      </c>
      <c r="HV56" s="164">
        <v>4.8559259259259262</v>
      </c>
      <c r="HW56" s="140">
        <f t="shared" si="149"/>
        <v>1301.3881481481483</v>
      </c>
      <c r="HX56" s="149"/>
      <c r="HY56" s="528"/>
      <c r="HZ56" s="143" t="s">
        <v>97</v>
      </c>
      <c r="IA56" s="144">
        <v>24</v>
      </c>
      <c r="IB56" s="157" t="s">
        <v>36</v>
      </c>
      <c r="IC56" s="175">
        <v>294</v>
      </c>
      <c r="ID56" s="164">
        <v>4.8559259259259262</v>
      </c>
      <c r="IE56" s="140">
        <f t="shared" si="150"/>
        <v>1427.6422222222222</v>
      </c>
      <c r="IF56" s="149"/>
      <c r="IG56" s="528"/>
      <c r="IH56" s="143" t="s">
        <v>97</v>
      </c>
      <c r="II56" s="144">
        <v>32</v>
      </c>
      <c r="IJ56" s="157" t="s">
        <v>36</v>
      </c>
      <c r="IK56" s="175">
        <v>373</v>
      </c>
      <c r="IL56" s="164">
        <v>4.8559259259259262</v>
      </c>
      <c r="IM56" s="140">
        <f t="shared" si="151"/>
        <v>1811.2603703703705</v>
      </c>
      <c r="IN56" s="149"/>
      <c r="IO56" s="528"/>
      <c r="IP56" s="143" t="s">
        <v>97</v>
      </c>
      <c r="IQ56" s="144">
        <v>38</v>
      </c>
      <c r="IR56" s="157" t="s">
        <v>36</v>
      </c>
      <c r="IS56" s="175">
        <v>452</v>
      </c>
      <c r="IT56" s="164">
        <v>4.8559259259259262</v>
      </c>
      <c r="IU56" s="140">
        <f t="shared" si="152"/>
        <v>2194.8785185185188</v>
      </c>
      <c r="IV56" s="149"/>
      <c r="IW56" s="528"/>
      <c r="IX56" s="143" t="s">
        <v>97</v>
      </c>
      <c r="IY56" s="144">
        <v>16</v>
      </c>
      <c r="IZ56" s="157" t="s">
        <v>36</v>
      </c>
      <c r="JA56" s="175">
        <v>198</v>
      </c>
      <c r="JB56" s="164">
        <v>4.8559259259259262</v>
      </c>
      <c r="JC56" s="140">
        <f t="shared" si="153"/>
        <v>961.47333333333336</v>
      </c>
      <c r="JD56" s="149"/>
      <c r="JE56" s="528"/>
      <c r="JF56" s="143" t="s">
        <v>97</v>
      </c>
      <c r="JG56" s="144">
        <v>12</v>
      </c>
      <c r="JH56" s="157" t="s">
        <v>36</v>
      </c>
      <c r="JI56" s="175">
        <v>348</v>
      </c>
      <c r="JJ56" s="164">
        <v>4.8559259259259262</v>
      </c>
      <c r="JK56" s="140">
        <f t="shared" si="154"/>
        <v>1689.8622222222223</v>
      </c>
      <c r="JL56" s="149"/>
      <c r="JM56" s="528"/>
      <c r="JN56" s="143" t="s">
        <v>97</v>
      </c>
      <c r="JO56" s="144">
        <v>6</v>
      </c>
      <c r="JP56" s="157" t="s">
        <v>36</v>
      </c>
      <c r="JQ56" s="175">
        <v>120</v>
      </c>
      <c r="JR56" s="164">
        <v>4.8559259259259262</v>
      </c>
      <c r="JS56" s="140">
        <f t="shared" si="155"/>
        <v>582.71111111111111</v>
      </c>
      <c r="JT56" s="149"/>
      <c r="JU56" s="528"/>
      <c r="JV56" s="143" t="s">
        <v>97</v>
      </c>
      <c r="JW56" s="144">
        <v>44</v>
      </c>
      <c r="JX56" s="157" t="s">
        <v>36</v>
      </c>
      <c r="JY56" s="175">
        <v>673</v>
      </c>
      <c r="JZ56" s="164">
        <v>4.8559259259259262</v>
      </c>
      <c r="KA56" s="140">
        <f t="shared" si="156"/>
        <v>3268.0381481481481</v>
      </c>
      <c r="KB56" s="149"/>
      <c r="KC56" s="528"/>
      <c r="KD56" s="143" t="s">
        <v>97</v>
      </c>
      <c r="KE56" s="144">
        <v>9</v>
      </c>
      <c r="KF56" s="157" t="s">
        <v>36</v>
      </c>
      <c r="KG56" s="175">
        <v>223</v>
      </c>
      <c r="KH56" s="164">
        <v>4.8559259259259262</v>
      </c>
      <c r="KI56" s="140">
        <f t="shared" si="157"/>
        <v>1082.8714814814816</v>
      </c>
      <c r="KJ56" s="149"/>
      <c r="KK56" s="528"/>
      <c r="KL56" s="143" t="s">
        <v>97</v>
      </c>
      <c r="KM56" s="144">
        <v>11</v>
      </c>
      <c r="KN56" s="157" t="s">
        <v>36</v>
      </c>
      <c r="KO56" s="175">
        <v>157</v>
      </c>
      <c r="KP56" s="164">
        <v>4.8559259259259262</v>
      </c>
      <c r="KQ56" s="140">
        <f t="shared" si="158"/>
        <v>762.38037037037043</v>
      </c>
      <c r="KR56" s="149"/>
      <c r="KS56" s="528"/>
      <c r="KT56" s="143" t="s">
        <v>97</v>
      </c>
      <c r="KU56" s="144">
        <v>25</v>
      </c>
      <c r="KV56" s="157" t="s">
        <v>36</v>
      </c>
      <c r="KW56" s="175">
        <v>322</v>
      </c>
      <c r="KX56" s="164">
        <v>4.8559259259259262</v>
      </c>
      <c r="KY56" s="140">
        <f t="shared" si="159"/>
        <v>1563.6081481481483</v>
      </c>
      <c r="KZ56" s="149"/>
      <c r="LA56" s="528"/>
      <c r="LB56" s="143" t="s">
        <v>97</v>
      </c>
      <c r="LC56" s="144">
        <v>14</v>
      </c>
      <c r="LD56" s="157" t="s">
        <v>36</v>
      </c>
      <c r="LE56" s="175">
        <v>361</v>
      </c>
      <c r="LF56" s="164">
        <v>4.8559259259259262</v>
      </c>
      <c r="LG56" s="140">
        <f t="shared" si="160"/>
        <v>1752.9892592592594</v>
      </c>
      <c r="LH56" s="149"/>
      <c r="LI56" s="528"/>
      <c r="LJ56" s="143" t="s">
        <v>97</v>
      </c>
      <c r="LK56" s="144">
        <v>37</v>
      </c>
      <c r="LL56" s="157" t="s">
        <v>36</v>
      </c>
      <c r="LM56" s="175">
        <v>355</v>
      </c>
      <c r="LN56" s="164">
        <v>4.8559259259259262</v>
      </c>
      <c r="LO56" s="140">
        <f t="shared" si="161"/>
        <v>1723.8537037037038</v>
      </c>
      <c r="LP56" s="149"/>
      <c r="LQ56" s="528"/>
      <c r="LR56" s="143" t="s">
        <v>97</v>
      </c>
      <c r="LS56" s="144">
        <v>35</v>
      </c>
      <c r="LT56" s="157" t="s">
        <v>36</v>
      </c>
      <c r="LU56" s="175">
        <v>354</v>
      </c>
      <c r="LV56" s="164">
        <v>4.8559259259259262</v>
      </c>
      <c r="LW56" s="140">
        <f t="shared" si="162"/>
        <v>1718.9977777777779</v>
      </c>
      <c r="LX56" s="149"/>
      <c r="LY56" s="528"/>
      <c r="LZ56" s="143" t="s">
        <v>97</v>
      </c>
      <c r="MA56" s="144">
        <v>36</v>
      </c>
      <c r="MB56" s="157" t="s">
        <v>36</v>
      </c>
      <c r="MC56" s="175">
        <v>725</v>
      </c>
      <c r="MD56" s="164">
        <v>4.8559259259259262</v>
      </c>
      <c r="ME56" s="140">
        <f t="shared" si="163"/>
        <v>3520.5462962962965</v>
      </c>
      <c r="MF56" s="149"/>
      <c r="MG56" s="528"/>
      <c r="MH56" s="143" t="s">
        <v>97</v>
      </c>
      <c r="MI56" s="144">
        <v>37</v>
      </c>
      <c r="MJ56" s="157" t="s">
        <v>36</v>
      </c>
      <c r="MK56" s="175">
        <v>512</v>
      </c>
      <c r="ML56" s="164">
        <v>4.8559259259259262</v>
      </c>
      <c r="MM56" s="140">
        <f t="shared" si="164"/>
        <v>2486.2340740740742</v>
      </c>
      <c r="MN56" s="149"/>
      <c r="MO56" s="528"/>
      <c r="MP56" s="143" t="s">
        <v>97</v>
      </c>
      <c r="MQ56" s="144">
        <v>29</v>
      </c>
      <c r="MR56" s="157" t="s">
        <v>36</v>
      </c>
      <c r="MS56" s="175">
        <v>258</v>
      </c>
      <c r="MT56" s="164">
        <v>4.8559259259259262</v>
      </c>
      <c r="MU56" s="140">
        <f t="shared" si="165"/>
        <v>1252.828888888889</v>
      </c>
      <c r="MV56" s="149"/>
      <c r="MW56" s="528"/>
      <c r="MX56" s="145"/>
      <c r="MY56" s="174"/>
      <c r="MZ56" s="157" t="s">
        <v>85</v>
      </c>
      <c r="NA56" s="175"/>
      <c r="NB56" s="164"/>
      <c r="NC56" s="140">
        <f t="shared" si="166"/>
        <v>0</v>
      </c>
      <c r="ND56" s="159">
        <f>SUM(NC52:NC56)</f>
        <v>188.54582278481013</v>
      </c>
      <c r="NE56" s="528"/>
      <c r="NF56" s="145"/>
      <c r="NG56" s="174"/>
      <c r="NH56" s="157" t="s">
        <v>85</v>
      </c>
      <c r="NI56" s="175"/>
      <c r="NJ56" s="164"/>
      <c r="NK56" s="140">
        <f t="shared" si="167"/>
        <v>0</v>
      </c>
      <c r="NL56" s="159">
        <f>SUM(NK52:NK56)</f>
        <v>514.05417721518984</v>
      </c>
      <c r="NM56" s="528"/>
      <c r="NN56" s="145"/>
      <c r="NO56" s="174"/>
      <c r="NP56" s="157" t="s">
        <v>85</v>
      </c>
      <c r="NQ56" s="175">
        <v>6</v>
      </c>
      <c r="NR56" s="164"/>
      <c r="NS56" s="140">
        <f t="shared" si="168"/>
        <v>0</v>
      </c>
      <c r="NT56" s="159">
        <f>SUM(NS52:NS56)</f>
        <v>297.64151898734178</v>
      </c>
      <c r="NU56" s="528"/>
      <c r="NV56" s="145"/>
      <c r="NW56" s="174"/>
      <c r="NX56" s="157" t="s">
        <v>85</v>
      </c>
      <c r="NY56" s="175"/>
      <c r="NZ56" s="164"/>
      <c r="OA56" s="140">
        <f t="shared" si="169"/>
        <v>0</v>
      </c>
      <c r="OB56" s="159">
        <f>SUM(OA52:OA56)</f>
        <v>112.65316455696203</v>
      </c>
      <c r="OC56" s="528"/>
      <c r="OD56" s="145"/>
      <c r="OE56" s="174"/>
      <c r="OF56" s="157" t="s">
        <v>85</v>
      </c>
      <c r="OG56" s="175"/>
      <c r="OH56" s="164"/>
      <c r="OI56" s="140">
        <f t="shared" si="170"/>
        <v>0</v>
      </c>
      <c r="OJ56" s="159">
        <f>SUM(OI52:OI56)</f>
        <v>186.17417721518987</v>
      </c>
      <c r="OK56" s="528"/>
      <c r="OL56" s="145"/>
      <c r="OM56" s="174"/>
      <c r="ON56" s="157" t="s">
        <v>85</v>
      </c>
      <c r="OO56" s="175"/>
      <c r="OP56" s="164"/>
      <c r="OQ56" s="140">
        <f t="shared" si="171"/>
        <v>0</v>
      </c>
      <c r="OR56" s="159">
        <f>SUM(OQ52:OQ56)</f>
        <v>237.16455696202533</v>
      </c>
      <c r="OS56" s="528"/>
      <c r="OT56" s="145"/>
      <c r="OU56" s="174"/>
      <c r="OV56" s="157" t="s">
        <v>85</v>
      </c>
      <c r="OW56" s="175"/>
      <c r="OX56" s="164"/>
      <c r="OY56" s="140">
        <f t="shared" si="172"/>
        <v>0</v>
      </c>
      <c r="OZ56" s="159">
        <f>SUM(OY52:OY56)</f>
        <v>0</v>
      </c>
      <c r="PA56" s="528"/>
      <c r="PB56" s="145"/>
      <c r="PC56" s="174"/>
      <c r="PD56" s="157" t="s">
        <v>85</v>
      </c>
      <c r="PE56" s="175"/>
      <c r="PF56" s="164"/>
      <c r="PG56" s="140">
        <f t="shared" si="173"/>
        <v>0</v>
      </c>
      <c r="PH56" s="159">
        <f>SUM(PG52:PG56)</f>
        <v>0</v>
      </c>
      <c r="PI56" s="528"/>
      <c r="PJ56" s="145"/>
      <c r="PK56" s="174"/>
      <c r="PL56" s="157" t="s">
        <v>85</v>
      </c>
      <c r="PM56" s="175"/>
      <c r="PN56" s="164"/>
      <c r="PO56" s="140">
        <f t="shared" si="174"/>
        <v>0</v>
      </c>
      <c r="PP56" s="159">
        <f>SUM(PO52:PO56)</f>
        <v>225.30632911392405</v>
      </c>
      <c r="PQ56" s="528"/>
      <c r="PR56" s="145"/>
      <c r="PS56" s="174"/>
      <c r="PT56" s="157" t="s">
        <v>85</v>
      </c>
      <c r="PU56" s="175"/>
      <c r="PV56" s="164"/>
      <c r="PW56" s="140">
        <f t="shared" si="175"/>
        <v>0</v>
      </c>
      <c r="PX56" s="159">
        <f>SUM(PW52:PW56)</f>
        <v>533.02734177215189</v>
      </c>
      <c r="PY56" s="528"/>
      <c r="PZ56" s="145"/>
      <c r="QA56" s="174"/>
      <c r="QB56" s="157" t="s">
        <v>85</v>
      </c>
      <c r="QC56" s="175"/>
      <c r="QD56" s="164"/>
      <c r="QE56" s="140">
        <f t="shared" si="176"/>
        <v>0</v>
      </c>
      <c r="QF56" s="159">
        <f>SUM(QE52:QE56)</f>
        <v>978.89670886075953</v>
      </c>
      <c r="QG56" s="528"/>
      <c r="QH56" s="145"/>
      <c r="QI56" s="174"/>
      <c r="QJ56" s="157" t="s">
        <v>85</v>
      </c>
      <c r="QK56" s="175"/>
      <c r="QL56" s="164"/>
      <c r="QM56" s="140">
        <f t="shared" si="177"/>
        <v>0</v>
      </c>
      <c r="QN56" s="159">
        <f>SUM(QM52:QM56)</f>
        <v>373.53417721518986</v>
      </c>
      <c r="QO56" s="528"/>
      <c r="QP56" s="145"/>
      <c r="QQ56" s="174"/>
      <c r="QR56" s="157" t="s">
        <v>85</v>
      </c>
      <c r="QS56" s="175"/>
      <c r="QT56" s="164"/>
      <c r="QU56" s="140">
        <f t="shared" si="178"/>
        <v>0</v>
      </c>
      <c r="QV56" s="159">
        <f>SUM(QU52:QU56)</f>
        <v>882.25215189873416</v>
      </c>
      <c r="QW56" s="528"/>
      <c r="QX56" s="145"/>
      <c r="QY56" s="174"/>
      <c r="QZ56" s="157" t="s">
        <v>85</v>
      </c>
      <c r="RA56" s="175"/>
      <c r="RB56" s="164"/>
      <c r="RC56" s="140">
        <f t="shared" si="179"/>
        <v>0</v>
      </c>
      <c r="RD56" s="159">
        <f>SUM(RC52:RC56)</f>
        <v>0</v>
      </c>
      <c r="RE56" s="528"/>
      <c r="RF56" s="145"/>
      <c r="RG56" s="174"/>
      <c r="RH56" s="157" t="s">
        <v>85</v>
      </c>
      <c r="RI56" s="175"/>
      <c r="RJ56" s="164"/>
      <c r="RK56" s="140">
        <f t="shared" si="180"/>
        <v>0</v>
      </c>
      <c r="RL56" s="159">
        <f>SUM(RK52:RK56)</f>
        <v>0</v>
      </c>
      <c r="RM56" s="528"/>
      <c r="RN56" s="145"/>
      <c r="RO56" s="174"/>
      <c r="RP56" s="157" t="s">
        <v>85</v>
      </c>
      <c r="RQ56" s="175"/>
      <c r="RR56" s="164"/>
      <c r="RS56" s="140">
        <f t="shared" si="181"/>
        <v>0</v>
      </c>
      <c r="RT56" s="159">
        <f>SUM(RS52:RS56)</f>
        <v>126.29012658227849</v>
      </c>
      <c r="RU56" s="528"/>
      <c r="RV56" s="145"/>
      <c r="RW56" s="174"/>
      <c r="RX56" s="157" t="s">
        <v>85</v>
      </c>
      <c r="RY56" s="175"/>
      <c r="RZ56" s="164"/>
      <c r="SA56" s="140">
        <f t="shared" si="182"/>
        <v>0</v>
      </c>
      <c r="SB56" s="159">
        <f>SUM(SA52:SA56)</f>
        <v>328.47291139240508</v>
      </c>
      <c r="SC56" s="528"/>
      <c r="SD56" s="145"/>
      <c r="SE56" s="174"/>
      <c r="SF56" s="157" t="s">
        <v>85</v>
      </c>
      <c r="SG56" s="175"/>
      <c r="SH56" s="164"/>
      <c r="SI56" s="140">
        <f t="shared" si="183"/>
        <v>0</v>
      </c>
      <c r="SJ56" s="159">
        <f>SUM(SI52:SI56)</f>
        <v>17.194430379746837</v>
      </c>
      <c r="SK56" s="528"/>
      <c r="SL56" s="145"/>
      <c r="SM56" s="174"/>
      <c r="SN56" s="157" t="s">
        <v>85</v>
      </c>
      <c r="SO56" s="175"/>
      <c r="SP56" s="164"/>
      <c r="SQ56" s="140">
        <f t="shared" si="184"/>
        <v>0</v>
      </c>
      <c r="SR56" s="159">
        <f>SUM(SQ52:SQ56)</f>
        <v>164.8293670886076</v>
      </c>
      <c r="SS56" s="528"/>
      <c r="ST56" s="145"/>
      <c r="SU56" s="174"/>
      <c r="SV56" s="157" t="s">
        <v>85</v>
      </c>
      <c r="SW56" s="175"/>
      <c r="SX56" s="164"/>
      <c r="SY56" s="140">
        <f t="shared" si="185"/>
        <v>0</v>
      </c>
      <c r="SZ56" s="159">
        <f>SUM(SY52:SY56)</f>
        <v>362.86177215189872</v>
      </c>
      <c r="TA56" s="528"/>
      <c r="TB56" s="145"/>
      <c r="TC56" s="174"/>
      <c r="TD56" s="157" t="s">
        <v>85</v>
      </c>
      <c r="TE56" s="175"/>
      <c r="TF56" s="164"/>
      <c r="TG56" s="140">
        <f t="shared" si="186"/>
        <v>0</v>
      </c>
      <c r="TH56" s="159">
        <f>SUM(TG52:TG56)</f>
        <v>1916.2896202531647</v>
      </c>
      <c r="TI56" s="528"/>
    </row>
    <row r="57" spans="2:529">
      <c r="B57" s="145"/>
      <c r="C57" s="146"/>
      <c r="D57" s="157" t="s">
        <v>85</v>
      </c>
      <c r="E57" s="138">
        <v>0</v>
      </c>
      <c r="G57" s="140">
        <f t="shared" si="133"/>
        <v>0</v>
      </c>
      <c r="H57" s="159">
        <f>SUM(G56:G57)</f>
        <v>1573.3200000000002</v>
      </c>
      <c r="I57" s="528"/>
      <c r="J57" s="145"/>
      <c r="K57" s="146">
        <v>6</v>
      </c>
      <c r="L57" s="157" t="s">
        <v>85</v>
      </c>
      <c r="M57" s="138">
        <v>15</v>
      </c>
      <c r="O57" s="140">
        <f t="shared" si="134"/>
        <v>0</v>
      </c>
      <c r="P57" s="159">
        <f>SUM(O56:O57)</f>
        <v>471.02481481481482</v>
      </c>
      <c r="Q57" s="528"/>
      <c r="R57" s="145"/>
      <c r="S57" s="146">
        <v>6</v>
      </c>
      <c r="T57" s="157" t="s">
        <v>85</v>
      </c>
      <c r="U57" s="138">
        <v>0</v>
      </c>
      <c r="W57" s="140">
        <f t="shared" si="135"/>
        <v>0</v>
      </c>
      <c r="X57" s="159">
        <f>SUM(W56:W57)</f>
        <v>1738.4214814814816</v>
      </c>
      <c r="Y57" s="528"/>
      <c r="Z57" s="145"/>
      <c r="AA57" s="146">
        <v>6</v>
      </c>
      <c r="AB57" s="157" t="s">
        <v>85</v>
      </c>
      <c r="AC57" s="138"/>
      <c r="AE57" s="140">
        <f t="shared" si="136"/>
        <v>0</v>
      </c>
      <c r="AF57" s="159">
        <f>SUM(AE56:AE57)</f>
        <v>946.90555555555557</v>
      </c>
      <c r="AG57" s="528"/>
      <c r="AH57" s="145"/>
      <c r="AI57" s="146">
        <v>6</v>
      </c>
      <c r="AJ57" s="157" t="s">
        <v>85</v>
      </c>
      <c r="AK57" s="138">
        <v>0</v>
      </c>
      <c r="AM57" s="140">
        <f t="shared" si="137"/>
        <v>0</v>
      </c>
      <c r="AN57" s="159">
        <f>SUM(AM56:AM57)</f>
        <v>1597.5996296296298</v>
      </c>
      <c r="AO57" s="528"/>
      <c r="AP57" s="145"/>
      <c r="AQ57" s="146">
        <v>6</v>
      </c>
      <c r="AR57" s="157" t="s">
        <v>85</v>
      </c>
      <c r="AS57" s="138"/>
      <c r="AU57" s="140">
        <f t="shared" si="138"/>
        <v>0</v>
      </c>
      <c r="AV57" s="159">
        <f>SUM(AU56:AU57)</f>
        <v>0</v>
      </c>
      <c r="AW57" s="528"/>
      <c r="AX57" s="145"/>
      <c r="AY57" s="146">
        <v>6</v>
      </c>
      <c r="AZ57" s="157" t="s">
        <v>85</v>
      </c>
      <c r="BA57" s="138"/>
      <c r="BC57" s="140">
        <f t="shared" si="139"/>
        <v>0</v>
      </c>
      <c r="BD57" s="159">
        <f>SUM(BC56:BC57)</f>
        <v>684.68555555555554</v>
      </c>
      <c r="BE57" s="528"/>
      <c r="BF57" s="145"/>
      <c r="BG57" s="146">
        <v>6</v>
      </c>
      <c r="BH57" s="157" t="s">
        <v>85</v>
      </c>
      <c r="BI57" s="138">
        <v>12</v>
      </c>
      <c r="BK57" s="140">
        <f t="shared" si="140"/>
        <v>0</v>
      </c>
      <c r="BL57" s="159">
        <f>SUM(BK56:BK57)</f>
        <v>1010.0325925925927</v>
      </c>
      <c r="BM57" s="528"/>
      <c r="BN57" s="145"/>
      <c r="BO57" s="146">
        <v>6</v>
      </c>
      <c r="BP57" s="157" t="s">
        <v>85</v>
      </c>
      <c r="BQ57" s="138"/>
      <c r="BS57" s="140">
        <f t="shared" si="141"/>
        <v>0</v>
      </c>
      <c r="BT57" s="159">
        <f>SUM(BS56:BS57)</f>
        <v>38.84740740740741</v>
      </c>
      <c r="BU57" s="528"/>
      <c r="BV57" s="536"/>
      <c r="BW57" s="537"/>
      <c r="BX57" s="574" t="s">
        <v>85</v>
      </c>
      <c r="BY57" s="560"/>
      <c r="CA57" s="562">
        <f t="shared" si="142"/>
        <v>0</v>
      </c>
      <c r="CB57" s="575">
        <f>SUM(CA56:CA57)</f>
        <v>0</v>
      </c>
      <c r="CC57" s="528"/>
      <c r="CD57" s="536"/>
      <c r="CE57" s="537"/>
      <c r="CF57" s="574" t="s">
        <v>85</v>
      </c>
      <c r="CG57" s="560"/>
      <c r="CI57" s="562">
        <f t="shared" si="143"/>
        <v>0</v>
      </c>
      <c r="CJ57" s="575">
        <f>SUM(CI56:CI57)</f>
        <v>0</v>
      </c>
      <c r="CK57" s="528"/>
      <c r="CL57" s="145"/>
      <c r="CM57" s="146">
        <v>6</v>
      </c>
      <c r="CN57" s="157" t="s">
        <v>85</v>
      </c>
      <c r="CO57" s="138"/>
      <c r="CQ57" s="140">
        <f t="shared" si="144"/>
        <v>0</v>
      </c>
      <c r="CR57" s="159">
        <f>SUM(CQ56:CQ57)</f>
        <v>1325.6677777777779</v>
      </c>
      <c r="CS57" s="528"/>
      <c r="CT57" s="145"/>
      <c r="CU57" s="146">
        <v>6</v>
      </c>
      <c r="CV57" s="157" t="s">
        <v>85</v>
      </c>
      <c r="CW57" s="138"/>
      <c r="CY57" s="140">
        <f t="shared" si="12"/>
        <v>0</v>
      </c>
      <c r="CZ57" s="159">
        <f>SUM(CY56:CY57)</f>
        <v>1010.0325925925927</v>
      </c>
      <c r="DA57" s="528"/>
      <c r="DB57" s="145"/>
      <c r="DC57" s="146"/>
      <c r="DD57" s="157" t="s">
        <v>85</v>
      </c>
      <c r="DE57" s="138"/>
      <c r="DG57" s="140">
        <f t="shared" si="13"/>
        <v>0</v>
      </c>
      <c r="DH57" s="159">
        <f>SUM(DG56:DG57)</f>
        <v>942.04962962962964</v>
      </c>
      <c r="DI57" s="528"/>
      <c r="DJ57" s="145"/>
      <c r="DK57" s="146"/>
      <c r="DL57" s="157" t="s">
        <v>85</v>
      </c>
      <c r="DM57" s="138">
        <v>0</v>
      </c>
      <c r="DO57" s="140">
        <f t="shared" si="14"/>
        <v>0</v>
      </c>
      <c r="DP57" s="159">
        <f>SUM(DO56:DO57)</f>
        <v>0</v>
      </c>
      <c r="DQ57" s="528"/>
      <c r="DR57" s="145"/>
      <c r="DS57" s="146"/>
      <c r="DT57" s="157" t="s">
        <v>85</v>
      </c>
      <c r="DU57" s="138"/>
      <c r="DW57" s="140">
        <f t="shared" si="15"/>
        <v>0</v>
      </c>
      <c r="DX57" s="159">
        <f>SUM(DW56:DW57)</f>
        <v>0</v>
      </c>
      <c r="DY57" s="528"/>
      <c r="DZ57" s="145"/>
      <c r="EA57" s="146"/>
      <c r="EB57" s="157" t="s">
        <v>85</v>
      </c>
      <c r="EC57" s="138">
        <v>0</v>
      </c>
      <c r="EE57" s="140">
        <f t="shared" si="16"/>
        <v>0</v>
      </c>
      <c r="EF57" s="159">
        <f>SUM(EE56:EE57)</f>
        <v>2811.5811111111111</v>
      </c>
      <c r="EG57" s="528"/>
      <c r="EH57" s="145"/>
      <c r="EI57" s="146"/>
      <c r="EJ57" s="157" t="s">
        <v>85</v>
      </c>
      <c r="EK57" s="138"/>
      <c r="EM57" s="140">
        <f t="shared" si="17"/>
        <v>0</v>
      </c>
      <c r="EN57" s="159">
        <f>SUM(EM56:EM57)</f>
        <v>3700.215555555556</v>
      </c>
      <c r="EO57" s="528"/>
      <c r="EP57" s="145"/>
      <c r="EQ57" s="146"/>
      <c r="ER57" s="157" t="s">
        <v>85</v>
      </c>
      <c r="ES57" s="138"/>
      <c r="EU57" s="140">
        <f t="shared" si="18"/>
        <v>0</v>
      </c>
      <c r="EV57" s="159">
        <f>SUM(EU56:EU57)</f>
        <v>1529.6166666666668</v>
      </c>
      <c r="EW57" s="528"/>
      <c r="EX57" s="145"/>
      <c r="EY57" s="146"/>
      <c r="EZ57" s="157" t="s">
        <v>85</v>
      </c>
      <c r="FA57" s="138"/>
      <c r="FC57" s="140">
        <f t="shared" si="19"/>
        <v>0</v>
      </c>
      <c r="FD57" s="159">
        <f>SUM(FC56:FC57)</f>
        <v>0</v>
      </c>
      <c r="FE57" s="528"/>
      <c r="FF57" s="145"/>
      <c r="FG57" s="146"/>
      <c r="FH57" s="157" t="s">
        <v>85</v>
      </c>
      <c r="FI57" s="138"/>
      <c r="FK57" s="140">
        <f t="shared" si="20"/>
        <v>0</v>
      </c>
      <c r="FL57" s="159">
        <f>SUM(FK56:FK57)</f>
        <v>0</v>
      </c>
      <c r="FM57" s="528"/>
      <c r="FN57" s="145"/>
      <c r="FO57" s="146"/>
      <c r="FP57" s="157" t="s">
        <v>85</v>
      </c>
      <c r="FQ57" s="138"/>
      <c r="FS57" s="140">
        <f t="shared" si="21"/>
        <v>0</v>
      </c>
      <c r="FT57" s="159">
        <f>SUM(FS56:FS57)</f>
        <v>0</v>
      </c>
      <c r="FU57" s="528"/>
      <c r="FV57" s="145"/>
      <c r="FW57" s="146"/>
      <c r="FX57" s="157" t="s">
        <v>85</v>
      </c>
      <c r="FY57" s="138"/>
      <c r="GA57" s="140">
        <f t="shared" si="22"/>
        <v>0</v>
      </c>
      <c r="GB57" s="159">
        <f>SUM(GA56:GA57)</f>
        <v>0</v>
      </c>
      <c r="GC57" s="528"/>
      <c r="GD57" s="145"/>
      <c r="GE57" s="146"/>
      <c r="GF57" s="157" t="s">
        <v>85</v>
      </c>
      <c r="GG57" s="138"/>
      <c r="GI57" s="140">
        <f t="shared" si="23"/>
        <v>0</v>
      </c>
      <c r="GJ57" s="159">
        <f>SUM(GI56:GI57)</f>
        <v>0</v>
      </c>
      <c r="GK57" s="528"/>
      <c r="GL57" s="145"/>
      <c r="GM57" s="146"/>
      <c r="GN57" s="157" t="s">
        <v>85</v>
      </c>
      <c r="GO57" s="175">
        <v>0</v>
      </c>
      <c r="GQ57" s="140">
        <f t="shared" si="145"/>
        <v>0</v>
      </c>
      <c r="GR57" s="159">
        <f>SUM(GQ56:GQ57)</f>
        <v>951.7614814814815</v>
      </c>
      <c r="GS57" s="528"/>
      <c r="GT57" s="145"/>
      <c r="GU57" s="146"/>
      <c r="GV57" s="157" t="s">
        <v>85</v>
      </c>
      <c r="GW57" s="175">
        <v>0</v>
      </c>
      <c r="GY57" s="140">
        <f t="shared" si="146"/>
        <v>0</v>
      </c>
      <c r="GZ57" s="159">
        <f>SUM(GY56:GY57)</f>
        <v>1155.7103703703704</v>
      </c>
      <c r="HA57" s="528"/>
      <c r="HB57" s="145"/>
      <c r="HC57" s="146"/>
      <c r="HD57" s="157" t="s">
        <v>85</v>
      </c>
      <c r="HE57" s="175">
        <v>0</v>
      </c>
      <c r="HG57" s="140">
        <f t="shared" si="147"/>
        <v>0</v>
      </c>
      <c r="HH57" s="159">
        <f>SUM(HG56:HG57)</f>
        <v>1738.4214814814816</v>
      </c>
      <c r="HI57" s="528"/>
      <c r="HJ57" s="145"/>
      <c r="HK57" s="146"/>
      <c r="HL57" s="157" t="s">
        <v>85</v>
      </c>
      <c r="HM57" s="175">
        <v>0</v>
      </c>
      <c r="HO57" s="140">
        <f t="shared" si="148"/>
        <v>0</v>
      </c>
      <c r="HP57" s="159">
        <f>SUM(HO56:HO57)</f>
        <v>1796.6925925925927</v>
      </c>
      <c r="HQ57" s="528"/>
      <c r="HR57" s="145"/>
      <c r="HS57" s="146"/>
      <c r="HT57" s="157" t="s">
        <v>85</v>
      </c>
      <c r="HU57" s="175">
        <v>0</v>
      </c>
      <c r="HW57" s="140">
        <f t="shared" si="149"/>
        <v>0</v>
      </c>
      <c r="HX57" s="159">
        <f>SUM(HW56:HW57)</f>
        <v>1301.3881481481483</v>
      </c>
      <c r="HY57" s="528"/>
      <c r="HZ57" s="145"/>
      <c r="IA57" s="146"/>
      <c r="IB57" s="157" t="s">
        <v>85</v>
      </c>
      <c r="IC57" s="175">
        <v>0</v>
      </c>
      <c r="IE57" s="140">
        <f t="shared" si="150"/>
        <v>0</v>
      </c>
      <c r="IF57" s="159">
        <f>SUM(IE56:IE57)</f>
        <v>1427.6422222222222</v>
      </c>
      <c r="IG57" s="528"/>
      <c r="IH57" s="145"/>
      <c r="II57" s="146"/>
      <c r="IJ57" s="157" t="s">
        <v>85</v>
      </c>
      <c r="IK57" s="175">
        <v>11</v>
      </c>
      <c r="IM57" s="140">
        <f t="shared" si="151"/>
        <v>0</v>
      </c>
      <c r="IN57" s="159">
        <f>SUM(IM56:IM57)</f>
        <v>1811.2603703703705</v>
      </c>
      <c r="IO57" s="528"/>
      <c r="IP57" s="145"/>
      <c r="IQ57" s="146"/>
      <c r="IR57" s="157" t="s">
        <v>85</v>
      </c>
      <c r="IS57" s="175">
        <v>0</v>
      </c>
      <c r="IU57" s="140">
        <f t="shared" si="152"/>
        <v>0</v>
      </c>
      <c r="IV57" s="159">
        <f>SUM(IU56:IU57)</f>
        <v>2194.8785185185188</v>
      </c>
      <c r="IW57" s="528"/>
      <c r="IX57" s="145"/>
      <c r="IY57" s="146"/>
      <c r="IZ57" s="157" t="s">
        <v>85</v>
      </c>
      <c r="JA57" s="175">
        <v>0</v>
      </c>
      <c r="JC57" s="140">
        <f t="shared" si="153"/>
        <v>0</v>
      </c>
      <c r="JD57" s="159">
        <f>SUM(JC56:JC57)</f>
        <v>961.47333333333336</v>
      </c>
      <c r="JE57" s="528"/>
      <c r="JF57" s="145"/>
      <c r="JG57" s="146"/>
      <c r="JH57" s="157" t="s">
        <v>85</v>
      </c>
      <c r="JI57" s="175">
        <v>0</v>
      </c>
      <c r="JK57" s="140">
        <f t="shared" si="154"/>
        <v>0</v>
      </c>
      <c r="JL57" s="159">
        <f>SUM(JK56:JK57)</f>
        <v>1689.8622222222223</v>
      </c>
      <c r="JM57" s="528"/>
      <c r="JN57" s="145"/>
      <c r="JO57" s="146"/>
      <c r="JP57" s="157" t="s">
        <v>85</v>
      </c>
      <c r="JQ57" s="175">
        <v>0</v>
      </c>
      <c r="JS57" s="140">
        <f t="shared" si="155"/>
        <v>0</v>
      </c>
      <c r="JT57" s="159">
        <f>SUM(JS56:JS57)</f>
        <v>582.71111111111111</v>
      </c>
      <c r="JU57" s="528"/>
      <c r="JV57" s="145"/>
      <c r="JW57" s="146"/>
      <c r="JX57" s="157" t="s">
        <v>85</v>
      </c>
      <c r="JY57" s="175">
        <v>0</v>
      </c>
      <c r="KA57" s="140">
        <f t="shared" si="156"/>
        <v>0</v>
      </c>
      <c r="KB57" s="159">
        <f>SUM(KA56:KA57)</f>
        <v>3268.0381481481481</v>
      </c>
      <c r="KC57" s="528"/>
      <c r="KD57" s="145"/>
      <c r="KE57" s="146"/>
      <c r="KF57" s="157" t="s">
        <v>85</v>
      </c>
      <c r="KG57" s="175">
        <v>0</v>
      </c>
      <c r="KI57" s="140">
        <f t="shared" si="157"/>
        <v>0</v>
      </c>
      <c r="KJ57" s="159">
        <f>SUM(KI56:KI57)</f>
        <v>1082.8714814814816</v>
      </c>
      <c r="KK57" s="528"/>
      <c r="KL57" s="145"/>
      <c r="KM57" s="146"/>
      <c r="KN57" s="157" t="s">
        <v>85</v>
      </c>
      <c r="KO57" s="175">
        <v>0</v>
      </c>
      <c r="KQ57" s="140">
        <f t="shared" si="158"/>
        <v>0</v>
      </c>
      <c r="KR57" s="159">
        <f>SUM(KQ56:KQ57)</f>
        <v>762.38037037037043</v>
      </c>
      <c r="KS57" s="528"/>
      <c r="KT57" s="145"/>
      <c r="KU57" s="146"/>
      <c r="KV57" s="157" t="s">
        <v>85</v>
      </c>
      <c r="KW57" s="175">
        <v>0</v>
      </c>
      <c r="KY57" s="140">
        <f t="shared" si="159"/>
        <v>0</v>
      </c>
      <c r="KZ57" s="159">
        <f>SUM(KY56:KY57)</f>
        <v>1563.6081481481483</v>
      </c>
      <c r="LA57" s="528"/>
      <c r="LB57" s="145"/>
      <c r="LC57" s="146"/>
      <c r="LD57" s="157" t="s">
        <v>85</v>
      </c>
      <c r="LE57" s="175">
        <v>0</v>
      </c>
      <c r="LG57" s="140">
        <f t="shared" si="160"/>
        <v>0</v>
      </c>
      <c r="LH57" s="159">
        <f>SUM(LG56:LG57)</f>
        <v>1752.9892592592594</v>
      </c>
      <c r="LI57" s="528"/>
      <c r="LJ57" s="145"/>
      <c r="LK57" s="146"/>
      <c r="LL57" s="157" t="s">
        <v>85</v>
      </c>
      <c r="LM57" s="175">
        <v>0</v>
      </c>
      <c r="LO57" s="140">
        <f t="shared" si="161"/>
        <v>0</v>
      </c>
      <c r="LP57" s="159">
        <f>SUM(LO56:LO57)</f>
        <v>1723.8537037037038</v>
      </c>
      <c r="LQ57" s="528"/>
      <c r="LR57" s="145"/>
      <c r="LS57" s="146"/>
      <c r="LT57" s="157" t="s">
        <v>85</v>
      </c>
      <c r="LU57" s="175"/>
      <c r="LW57" s="140">
        <f t="shared" si="162"/>
        <v>0</v>
      </c>
      <c r="LX57" s="159">
        <f>SUM(LW56:LW57)</f>
        <v>1718.9977777777779</v>
      </c>
      <c r="LY57" s="528"/>
      <c r="LZ57" s="145"/>
      <c r="MA57" s="146"/>
      <c r="MB57" s="157" t="s">
        <v>85</v>
      </c>
      <c r="MC57" s="175">
        <v>0</v>
      </c>
      <c r="ME57" s="140">
        <f t="shared" si="163"/>
        <v>0</v>
      </c>
      <c r="MF57" s="159">
        <f>SUM(ME56:ME57)</f>
        <v>3520.5462962962965</v>
      </c>
      <c r="MG57" s="528"/>
      <c r="MH57" s="145"/>
      <c r="MI57" s="146"/>
      <c r="MJ57" s="157" t="s">
        <v>85</v>
      </c>
      <c r="MK57" s="175"/>
      <c r="MM57" s="140">
        <f t="shared" si="164"/>
        <v>0</v>
      </c>
      <c r="MN57" s="159">
        <f>SUM(MM56:MM57)</f>
        <v>2486.2340740740742</v>
      </c>
      <c r="MO57" s="528"/>
      <c r="MP57" s="145"/>
      <c r="MQ57" s="146"/>
      <c r="MR57" s="157" t="s">
        <v>85</v>
      </c>
      <c r="MS57" s="175"/>
      <c r="MU57" s="140">
        <f t="shared" si="165"/>
        <v>0</v>
      </c>
      <c r="MV57" s="159">
        <f>SUM(MU56:MU57)</f>
        <v>1252.828888888889</v>
      </c>
      <c r="MW57" s="528"/>
      <c r="MX57" s="671" t="s">
        <v>91</v>
      </c>
      <c r="MY57" s="144">
        <v>23</v>
      </c>
      <c r="MZ57" s="157" t="s">
        <v>14</v>
      </c>
      <c r="NA57" s="175">
        <v>151</v>
      </c>
      <c r="NB57" s="139">
        <v>2.7548275862068965</v>
      </c>
      <c r="NC57" s="674">
        <f t="shared" si="166"/>
        <v>415.97896551724136</v>
      </c>
      <c r="ND57" s="706">
        <f>NA57*NB57</f>
        <v>415.97896551724136</v>
      </c>
      <c r="NE57" s="528"/>
      <c r="NF57" s="671" t="s">
        <v>91</v>
      </c>
      <c r="NG57" s="144">
        <v>19</v>
      </c>
      <c r="NH57" s="157" t="s">
        <v>14</v>
      </c>
      <c r="NI57" s="139">
        <v>92</v>
      </c>
      <c r="NJ57" s="139">
        <v>2.7548275862068965</v>
      </c>
      <c r="NK57" s="674">
        <f t="shared" si="167"/>
        <v>253.44413793103448</v>
      </c>
      <c r="NL57" s="706">
        <f>NI57*NJ57</f>
        <v>253.44413793103448</v>
      </c>
      <c r="NM57" s="528"/>
      <c r="NN57" s="671" t="s">
        <v>91</v>
      </c>
      <c r="NO57" s="144">
        <v>15</v>
      </c>
      <c r="NP57" s="157" t="s">
        <v>14</v>
      </c>
      <c r="NQ57" s="714">
        <v>144</v>
      </c>
      <c r="NR57" s="139">
        <v>2.7548275862068965</v>
      </c>
      <c r="NS57" s="674">
        <f t="shared" si="168"/>
        <v>396.6951724137931</v>
      </c>
      <c r="NT57" s="706">
        <f>NQ57*NR57</f>
        <v>396.6951724137931</v>
      </c>
      <c r="NU57" s="528"/>
      <c r="NV57" s="671" t="s">
        <v>91</v>
      </c>
      <c r="NW57" s="144">
        <v>6</v>
      </c>
      <c r="NX57" s="157" t="s">
        <v>14</v>
      </c>
      <c r="NY57" s="780">
        <v>63</v>
      </c>
      <c r="NZ57" s="139">
        <v>2.7548275862068965</v>
      </c>
      <c r="OA57" s="674">
        <f t="shared" si="169"/>
        <v>173.55413793103449</v>
      </c>
      <c r="OB57" s="706">
        <f>NY57*NZ57</f>
        <v>173.55413793103449</v>
      </c>
      <c r="OC57" s="528"/>
      <c r="OD57" s="671" t="s">
        <v>91</v>
      </c>
      <c r="OE57" s="144">
        <v>1</v>
      </c>
      <c r="OF57" s="157" t="s">
        <v>14</v>
      </c>
      <c r="OG57" s="780">
        <v>45</v>
      </c>
      <c r="OH57" s="139">
        <v>2.7548275862068965</v>
      </c>
      <c r="OI57" s="674">
        <f t="shared" si="170"/>
        <v>123.96724137931034</v>
      </c>
      <c r="OJ57" s="706">
        <f>OG57*OH57</f>
        <v>123.96724137931034</v>
      </c>
      <c r="OK57" s="528"/>
      <c r="OL57" s="671" t="s">
        <v>91</v>
      </c>
      <c r="OM57" s="144">
        <v>1</v>
      </c>
      <c r="ON57" s="157" t="s">
        <v>14</v>
      </c>
      <c r="OO57" s="780">
        <v>35</v>
      </c>
      <c r="OP57" s="139">
        <v>2.7548275862068965</v>
      </c>
      <c r="OQ57" s="674">
        <f t="shared" si="171"/>
        <v>96.418965517241375</v>
      </c>
      <c r="OR57" s="706">
        <f>OO57*OP57</f>
        <v>96.418965517241375</v>
      </c>
      <c r="OS57" s="528"/>
      <c r="OT57" s="671" t="s">
        <v>91</v>
      </c>
      <c r="OU57" s="144"/>
      <c r="OV57" s="157" t="s">
        <v>14</v>
      </c>
      <c r="OW57" s="780"/>
      <c r="OX57" s="139">
        <v>2.7548275862068965</v>
      </c>
      <c r="OY57" s="674">
        <f t="shared" si="172"/>
        <v>0</v>
      </c>
      <c r="OZ57" s="706">
        <f>OW57*OX57</f>
        <v>0</v>
      </c>
      <c r="PA57" s="528"/>
      <c r="PB57" s="671" t="s">
        <v>91</v>
      </c>
      <c r="PC57" s="144"/>
      <c r="PD57" s="157" t="s">
        <v>14</v>
      </c>
      <c r="PE57" s="780"/>
      <c r="PF57" s="139">
        <v>2.7548275862068965</v>
      </c>
      <c r="PG57" s="674">
        <f t="shared" si="173"/>
        <v>0</v>
      </c>
      <c r="PH57" s="706">
        <f>PE57*PF57</f>
        <v>0</v>
      </c>
      <c r="PI57" s="528"/>
      <c r="PJ57" s="671" t="s">
        <v>91</v>
      </c>
      <c r="PK57" s="144">
        <v>1</v>
      </c>
      <c r="PL57" s="157" t="s">
        <v>14</v>
      </c>
      <c r="PM57" s="780">
        <v>6</v>
      </c>
      <c r="PN57" s="139">
        <v>2.7548275862068965</v>
      </c>
      <c r="PO57" s="674">
        <f t="shared" si="174"/>
        <v>16.528965517241378</v>
      </c>
      <c r="PP57" s="706">
        <f>PM57*PN57</f>
        <v>16.528965517241378</v>
      </c>
      <c r="PQ57" s="528"/>
      <c r="PR57" s="671" t="s">
        <v>91</v>
      </c>
      <c r="PS57" s="144">
        <v>6</v>
      </c>
      <c r="PT57" s="157" t="s">
        <v>14</v>
      </c>
      <c r="PU57" s="780">
        <v>53</v>
      </c>
      <c r="PV57" s="139">
        <v>2.7548275862068965</v>
      </c>
      <c r="PW57" s="674">
        <f t="shared" si="175"/>
        <v>146.00586206896551</v>
      </c>
      <c r="PX57" s="706">
        <f>PU57*PV57</f>
        <v>146.00586206896551</v>
      </c>
      <c r="PY57" s="528"/>
      <c r="PZ57" s="671" t="s">
        <v>91</v>
      </c>
      <c r="QA57" s="144">
        <v>7</v>
      </c>
      <c r="QB57" s="157" t="s">
        <v>14</v>
      </c>
      <c r="QC57" s="780">
        <v>65</v>
      </c>
      <c r="QD57" s="139">
        <v>2.7548275862068965</v>
      </c>
      <c r="QE57" s="674">
        <f t="shared" si="176"/>
        <v>179.06379310344826</v>
      </c>
      <c r="QF57" s="706">
        <f>QC57*QD57</f>
        <v>179.06379310344826</v>
      </c>
      <c r="QG57" s="528"/>
      <c r="QH57" s="671" t="s">
        <v>91</v>
      </c>
      <c r="QI57" s="144">
        <v>15</v>
      </c>
      <c r="QJ57" s="157" t="s">
        <v>14</v>
      </c>
      <c r="QK57" s="780">
        <v>135</v>
      </c>
      <c r="QL57" s="139">
        <v>2.7548275862068965</v>
      </c>
      <c r="QM57" s="674">
        <f t="shared" si="177"/>
        <v>371.90172413793101</v>
      </c>
      <c r="QN57" s="706">
        <f>QK57*QL57</f>
        <v>371.90172413793101</v>
      </c>
      <c r="QO57" s="528"/>
      <c r="QP57" s="671" t="s">
        <v>91</v>
      </c>
      <c r="QQ57" s="144">
        <v>14</v>
      </c>
      <c r="QR57" s="157" t="s">
        <v>14</v>
      </c>
      <c r="QS57" s="780">
        <v>124</v>
      </c>
      <c r="QT57" s="139">
        <v>2.7548275862068965</v>
      </c>
      <c r="QU57" s="674">
        <f t="shared" si="178"/>
        <v>341.59862068965515</v>
      </c>
      <c r="QV57" s="706">
        <f>QS57*QT57</f>
        <v>341.59862068965515</v>
      </c>
      <c r="QW57" s="528"/>
      <c r="QX57" s="671" t="s">
        <v>91</v>
      </c>
      <c r="QY57" s="144"/>
      <c r="QZ57" s="157" t="s">
        <v>14</v>
      </c>
      <c r="RA57" s="780"/>
      <c r="RB57" s="139">
        <v>2.7548275862068965</v>
      </c>
      <c r="RC57" s="674">
        <f t="shared" si="179"/>
        <v>0</v>
      </c>
      <c r="RD57" s="706">
        <f>RA57*RB57</f>
        <v>0</v>
      </c>
      <c r="RE57" s="528"/>
      <c r="RF57" s="671" t="s">
        <v>91</v>
      </c>
      <c r="RG57" s="144"/>
      <c r="RH57" s="157" t="s">
        <v>14</v>
      </c>
      <c r="RI57" s="780"/>
      <c r="RJ57" s="139">
        <v>2.7548275862068965</v>
      </c>
      <c r="RK57" s="674">
        <f t="shared" si="180"/>
        <v>0</v>
      </c>
      <c r="RL57" s="706">
        <f>RI57*RJ57</f>
        <v>0</v>
      </c>
      <c r="RM57" s="528"/>
      <c r="RN57" s="671" t="s">
        <v>91</v>
      </c>
      <c r="RO57" s="144">
        <v>10</v>
      </c>
      <c r="RP57" s="157" t="s">
        <v>14</v>
      </c>
      <c r="RQ57" s="780">
        <v>96</v>
      </c>
      <c r="RR57" s="139">
        <v>2.7548275862068965</v>
      </c>
      <c r="RS57" s="674">
        <f t="shared" si="181"/>
        <v>264.46344827586205</v>
      </c>
      <c r="RT57" s="706">
        <f>RQ57*RR57</f>
        <v>264.46344827586205</v>
      </c>
      <c r="RU57" s="528"/>
      <c r="RV57" s="671" t="s">
        <v>91</v>
      </c>
      <c r="RW57" s="144">
        <v>3</v>
      </c>
      <c r="RX57" s="157" t="s">
        <v>14</v>
      </c>
      <c r="RY57" s="780">
        <v>31</v>
      </c>
      <c r="RZ57" s="139">
        <v>2.7548275862068965</v>
      </c>
      <c r="SA57" s="674">
        <f t="shared" si="182"/>
        <v>85.399655172413787</v>
      </c>
      <c r="SB57" s="706">
        <f>RY57*RZ57</f>
        <v>85.399655172413787</v>
      </c>
      <c r="SC57" s="528"/>
      <c r="SD57" s="671" t="s">
        <v>91</v>
      </c>
      <c r="SE57" s="144">
        <v>2</v>
      </c>
      <c r="SF57" s="157" t="s">
        <v>14</v>
      </c>
      <c r="SG57" s="780">
        <v>3</v>
      </c>
      <c r="SH57" s="139">
        <v>2.7548275862068965</v>
      </c>
      <c r="SI57" s="674">
        <f t="shared" si="183"/>
        <v>8.264482758620689</v>
      </c>
      <c r="SJ57" s="706">
        <f>SG57*SH57</f>
        <v>8.264482758620689</v>
      </c>
      <c r="SK57" s="528"/>
      <c r="SL57" s="671" t="s">
        <v>91</v>
      </c>
      <c r="SM57" s="144">
        <v>7</v>
      </c>
      <c r="SN57" s="157" t="s">
        <v>14</v>
      </c>
      <c r="SO57" s="780">
        <v>74</v>
      </c>
      <c r="SP57" s="139">
        <v>2.7548275862068965</v>
      </c>
      <c r="SQ57" s="674">
        <f t="shared" si="184"/>
        <v>203.85724137931035</v>
      </c>
      <c r="SR57" s="706">
        <f>SO57*SP57</f>
        <v>203.85724137931035</v>
      </c>
      <c r="SS57" s="528"/>
      <c r="ST57" s="671" t="s">
        <v>91</v>
      </c>
      <c r="SU57" s="144">
        <v>3</v>
      </c>
      <c r="SV57" s="157" t="s">
        <v>14</v>
      </c>
      <c r="SW57" s="780">
        <v>104</v>
      </c>
      <c r="SX57" s="139">
        <v>2.7548275862068965</v>
      </c>
      <c r="SY57" s="674">
        <f t="shared" si="185"/>
        <v>286.50206896551725</v>
      </c>
      <c r="SZ57" s="706">
        <f>SW57*SX57</f>
        <v>286.50206896551725</v>
      </c>
      <c r="TA57" s="528"/>
      <c r="TB57" s="671" t="s">
        <v>91</v>
      </c>
      <c r="TC57" s="144">
        <v>3</v>
      </c>
      <c r="TD57" s="157" t="s">
        <v>14</v>
      </c>
      <c r="TE57" s="780">
        <v>4</v>
      </c>
      <c r="TF57" s="139">
        <v>2.7548275862068965</v>
      </c>
      <c r="TG57" s="674">
        <f t="shared" si="186"/>
        <v>11.019310344827586</v>
      </c>
      <c r="TH57" s="706">
        <f>TE57*TF57</f>
        <v>11.019310344827586</v>
      </c>
      <c r="TI57" s="528"/>
    </row>
    <row r="58" spans="2:529">
      <c r="B58" s="169" t="s">
        <v>98</v>
      </c>
      <c r="C58" s="144">
        <v>9</v>
      </c>
      <c r="D58" s="157" t="s">
        <v>99</v>
      </c>
      <c r="E58" s="138">
        <v>223</v>
      </c>
      <c r="F58" s="139">
        <v>0.85442857142857154</v>
      </c>
      <c r="G58" s="140">
        <f>E58*F58</f>
        <v>190.53757142857145</v>
      </c>
      <c r="H58" s="159">
        <f>E58*F58</f>
        <v>190.53757142857145</v>
      </c>
      <c r="I58" s="528"/>
      <c r="J58" s="169" t="s">
        <v>98</v>
      </c>
      <c r="K58" s="144">
        <v>9</v>
      </c>
      <c r="L58" s="157" t="s">
        <v>99</v>
      </c>
      <c r="M58" s="138">
        <v>306</v>
      </c>
      <c r="N58" s="139">
        <v>0.85442857142857154</v>
      </c>
      <c r="O58" s="140">
        <f>M58*N58</f>
        <v>261.4551428571429</v>
      </c>
      <c r="P58" s="159">
        <f>M58*N58</f>
        <v>261.4551428571429</v>
      </c>
      <c r="Q58" s="528"/>
      <c r="R58" s="169" t="s">
        <v>98</v>
      </c>
      <c r="S58" s="144">
        <v>2</v>
      </c>
      <c r="T58" s="157" t="s">
        <v>99</v>
      </c>
      <c r="U58" s="138">
        <v>40</v>
      </c>
      <c r="V58" s="139">
        <v>0.85442857142857154</v>
      </c>
      <c r="W58" s="140">
        <f>U58*V58</f>
        <v>34.177142857142861</v>
      </c>
      <c r="X58" s="159">
        <f>U58*V58</f>
        <v>34.177142857142861</v>
      </c>
      <c r="Y58" s="528"/>
      <c r="Z58" s="169" t="s">
        <v>98</v>
      </c>
      <c r="AA58" s="144">
        <v>2</v>
      </c>
      <c r="AB58" s="157" t="s">
        <v>99</v>
      </c>
      <c r="AC58" s="138">
        <v>36</v>
      </c>
      <c r="AD58" s="139">
        <v>0.85442857142857154</v>
      </c>
      <c r="AE58" s="140">
        <f>AC58*AD58</f>
        <v>30.759428571428575</v>
      </c>
      <c r="AF58" s="159">
        <f>AC58*AD58</f>
        <v>30.759428571428575</v>
      </c>
      <c r="AG58" s="528"/>
      <c r="AH58" s="169" t="s">
        <v>98</v>
      </c>
      <c r="AI58" s="144">
        <v>1</v>
      </c>
      <c r="AJ58" s="157" t="s">
        <v>99</v>
      </c>
      <c r="AK58" s="138">
        <v>25</v>
      </c>
      <c r="AL58" s="139">
        <v>0.85442857142857154</v>
      </c>
      <c r="AM58" s="140">
        <f>AK58*AL58</f>
        <v>21.360714285714288</v>
      </c>
      <c r="AN58" s="159">
        <f>AK58*AL58</f>
        <v>21.360714285714288</v>
      </c>
      <c r="AO58" s="528"/>
      <c r="AP58" s="169" t="s">
        <v>98</v>
      </c>
      <c r="AQ58" s="144"/>
      <c r="AR58" s="157" t="s">
        <v>99</v>
      </c>
      <c r="AS58" s="138"/>
      <c r="AT58" s="139">
        <v>0.85442857142857154</v>
      </c>
      <c r="AU58" s="140">
        <f>AS58*AT58</f>
        <v>0</v>
      </c>
      <c r="AV58" s="159">
        <f>AS58*AT58</f>
        <v>0</v>
      </c>
      <c r="AW58" s="528"/>
      <c r="AX58" s="169" t="s">
        <v>98</v>
      </c>
      <c r="AY58" s="144">
        <v>4</v>
      </c>
      <c r="AZ58" s="157" t="s">
        <v>99</v>
      </c>
      <c r="BA58" s="138">
        <v>627</v>
      </c>
      <c r="BB58" s="139">
        <v>0.85442857142857154</v>
      </c>
      <c r="BC58" s="140">
        <f>BA58*BB58</f>
        <v>535.72671428571437</v>
      </c>
      <c r="BD58" s="159">
        <f>BA58*BB58</f>
        <v>535.72671428571437</v>
      </c>
      <c r="BE58" s="528"/>
      <c r="BF58" s="169" t="s">
        <v>98</v>
      </c>
      <c r="BG58" s="144">
        <v>19</v>
      </c>
      <c r="BH58" s="157" t="s">
        <v>99</v>
      </c>
      <c r="BI58" s="138">
        <v>2215</v>
      </c>
      <c r="BJ58" s="139">
        <v>0.85442857142857154</v>
      </c>
      <c r="BK58" s="140">
        <f>BI58*BJ58</f>
        <v>1892.559285714286</v>
      </c>
      <c r="BL58" s="159">
        <f>BI58*BJ58</f>
        <v>1892.559285714286</v>
      </c>
      <c r="BM58" s="528"/>
      <c r="BN58" s="169" t="s">
        <v>98</v>
      </c>
      <c r="BO58" s="144">
        <v>1</v>
      </c>
      <c r="BP58" s="157" t="s">
        <v>99</v>
      </c>
      <c r="BQ58" s="138">
        <v>46</v>
      </c>
      <c r="BR58" s="139">
        <v>0.85442857142857154</v>
      </c>
      <c r="BS58" s="140">
        <f>BQ58*BR58</f>
        <v>39.303714285714292</v>
      </c>
      <c r="BT58" s="159">
        <f>BQ58*BR58</f>
        <v>39.303714285714292</v>
      </c>
      <c r="BU58" s="528"/>
      <c r="BV58" s="584" t="s">
        <v>98</v>
      </c>
      <c r="BW58" s="565"/>
      <c r="BX58" s="574" t="s">
        <v>99</v>
      </c>
      <c r="BY58" s="560"/>
      <c r="BZ58" s="561">
        <v>0.85442857142857154</v>
      </c>
      <c r="CA58" s="562">
        <f>BY58*BZ58</f>
        <v>0</v>
      </c>
      <c r="CB58" s="575">
        <f>BY58*BZ58</f>
        <v>0</v>
      </c>
      <c r="CC58" s="528"/>
      <c r="CD58" s="584" t="s">
        <v>98</v>
      </c>
      <c r="CE58" s="565"/>
      <c r="CF58" s="574" t="s">
        <v>99</v>
      </c>
      <c r="CG58" s="560"/>
      <c r="CH58" s="561">
        <v>0.85442857142857154</v>
      </c>
      <c r="CI58" s="562">
        <f>CG58*CH58</f>
        <v>0</v>
      </c>
      <c r="CJ58" s="575">
        <f>CG58*CH58</f>
        <v>0</v>
      </c>
      <c r="CK58" s="528"/>
      <c r="CL58" s="169" t="s">
        <v>98</v>
      </c>
      <c r="CM58" s="144">
        <v>21</v>
      </c>
      <c r="CN58" s="157" t="s">
        <v>99</v>
      </c>
      <c r="CO58" s="138">
        <v>1457</v>
      </c>
      <c r="CP58" s="139">
        <v>0.85442857142857154</v>
      </c>
      <c r="CQ58" s="140">
        <f>CO58*CP58</f>
        <v>1244.9024285714288</v>
      </c>
      <c r="CR58" s="159">
        <f>CO58*CP58</f>
        <v>1244.9024285714288</v>
      </c>
      <c r="CS58" s="528"/>
      <c r="CT58" s="169" t="s">
        <v>98</v>
      </c>
      <c r="CU58" s="144">
        <v>19</v>
      </c>
      <c r="CV58" s="157" t="s">
        <v>99</v>
      </c>
      <c r="CW58" s="138">
        <v>2215</v>
      </c>
      <c r="CX58" s="139">
        <v>0.85442857142857154</v>
      </c>
      <c r="CY58" s="140">
        <f>CW58*CX58</f>
        <v>1892.559285714286</v>
      </c>
      <c r="CZ58" s="159">
        <f>CW58*CX58</f>
        <v>1892.559285714286</v>
      </c>
      <c r="DA58" s="528"/>
      <c r="DB58" s="169" t="s">
        <v>98</v>
      </c>
      <c r="DC58" s="144">
        <v>5</v>
      </c>
      <c r="DD58" s="157" t="s">
        <v>99</v>
      </c>
      <c r="DE58" s="138">
        <v>153</v>
      </c>
      <c r="DF58" s="139">
        <v>0.85442857142857154</v>
      </c>
      <c r="DG58" s="140">
        <f>DE58*DF58</f>
        <v>130.72757142857145</v>
      </c>
      <c r="DH58" s="159">
        <f>DE58*DF58</f>
        <v>130.72757142857145</v>
      </c>
      <c r="DI58" s="528"/>
      <c r="DJ58" s="169" t="s">
        <v>98</v>
      </c>
      <c r="DK58" s="144"/>
      <c r="DL58" s="157" t="s">
        <v>99</v>
      </c>
      <c r="DM58" s="138">
        <v>0</v>
      </c>
      <c r="DN58" s="170">
        <v>0.85442857142857154</v>
      </c>
      <c r="DO58" s="140">
        <f>DM58*DN58</f>
        <v>0</v>
      </c>
      <c r="DP58" s="159">
        <f>DM58*DN58</f>
        <v>0</v>
      </c>
      <c r="DQ58" s="528"/>
      <c r="DR58" s="169" t="s">
        <v>98</v>
      </c>
      <c r="DS58" s="144"/>
      <c r="DT58" s="157" t="s">
        <v>99</v>
      </c>
      <c r="DU58" s="138"/>
      <c r="DV58" s="170">
        <v>0.85442857142857154</v>
      </c>
      <c r="DW58" s="140">
        <f>DU58*DV58</f>
        <v>0</v>
      </c>
      <c r="DX58" s="159">
        <f>DU58*DV58</f>
        <v>0</v>
      </c>
      <c r="DY58" s="528"/>
      <c r="DZ58" s="169" t="s">
        <v>98</v>
      </c>
      <c r="EA58" s="144">
        <v>9</v>
      </c>
      <c r="EB58" s="157" t="s">
        <v>99</v>
      </c>
      <c r="EC58" s="138">
        <v>150</v>
      </c>
      <c r="ED58" s="170">
        <v>0.85442857142857154</v>
      </c>
      <c r="EE58" s="140">
        <f>EC58*ED58</f>
        <v>128.16428571428574</v>
      </c>
      <c r="EF58" s="159">
        <f>EC58*ED58</f>
        <v>128.16428571428574</v>
      </c>
      <c r="EG58" s="528"/>
      <c r="EH58" s="169" t="s">
        <v>98</v>
      </c>
      <c r="EI58" s="144">
        <v>27</v>
      </c>
      <c r="EJ58" s="157" t="s">
        <v>99</v>
      </c>
      <c r="EK58" s="138">
        <v>417</v>
      </c>
      <c r="EL58" s="170">
        <v>0.85442857142857154</v>
      </c>
      <c r="EM58" s="140">
        <f>EK58*EL58</f>
        <v>356.29671428571436</v>
      </c>
      <c r="EN58" s="159">
        <f>EK58*EL58</f>
        <v>356.29671428571436</v>
      </c>
      <c r="EO58" s="528"/>
      <c r="EP58" s="169" t="s">
        <v>98</v>
      </c>
      <c r="EQ58" s="144">
        <v>23</v>
      </c>
      <c r="ER58" s="157" t="s">
        <v>99</v>
      </c>
      <c r="ES58" s="138">
        <v>334</v>
      </c>
      <c r="ET58" s="170">
        <v>0.85442857142857154</v>
      </c>
      <c r="EU58" s="140">
        <f>ES58*ET58</f>
        <v>285.37914285714288</v>
      </c>
      <c r="EV58" s="159">
        <f>ES58*ET58</f>
        <v>285.37914285714288</v>
      </c>
      <c r="EW58" s="528"/>
      <c r="EX58" s="169" t="s">
        <v>98</v>
      </c>
      <c r="EY58" s="144"/>
      <c r="EZ58" s="157" t="s">
        <v>99</v>
      </c>
      <c r="FA58" s="138"/>
      <c r="FB58" s="170">
        <v>0.85442857142857154</v>
      </c>
      <c r="FC58" s="140">
        <f>FA58*FB58</f>
        <v>0</v>
      </c>
      <c r="FD58" s="159">
        <f>FA58*FB58</f>
        <v>0</v>
      </c>
      <c r="FE58" s="528"/>
      <c r="FF58" s="169" t="s">
        <v>98</v>
      </c>
      <c r="FG58" s="144"/>
      <c r="FH58" s="157" t="s">
        <v>99</v>
      </c>
      <c r="FI58" s="138"/>
      <c r="FJ58" s="170">
        <v>0.85442857142857154</v>
      </c>
      <c r="FK58" s="140">
        <f>FI58*FJ58</f>
        <v>0</v>
      </c>
      <c r="FL58" s="159">
        <f>FI58*FJ58</f>
        <v>0</v>
      </c>
      <c r="FM58" s="528"/>
      <c r="FN58" s="169" t="s">
        <v>98</v>
      </c>
      <c r="FO58" s="144"/>
      <c r="FP58" s="157" t="s">
        <v>99</v>
      </c>
      <c r="FQ58" s="138"/>
      <c r="FR58" s="170">
        <v>0.85442857142857154</v>
      </c>
      <c r="FS58" s="140">
        <f>FQ58*FR58</f>
        <v>0</v>
      </c>
      <c r="FT58" s="159">
        <f>FQ58*FR58</f>
        <v>0</v>
      </c>
      <c r="FU58" s="528"/>
      <c r="FV58" s="169" t="s">
        <v>98</v>
      </c>
      <c r="FW58" s="144"/>
      <c r="FX58" s="157" t="s">
        <v>99</v>
      </c>
      <c r="FY58" s="138"/>
      <c r="FZ58" s="170">
        <v>0.85442857142857154</v>
      </c>
      <c r="GA58" s="140">
        <f>FY58*FZ58</f>
        <v>0</v>
      </c>
      <c r="GB58" s="159">
        <f>FY58*FZ58</f>
        <v>0</v>
      </c>
      <c r="GC58" s="528"/>
      <c r="GD58" s="169" t="s">
        <v>98</v>
      </c>
      <c r="GE58" s="144"/>
      <c r="GF58" s="157" t="s">
        <v>99</v>
      </c>
      <c r="GG58" s="138"/>
      <c r="GH58" s="170">
        <v>0.85442857142857154</v>
      </c>
      <c r="GI58" s="140">
        <f>GG58*GH58</f>
        <v>0</v>
      </c>
      <c r="GJ58" s="159">
        <f>GG58*GH58</f>
        <v>0</v>
      </c>
      <c r="GK58" s="528"/>
      <c r="GL58" s="169" t="s">
        <v>98</v>
      </c>
      <c r="GM58" s="144">
        <v>19</v>
      </c>
      <c r="GN58" s="157" t="s">
        <v>99</v>
      </c>
      <c r="GO58" s="175">
        <v>2215</v>
      </c>
      <c r="GP58" s="139">
        <v>0.85442857142857154</v>
      </c>
      <c r="GQ58" s="140">
        <f>GO58*GP58</f>
        <v>1892.559285714286</v>
      </c>
      <c r="GR58" s="159">
        <f>GO58*GP58</f>
        <v>1892.559285714286</v>
      </c>
      <c r="GS58" s="528"/>
      <c r="GT58" s="169" t="s">
        <v>98</v>
      </c>
      <c r="GU58" s="144">
        <v>5</v>
      </c>
      <c r="GV58" s="157" t="s">
        <v>99</v>
      </c>
      <c r="GW58" s="175">
        <v>153</v>
      </c>
      <c r="GX58" s="139">
        <v>0.85442857142857154</v>
      </c>
      <c r="GY58" s="140">
        <f>GW58*GX58</f>
        <v>130.72757142857145</v>
      </c>
      <c r="GZ58" s="159">
        <f>GW58*GX58</f>
        <v>130.72757142857145</v>
      </c>
      <c r="HA58" s="528"/>
      <c r="HB58" s="169" t="s">
        <v>98</v>
      </c>
      <c r="HC58" s="144">
        <v>2</v>
      </c>
      <c r="HD58" s="157" t="s">
        <v>99</v>
      </c>
      <c r="HE58" s="175">
        <v>40</v>
      </c>
      <c r="HF58" s="139">
        <v>0.85442857142857154</v>
      </c>
      <c r="HG58" s="140">
        <f>HE58*HF58</f>
        <v>34.177142857142861</v>
      </c>
      <c r="HH58" s="159">
        <f>HE58*HF58</f>
        <v>34.177142857142861</v>
      </c>
      <c r="HI58" s="528"/>
      <c r="HJ58" s="169" t="s">
        <v>98</v>
      </c>
      <c r="HK58" s="144">
        <v>15</v>
      </c>
      <c r="HL58" s="157" t="s">
        <v>99</v>
      </c>
      <c r="HM58" s="175">
        <v>164</v>
      </c>
      <c r="HN58" s="139">
        <v>0.85442857142857154</v>
      </c>
      <c r="HO58" s="140">
        <f>HM58*HN58</f>
        <v>140.12628571428573</v>
      </c>
      <c r="HP58" s="159">
        <f>HM58*HN58</f>
        <v>140.12628571428573</v>
      </c>
      <c r="HQ58" s="528"/>
      <c r="HR58" s="169" t="s">
        <v>98</v>
      </c>
      <c r="HS58" s="144">
        <v>36</v>
      </c>
      <c r="HT58" s="157" t="s">
        <v>99</v>
      </c>
      <c r="HU58" s="175">
        <v>1403</v>
      </c>
      <c r="HV58" s="139">
        <v>0.85442857142857154</v>
      </c>
      <c r="HW58" s="140">
        <f>HU58*HV58</f>
        <v>1198.7632857142858</v>
      </c>
      <c r="HX58" s="159">
        <f>HU58*HV58</f>
        <v>1198.7632857142858</v>
      </c>
      <c r="HY58" s="528"/>
      <c r="HZ58" s="169" t="s">
        <v>98</v>
      </c>
      <c r="IA58" s="144">
        <v>27</v>
      </c>
      <c r="IB58" s="157" t="s">
        <v>99</v>
      </c>
      <c r="IC58" s="175">
        <v>926</v>
      </c>
      <c r="ID58" s="139">
        <v>0.85442857142857154</v>
      </c>
      <c r="IE58" s="140">
        <f>IC58*ID58</f>
        <v>791.20085714285722</v>
      </c>
      <c r="IF58" s="159">
        <f>IC58*ID58</f>
        <v>791.20085714285722</v>
      </c>
      <c r="IG58" s="528"/>
      <c r="IH58" s="169" t="s">
        <v>98</v>
      </c>
      <c r="II58" s="144">
        <v>36</v>
      </c>
      <c r="IJ58" s="157" t="s">
        <v>99</v>
      </c>
      <c r="IK58" s="175">
        <v>974</v>
      </c>
      <c r="IL58" s="139">
        <v>0.85442857142857154</v>
      </c>
      <c r="IM58" s="140">
        <f>IK58*IL58</f>
        <v>832.21342857142872</v>
      </c>
      <c r="IN58" s="159">
        <f>IK58*IL58</f>
        <v>832.21342857142872</v>
      </c>
      <c r="IO58" s="528"/>
      <c r="IP58" s="169" t="s">
        <v>98</v>
      </c>
      <c r="IQ58" s="144">
        <v>34</v>
      </c>
      <c r="IR58" s="157" t="s">
        <v>99</v>
      </c>
      <c r="IS58" s="175">
        <v>1434</v>
      </c>
      <c r="IT58" s="139">
        <v>0.85442857142857154</v>
      </c>
      <c r="IU58" s="140">
        <f>IS58*IT58</f>
        <v>1225.2505714285717</v>
      </c>
      <c r="IV58" s="159">
        <f>IS58*IT58</f>
        <v>1225.2505714285717</v>
      </c>
      <c r="IW58" s="528"/>
      <c r="IX58" s="169" t="s">
        <v>98</v>
      </c>
      <c r="IY58" s="144">
        <v>21</v>
      </c>
      <c r="IZ58" s="157" t="s">
        <v>99</v>
      </c>
      <c r="JA58" s="175">
        <v>1378</v>
      </c>
      <c r="JB58" s="139">
        <v>0.85442857142857154</v>
      </c>
      <c r="JC58" s="140">
        <f>JA58*JB58</f>
        <v>1177.4025714285715</v>
      </c>
      <c r="JD58" s="159">
        <f>JA58*JB58</f>
        <v>1177.4025714285715</v>
      </c>
      <c r="JE58" s="528"/>
      <c r="JF58" s="169" t="s">
        <v>98</v>
      </c>
      <c r="JG58" s="144">
        <v>6</v>
      </c>
      <c r="JH58" s="157" t="s">
        <v>99</v>
      </c>
      <c r="JI58" s="175">
        <v>175</v>
      </c>
      <c r="JJ58" s="139">
        <v>0.85442857142857154</v>
      </c>
      <c r="JK58" s="140">
        <f>JI58*JJ58</f>
        <v>149.52500000000001</v>
      </c>
      <c r="JL58" s="159">
        <f>JI58*JJ58</f>
        <v>149.52500000000001</v>
      </c>
      <c r="JM58" s="528"/>
      <c r="JN58" s="169" t="s">
        <v>98</v>
      </c>
      <c r="JO58" s="144">
        <v>5</v>
      </c>
      <c r="JP58" s="157" t="s">
        <v>99</v>
      </c>
      <c r="JQ58" s="175">
        <v>107</v>
      </c>
      <c r="JR58" s="139">
        <v>0.85442857142857154</v>
      </c>
      <c r="JS58" s="140">
        <f>JQ58*JR58</f>
        <v>91.423857142857159</v>
      </c>
      <c r="JT58" s="159">
        <f>JQ58*JR58</f>
        <v>91.423857142857159</v>
      </c>
      <c r="JU58" s="528"/>
      <c r="JV58" s="169" t="s">
        <v>98</v>
      </c>
      <c r="JW58" s="144">
        <v>46</v>
      </c>
      <c r="JX58" s="157" t="s">
        <v>99</v>
      </c>
      <c r="JY58" s="175">
        <v>2417</v>
      </c>
      <c r="JZ58" s="139">
        <v>0.85442857142857154</v>
      </c>
      <c r="KA58" s="140">
        <f>JY58*JZ58</f>
        <v>2065.1538571428573</v>
      </c>
      <c r="KB58" s="159">
        <f>JY58*JZ58</f>
        <v>2065.1538571428573</v>
      </c>
      <c r="KC58" s="528"/>
      <c r="KD58" s="169" t="s">
        <v>98</v>
      </c>
      <c r="KE58" s="144">
        <v>8</v>
      </c>
      <c r="KF58" s="157" t="s">
        <v>99</v>
      </c>
      <c r="KG58" s="175">
        <v>380</v>
      </c>
      <c r="KH58" s="139">
        <v>0.85442857142857154</v>
      </c>
      <c r="KI58" s="140">
        <f>KG58*KH58</f>
        <v>324.68285714285719</v>
      </c>
      <c r="KJ58" s="159">
        <f>KG58*KH58</f>
        <v>324.68285714285719</v>
      </c>
      <c r="KK58" s="528"/>
      <c r="KL58" s="169" t="s">
        <v>98</v>
      </c>
      <c r="KM58" s="144">
        <v>9</v>
      </c>
      <c r="KN58" s="157" t="s">
        <v>99</v>
      </c>
      <c r="KO58" s="175">
        <v>306</v>
      </c>
      <c r="KP58" s="139">
        <v>0.85442857142857154</v>
      </c>
      <c r="KQ58" s="140">
        <f>KO58*KP58</f>
        <v>261.4551428571429</v>
      </c>
      <c r="KR58" s="159">
        <f>KO58*KP58</f>
        <v>261.4551428571429</v>
      </c>
      <c r="KS58" s="528"/>
      <c r="KT58" s="169" t="s">
        <v>98</v>
      </c>
      <c r="KU58" s="144">
        <v>21</v>
      </c>
      <c r="KV58" s="157" t="s">
        <v>99</v>
      </c>
      <c r="KW58" s="175">
        <v>1272</v>
      </c>
      <c r="KX58" s="139">
        <v>0.85442857142857154</v>
      </c>
      <c r="KY58" s="140">
        <f>KW58*KX58</f>
        <v>1086.833142857143</v>
      </c>
      <c r="KZ58" s="159">
        <f>KW58*KX58</f>
        <v>1086.833142857143</v>
      </c>
      <c r="LA58" s="528"/>
      <c r="LB58" s="169" t="s">
        <v>98</v>
      </c>
      <c r="LC58" s="144">
        <v>21</v>
      </c>
      <c r="LD58" s="157" t="s">
        <v>99</v>
      </c>
      <c r="LE58" s="175">
        <v>622</v>
      </c>
      <c r="LF58" s="139">
        <v>0.85442857142857154</v>
      </c>
      <c r="LG58" s="140">
        <f>LE58*LF58</f>
        <v>531.45457142857151</v>
      </c>
      <c r="LH58" s="159">
        <f>LE58*LF58</f>
        <v>531.45457142857151</v>
      </c>
      <c r="LI58" s="528"/>
      <c r="LJ58" s="169" t="s">
        <v>98</v>
      </c>
      <c r="LK58" s="144">
        <v>32</v>
      </c>
      <c r="LL58" s="157" t="s">
        <v>99</v>
      </c>
      <c r="LM58" s="175">
        <v>642</v>
      </c>
      <c r="LN58" s="139">
        <v>0.85442857142857154</v>
      </c>
      <c r="LO58" s="140">
        <f>LM58*LN58</f>
        <v>548.54314285714293</v>
      </c>
      <c r="LP58" s="159">
        <f>LM58*LN58</f>
        <v>548.54314285714293</v>
      </c>
      <c r="LQ58" s="528"/>
      <c r="LR58" s="169" t="s">
        <v>98</v>
      </c>
      <c r="LS58" s="144">
        <v>22</v>
      </c>
      <c r="LT58" s="157" t="s">
        <v>99</v>
      </c>
      <c r="LU58" s="175">
        <v>1005</v>
      </c>
      <c r="LV58" s="139">
        <v>0.85442857142857154</v>
      </c>
      <c r="LW58" s="140">
        <f>LU58*LV58</f>
        <v>858.70071428571441</v>
      </c>
      <c r="LX58" s="159">
        <f>LU58*LV58</f>
        <v>858.70071428571441</v>
      </c>
      <c r="LY58" s="528"/>
      <c r="LZ58" s="169" t="s">
        <v>98</v>
      </c>
      <c r="MA58" s="144">
        <v>34</v>
      </c>
      <c r="MB58" s="157" t="s">
        <v>99</v>
      </c>
      <c r="MC58" s="175">
        <v>1546</v>
      </c>
      <c r="MD58" s="139">
        <v>0.85442857142857154</v>
      </c>
      <c r="ME58" s="140">
        <f>MC58*MD58</f>
        <v>1320.9465714285716</v>
      </c>
      <c r="MF58" s="159">
        <f>MC58*MD58</f>
        <v>1320.9465714285716</v>
      </c>
      <c r="MG58" s="528"/>
      <c r="MH58" s="169" t="s">
        <v>98</v>
      </c>
      <c r="MI58" s="144">
        <v>39</v>
      </c>
      <c r="MJ58" s="157" t="s">
        <v>99</v>
      </c>
      <c r="MK58" s="175">
        <v>1287</v>
      </c>
      <c r="ML58" s="139">
        <v>0.85442857142857154</v>
      </c>
      <c r="MM58" s="140">
        <f>MK58*ML58</f>
        <v>1099.6495714285716</v>
      </c>
      <c r="MN58" s="159">
        <f>MK58*ML58</f>
        <v>1099.6495714285716</v>
      </c>
      <c r="MO58" s="528"/>
      <c r="MP58" s="169" t="s">
        <v>98</v>
      </c>
      <c r="MQ58" s="144">
        <v>26</v>
      </c>
      <c r="MR58" s="157" t="s">
        <v>99</v>
      </c>
      <c r="MS58" s="175">
        <v>1065</v>
      </c>
      <c r="MT58" s="139">
        <v>0.85442857142857154</v>
      </c>
      <c r="MU58" s="140">
        <f>MS58*MT58</f>
        <v>909.96642857142865</v>
      </c>
      <c r="MV58" s="159">
        <f>MS58*MT58</f>
        <v>909.96642857142865</v>
      </c>
      <c r="MW58" s="528"/>
      <c r="MX58" s="672" t="s">
        <v>118</v>
      </c>
      <c r="MY58" s="144">
        <v>13</v>
      </c>
      <c r="MZ58" s="664" t="s">
        <v>36</v>
      </c>
      <c r="NA58" s="175">
        <v>101</v>
      </c>
      <c r="NB58" s="164">
        <v>0.83900000000000008</v>
      </c>
      <c r="NC58" s="674">
        <f>NA58*NB58</f>
        <v>84.739000000000004</v>
      </c>
      <c r="ND58" s="703"/>
      <c r="NE58" s="528"/>
      <c r="NF58" s="672" t="s">
        <v>118</v>
      </c>
      <c r="NG58" s="144">
        <v>26</v>
      </c>
      <c r="NH58" s="664" t="s">
        <v>36</v>
      </c>
      <c r="NI58" s="164">
        <v>214</v>
      </c>
      <c r="NJ58" s="164">
        <v>0.83900000000000008</v>
      </c>
      <c r="NK58" s="674">
        <f>NI58*NJ58</f>
        <v>179.54600000000002</v>
      </c>
      <c r="NL58" s="703"/>
      <c r="NM58" s="528"/>
      <c r="NN58" s="672" t="s">
        <v>118</v>
      </c>
      <c r="NO58" s="144">
        <v>15</v>
      </c>
      <c r="NP58" s="664" t="s">
        <v>36</v>
      </c>
      <c r="NQ58" s="756">
        <v>249</v>
      </c>
      <c r="NR58" s="164">
        <v>0.83900000000000008</v>
      </c>
      <c r="NS58" s="674">
        <f>NQ58*NR58</f>
        <v>208.91100000000003</v>
      </c>
      <c r="NT58" s="703"/>
      <c r="NU58" s="528"/>
      <c r="NV58" s="672" t="s">
        <v>118</v>
      </c>
      <c r="NW58" s="144">
        <v>7</v>
      </c>
      <c r="NX58" s="664" t="s">
        <v>36</v>
      </c>
      <c r="NY58" s="780">
        <v>134</v>
      </c>
      <c r="NZ58" s="164">
        <v>0.83900000000000008</v>
      </c>
      <c r="OA58" s="674">
        <f>NY58*NZ58</f>
        <v>112.42600000000002</v>
      </c>
      <c r="OB58" s="703"/>
      <c r="OC58" s="528"/>
      <c r="OD58" s="672" t="s">
        <v>118</v>
      </c>
      <c r="OE58" s="144">
        <v>25</v>
      </c>
      <c r="OF58" s="664" t="s">
        <v>36</v>
      </c>
      <c r="OG58" s="780">
        <v>274</v>
      </c>
      <c r="OH58" s="164">
        <v>0.83900000000000008</v>
      </c>
      <c r="OI58" s="674">
        <f>OG58*OH58</f>
        <v>229.88600000000002</v>
      </c>
      <c r="OJ58" s="703"/>
      <c r="OK58" s="528"/>
      <c r="OL58" s="672" t="s">
        <v>118</v>
      </c>
      <c r="OM58" s="144">
        <v>45</v>
      </c>
      <c r="ON58" s="664" t="s">
        <v>36</v>
      </c>
      <c r="OO58" s="780">
        <v>357</v>
      </c>
      <c r="OP58" s="164">
        <v>0.83900000000000008</v>
      </c>
      <c r="OQ58" s="674">
        <f>OO58*OP58</f>
        <v>299.52300000000002</v>
      </c>
      <c r="OR58" s="703"/>
      <c r="OS58" s="528"/>
      <c r="OT58" s="672" t="s">
        <v>118</v>
      </c>
      <c r="OU58" s="144"/>
      <c r="OV58" s="664" t="s">
        <v>36</v>
      </c>
      <c r="OW58" s="780"/>
      <c r="OX58" s="164">
        <v>0.83900000000000008</v>
      </c>
      <c r="OY58" s="674">
        <f>OW58*OX58</f>
        <v>0</v>
      </c>
      <c r="OZ58" s="703"/>
      <c r="PA58" s="528"/>
      <c r="PB58" s="672" t="s">
        <v>118</v>
      </c>
      <c r="PC58" s="144"/>
      <c r="PD58" s="664" t="s">
        <v>36</v>
      </c>
      <c r="PE58" s="780"/>
      <c r="PF58" s="164">
        <v>0.83900000000000008</v>
      </c>
      <c r="PG58" s="674">
        <f>PE58*PF58</f>
        <v>0</v>
      </c>
      <c r="PH58" s="703"/>
      <c r="PI58" s="528"/>
      <c r="PJ58" s="672" t="s">
        <v>118</v>
      </c>
      <c r="PK58" s="144">
        <v>4</v>
      </c>
      <c r="PL58" s="664" t="s">
        <v>36</v>
      </c>
      <c r="PM58" s="780">
        <v>114</v>
      </c>
      <c r="PN58" s="164">
        <v>0.83900000000000008</v>
      </c>
      <c r="PO58" s="674">
        <f>PM58*PN58</f>
        <v>95.646000000000015</v>
      </c>
      <c r="PP58" s="703"/>
      <c r="PQ58" s="528"/>
      <c r="PR58" s="672" t="s">
        <v>118</v>
      </c>
      <c r="PS58" s="144">
        <v>9</v>
      </c>
      <c r="PT58" s="664" t="s">
        <v>36</v>
      </c>
      <c r="PU58" s="780">
        <v>63</v>
      </c>
      <c r="PV58" s="164">
        <v>0.83900000000000008</v>
      </c>
      <c r="PW58" s="674">
        <f>PU58*PV58</f>
        <v>52.857000000000006</v>
      </c>
      <c r="PX58" s="703"/>
      <c r="PY58" s="528"/>
      <c r="PZ58" s="672" t="s">
        <v>118</v>
      </c>
      <c r="QA58" s="144">
        <v>8</v>
      </c>
      <c r="QB58" s="664" t="s">
        <v>36</v>
      </c>
      <c r="QC58" s="780">
        <v>41</v>
      </c>
      <c r="QD58" s="164">
        <v>0.83900000000000008</v>
      </c>
      <c r="QE58" s="674">
        <f>QC58*QD58</f>
        <v>34.399000000000001</v>
      </c>
      <c r="QF58" s="703"/>
      <c r="QG58" s="528"/>
      <c r="QH58" s="672" t="s">
        <v>118</v>
      </c>
      <c r="QI58" s="144">
        <v>22</v>
      </c>
      <c r="QJ58" s="664" t="s">
        <v>36</v>
      </c>
      <c r="QK58" s="780">
        <v>186</v>
      </c>
      <c r="QL58" s="164">
        <v>0.83900000000000008</v>
      </c>
      <c r="QM58" s="674">
        <f>QK58*QL58</f>
        <v>156.054</v>
      </c>
      <c r="QN58" s="703"/>
      <c r="QO58" s="528"/>
      <c r="QP58" s="672" t="s">
        <v>118</v>
      </c>
      <c r="QQ58" s="144">
        <v>17</v>
      </c>
      <c r="QR58" s="664" t="s">
        <v>36</v>
      </c>
      <c r="QS58" s="780">
        <v>170</v>
      </c>
      <c r="QT58" s="164">
        <v>0.83900000000000008</v>
      </c>
      <c r="QU58" s="674">
        <f>QS58*QT58</f>
        <v>142.63000000000002</v>
      </c>
      <c r="QV58" s="703"/>
      <c r="QW58" s="528"/>
      <c r="QX58" s="672" t="s">
        <v>118</v>
      </c>
      <c r="QY58" s="144"/>
      <c r="QZ58" s="664" t="s">
        <v>36</v>
      </c>
      <c r="RA58" s="780"/>
      <c r="RB58" s="164">
        <v>0.83900000000000008</v>
      </c>
      <c r="RC58" s="674">
        <f>RA58*RB58</f>
        <v>0</v>
      </c>
      <c r="RD58" s="703"/>
      <c r="RE58" s="528"/>
      <c r="RF58" s="672" t="s">
        <v>118</v>
      </c>
      <c r="RG58" s="144"/>
      <c r="RH58" s="664" t="s">
        <v>36</v>
      </c>
      <c r="RI58" s="780"/>
      <c r="RJ58" s="164">
        <v>0.83900000000000008</v>
      </c>
      <c r="RK58" s="674">
        <f>RI58*RJ58</f>
        <v>0</v>
      </c>
      <c r="RL58" s="703"/>
      <c r="RM58" s="528"/>
      <c r="RN58" s="672" t="s">
        <v>118</v>
      </c>
      <c r="RO58" s="144">
        <v>29</v>
      </c>
      <c r="RP58" s="664" t="s">
        <v>36</v>
      </c>
      <c r="RQ58" s="780">
        <v>272</v>
      </c>
      <c r="RR58" s="164">
        <v>0.83900000000000008</v>
      </c>
      <c r="RS58" s="674">
        <f>RQ58*RR58</f>
        <v>228.20800000000003</v>
      </c>
      <c r="RT58" s="703"/>
      <c r="RU58" s="528"/>
      <c r="RV58" s="672" t="s">
        <v>118</v>
      </c>
      <c r="RW58" s="144">
        <v>13</v>
      </c>
      <c r="RX58" s="664" t="s">
        <v>36</v>
      </c>
      <c r="RY58" s="780">
        <v>142</v>
      </c>
      <c r="RZ58" s="164">
        <v>0.83900000000000008</v>
      </c>
      <c r="SA58" s="674">
        <f>RY58*RZ58</f>
        <v>119.13800000000001</v>
      </c>
      <c r="SB58" s="703"/>
      <c r="SC58" s="528"/>
      <c r="SD58" s="672" t="s">
        <v>118</v>
      </c>
      <c r="SE58" s="144">
        <v>20</v>
      </c>
      <c r="SF58" s="664" t="s">
        <v>36</v>
      </c>
      <c r="SG58" s="780">
        <v>136</v>
      </c>
      <c r="SH58" s="164">
        <v>0.83900000000000008</v>
      </c>
      <c r="SI58" s="674">
        <f>SG58*SH58</f>
        <v>114.10400000000001</v>
      </c>
      <c r="SJ58" s="703"/>
      <c r="SK58" s="528"/>
      <c r="SL58" s="672" t="s">
        <v>118</v>
      </c>
      <c r="SM58" s="144">
        <v>25</v>
      </c>
      <c r="SN58" s="664" t="s">
        <v>36</v>
      </c>
      <c r="SO58" s="780">
        <v>179</v>
      </c>
      <c r="SP58" s="164">
        <v>0.83900000000000008</v>
      </c>
      <c r="SQ58" s="674">
        <f>SO58*SP58</f>
        <v>150.18100000000001</v>
      </c>
      <c r="SR58" s="703"/>
      <c r="SS58" s="528"/>
      <c r="ST58" s="672" t="s">
        <v>118</v>
      </c>
      <c r="SU58" s="144">
        <v>22</v>
      </c>
      <c r="SV58" s="664" t="s">
        <v>36</v>
      </c>
      <c r="SW58" s="780">
        <v>208</v>
      </c>
      <c r="SX58" s="164">
        <v>0.83900000000000008</v>
      </c>
      <c r="SY58" s="674">
        <f>SW58*SX58</f>
        <v>174.51200000000003</v>
      </c>
      <c r="SZ58" s="703"/>
      <c r="TA58" s="528"/>
      <c r="TB58" s="672" t="s">
        <v>118</v>
      </c>
      <c r="TC58" s="144">
        <v>12</v>
      </c>
      <c r="TD58" s="664" t="s">
        <v>36</v>
      </c>
      <c r="TE58" s="780">
        <v>146</v>
      </c>
      <c r="TF58" s="164">
        <v>0.83900000000000008</v>
      </c>
      <c r="TG58" s="674">
        <f>TE58*TF58</f>
        <v>122.49400000000001</v>
      </c>
      <c r="TH58" s="703"/>
      <c r="TI58" s="528"/>
    </row>
    <row r="59" spans="2:529">
      <c r="I59" s="528"/>
      <c r="Q59" s="528"/>
      <c r="Y59" s="528"/>
      <c r="AG59" s="528"/>
      <c r="AO59" s="528"/>
      <c r="AW59" s="528"/>
      <c r="BE59" s="528"/>
      <c r="BM59" s="528"/>
      <c r="BU59" s="528"/>
      <c r="CC59" s="528"/>
      <c r="CK59" s="528"/>
      <c r="CS59" s="528"/>
      <c r="DA59" s="528"/>
      <c r="DI59" s="528"/>
      <c r="DQ59" s="528"/>
      <c r="DY59" s="528"/>
      <c r="EG59" s="528"/>
      <c r="EO59" s="528"/>
      <c r="EW59" s="528"/>
      <c r="FE59" s="528"/>
      <c r="FM59" s="528"/>
      <c r="FU59" s="528"/>
      <c r="GC59" s="528"/>
      <c r="GK59" s="528"/>
      <c r="GS59" s="528"/>
      <c r="HA59" s="528"/>
      <c r="HI59" s="528"/>
      <c r="HQ59" s="528"/>
      <c r="HY59" s="528"/>
      <c r="IG59" s="528"/>
      <c r="IO59" s="528"/>
      <c r="IW59" s="528"/>
      <c r="JE59" s="528"/>
      <c r="JM59" s="528"/>
      <c r="JU59" s="528"/>
      <c r="KC59" s="528"/>
      <c r="KK59" s="528"/>
      <c r="KS59" s="528"/>
      <c r="LA59" s="528"/>
      <c r="LI59" s="528"/>
      <c r="LQ59" s="528"/>
      <c r="LY59" s="528"/>
      <c r="MG59" s="528"/>
      <c r="MO59" s="528"/>
      <c r="MW59" s="528"/>
      <c r="MX59" s="672"/>
      <c r="MY59" s="669"/>
      <c r="MZ59" s="663" t="s">
        <v>20</v>
      </c>
      <c r="NA59" s="664"/>
      <c r="NB59" s="664"/>
      <c r="NC59" s="674">
        <f t="shared" si="166"/>
        <v>0</v>
      </c>
      <c r="ND59" s="704"/>
      <c r="NE59" s="528"/>
      <c r="NF59" s="672"/>
      <c r="NG59" s="710"/>
      <c r="NH59" s="663" t="s">
        <v>20</v>
      </c>
      <c r="NI59" s="664"/>
      <c r="NJ59" s="664"/>
      <c r="NK59" s="674">
        <f t="shared" ref="NK59:NK64" si="207">NI59*NJ59</f>
        <v>0</v>
      </c>
      <c r="NL59" s="704"/>
      <c r="NM59" s="528"/>
      <c r="NN59" s="672"/>
      <c r="NO59" s="669"/>
      <c r="NP59" s="663" t="s">
        <v>20</v>
      </c>
      <c r="NQ59" s="664"/>
      <c r="NR59" s="664"/>
      <c r="NS59" s="674">
        <f t="shared" ref="NS59:NS64" si="208">NQ59*NR59</f>
        <v>0</v>
      </c>
      <c r="NT59" s="704"/>
      <c r="NU59" s="528"/>
      <c r="NV59" s="672"/>
      <c r="NW59" s="669"/>
      <c r="NX59" s="663" t="s">
        <v>20</v>
      </c>
      <c r="NY59" s="664"/>
      <c r="NZ59" s="664"/>
      <c r="OA59" s="674">
        <f t="shared" ref="OA59:OA64" si="209">NY59*NZ59</f>
        <v>0</v>
      </c>
      <c r="OB59" s="704"/>
      <c r="OC59" s="528"/>
      <c r="OD59" s="672"/>
      <c r="OE59" s="669"/>
      <c r="OF59" s="663" t="s">
        <v>20</v>
      </c>
      <c r="OG59" s="664"/>
      <c r="OH59" s="664"/>
      <c r="OI59" s="674">
        <f t="shared" ref="OI59:OI64" si="210">OG59*OH59</f>
        <v>0</v>
      </c>
      <c r="OJ59" s="704"/>
      <c r="OK59" s="528"/>
      <c r="OL59" s="672"/>
      <c r="OM59" s="669"/>
      <c r="ON59" s="663" t="s">
        <v>20</v>
      </c>
      <c r="OO59" s="664"/>
      <c r="OP59" s="664"/>
      <c r="OQ59" s="674">
        <f t="shared" ref="OQ59:OQ64" si="211">OO59*OP59</f>
        <v>0</v>
      </c>
      <c r="OR59" s="704"/>
      <c r="OS59" s="528"/>
      <c r="OT59" s="672"/>
      <c r="OU59" s="669"/>
      <c r="OV59" s="663" t="s">
        <v>20</v>
      </c>
      <c r="OW59" s="664"/>
      <c r="OX59" s="664"/>
      <c r="OY59" s="674">
        <f t="shared" ref="OY59:OY64" si="212">OW59*OX59</f>
        <v>0</v>
      </c>
      <c r="OZ59" s="704"/>
      <c r="PA59" s="528"/>
      <c r="PB59" s="672"/>
      <c r="PC59" s="669"/>
      <c r="PD59" s="663" t="s">
        <v>20</v>
      </c>
      <c r="PE59" s="664"/>
      <c r="PF59" s="664"/>
      <c r="PG59" s="674">
        <f t="shared" ref="PG59:PG64" si="213">PE59*PF59</f>
        <v>0</v>
      </c>
      <c r="PH59" s="704"/>
      <c r="PI59" s="528"/>
      <c r="PJ59" s="672"/>
      <c r="PK59" s="669"/>
      <c r="PL59" s="663" t="s">
        <v>20</v>
      </c>
      <c r="PM59" s="713"/>
      <c r="PN59" s="664"/>
      <c r="PO59" s="674">
        <f t="shared" ref="PO59:PO64" si="214">PM59*PN59</f>
        <v>0</v>
      </c>
      <c r="PP59" s="704"/>
      <c r="PQ59" s="528"/>
      <c r="PR59" s="672"/>
      <c r="PS59" s="669"/>
      <c r="PT59" s="663" t="s">
        <v>20</v>
      </c>
      <c r="PU59" s="713"/>
      <c r="PV59" s="664"/>
      <c r="PW59" s="674">
        <f t="shared" ref="PW59:PW64" si="215">PU59*PV59</f>
        <v>0</v>
      </c>
      <c r="PX59" s="704"/>
      <c r="PY59" s="528"/>
      <c r="PZ59" s="672"/>
      <c r="QA59" s="669"/>
      <c r="QB59" s="663" t="s">
        <v>20</v>
      </c>
      <c r="QC59" s="713"/>
      <c r="QD59" s="664"/>
      <c r="QE59" s="674">
        <f t="shared" ref="QE59:QE64" si="216">QC59*QD59</f>
        <v>0</v>
      </c>
      <c r="QF59" s="704"/>
      <c r="QG59" s="528"/>
      <c r="QH59" s="672"/>
      <c r="QI59" s="669"/>
      <c r="QJ59" s="663" t="s">
        <v>20</v>
      </c>
      <c r="QK59" s="713"/>
      <c r="QL59" s="664"/>
      <c r="QM59" s="674">
        <f t="shared" ref="QM59:QM64" si="217">QK59*QL59</f>
        <v>0</v>
      </c>
      <c r="QN59" s="704"/>
      <c r="QO59" s="528"/>
      <c r="QP59" s="672"/>
      <c r="QQ59" s="669"/>
      <c r="QR59" s="663" t="s">
        <v>20</v>
      </c>
      <c r="QS59" s="713"/>
      <c r="QT59" s="664"/>
      <c r="QU59" s="674">
        <f t="shared" ref="QU59:QU64" si="218">QS59*QT59</f>
        <v>0</v>
      </c>
      <c r="QV59" s="704"/>
      <c r="QW59" s="528"/>
      <c r="QX59" s="672"/>
      <c r="QY59" s="669"/>
      <c r="QZ59" s="663" t="s">
        <v>20</v>
      </c>
      <c r="RA59" s="713"/>
      <c r="RB59" s="664"/>
      <c r="RC59" s="674">
        <f t="shared" ref="RC59:RC64" si="219">RA59*RB59</f>
        <v>0</v>
      </c>
      <c r="RD59" s="704"/>
      <c r="RE59" s="528"/>
      <c r="RF59" s="672"/>
      <c r="RG59" s="669"/>
      <c r="RH59" s="663" t="s">
        <v>20</v>
      </c>
      <c r="RI59" s="713"/>
      <c r="RJ59" s="664"/>
      <c r="RK59" s="674">
        <f t="shared" ref="RK59:RK64" si="220">RI59*RJ59</f>
        <v>0</v>
      </c>
      <c r="RL59" s="704"/>
      <c r="RM59" s="528"/>
      <c r="RN59" s="672"/>
      <c r="RO59" s="669"/>
      <c r="RP59" s="663" t="s">
        <v>20</v>
      </c>
      <c r="RQ59" s="713"/>
      <c r="RR59" s="664"/>
      <c r="RS59" s="674">
        <f t="shared" ref="RS59:RS64" si="221">RQ59*RR59</f>
        <v>0</v>
      </c>
      <c r="RT59" s="704"/>
      <c r="RU59" s="528"/>
      <c r="RV59" s="672"/>
      <c r="RW59" s="669"/>
      <c r="RX59" s="663" t="s">
        <v>20</v>
      </c>
      <c r="RY59" s="713"/>
      <c r="RZ59" s="664"/>
      <c r="SA59" s="674">
        <f t="shared" ref="SA59:SA64" si="222">RY59*RZ59</f>
        <v>0</v>
      </c>
      <c r="SB59" s="704"/>
      <c r="SC59" s="528"/>
      <c r="SD59" s="672"/>
      <c r="SE59" s="669"/>
      <c r="SF59" s="663" t="s">
        <v>20</v>
      </c>
      <c r="SG59" s="713"/>
      <c r="SH59" s="664"/>
      <c r="SI59" s="674">
        <f t="shared" ref="SI59:SI64" si="223">SG59*SH59</f>
        <v>0</v>
      </c>
      <c r="SJ59" s="704"/>
      <c r="SK59" s="528"/>
      <c r="SL59" s="672"/>
      <c r="SM59" s="669"/>
      <c r="SN59" s="663" t="s">
        <v>20</v>
      </c>
      <c r="SO59" s="713"/>
      <c r="SP59" s="664"/>
      <c r="SQ59" s="674">
        <f t="shared" ref="SQ59:SQ64" si="224">SO59*SP59</f>
        <v>0</v>
      </c>
      <c r="SR59" s="704"/>
      <c r="SS59" s="528"/>
      <c r="ST59" s="672"/>
      <c r="SU59" s="669"/>
      <c r="SV59" s="663" t="s">
        <v>20</v>
      </c>
      <c r="SW59" s="713">
        <v>54</v>
      </c>
      <c r="SX59" s="664"/>
      <c r="SY59" s="674">
        <f t="shared" ref="SY59:SY64" si="225">SW59*SX59</f>
        <v>0</v>
      </c>
      <c r="SZ59" s="704"/>
      <c r="TA59" s="528"/>
      <c r="TB59" s="672"/>
      <c r="TC59" s="669"/>
      <c r="TD59" s="663" t="s">
        <v>20</v>
      </c>
      <c r="TE59" s="713"/>
      <c r="TF59" s="664"/>
      <c r="TG59" s="674">
        <f t="shared" ref="TG59:TG64" si="226">TE59*TF59</f>
        <v>0</v>
      </c>
      <c r="TH59" s="704"/>
      <c r="TI59" s="528"/>
    </row>
    <row r="60" spans="2:529">
      <c r="I60" s="528"/>
      <c r="Q60" s="528"/>
      <c r="Y60" s="528"/>
      <c r="AG60" s="528"/>
      <c r="AO60" s="528"/>
      <c r="AW60" s="528"/>
      <c r="BE60" s="528"/>
      <c r="BM60" s="528"/>
      <c r="BU60" s="528"/>
      <c r="CC60" s="528"/>
      <c r="CK60" s="528"/>
      <c r="CS60" s="528"/>
      <c r="DA60" s="528"/>
      <c r="DI60" s="528"/>
      <c r="DN60" s="531">
        <v>1052</v>
      </c>
      <c r="DQ60" s="528"/>
      <c r="DV60" s="531">
        <v>1052</v>
      </c>
      <c r="DY60" s="528"/>
      <c r="ED60" s="531">
        <v>1052</v>
      </c>
      <c r="EG60" s="528"/>
      <c r="EL60" s="531">
        <v>1052</v>
      </c>
      <c r="EO60" s="528"/>
      <c r="ET60" s="531">
        <v>1052</v>
      </c>
      <c r="EW60" s="528"/>
      <c r="FB60" s="531">
        <v>1052</v>
      </c>
      <c r="FE60" s="528"/>
      <c r="FJ60" s="531">
        <v>1052</v>
      </c>
      <c r="FM60" s="528"/>
      <c r="FR60" s="531">
        <v>1052</v>
      </c>
      <c r="FU60" s="528"/>
      <c r="FZ60" s="531">
        <v>1052</v>
      </c>
      <c r="GC60" s="528"/>
      <c r="GH60" s="531">
        <v>1052</v>
      </c>
      <c r="GK60" s="528"/>
      <c r="GS60" s="528"/>
      <c r="HA60" s="528"/>
      <c r="HI60" s="528"/>
      <c r="HQ60" s="528"/>
      <c r="HY60" s="528"/>
      <c r="IG60" s="528"/>
      <c r="IO60" s="528"/>
      <c r="IW60" s="528"/>
      <c r="JE60" s="528"/>
      <c r="JM60" s="528"/>
      <c r="JU60" s="528"/>
      <c r="KC60" s="528"/>
      <c r="KK60" s="528"/>
      <c r="KS60" s="528"/>
      <c r="LA60" s="528"/>
      <c r="LI60" s="528"/>
      <c r="LQ60" s="528"/>
      <c r="LY60" s="528"/>
      <c r="MG60" s="528"/>
      <c r="MO60" s="528"/>
      <c r="MW60" s="528"/>
      <c r="MX60" s="672"/>
      <c r="MY60" s="670"/>
      <c r="MZ60" s="663" t="s">
        <v>84</v>
      </c>
      <c r="NA60" s="664"/>
      <c r="NB60" s="664"/>
      <c r="NC60" s="674">
        <f t="shared" si="166"/>
        <v>0</v>
      </c>
      <c r="ND60" s="705"/>
      <c r="NE60" s="528"/>
      <c r="NF60" s="672"/>
      <c r="NG60" s="711"/>
      <c r="NH60" s="663" t="s">
        <v>84</v>
      </c>
      <c r="NI60" s="664"/>
      <c r="NJ60" s="664"/>
      <c r="NK60" s="674">
        <f t="shared" si="207"/>
        <v>0</v>
      </c>
      <c r="NL60" s="705"/>
      <c r="NM60" s="528"/>
      <c r="NN60" s="672"/>
      <c r="NO60" s="670"/>
      <c r="NP60" s="663" t="s">
        <v>84</v>
      </c>
      <c r="NQ60" s="664"/>
      <c r="NR60" s="664"/>
      <c r="NS60" s="674">
        <f t="shared" si="208"/>
        <v>0</v>
      </c>
      <c r="NT60" s="705"/>
      <c r="NU60" s="528"/>
      <c r="NV60" s="672"/>
      <c r="NW60" s="670"/>
      <c r="NX60" s="663" t="s">
        <v>84</v>
      </c>
      <c r="NY60" s="664"/>
      <c r="NZ60" s="664"/>
      <c r="OA60" s="674">
        <f t="shared" si="209"/>
        <v>0</v>
      </c>
      <c r="OB60" s="705"/>
      <c r="OC60" s="528"/>
      <c r="OD60" s="672"/>
      <c r="OE60" s="670"/>
      <c r="OF60" s="663" t="s">
        <v>84</v>
      </c>
      <c r="OG60" s="664"/>
      <c r="OH60" s="664"/>
      <c r="OI60" s="674">
        <f t="shared" si="210"/>
        <v>0</v>
      </c>
      <c r="OJ60" s="705"/>
      <c r="OK60" s="528"/>
      <c r="OL60" s="672"/>
      <c r="OM60" s="670"/>
      <c r="ON60" s="663" t="s">
        <v>84</v>
      </c>
      <c r="OO60" s="664"/>
      <c r="OP60" s="664"/>
      <c r="OQ60" s="674">
        <f t="shared" si="211"/>
        <v>0</v>
      </c>
      <c r="OR60" s="705"/>
      <c r="OS60" s="528"/>
      <c r="OT60" s="672"/>
      <c r="OU60" s="670"/>
      <c r="OV60" s="663" t="s">
        <v>84</v>
      </c>
      <c r="OW60" s="664"/>
      <c r="OX60" s="664"/>
      <c r="OY60" s="674">
        <f t="shared" si="212"/>
        <v>0</v>
      </c>
      <c r="OZ60" s="705"/>
      <c r="PA60" s="528"/>
      <c r="PB60" s="672"/>
      <c r="PC60" s="670"/>
      <c r="PD60" s="663" t="s">
        <v>84</v>
      </c>
      <c r="PE60" s="664"/>
      <c r="PF60" s="664"/>
      <c r="PG60" s="674">
        <f t="shared" si="213"/>
        <v>0</v>
      </c>
      <c r="PH60" s="705"/>
      <c r="PI60" s="528"/>
      <c r="PJ60" s="672"/>
      <c r="PK60" s="670"/>
      <c r="PL60" s="663" t="s">
        <v>84</v>
      </c>
      <c r="PM60" s="713"/>
      <c r="PN60" s="664"/>
      <c r="PO60" s="674">
        <f t="shared" si="214"/>
        <v>0</v>
      </c>
      <c r="PP60" s="705"/>
      <c r="PQ60" s="528"/>
      <c r="PR60" s="672"/>
      <c r="PS60" s="670"/>
      <c r="PT60" s="663" t="s">
        <v>84</v>
      </c>
      <c r="PU60" s="713"/>
      <c r="PV60" s="664"/>
      <c r="PW60" s="674">
        <f t="shared" si="215"/>
        <v>0</v>
      </c>
      <c r="PX60" s="705"/>
      <c r="PY60" s="528"/>
      <c r="PZ60" s="672"/>
      <c r="QA60" s="670"/>
      <c r="QB60" s="663" t="s">
        <v>84</v>
      </c>
      <c r="QC60" s="713"/>
      <c r="QD60" s="664"/>
      <c r="QE60" s="674">
        <f t="shared" si="216"/>
        <v>0</v>
      </c>
      <c r="QF60" s="705"/>
      <c r="QG60" s="528"/>
      <c r="QH60" s="672"/>
      <c r="QI60" s="670"/>
      <c r="QJ60" s="663" t="s">
        <v>84</v>
      </c>
      <c r="QK60" s="713"/>
      <c r="QL60" s="664"/>
      <c r="QM60" s="674">
        <f t="shared" si="217"/>
        <v>0</v>
      </c>
      <c r="QN60" s="705"/>
      <c r="QO60" s="528"/>
      <c r="QP60" s="672"/>
      <c r="QQ60" s="670"/>
      <c r="QR60" s="663" t="s">
        <v>84</v>
      </c>
      <c r="QS60" s="713"/>
      <c r="QT60" s="664"/>
      <c r="QU60" s="674">
        <f t="shared" si="218"/>
        <v>0</v>
      </c>
      <c r="QV60" s="705"/>
      <c r="QW60" s="528"/>
      <c r="QX60" s="672"/>
      <c r="QY60" s="670"/>
      <c r="QZ60" s="663" t="s">
        <v>84</v>
      </c>
      <c r="RA60" s="713"/>
      <c r="RB60" s="664"/>
      <c r="RC60" s="674">
        <f t="shared" si="219"/>
        <v>0</v>
      </c>
      <c r="RD60" s="705"/>
      <c r="RE60" s="528"/>
      <c r="RF60" s="672"/>
      <c r="RG60" s="670"/>
      <c r="RH60" s="663" t="s">
        <v>84</v>
      </c>
      <c r="RI60" s="713"/>
      <c r="RJ60" s="664"/>
      <c r="RK60" s="674">
        <f t="shared" si="220"/>
        <v>0</v>
      </c>
      <c r="RL60" s="705"/>
      <c r="RM60" s="528"/>
      <c r="RN60" s="672"/>
      <c r="RO60" s="670"/>
      <c r="RP60" s="663" t="s">
        <v>84</v>
      </c>
      <c r="RQ60" s="713"/>
      <c r="RR60" s="664"/>
      <c r="RS60" s="674">
        <f t="shared" si="221"/>
        <v>0</v>
      </c>
      <c r="RT60" s="705"/>
      <c r="RU60" s="528"/>
      <c r="RV60" s="672"/>
      <c r="RW60" s="670"/>
      <c r="RX60" s="663" t="s">
        <v>84</v>
      </c>
      <c r="RY60" s="713"/>
      <c r="RZ60" s="664"/>
      <c r="SA60" s="674">
        <f t="shared" si="222"/>
        <v>0</v>
      </c>
      <c r="SB60" s="705"/>
      <c r="SC60" s="528"/>
      <c r="SD60" s="672"/>
      <c r="SE60" s="670"/>
      <c r="SF60" s="663" t="s">
        <v>84</v>
      </c>
      <c r="SG60" s="713"/>
      <c r="SH60" s="664"/>
      <c r="SI60" s="674">
        <f t="shared" si="223"/>
        <v>0</v>
      </c>
      <c r="SJ60" s="705"/>
      <c r="SK60" s="528"/>
      <c r="SL60" s="672"/>
      <c r="SM60" s="670"/>
      <c r="SN60" s="663" t="s">
        <v>84</v>
      </c>
      <c r="SO60" s="713"/>
      <c r="SP60" s="664"/>
      <c r="SQ60" s="674">
        <f t="shared" si="224"/>
        <v>0</v>
      </c>
      <c r="SR60" s="705"/>
      <c r="SS60" s="528"/>
      <c r="ST60" s="672"/>
      <c r="SU60" s="670"/>
      <c r="SV60" s="663" t="s">
        <v>84</v>
      </c>
      <c r="SW60" s="713"/>
      <c r="SX60" s="664"/>
      <c r="SY60" s="674">
        <f t="shared" si="225"/>
        <v>0</v>
      </c>
      <c r="SZ60" s="705"/>
      <c r="TA60" s="528"/>
      <c r="TB60" s="672"/>
      <c r="TC60" s="670"/>
      <c r="TD60" s="663" t="s">
        <v>84</v>
      </c>
      <c r="TE60" s="713"/>
      <c r="TF60" s="664"/>
      <c r="TG60" s="674">
        <f t="shared" si="226"/>
        <v>0</v>
      </c>
      <c r="TH60" s="705"/>
      <c r="TI60" s="528"/>
    </row>
    <row r="61" spans="2:529">
      <c r="I61" s="528"/>
      <c r="Q61" s="528"/>
      <c r="Y61" s="528"/>
      <c r="AG61" s="528"/>
      <c r="AO61" s="528"/>
      <c r="AW61" s="528"/>
      <c r="BE61" s="528"/>
      <c r="BM61" s="528"/>
      <c r="BU61" s="528"/>
      <c r="CC61" s="528"/>
      <c r="CK61" s="528"/>
      <c r="CS61" s="528"/>
      <c r="DA61" s="528"/>
      <c r="DI61" s="528"/>
      <c r="DQ61" s="528"/>
      <c r="DY61" s="528"/>
      <c r="EG61" s="528"/>
      <c r="EO61" s="528"/>
      <c r="EW61" s="528"/>
      <c r="FE61" s="528"/>
      <c r="FM61" s="528"/>
      <c r="FU61" s="528"/>
      <c r="GC61" s="528"/>
      <c r="GK61" s="528"/>
      <c r="GS61" s="528"/>
      <c r="HA61" s="528"/>
      <c r="HI61" s="528"/>
      <c r="HQ61" s="528"/>
      <c r="HY61" s="528"/>
      <c r="IG61" s="528"/>
      <c r="IO61" s="528"/>
      <c r="IW61" s="528"/>
      <c r="JE61" s="528"/>
      <c r="JM61" s="528"/>
      <c r="JU61" s="528"/>
      <c r="KC61" s="528"/>
      <c r="KK61" s="528"/>
      <c r="KS61" s="528"/>
      <c r="LA61" s="528"/>
      <c r="LI61" s="528"/>
      <c r="LQ61" s="528"/>
      <c r="LY61" s="528"/>
      <c r="MG61" s="528"/>
      <c r="MO61" s="528"/>
      <c r="MW61" s="528"/>
      <c r="MX61" s="672"/>
      <c r="MY61" s="670"/>
      <c r="MZ61" s="663" t="s">
        <v>85</v>
      </c>
      <c r="NA61" s="664"/>
      <c r="NB61" s="664"/>
      <c r="NC61" s="140">
        <f t="shared" si="166"/>
        <v>0</v>
      </c>
      <c r="ND61" s="159">
        <f>SUM(NC58:NC61)</f>
        <v>84.739000000000004</v>
      </c>
      <c r="NE61" s="528"/>
      <c r="NF61" s="672"/>
      <c r="NG61" s="711"/>
      <c r="NH61" s="663" t="s">
        <v>85</v>
      </c>
      <c r="NI61" s="664"/>
      <c r="NJ61" s="664"/>
      <c r="NK61" s="140">
        <f t="shared" si="207"/>
        <v>0</v>
      </c>
      <c r="NL61" s="159">
        <f>SUM(NK58:NK61)</f>
        <v>179.54600000000002</v>
      </c>
      <c r="NM61" s="528"/>
      <c r="NN61" s="672"/>
      <c r="NO61" s="670"/>
      <c r="NP61" s="663" t="s">
        <v>85</v>
      </c>
      <c r="NQ61" s="664"/>
      <c r="NR61" s="664"/>
      <c r="NS61" s="140">
        <f t="shared" si="208"/>
        <v>0</v>
      </c>
      <c r="NT61" s="159">
        <f>SUM(NS58:NS61)</f>
        <v>208.91100000000003</v>
      </c>
      <c r="NU61" s="528"/>
      <c r="NV61" s="672"/>
      <c r="NW61" s="670"/>
      <c r="NX61" s="663" t="s">
        <v>85</v>
      </c>
      <c r="NY61" s="664"/>
      <c r="NZ61" s="664"/>
      <c r="OA61" s="140">
        <f t="shared" si="209"/>
        <v>0</v>
      </c>
      <c r="OB61" s="159">
        <f>SUM(OA58:OA61)</f>
        <v>112.42600000000002</v>
      </c>
      <c r="OC61" s="528"/>
      <c r="OD61" s="672"/>
      <c r="OE61" s="670"/>
      <c r="OF61" s="663" t="s">
        <v>85</v>
      </c>
      <c r="OG61" s="664"/>
      <c r="OH61" s="664"/>
      <c r="OI61" s="140">
        <f t="shared" si="210"/>
        <v>0</v>
      </c>
      <c r="OJ61" s="159">
        <f>SUM(OI58:OI61)</f>
        <v>229.88600000000002</v>
      </c>
      <c r="OK61" s="528"/>
      <c r="OL61" s="672"/>
      <c r="OM61" s="670"/>
      <c r="ON61" s="663" t="s">
        <v>85</v>
      </c>
      <c r="OO61" s="664"/>
      <c r="OP61" s="664"/>
      <c r="OQ61" s="140">
        <f t="shared" si="211"/>
        <v>0</v>
      </c>
      <c r="OR61" s="159">
        <f>SUM(OQ58:OQ61)</f>
        <v>299.52300000000002</v>
      </c>
      <c r="OS61" s="528"/>
      <c r="OT61" s="672"/>
      <c r="OU61" s="670"/>
      <c r="OV61" s="663" t="s">
        <v>85</v>
      </c>
      <c r="OW61" s="664"/>
      <c r="OX61" s="664"/>
      <c r="OY61" s="140">
        <f t="shared" si="212"/>
        <v>0</v>
      </c>
      <c r="OZ61" s="159">
        <f>SUM(OY58:OY61)</f>
        <v>0</v>
      </c>
      <c r="PA61" s="528"/>
      <c r="PB61" s="672"/>
      <c r="PC61" s="670"/>
      <c r="PD61" s="663" t="s">
        <v>85</v>
      </c>
      <c r="PE61" s="664"/>
      <c r="PF61" s="664"/>
      <c r="PG61" s="140">
        <f t="shared" si="213"/>
        <v>0</v>
      </c>
      <c r="PH61" s="159">
        <f>SUM(PG58:PG61)</f>
        <v>0</v>
      </c>
      <c r="PI61" s="528"/>
      <c r="PJ61" s="672"/>
      <c r="PK61" s="670"/>
      <c r="PL61" s="663" t="s">
        <v>85</v>
      </c>
      <c r="PM61" s="713"/>
      <c r="PN61" s="664"/>
      <c r="PO61" s="140">
        <f t="shared" si="214"/>
        <v>0</v>
      </c>
      <c r="PP61" s="159">
        <f>SUM(PO58:PO61)</f>
        <v>95.646000000000015</v>
      </c>
      <c r="PQ61" s="528"/>
      <c r="PR61" s="672"/>
      <c r="PS61" s="670"/>
      <c r="PT61" s="663" t="s">
        <v>85</v>
      </c>
      <c r="PU61" s="713"/>
      <c r="PV61" s="664"/>
      <c r="PW61" s="140">
        <f t="shared" si="215"/>
        <v>0</v>
      </c>
      <c r="PX61" s="159">
        <f>SUM(PW58:PW61)</f>
        <v>52.857000000000006</v>
      </c>
      <c r="PY61" s="528"/>
      <c r="PZ61" s="672"/>
      <c r="QA61" s="670"/>
      <c r="QB61" s="663" t="s">
        <v>85</v>
      </c>
      <c r="QC61" s="713"/>
      <c r="QD61" s="664"/>
      <c r="QE61" s="140">
        <f t="shared" si="216"/>
        <v>0</v>
      </c>
      <c r="QF61" s="159">
        <f>SUM(QE58:QE61)</f>
        <v>34.399000000000001</v>
      </c>
      <c r="QG61" s="528"/>
      <c r="QH61" s="672"/>
      <c r="QI61" s="670"/>
      <c r="QJ61" s="663" t="s">
        <v>85</v>
      </c>
      <c r="QK61" s="713"/>
      <c r="QL61" s="664"/>
      <c r="QM61" s="140">
        <f t="shared" si="217"/>
        <v>0</v>
      </c>
      <c r="QN61" s="159">
        <f>SUM(QM58:QM61)</f>
        <v>156.054</v>
      </c>
      <c r="QO61" s="528"/>
      <c r="QP61" s="672"/>
      <c r="QQ61" s="670"/>
      <c r="QR61" s="663" t="s">
        <v>85</v>
      </c>
      <c r="QS61" s="713"/>
      <c r="QT61" s="664"/>
      <c r="QU61" s="140">
        <f t="shared" si="218"/>
        <v>0</v>
      </c>
      <c r="QV61" s="159">
        <f>SUM(QU58:QU61)</f>
        <v>142.63000000000002</v>
      </c>
      <c r="QW61" s="528"/>
      <c r="QX61" s="672"/>
      <c r="QY61" s="670"/>
      <c r="QZ61" s="663" t="s">
        <v>85</v>
      </c>
      <c r="RA61" s="713"/>
      <c r="RB61" s="664"/>
      <c r="RC61" s="140">
        <f t="shared" si="219"/>
        <v>0</v>
      </c>
      <c r="RD61" s="159">
        <f>SUM(RC58:RC61)</f>
        <v>0</v>
      </c>
      <c r="RE61" s="528"/>
      <c r="RF61" s="672"/>
      <c r="RG61" s="670"/>
      <c r="RH61" s="663" t="s">
        <v>85</v>
      </c>
      <c r="RI61" s="713"/>
      <c r="RJ61" s="664"/>
      <c r="RK61" s="140">
        <f t="shared" si="220"/>
        <v>0</v>
      </c>
      <c r="RL61" s="159">
        <f>SUM(RK58:RK61)</f>
        <v>0</v>
      </c>
      <c r="RM61" s="528"/>
      <c r="RN61" s="672"/>
      <c r="RO61" s="670"/>
      <c r="RP61" s="663" t="s">
        <v>85</v>
      </c>
      <c r="RQ61" s="713"/>
      <c r="RR61" s="664"/>
      <c r="RS61" s="140">
        <f t="shared" si="221"/>
        <v>0</v>
      </c>
      <c r="RT61" s="159">
        <f>SUM(RS58:RS61)</f>
        <v>228.20800000000003</v>
      </c>
      <c r="RU61" s="528"/>
      <c r="RV61" s="672"/>
      <c r="RW61" s="670"/>
      <c r="RX61" s="663" t="s">
        <v>85</v>
      </c>
      <c r="RY61" s="713"/>
      <c r="RZ61" s="664"/>
      <c r="SA61" s="140">
        <f t="shared" si="222"/>
        <v>0</v>
      </c>
      <c r="SB61" s="159">
        <f>SUM(SA58:SA61)</f>
        <v>119.13800000000001</v>
      </c>
      <c r="SC61" s="528"/>
      <c r="SD61" s="672"/>
      <c r="SE61" s="670"/>
      <c r="SF61" s="663" t="s">
        <v>85</v>
      </c>
      <c r="SG61" s="713"/>
      <c r="SH61" s="664"/>
      <c r="SI61" s="140">
        <f t="shared" si="223"/>
        <v>0</v>
      </c>
      <c r="SJ61" s="159">
        <f>SUM(SI58:SI61)</f>
        <v>114.10400000000001</v>
      </c>
      <c r="SK61" s="528"/>
      <c r="SL61" s="672"/>
      <c r="SM61" s="670"/>
      <c r="SN61" s="663" t="s">
        <v>85</v>
      </c>
      <c r="SO61" s="713"/>
      <c r="SP61" s="664"/>
      <c r="SQ61" s="140">
        <f t="shared" si="224"/>
        <v>0</v>
      </c>
      <c r="SR61" s="159">
        <f>SUM(SQ58:SQ61)</f>
        <v>150.18100000000001</v>
      </c>
      <c r="SS61" s="528"/>
      <c r="ST61" s="672"/>
      <c r="SU61" s="670"/>
      <c r="SV61" s="663" t="s">
        <v>85</v>
      </c>
      <c r="SW61" s="713"/>
      <c r="SX61" s="664"/>
      <c r="SY61" s="140">
        <f t="shared" si="225"/>
        <v>0</v>
      </c>
      <c r="SZ61" s="159">
        <f>SUM(SY58:SY61)</f>
        <v>174.51200000000003</v>
      </c>
      <c r="TA61" s="528"/>
      <c r="TB61" s="672"/>
      <c r="TC61" s="670"/>
      <c r="TD61" s="663" t="s">
        <v>85</v>
      </c>
      <c r="TE61" s="713"/>
      <c r="TF61" s="664"/>
      <c r="TG61" s="140">
        <f t="shared" si="226"/>
        <v>0</v>
      </c>
      <c r="TH61" s="159">
        <f>SUM(TG58:TG61)</f>
        <v>122.49400000000001</v>
      </c>
      <c r="TI61" s="528"/>
    </row>
    <row r="62" spans="2:529">
      <c r="B62" s="110"/>
      <c r="C62" s="111"/>
      <c r="D62" s="111" t="s">
        <v>100</v>
      </c>
      <c r="E62" s="111"/>
      <c r="F62" s="111"/>
      <c r="G62" s="112"/>
      <c r="H62" s="113"/>
      <c r="I62" s="528"/>
      <c r="J62" s="110"/>
      <c r="K62" s="111"/>
      <c r="L62" s="111" t="s">
        <v>100</v>
      </c>
      <c r="M62" s="111"/>
      <c r="N62" s="111"/>
      <c r="O62" s="112"/>
      <c r="P62" s="113"/>
      <c r="Q62" s="528"/>
      <c r="R62" s="110"/>
      <c r="S62" s="111"/>
      <c r="T62" s="111" t="s">
        <v>100</v>
      </c>
      <c r="U62" s="111"/>
      <c r="V62" s="111"/>
      <c r="W62" s="112"/>
      <c r="X62" s="113"/>
      <c r="Y62" s="528"/>
      <c r="Z62" s="110"/>
      <c r="AA62" s="111"/>
      <c r="AB62" s="111" t="s">
        <v>100</v>
      </c>
      <c r="AC62" s="111"/>
      <c r="AD62" s="111"/>
      <c r="AE62" s="112"/>
      <c r="AF62" s="113"/>
      <c r="AG62" s="528"/>
      <c r="AH62" s="110"/>
      <c r="AI62" s="111"/>
      <c r="AJ62" s="111" t="s">
        <v>100</v>
      </c>
      <c r="AK62" s="111"/>
      <c r="AL62" s="111"/>
      <c r="AM62" s="112"/>
      <c r="AN62" s="113"/>
      <c r="AO62" s="528"/>
      <c r="AP62" s="110"/>
      <c r="AQ62" s="111"/>
      <c r="AR62" s="111" t="s">
        <v>100</v>
      </c>
      <c r="AS62" s="111"/>
      <c r="AT62" s="111"/>
      <c r="AU62" s="112"/>
      <c r="AV62" s="113"/>
      <c r="AW62" s="528"/>
      <c r="AX62" s="110"/>
      <c r="AY62" s="111"/>
      <c r="AZ62" s="111" t="s">
        <v>100</v>
      </c>
      <c r="BA62" s="111"/>
      <c r="BB62" s="111"/>
      <c r="BC62" s="112"/>
      <c r="BD62" s="113"/>
      <c r="BE62" s="528"/>
      <c r="BF62" s="110"/>
      <c r="BG62" s="111"/>
      <c r="BH62" s="111" t="s">
        <v>100</v>
      </c>
      <c r="BI62" s="111"/>
      <c r="BJ62" s="111"/>
      <c r="BK62" s="112"/>
      <c r="BL62" s="113"/>
      <c r="BM62" s="528"/>
      <c r="BN62" s="110"/>
      <c r="BO62" s="111"/>
      <c r="BP62" s="111" t="s">
        <v>100</v>
      </c>
      <c r="BQ62" s="111"/>
      <c r="BR62" s="111"/>
      <c r="BS62" s="112"/>
      <c r="BT62" s="113"/>
      <c r="BU62" s="528"/>
      <c r="BV62" s="532"/>
      <c r="BW62" s="533"/>
      <c r="BX62" s="533" t="s">
        <v>100</v>
      </c>
      <c r="BY62" s="533"/>
      <c r="BZ62" s="533"/>
      <c r="CA62" s="534"/>
      <c r="CB62" s="535"/>
      <c r="CC62" s="528"/>
      <c r="CD62" s="532"/>
      <c r="CE62" s="533"/>
      <c r="CF62" s="533" t="s">
        <v>100</v>
      </c>
      <c r="CG62" s="533"/>
      <c r="CH62" s="533"/>
      <c r="CI62" s="534"/>
      <c r="CJ62" s="535"/>
      <c r="CK62" s="528"/>
      <c r="CL62" s="110"/>
      <c r="CM62" s="111"/>
      <c r="CN62" s="111" t="s">
        <v>100</v>
      </c>
      <c r="CO62" s="111"/>
      <c r="CP62" s="111"/>
      <c r="CQ62" s="112"/>
      <c r="CR62" s="113"/>
      <c r="CS62" s="528"/>
      <c r="CT62" s="110"/>
      <c r="CU62" s="111"/>
      <c r="CV62" s="111" t="s">
        <v>100</v>
      </c>
      <c r="CW62" s="111"/>
      <c r="CX62" s="111"/>
      <c r="CY62" s="112"/>
      <c r="CZ62" s="113"/>
      <c r="DA62" s="528"/>
      <c r="DB62" s="110"/>
      <c r="DC62" s="111"/>
      <c r="DD62" s="111" t="s">
        <v>100</v>
      </c>
      <c r="DE62" s="111"/>
      <c r="DF62" s="111"/>
      <c r="DG62" s="112"/>
      <c r="DH62" s="113"/>
      <c r="DI62" s="528"/>
      <c r="DJ62" s="110"/>
      <c r="DK62" s="111"/>
      <c r="DL62" s="111" t="s">
        <v>100</v>
      </c>
      <c r="DM62" s="111"/>
      <c r="DN62" s="111"/>
      <c r="DO62" s="112"/>
      <c r="DP62" s="113"/>
      <c r="DQ62" s="528"/>
      <c r="DR62" s="110"/>
      <c r="DS62" s="111"/>
      <c r="DT62" s="111" t="s">
        <v>100</v>
      </c>
      <c r="DU62" s="111"/>
      <c r="DV62" s="111"/>
      <c r="DW62" s="112"/>
      <c r="DX62" s="113"/>
      <c r="DY62" s="528"/>
      <c r="DZ62" s="110"/>
      <c r="EA62" s="111"/>
      <c r="EB62" s="111" t="s">
        <v>100</v>
      </c>
      <c r="EC62" s="111"/>
      <c r="ED62" s="111"/>
      <c r="EE62" s="112"/>
      <c r="EF62" s="113"/>
      <c r="EG62" s="528"/>
      <c r="EH62" s="110"/>
      <c r="EI62" s="111"/>
      <c r="EJ62" s="111" t="s">
        <v>100</v>
      </c>
      <c r="EK62" s="111"/>
      <c r="EL62" s="111"/>
      <c r="EM62" s="112"/>
      <c r="EN62" s="113"/>
      <c r="EO62" s="528"/>
      <c r="EP62" s="110"/>
      <c r="EQ62" s="111"/>
      <c r="ER62" s="111" t="s">
        <v>100</v>
      </c>
      <c r="ES62" s="111"/>
      <c r="ET62" s="111"/>
      <c r="EU62" s="112"/>
      <c r="EV62" s="113"/>
      <c r="EW62" s="528"/>
      <c r="EX62" s="110"/>
      <c r="EY62" s="111"/>
      <c r="EZ62" s="111" t="s">
        <v>100</v>
      </c>
      <c r="FA62" s="111"/>
      <c r="FB62" s="111"/>
      <c r="FC62" s="112"/>
      <c r="FD62" s="113"/>
      <c r="FE62" s="528"/>
      <c r="FF62" s="110"/>
      <c r="FG62" s="111"/>
      <c r="FH62" s="111" t="s">
        <v>100</v>
      </c>
      <c r="FI62" s="111"/>
      <c r="FJ62" s="111"/>
      <c r="FK62" s="112"/>
      <c r="FL62" s="113"/>
      <c r="FM62" s="528"/>
      <c r="FN62" s="110"/>
      <c r="FO62" s="111"/>
      <c r="FP62" s="111" t="s">
        <v>100</v>
      </c>
      <c r="FQ62" s="111"/>
      <c r="FR62" s="111"/>
      <c r="FS62" s="112"/>
      <c r="FT62" s="113"/>
      <c r="FU62" s="528"/>
      <c r="FV62" s="110"/>
      <c r="FW62" s="111"/>
      <c r="FX62" s="111" t="s">
        <v>100</v>
      </c>
      <c r="FY62" s="111"/>
      <c r="FZ62" s="111"/>
      <c r="GA62" s="112"/>
      <c r="GB62" s="113"/>
      <c r="GC62" s="528"/>
      <c r="GD62" s="110"/>
      <c r="GE62" s="111"/>
      <c r="GF62" s="111" t="s">
        <v>100</v>
      </c>
      <c r="GG62" s="111"/>
      <c r="GH62" s="111"/>
      <c r="GI62" s="112"/>
      <c r="GJ62" s="113"/>
      <c r="GK62" s="528"/>
      <c r="GL62" s="110"/>
      <c r="GM62" s="111"/>
      <c r="GN62" s="111" t="s">
        <v>100</v>
      </c>
      <c r="GO62" s="111"/>
      <c r="GP62" s="111"/>
      <c r="GQ62" s="112"/>
      <c r="GR62" s="113"/>
      <c r="GS62" s="528"/>
      <c r="GT62" s="110"/>
      <c r="GU62" s="111"/>
      <c r="GV62" s="111" t="s">
        <v>100</v>
      </c>
      <c r="GW62" s="111"/>
      <c r="GX62" s="111"/>
      <c r="GY62" s="112"/>
      <c r="GZ62" s="113"/>
      <c r="HA62" s="528"/>
      <c r="HB62" s="110"/>
      <c r="HC62" s="111"/>
      <c r="HD62" s="111" t="s">
        <v>100</v>
      </c>
      <c r="HE62" s="111"/>
      <c r="HF62" s="111"/>
      <c r="HG62" s="112"/>
      <c r="HH62" s="113"/>
      <c r="HI62" s="528"/>
      <c r="HJ62" s="110"/>
      <c r="HK62" s="111"/>
      <c r="HL62" s="111" t="s">
        <v>100</v>
      </c>
      <c r="HM62" s="111"/>
      <c r="HN62" s="111"/>
      <c r="HO62" s="112"/>
      <c r="HP62" s="113"/>
      <c r="HQ62" s="528"/>
      <c r="HR62" s="110"/>
      <c r="HS62" s="111"/>
      <c r="HT62" s="111" t="s">
        <v>100</v>
      </c>
      <c r="HU62" s="111"/>
      <c r="HV62" s="111"/>
      <c r="HW62" s="112"/>
      <c r="HX62" s="113"/>
      <c r="HY62" s="528"/>
      <c r="HZ62" s="110"/>
      <c r="IA62" s="111"/>
      <c r="IB62" s="111" t="s">
        <v>100</v>
      </c>
      <c r="IC62" s="111"/>
      <c r="ID62" s="111"/>
      <c r="IE62" s="112"/>
      <c r="IF62" s="113"/>
      <c r="IG62" s="528"/>
      <c r="IH62" s="110"/>
      <c r="II62" s="111"/>
      <c r="IJ62" s="111" t="s">
        <v>100</v>
      </c>
      <c r="IK62" s="111"/>
      <c r="IL62" s="111"/>
      <c r="IM62" s="112"/>
      <c r="IN62" s="113"/>
      <c r="IO62" s="528"/>
      <c r="IP62" s="110"/>
      <c r="IQ62" s="111"/>
      <c r="IR62" s="111" t="s">
        <v>100</v>
      </c>
      <c r="IS62" s="111"/>
      <c r="IT62" s="111"/>
      <c r="IU62" s="112"/>
      <c r="IV62" s="113"/>
      <c r="IW62" s="528"/>
      <c r="IX62" s="110"/>
      <c r="IY62" s="111"/>
      <c r="IZ62" s="111" t="s">
        <v>100</v>
      </c>
      <c r="JA62" s="111"/>
      <c r="JB62" s="111"/>
      <c r="JC62" s="112"/>
      <c r="JD62" s="113"/>
      <c r="JE62" s="528"/>
      <c r="JF62" s="110"/>
      <c r="JG62" s="111"/>
      <c r="JH62" s="111" t="s">
        <v>100</v>
      </c>
      <c r="JI62" s="111"/>
      <c r="JJ62" s="111"/>
      <c r="JK62" s="112"/>
      <c r="JL62" s="113"/>
      <c r="JM62" s="528"/>
      <c r="JN62" s="110"/>
      <c r="JO62" s="111"/>
      <c r="JP62" s="111" t="s">
        <v>100</v>
      </c>
      <c r="JQ62" s="111"/>
      <c r="JR62" s="111"/>
      <c r="JS62" s="112"/>
      <c r="JT62" s="113"/>
      <c r="JU62" s="528"/>
      <c r="JV62" s="110"/>
      <c r="JW62" s="111"/>
      <c r="JX62" s="111" t="s">
        <v>100</v>
      </c>
      <c r="JY62" s="111"/>
      <c r="JZ62" s="111"/>
      <c r="KA62" s="112"/>
      <c r="KB62" s="113"/>
      <c r="KC62" s="528"/>
      <c r="KD62" s="110"/>
      <c r="KE62" s="111"/>
      <c r="KF62" s="111" t="s">
        <v>100</v>
      </c>
      <c r="KG62" s="111"/>
      <c r="KH62" s="111"/>
      <c r="KI62" s="112"/>
      <c r="KJ62" s="113"/>
      <c r="KK62" s="528"/>
      <c r="KL62" s="110"/>
      <c r="KM62" s="111"/>
      <c r="KN62" s="111" t="s">
        <v>100</v>
      </c>
      <c r="KO62" s="111"/>
      <c r="KP62" s="111"/>
      <c r="KQ62" s="112"/>
      <c r="KR62" s="113"/>
      <c r="KS62" s="528"/>
      <c r="KT62" s="110"/>
      <c r="KU62" s="111"/>
      <c r="KV62" s="111" t="s">
        <v>100</v>
      </c>
      <c r="KW62" s="111"/>
      <c r="KX62" s="111"/>
      <c r="KY62" s="112"/>
      <c r="KZ62" s="113"/>
      <c r="LA62" s="528"/>
      <c r="LB62" s="110"/>
      <c r="LC62" s="111"/>
      <c r="LD62" s="111" t="s">
        <v>100</v>
      </c>
      <c r="LE62" s="111"/>
      <c r="LF62" s="111"/>
      <c r="LG62" s="112"/>
      <c r="LH62" s="113"/>
      <c r="LI62" s="528"/>
      <c r="LJ62" s="110"/>
      <c r="LK62" s="111"/>
      <c r="LL62" s="111" t="s">
        <v>100</v>
      </c>
      <c r="LM62" s="111"/>
      <c r="LN62" s="111"/>
      <c r="LO62" s="112"/>
      <c r="LP62" s="113"/>
      <c r="LQ62" s="528"/>
      <c r="LR62" s="110"/>
      <c r="LS62" s="111"/>
      <c r="LT62" s="111" t="s">
        <v>100</v>
      </c>
      <c r="LU62" s="111"/>
      <c r="LV62" s="111"/>
      <c r="LW62" s="112"/>
      <c r="LX62" s="113"/>
      <c r="LY62" s="528"/>
      <c r="LZ62" s="110"/>
      <c r="MA62" s="111"/>
      <c r="MB62" s="111" t="s">
        <v>100</v>
      </c>
      <c r="MC62" s="111"/>
      <c r="MD62" s="111"/>
      <c r="ME62" s="112"/>
      <c r="MF62" s="113"/>
      <c r="MG62" s="528"/>
      <c r="MH62" s="110"/>
      <c r="MI62" s="111"/>
      <c r="MJ62" s="111" t="s">
        <v>100</v>
      </c>
      <c r="MK62" s="111"/>
      <c r="ML62" s="111"/>
      <c r="MM62" s="112"/>
      <c r="MN62" s="113"/>
      <c r="MO62" s="528"/>
      <c r="MP62" s="110"/>
      <c r="MQ62" s="111"/>
      <c r="MR62" s="111" t="s">
        <v>100</v>
      </c>
      <c r="MS62" s="111"/>
      <c r="MT62" s="111"/>
      <c r="MU62" s="112"/>
      <c r="MV62" s="113"/>
      <c r="MW62" s="528"/>
      <c r="MX62" s="672" t="s">
        <v>92</v>
      </c>
      <c r="MY62" s="678">
        <v>21</v>
      </c>
      <c r="MZ62" s="664" t="s">
        <v>14</v>
      </c>
      <c r="NA62" s="664">
        <v>269</v>
      </c>
      <c r="NB62" s="164">
        <v>0.36472222222222223</v>
      </c>
      <c r="NC62" s="140">
        <f t="shared" si="166"/>
        <v>98.110277777777782</v>
      </c>
      <c r="ND62" s="664"/>
      <c r="NE62" s="528"/>
      <c r="NF62" s="672" t="s">
        <v>92</v>
      </c>
      <c r="NG62" s="709">
        <v>21</v>
      </c>
      <c r="NH62" s="664" t="s">
        <v>14</v>
      </c>
      <c r="NI62" s="664">
        <v>90</v>
      </c>
      <c r="NJ62" s="164">
        <v>0.36472222222222223</v>
      </c>
      <c r="NK62" s="140">
        <f t="shared" si="207"/>
        <v>32.825000000000003</v>
      </c>
      <c r="NL62" s="664"/>
      <c r="NM62" s="528"/>
      <c r="NN62" s="672" t="s">
        <v>92</v>
      </c>
      <c r="NO62" s="678">
        <v>8</v>
      </c>
      <c r="NP62" s="664" t="s">
        <v>14</v>
      </c>
      <c r="NQ62" s="664">
        <v>162</v>
      </c>
      <c r="NR62" s="164">
        <v>0.36472222222222223</v>
      </c>
      <c r="NS62" s="140">
        <f t="shared" si="208"/>
        <v>59.085000000000001</v>
      </c>
      <c r="NT62" s="664"/>
      <c r="NU62" s="528"/>
      <c r="NV62" s="672" t="s">
        <v>92</v>
      </c>
      <c r="NW62" s="783">
        <v>1</v>
      </c>
      <c r="NX62" s="664" t="s">
        <v>14</v>
      </c>
      <c r="NY62" s="664"/>
      <c r="NZ62" s="164">
        <v>0.36472222222222223</v>
      </c>
      <c r="OA62" s="140">
        <f t="shared" si="209"/>
        <v>0</v>
      </c>
      <c r="OB62" s="664"/>
      <c r="OC62" s="528"/>
      <c r="OD62" s="672" t="s">
        <v>92</v>
      </c>
      <c r="OE62" s="678"/>
      <c r="OF62" s="664" t="s">
        <v>14</v>
      </c>
      <c r="OG62" s="664"/>
      <c r="OH62" s="164">
        <v>0.36472222222222223</v>
      </c>
      <c r="OI62" s="140">
        <f t="shared" si="210"/>
        <v>0</v>
      </c>
      <c r="OJ62" s="664"/>
      <c r="OK62" s="528"/>
      <c r="OL62" s="672" t="s">
        <v>92</v>
      </c>
      <c r="OM62" s="678"/>
      <c r="ON62" s="664" t="s">
        <v>14</v>
      </c>
      <c r="OO62" s="664"/>
      <c r="OP62" s="164">
        <v>0.36472222222222223</v>
      </c>
      <c r="OQ62" s="140">
        <f t="shared" si="211"/>
        <v>0</v>
      </c>
      <c r="OR62" s="664"/>
      <c r="OS62" s="528"/>
      <c r="OT62" s="672" t="s">
        <v>92</v>
      </c>
      <c r="OU62" s="678"/>
      <c r="OV62" s="664" t="s">
        <v>14</v>
      </c>
      <c r="OW62" s="664"/>
      <c r="OX62" s="164">
        <v>0.36472222222222223</v>
      </c>
      <c r="OY62" s="140">
        <f t="shared" si="212"/>
        <v>0</v>
      </c>
      <c r="OZ62" s="664"/>
      <c r="PA62" s="528"/>
      <c r="PB62" s="672" t="s">
        <v>92</v>
      </c>
      <c r="PC62" s="678"/>
      <c r="PD62" s="664" t="s">
        <v>14</v>
      </c>
      <c r="PE62" s="664"/>
      <c r="PF62" s="164">
        <v>0.36472222222222223</v>
      </c>
      <c r="PG62" s="140">
        <f t="shared" si="213"/>
        <v>0</v>
      </c>
      <c r="PH62" s="664"/>
      <c r="PI62" s="528"/>
      <c r="PJ62" s="672" t="s">
        <v>92</v>
      </c>
      <c r="PK62" s="678">
        <v>6</v>
      </c>
      <c r="PL62" s="664" t="s">
        <v>14</v>
      </c>
      <c r="PM62" s="713">
        <v>21</v>
      </c>
      <c r="PN62" s="164">
        <v>0.36472222222222223</v>
      </c>
      <c r="PO62" s="140">
        <f t="shared" si="214"/>
        <v>7.6591666666666667</v>
      </c>
      <c r="PP62" s="664"/>
      <c r="PQ62" s="528"/>
      <c r="PR62" s="672" t="s">
        <v>92</v>
      </c>
      <c r="PS62" s="678">
        <v>16</v>
      </c>
      <c r="PT62" s="664" t="s">
        <v>14</v>
      </c>
      <c r="PU62" s="713">
        <v>682</v>
      </c>
      <c r="PV62" s="164">
        <v>0.36472222222222223</v>
      </c>
      <c r="PW62" s="140">
        <f t="shared" si="215"/>
        <v>248.74055555555555</v>
      </c>
      <c r="PX62" s="664"/>
      <c r="PY62" s="528"/>
      <c r="PZ62" s="672" t="s">
        <v>92</v>
      </c>
      <c r="QA62" s="678">
        <v>14</v>
      </c>
      <c r="QB62" s="664" t="s">
        <v>14</v>
      </c>
      <c r="QC62" s="713">
        <v>113</v>
      </c>
      <c r="QD62" s="164">
        <v>0.36472222222222223</v>
      </c>
      <c r="QE62" s="140">
        <f t="shared" si="216"/>
        <v>41.213611111111113</v>
      </c>
      <c r="QF62" s="664"/>
      <c r="QG62" s="528"/>
      <c r="QH62" s="672" t="s">
        <v>92</v>
      </c>
      <c r="QI62" s="678">
        <v>6</v>
      </c>
      <c r="QJ62" s="664" t="s">
        <v>14</v>
      </c>
      <c r="QK62" s="713">
        <v>35</v>
      </c>
      <c r="QL62" s="164">
        <v>0.36472222222222223</v>
      </c>
      <c r="QM62" s="140">
        <f t="shared" si="217"/>
        <v>12.765277777777778</v>
      </c>
      <c r="QN62" s="664"/>
      <c r="QO62" s="528"/>
      <c r="QP62" s="672" t="s">
        <v>92</v>
      </c>
      <c r="QQ62" s="678">
        <v>14</v>
      </c>
      <c r="QR62" s="664" t="s">
        <v>14</v>
      </c>
      <c r="QS62" s="713">
        <v>230</v>
      </c>
      <c r="QT62" s="164">
        <v>0.36472222222222223</v>
      </c>
      <c r="QU62" s="140">
        <f t="shared" si="218"/>
        <v>83.886111111111106</v>
      </c>
      <c r="QV62" s="664"/>
      <c r="QW62" s="528"/>
      <c r="QX62" s="672" t="s">
        <v>92</v>
      </c>
      <c r="QY62" s="678"/>
      <c r="QZ62" s="664" t="s">
        <v>14</v>
      </c>
      <c r="RA62" s="713"/>
      <c r="RB62" s="164">
        <v>0.36472222222222223</v>
      </c>
      <c r="RC62" s="140">
        <f t="shared" si="219"/>
        <v>0</v>
      </c>
      <c r="RD62" s="664"/>
      <c r="RE62" s="528"/>
      <c r="RF62" s="672" t="s">
        <v>92</v>
      </c>
      <c r="RG62" s="678"/>
      <c r="RH62" s="664" t="s">
        <v>14</v>
      </c>
      <c r="RI62" s="713"/>
      <c r="RJ62" s="164">
        <v>0.36472222222222223</v>
      </c>
      <c r="RK62" s="140">
        <f t="shared" si="220"/>
        <v>0</v>
      </c>
      <c r="RL62" s="664"/>
      <c r="RM62" s="528"/>
      <c r="RN62" s="672" t="s">
        <v>92</v>
      </c>
      <c r="RO62" s="678">
        <v>2</v>
      </c>
      <c r="RP62" s="664" t="s">
        <v>14</v>
      </c>
      <c r="RQ62" s="713">
        <v>9</v>
      </c>
      <c r="RR62" s="164">
        <v>0.36472222222222223</v>
      </c>
      <c r="RS62" s="140">
        <f t="shared" si="221"/>
        <v>3.2825000000000002</v>
      </c>
      <c r="RT62" s="664"/>
      <c r="RU62" s="528"/>
      <c r="RV62" s="672" t="s">
        <v>92</v>
      </c>
      <c r="RW62" s="678"/>
      <c r="RX62" s="664" t="s">
        <v>14</v>
      </c>
      <c r="RY62" s="713"/>
      <c r="RZ62" s="164">
        <v>0.36472222222222223</v>
      </c>
      <c r="SA62" s="140">
        <f t="shared" si="222"/>
        <v>0</v>
      </c>
      <c r="SB62" s="664"/>
      <c r="SC62" s="528"/>
      <c r="SD62" s="672" t="s">
        <v>92</v>
      </c>
      <c r="SE62" s="678">
        <v>1</v>
      </c>
      <c r="SF62" s="664" t="s">
        <v>14</v>
      </c>
      <c r="SG62" s="713">
        <v>1</v>
      </c>
      <c r="SH62" s="164">
        <v>0.36472222222222223</v>
      </c>
      <c r="SI62" s="140">
        <f t="shared" si="223"/>
        <v>0.36472222222222223</v>
      </c>
      <c r="SJ62" s="664"/>
      <c r="SK62" s="528"/>
      <c r="SL62" s="672" t="s">
        <v>92</v>
      </c>
      <c r="SM62" s="678">
        <v>6</v>
      </c>
      <c r="SN62" s="664" t="s">
        <v>14</v>
      </c>
      <c r="SO62" s="713">
        <v>52</v>
      </c>
      <c r="SP62" s="164">
        <v>0.36472222222222223</v>
      </c>
      <c r="SQ62" s="140">
        <f t="shared" si="224"/>
        <v>18.965555555555557</v>
      </c>
      <c r="SR62" s="664"/>
      <c r="SS62" s="528"/>
      <c r="ST62" s="672" t="s">
        <v>92</v>
      </c>
      <c r="SU62" s="678">
        <v>1</v>
      </c>
      <c r="SV62" s="664" t="s">
        <v>14</v>
      </c>
      <c r="SW62" s="713">
        <v>20</v>
      </c>
      <c r="SX62" s="164">
        <v>0.36472222222222223</v>
      </c>
      <c r="SY62" s="140">
        <f t="shared" si="225"/>
        <v>7.2944444444444443</v>
      </c>
      <c r="SZ62" s="664"/>
      <c r="TA62" s="528"/>
      <c r="TB62" s="672" t="s">
        <v>92</v>
      </c>
      <c r="TC62" s="678">
        <v>3</v>
      </c>
      <c r="TD62" s="664" t="s">
        <v>14</v>
      </c>
      <c r="TE62" s="713">
        <v>25</v>
      </c>
      <c r="TF62" s="164">
        <v>0.36472222222222223</v>
      </c>
      <c r="TG62" s="140">
        <f t="shared" si="226"/>
        <v>9.1180555555555554</v>
      </c>
      <c r="TH62" s="664"/>
      <c r="TI62" s="528"/>
    </row>
    <row r="63" spans="2:529">
      <c r="B63" s="114"/>
      <c r="C63" s="115"/>
      <c r="D63" s="116"/>
      <c r="E63" s="115"/>
      <c r="F63" s="115"/>
      <c r="G63" s="117"/>
      <c r="H63" s="118"/>
      <c r="I63" s="528"/>
      <c r="J63" s="114"/>
      <c r="K63" s="115"/>
      <c r="L63" s="116"/>
      <c r="M63" s="115"/>
      <c r="N63" s="115"/>
      <c r="O63" s="117"/>
      <c r="P63" s="118"/>
      <c r="Q63" s="528"/>
      <c r="R63" s="114"/>
      <c r="S63" s="115"/>
      <c r="T63" s="116"/>
      <c r="U63" s="115"/>
      <c r="V63" s="115"/>
      <c r="W63" s="117"/>
      <c r="X63" s="118"/>
      <c r="Y63" s="528"/>
      <c r="Z63" s="114"/>
      <c r="AA63" s="115"/>
      <c r="AB63" s="116"/>
      <c r="AC63" s="115"/>
      <c r="AD63" s="115"/>
      <c r="AE63" s="117"/>
      <c r="AF63" s="118"/>
      <c r="AG63" s="528"/>
      <c r="AH63" s="114"/>
      <c r="AI63" s="115"/>
      <c r="AJ63" s="116"/>
      <c r="AK63" s="115"/>
      <c r="AL63" s="115"/>
      <c r="AM63" s="117"/>
      <c r="AN63" s="118"/>
      <c r="AO63" s="528"/>
      <c r="AP63" s="114"/>
      <c r="AQ63" s="115"/>
      <c r="AR63" s="116"/>
      <c r="AS63" s="115"/>
      <c r="AT63" s="115"/>
      <c r="AU63" s="117"/>
      <c r="AV63" s="118"/>
      <c r="AW63" s="528"/>
      <c r="AX63" s="114"/>
      <c r="AY63" s="115"/>
      <c r="AZ63" s="116"/>
      <c r="BA63" s="115"/>
      <c r="BB63" s="115"/>
      <c r="BC63" s="117"/>
      <c r="BD63" s="118"/>
      <c r="BE63" s="528"/>
      <c r="BF63" s="114"/>
      <c r="BG63" s="115"/>
      <c r="BH63" s="116"/>
      <c r="BI63" s="115"/>
      <c r="BJ63" s="115"/>
      <c r="BK63" s="117"/>
      <c r="BL63" s="118"/>
      <c r="BM63" s="528"/>
      <c r="BN63" s="114"/>
      <c r="BO63" s="115"/>
      <c r="BP63" s="116"/>
      <c r="BQ63" s="115"/>
      <c r="BR63" s="115"/>
      <c r="BS63" s="117"/>
      <c r="BT63" s="118"/>
      <c r="BU63" s="528"/>
      <c r="BV63" s="536"/>
      <c r="BW63" s="537"/>
      <c r="BX63" s="538"/>
      <c r="BY63" s="537"/>
      <c r="BZ63" s="537"/>
      <c r="CA63" s="539"/>
      <c r="CB63" s="540"/>
      <c r="CC63" s="528"/>
      <c r="CD63" s="536"/>
      <c r="CE63" s="537"/>
      <c r="CF63" s="538"/>
      <c r="CG63" s="537"/>
      <c r="CH63" s="537"/>
      <c r="CI63" s="539"/>
      <c r="CJ63" s="540"/>
      <c r="CK63" s="528"/>
      <c r="CL63" s="114"/>
      <c r="CM63" s="115"/>
      <c r="CN63" s="116"/>
      <c r="CO63" s="115"/>
      <c r="CP63" s="115"/>
      <c r="CQ63" s="117"/>
      <c r="CR63" s="118"/>
      <c r="CS63" s="528"/>
      <c r="CT63" s="114"/>
      <c r="CU63" s="115"/>
      <c r="CV63" s="116"/>
      <c r="CW63" s="115"/>
      <c r="CX63" s="115"/>
      <c r="CY63" s="117"/>
      <c r="CZ63" s="118"/>
      <c r="DA63" s="528"/>
      <c r="DB63" s="114"/>
      <c r="DC63" s="115"/>
      <c r="DD63" s="116"/>
      <c r="DE63" s="115"/>
      <c r="DF63" s="115"/>
      <c r="DG63" s="117"/>
      <c r="DH63" s="118"/>
      <c r="DI63" s="528"/>
      <c r="DJ63" s="114"/>
      <c r="DK63" s="115"/>
      <c r="DL63" s="116"/>
      <c r="DM63" s="115"/>
      <c r="DN63" s="115"/>
      <c r="DO63" s="117"/>
      <c r="DP63" s="118"/>
      <c r="DQ63" s="528"/>
      <c r="DR63" s="114"/>
      <c r="DS63" s="115"/>
      <c r="DT63" s="116"/>
      <c r="DU63" s="115"/>
      <c r="DV63" s="115"/>
      <c r="DW63" s="117"/>
      <c r="DX63" s="118"/>
      <c r="DY63" s="528"/>
      <c r="DZ63" s="114"/>
      <c r="EA63" s="115"/>
      <c r="EB63" s="116"/>
      <c r="EC63" s="115"/>
      <c r="ED63" s="115"/>
      <c r="EE63" s="117"/>
      <c r="EF63" s="118"/>
      <c r="EG63" s="528"/>
      <c r="EH63" s="114"/>
      <c r="EI63" s="115"/>
      <c r="EJ63" s="116"/>
      <c r="EK63" s="115"/>
      <c r="EL63" s="115"/>
      <c r="EM63" s="117"/>
      <c r="EN63" s="118"/>
      <c r="EO63" s="528"/>
      <c r="EP63" s="114"/>
      <c r="EQ63" s="115"/>
      <c r="ER63" s="116"/>
      <c r="ES63" s="115"/>
      <c r="ET63" s="115"/>
      <c r="EU63" s="117"/>
      <c r="EV63" s="118"/>
      <c r="EW63" s="528"/>
      <c r="EX63" s="114"/>
      <c r="EY63" s="115"/>
      <c r="EZ63" s="116"/>
      <c r="FA63" s="115"/>
      <c r="FB63" s="115"/>
      <c r="FC63" s="117"/>
      <c r="FD63" s="118"/>
      <c r="FE63" s="528"/>
      <c r="FF63" s="114"/>
      <c r="FG63" s="115"/>
      <c r="FH63" s="116"/>
      <c r="FI63" s="115"/>
      <c r="FJ63" s="115"/>
      <c r="FK63" s="117"/>
      <c r="FL63" s="118"/>
      <c r="FM63" s="528"/>
      <c r="FN63" s="114"/>
      <c r="FO63" s="115"/>
      <c r="FP63" s="116"/>
      <c r="FQ63" s="115"/>
      <c r="FR63" s="115"/>
      <c r="FS63" s="117"/>
      <c r="FT63" s="118"/>
      <c r="FU63" s="528"/>
      <c r="FV63" s="114"/>
      <c r="FW63" s="115"/>
      <c r="FX63" s="116"/>
      <c r="FY63" s="115"/>
      <c r="FZ63" s="115"/>
      <c r="GA63" s="117"/>
      <c r="GB63" s="118"/>
      <c r="GC63" s="528"/>
      <c r="GD63" s="114"/>
      <c r="GE63" s="115"/>
      <c r="GF63" s="116"/>
      <c r="GG63" s="115"/>
      <c r="GH63" s="115"/>
      <c r="GI63" s="117"/>
      <c r="GJ63" s="118"/>
      <c r="GK63" s="528"/>
      <c r="GL63" s="114"/>
      <c r="GM63" s="115"/>
      <c r="GN63" s="116"/>
      <c r="GO63" s="115"/>
      <c r="GP63" s="115"/>
      <c r="GQ63" s="117"/>
      <c r="GR63" s="118"/>
      <c r="GS63" s="528"/>
      <c r="GT63" s="114"/>
      <c r="GU63" s="115"/>
      <c r="GV63" s="116"/>
      <c r="GW63" s="115"/>
      <c r="GX63" s="115"/>
      <c r="GY63" s="117"/>
      <c r="GZ63" s="118"/>
      <c r="HA63" s="528"/>
      <c r="HB63" s="114"/>
      <c r="HC63" s="115"/>
      <c r="HD63" s="116"/>
      <c r="HE63" s="115"/>
      <c r="HF63" s="115"/>
      <c r="HG63" s="117"/>
      <c r="HH63" s="118"/>
      <c r="HI63" s="528"/>
      <c r="HJ63" s="114"/>
      <c r="HK63" s="115"/>
      <c r="HL63" s="116"/>
      <c r="HM63" s="115"/>
      <c r="HN63" s="115"/>
      <c r="HO63" s="117"/>
      <c r="HP63" s="118"/>
      <c r="HQ63" s="528"/>
      <c r="HR63" s="114"/>
      <c r="HS63" s="115"/>
      <c r="HT63" s="116"/>
      <c r="HU63" s="115"/>
      <c r="HV63" s="115"/>
      <c r="HW63" s="117"/>
      <c r="HX63" s="118"/>
      <c r="HY63" s="528"/>
      <c r="HZ63" s="114"/>
      <c r="IA63" s="115"/>
      <c r="IB63" s="116"/>
      <c r="IC63" s="115"/>
      <c r="ID63" s="115"/>
      <c r="IE63" s="117"/>
      <c r="IF63" s="118"/>
      <c r="IG63" s="528"/>
      <c r="IH63" s="114"/>
      <c r="II63" s="115"/>
      <c r="IJ63" s="116"/>
      <c r="IK63" s="115"/>
      <c r="IL63" s="115"/>
      <c r="IM63" s="117"/>
      <c r="IN63" s="118"/>
      <c r="IO63" s="528"/>
      <c r="IP63" s="114"/>
      <c r="IQ63" s="115"/>
      <c r="IR63" s="116"/>
      <c r="IS63" s="115"/>
      <c r="IT63" s="115"/>
      <c r="IU63" s="117"/>
      <c r="IV63" s="118"/>
      <c r="IW63" s="528"/>
      <c r="IX63" s="114"/>
      <c r="IY63" s="115"/>
      <c r="IZ63" s="116"/>
      <c r="JA63" s="115"/>
      <c r="JB63" s="115"/>
      <c r="JC63" s="117"/>
      <c r="JD63" s="118"/>
      <c r="JE63" s="528"/>
      <c r="JF63" s="114"/>
      <c r="JG63" s="115"/>
      <c r="JH63" s="116"/>
      <c r="JI63" s="115"/>
      <c r="JJ63" s="115"/>
      <c r="JK63" s="117"/>
      <c r="JL63" s="118"/>
      <c r="JM63" s="528"/>
      <c r="JN63" s="114"/>
      <c r="JO63" s="115"/>
      <c r="JP63" s="116"/>
      <c r="JQ63" s="115"/>
      <c r="JR63" s="115"/>
      <c r="JS63" s="117"/>
      <c r="JT63" s="118"/>
      <c r="JU63" s="528"/>
      <c r="JV63" s="114"/>
      <c r="JW63" s="115"/>
      <c r="JX63" s="116"/>
      <c r="JY63" s="115"/>
      <c r="JZ63" s="115"/>
      <c r="KA63" s="117"/>
      <c r="KB63" s="118"/>
      <c r="KC63" s="528"/>
      <c r="KD63" s="114"/>
      <c r="KE63" s="115"/>
      <c r="KF63" s="116"/>
      <c r="KG63" s="115"/>
      <c r="KH63" s="115"/>
      <c r="KI63" s="117"/>
      <c r="KJ63" s="118"/>
      <c r="KK63" s="528"/>
      <c r="KL63" s="114"/>
      <c r="KM63" s="115"/>
      <c r="KN63" s="116"/>
      <c r="KO63" s="115"/>
      <c r="KP63" s="115"/>
      <c r="KQ63" s="117"/>
      <c r="KR63" s="118"/>
      <c r="KS63" s="528"/>
      <c r="KT63" s="114"/>
      <c r="KU63" s="115"/>
      <c r="KV63" s="116"/>
      <c r="KW63" s="115"/>
      <c r="KX63" s="115"/>
      <c r="KY63" s="117"/>
      <c r="KZ63" s="118"/>
      <c r="LA63" s="528"/>
      <c r="LB63" s="114"/>
      <c r="LC63" s="115"/>
      <c r="LD63" s="116"/>
      <c r="LE63" s="115"/>
      <c r="LF63" s="115"/>
      <c r="LG63" s="117"/>
      <c r="LH63" s="118"/>
      <c r="LI63" s="528"/>
      <c r="LJ63" s="114"/>
      <c r="LK63" s="115"/>
      <c r="LL63" s="116"/>
      <c r="LM63" s="115"/>
      <c r="LN63" s="115"/>
      <c r="LO63" s="117"/>
      <c r="LP63" s="118"/>
      <c r="LQ63" s="528"/>
      <c r="LR63" s="114"/>
      <c r="LS63" s="115"/>
      <c r="LT63" s="116"/>
      <c r="LU63" s="115"/>
      <c r="LV63" s="115"/>
      <c r="LW63" s="117"/>
      <c r="LX63" s="118"/>
      <c r="LY63" s="528"/>
      <c r="LZ63" s="114"/>
      <c r="MA63" s="115"/>
      <c r="MB63" s="116"/>
      <c r="MC63" s="115"/>
      <c r="MD63" s="115"/>
      <c r="ME63" s="117"/>
      <c r="MF63" s="118"/>
      <c r="MG63" s="528"/>
      <c r="MH63" s="114"/>
      <c r="MI63" s="115"/>
      <c r="MJ63" s="116"/>
      <c r="MK63" s="115"/>
      <c r="ML63" s="115"/>
      <c r="MM63" s="117"/>
      <c r="MN63" s="118"/>
      <c r="MO63" s="528"/>
      <c r="MP63" s="114"/>
      <c r="MQ63" s="115"/>
      <c r="MR63" s="116"/>
      <c r="MS63" s="115"/>
      <c r="MT63" s="115"/>
      <c r="MU63" s="117"/>
      <c r="MV63" s="118"/>
      <c r="MW63" s="528"/>
      <c r="MX63" s="672"/>
      <c r="MY63" s="670"/>
      <c r="MZ63" s="667" t="s">
        <v>42</v>
      </c>
      <c r="NA63" s="664">
        <v>55</v>
      </c>
      <c r="NB63" s="139">
        <v>0.85592592592592587</v>
      </c>
      <c r="NC63" s="140">
        <f t="shared" si="166"/>
        <v>47.075925925925922</v>
      </c>
      <c r="ND63" s="149">
        <f>SUM(NC62:NC63)</f>
        <v>145.18620370370371</v>
      </c>
      <c r="NE63" s="528"/>
      <c r="NF63" s="672"/>
      <c r="NG63" s="711"/>
      <c r="NH63" s="667" t="s">
        <v>42</v>
      </c>
      <c r="NI63" s="664">
        <v>100</v>
      </c>
      <c r="NJ63" s="139">
        <v>0.85592592592592587</v>
      </c>
      <c r="NK63" s="140">
        <f t="shared" si="207"/>
        <v>85.592592592592581</v>
      </c>
      <c r="NL63" s="149">
        <f>SUM(NK62:NK63)</f>
        <v>118.41759259259258</v>
      </c>
      <c r="NM63" s="528"/>
      <c r="NN63" s="672"/>
      <c r="NO63" s="670"/>
      <c r="NP63" s="667" t="s">
        <v>42</v>
      </c>
      <c r="NQ63" s="664">
        <v>14</v>
      </c>
      <c r="NR63" s="139">
        <v>0.85592592592592587</v>
      </c>
      <c r="NS63" s="140">
        <f t="shared" si="208"/>
        <v>11.982962962962961</v>
      </c>
      <c r="NT63" s="149">
        <f>SUM(NS62:NS63)</f>
        <v>71.067962962962966</v>
      </c>
      <c r="NU63" s="528"/>
      <c r="NV63" s="672"/>
      <c r="NW63" s="670"/>
      <c r="NX63" s="667" t="s">
        <v>42</v>
      </c>
      <c r="NY63" s="664">
        <v>3</v>
      </c>
      <c r="NZ63" s="139">
        <v>0.85592592592592587</v>
      </c>
      <c r="OA63" s="140">
        <f t="shared" si="209"/>
        <v>2.5677777777777777</v>
      </c>
      <c r="OB63" s="149">
        <f>SUM(OA62:OA63)</f>
        <v>2.5677777777777777</v>
      </c>
      <c r="OC63" s="528"/>
      <c r="OD63" s="672"/>
      <c r="OE63" s="670"/>
      <c r="OF63" s="667" t="s">
        <v>42</v>
      </c>
      <c r="OG63" s="664"/>
      <c r="OH63" s="139">
        <v>0.85592592592592587</v>
      </c>
      <c r="OI63" s="140">
        <f t="shared" si="210"/>
        <v>0</v>
      </c>
      <c r="OJ63" s="149">
        <f>SUM(OI62:OI63)</f>
        <v>0</v>
      </c>
      <c r="OK63" s="528"/>
      <c r="OL63" s="672"/>
      <c r="OM63" s="670"/>
      <c r="ON63" s="667" t="s">
        <v>42</v>
      </c>
      <c r="OO63" s="664"/>
      <c r="OP63" s="139">
        <v>0.85592592592592587</v>
      </c>
      <c r="OQ63" s="140">
        <f t="shared" si="211"/>
        <v>0</v>
      </c>
      <c r="OR63" s="149">
        <f>SUM(OQ62:OQ63)</f>
        <v>0</v>
      </c>
      <c r="OS63" s="528"/>
      <c r="OT63" s="672"/>
      <c r="OU63" s="670"/>
      <c r="OV63" s="667" t="s">
        <v>42</v>
      </c>
      <c r="OW63" s="664"/>
      <c r="OX63" s="139">
        <v>0.85592592592592587</v>
      </c>
      <c r="OY63" s="140">
        <f t="shared" si="212"/>
        <v>0</v>
      </c>
      <c r="OZ63" s="149">
        <f>SUM(OY62:OY63)</f>
        <v>0</v>
      </c>
      <c r="PA63" s="528"/>
      <c r="PB63" s="672"/>
      <c r="PC63" s="670"/>
      <c r="PD63" s="667" t="s">
        <v>42</v>
      </c>
      <c r="PE63" s="664"/>
      <c r="PF63" s="139">
        <v>0.85592592592592587</v>
      </c>
      <c r="PG63" s="140">
        <f t="shared" si="213"/>
        <v>0</v>
      </c>
      <c r="PH63" s="149">
        <f>SUM(PG62:PG63)</f>
        <v>0</v>
      </c>
      <c r="PI63" s="528"/>
      <c r="PJ63" s="672"/>
      <c r="PK63" s="670"/>
      <c r="PL63" s="667" t="s">
        <v>42</v>
      </c>
      <c r="PM63" s="713">
        <v>111</v>
      </c>
      <c r="PN63" s="139">
        <v>0.85592592592592587</v>
      </c>
      <c r="PO63" s="140">
        <f t="shared" si="214"/>
        <v>95.007777777777775</v>
      </c>
      <c r="PP63" s="149">
        <f>SUM(PO62:PO63)</f>
        <v>102.66694444444444</v>
      </c>
      <c r="PQ63" s="528"/>
      <c r="PR63" s="672"/>
      <c r="PS63" s="670"/>
      <c r="PT63" s="667" t="s">
        <v>42</v>
      </c>
      <c r="PU63" s="713">
        <v>109</v>
      </c>
      <c r="PV63" s="139">
        <v>0.85592592592592587</v>
      </c>
      <c r="PW63" s="140">
        <f t="shared" si="215"/>
        <v>93.295925925925914</v>
      </c>
      <c r="PX63" s="149">
        <f>SUM(PW62:PW63)</f>
        <v>342.03648148148147</v>
      </c>
      <c r="PY63" s="528"/>
      <c r="PZ63" s="672"/>
      <c r="QA63" s="670"/>
      <c r="QB63" s="667" t="s">
        <v>42</v>
      </c>
      <c r="QC63" s="713">
        <v>62</v>
      </c>
      <c r="QD63" s="139">
        <v>0.85592592592592587</v>
      </c>
      <c r="QE63" s="140">
        <f t="shared" si="216"/>
        <v>53.067407407407401</v>
      </c>
      <c r="QF63" s="149">
        <f>SUM(QE62:QE63)</f>
        <v>94.281018518518522</v>
      </c>
      <c r="QG63" s="528"/>
      <c r="QH63" s="672"/>
      <c r="QI63" s="670"/>
      <c r="QJ63" s="667" t="s">
        <v>42</v>
      </c>
      <c r="QK63" s="713">
        <v>6</v>
      </c>
      <c r="QL63" s="139">
        <v>0.85592592592592587</v>
      </c>
      <c r="QM63" s="140">
        <f t="shared" si="217"/>
        <v>5.1355555555555554</v>
      </c>
      <c r="QN63" s="149">
        <f>SUM(QM62:QM63)</f>
        <v>17.900833333333331</v>
      </c>
      <c r="QO63" s="528"/>
      <c r="QP63" s="672"/>
      <c r="QQ63" s="670"/>
      <c r="QR63" s="667" t="s">
        <v>42</v>
      </c>
      <c r="QS63" s="713">
        <v>385</v>
      </c>
      <c r="QT63" s="139">
        <v>0.85592592592592598</v>
      </c>
      <c r="QU63" s="140">
        <f t="shared" si="218"/>
        <v>329.53148148148148</v>
      </c>
      <c r="QV63" s="149">
        <f>SUM(QU62:QU63)</f>
        <v>413.4175925925926</v>
      </c>
      <c r="QW63" s="528"/>
      <c r="QX63" s="672"/>
      <c r="QY63" s="670"/>
      <c r="QZ63" s="667" t="s">
        <v>42</v>
      </c>
      <c r="RA63" s="713"/>
      <c r="RB63" s="139">
        <v>0.85592592592592587</v>
      </c>
      <c r="RC63" s="140">
        <f t="shared" si="219"/>
        <v>0</v>
      </c>
      <c r="RD63" s="149">
        <f>SUM(RC62:RC63)</f>
        <v>0</v>
      </c>
      <c r="RE63" s="528"/>
      <c r="RF63" s="672"/>
      <c r="RG63" s="670"/>
      <c r="RH63" s="667" t="s">
        <v>42</v>
      </c>
      <c r="RI63" s="713"/>
      <c r="RJ63" s="139">
        <v>0.85592592592592587</v>
      </c>
      <c r="RK63" s="140">
        <f t="shared" si="220"/>
        <v>0</v>
      </c>
      <c r="RL63" s="149">
        <f>SUM(RK62:RK63)</f>
        <v>0</v>
      </c>
      <c r="RM63" s="528"/>
      <c r="RN63" s="672"/>
      <c r="RO63" s="670"/>
      <c r="RP63" s="667" t="s">
        <v>42</v>
      </c>
      <c r="RQ63" s="713"/>
      <c r="RR63" s="139">
        <v>0.85592592592592587</v>
      </c>
      <c r="RS63" s="140">
        <f t="shared" si="221"/>
        <v>0</v>
      </c>
      <c r="RT63" s="149">
        <f>SUM(RS62:RS63)</f>
        <v>3.2825000000000002</v>
      </c>
      <c r="RU63" s="528"/>
      <c r="RV63" s="672"/>
      <c r="RW63" s="670"/>
      <c r="RX63" s="667" t="s">
        <v>42</v>
      </c>
      <c r="RY63" s="713"/>
      <c r="RZ63" s="139">
        <v>0.85592592592592587</v>
      </c>
      <c r="SA63" s="140">
        <f t="shared" si="222"/>
        <v>0</v>
      </c>
      <c r="SB63" s="149">
        <f>SUM(SA62:SA63)</f>
        <v>0</v>
      </c>
      <c r="SC63" s="528"/>
      <c r="SD63" s="672"/>
      <c r="SE63" s="670"/>
      <c r="SF63" s="667" t="s">
        <v>42</v>
      </c>
      <c r="SG63" s="713"/>
      <c r="SH63" s="139">
        <v>0.85592592592592587</v>
      </c>
      <c r="SI63" s="140">
        <f t="shared" si="223"/>
        <v>0</v>
      </c>
      <c r="SJ63" s="149">
        <f>SUM(SI62:SI63)</f>
        <v>0.36472222222222223</v>
      </c>
      <c r="SK63" s="528"/>
      <c r="SL63" s="672"/>
      <c r="SM63" s="670"/>
      <c r="SN63" s="667" t="s">
        <v>42</v>
      </c>
      <c r="SO63" s="713">
        <v>5</v>
      </c>
      <c r="SP63" s="139">
        <v>0.85592592592592587</v>
      </c>
      <c r="SQ63" s="140">
        <f t="shared" si="224"/>
        <v>4.2796296296296292</v>
      </c>
      <c r="SR63" s="149">
        <f>SUM(SQ62:SQ63)</f>
        <v>23.245185185185186</v>
      </c>
      <c r="SS63" s="528"/>
      <c r="ST63" s="672"/>
      <c r="SU63" s="670"/>
      <c r="SV63" s="667" t="s">
        <v>42</v>
      </c>
      <c r="SW63" s="713"/>
      <c r="SX63" s="139">
        <v>0.85592592592592587</v>
      </c>
      <c r="SY63" s="140">
        <f t="shared" si="225"/>
        <v>0</v>
      </c>
      <c r="SZ63" s="149">
        <f>SUM(SY62:SY63)</f>
        <v>7.2944444444444443</v>
      </c>
      <c r="TA63" s="528"/>
      <c r="TB63" s="672"/>
      <c r="TC63" s="670"/>
      <c r="TD63" s="667" t="s">
        <v>42</v>
      </c>
      <c r="TE63" s="713"/>
      <c r="TF63" s="139">
        <v>0.85592592592592587</v>
      </c>
      <c r="TG63" s="140">
        <f t="shared" si="226"/>
        <v>0</v>
      </c>
      <c r="TH63" s="149">
        <f>SUM(TG62:TG63)</f>
        <v>9.1180555555555554</v>
      </c>
      <c r="TI63" s="528"/>
    </row>
    <row r="64" spans="2:529">
      <c r="B64" s="114"/>
      <c r="C64" s="115"/>
      <c r="D64" s="119" t="s">
        <v>223</v>
      </c>
      <c r="E64" s="120"/>
      <c r="F64" s="115"/>
      <c r="G64" s="117"/>
      <c r="H64" s="118"/>
      <c r="I64" s="528"/>
      <c r="J64" s="114"/>
      <c r="K64" s="115"/>
      <c r="L64" s="119" t="s">
        <v>224</v>
      </c>
      <c r="M64" s="120"/>
      <c r="N64" s="115"/>
      <c r="O64" s="117"/>
      <c r="P64" s="118"/>
      <c r="Q64" s="528"/>
      <c r="R64" s="114"/>
      <c r="S64" s="115"/>
      <c r="T64" s="119" t="s">
        <v>225</v>
      </c>
      <c r="U64" s="120"/>
      <c r="V64" s="115"/>
      <c r="W64" s="117"/>
      <c r="X64" s="118"/>
      <c r="Y64" s="528"/>
      <c r="Z64" s="114"/>
      <c r="AA64" s="115"/>
      <c r="AB64" s="119" t="s">
        <v>226</v>
      </c>
      <c r="AC64" s="120"/>
      <c r="AD64" s="115"/>
      <c r="AE64" s="117"/>
      <c r="AF64" s="118"/>
      <c r="AG64" s="528"/>
      <c r="AH64" s="114"/>
      <c r="AI64" s="115"/>
      <c r="AJ64" s="119" t="s">
        <v>227</v>
      </c>
      <c r="AK64" s="120"/>
      <c r="AL64" s="115"/>
      <c r="AM64" s="117"/>
      <c r="AN64" s="118"/>
      <c r="AO64" s="528"/>
      <c r="AP64" s="114"/>
      <c r="AQ64" s="115"/>
      <c r="AR64" s="119" t="s">
        <v>228</v>
      </c>
      <c r="AS64" s="120"/>
      <c r="AT64" s="115"/>
      <c r="AU64" s="117"/>
      <c r="AV64" s="118"/>
      <c r="AW64" s="528"/>
      <c r="AX64" s="114"/>
      <c r="AY64" s="115"/>
      <c r="AZ64" s="119" t="s">
        <v>229</v>
      </c>
      <c r="BA64" s="120"/>
      <c r="BB64" s="115"/>
      <c r="BC64" s="117"/>
      <c r="BD64" s="118"/>
      <c r="BE64" s="528"/>
      <c r="BF64" s="114"/>
      <c r="BG64" s="115"/>
      <c r="BH64" s="119" t="s">
        <v>230</v>
      </c>
      <c r="BI64" s="120"/>
      <c r="BJ64" s="115"/>
      <c r="BK64" s="117"/>
      <c r="BL64" s="118"/>
      <c r="BM64" s="528"/>
      <c r="BN64" s="114"/>
      <c r="BO64" s="115"/>
      <c r="BP64" s="119" t="s">
        <v>231</v>
      </c>
      <c r="BQ64" s="120"/>
      <c r="BR64" s="115"/>
      <c r="BS64" s="117"/>
      <c r="BT64" s="118"/>
      <c r="BU64" s="528"/>
      <c r="BV64" s="536"/>
      <c r="BW64" s="537"/>
      <c r="BX64" s="541" t="s">
        <v>251</v>
      </c>
      <c r="BY64" s="542"/>
      <c r="BZ64" s="537"/>
      <c r="CA64" s="539"/>
      <c r="CB64" s="540"/>
      <c r="CC64" s="528"/>
      <c r="CD64" s="536"/>
      <c r="CE64" s="537"/>
      <c r="CF64" s="541" t="s">
        <v>251</v>
      </c>
      <c r="CG64" s="542"/>
      <c r="CH64" s="537"/>
      <c r="CI64" s="539"/>
      <c r="CJ64" s="540"/>
      <c r="CK64" s="528"/>
      <c r="CL64" s="114"/>
      <c r="CM64" s="115"/>
      <c r="CN64" s="119" t="s">
        <v>232</v>
      </c>
      <c r="CO64" s="120"/>
      <c r="CP64" s="115"/>
      <c r="CQ64" s="117"/>
      <c r="CR64" s="118"/>
      <c r="CS64" s="528"/>
      <c r="CT64" s="114"/>
      <c r="CU64" s="115"/>
      <c r="CV64" s="119" t="s">
        <v>233</v>
      </c>
      <c r="CW64" s="120"/>
      <c r="CX64" s="115"/>
      <c r="CY64" s="117"/>
      <c r="CZ64" s="118"/>
      <c r="DA64" s="528"/>
      <c r="DB64" s="114"/>
      <c r="DC64" s="115"/>
      <c r="DD64" s="119" t="s">
        <v>234</v>
      </c>
      <c r="DE64" s="120"/>
      <c r="DF64" s="115"/>
      <c r="DG64" s="117"/>
      <c r="DH64" s="118"/>
      <c r="DI64" s="528"/>
      <c r="DJ64" s="114"/>
      <c r="DK64" s="115"/>
      <c r="DL64" s="119" t="s">
        <v>235</v>
      </c>
      <c r="DM64" s="120"/>
      <c r="DN64" s="115"/>
      <c r="DO64" s="117"/>
      <c r="DP64" s="118"/>
      <c r="DQ64" s="528"/>
      <c r="DR64" s="114"/>
      <c r="DS64" s="115"/>
      <c r="DT64" s="119" t="s">
        <v>237</v>
      </c>
      <c r="DU64" s="120"/>
      <c r="DV64" s="115"/>
      <c r="DW64" s="117"/>
      <c r="DX64" s="118"/>
      <c r="DY64" s="528"/>
      <c r="DZ64" s="114"/>
      <c r="EA64" s="115"/>
      <c r="EB64" s="119" t="s">
        <v>238</v>
      </c>
      <c r="EC64" s="120"/>
      <c r="ED64" s="115"/>
      <c r="EE64" s="117"/>
      <c r="EF64" s="118"/>
      <c r="EG64" s="528"/>
      <c r="EH64" s="114"/>
      <c r="EI64" s="115"/>
      <c r="EJ64" s="119" t="s">
        <v>239</v>
      </c>
      <c r="EK64" s="120"/>
      <c r="EL64" s="115"/>
      <c r="EM64" s="117"/>
      <c r="EN64" s="118"/>
      <c r="EO64" s="528"/>
      <c r="EP64" s="114"/>
      <c r="EQ64" s="115"/>
      <c r="ER64" s="119" t="s">
        <v>240</v>
      </c>
      <c r="ES64" s="120"/>
      <c r="ET64" s="115"/>
      <c r="EU64" s="117"/>
      <c r="EV64" s="118"/>
      <c r="EW64" s="528"/>
      <c r="EX64" s="114"/>
      <c r="EY64" s="115"/>
      <c r="EZ64" s="119" t="s">
        <v>241</v>
      </c>
      <c r="FA64" s="120"/>
      <c r="FB64" s="115"/>
      <c r="FC64" s="117"/>
      <c r="FD64" s="118"/>
      <c r="FE64" s="528"/>
      <c r="FF64" s="114"/>
      <c r="FG64" s="115"/>
      <c r="FH64" s="119" t="s">
        <v>242</v>
      </c>
      <c r="FI64" s="120"/>
      <c r="FJ64" s="115"/>
      <c r="FK64" s="117"/>
      <c r="FL64" s="118"/>
      <c r="FM64" s="528"/>
      <c r="FN64" s="114"/>
      <c r="FO64" s="115"/>
      <c r="FP64" s="119" t="s">
        <v>243</v>
      </c>
      <c r="FQ64" s="120"/>
      <c r="FR64" s="115"/>
      <c r="FS64" s="117"/>
      <c r="FT64" s="118"/>
      <c r="FU64" s="528"/>
      <c r="FV64" s="114"/>
      <c r="FW64" s="115"/>
      <c r="FX64" s="119" t="s">
        <v>244</v>
      </c>
      <c r="FY64" s="120"/>
      <c r="FZ64" s="115"/>
      <c r="GA64" s="117"/>
      <c r="GB64" s="118"/>
      <c r="GC64" s="528"/>
      <c r="GD64" s="114"/>
      <c r="GE64" s="115"/>
      <c r="GF64" s="119" t="s">
        <v>245</v>
      </c>
      <c r="GG64" s="120"/>
      <c r="GH64" s="115"/>
      <c r="GI64" s="117"/>
      <c r="GJ64" s="118"/>
      <c r="GK64" s="528"/>
      <c r="GL64" s="114"/>
      <c r="GM64" s="115"/>
      <c r="GN64" s="119" t="s">
        <v>55</v>
      </c>
      <c r="GO64" s="120"/>
      <c r="GP64" s="115"/>
      <c r="GQ64" s="117"/>
      <c r="GR64" s="118"/>
      <c r="GS64" s="528"/>
      <c r="GT64" s="114"/>
      <c r="GU64" s="115"/>
      <c r="GV64" s="119" t="s">
        <v>103</v>
      </c>
      <c r="GW64" s="120"/>
      <c r="GX64" s="115"/>
      <c r="GY64" s="117"/>
      <c r="GZ64" s="118"/>
      <c r="HA64" s="528"/>
      <c r="HB64" s="114"/>
      <c r="HC64" s="115"/>
      <c r="HD64" s="119" t="s">
        <v>104</v>
      </c>
      <c r="HE64" s="120"/>
      <c r="HF64" s="115"/>
      <c r="HG64" s="117"/>
      <c r="HH64" s="118"/>
      <c r="HI64" s="528"/>
      <c r="HJ64" s="114"/>
      <c r="HK64" s="115"/>
      <c r="HL64" s="119" t="s">
        <v>105</v>
      </c>
      <c r="HM64" s="120"/>
      <c r="HN64" s="115"/>
      <c r="HO64" s="117"/>
      <c r="HP64" s="118"/>
      <c r="HQ64" s="528"/>
      <c r="HR64" s="114"/>
      <c r="HS64" s="115"/>
      <c r="HT64" s="119" t="s">
        <v>106</v>
      </c>
      <c r="HU64" s="120"/>
      <c r="HV64" s="115"/>
      <c r="HW64" s="117"/>
      <c r="HX64" s="118"/>
      <c r="HY64" s="528"/>
      <c r="HZ64" s="114"/>
      <c r="IA64" s="115"/>
      <c r="IB64" s="119" t="s">
        <v>107</v>
      </c>
      <c r="IC64" s="120"/>
      <c r="ID64" s="115"/>
      <c r="IE64" s="117"/>
      <c r="IF64" s="118"/>
      <c r="IG64" s="528"/>
      <c r="IH64" s="114"/>
      <c r="II64" s="115"/>
      <c r="IJ64" s="119" t="s">
        <v>108</v>
      </c>
      <c r="IK64" s="120"/>
      <c r="IL64" s="115"/>
      <c r="IM64" s="117"/>
      <c r="IN64" s="118"/>
      <c r="IO64" s="528"/>
      <c r="IP64" s="114"/>
      <c r="IQ64" s="115"/>
      <c r="IR64" s="119" t="s">
        <v>109</v>
      </c>
      <c r="IS64" s="120"/>
      <c r="IT64" s="115"/>
      <c r="IU64" s="117"/>
      <c r="IV64" s="118"/>
      <c r="IW64" s="528"/>
      <c r="IX64" s="114"/>
      <c r="IY64" s="115"/>
      <c r="IZ64" s="119" t="s">
        <v>110</v>
      </c>
      <c r="JA64" s="120"/>
      <c r="JB64" s="115"/>
      <c r="JC64" s="117"/>
      <c r="JD64" s="118"/>
      <c r="JE64" s="528"/>
      <c r="JF64" s="114"/>
      <c r="JG64" s="115"/>
      <c r="JH64" s="119" t="s">
        <v>111</v>
      </c>
      <c r="JI64" s="120"/>
      <c r="JJ64" s="115"/>
      <c r="JK64" s="117"/>
      <c r="JL64" s="118"/>
      <c r="JM64" s="528"/>
      <c r="JN64" s="114"/>
      <c r="JO64" s="115"/>
      <c r="JP64" s="119" t="s">
        <v>112</v>
      </c>
      <c r="JQ64" s="120"/>
      <c r="JR64" s="115"/>
      <c r="JS64" s="117"/>
      <c r="JT64" s="118"/>
      <c r="JU64" s="528"/>
      <c r="JV64" s="114"/>
      <c r="JW64" s="115"/>
      <c r="JX64" s="119" t="s">
        <v>113</v>
      </c>
      <c r="JY64" s="120"/>
      <c r="JZ64" s="115"/>
      <c r="KA64" s="117"/>
      <c r="KB64" s="118"/>
      <c r="KC64" s="528"/>
      <c r="KD64" s="114"/>
      <c r="KE64" s="115"/>
      <c r="KF64" s="119" t="s">
        <v>114</v>
      </c>
      <c r="KG64" s="120"/>
      <c r="KH64" s="115"/>
      <c r="KI64" s="117"/>
      <c r="KJ64" s="118"/>
      <c r="KK64" s="528"/>
      <c r="KL64" s="114"/>
      <c r="KM64" s="115"/>
      <c r="KN64" s="119" t="s">
        <v>115</v>
      </c>
      <c r="KO64" s="120"/>
      <c r="KP64" s="115"/>
      <c r="KQ64" s="117"/>
      <c r="KR64" s="118"/>
      <c r="KS64" s="528"/>
      <c r="KT64" s="114"/>
      <c r="KU64" s="115"/>
      <c r="KV64" s="119" t="s">
        <v>116</v>
      </c>
      <c r="KW64" s="120"/>
      <c r="KX64" s="115"/>
      <c r="KY64" s="117"/>
      <c r="KZ64" s="118"/>
      <c r="LA64" s="528"/>
      <c r="LB64" s="114"/>
      <c r="LC64" s="115"/>
      <c r="LD64" s="119" t="s">
        <v>117</v>
      </c>
      <c r="LE64" s="120"/>
      <c r="LF64" s="115"/>
      <c r="LG64" s="117"/>
      <c r="LH64" s="118"/>
      <c r="LI64" s="528"/>
      <c r="LJ64" s="114"/>
      <c r="LK64" s="115"/>
      <c r="LL64" s="119" t="s">
        <v>119</v>
      </c>
      <c r="LM64" s="120"/>
      <c r="LN64" s="115"/>
      <c r="LO64" s="117"/>
      <c r="LP64" s="118"/>
      <c r="LQ64" s="528"/>
      <c r="LR64" s="114"/>
      <c r="LS64" s="115"/>
      <c r="LT64" s="119" t="s">
        <v>250</v>
      </c>
      <c r="LU64" s="120"/>
      <c r="LV64" s="115"/>
      <c r="LW64" s="117"/>
      <c r="LX64" s="118"/>
      <c r="LY64" s="528"/>
      <c r="LZ64" s="114"/>
      <c r="MA64" s="115"/>
      <c r="MB64" s="119" t="s">
        <v>249</v>
      </c>
      <c r="MC64" s="120"/>
      <c r="MD64" s="115"/>
      <c r="ME64" s="117"/>
      <c r="MF64" s="118"/>
      <c r="MG64" s="528"/>
      <c r="MH64" s="114"/>
      <c r="MI64" s="115"/>
      <c r="MJ64" s="119" t="s">
        <v>248</v>
      </c>
      <c r="MK64" s="120"/>
      <c r="ML64" s="115"/>
      <c r="MM64" s="117"/>
      <c r="MN64" s="118"/>
      <c r="MO64" s="528"/>
      <c r="MP64" s="114"/>
      <c r="MQ64" s="115"/>
      <c r="MR64" s="119" t="s">
        <v>247</v>
      </c>
      <c r="MS64" s="120"/>
      <c r="MT64" s="115"/>
      <c r="MU64" s="117"/>
      <c r="MV64" s="118"/>
      <c r="MW64" s="528"/>
      <c r="MX64" s="672" t="s">
        <v>93</v>
      </c>
      <c r="MY64" s="678">
        <v>52</v>
      </c>
      <c r="MZ64" s="157" t="s">
        <v>94</v>
      </c>
      <c r="NA64" s="664">
        <v>2267</v>
      </c>
      <c r="NB64" s="164">
        <v>0.28360000000000002</v>
      </c>
      <c r="NC64" s="674">
        <f t="shared" si="166"/>
        <v>642.9212</v>
      </c>
      <c r="ND64" s="679"/>
      <c r="NE64" s="528"/>
      <c r="NF64" s="672" t="s">
        <v>93</v>
      </c>
      <c r="NG64" s="709">
        <v>50</v>
      </c>
      <c r="NH64" s="157" t="s">
        <v>94</v>
      </c>
      <c r="NI64" s="664">
        <v>565</v>
      </c>
      <c r="NJ64" s="164">
        <v>0.28360000000000002</v>
      </c>
      <c r="NK64" s="674">
        <f t="shared" si="207"/>
        <v>160.23400000000001</v>
      </c>
      <c r="NL64" s="679"/>
      <c r="NM64" s="528"/>
      <c r="NN64" s="672" t="s">
        <v>93</v>
      </c>
      <c r="NO64" s="678">
        <v>43</v>
      </c>
      <c r="NP64" s="157" t="s">
        <v>94</v>
      </c>
      <c r="NQ64" s="664">
        <v>248</v>
      </c>
      <c r="NR64" s="164">
        <v>0.28360000000000002</v>
      </c>
      <c r="NS64" s="674">
        <f t="shared" si="208"/>
        <v>70.332800000000006</v>
      </c>
      <c r="NT64" s="679"/>
      <c r="NU64" s="528"/>
      <c r="NV64" s="672" t="s">
        <v>93</v>
      </c>
      <c r="NW64" s="709">
        <v>31</v>
      </c>
      <c r="NX64" s="157" t="s">
        <v>94</v>
      </c>
      <c r="NY64" s="664">
        <v>188</v>
      </c>
      <c r="NZ64" s="164">
        <v>0.28360000000000002</v>
      </c>
      <c r="OA64" s="674">
        <f t="shared" si="209"/>
        <v>53.316800000000001</v>
      </c>
      <c r="OB64" s="679"/>
      <c r="OC64" s="528"/>
      <c r="OD64" s="672" t="s">
        <v>93</v>
      </c>
      <c r="OE64" s="709">
        <v>6</v>
      </c>
      <c r="OF64" s="157" t="s">
        <v>94</v>
      </c>
      <c r="OG64" s="713">
        <v>144</v>
      </c>
      <c r="OH64" s="164">
        <v>0.28360000000000002</v>
      </c>
      <c r="OI64" s="674">
        <f t="shared" si="210"/>
        <v>40.8384</v>
      </c>
      <c r="OJ64" s="679"/>
      <c r="OK64" s="528"/>
      <c r="OL64" s="672" t="s">
        <v>93</v>
      </c>
      <c r="OM64" s="709">
        <v>1</v>
      </c>
      <c r="ON64" s="157" t="s">
        <v>94</v>
      </c>
      <c r="OO64" s="713">
        <v>2</v>
      </c>
      <c r="OP64" s="164">
        <v>0.28360000000000002</v>
      </c>
      <c r="OQ64" s="674">
        <f t="shared" si="211"/>
        <v>0.56720000000000004</v>
      </c>
      <c r="OR64" s="679"/>
      <c r="OS64" s="528"/>
      <c r="OT64" s="672" t="s">
        <v>93</v>
      </c>
      <c r="OU64" s="709"/>
      <c r="OV64" s="157" t="s">
        <v>94</v>
      </c>
      <c r="OW64" s="713"/>
      <c r="OX64" s="164">
        <v>0.28360000000000002</v>
      </c>
      <c r="OY64" s="674">
        <f t="shared" si="212"/>
        <v>0</v>
      </c>
      <c r="OZ64" s="679"/>
      <c r="PA64" s="528"/>
      <c r="PB64" s="672" t="s">
        <v>93</v>
      </c>
      <c r="PC64" s="709"/>
      <c r="PD64" s="157" t="s">
        <v>94</v>
      </c>
      <c r="PE64" s="713"/>
      <c r="PF64" s="164">
        <v>0.28360000000000002</v>
      </c>
      <c r="PG64" s="674">
        <f t="shared" si="213"/>
        <v>0</v>
      </c>
      <c r="PH64" s="679"/>
      <c r="PI64" s="528"/>
      <c r="PJ64" s="672" t="s">
        <v>93</v>
      </c>
      <c r="PK64" s="709">
        <v>5</v>
      </c>
      <c r="PL64" s="157" t="s">
        <v>94</v>
      </c>
      <c r="PM64" s="713"/>
      <c r="PN64" s="164">
        <v>0.28360000000000002</v>
      </c>
      <c r="PO64" s="674">
        <f t="shared" si="214"/>
        <v>0</v>
      </c>
      <c r="PP64" s="679"/>
      <c r="PQ64" s="528"/>
      <c r="PR64" s="672" t="s">
        <v>93</v>
      </c>
      <c r="PS64" s="709">
        <v>5</v>
      </c>
      <c r="PT64" s="157" t="s">
        <v>94</v>
      </c>
      <c r="PU64" s="713">
        <v>11</v>
      </c>
      <c r="PV64" s="164">
        <v>0.28360000000000002</v>
      </c>
      <c r="PW64" s="674">
        <f t="shared" si="215"/>
        <v>3.1196000000000002</v>
      </c>
      <c r="PX64" s="679"/>
      <c r="PY64" s="528"/>
      <c r="PZ64" s="672" t="s">
        <v>93</v>
      </c>
      <c r="QA64" s="709">
        <v>27</v>
      </c>
      <c r="QB64" s="157" t="s">
        <v>94</v>
      </c>
      <c r="QC64" s="713">
        <v>175</v>
      </c>
      <c r="QD64" s="164">
        <v>0.28360000000000002</v>
      </c>
      <c r="QE64" s="674">
        <f t="shared" si="216"/>
        <v>49.63</v>
      </c>
      <c r="QF64" s="679"/>
      <c r="QG64" s="528"/>
      <c r="QH64" s="672" t="s">
        <v>93</v>
      </c>
      <c r="QI64" s="709">
        <v>35</v>
      </c>
      <c r="QJ64" s="157" t="s">
        <v>94</v>
      </c>
      <c r="QK64" s="713">
        <v>702</v>
      </c>
      <c r="QL64" s="164">
        <v>0.28360000000000002</v>
      </c>
      <c r="QM64" s="674">
        <f t="shared" si="217"/>
        <v>199.08720000000002</v>
      </c>
      <c r="QN64" s="679"/>
      <c r="QO64" s="528"/>
      <c r="QP64" s="672" t="s">
        <v>93</v>
      </c>
      <c r="QQ64" s="709">
        <v>27</v>
      </c>
      <c r="QR64" s="157" t="s">
        <v>94</v>
      </c>
      <c r="QS64" s="713">
        <v>153</v>
      </c>
      <c r="QT64" s="164">
        <v>0.28360000000000002</v>
      </c>
      <c r="QU64" s="674">
        <f t="shared" si="218"/>
        <v>43.390800000000006</v>
      </c>
      <c r="QV64" s="679"/>
      <c r="QW64" s="528"/>
      <c r="QX64" s="672" t="s">
        <v>93</v>
      </c>
      <c r="QY64" s="709"/>
      <c r="QZ64" s="157" t="s">
        <v>94</v>
      </c>
      <c r="RA64" s="713"/>
      <c r="RB64" s="164">
        <v>0.28360000000000002</v>
      </c>
      <c r="RC64" s="674">
        <f t="shared" si="219"/>
        <v>0</v>
      </c>
      <c r="RD64" s="679"/>
      <c r="RE64" s="528"/>
      <c r="RF64" s="672" t="s">
        <v>93</v>
      </c>
      <c r="RG64" s="709"/>
      <c r="RH64" s="157" t="s">
        <v>94</v>
      </c>
      <c r="RI64" s="713"/>
      <c r="RJ64" s="164">
        <v>0.28360000000000002</v>
      </c>
      <c r="RK64" s="674">
        <f t="shared" si="220"/>
        <v>0</v>
      </c>
      <c r="RL64" s="679"/>
      <c r="RM64" s="528"/>
      <c r="RN64" s="672" t="s">
        <v>93</v>
      </c>
      <c r="RO64" s="709">
        <v>4</v>
      </c>
      <c r="RP64" s="157" t="s">
        <v>94</v>
      </c>
      <c r="RQ64" s="713"/>
      <c r="RR64" s="164">
        <v>0.28360000000000002</v>
      </c>
      <c r="RS64" s="674">
        <f t="shared" si="221"/>
        <v>0</v>
      </c>
      <c r="RT64" s="679"/>
      <c r="RU64" s="528"/>
      <c r="RV64" s="672" t="s">
        <v>93</v>
      </c>
      <c r="RW64" s="709"/>
      <c r="RX64" s="157" t="s">
        <v>94</v>
      </c>
      <c r="RY64" s="713"/>
      <c r="RZ64" s="164">
        <v>0.28360000000000002</v>
      </c>
      <c r="SA64" s="674">
        <f t="shared" si="222"/>
        <v>0</v>
      </c>
      <c r="SB64" s="679"/>
      <c r="SC64" s="528"/>
      <c r="SD64" s="672" t="s">
        <v>93</v>
      </c>
      <c r="SE64" s="709">
        <v>5</v>
      </c>
      <c r="SF64" s="157" t="s">
        <v>94</v>
      </c>
      <c r="SG64" s="713">
        <v>10</v>
      </c>
      <c r="SH64" s="164">
        <v>0.28360000000000002</v>
      </c>
      <c r="SI64" s="674">
        <f t="shared" si="223"/>
        <v>2.8360000000000003</v>
      </c>
      <c r="SJ64" s="679"/>
      <c r="SK64" s="528"/>
      <c r="SL64" s="672" t="s">
        <v>93</v>
      </c>
      <c r="SM64" s="709">
        <v>4</v>
      </c>
      <c r="SN64" s="157" t="s">
        <v>94</v>
      </c>
      <c r="SO64" s="713"/>
      <c r="SP64" s="164">
        <v>0.28360000000000002</v>
      </c>
      <c r="SQ64" s="674">
        <f t="shared" si="224"/>
        <v>0</v>
      </c>
      <c r="SR64" s="679"/>
      <c r="SS64" s="528"/>
      <c r="ST64" s="672" t="s">
        <v>93</v>
      </c>
      <c r="SU64" s="709">
        <v>7</v>
      </c>
      <c r="SV64" s="157" t="s">
        <v>94</v>
      </c>
      <c r="SW64" s="713">
        <v>11</v>
      </c>
      <c r="SX64" s="164">
        <v>0.28360000000000002</v>
      </c>
      <c r="SY64" s="674">
        <f t="shared" si="225"/>
        <v>3.1196000000000002</v>
      </c>
      <c r="SZ64" s="679"/>
      <c r="TA64" s="528"/>
      <c r="TB64" s="672" t="s">
        <v>93</v>
      </c>
      <c r="TC64" s="709">
        <v>11</v>
      </c>
      <c r="TD64" s="157" t="s">
        <v>94</v>
      </c>
      <c r="TE64" s="713"/>
      <c r="TF64" s="164">
        <v>0.28360000000000002</v>
      </c>
      <c r="TG64" s="674">
        <f t="shared" si="226"/>
        <v>0</v>
      </c>
      <c r="TH64" s="679"/>
      <c r="TI64" s="528"/>
    </row>
    <row r="65" spans="2:529">
      <c r="B65" s="121"/>
      <c r="C65" s="122"/>
      <c r="D65" s="123"/>
      <c r="E65" s="124"/>
      <c r="F65" s="124"/>
      <c r="G65" s="125"/>
      <c r="H65" s="126"/>
      <c r="I65" s="528"/>
      <c r="J65" s="121"/>
      <c r="K65" s="122"/>
      <c r="L65" s="123"/>
      <c r="M65" s="124"/>
      <c r="N65" s="124"/>
      <c r="O65" s="125"/>
      <c r="P65" s="126"/>
      <c r="Q65" s="528"/>
      <c r="R65" s="121"/>
      <c r="S65" s="122"/>
      <c r="T65" s="123"/>
      <c r="U65" s="124"/>
      <c r="V65" s="124"/>
      <c r="W65" s="125"/>
      <c r="X65" s="126"/>
      <c r="Y65" s="528"/>
      <c r="Z65" s="121"/>
      <c r="AA65" s="122"/>
      <c r="AB65" s="123"/>
      <c r="AC65" s="124"/>
      <c r="AD65" s="124"/>
      <c r="AE65" s="125"/>
      <c r="AF65" s="126"/>
      <c r="AG65" s="528"/>
      <c r="AH65" s="121"/>
      <c r="AI65" s="122"/>
      <c r="AJ65" s="123"/>
      <c r="AK65" s="124"/>
      <c r="AL65" s="124"/>
      <c r="AM65" s="125"/>
      <c r="AN65" s="126"/>
      <c r="AO65" s="528"/>
      <c r="AP65" s="121"/>
      <c r="AQ65" s="122"/>
      <c r="AR65" s="123"/>
      <c r="AS65" s="124"/>
      <c r="AT65" s="124"/>
      <c r="AU65" s="125"/>
      <c r="AV65" s="126"/>
      <c r="AW65" s="528"/>
      <c r="AX65" s="121"/>
      <c r="AY65" s="122"/>
      <c r="AZ65" s="123"/>
      <c r="BA65" s="124"/>
      <c r="BB65" s="124"/>
      <c r="BC65" s="125"/>
      <c r="BD65" s="126"/>
      <c r="BE65" s="528"/>
      <c r="BF65" s="121"/>
      <c r="BG65" s="122"/>
      <c r="BH65" s="123"/>
      <c r="BI65" s="124"/>
      <c r="BJ65" s="124"/>
      <c r="BK65" s="125"/>
      <c r="BL65" s="126"/>
      <c r="BM65" s="528"/>
      <c r="BN65" s="121"/>
      <c r="BO65" s="122"/>
      <c r="BP65" s="123"/>
      <c r="BQ65" s="124"/>
      <c r="BR65" s="124"/>
      <c r="BS65" s="125"/>
      <c r="BT65" s="126"/>
      <c r="BU65" s="528"/>
      <c r="BV65" s="543"/>
      <c r="BW65" s="544"/>
      <c r="BX65" s="545"/>
      <c r="BY65" s="546"/>
      <c r="BZ65" s="546"/>
      <c r="CA65" s="547"/>
      <c r="CB65" s="548"/>
      <c r="CC65" s="528"/>
      <c r="CD65" s="543"/>
      <c r="CE65" s="544"/>
      <c r="CF65" s="545"/>
      <c r="CG65" s="546"/>
      <c r="CH65" s="546"/>
      <c r="CI65" s="547"/>
      <c r="CJ65" s="548"/>
      <c r="CK65" s="528"/>
      <c r="CL65" s="121"/>
      <c r="CM65" s="122"/>
      <c r="CN65" s="123"/>
      <c r="CO65" s="124"/>
      <c r="CP65" s="124"/>
      <c r="CQ65" s="125"/>
      <c r="CR65" s="126"/>
      <c r="CS65" s="528"/>
      <c r="CT65" s="121"/>
      <c r="CU65" s="122"/>
      <c r="CV65" s="123"/>
      <c r="CW65" s="124"/>
      <c r="CX65" s="124"/>
      <c r="CY65" s="125"/>
      <c r="CZ65" s="126"/>
      <c r="DA65" s="528"/>
      <c r="DB65" s="121"/>
      <c r="DC65" s="122"/>
      <c r="DD65" s="123"/>
      <c r="DE65" s="124"/>
      <c r="DF65" s="124"/>
      <c r="DG65" s="125"/>
      <c r="DH65" s="126"/>
      <c r="DI65" s="528"/>
      <c r="DJ65" s="121"/>
      <c r="DK65" s="122"/>
      <c r="DL65" s="123"/>
      <c r="DM65" s="124"/>
      <c r="DN65" s="124"/>
      <c r="DO65" s="125"/>
      <c r="DP65" s="126"/>
      <c r="DQ65" s="528"/>
      <c r="DR65" s="121"/>
      <c r="DS65" s="122"/>
      <c r="DT65" s="123"/>
      <c r="DU65" s="124"/>
      <c r="DV65" s="124"/>
      <c r="DW65" s="125"/>
      <c r="DX65" s="126"/>
      <c r="DY65" s="528"/>
      <c r="DZ65" s="121"/>
      <c r="EA65" s="122"/>
      <c r="EB65" s="123"/>
      <c r="EC65" s="124"/>
      <c r="ED65" s="124"/>
      <c r="EE65" s="125"/>
      <c r="EF65" s="126"/>
      <c r="EG65" s="528"/>
      <c r="EH65" s="121"/>
      <c r="EI65" s="122"/>
      <c r="EJ65" s="123"/>
      <c r="EK65" s="124"/>
      <c r="EL65" s="124"/>
      <c r="EM65" s="125"/>
      <c r="EN65" s="126"/>
      <c r="EO65" s="528"/>
      <c r="EP65" s="121"/>
      <c r="EQ65" s="122"/>
      <c r="ER65" s="123"/>
      <c r="ES65" s="124"/>
      <c r="ET65" s="124"/>
      <c r="EU65" s="125"/>
      <c r="EV65" s="126"/>
      <c r="EW65" s="528"/>
      <c r="EX65" s="121"/>
      <c r="EY65" s="122"/>
      <c r="EZ65" s="123"/>
      <c r="FA65" s="124"/>
      <c r="FB65" s="124"/>
      <c r="FC65" s="125"/>
      <c r="FD65" s="126"/>
      <c r="FE65" s="528"/>
      <c r="FF65" s="121"/>
      <c r="FG65" s="122"/>
      <c r="FH65" s="123"/>
      <c r="FI65" s="124"/>
      <c r="FJ65" s="124"/>
      <c r="FK65" s="125"/>
      <c r="FL65" s="126"/>
      <c r="FM65" s="528"/>
      <c r="FN65" s="121"/>
      <c r="FO65" s="122"/>
      <c r="FP65" s="123"/>
      <c r="FQ65" s="124"/>
      <c r="FR65" s="124"/>
      <c r="FS65" s="125"/>
      <c r="FT65" s="126"/>
      <c r="FU65" s="528"/>
      <c r="FV65" s="121"/>
      <c r="FW65" s="122"/>
      <c r="FX65" s="123"/>
      <c r="FY65" s="124"/>
      <c r="FZ65" s="124"/>
      <c r="GA65" s="125"/>
      <c r="GB65" s="126"/>
      <c r="GC65" s="528"/>
      <c r="GD65" s="121"/>
      <c r="GE65" s="122"/>
      <c r="GF65" s="123"/>
      <c r="GG65" s="124"/>
      <c r="GH65" s="124"/>
      <c r="GI65" s="125"/>
      <c r="GJ65" s="126"/>
      <c r="GK65" s="528"/>
      <c r="GL65" s="121"/>
      <c r="GM65" s="122"/>
      <c r="GN65" s="123"/>
      <c r="GO65" s="124"/>
      <c r="GP65" s="124"/>
      <c r="GQ65" s="125"/>
      <c r="GR65" s="126"/>
      <c r="GS65" s="528"/>
      <c r="GT65" s="121"/>
      <c r="GU65" s="122"/>
      <c r="GV65" s="123"/>
      <c r="GW65" s="124"/>
      <c r="GX65" s="124"/>
      <c r="GY65" s="125"/>
      <c r="GZ65" s="126"/>
      <c r="HA65" s="528"/>
      <c r="HB65" s="121"/>
      <c r="HC65" s="122"/>
      <c r="HD65" s="123"/>
      <c r="HE65" s="124"/>
      <c r="HF65" s="124"/>
      <c r="HG65" s="125"/>
      <c r="HH65" s="126"/>
      <c r="HI65" s="528"/>
      <c r="HJ65" s="121"/>
      <c r="HK65" s="122"/>
      <c r="HL65" s="123"/>
      <c r="HM65" s="124"/>
      <c r="HN65" s="124"/>
      <c r="HO65" s="125"/>
      <c r="HP65" s="126"/>
      <c r="HQ65" s="528"/>
      <c r="HR65" s="121"/>
      <c r="HS65" s="122"/>
      <c r="HT65" s="123"/>
      <c r="HU65" s="124"/>
      <c r="HV65" s="124"/>
      <c r="HW65" s="125"/>
      <c r="HX65" s="126"/>
      <c r="HY65" s="528"/>
      <c r="HZ65" s="121"/>
      <c r="IA65" s="122"/>
      <c r="IB65" s="123"/>
      <c r="IC65" s="124"/>
      <c r="ID65" s="124"/>
      <c r="IE65" s="125"/>
      <c r="IF65" s="126"/>
      <c r="IG65" s="528"/>
      <c r="IH65" s="121"/>
      <c r="II65" s="122"/>
      <c r="IJ65" s="123"/>
      <c r="IK65" s="124"/>
      <c r="IL65" s="124"/>
      <c r="IM65" s="125"/>
      <c r="IN65" s="126"/>
      <c r="IO65" s="528"/>
      <c r="IP65" s="121"/>
      <c r="IQ65" s="122"/>
      <c r="IR65" s="123"/>
      <c r="IS65" s="124"/>
      <c r="IT65" s="124"/>
      <c r="IU65" s="125"/>
      <c r="IV65" s="126"/>
      <c r="IW65" s="528"/>
      <c r="IX65" s="121"/>
      <c r="IY65" s="122"/>
      <c r="IZ65" s="123"/>
      <c r="JA65" s="124"/>
      <c r="JB65" s="124"/>
      <c r="JC65" s="125"/>
      <c r="JD65" s="126"/>
      <c r="JE65" s="528"/>
      <c r="JF65" s="121"/>
      <c r="JG65" s="122"/>
      <c r="JH65" s="123"/>
      <c r="JI65" s="124"/>
      <c r="JJ65" s="124"/>
      <c r="JK65" s="125"/>
      <c r="JL65" s="126"/>
      <c r="JM65" s="528"/>
      <c r="JN65" s="121"/>
      <c r="JO65" s="122"/>
      <c r="JP65" s="123"/>
      <c r="JQ65" s="124"/>
      <c r="JR65" s="124"/>
      <c r="JS65" s="125"/>
      <c r="JT65" s="126"/>
      <c r="JU65" s="528"/>
      <c r="JV65" s="121"/>
      <c r="JW65" s="122"/>
      <c r="JX65" s="123"/>
      <c r="JY65" s="124"/>
      <c r="JZ65" s="124"/>
      <c r="KA65" s="125"/>
      <c r="KB65" s="126"/>
      <c r="KC65" s="528"/>
      <c r="KD65" s="121"/>
      <c r="KE65" s="122"/>
      <c r="KF65" s="123"/>
      <c r="KG65" s="124"/>
      <c r="KH65" s="124"/>
      <c r="KI65" s="125"/>
      <c r="KJ65" s="126"/>
      <c r="KK65" s="528"/>
      <c r="KL65" s="121"/>
      <c r="KM65" s="122"/>
      <c r="KN65" s="123"/>
      <c r="KO65" s="124"/>
      <c r="KP65" s="124"/>
      <c r="KQ65" s="125"/>
      <c r="KR65" s="126"/>
      <c r="KS65" s="528"/>
      <c r="KT65" s="121"/>
      <c r="KU65" s="122"/>
      <c r="KV65" s="123"/>
      <c r="KW65" s="124"/>
      <c r="KX65" s="124"/>
      <c r="KY65" s="125"/>
      <c r="KZ65" s="126"/>
      <c r="LA65" s="528"/>
      <c r="LB65" s="121"/>
      <c r="LC65" s="122"/>
      <c r="LD65" s="123"/>
      <c r="LE65" s="124"/>
      <c r="LF65" s="124"/>
      <c r="LG65" s="125"/>
      <c r="LH65" s="126"/>
      <c r="LI65" s="528"/>
      <c r="LJ65" s="121"/>
      <c r="LK65" s="122"/>
      <c r="LL65" s="123"/>
      <c r="LM65" s="124"/>
      <c r="LN65" s="124"/>
      <c r="LO65" s="125"/>
      <c r="LP65" s="126"/>
      <c r="LQ65" s="528"/>
      <c r="LR65" s="121"/>
      <c r="LS65" s="122"/>
      <c r="LT65" s="123"/>
      <c r="LU65" s="124"/>
      <c r="LV65" s="124"/>
      <c r="LW65" s="125"/>
      <c r="LX65" s="126"/>
      <c r="LY65" s="528"/>
      <c r="LZ65" s="121"/>
      <c r="MA65" s="122"/>
      <c r="MB65" s="123"/>
      <c r="MC65" s="124"/>
      <c r="MD65" s="124"/>
      <c r="ME65" s="125"/>
      <c r="MF65" s="126"/>
      <c r="MG65" s="528"/>
      <c r="MH65" s="121"/>
      <c r="MI65" s="122"/>
      <c r="MJ65" s="123"/>
      <c r="MK65" s="124"/>
      <c r="ML65" s="124"/>
      <c r="MM65" s="125"/>
      <c r="MN65" s="126"/>
      <c r="MO65" s="528"/>
      <c r="MP65" s="121"/>
      <c r="MQ65" s="122"/>
      <c r="MR65" s="123"/>
      <c r="MS65" s="124"/>
      <c r="MT65" s="124"/>
      <c r="MU65" s="125"/>
      <c r="MV65" s="126"/>
      <c r="MW65" s="528"/>
      <c r="MX65" s="672"/>
      <c r="MY65" s="669"/>
      <c r="MZ65" s="662" t="s">
        <v>95</v>
      </c>
      <c r="NA65" s="664">
        <v>433</v>
      </c>
      <c r="NB65" s="139">
        <v>1.1644827586206898</v>
      </c>
      <c r="NC65" s="674">
        <f>NA65*NB65</f>
        <v>504.22103448275868</v>
      </c>
      <c r="ND65" s="705"/>
      <c r="NE65" s="528"/>
      <c r="NF65" s="672"/>
      <c r="NG65" s="710"/>
      <c r="NH65" s="662" t="s">
        <v>95</v>
      </c>
      <c r="NI65" s="664">
        <v>10</v>
      </c>
      <c r="NJ65" s="139">
        <v>1.1644827586206898</v>
      </c>
      <c r="NK65" s="674">
        <f>NI65*NJ65</f>
        <v>11.644827586206898</v>
      </c>
      <c r="NL65" s="705"/>
      <c r="NM65" s="528"/>
      <c r="NN65" s="672"/>
      <c r="NO65" s="669"/>
      <c r="NP65" s="662" t="s">
        <v>95</v>
      </c>
      <c r="NQ65" s="664">
        <v>87</v>
      </c>
      <c r="NR65" s="139">
        <v>1.1644827586206898</v>
      </c>
      <c r="NS65" s="674">
        <f>NQ65*NR65</f>
        <v>101.31000000000002</v>
      </c>
      <c r="NT65" s="705"/>
      <c r="NU65" s="528"/>
      <c r="NV65" s="672"/>
      <c r="NW65" s="669"/>
      <c r="NX65" s="662" t="s">
        <v>95</v>
      </c>
      <c r="NY65" s="664">
        <v>124</v>
      </c>
      <c r="NZ65" s="139">
        <v>1.1644827586206898</v>
      </c>
      <c r="OA65" s="674">
        <f>NY65*NZ65</f>
        <v>144.39586206896553</v>
      </c>
      <c r="OB65" s="705"/>
      <c r="OC65" s="528"/>
      <c r="OD65" s="672"/>
      <c r="OE65" s="669"/>
      <c r="OF65" s="662" t="s">
        <v>95</v>
      </c>
      <c r="OG65" s="664"/>
      <c r="OH65" s="139">
        <v>1.1644827586206898</v>
      </c>
      <c r="OI65" s="674">
        <f>OG65*OH65</f>
        <v>0</v>
      </c>
      <c r="OJ65" s="705"/>
      <c r="OK65" s="528"/>
      <c r="OL65" s="672"/>
      <c r="OM65" s="669"/>
      <c r="ON65" s="662" t="s">
        <v>95</v>
      </c>
      <c r="OO65" s="664"/>
      <c r="OP65" s="139">
        <v>1.1644827586206898</v>
      </c>
      <c r="OQ65" s="674">
        <f>OO65*OP65</f>
        <v>0</v>
      </c>
      <c r="OR65" s="705"/>
      <c r="OS65" s="528"/>
      <c r="OT65" s="672"/>
      <c r="OU65" s="669"/>
      <c r="OV65" s="662" t="s">
        <v>95</v>
      </c>
      <c r="OW65" s="664"/>
      <c r="OX65" s="139">
        <v>1.1644827586206898</v>
      </c>
      <c r="OY65" s="674">
        <f>OW65*OX65</f>
        <v>0</v>
      </c>
      <c r="OZ65" s="705"/>
      <c r="PA65" s="528"/>
      <c r="PB65" s="672"/>
      <c r="PC65" s="669"/>
      <c r="PD65" s="662" t="s">
        <v>95</v>
      </c>
      <c r="PE65" s="664"/>
      <c r="PF65" s="139">
        <v>1.1644827586206898</v>
      </c>
      <c r="PG65" s="674">
        <f>PE65*PF65</f>
        <v>0</v>
      </c>
      <c r="PH65" s="705"/>
      <c r="PI65" s="528"/>
      <c r="PJ65" s="672"/>
      <c r="PK65" s="669"/>
      <c r="PL65" s="662" t="s">
        <v>95</v>
      </c>
      <c r="PM65" s="713"/>
      <c r="PN65" s="139">
        <v>1.1644827586206898</v>
      </c>
      <c r="PO65" s="674">
        <f>PM65*PN65</f>
        <v>0</v>
      </c>
      <c r="PP65" s="705"/>
      <c r="PQ65" s="528"/>
      <c r="PR65" s="672"/>
      <c r="PS65" s="669"/>
      <c r="PT65" s="662" t="s">
        <v>95</v>
      </c>
      <c r="PU65" s="713"/>
      <c r="PV65" s="139">
        <v>1.1644827586206898</v>
      </c>
      <c r="PW65" s="674">
        <f>PU65*PV65</f>
        <v>0</v>
      </c>
      <c r="PX65" s="705"/>
      <c r="PY65" s="528"/>
      <c r="PZ65" s="672"/>
      <c r="QA65" s="669"/>
      <c r="QB65" s="662" t="s">
        <v>95</v>
      </c>
      <c r="QC65" s="713"/>
      <c r="QD65" s="139">
        <v>1.1644827586206898</v>
      </c>
      <c r="QE65" s="674">
        <f>QC65*QD65</f>
        <v>0</v>
      </c>
      <c r="QF65" s="705"/>
      <c r="QG65" s="528"/>
      <c r="QH65" s="672"/>
      <c r="QI65" s="669"/>
      <c r="QJ65" s="662" t="s">
        <v>95</v>
      </c>
      <c r="QK65" s="713">
        <v>392</v>
      </c>
      <c r="QL65" s="139">
        <v>1.1644827586206898</v>
      </c>
      <c r="QM65" s="674">
        <f>QK65*QL65</f>
        <v>456.47724137931044</v>
      </c>
      <c r="QN65" s="705"/>
      <c r="QO65" s="528"/>
      <c r="QP65" s="672"/>
      <c r="QQ65" s="669"/>
      <c r="QR65" s="662" t="s">
        <v>95</v>
      </c>
      <c r="QS65" s="713">
        <v>215</v>
      </c>
      <c r="QT65" s="139">
        <v>1.1644827586206898</v>
      </c>
      <c r="QU65" s="674">
        <f>QS65*QT65</f>
        <v>250.3637931034483</v>
      </c>
      <c r="QV65" s="705"/>
      <c r="QW65" s="528"/>
      <c r="QX65" s="672"/>
      <c r="QY65" s="669"/>
      <c r="QZ65" s="662" t="s">
        <v>95</v>
      </c>
      <c r="RA65" s="713"/>
      <c r="RB65" s="139">
        <v>1.1644827586206898</v>
      </c>
      <c r="RC65" s="674">
        <f>RA65*RB65</f>
        <v>0</v>
      </c>
      <c r="RD65" s="705"/>
      <c r="RE65" s="528"/>
      <c r="RF65" s="672"/>
      <c r="RG65" s="669"/>
      <c r="RH65" s="662" t="s">
        <v>95</v>
      </c>
      <c r="RI65" s="713"/>
      <c r="RJ65" s="139">
        <v>1.1644827586206898</v>
      </c>
      <c r="RK65" s="674">
        <f>RI65*RJ65</f>
        <v>0</v>
      </c>
      <c r="RL65" s="705"/>
      <c r="RM65" s="528"/>
      <c r="RN65" s="672"/>
      <c r="RO65" s="669"/>
      <c r="RP65" s="662" t="s">
        <v>95</v>
      </c>
      <c r="RQ65" s="713">
        <v>4</v>
      </c>
      <c r="RR65" s="139">
        <v>1.1644827586206898</v>
      </c>
      <c r="RS65" s="674">
        <f>RQ65*RR65</f>
        <v>4.6579310344827594</v>
      </c>
      <c r="RT65" s="705"/>
      <c r="RU65" s="528"/>
      <c r="RV65" s="672"/>
      <c r="RW65" s="669"/>
      <c r="RX65" s="662" t="s">
        <v>95</v>
      </c>
      <c r="RY65" s="713"/>
      <c r="RZ65" s="139">
        <v>1.1644827586206898</v>
      </c>
      <c r="SA65" s="674">
        <f>RY65*RZ65</f>
        <v>0</v>
      </c>
      <c r="SB65" s="705"/>
      <c r="SC65" s="528"/>
      <c r="SD65" s="672"/>
      <c r="SE65" s="669"/>
      <c r="SF65" s="662" t="s">
        <v>95</v>
      </c>
      <c r="SG65" s="713">
        <v>23</v>
      </c>
      <c r="SH65" s="139">
        <v>1.1644827586206898</v>
      </c>
      <c r="SI65" s="674">
        <f>SG65*SH65</f>
        <v>26.783103448275867</v>
      </c>
      <c r="SJ65" s="705"/>
      <c r="SK65" s="528"/>
      <c r="SL65" s="672"/>
      <c r="SM65" s="669"/>
      <c r="SN65" s="662" t="s">
        <v>95</v>
      </c>
      <c r="SO65" s="713">
        <v>7</v>
      </c>
      <c r="SP65" s="139">
        <v>1.1644827586206898</v>
      </c>
      <c r="SQ65" s="674">
        <f>SO65*SP65</f>
        <v>8.1513793103448293</v>
      </c>
      <c r="SR65" s="705"/>
      <c r="SS65" s="528"/>
      <c r="ST65" s="672"/>
      <c r="SU65" s="669"/>
      <c r="SV65" s="662" t="s">
        <v>95</v>
      </c>
      <c r="SW65" s="713">
        <v>4</v>
      </c>
      <c r="SX65" s="139">
        <v>1.1644827586206898</v>
      </c>
      <c r="SY65" s="674">
        <f>SW65*SX65</f>
        <v>4.6579310344827594</v>
      </c>
      <c r="SZ65" s="705"/>
      <c r="TA65" s="528"/>
      <c r="TB65" s="672"/>
      <c r="TC65" s="669"/>
      <c r="TD65" s="662" t="s">
        <v>95</v>
      </c>
      <c r="TE65" s="713"/>
      <c r="TF65" s="139">
        <v>1.1644827586206898</v>
      </c>
      <c r="TG65" s="674">
        <f>TE65*TF65</f>
        <v>0</v>
      </c>
      <c r="TH65" s="705"/>
      <c r="TI65" s="528"/>
    </row>
    <row r="66" spans="2:529">
      <c r="B66" s="127" t="s">
        <v>56</v>
      </c>
      <c r="C66" s="128" t="s">
        <v>57</v>
      </c>
      <c r="D66" s="128" t="s">
        <v>58</v>
      </c>
      <c r="E66" s="128" t="s">
        <v>59</v>
      </c>
      <c r="F66" s="128" t="s">
        <v>60</v>
      </c>
      <c r="G66" s="129" t="s">
        <v>61</v>
      </c>
      <c r="H66" s="130" t="s">
        <v>62</v>
      </c>
      <c r="I66" s="528"/>
      <c r="J66" s="127" t="s">
        <v>56</v>
      </c>
      <c r="K66" s="128" t="s">
        <v>57</v>
      </c>
      <c r="L66" s="128" t="s">
        <v>58</v>
      </c>
      <c r="M66" s="128" t="s">
        <v>59</v>
      </c>
      <c r="N66" s="128" t="s">
        <v>60</v>
      </c>
      <c r="O66" s="129" t="s">
        <v>61</v>
      </c>
      <c r="P66" s="130" t="s">
        <v>62</v>
      </c>
      <c r="Q66" s="528"/>
      <c r="R66" s="127" t="s">
        <v>56</v>
      </c>
      <c r="S66" s="128" t="s">
        <v>57</v>
      </c>
      <c r="T66" s="128" t="s">
        <v>58</v>
      </c>
      <c r="U66" s="128" t="s">
        <v>59</v>
      </c>
      <c r="V66" s="128" t="s">
        <v>60</v>
      </c>
      <c r="W66" s="129" t="s">
        <v>61</v>
      </c>
      <c r="X66" s="130" t="s">
        <v>62</v>
      </c>
      <c r="Y66" s="528"/>
      <c r="Z66" s="127" t="s">
        <v>56</v>
      </c>
      <c r="AA66" s="128" t="s">
        <v>57</v>
      </c>
      <c r="AB66" s="128" t="s">
        <v>58</v>
      </c>
      <c r="AC66" s="128" t="s">
        <v>59</v>
      </c>
      <c r="AD66" s="128" t="s">
        <v>60</v>
      </c>
      <c r="AE66" s="129" t="s">
        <v>61</v>
      </c>
      <c r="AF66" s="130" t="s">
        <v>62</v>
      </c>
      <c r="AG66" s="528"/>
      <c r="AH66" s="127" t="s">
        <v>56</v>
      </c>
      <c r="AI66" s="128" t="s">
        <v>57</v>
      </c>
      <c r="AJ66" s="128" t="s">
        <v>58</v>
      </c>
      <c r="AK66" s="128" t="s">
        <v>59</v>
      </c>
      <c r="AL66" s="128" t="s">
        <v>60</v>
      </c>
      <c r="AM66" s="129" t="s">
        <v>61</v>
      </c>
      <c r="AN66" s="130" t="s">
        <v>62</v>
      </c>
      <c r="AO66" s="528"/>
      <c r="AP66" s="127" t="s">
        <v>56</v>
      </c>
      <c r="AQ66" s="128" t="s">
        <v>57</v>
      </c>
      <c r="AR66" s="128" t="s">
        <v>58</v>
      </c>
      <c r="AS66" s="128" t="s">
        <v>59</v>
      </c>
      <c r="AT66" s="128" t="s">
        <v>60</v>
      </c>
      <c r="AU66" s="129" t="s">
        <v>61</v>
      </c>
      <c r="AV66" s="130" t="s">
        <v>62</v>
      </c>
      <c r="AW66" s="528"/>
      <c r="AX66" s="127" t="s">
        <v>56</v>
      </c>
      <c r="AY66" s="128" t="s">
        <v>57</v>
      </c>
      <c r="AZ66" s="128" t="s">
        <v>58</v>
      </c>
      <c r="BA66" s="128" t="s">
        <v>59</v>
      </c>
      <c r="BB66" s="128" t="s">
        <v>60</v>
      </c>
      <c r="BC66" s="129" t="s">
        <v>61</v>
      </c>
      <c r="BD66" s="130" t="s">
        <v>62</v>
      </c>
      <c r="BE66" s="528"/>
      <c r="BF66" s="127" t="s">
        <v>56</v>
      </c>
      <c r="BG66" s="128" t="s">
        <v>57</v>
      </c>
      <c r="BH66" s="128" t="s">
        <v>58</v>
      </c>
      <c r="BI66" s="128" t="s">
        <v>59</v>
      </c>
      <c r="BJ66" s="128" t="s">
        <v>60</v>
      </c>
      <c r="BK66" s="129" t="s">
        <v>61</v>
      </c>
      <c r="BL66" s="130" t="s">
        <v>62</v>
      </c>
      <c r="BM66" s="528"/>
      <c r="BN66" s="127" t="s">
        <v>56</v>
      </c>
      <c r="BO66" s="128" t="s">
        <v>57</v>
      </c>
      <c r="BP66" s="128" t="s">
        <v>58</v>
      </c>
      <c r="BQ66" s="128" t="s">
        <v>59</v>
      </c>
      <c r="BR66" s="128" t="s">
        <v>60</v>
      </c>
      <c r="BS66" s="129" t="s">
        <v>61</v>
      </c>
      <c r="BT66" s="130" t="s">
        <v>62</v>
      </c>
      <c r="BU66" s="528"/>
      <c r="BV66" s="549" t="s">
        <v>56</v>
      </c>
      <c r="BW66" s="550" t="s">
        <v>57</v>
      </c>
      <c r="BX66" s="550" t="s">
        <v>58</v>
      </c>
      <c r="BY66" s="550" t="s">
        <v>59</v>
      </c>
      <c r="BZ66" s="550" t="s">
        <v>60</v>
      </c>
      <c r="CA66" s="551" t="s">
        <v>61</v>
      </c>
      <c r="CB66" s="552" t="s">
        <v>62</v>
      </c>
      <c r="CC66" s="528"/>
      <c r="CD66" s="549" t="s">
        <v>56</v>
      </c>
      <c r="CE66" s="550" t="s">
        <v>57</v>
      </c>
      <c r="CF66" s="550" t="s">
        <v>58</v>
      </c>
      <c r="CG66" s="550" t="s">
        <v>59</v>
      </c>
      <c r="CH66" s="550" t="s">
        <v>60</v>
      </c>
      <c r="CI66" s="551" t="s">
        <v>61</v>
      </c>
      <c r="CJ66" s="552" t="s">
        <v>62</v>
      </c>
      <c r="CK66" s="528"/>
      <c r="CL66" s="127" t="s">
        <v>56</v>
      </c>
      <c r="CM66" s="128" t="s">
        <v>57</v>
      </c>
      <c r="CN66" s="128" t="s">
        <v>58</v>
      </c>
      <c r="CO66" s="128" t="s">
        <v>59</v>
      </c>
      <c r="CP66" s="128" t="s">
        <v>60</v>
      </c>
      <c r="CQ66" s="129" t="s">
        <v>61</v>
      </c>
      <c r="CR66" s="130" t="s">
        <v>62</v>
      </c>
      <c r="CS66" s="528"/>
      <c r="CT66" s="127" t="s">
        <v>56</v>
      </c>
      <c r="CU66" s="128" t="s">
        <v>57</v>
      </c>
      <c r="CV66" s="128" t="s">
        <v>58</v>
      </c>
      <c r="CW66" s="128" t="s">
        <v>59</v>
      </c>
      <c r="CX66" s="128" t="s">
        <v>60</v>
      </c>
      <c r="CY66" s="129" t="s">
        <v>61</v>
      </c>
      <c r="CZ66" s="130" t="s">
        <v>62</v>
      </c>
      <c r="DA66" s="528"/>
      <c r="DB66" s="127" t="s">
        <v>56</v>
      </c>
      <c r="DC66" s="128" t="s">
        <v>57</v>
      </c>
      <c r="DD66" s="128" t="s">
        <v>58</v>
      </c>
      <c r="DE66" s="128" t="s">
        <v>59</v>
      </c>
      <c r="DF66" s="128" t="s">
        <v>60</v>
      </c>
      <c r="DG66" s="129" t="s">
        <v>61</v>
      </c>
      <c r="DH66" s="130" t="s">
        <v>62</v>
      </c>
      <c r="DI66" s="528"/>
      <c r="DJ66" s="127" t="s">
        <v>56</v>
      </c>
      <c r="DK66" s="128" t="s">
        <v>57</v>
      </c>
      <c r="DL66" s="128" t="s">
        <v>58</v>
      </c>
      <c r="DM66" s="128" t="s">
        <v>59</v>
      </c>
      <c r="DN66" s="128" t="s">
        <v>60</v>
      </c>
      <c r="DO66" s="129" t="s">
        <v>61</v>
      </c>
      <c r="DP66" s="130" t="s">
        <v>62</v>
      </c>
      <c r="DQ66" s="528"/>
      <c r="DR66" s="127" t="s">
        <v>56</v>
      </c>
      <c r="DS66" s="128" t="s">
        <v>57</v>
      </c>
      <c r="DT66" s="128" t="s">
        <v>58</v>
      </c>
      <c r="DU66" s="128" t="s">
        <v>59</v>
      </c>
      <c r="DV66" s="128" t="s">
        <v>60</v>
      </c>
      <c r="DW66" s="129" t="s">
        <v>61</v>
      </c>
      <c r="DX66" s="130" t="s">
        <v>62</v>
      </c>
      <c r="DY66" s="528"/>
      <c r="DZ66" s="127" t="s">
        <v>56</v>
      </c>
      <c r="EA66" s="128" t="s">
        <v>57</v>
      </c>
      <c r="EB66" s="128" t="s">
        <v>58</v>
      </c>
      <c r="EC66" s="128" t="s">
        <v>59</v>
      </c>
      <c r="ED66" s="128" t="s">
        <v>60</v>
      </c>
      <c r="EE66" s="129" t="s">
        <v>61</v>
      </c>
      <c r="EF66" s="130" t="s">
        <v>62</v>
      </c>
      <c r="EG66" s="528"/>
      <c r="EH66" s="127" t="s">
        <v>56</v>
      </c>
      <c r="EI66" s="128" t="s">
        <v>57</v>
      </c>
      <c r="EJ66" s="128" t="s">
        <v>58</v>
      </c>
      <c r="EK66" s="128" t="s">
        <v>59</v>
      </c>
      <c r="EL66" s="128" t="s">
        <v>60</v>
      </c>
      <c r="EM66" s="129" t="s">
        <v>61</v>
      </c>
      <c r="EN66" s="130" t="s">
        <v>62</v>
      </c>
      <c r="EO66" s="528"/>
      <c r="EP66" s="127" t="s">
        <v>56</v>
      </c>
      <c r="EQ66" s="128" t="s">
        <v>57</v>
      </c>
      <c r="ER66" s="128" t="s">
        <v>58</v>
      </c>
      <c r="ES66" s="128" t="s">
        <v>59</v>
      </c>
      <c r="ET66" s="128" t="s">
        <v>60</v>
      </c>
      <c r="EU66" s="129" t="s">
        <v>61</v>
      </c>
      <c r="EV66" s="130" t="s">
        <v>62</v>
      </c>
      <c r="EW66" s="528"/>
      <c r="EX66" s="127" t="s">
        <v>56</v>
      </c>
      <c r="EY66" s="128" t="s">
        <v>57</v>
      </c>
      <c r="EZ66" s="128" t="s">
        <v>58</v>
      </c>
      <c r="FA66" s="128" t="s">
        <v>59</v>
      </c>
      <c r="FB66" s="128" t="s">
        <v>60</v>
      </c>
      <c r="FC66" s="129" t="s">
        <v>61</v>
      </c>
      <c r="FD66" s="130" t="s">
        <v>62</v>
      </c>
      <c r="FE66" s="528"/>
      <c r="FF66" s="127" t="s">
        <v>56</v>
      </c>
      <c r="FG66" s="128" t="s">
        <v>57</v>
      </c>
      <c r="FH66" s="128" t="s">
        <v>58</v>
      </c>
      <c r="FI66" s="128" t="s">
        <v>59</v>
      </c>
      <c r="FJ66" s="128" t="s">
        <v>60</v>
      </c>
      <c r="FK66" s="129" t="s">
        <v>61</v>
      </c>
      <c r="FL66" s="130" t="s">
        <v>62</v>
      </c>
      <c r="FM66" s="528"/>
      <c r="FN66" s="127" t="s">
        <v>56</v>
      </c>
      <c r="FO66" s="128" t="s">
        <v>57</v>
      </c>
      <c r="FP66" s="128" t="s">
        <v>58</v>
      </c>
      <c r="FQ66" s="128" t="s">
        <v>59</v>
      </c>
      <c r="FR66" s="128" t="s">
        <v>60</v>
      </c>
      <c r="FS66" s="129" t="s">
        <v>61</v>
      </c>
      <c r="FT66" s="130" t="s">
        <v>62</v>
      </c>
      <c r="FU66" s="528"/>
      <c r="FV66" s="127" t="s">
        <v>56</v>
      </c>
      <c r="FW66" s="128" t="s">
        <v>57</v>
      </c>
      <c r="FX66" s="128" t="s">
        <v>58</v>
      </c>
      <c r="FY66" s="128" t="s">
        <v>59</v>
      </c>
      <c r="FZ66" s="128" t="s">
        <v>60</v>
      </c>
      <c r="GA66" s="129" t="s">
        <v>61</v>
      </c>
      <c r="GB66" s="130" t="s">
        <v>62</v>
      </c>
      <c r="GC66" s="528"/>
      <c r="GD66" s="127" t="s">
        <v>56</v>
      </c>
      <c r="GE66" s="128" t="s">
        <v>57</v>
      </c>
      <c r="GF66" s="128" t="s">
        <v>58</v>
      </c>
      <c r="GG66" s="128" t="s">
        <v>59</v>
      </c>
      <c r="GH66" s="128" t="s">
        <v>60</v>
      </c>
      <c r="GI66" s="129" t="s">
        <v>61</v>
      </c>
      <c r="GJ66" s="130" t="s">
        <v>62</v>
      </c>
      <c r="GK66" s="528"/>
      <c r="GL66" s="127" t="s">
        <v>56</v>
      </c>
      <c r="GM66" s="128" t="s">
        <v>57</v>
      </c>
      <c r="GN66" s="128" t="s">
        <v>58</v>
      </c>
      <c r="GO66" s="128" t="s">
        <v>59</v>
      </c>
      <c r="GP66" s="128" t="s">
        <v>60</v>
      </c>
      <c r="GQ66" s="129" t="s">
        <v>61</v>
      </c>
      <c r="GR66" s="130" t="s">
        <v>62</v>
      </c>
      <c r="GS66" s="528"/>
      <c r="GT66" s="127" t="s">
        <v>56</v>
      </c>
      <c r="GU66" s="128" t="s">
        <v>57</v>
      </c>
      <c r="GV66" s="128" t="s">
        <v>58</v>
      </c>
      <c r="GW66" s="128" t="s">
        <v>59</v>
      </c>
      <c r="GX66" s="128" t="s">
        <v>60</v>
      </c>
      <c r="GY66" s="129" t="s">
        <v>61</v>
      </c>
      <c r="GZ66" s="130" t="s">
        <v>62</v>
      </c>
      <c r="HA66" s="528"/>
      <c r="HB66" s="127" t="s">
        <v>56</v>
      </c>
      <c r="HC66" s="128" t="s">
        <v>57</v>
      </c>
      <c r="HD66" s="128" t="s">
        <v>58</v>
      </c>
      <c r="HE66" s="128" t="s">
        <v>59</v>
      </c>
      <c r="HF66" s="128" t="s">
        <v>60</v>
      </c>
      <c r="HG66" s="129" t="s">
        <v>61</v>
      </c>
      <c r="HH66" s="130" t="s">
        <v>62</v>
      </c>
      <c r="HI66" s="528"/>
      <c r="HJ66" s="127" t="s">
        <v>56</v>
      </c>
      <c r="HK66" s="128" t="s">
        <v>57</v>
      </c>
      <c r="HL66" s="128" t="s">
        <v>58</v>
      </c>
      <c r="HM66" s="128" t="s">
        <v>59</v>
      </c>
      <c r="HN66" s="128" t="s">
        <v>60</v>
      </c>
      <c r="HO66" s="129" t="s">
        <v>61</v>
      </c>
      <c r="HP66" s="130" t="s">
        <v>62</v>
      </c>
      <c r="HQ66" s="528"/>
      <c r="HR66" s="127" t="s">
        <v>56</v>
      </c>
      <c r="HS66" s="128" t="s">
        <v>57</v>
      </c>
      <c r="HT66" s="128" t="s">
        <v>58</v>
      </c>
      <c r="HU66" s="128" t="s">
        <v>59</v>
      </c>
      <c r="HV66" s="128" t="s">
        <v>60</v>
      </c>
      <c r="HW66" s="129" t="s">
        <v>61</v>
      </c>
      <c r="HX66" s="130" t="s">
        <v>62</v>
      </c>
      <c r="HY66" s="528"/>
      <c r="HZ66" s="127" t="s">
        <v>56</v>
      </c>
      <c r="IA66" s="128" t="s">
        <v>57</v>
      </c>
      <c r="IB66" s="128" t="s">
        <v>58</v>
      </c>
      <c r="IC66" s="128" t="s">
        <v>59</v>
      </c>
      <c r="ID66" s="128" t="s">
        <v>60</v>
      </c>
      <c r="IE66" s="129" t="s">
        <v>61</v>
      </c>
      <c r="IF66" s="130" t="s">
        <v>62</v>
      </c>
      <c r="IG66" s="528"/>
      <c r="IH66" s="127" t="s">
        <v>56</v>
      </c>
      <c r="II66" s="128" t="s">
        <v>57</v>
      </c>
      <c r="IJ66" s="128" t="s">
        <v>58</v>
      </c>
      <c r="IK66" s="128" t="s">
        <v>59</v>
      </c>
      <c r="IL66" s="128" t="s">
        <v>60</v>
      </c>
      <c r="IM66" s="129" t="s">
        <v>61</v>
      </c>
      <c r="IN66" s="130" t="s">
        <v>62</v>
      </c>
      <c r="IO66" s="528"/>
      <c r="IP66" s="127" t="s">
        <v>56</v>
      </c>
      <c r="IQ66" s="128" t="s">
        <v>57</v>
      </c>
      <c r="IR66" s="128" t="s">
        <v>58</v>
      </c>
      <c r="IS66" s="128" t="s">
        <v>59</v>
      </c>
      <c r="IT66" s="128" t="s">
        <v>60</v>
      </c>
      <c r="IU66" s="129" t="s">
        <v>61</v>
      </c>
      <c r="IV66" s="130" t="s">
        <v>62</v>
      </c>
      <c r="IW66" s="528"/>
      <c r="IX66" s="127" t="s">
        <v>56</v>
      </c>
      <c r="IY66" s="128" t="s">
        <v>57</v>
      </c>
      <c r="IZ66" s="128" t="s">
        <v>58</v>
      </c>
      <c r="JA66" s="128" t="s">
        <v>59</v>
      </c>
      <c r="JB66" s="128" t="s">
        <v>60</v>
      </c>
      <c r="JC66" s="129" t="s">
        <v>61</v>
      </c>
      <c r="JD66" s="130" t="s">
        <v>62</v>
      </c>
      <c r="JE66" s="528"/>
      <c r="JF66" s="127" t="s">
        <v>56</v>
      </c>
      <c r="JG66" s="128" t="s">
        <v>57</v>
      </c>
      <c r="JH66" s="128" t="s">
        <v>58</v>
      </c>
      <c r="JI66" s="128" t="s">
        <v>59</v>
      </c>
      <c r="JJ66" s="128" t="s">
        <v>60</v>
      </c>
      <c r="JK66" s="129" t="s">
        <v>61</v>
      </c>
      <c r="JL66" s="130" t="s">
        <v>62</v>
      </c>
      <c r="JM66" s="528"/>
      <c r="JN66" s="127" t="s">
        <v>56</v>
      </c>
      <c r="JO66" s="128" t="s">
        <v>57</v>
      </c>
      <c r="JP66" s="128" t="s">
        <v>58</v>
      </c>
      <c r="JQ66" s="128" t="s">
        <v>59</v>
      </c>
      <c r="JR66" s="128" t="s">
        <v>60</v>
      </c>
      <c r="JS66" s="129" t="s">
        <v>61</v>
      </c>
      <c r="JT66" s="130" t="s">
        <v>62</v>
      </c>
      <c r="JU66" s="528"/>
      <c r="JV66" s="127" t="s">
        <v>56</v>
      </c>
      <c r="JW66" s="128" t="s">
        <v>57</v>
      </c>
      <c r="JX66" s="128" t="s">
        <v>58</v>
      </c>
      <c r="JY66" s="128" t="s">
        <v>59</v>
      </c>
      <c r="JZ66" s="128" t="s">
        <v>60</v>
      </c>
      <c r="KA66" s="129" t="s">
        <v>61</v>
      </c>
      <c r="KB66" s="130" t="s">
        <v>62</v>
      </c>
      <c r="KC66" s="528"/>
      <c r="KD66" s="127" t="s">
        <v>56</v>
      </c>
      <c r="KE66" s="128" t="s">
        <v>57</v>
      </c>
      <c r="KF66" s="128" t="s">
        <v>58</v>
      </c>
      <c r="KG66" s="128" t="s">
        <v>59</v>
      </c>
      <c r="KH66" s="128" t="s">
        <v>60</v>
      </c>
      <c r="KI66" s="129" t="s">
        <v>61</v>
      </c>
      <c r="KJ66" s="130" t="s">
        <v>62</v>
      </c>
      <c r="KK66" s="528"/>
      <c r="KL66" s="127" t="s">
        <v>56</v>
      </c>
      <c r="KM66" s="128" t="s">
        <v>57</v>
      </c>
      <c r="KN66" s="128" t="s">
        <v>58</v>
      </c>
      <c r="KO66" s="128" t="s">
        <v>59</v>
      </c>
      <c r="KP66" s="128" t="s">
        <v>60</v>
      </c>
      <c r="KQ66" s="129" t="s">
        <v>61</v>
      </c>
      <c r="KR66" s="130" t="s">
        <v>62</v>
      </c>
      <c r="KS66" s="528"/>
      <c r="KT66" s="127" t="s">
        <v>56</v>
      </c>
      <c r="KU66" s="128" t="s">
        <v>57</v>
      </c>
      <c r="KV66" s="128" t="s">
        <v>58</v>
      </c>
      <c r="KW66" s="128" t="s">
        <v>59</v>
      </c>
      <c r="KX66" s="128" t="s">
        <v>60</v>
      </c>
      <c r="KY66" s="129" t="s">
        <v>61</v>
      </c>
      <c r="KZ66" s="130" t="s">
        <v>62</v>
      </c>
      <c r="LA66" s="528"/>
      <c r="LB66" s="127" t="s">
        <v>56</v>
      </c>
      <c r="LC66" s="128" t="s">
        <v>57</v>
      </c>
      <c r="LD66" s="128" t="s">
        <v>58</v>
      </c>
      <c r="LE66" s="128" t="s">
        <v>59</v>
      </c>
      <c r="LF66" s="128" t="s">
        <v>60</v>
      </c>
      <c r="LG66" s="129" t="s">
        <v>61</v>
      </c>
      <c r="LH66" s="130" t="s">
        <v>62</v>
      </c>
      <c r="LI66" s="528"/>
      <c r="LJ66" s="127" t="s">
        <v>56</v>
      </c>
      <c r="LK66" s="128" t="s">
        <v>57</v>
      </c>
      <c r="LL66" s="128" t="s">
        <v>58</v>
      </c>
      <c r="LM66" s="128" t="s">
        <v>59</v>
      </c>
      <c r="LN66" s="128" t="s">
        <v>60</v>
      </c>
      <c r="LO66" s="129" t="s">
        <v>61</v>
      </c>
      <c r="LP66" s="130" t="s">
        <v>62</v>
      </c>
      <c r="LQ66" s="528"/>
      <c r="LR66" s="127" t="s">
        <v>56</v>
      </c>
      <c r="LS66" s="128" t="s">
        <v>57</v>
      </c>
      <c r="LT66" s="128" t="s">
        <v>58</v>
      </c>
      <c r="LU66" s="128" t="s">
        <v>59</v>
      </c>
      <c r="LV66" s="128" t="s">
        <v>60</v>
      </c>
      <c r="LW66" s="129" t="s">
        <v>61</v>
      </c>
      <c r="LX66" s="130" t="s">
        <v>62</v>
      </c>
      <c r="LY66" s="528"/>
      <c r="LZ66" s="127" t="s">
        <v>56</v>
      </c>
      <c r="MA66" s="128" t="s">
        <v>57</v>
      </c>
      <c r="MB66" s="128" t="s">
        <v>58</v>
      </c>
      <c r="MC66" s="128" t="s">
        <v>59</v>
      </c>
      <c r="MD66" s="128" t="s">
        <v>60</v>
      </c>
      <c r="ME66" s="129" t="s">
        <v>61</v>
      </c>
      <c r="MF66" s="130" t="s">
        <v>62</v>
      </c>
      <c r="MG66" s="528"/>
      <c r="MH66" s="127" t="s">
        <v>56</v>
      </c>
      <c r="MI66" s="128" t="s">
        <v>57</v>
      </c>
      <c r="MJ66" s="128" t="s">
        <v>58</v>
      </c>
      <c r="MK66" s="128" t="s">
        <v>59</v>
      </c>
      <c r="ML66" s="128" t="s">
        <v>60</v>
      </c>
      <c r="MM66" s="129" t="s">
        <v>61</v>
      </c>
      <c r="MN66" s="130" t="s">
        <v>62</v>
      </c>
      <c r="MO66" s="528"/>
      <c r="MP66" s="127" t="s">
        <v>56</v>
      </c>
      <c r="MQ66" s="128" t="s">
        <v>57</v>
      </c>
      <c r="MR66" s="128" t="s">
        <v>58</v>
      </c>
      <c r="MS66" s="128" t="s">
        <v>59</v>
      </c>
      <c r="MT66" s="128" t="s">
        <v>60</v>
      </c>
      <c r="MU66" s="129" t="s">
        <v>61</v>
      </c>
      <c r="MV66" s="130" t="s">
        <v>62</v>
      </c>
      <c r="MW66" s="528"/>
      <c r="MX66" s="672"/>
      <c r="MY66" s="670"/>
      <c r="MZ66" s="663" t="s">
        <v>96</v>
      </c>
      <c r="NA66" s="664">
        <v>361</v>
      </c>
      <c r="NB66" s="139">
        <v>0.73671428571428577</v>
      </c>
      <c r="NC66" s="140">
        <f t="shared" si="166"/>
        <v>265.95385714285715</v>
      </c>
      <c r="ND66" s="159">
        <f>SUM(NC64:NC66)</f>
        <v>1413.0960916256158</v>
      </c>
      <c r="NE66" s="528"/>
      <c r="NF66" s="672"/>
      <c r="NG66" s="711"/>
      <c r="NH66" s="663" t="s">
        <v>96</v>
      </c>
      <c r="NI66" s="664">
        <v>537</v>
      </c>
      <c r="NJ66" s="139">
        <v>0.73671428571428577</v>
      </c>
      <c r="NK66" s="140">
        <f t="shared" ref="NK66:NK69" si="227">NI66*NJ66</f>
        <v>395.61557142857146</v>
      </c>
      <c r="NL66" s="159">
        <f>SUM(NK64:NK66)</f>
        <v>567.49439901477831</v>
      </c>
      <c r="NM66" s="528"/>
      <c r="NN66" s="672"/>
      <c r="NO66" s="670"/>
      <c r="NP66" s="663" t="s">
        <v>96</v>
      </c>
      <c r="NQ66" s="664">
        <v>244</v>
      </c>
      <c r="NR66" s="139">
        <v>0.73671428571428577</v>
      </c>
      <c r="NS66" s="140">
        <f t="shared" ref="NS66:NS69" si="228">NQ66*NR66</f>
        <v>179.75828571428573</v>
      </c>
      <c r="NT66" s="159">
        <f>SUM(NS64:NS66)</f>
        <v>351.40108571428573</v>
      </c>
      <c r="NU66" s="528"/>
      <c r="NV66" s="672"/>
      <c r="NW66" s="670"/>
      <c r="NX66" s="663" t="s">
        <v>96</v>
      </c>
      <c r="NY66" s="664">
        <v>42</v>
      </c>
      <c r="NZ66" s="139">
        <v>0.73671428571428577</v>
      </c>
      <c r="OA66" s="140">
        <f t="shared" ref="OA66:OA69" si="229">NY66*NZ66</f>
        <v>30.942000000000004</v>
      </c>
      <c r="OB66" s="159">
        <f>SUM(OA64:OA66)</f>
        <v>228.65466206896554</v>
      </c>
      <c r="OC66" s="528"/>
      <c r="OD66" s="672"/>
      <c r="OE66" s="670"/>
      <c r="OF66" s="663" t="s">
        <v>96</v>
      </c>
      <c r="OG66" s="713">
        <v>19</v>
      </c>
      <c r="OH66" s="139">
        <v>0.73671428571428577</v>
      </c>
      <c r="OI66" s="140">
        <f t="shared" ref="OI66:OI69" si="230">OG66*OH66</f>
        <v>13.99757142857143</v>
      </c>
      <c r="OJ66" s="159">
        <f>SUM(OI64:OI66)</f>
        <v>54.835971428571426</v>
      </c>
      <c r="OK66" s="528"/>
      <c r="OL66" s="672"/>
      <c r="OM66" s="670"/>
      <c r="ON66" s="663" t="s">
        <v>96</v>
      </c>
      <c r="OO66" s="664"/>
      <c r="OP66" s="139">
        <v>0.73671428571428577</v>
      </c>
      <c r="OQ66" s="140">
        <f t="shared" ref="OQ66:OQ69" si="231">OO66*OP66</f>
        <v>0</v>
      </c>
      <c r="OR66" s="159">
        <f>SUM(OQ64:OQ66)</f>
        <v>0.56720000000000004</v>
      </c>
      <c r="OS66" s="528"/>
      <c r="OT66" s="672"/>
      <c r="OU66" s="670"/>
      <c r="OV66" s="663" t="s">
        <v>96</v>
      </c>
      <c r="OW66" s="664"/>
      <c r="OX66" s="139">
        <v>0.73671428571428577</v>
      </c>
      <c r="OY66" s="140">
        <f t="shared" ref="OY66:OY69" si="232">OW66*OX66</f>
        <v>0</v>
      </c>
      <c r="OZ66" s="159">
        <f>SUM(OY64:OY66)</f>
        <v>0</v>
      </c>
      <c r="PA66" s="528"/>
      <c r="PB66" s="672"/>
      <c r="PC66" s="670"/>
      <c r="PD66" s="663" t="s">
        <v>96</v>
      </c>
      <c r="PE66" s="664"/>
      <c r="PF66" s="139">
        <v>0.73671428571428577</v>
      </c>
      <c r="PG66" s="140">
        <f t="shared" ref="PG66:PG69" si="233">PE66*PF66</f>
        <v>0</v>
      </c>
      <c r="PH66" s="159">
        <f>SUM(PG64:PG66)</f>
        <v>0</v>
      </c>
      <c r="PI66" s="528"/>
      <c r="PJ66" s="672"/>
      <c r="PK66" s="670"/>
      <c r="PL66" s="663" t="s">
        <v>96</v>
      </c>
      <c r="PM66" s="713">
        <v>19</v>
      </c>
      <c r="PN66" s="139">
        <v>0.73671428571428577</v>
      </c>
      <c r="PO66" s="140">
        <f t="shared" ref="PO66:PO69" si="234">PM66*PN66</f>
        <v>13.99757142857143</v>
      </c>
      <c r="PP66" s="159">
        <f>SUM(PO64:PO66)</f>
        <v>13.99757142857143</v>
      </c>
      <c r="PQ66" s="528"/>
      <c r="PR66" s="672"/>
      <c r="PS66" s="670"/>
      <c r="PT66" s="663" t="s">
        <v>96</v>
      </c>
      <c r="PU66" s="713">
        <v>18</v>
      </c>
      <c r="PV66" s="139">
        <v>0.73671428571428577</v>
      </c>
      <c r="PW66" s="140">
        <f t="shared" ref="PW66:PW69" si="235">PU66*PV66</f>
        <v>13.260857142857144</v>
      </c>
      <c r="PX66" s="159">
        <f>SUM(PW64:PW66)</f>
        <v>16.380457142857146</v>
      </c>
      <c r="PY66" s="528"/>
      <c r="PZ66" s="672"/>
      <c r="QA66" s="670"/>
      <c r="QB66" s="663" t="s">
        <v>96</v>
      </c>
      <c r="QC66" s="713">
        <v>245</v>
      </c>
      <c r="QD66" s="139">
        <v>0.73671428571428577</v>
      </c>
      <c r="QE66" s="140">
        <f t="shared" ref="QE66:QE69" si="236">QC66*QD66</f>
        <v>180.495</v>
      </c>
      <c r="QF66" s="159">
        <f>SUM(QE64:QE66)</f>
        <v>230.125</v>
      </c>
      <c r="QG66" s="528"/>
      <c r="QH66" s="672"/>
      <c r="QI66" s="670"/>
      <c r="QJ66" s="663" t="s">
        <v>96</v>
      </c>
      <c r="QK66" s="713">
        <v>58</v>
      </c>
      <c r="QL66" s="139">
        <v>0.73671428571428577</v>
      </c>
      <c r="QM66" s="140">
        <f t="shared" ref="QM66:QM69" si="237">QK66*QL66</f>
        <v>42.729428571428578</v>
      </c>
      <c r="QN66" s="159">
        <f>SUM(QM64:QM66)</f>
        <v>698.29386995073901</v>
      </c>
      <c r="QO66" s="528"/>
      <c r="QP66" s="672"/>
      <c r="QQ66" s="670"/>
      <c r="QR66" s="663" t="s">
        <v>96</v>
      </c>
      <c r="QS66" s="713">
        <v>140</v>
      </c>
      <c r="QT66" s="139">
        <v>0.73671428571428577</v>
      </c>
      <c r="QU66" s="140">
        <f t="shared" ref="QU66:QU69" si="238">QS66*QT66</f>
        <v>103.14</v>
      </c>
      <c r="QV66" s="159">
        <f>SUM(QU64:QU66)</f>
        <v>396.8945931034483</v>
      </c>
      <c r="QW66" s="528"/>
      <c r="QX66" s="672"/>
      <c r="QY66" s="670"/>
      <c r="QZ66" s="663" t="s">
        <v>96</v>
      </c>
      <c r="RA66" s="713"/>
      <c r="RB66" s="139">
        <v>0.73671428571428577</v>
      </c>
      <c r="RC66" s="140">
        <f t="shared" ref="RC66:RC69" si="239">RA66*RB66</f>
        <v>0</v>
      </c>
      <c r="RD66" s="159">
        <f>SUM(RC64:RC66)</f>
        <v>0</v>
      </c>
      <c r="RE66" s="528"/>
      <c r="RF66" s="672"/>
      <c r="RG66" s="670"/>
      <c r="RH66" s="663" t="s">
        <v>96</v>
      </c>
      <c r="RI66" s="713"/>
      <c r="RJ66" s="139">
        <v>0.73671428571428577</v>
      </c>
      <c r="RK66" s="140">
        <f t="shared" ref="RK66:RK69" si="240">RI66*RJ66</f>
        <v>0</v>
      </c>
      <c r="RL66" s="159">
        <f>SUM(RK64:RK66)</f>
        <v>0</v>
      </c>
      <c r="RM66" s="528"/>
      <c r="RN66" s="672"/>
      <c r="RO66" s="670"/>
      <c r="RP66" s="663" t="s">
        <v>96</v>
      </c>
      <c r="RQ66" s="713">
        <v>7</v>
      </c>
      <c r="RR66" s="139">
        <v>0.73671428571428577</v>
      </c>
      <c r="RS66" s="140">
        <f t="shared" ref="RS66:RS69" si="241">RQ66*RR66</f>
        <v>5.157</v>
      </c>
      <c r="RT66" s="159">
        <f>SUM(RS64:RS66)</f>
        <v>9.8149310344827594</v>
      </c>
      <c r="RU66" s="528"/>
      <c r="RV66" s="672"/>
      <c r="RW66" s="670"/>
      <c r="RX66" s="663" t="s">
        <v>96</v>
      </c>
      <c r="RY66" s="713"/>
      <c r="RZ66" s="139">
        <v>0.73671428571428577</v>
      </c>
      <c r="SA66" s="140">
        <f t="shared" ref="SA66:SA69" si="242">RY66*RZ66</f>
        <v>0</v>
      </c>
      <c r="SB66" s="159">
        <f>SUM(SA64:SA66)</f>
        <v>0</v>
      </c>
      <c r="SC66" s="528"/>
      <c r="SD66" s="672"/>
      <c r="SE66" s="670"/>
      <c r="SF66" s="663" t="s">
        <v>96</v>
      </c>
      <c r="SG66" s="713"/>
      <c r="SH66" s="139">
        <v>0.73671428571428577</v>
      </c>
      <c r="SI66" s="140">
        <f t="shared" ref="SI66:SI69" si="243">SG66*SH66</f>
        <v>0</v>
      </c>
      <c r="SJ66" s="159">
        <f>SUM(SI64:SI66)</f>
        <v>29.619103448275865</v>
      </c>
      <c r="SK66" s="528"/>
      <c r="SL66" s="672"/>
      <c r="SM66" s="670"/>
      <c r="SN66" s="663" t="s">
        <v>96</v>
      </c>
      <c r="SO66" s="713"/>
      <c r="SP66" s="139">
        <v>0.73671428571428577</v>
      </c>
      <c r="SQ66" s="140">
        <f t="shared" ref="SQ66:SQ69" si="244">SO66*SP66</f>
        <v>0</v>
      </c>
      <c r="SR66" s="159">
        <f>SUM(SQ64:SQ66)</f>
        <v>8.1513793103448293</v>
      </c>
      <c r="SS66" s="528"/>
      <c r="ST66" s="672"/>
      <c r="SU66" s="670"/>
      <c r="SV66" s="663" t="s">
        <v>96</v>
      </c>
      <c r="SW66" s="713">
        <v>18</v>
      </c>
      <c r="SX66" s="139">
        <v>0.73671428571428577</v>
      </c>
      <c r="SY66" s="140">
        <f t="shared" ref="SY66:SY69" si="245">SW66*SX66</f>
        <v>13.260857142857144</v>
      </c>
      <c r="SZ66" s="159">
        <f>SUM(SY64:SY66)</f>
        <v>21.038388177339904</v>
      </c>
      <c r="TA66" s="528"/>
      <c r="TB66" s="672"/>
      <c r="TC66" s="670"/>
      <c r="TD66" s="663" t="s">
        <v>96</v>
      </c>
      <c r="TE66" s="713">
        <v>55</v>
      </c>
      <c r="TF66" s="139">
        <v>0.73671428571428577</v>
      </c>
      <c r="TG66" s="140">
        <f t="shared" ref="TG66:TG69" si="246">TE66*TF66</f>
        <v>40.519285714285715</v>
      </c>
      <c r="TH66" s="159">
        <f>SUM(TG64:TG66)</f>
        <v>40.519285714285715</v>
      </c>
      <c r="TI66" s="528"/>
    </row>
    <row r="67" spans="2:529">
      <c r="B67" s="131"/>
      <c r="C67" s="132" t="s">
        <v>63</v>
      </c>
      <c r="D67" s="132" t="s">
        <v>64</v>
      </c>
      <c r="E67" s="132" t="s">
        <v>64</v>
      </c>
      <c r="F67" s="131" t="s">
        <v>65</v>
      </c>
      <c r="G67" s="133"/>
      <c r="H67" s="134" t="s">
        <v>66</v>
      </c>
      <c r="I67" s="528"/>
      <c r="J67" s="131"/>
      <c r="K67" s="132" t="s">
        <v>63</v>
      </c>
      <c r="L67" s="132" t="s">
        <v>64</v>
      </c>
      <c r="M67" s="132" t="s">
        <v>64</v>
      </c>
      <c r="N67" s="131" t="s">
        <v>65</v>
      </c>
      <c r="O67" s="133"/>
      <c r="P67" s="134" t="s">
        <v>66</v>
      </c>
      <c r="Q67" s="528"/>
      <c r="R67" s="131"/>
      <c r="S67" s="132" t="s">
        <v>63</v>
      </c>
      <c r="T67" s="132" t="s">
        <v>64</v>
      </c>
      <c r="U67" s="132" t="s">
        <v>64</v>
      </c>
      <c r="V67" s="131" t="s">
        <v>65</v>
      </c>
      <c r="W67" s="133"/>
      <c r="X67" s="134" t="s">
        <v>66</v>
      </c>
      <c r="Y67" s="528"/>
      <c r="Z67" s="131"/>
      <c r="AA67" s="132" t="s">
        <v>63</v>
      </c>
      <c r="AB67" s="132" t="s">
        <v>64</v>
      </c>
      <c r="AC67" s="132" t="s">
        <v>64</v>
      </c>
      <c r="AD67" s="131" t="s">
        <v>65</v>
      </c>
      <c r="AE67" s="133"/>
      <c r="AF67" s="134" t="s">
        <v>66</v>
      </c>
      <c r="AG67" s="528"/>
      <c r="AH67" s="131"/>
      <c r="AI67" s="132" t="s">
        <v>63</v>
      </c>
      <c r="AJ67" s="132" t="s">
        <v>64</v>
      </c>
      <c r="AK67" s="132" t="s">
        <v>64</v>
      </c>
      <c r="AL67" s="131" t="s">
        <v>65</v>
      </c>
      <c r="AM67" s="133"/>
      <c r="AN67" s="134" t="s">
        <v>66</v>
      </c>
      <c r="AO67" s="528"/>
      <c r="AP67" s="131"/>
      <c r="AQ67" s="132" t="s">
        <v>63</v>
      </c>
      <c r="AR67" s="132" t="s">
        <v>64</v>
      </c>
      <c r="AS67" s="132" t="s">
        <v>64</v>
      </c>
      <c r="AT67" s="131" t="s">
        <v>65</v>
      </c>
      <c r="AU67" s="133"/>
      <c r="AV67" s="134" t="s">
        <v>66</v>
      </c>
      <c r="AW67" s="528"/>
      <c r="AX67" s="131"/>
      <c r="AY67" s="132" t="s">
        <v>63</v>
      </c>
      <c r="AZ67" s="132" t="s">
        <v>64</v>
      </c>
      <c r="BA67" s="132" t="s">
        <v>64</v>
      </c>
      <c r="BB67" s="131" t="s">
        <v>65</v>
      </c>
      <c r="BC67" s="133"/>
      <c r="BD67" s="134" t="s">
        <v>66</v>
      </c>
      <c r="BE67" s="528"/>
      <c r="BF67" s="131"/>
      <c r="BG67" s="132" t="s">
        <v>63</v>
      </c>
      <c r="BH67" s="132" t="s">
        <v>64</v>
      </c>
      <c r="BI67" s="132" t="s">
        <v>64</v>
      </c>
      <c r="BJ67" s="131" t="s">
        <v>65</v>
      </c>
      <c r="BK67" s="133"/>
      <c r="BL67" s="134" t="s">
        <v>66</v>
      </c>
      <c r="BM67" s="528"/>
      <c r="BN67" s="131"/>
      <c r="BO67" s="132" t="s">
        <v>63</v>
      </c>
      <c r="BP67" s="132" t="s">
        <v>64</v>
      </c>
      <c r="BQ67" s="132" t="s">
        <v>64</v>
      </c>
      <c r="BR67" s="131" t="s">
        <v>65</v>
      </c>
      <c r="BS67" s="133"/>
      <c r="BT67" s="134" t="s">
        <v>66</v>
      </c>
      <c r="BU67" s="528"/>
      <c r="BV67" s="553"/>
      <c r="BW67" s="554" t="s">
        <v>63</v>
      </c>
      <c r="BX67" s="554" t="s">
        <v>64</v>
      </c>
      <c r="BY67" s="554" t="s">
        <v>64</v>
      </c>
      <c r="BZ67" s="553" t="s">
        <v>65</v>
      </c>
      <c r="CA67" s="555"/>
      <c r="CB67" s="556" t="s">
        <v>66</v>
      </c>
      <c r="CC67" s="528"/>
      <c r="CD67" s="553"/>
      <c r="CE67" s="554" t="s">
        <v>63</v>
      </c>
      <c r="CF67" s="554" t="s">
        <v>64</v>
      </c>
      <c r="CG67" s="554" t="s">
        <v>64</v>
      </c>
      <c r="CH67" s="553" t="s">
        <v>65</v>
      </c>
      <c r="CI67" s="555"/>
      <c r="CJ67" s="556" t="s">
        <v>66</v>
      </c>
      <c r="CK67" s="528"/>
      <c r="CL67" s="131"/>
      <c r="CM67" s="132" t="s">
        <v>63</v>
      </c>
      <c r="CN67" s="132" t="s">
        <v>64</v>
      </c>
      <c r="CO67" s="132" t="s">
        <v>64</v>
      </c>
      <c r="CP67" s="131" t="s">
        <v>65</v>
      </c>
      <c r="CQ67" s="133"/>
      <c r="CR67" s="134" t="s">
        <v>66</v>
      </c>
      <c r="CS67" s="528"/>
      <c r="CT67" s="131"/>
      <c r="CU67" s="132" t="s">
        <v>63</v>
      </c>
      <c r="CV67" s="132" t="s">
        <v>64</v>
      </c>
      <c r="CW67" s="132" t="s">
        <v>64</v>
      </c>
      <c r="CX67" s="131" t="s">
        <v>65</v>
      </c>
      <c r="CY67" s="133"/>
      <c r="CZ67" s="134" t="s">
        <v>66</v>
      </c>
      <c r="DA67" s="528"/>
      <c r="DB67" s="131"/>
      <c r="DC67" s="132" t="s">
        <v>63</v>
      </c>
      <c r="DD67" s="132" t="s">
        <v>64</v>
      </c>
      <c r="DE67" s="132" t="s">
        <v>64</v>
      </c>
      <c r="DF67" s="131" t="s">
        <v>65</v>
      </c>
      <c r="DG67" s="133"/>
      <c r="DH67" s="134" t="s">
        <v>66</v>
      </c>
      <c r="DI67" s="528"/>
      <c r="DJ67" s="131"/>
      <c r="DK67" s="132" t="s">
        <v>63</v>
      </c>
      <c r="DL67" s="132" t="s">
        <v>64</v>
      </c>
      <c r="DM67" s="132" t="s">
        <v>64</v>
      </c>
      <c r="DN67" s="131" t="s">
        <v>65</v>
      </c>
      <c r="DO67" s="133"/>
      <c r="DP67" s="134" t="s">
        <v>66</v>
      </c>
      <c r="DQ67" s="528"/>
      <c r="DR67" s="131"/>
      <c r="DS67" s="132" t="s">
        <v>63</v>
      </c>
      <c r="DT67" s="132" t="s">
        <v>64</v>
      </c>
      <c r="DU67" s="132" t="s">
        <v>64</v>
      </c>
      <c r="DV67" s="131" t="s">
        <v>65</v>
      </c>
      <c r="DW67" s="133"/>
      <c r="DX67" s="134" t="s">
        <v>66</v>
      </c>
      <c r="DY67" s="528"/>
      <c r="DZ67" s="131"/>
      <c r="EA67" s="132" t="s">
        <v>63</v>
      </c>
      <c r="EB67" s="132" t="s">
        <v>64</v>
      </c>
      <c r="EC67" s="132" t="s">
        <v>64</v>
      </c>
      <c r="ED67" s="131" t="s">
        <v>65</v>
      </c>
      <c r="EE67" s="133"/>
      <c r="EF67" s="134" t="s">
        <v>66</v>
      </c>
      <c r="EG67" s="528"/>
      <c r="EH67" s="131"/>
      <c r="EI67" s="132" t="s">
        <v>63</v>
      </c>
      <c r="EJ67" s="132" t="s">
        <v>64</v>
      </c>
      <c r="EK67" s="132" t="s">
        <v>64</v>
      </c>
      <c r="EL67" s="131" t="s">
        <v>65</v>
      </c>
      <c r="EM67" s="133"/>
      <c r="EN67" s="134" t="s">
        <v>66</v>
      </c>
      <c r="EO67" s="528"/>
      <c r="EP67" s="131"/>
      <c r="EQ67" s="132" t="s">
        <v>63</v>
      </c>
      <c r="ER67" s="132" t="s">
        <v>64</v>
      </c>
      <c r="ES67" s="132" t="s">
        <v>64</v>
      </c>
      <c r="ET67" s="131" t="s">
        <v>65</v>
      </c>
      <c r="EU67" s="133"/>
      <c r="EV67" s="134" t="s">
        <v>66</v>
      </c>
      <c r="EW67" s="528"/>
      <c r="EX67" s="131"/>
      <c r="EY67" s="132" t="s">
        <v>63</v>
      </c>
      <c r="EZ67" s="132" t="s">
        <v>64</v>
      </c>
      <c r="FA67" s="132" t="s">
        <v>64</v>
      </c>
      <c r="FB67" s="131" t="s">
        <v>65</v>
      </c>
      <c r="FC67" s="133"/>
      <c r="FD67" s="134" t="s">
        <v>66</v>
      </c>
      <c r="FE67" s="528"/>
      <c r="FF67" s="131"/>
      <c r="FG67" s="132" t="s">
        <v>63</v>
      </c>
      <c r="FH67" s="132" t="s">
        <v>64</v>
      </c>
      <c r="FI67" s="132" t="s">
        <v>64</v>
      </c>
      <c r="FJ67" s="131" t="s">
        <v>65</v>
      </c>
      <c r="FK67" s="133"/>
      <c r="FL67" s="134" t="s">
        <v>66</v>
      </c>
      <c r="FM67" s="528"/>
      <c r="FN67" s="131"/>
      <c r="FO67" s="132" t="s">
        <v>63</v>
      </c>
      <c r="FP67" s="132" t="s">
        <v>64</v>
      </c>
      <c r="FQ67" s="132" t="s">
        <v>64</v>
      </c>
      <c r="FR67" s="131" t="s">
        <v>65</v>
      </c>
      <c r="FS67" s="133"/>
      <c r="FT67" s="134" t="s">
        <v>66</v>
      </c>
      <c r="FU67" s="528"/>
      <c r="FV67" s="131"/>
      <c r="FW67" s="132" t="s">
        <v>63</v>
      </c>
      <c r="FX67" s="132" t="s">
        <v>64</v>
      </c>
      <c r="FY67" s="132" t="s">
        <v>64</v>
      </c>
      <c r="FZ67" s="131" t="s">
        <v>65</v>
      </c>
      <c r="GA67" s="133"/>
      <c r="GB67" s="134" t="s">
        <v>66</v>
      </c>
      <c r="GC67" s="528"/>
      <c r="GD67" s="131"/>
      <c r="GE67" s="132" t="s">
        <v>63</v>
      </c>
      <c r="GF67" s="132" t="s">
        <v>64</v>
      </c>
      <c r="GG67" s="132" t="s">
        <v>64</v>
      </c>
      <c r="GH67" s="131" t="s">
        <v>65</v>
      </c>
      <c r="GI67" s="133"/>
      <c r="GJ67" s="134" t="s">
        <v>66</v>
      </c>
      <c r="GK67" s="528"/>
      <c r="GL67" s="131"/>
      <c r="GM67" s="132" t="s">
        <v>63</v>
      </c>
      <c r="GN67" s="132" t="s">
        <v>64</v>
      </c>
      <c r="GO67" s="132" t="s">
        <v>64</v>
      </c>
      <c r="GP67" s="131" t="s">
        <v>65</v>
      </c>
      <c r="GQ67" s="133"/>
      <c r="GR67" s="134" t="s">
        <v>66</v>
      </c>
      <c r="GS67" s="528"/>
      <c r="GT67" s="131"/>
      <c r="GU67" s="132" t="s">
        <v>63</v>
      </c>
      <c r="GV67" s="132" t="s">
        <v>64</v>
      </c>
      <c r="GW67" s="132" t="s">
        <v>64</v>
      </c>
      <c r="GX67" s="131" t="s">
        <v>65</v>
      </c>
      <c r="GY67" s="133"/>
      <c r="GZ67" s="134" t="s">
        <v>66</v>
      </c>
      <c r="HA67" s="528"/>
      <c r="HB67" s="131"/>
      <c r="HC67" s="132" t="s">
        <v>63</v>
      </c>
      <c r="HD67" s="132" t="s">
        <v>64</v>
      </c>
      <c r="HE67" s="132" t="s">
        <v>64</v>
      </c>
      <c r="HF67" s="131" t="s">
        <v>65</v>
      </c>
      <c r="HG67" s="133"/>
      <c r="HH67" s="134" t="s">
        <v>66</v>
      </c>
      <c r="HI67" s="528"/>
      <c r="HJ67" s="131"/>
      <c r="HK67" s="132" t="s">
        <v>63</v>
      </c>
      <c r="HL67" s="132" t="s">
        <v>64</v>
      </c>
      <c r="HM67" s="132" t="s">
        <v>64</v>
      </c>
      <c r="HN67" s="131" t="s">
        <v>65</v>
      </c>
      <c r="HO67" s="133"/>
      <c r="HP67" s="134" t="s">
        <v>66</v>
      </c>
      <c r="HQ67" s="528"/>
      <c r="HR67" s="131"/>
      <c r="HS67" s="132" t="s">
        <v>63</v>
      </c>
      <c r="HT67" s="132" t="s">
        <v>64</v>
      </c>
      <c r="HU67" s="132" t="s">
        <v>64</v>
      </c>
      <c r="HV67" s="131" t="s">
        <v>65</v>
      </c>
      <c r="HW67" s="133"/>
      <c r="HX67" s="134" t="s">
        <v>66</v>
      </c>
      <c r="HY67" s="528"/>
      <c r="HZ67" s="131"/>
      <c r="IA67" s="132" t="s">
        <v>63</v>
      </c>
      <c r="IB67" s="132" t="s">
        <v>64</v>
      </c>
      <c r="IC67" s="132" t="s">
        <v>64</v>
      </c>
      <c r="ID67" s="131" t="s">
        <v>65</v>
      </c>
      <c r="IE67" s="133"/>
      <c r="IF67" s="134" t="s">
        <v>66</v>
      </c>
      <c r="IG67" s="528"/>
      <c r="IH67" s="131"/>
      <c r="II67" s="132" t="s">
        <v>63</v>
      </c>
      <c r="IJ67" s="132" t="s">
        <v>64</v>
      </c>
      <c r="IK67" s="132" t="s">
        <v>64</v>
      </c>
      <c r="IL67" s="131" t="s">
        <v>65</v>
      </c>
      <c r="IM67" s="133"/>
      <c r="IN67" s="134" t="s">
        <v>66</v>
      </c>
      <c r="IO67" s="528"/>
      <c r="IP67" s="131"/>
      <c r="IQ67" s="132" t="s">
        <v>63</v>
      </c>
      <c r="IR67" s="132" t="s">
        <v>64</v>
      </c>
      <c r="IS67" s="132" t="s">
        <v>64</v>
      </c>
      <c r="IT67" s="131" t="s">
        <v>65</v>
      </c>
      <c r="IU67" s="133"/>
      <c r="IV67" s="134" t="s">
        <v>66</v>
      </c>
      <c r="IW67" s="528"/>
      <c r="IX67" s="131"/>
      <c r="IY67" s="132" t="s">
        <v>63</v>
      </c>
      <c r="IZ67" s="132" t="s">
        <v>64</v>
      </c>
      <c r="JA67" s="132" t="s">
        <v>64</v>
      </c>
      <c r="JB67" s="131" t="s">
        <v>65</v>
      </c>
      <c r="JC67" s="133"/>
      <c r="JD67" s="134" t="s">
        <v>66</v>
      </c>
      <c r="JE67" s="528"/>
      <c r="JF67" s="131"/>
      <c r="JG67" s="132" t="s">
        <v>63</v>
      </c>
      <c r="JH67" s="132" t="s">
        <v>64</v>
      </c>
      <c r="JI67" s="132" t="s">
        <v>64</v>
      </c>
      <c r="JJ67" s="131" t="s">
        <v>65</v>
      </c>
      <c r="JK67" s="133"/>
      <c r="JL67" s="134" t="s">
        <v>66</v>
      </c>
      <c r="JM67" s="528"/>
      <c r="JN67" s="131"/>
      <c r="JO67" s="132" t="s">
        <v>63</v>
      </c>
      <c r="JP67" s="132" t="s">
        <v>64</v>
      </c>
      <c r="JQ67" s="132" t="s">
        <v>64</v>
      </c>
      <c r="JR67" s="131" t="s">
        <v>65</v>
      </c>
      <c r="JS67" s="133"/>
      <c r="JT67" s="134" t="s">
        <v>66</v>
      </c>
      <c r="JU67" s="528"/>
      <c r="JV67" s="131"/>
      <c r="JW67" s="132" t="s">
        <v>63</v>
      </c>
      <c r="JX67" s="132" t="s">
        <v>64</v>
      </c>
      <c r="JY67" s="132" t="s">
        <v>64</v>
      </c>
      <c r="JZ67" s="131" t="s">
        <v>65</v>
      </c>
      <c r="KA67" s="133"/>
      <c r="KB67" s="134" t="s">
        <v>66</v>
      </c>
      <c r="KC67" s="528"/>
      <c r="KD67" s="131"/>
      <c r="KE67" s="132" t="s">
        <v>63</v>
      </c>
      <c r="KF67" s="132" t="s">
        <v>64</v>
      </c>
      <c r="KG67" s="132" t="s">
        <v>64</v>
      </c>
      <c r="KH67" s="131" t="s">
        <v>65</v>
      </c>
      <c r="KI67" s="133"/>
      <c r="KJ67" s="134" t="s">
        <v>66</v>
      </c>
      <c r="KK67" s="528"/>
      <c r="KL67" s="131"/>
      <c r="KM67" s="132" t="s">
        <v>63</v>
      </c>
      <c r="KN67" s="132" t="s">
        <v>64</v>
      </c>
      <c r="KO67" s="132" t="s">
        <v>64</v>
      </c>
      <c r="KP67" s="131" t="s">
        <v>65</v>
      </c>
      <c r="KQ67" s="133"/>
      <c r="KR67" s="134" t="s">
        <v>66</v>
      </c>
      <c r="KS67" s="528"/>
      <c r="KT67" s="131"/>
      <c r="KU67" s="132" t="s">
        <v>63</v>
      </c>
      <c r="KV67" s="132" t="s">
        <v>64</v>
      </c>
      <c r="KW67" s="132" t="s">
        <v>64</v>
      </c>
      <c r="KX67" s="131" t="s">
        <v>65</v>
      </c>
      <c r="KY67" s="133"/>
      <c r="KZ67" s="134" t="s">
        <v>66</v>
      </c>
      <c r="LA67" s="528"/>
      <c r="LB67" s="131"/>
      <c r="LC67" s="132" t="s">
        <v>63</v>
      </c>
      <c r="LD67" s="132" t="s">
        <v>64</v>
      </c>
      <c r="LE67" s="132" t="s">
        <v>64</v>
      </c>
      <c r="LF67" s="131" t="s">
        <v>65</v>
      </c>
      <c r="LG67" s="133"/>
      <c r="LH67" s="134" t="s">
        <v>66</v>
      </c>
      <c r="LI67" s="528"/>
      <c r="LJ67" s="131"/>
      <c r="LK67" s="132" t="s">
        <v>63</v>
      </c>
      <c r="LL67" s="132" t="s">
        <v>64</v>
      </c>
      <c r="LM67" s="132" t="s">
        <v>64</v>
      </c>
      <c r="LN67" s="131" t="s">
        <v>65</v>
      </c>
      <c r="LO67" s="133"/>
      <c r="LP67" s="134" t="s">
        <v>66</v>
      </c>
      <c r="LQ67" s="528"/>
      <c r="LR67" s="131"/>
      <c r="LS67" s="132" t="s">
        <v>63</v>
      </c>
      <c r="LT67" s="132" t="s">
        <v>64</v>
      </c>
      <c r="LU67" s="132" t="s">
        <v>64</v>
      </c>
      <c r="LV67" s="131" t="s">
        <v>65</v>
      </c>
      <c r="LW67" s="133"/>
      <c r="LX67" s="134" t="s">
        <v>66</v>
      </c>
      <c r="LY67" s="528"/>
      <c r="LZ67" s="131"/>
      <c r="MA67" s="132" t="s">
        <v>63</v>
      </c>
      <c r="MB67" s="132" t="s">
        <v>64</v>
      </c>
      <c r="MC67" s="132" t="s">
        <v>64</v>
      </c>
      <c r="MD67" s="131" t="s">
        <v>65</v>
      </c>
      <c r="ME67" s="133"/>
      <c r="MF67" s="134" t="s">
        <v>66</v>
      </c>
      <c r="MG67" s="528"/>
      <c r="MH67" s="131"/>
      <c r="MI67" s="132" t="s">
        <v>63</v>
      </c>
      <c r="MJ67" s="132" t="s">
        <v>64</v>
      </c>
      <c r="MK67" s="132" t="s">
        <v>64</v>
      </c>
      <c r="ML67" s="131" t="s">
        <v>65</v>
      </c>
      <c r="MM67" s="133"/>
      <c r="MN67" s="134" t="s">
        <v>66</v>
      </c>
      <c r="MO67" s="528"/>
      <c r="MP67" s="131"/>
      <c r="MQ67" s="132" t="s">
        <v>63</v>
      </c>
      <c r="MR67" s="132" t="s">
        <v>64</v>
      </c>
      <c r="MS67" s="132" t="s">
        <v>64</v>
      </c>
      <c r="MT67" s="131" t="s">
        <v>65</v>
      </c>
      <c r="MU67" s="133"/>
      <c r="MV67" s="134" t="s">
        <v>66</v>
      </c>
      <c r="MW67" s="528"/>
      <c r="MX67" s="699" t="s">
        <v>97</v>
      </c>
      <c r="MY67" s="678">
        <v>8</v>
      </c>
      <c r="MZ67" s="667" t="s">
        <v>36</v>
      </c>
      <c r="NA67" s="664">
        <v>53</v>
      </c>
      <c r="NB67" s="164">
        <v>4.8559259259259262</v>
      </c>
      <c r="NC67" s="140">
        <f t="shared" si="166"/>
        <v>257.3640740740741</v>
      </c>
      <c r="ND67" s="664"/>
      <c r="NE67" s="528"/>
      <c r="NF67" s="699" t="s">
        <v>97</v>
      </c>
      <c r="NG67" s="709">
        <v>21</v>
      </c>
      <c r="NH67" s="667" t="s">
        <v>36</v>
      </c>
      <c r="NI67" s="664">
        <v>354</v>
      </c>
      <c r="NJ67" s="164">
        <v>4.8559259259259262</v>
      </c>
      <c r="NK67" s="140">
        <f t="shared" si="227"/>
        <v>1718.9977777777779</v>
      </c>
      <c r="NL67" s="664"/>
      <c r="NM67" s="528"/>
      <c r="NN67" s="699" t="s">
        <v>97</v>
      </c>
      <c r="NO67" s="678">
        <v>37</v>
      </c>
      <c r="NP67" s="667" t="s">
        <v>36</v>
      </c>
      <c r="NQ67" s="664">
        <v>417</v>
      </c>
      <c r="NR67" s="164">
        <v>4.8559259259259262</v>
      </c>
      <c r="NS67" s="140">
        <f t="shared" si="228"/>
        <v>2024.9211111111113</v>
      </c>
      <c r="NT67" s="664"/>
      <c r="NU67" s="528"/>
      <c r="NV67" s="699" t="s">
        <v>97</v>
      </c>
      <c r="NW67" s="709">
        <v>8</v>
      </c>
      <c r="NX67" s="667" t="s">
        <v>36</v>
      </c>
      <c r="NY67" s="664">
        <v>46</v>
      </c>
      <c r="NZ67" s="164">
        <v>4.8559259259259262</v>
      </c>
      <c r="OA67" s="140">
        <f t="shared" si="229"/>
        <v>223.37259259259261</v>
      </c>
      <c r="OB67" s="664"/>
      <c r="OC67" s="528"/>
      <c r="OD67" s="699" t="s">
        <v>97</v>
      </c>
      <c r="OE67" s="709">
        <v>17</v>
      </c>
      <c r="OF67" s="667" t="s">
        <v>36</v>
      </c>
      <c r="OG67" s="713">
        <v>160</v>
      </c>
      <c r="OH67" s="164">
        <v>4.8559259259259262</v>
      </c>
      <c r="OI67" s="140">
        <f t="shared" si="230"/>
        <v>776.94814814814822</v>
      </c>
      <c r="OJ67" s="664"/>
      <c r="OK67" s="528"/>
      <c r="OL67" s="699" t="s">
        <v>97</v>
      </c>
      <c r="OM67" s="709">
        <v>20</v>
      </c>
      <c r="ON67" s="667" t="s">
        <v>36</v>
      </c>
      <c r="OO67" s="713">
        <v>203</v>
      </c>
      <c r="OP67" s="164">
        <v>4.8559259259259262</v>
      </c>
      <c r="OQ67" s="140">
        <f t="shared" si="231"/>
        <v>985.75296296296301</v>
      </c>
      <c r="OR67" s="664"/>
      <c r="OS67" s="528"/>
      <c r="OT67" s="699" t="s">
        <v>97</v>
      </c>
      <c r="OU67" s="709"/>
      <c r="OV67" s="667" t="s">
        <v>36</v>
      </c>
      <c r="OW67" s="713"/>
      <c r="OX67" s="164">
        <v>4.8559259259259262</v>
      </c>
      <c r="OY67" s="140">
        <f t="shared" si="232"/>
        <v>0</v>
      </c>
      <c r="OZ67" s="664"/>
      <c r="PA67" s="528"/>
      <c r="PB67" s="699" t="s">
        <v>97</v>
      </c>
      <c r="PC67" s="709"/>
      <c r="PD67" s="667" t="s">
        <v>36</v>
      </c>
      <c r="PE67" s="713"/>
      <c r="PF67" s="164">
        <v>4.8559259259259262</v>
      </c>
      <c r="PG67" s="140">
        <f t="shared" si="233"/>
        <v>0</v>
      </c>
      <c r="PH67" s="664"/>
      <c r="PI67" s="528"/>
      <c r="PJ67" s="699" t="s">
        <v>97</v>
      </c>
      <c r="PK67" s="709">
        <v>2</v>
      </c>
      <c r="PL67" s="667" t="s">
        <v>36</v>
      </c>
      <c r="PM67" s="713">
        <v>13</v>
      </c>
      <c r="PN67" s="164">
        <v>4.8559259259259262</v>
      </c>
      <c r="PO67" s="140">
        <f t="shared" si="234"/>
        <v>63.127037037037042</v>
      </c>
      <c r="PP67" s="664"/>
      <c r="PQ67" s="528"/>
      <c r="PR67" s="699" t="s">
        <v>97</v>
      </c>
      <c r="PS67" s="709">
        <v>6</v>
      </c>
      <c r="PT67" s="667" t="s">
        <v>36</v>
      </c>
      <c r="PU67" s="713">
        <v>36</v>
      </c>
      <c r="PV67" s="164">
        <v>4.8559259259259262</v>
      </c>
      <c r="PW67" s="140">
        <f t="shared" si="235"/>
        <v>174.81333333333333</v>
      </c>
      <c r="PX67" s="664"/>
      <c r="PY67" s="528"/>
      <c r="PZ67" s="699" t="s">
        <v>97</v>
      </c>
      <c r="QA67" s="709">
        <v>3</v>
      </c>
      <c r="QB67" s="667" t="s">
        <v>36</v>
      </c>
      <c r="QC67" s="713">
        <v>34</v>
      </c>
      <c r="QD67" s="164">
        <v>4.8559259259259262</v>
      </c>
      <c r="QE67" s="140">
        <f t="shared" si="236"/>
        <v>165.1014814814815</v>
      </c>
      <c r="QF67" s="664"/>
      <c r="QG67" s="528"/>
      <c r="QH67" s="699" t="s">
        <v>97</v>
      </c>
      <c r="QI67" s="709">
        <v>14</v>
      </c>
      <c r="QJ67" s="667" t="s">
        <v>36</v>
      </c>
      <c r="QK67" s="713">
        <v>97</v>
      </c>
      <c r="QL67" s="164">
        <v>4.8559259259259262</v>
      </c>
      <c r="QM67" s="140">
        <f t="shared" si="237"/>
        <v>471.02481481481482</v>
      </c>
      <c r="QN67" s="664"/>
      <c r="QO67" s="528"/>
      <c r="QP67" s="699" t="s">
        <v>97</v>
      </c>
      <c r="QQ67" s="709">
        <v>18</v>
      </c>
      <c r="QR67" s="667" t="s">
        <v>36</v>
      </c>
      <c r="QS67" s="713">
        <v>137</v>
      </c>
      <c r="QT67" s="164">
        <v>4.8559259259259262</v>
      </c>
      <c r="QU67" s="140">
        <f t="shared" si="238"/>
        <v>665.26185185185193</v>
      </c>
      <c r="QV67" s="664"/>
      <c r="QW67" s="528"/>
      <c r="QX67" s="699" t="s">
        <v>97</v>
      </c>
      <c r="QY67" s="709"/>
      <c r="QZ67" s="667" t="s">
        <v>36</v>
      </c>
      <c r="RA67" s="713"/>
      <c r="RB67" s="164">
        <v>4.8559259259259262</v>
      </c>
      <c r="RC67" s="140">
        <f t="shared" si="239"/>
        <v>0</v>
      </c>
      <c r="RD67" s="664"/>
      <c r="RE67" s="528"/>
      <c r="RF67" s="699" t="s">
        <v>97</v>
      </c>
      <c r="RG67" s="709"/>
      <c r="RH67" s="667" t="s">
        <v>36</v>
      </c>
      <c r="RI67" s="713"/>
      <c r="RJ67" s="164">
        <v>4.8559259259259262</v>
      </c>
      <c r="RK67" s="140">
        <f t="shared" si="240"/>
        <v>0</v>
      </c>
      <c r="RL67" s="664"/>
      <c r="RM67" s="528"/>
      <c r="RN67" s="699" t="s">
        <v>97</v>
      </c>
      <c r="RO67" s="709">
        <v>40</v>
      </c>
      <c r="RP67" s="667" t="s">
        <v>36</v>
      </c>
      <c r="RQ67" s="713">
        <v>571</v>
      </c>
      <c r="RR67" s="164">
        <v>4.8559259259259262</v>
      </c>
      <c r="RS67" s="140">
        <f t="shared" si="241"/>
        <v>2772.7337037037037</v>
      </c>
      <c r="RT67" s="664"/>
      <c r="RU67" s="528"/>
      <c r="RV67" s="699" t="s">
        <v>97</v>
      </c>
      <c r="RW67" s="709">
        <v>30</v>
      </c>
      <c r="RX67" s="667" t="s">
        <v>36</v>
      </c>
      <c r="RY67" s="713">
        <v>360</v>
      </c>
      <c r="RZ67" s="164">
        <v>4.8559259259259262</v>
      </c>
      <c r="SA67" s="140">
        <f t="shared" si="242"/>
        <v>1748.1333333333334</v>
      </c>
      <c r="SB67" s="664"/>
      <c r="SC67" s="528"/>
      <c r="SD67" s="699" t="s">
        <v>97</v>
      </c>
      <c r="SE67" s="709">
        <v>31</v>
      </c>
      <c r="SF67" s="667" t="s">
        <v>36</v>
      </c>
      <c r="SG67" s="713">
        <v>237</v>
      </c>
      <c r="SH67" s="164">
        <v>4.8559259259259262</v>
      </c>
      <c r="SI67" s="140">
        <f t="shared" si="243"/>
        <v>1150.8544444444444</v>
      </c>
      <c r="SJ67" s="664"/>
      <c r="SK67" s="528"/>
      <c r="SL67" s="699" t="s">
        <v>97</v>
      </c>
      <c r="SM67" s="709">
        <v>27</v>
      </c>
      <c r="SN67" s="667" t="s">
        <v>36</v>
      </c>
      <c r="SO67" s="713">
        <v>288</v>
      </c>
      <c r="SP67" s="164">
        <v>4.8559259259259262</v>
      </c>
      <c r="SQ67" s="140">
        <f t="shared" si="244"/>
        <v>1398.5066666666667</v>
      </c>
      <c r="SR67" s="664"/>
      <c r="SS67" s="528"/>
      <c r="ST67" s="699" t="s">
        <v>97</v>
      </c>
      <c r="SU67" s="709">
        <v>30</v>
      </c>
      <c r="SV67" s="667" t="s">
        <v>36</v>
      </c>
      <c r="SW67" s="713">
        <v>355</v>
      </c>
      <c r="SX67" s="164">
        <v>4.8559259259259262</v>
      </c>
      <c r="SY67" s="140">
        <f t="shared" si="245"/>
        <v>1723.8537037037038</v>
      </c>
      <c r="SZ67" s="664"/>
      <c r="TA67" s="528"/>
      <c r="TB67" s="699" t="s">
        <v>97</v>
      </c>
      <c r="TC67" s="709">
        <v>22</v>
      </c>
      <c r="TD67" s="667" t="s">
        <v>36</v>
      </c>
      <c r="TE67" s="713">
        <v>405</v>
      </c>
      <c r="TF67" s="164">
        <v>4.8559259259259262</v>
      </c>
      <c r="TG67" s="140">
        <f t="shared" si="246"/>
        <v>1966.65</v>
      </c>
      <c r="TH67" s="664"/>
      <c r="TI67" s="528"/>
    </row>
    <row r="68" spans="2:529">
      <c r="B68" s="135" t="s">
        <v>67</v>
      </c>
      <c r="C68" s="136">
        <v>3</v>
      </c>
      <c r="D68" s="137" t="s">
        <v>20</v>
      </c>
      <c r="E68" s="138">
        <v>0</v>
      </c>
      <c r="F68" s="170">
        <v>6.0072413793103445</v>
      </c>
      <c r="G68" s="140">
        <f>E68*F68</f>
        <v>0</v>
      </c>
      <c r="H68" s="141"/>
      <c r="I68" s="528"/>
      <c r="J68" s="135" t="s">
        <v>67</v>
      </c>
      <c r="K68" s="136"/>
      <c r="L68" s="137" t="s">
        <v>20</v>
      </c>
      <c r="M68" s="138">
        <v>0</v>
      </c>
      <c r="N68" s="170">
        <v>6.0072413793103445</v>
      </c>
      <c r="O68" s="140">
        <f>M68*N68</f>
        <v>0</v>
      </c>
      <c r="P68" s="141"/>
      <c r="Q68" s="528"/>
      <c r="R68" s="135" t="s">
        <v>67</v>
      </c>
      <c r="S68" s="136">
        <v>8</v>
      </c>
      <c r="T68" s="137" t="s">
        <v>20</v>
      </c>
      <c r="U68" s="138">
        <v>13</v>
      </c>
      <c r="V68" s="170">
        <v>6.0072413793103445</v>
      </c>
      <c r="W68" s="140">
        <f>U68*V68</f>
        <v>78.094137931034481</v>
      </c>
      <c r="X68" s="141"/>
      <c r="Y68" s="528"/>
      <c r="Z68" s="135" t="s">
        <v>67</v>
      </c>
      <c r="AA68" s="136">
        <v>1</v>
      </c>
      <c r="AB68" s="137" t="s">
        <v>20</v>
      </c>
      <c r="AC68" s="138">
        <v>0</v>
      </c>
      <c r="AD68" s="170">
        <v>6.0072413793103445</v>
      </c>
      <c r="AE68" s="140">
        <f>AC68*AD68</f>
        <v>0</v>
      </c>
      <c r="AF68" s="141"/>
      <c r="AG68" s="528"/>
      <c r="AH68" s="135" t="s">
        <v>67</v>
      </c>
      <c r="AI68" s="136">
        <v>9</v>
      </c>
      <c r="AJ68" s="137" t="s">
        <v>20</v>
      </c>
      <c r="AK68" s="138">
        <v>10</v>
      </c>
      <c r="AL68" s="170">
        <v>6.0072413793103445</v>
      </c>
      <c r="AM68" s="140">
        <f>AK68*AL68</f>
        <v>60.072413793103443</v>
      </c>
      <c r="AN68" s="141"/>
      <c r="AO68" s="528"/>
      <c r="AP68" s="135" t="s">
        <v>67</v>
      </c>
      <c r="AQ68" s="136">
        <v>1</v>
      </c>
      <c r="AR68" s="137" t="s">
        <v>20</v>
      </c>
      <c r="AS68" s="138">
        <v>8</v>
      </c>
      <c r="AT68" s="170">
        <v>6.0072413793103445</v>
      </c>
      <c r="AU68" s="140">
        <f>AS68*AT68</f>
        <v>48.057931034482756</v>
      </c>
      <c r="AV68" s="141"/>
      <c r="AW68" s="528"/>
      <c r="AX68" s="135" t="s">
        <v>67</v>
      </c>
      <c r="AY68" s="136"/>
      <c r="AZ68" s="137" t="s">
        <v>20</v>
      </c>
      <c r="BA68" s="138"/>
      <c r="BB68" s="170">
        <v>6.0072413793103445</v>
      </c>
      <c r="BC68" s="140">
        <f>BA68*BB68</f>
        <v>0</v>
      </c>
      <c r="BD68" s="141"/>
      <c r="BE68" s="528"/>
      <c r="BF68" s="135" t="s">
        <v>67</v>
      </c>
      <c r="BG68" s="136">
        <v>5</v>
      </c>
      <c r="BH68" s="137" t="s">
        <v>20</v>
      </c>
      <c r="BI68" s="138">
        <v>0</v>
      </c>
      <c r="BJ68" s="170">
        <v>6.0072413793103445</v>
      </c>
      <c r="BK68" s="140">
        <f>BI68*BJ68</f>
        <v>0</v>
      </c>
      <c r="BL68" s="141"/>
      <c r="BM68" s="528"/>
      <c r="BN68" s="135" t="s">
        <v>67</v>
      </c>
      <c r="BO68" s="136">
        <v>2</v>
      </c>
      <c r="BP68" s="137" t="s">
        <v>20</v>
      </c>
      <c r="BQ68" s="138">
        <v>8</v>
      </c>
      <c r="BR68" s="170">
        <v>6.0072413793103445</v>
      </c>
      <c r="BS68" s="140">
        <f>BQ68*BR68</f>
        <v>48.057931034482756</v>
      </c>
      <c r="BT68" s="141"/>
      <c r="BU68" s="528"/>
      <c r="BV68" s="557" t="s">
        <v>67</v>
      </c>
      <c r="BW68" s="558"/>
      <c r="BX68" s="559" t="s">
        <v>20</v>
      </c>
      <c r="BY68" s="560"/>
      <c r="BZ68" s="585">
        <v>6.0072413793103445</v>
      </c>
      <c r="CA68" s="562">
        <f>BY68*BZ68</f>
        <v>0</v>
      </c>
      <c r="CB68" s="563"/>
      <c r="CC68" s="528"/>
      <c r="CD68" s="557" t="s">
        <v>67</v>
      </c>
      <c r="CE68" s="558"/>
      <c r="CF68" s="559" t="s">
        <v>20</v>
      </c>
      <c r="CG68" s="560"/>
      <c r="CH68" s="585">
        <v>6.0072413793103445</v>
      </c>
      <c r="CI68" s="562">
        <f>CG68*CH68</f>
        <v>0</v>
      </c>
      <c r="CJ68" s="563"/>
      <c r="CK68" s="528"/>
      <c r="CL68" s="135" t="s">
        <v>67</v>
      </c>
      <c r="CM68" s="136"/>
      <c r="CN68" s="137" t="s">
        <v>20</v>
      </c>
      <c r="CO68" s="138"/>
      <c r="CP68" s="170">
        <v>6.0072413793103445</v>
      </c>
      <c r="CQ68" s="140">
        <f>CO68*CP68</f>
        <v>0</v>
      </c>
      <c r="CR68" s="141"/>
      <c r="CS68" s="528"/>
      <c r="CT68" s="135" t="s">
        <v>67</v>
      </c>
      <c r="CU68" s="136">
        <v>4</v>
      </c>
      <c r="CV68" s="137" t="s">
        <v>20</v>
      </c>
      <c r="CW68" s="138">
        <v>0</v>
      </c>
      <c r="CX68" s="170">
        <v>6.0072413793103445</v>
      </c>
      <c r="CY68" s="140">
        <f>CW68*CX68</f>
        <v>0</v>
      </c>
      <c r="CZ68" s="141"/>
      <c r="DA68" s="528"/>
      <c r="DB68" s="135" t="s">
        <v>67</v>
      </c>
      <c r="DC68" s="136"/>
      <c r="DD68" s="137" t="s">
        <v>20</v>
      </c>
      <c r="DE68" s="138"/>
      <c r="DF68" s="170">
        <v>6.0072413793103445</v>
      </c>
      <c r="DG68" s="140">
        <f>DE68*DF68</f>
        <v>0</v>
      </c>
      <c r="DH68" s="141"/>
      <c r="DI68" s="528"/>
      <c r="DJ68" s="135" t="s">
        <v>67</v>
      </c>
      <c r="DK68" s="136">
        <v>9</v>
      </c>
      <c r="DL68" s="137" t="s">
        <v>20</v>
      </c>
      <c r="DM68" s="138">
        <v>29</v>
      </c>
      <c r="DN68" s="170">
        <v>6.0072413793103445</v>
      </c>
      <c r="DO68" s="140">
        <f>DM68*DN68</f>
        <v>174.20999999999998</v>
      </c>
      <c r="DP68" s="141"/>
      <c r="DQ68" s="528"/>
      <c r="DR68" s="135" t="s">
        <v>67</v>
      </c>
      <c r="DS68" s="136">
        <v>16</v>
      </c>
      <c r="DT68" s="137" t="s">
        <v>20</v>
      </c>
      <c r="DU68" s="138">
        <v>20</v>
      </c>
      <c r="DV68" s="170">
        <v>6.0072413793103445</v>
      </c>
      <c r="DW68" s="140">
        <f>DU68*DV68</f>
        <v>120.14482758620689</v>
      </c>
      <c r="DX68" s="141"/>
      <c r="DY68" s="528"/>
      <c r="DZ68" s="135" t="s">
        <v>67</v>
      </c>
      <c r="EA68" s="136">
        <v>17</v>
      </c>
      <c r="EB68" s="137" t="s">
        <v>20</v>
      </c>
      <c r="EC68" s="138">
        <v>61</v>
      </c>
      <c r="ED68" s="170">
        <v>6.0072413793103445</v>
      </c>
      <c r="EE68" s="140">
        <f>EC68*ED68</f>
        <v>366.44172413793103</v>
      </c>
      <c r="EF68" s="141"/>
      <c r="EG68" s="528"/>
      <c r="EH68" s="135" t="s">
        <v>67</v>
      </c>
      <c r="EI68" s="136">
        <v>24</v>
      </c>
      <c r="EJ68" s="137" t="s">
        <v>20</v>
      </c>
      <c r="EK68" s="138">
        <v>38</v>
      </c>
      <c r="EL68" s="170">
        <v>6.0072413793103445</v>
      </c>
      <c r="EM68" s="140">
        <f>EK68*EL68</f>
        <v>228.27517241379309</v>
      </c>
      <c r="EN68" s="141"/>
      <c r="EO68" s="528"/>
      <c r="EP68" s="135" t="s">
        <v>67</v>
      </c>
      <c r="EQ68" s="136">
        <v>6</v>
      </c>
      <c r="ER68" s="137" t="s">
        <v>20</v>
      </c>
      <c r="ES68" s="138">
        <v>10</v>
      </c>
      <c r="ET68" s="170">
        <v>6.0072413793103445</v>
      </c>
      <c r="EU68" s="140">
        <f>ES68*ET68</f>
        <v>60.072413793103443</v>
      </c>
      <c r="EV68" s="141"/>
      <c r="EW68" s="528"/>
      <c r="EX68" s="135" t="s">
        <v>67</v>
      </c>
      <c r="EY68" s="136"/>
      <c r="EZ68" s="137" t="s">
        <v>20</v>
      </c>
      <c r="FA68" s="138"/>
      <c r="FB68" s="170">
        <v>6.0072413793103445</v>
      </c>
      <c r="FC68" s="140">
        <f>FA68*FB68</f>
        <v>0</v>
      </c>
      <c r="FD68" s="141"/>
      <c r="FE68" s="528"/>
      <c r="FF68" s="135" t="s">
        <v>67</v>
      </c>
      <c r="FG68" s="136"/>
      <c r="FH68" s="137" t="s">
        <v>20</v>
      </c>
      <c r="FI68" s="138"/>
      <c r="FJ68" s="170">
        <v>6.0072413793103445</v>
      </c>
      <c r="FK68" s="140">
        <f>FI68*FJ68</f>
        <v>0</v>
      </c>
      <c r="FL68" s="141"/>
      <c r="FM68" s="528"/>
      <c r="FN68" s="135" t="s">
        <v>67</v>
      </c>
      <c r="FO68" s="136"/>
      <c r="FP68" s="137" t="s">
        <v>20</v>
      </c>
      <c r="FQ68" s="138"/>
      <c r="FR68" s="170">
        <v>6.0072413793103445</v>
      </c>
      <c r="FS68" s="140">
        <f>FQ68*FR68</f>
        <v>0</v>
      </c>
      <c r="FT68" s="141"/>
      <c r="FU68" s="528"/>
      <c r="FV68" s="135" t="s">
        <v>67</v>
      </c>
      <c r="FW68" s="136"/>
      <c r="FX68" s="137" t="s">
        <v>20</v>
      </c>
      <c r="FY68" s="138"/>
      <c r="FZ68" s="170">
        <v>6.0072413793103445</v>
      </c>
      <c r="GA68" s="140">
        <f>FY68*FZ68</f>
        <v>0</v>
      </c>
      <c r="GB68" s="141"/>
      <c r="GC68" s="528"/>
      <c r="GD68" s="135" t="s">
        <v>67</v>
      </c>
      <c r="GE68" s="136"/>
      <c r="GF68" s="137" t="s">
        <v>20</v>
      </c>
      <c r="GG68" s="138"/>
      <c r="GH68" s="170">
        <v>6.0072413793103445</v>
      </c>
      <c r="GI68" s="140">
        <f>GG68*GH68</f>
        <v>0</v>
      </c>
      <c r="GJ68" s="141"/>
      <c r="GK68" s="528"/>
      <c r="GL68" s="135" t="s">
        <v>67</v>
      </c>
      <c r="GM68" s="136">
        <v>4</v>
      </c>
      <c r="GN68" s="137" t="s">
        <v>20</v>
      </c>
      <c r="GO68" s="138">
        <f>'[1]Jan_18_Vol weekly-Data-Entry'!$C$226</f>
        <v>0</v>
      </c>
      <c r="GP68" s="170">
        <v>6.0072413793103445</v>
      </c>
      <c r="GQ68" s="140">
        <f>GO68*GP68</f>
        <v>0</v>
      </c>
      <c r="GR68" s="141"/>
      <c r="GS68" s="528"/>
      <c r="GT68" s="135" t="s">
        <v>67</v>
      </c>
      <c r="GU68" s="136">
        <v>0</v>
      </c>
      <c r="GV68" s="137" t="s">
        <v>20</v>
      </c>
      <c r="GW68" s="138">
        <v>0</v>
      </c>
      <c r="GX68" s="170">
        <v>6.0072413793103445</v>
      </c>
      <c r="GY68" s="140">
        <f>GW68*GX68</f>
        <v>0</v>
      </c>
      <c r="GZ68" s="141"/>
      <c r="HA68" s="528"/>
      <c r="HB68" s="135" t="s">
        <v>67</v>
      </c>
      <c r="HC68" s="136">
        <v>5</v>
      </c>
      <c r="HD68" s="137" t="s">
        <v>20</v>
      </c>
      <c r="HE68" s="138">
        <v>13</v>
      </c>
      <c r="HF68" s="170">
        <v>6.0072413793103445</v>
      </c>
      <c r="HG68" s="140">
        <f>HE68*HF68</f>
        <v>78.094137931034481</v>
      </c>
      <c r="HH68" s="141"/>
      <c r="HI68" s="528"/>
      <c r="HJ68" s="135" t="s">
        <v>67</v>
      </c>
      <c r="HK68" s="136">
        <v>9</v>
      </c>
      <c r="HL68" s="137" t="s">
        <v>20</v>
      </c>
      <c r="HM68" s="138">
        <v>0</v>
      </c>
      <c r="HN68" s="170">
        <v>6.0072413793103445</v>
      </c>
      <c r="HO68" s="140">
        <f>HM68*HN68</f>
        <v>0</v>
      </c>
      <c r="HP68" s="141"/>
      <c r="HQ68" s="528"/>
      <c r="HR68" s="135" t="s">
        <v>67</v>
      </c>
      <c r="HS68" s="136">
        <v>17</v>
      </c>
      <c r="HT68" s="137" t="s">
        <v>20</v>
      </c>
      <c r="HU68" s="138">
        <v>84</v>
      </c>
      <c r="HV68" s="170">
        <v>6.0072413793103445</v>
      </c>
      <c r="HW68" s="140">
        <f>HU68*HV68</f>
        <v>504.60827586206892</v>
      </c>
      <c r="HX68" s="141"/>
      <c r="HY68" s="528"/>
      <c r="HZ68" s="135" t="s">
        <v>67</v>
      </c>
      <c r="IA68" s="136">
        <v>17</v>
      </c>
      <c r="IB68" s="137" t="s">
        <v>20</v>
      </c>
      <c r="IC68" s="138">
        <v>84</v>
      </c>
      <c r="ID68" s="170">
        <v>6.0072413793103445</v>
      </c>
      <c r="IE68" s="140">
        <f>IC68*ID68</f>
        <v>504.60827586206892</v>
      </c>
      <c r="IF68" s="141"/>
      <c r="IG68" s="528"/>
      <c r="IH68" s="135" t="s">
        <v>67</v>
      </c>
      <c r="II68" s="136">
        <v>21</v>
      </c>
      <c r="IJ68" s="137" t="s">
        <v>20</v>
      </c>
      <c r="IK68" s="138">
        <v>114</v>
      </c>
      <c r="IL68" s="170">
        <v>6.0072413793103445</v>
      </c>
      <c r="IM68" s="140">
        <f>IK68*IL68</f>
        <v>684.82551724137932</v>
      </c>
      <c r="IN68" s="141"/>
      <c r="IO68" s="528"/>
      <c r="IP68" s="135" t="s">
        <v>67</v>
      </c>
      <c r="IQ68" s="136">
        <v>18</v>
      </c>
      <c r="IR68" s="137" t="s">
        <v>20</v>
      </c>
      <c r="IS68" s="138">
        <v>58</v>
      </c>
      <c r="IT68" s="170">
        <v>6.0072413793103445</v>
      </c>
      <c r="IU68" s="140">
        <f>IS68*IT68</f>
        <v>348.41999999999996</v>
      </c>
      <c r="IV68" s="141"/>
      <c r="IW68" s="528"/>
      <c r="IX68" s="135" t="s">
        <v>67</v>
      </c>
      <c r="IY68" s="136">
        <v>9</v>
      </c>
      <c r="IZ68" s="137" t="s">
        <v>20</v>
      </c>
      <c r="JA68" s="138">
        <v>48</v>
      </c>
      <c r="JB68" s="170">
        <v>6.0072413793103445</v>
      </c>
      <c r="JC68" s="140">
        <f>JA68*JB68</f>
        <v>288.34758620689655</v>
      </c>
      <c r="JD68" s="141"/>
      <c r="JE68" s="528"/>
      <c r="JF68" s="135" t="s">
        <v>67</v>
      </c>
      <c r="JG68" s="136">
        <v>8</v>
      </c>
      <c r="JH68" s="137" t="s">
        <v>20</v>
      </c>
      <c r="JI68" s="138">
        <v>1</v>
      </c>
      <c r="JJ68" s="170">
        <v>6.0072413793103445</v>
      </c>
      <c r="JK68" s="140">
        <f>JI68*JJ68</f>
        <v>6.0072413793103445</v>
      </c>
      <c r="JL68" s="141"/>
      <c r="JM68" s="528"/>
      <c r="JN68" s="135" t="s">
        <v>67</v>
      </c>
      <c r="JO68" s="136">
        <v>2</v>
      </c>
      <c r="JP68" s="137" t="s">
        <v>20</v>
      </c>
      <c r="JQ68" s="138">
        <v>3</v>
      </c>
      <c r="JR68" s="170">
        <v>6.0072413793103445</v>
      </c>
      <c r="JS68" s="140">
        <f>JQ68*JR68</f>
        <v>18.021724137931034</v>
      </c>
      <c r="JT68" s="141"/>
      <c r="JU68" s="528"/>
      <c r="JV68" s="135" t="s">
        <v>67</v>
      </c>
      <c r="JW68" s="136">
        <v>46</v>
      </c>
      <c r="JX68" s="137" t="s">
        <v>20</v>
      </c>
      <c r="JY68" s="138">
        <v>246</v>
      </c>
      <c r="JZ68" s="170">
        <v>6.0072413793103445</v>
      </c>
      <c r="KA68" s="140">
        <f>JY68*JZ68</f>
        <v>1477.7813793103448</v>
      </c>
      <c r="KB68" s="141"/>
      <c r="KC68" s="528"/>
      <c r="KD68" s="135" t="s">
        <v>67</v>
      </c>
      <c r="KE68" s="136">
        <v>0</v>
      </c>
      <c r="KF68" s="137" t="s">
        <v>20</v>
      </c>
      <c r="KG68" s="138">
        <v>0</v>
      </c>
      <c r="KH68" s="170">
        <v>6.0072413793103445</v>
      </c>
      <c r="KI68" s="140">
        <f>KG68*KH68</f>
        <v>0</v>
      </c>
      <c r="KJ68" s="141"/>
      <c r="KK68" s="528"/>
      <c r="KL68" s="135" t="s">
        <v>67</v>
      </c>
      <c r="KM68" s="136">
        <v>0</v>
      </c>
      <c r="KN68" s="137" t="s">
        <v>20</v>
      </c>
      <c r="KO68" s="138">
        <v>0</v>
      </c>
      <c r="KP68" s="170">
        <v>6.0072413793103445</v>
      </c>
      <c r="KQ68" s="140">
        <f>KO68*KP68</f>
        <v>0</v>
      </c>
      <c r="KR68" s="141"/>
      <c r="KS68" s="528"/>
      <c r="KT68" s="135" t="s">
        <v>67</v>
      </c>
      <c r="KU68" s="136">
        <v>8</v>
      </c>
      <c r="KV68" s="137" t="s">
        <v>20</v>
      </c>
      <c r="KW68" s="138">
        <v>41</v>
      </c>
      <c r="KX68" s="170">
        <v>6.0072413793103445</v>
      </c>
      <c r="KY68" s="140">
        <f>KW68*KX68</f>
        <v>246.29689655172413</v>
      </c>
      <c r="KZ68" s="141"/>
      <c r="LA68" s="528"/>
      <c r="LB68" s="135" t="s">
        <v>67</v>
      </c>
      <c r="LC68" s="136">
        <v>3</v>
      </c>
      <c r="LD68" s="137" t="s">
        <v>20</v>
      </c>
      <c r="LE68" s="138">
        <v>0</v>
      </c>
      <c r="LF68" s="170">
        <v>6.0072413793103445</v>
      </c>
      <c r="LG68" s="140">
        <f>LE68*LF68</f>
        <v>0</v>
      </c>
      <c r="LH68" s="141"/>
      <c r="LI68" s="528"/>
      <c r="LJ68" s="135" t="s">
        <v>67</v>
      </c>
      <c r="LK68" s="136">
        <v>16</v>
      </c>
      <c r="LL68" s="137" t="s">
        <v>20</v>
      </c>
      <c r="LM68" s="175">
        <v>31</v>
      </c>
      <c r="LN68" s="139">
        <v>6.0072413793103445</v>
      </c>
      <c r="LO68" s="140">
        <f>LM68*LN68</f>
        <v>186.22448275862067</v>
      </c>
      <c r="LP68" s="141"/>
      <c r="LQ68" s="528"/>
      <c r="LR68" s="135" t="s">
        <v>67</v>
      </c>
      <c r="LS68" s="136">
        <v>18</v>
      </c>
      <c r="LT68" s="137" t="s">
        <v>20</v>
      </c>
      <c r="LU68" s="175">
        <v>23</v>
      </c>
      <c r="LV68" s="139">
        <v>6.0072413793103445</v>
      </c>
      <c r="LW68" s="140">
        <f>LU68*LV68</f>
        <v>138.16655172413792</v>
      </c>
      <c r="LX68" s="141"/>
      <c r="LY68" s="528"/>
      <c r="LZ68" s="135" t="s">
        <v>67</v>
      </c>
      <c r="MA68" s="136">
        <v>16</v>
      </c>
      <c r="MB68" s="137" t="s">
        <v>20</v>
      </c>
      <c r="MC68" s="175">
        <v>0</v>
      </c>
      <c r="MD68" s="139">
        <v>6.0072413793103445</v>
      </c>
      <c r="ME68" s="140">
        <f>MC68*MD68</f>
        <v>0</v>
      </c>
      <c r="MF68" s="141"/>
      <c r="MG68" s="528"/>
      <c r="MH68" s="135" t="s">
        <v>67</v>
      </c>
      <c r="MI68" s="136">
        <v>13</v>
      </c>
      <c r="MJ68" s="137" t="s">
        <v>20</v>
      </c>
      <c r="MK68" s="175">
        <v>48</v>
      </c>
      <c r="ML68" s="139">
        <v>6.0072413793103445</v>
      </c>
      <c r="MM68" s="140">
        <f>MK68*ML68</f>
        <v>288.34758620689655</v>
      </c>
      <c r="MN68" s="141"/>
      <c r="MO68" s="528"/>
      <c r="MP68" s="135" t="s">
        <v>67</v>
      </c>
      <c r="MQ68" s="136">
        <v>16</v>
      </c>
      <c r="MR68" s="137" t="s">
        <v>20</v>
      </c>
      <c r="MS68" s="175">
        <v>50</v>
      </c>
      <c r="MT68" s="139">
        <v>6.0072413793103445</v>
      </c>
      <c r="MU68" s="140">
        <f>MS68*MT68</f>
        <v>300.36206896551721</v>
      </c>
      <c r="MV68" s="141"/>
      <c r="MW68" s="528"/>
      <c r="MX68" s="672"/>
      <c r="MY68" s="668"/>
      <c r="MZ68" s="667" t="s">
        <v>85</v>
      </c>
      <c r="NA68" s="664"/>
      <c r="NB68" s="664"/>
      <c r="NC68" s="140">
        <f t="shared" si="166"/>
        <v>0</v>
      </c>
      <c r="ND68" s="159">
        <f>SUM(NC67:NC68)</f>
        <v>257.3640740740741</v>
      </c>
      <c r="NE68" s="528"/>
      <c r="NF68" s="672"/>
      <c r="NG68" s="712"/>
      <c r="NH68" s="667" t="s">
        <v>85</v>
      </c>
      <c r="NI68" s="664"/>
      <c r="NJ68" s="664"/>
      <c r="NK68" s="140">
        <f t="shared" si="227"/>
        <v>0</v>
      </c>
      <c r="NL68" s="159">
        <f>SUM(NK67:NK68)</f>
        <v>1718.9977777777779</v>
      </c>
      <c r="NM68" s="528"/>
      <c r="NN68" s="672"/>
      <c r="NO68" s="668"/>
      <c r="NP68" s="667" t="s">
        <v>85</v>
      </c>
      <c r="NQ68" s="664"/>
      <c r="NR68" s="664"/>
      <c r="NS68" s="140">
        <f t="shared" si="228"/>
        <v>0</v>
      </c>
      <c r="NT68" s="159">
        <f>SUM(NS67:NS68)</f>
        <v>2024.9211111111113</v>
      </c>
      <c r="NU68" s="528"/>
      <c r="NV68" s="672"/>
      <c r="NW68" s="668"/>
      <c r="NX68" s="667" t="s">
        <v>85</v>
      </c>
      <c r="NY68" s="664"/>
      <c r="NZ68" s="664"/>
      <c r="OA68" s="140">
        <f t="shared" si="229"/>
        <v>0</v>
      </c>
      <c r="OB68" s="159">
        <f>SUM(OA67:OA68)</f>
        <v>223.37259259259261</v>
      </c>
      <c r="OC68" s="528"/>
      <c r="OD68" s="672"/>
      <c r="OE68" s="668"/>
      <c r="OF68" s="667" t="s">
        <v>85</v>
      </c>
      <c r="OG68" s="664"/>
      <c r="OH68" s="664"/>
      <c r="OI68" s="140">
        <f t="shared" si="230"/>
        <v>0</v>
      </c>
      <c r="OJ68" s="159">
        <f>SUM(OI67:OI68)</f>
        <v>776.94814814814822</v>
      </c>
      <c r="OK68" s="528"/>
      <c r="OL68" s="672"/>
      <c r="OM68" s="668"/>
      <c r="ON68" s="667" t="s">
        <v>85</v>
      </c>
      <c r="OO68" s="664"/>
      <c r="OP68" s="664"/>
      <c r="OQ68" s="140">
        <f t="shared" si="231"/>
        <v>0</v>
      </c>
      <c r="OR68" s="159">
        <f>SUM(OQ67:OQ68)</f>
        <v>985.75296296296301</v>
      </c>
      <c r="OS68" s="528"/>
      <c r="OT68" s="672"/>
      <c r="OU68" s="668"/>
      <c r="OV68" s="667" t="s">
        <v>85</v>
      </c>
      <c r="OW68" s="664"/>
      <c r="OX68" s="664"/>
      <c r="OY68" s="140">
        <f t="shared" si="232"/>
        <v>0</v>
      </c>
      <c r="OZ68" s="159">
        <f>SUM(OY67:OY68)</f>
        <v>0</v>
      </c>
      <c r="PA68" s="528"/>
      <c r="PB68" s="672"/>
      <c r="PC68" s="668"/>
      <c r="PD68" s="667" t="s">
        <v>85</v>
      </c>
      <c r="PE68" s="664"/>
      <c r="PF68" s="664"/>
      <c r="PG68" s="140">
        <f t="shared" si="233"/>
        <v>0</v>
      </c>
      <c r="PH68" s="159">
        <f>SUM(PG67:PG68)</f>
        <v>0</v>
      </c>
      <c r="PI68" s="528"/>
      <c r="PJ68" s="672"/>
      <c r="PK68" s="668"/>
      <c r="PL68" s="667" t="s">
        <v>85</v>
      </c>
      <c r="PM68" s="713"/>
      <c r="PN68" s="664"/>
      <c r="PO68" s="140">
        <f t="shared" si="234"/>
        <v>0</v>
      </c>
      <c r="PP68" s="159">
        <f>SUM(PO67:PO68)</f>
        <v>63.127037037037042</v>
      </c>
      <c r="PQ68" s="528"/>
      <c r="PR68" s="672"/>
      <c r="PS68" s="668"/>
      <c r="PT68" s="667" t="s">
        <v>85</v>
      </c>
      <c r="PU68" s="713"/>
      <c r="PV68" s="664"/>
      <c r="PW68" s="140">
        <f t="shared" si="235"/>
        <v>0</v>
      </c>
      <c r="PX68" s="159">
        <f>SUM(PW67:PW68)</f>
        <v>174.81333333333333</v>
      </c>
      <c r="PY68" s="528"/>
      <c r="PZ68" s="672"/>
      <c r="QA68" s="668"/>
      <c r="QB68" s="667" t="s">
        <v>85</v>
      </c>
      <c r="QC68" s="713"/>
      <c r="QD68" s="664"/>
      <c r="QE68" s="140">
        <f t="shared" si="236"/>
        <v>0</v>
      </c>
      <c r="QF68" s="159">
        <f>SUM(QE67:QE68)</f>
        <v>165.1014814814815</v>
      </c>
      <c r="QG68" s="528"/>
      <c r="QH68" s="672"/>
      <c r="QI68" s="668"/>
      <c r="QJ68" s="667" t="s">
        <v>85</v>
      </c>
      <c r="QK68" s="713"/>
      <c r="QL68" s="664"/>
      <c r="QM68" s="140">
        <f t="shared" si="237"/>
        <v>0</v>
      </c>
      <c r="QN68" s="159">
        <f>SUM(QM67:QM68)</f>
        <v>471.02481481481482</v>
      </c>
      <c r="QO68" s="528"/>
      <c r="QP68" s="672"/>
      <c r="QQ68" s="668"/>
      <c r="QR68" s="667" t="s">
        <v>85</v>
      </c>
      <c r="QS68" s="713"/>
      <c r="QT68" s="664"/>
      <c r="QU68" s="140">
        <f t="shared" si="238"/>
        <v>0</v>
      </c>
      <c r="QV68" s="159">
        <f>SUM(QU67:QU68)</f>
        <v>665.26185185185193</v>
      </c>
      <c r="QW68" s="528"/>
      <c r="QX68" s="672"/>
      <c r="QY68" s="668"/>
      <c r="QZ68" s="667" t="s">
        <v>85</v>
      </c>
      <c r="RA68" s="713"/>
      <c r="RB68" s="664"/>
      <c r="RC68" s="140">
        <f t="shared" si="239"/>
        <v>0</v>
      </c>
      <c r="RD68" s="159">
        <f>SUM(RC67:RC68)</f>
        <v>0</v>
      </c>
      <c r="RE68" s="528"/>
      <c r="RF68" s="672"/>
      <c r="RG68" s="668"/>
      <c r="RH68" s="667" t="s">
        <v>85</v>
      </c>
      <c r="RI68" s="713"/>
      <c r="RJ68" s="664"/>
      <c r="RK68" s="140">
        <f t="shared" si="240"/>
        <v>0</v>
      </c>
      <c r="RL68" s="159">
        <f>SUM(RK67:RK68)</f>
        <v>0</v>
      </c>
      <c r="RM68" s="528"/>
      <c r="RN68" s="672"/>
      <c r="RO68" s="668"/>
      <c r="RP68" s="667" t="s">
        <v>85</v>
      </c>
      <c r="RQ68" s="713"/>
      <c r="RR68" s="664"/>
      <c r="RS68" s="140">
        <f t="shared" si="241"/>
        <v>0</v>
      </c>
      <c r="RT68" s="159">
        <f>SUM(RS67:RS68)</f>
        <v>2772.7337037037037</v>
      </c>
      <c r="RU68" s="528"/>
      <c r="RV68" s="672"/>
      <c r="RW68" s="668"/>
      <c r="RX68" s="667" t="s">
        <v>85</v>
      </c>
      <c r="RY68" s="713"/>
      <c r="RZ68" s="664"/>
      <c r="SA68" s="140">
        <f t="shared" si="242"/>
        <v>0</v>
      </c>
      <c r="SB68" s="159">
        <f>SUM(SA67:SA68)</f>
        <v>1748.1333333333334</v>
      </c>
      <c r="SC68" s="528"/>
      <c r="SD68" s="672"/>
      <c r="SE68" s="668"/>
      <c r="SF68" s="667" t="s">
        <v>85</v>
      </c>
      <c r="SG68" s="713"/>
      <c r="SH68" s="664"/>
      <c r="SI68" s="140">
        <f t="shared" si="243"/>
        <v>0</v>
      </c>
      <c r="SJ68" s="159">
        <f>SUM(SI67:SI68)</f>
        <v>1150.8544444444444</v>
      </c>
      <c r="SK68" s="528"/>
      <c r="SL68" s="672"/>
      <c r="SM68" s="668"/>
      <c r="SN68" s="667" t="s">
        <v>85</v>
      </c>
      <c r="SO68" s="713"/>
      <c r="SP68" s="664"/>
      <c r="SQ68" s="140">
        <f t="shared" si="244"/>
        <v>0</v>
      </c>
      <c r="SR68" s="159">
        <f>SUM(SQ67:SQ68)</f>
        <v>1398.5066666666667</v>
      </c>
      <c r="SS68" s="528"/>
      <c r="ST68" s="672"/>
      <c r="SU68" s="668"/>
      <c r="SV68" s="667" t="s">
        <v>85</v>
      </c>
      <c r="SW68" s="713">
        <v>20</v>
      </c>
      <c r="SX68" s="664"/>
      <c r="SY68" s="140">
        <f t="shared" si="245"/>
        <v>0</v>
      </c>
      <c r="SZ68" s="159">
        <f>SUM(SY67:SY68)</f>
        <v>1723.8537037037038</v>
      </c>
      <c r="TA68" s="528"/>
      <c r="TB68" s="672"/>
      <c r="TC68" s="668"/>
      <c r="TD68" s="667" t="s">
        <v>85</v>
      </c>
      <c r="TE68" s="713"/>
      <c r="TF68" s="664"/>
      <c r="TG68" s="140">
        <f t="shared" si="246"/>
        <v>0</v>
      </c>
      <c r="TH68" s="159">
        <f>SUM(TG67:TG68)</f>
        <v>1966.65</v>
      </c>
      <c r="TI68" s="528"/>
    </row>
    <row r="69" spans="2:529">
      <c r="B69" s="131"/>
      <c r="C69" s="142"/>
      <c r="D69" s="137" t="s">
        <v>11</v>
      </c>
      <c r="E69" s="138">
        <v>0</v>
      </c>
      <c r="F69" s="170">
        <v>3.8522641509433964</v>
      </c>
      <c r="G69" s="140">
        <f t="shared" ref="G69:G119" si="247">E69*F69</f>
        <v>0</v>
      </c>
      <c r="H69" s="134">
        <f>SUM(G68:G69)</f>
        <v>0</v>
      </c>
      <c r="I69" s="528"/>
      <c r="J69" s="131"/>
      <c r="K69" s="142"/>
      <c r="L69" s="137" t="s">
        <v>11</v>
      </c>
      <c r="M69" s="138">
        <v>0</v>
      </c>
      <c r="N69" s="170">
        <v>3.8522641509433964</v>
      </c>
      <c r="O69" s="140">
        <f t="shared" ref="O69:O119" si="248">M69*N69</f>
        <v>0</v>
      </c>
      <c r="P69" s="134">
        <f>SUM(O68:O69)</f>
        <v>0</v>
      </c>
      <c r="Q69" s="528"/>
      <c r="R69" s="131"/>
      <c r="S69" s="142"/>
      <c r="T69" s="137" t="s">
        <v>11</v>
      </c>
      <c r="U69" s="138">
        <v>26</v>
      </c>
      <c r="V69" s="170">
        <v>3.8522641509433964</v>
      </c>
      <c r="W69" s="140">
        <f t="shared" ref="W69:W119" si="249">U69*V69</f>
        <v>100.15886792452831</v>
      </c>
      <c r="X69" s="134">
        <f>SUM(W68:W69)</f>
        <v>178.25300585556278</v>
      </c>
      <c r="Y69" s="528"/>
      <c r="Z69" s="131"/>
      <c r="AA69" s="142"/>
      <c r="AB69" s="137" t="s">
        <v>11</v>
      </c>
      <c r="AC69" s="138">
        <v>14</v>
      </c>
      <c r="AD69" s="170">
        <v>3.8522641509433964</v>
      </c>
      <c r="AE69" s="140">
        <f t="shared" ref="AE69:AE119" si="250">AC69*AD69</f>
        <v>53.931698113207545</v>
      </c>
      <c r="AF69" s="134">
        <f>SUM(AE68:AE69)</f>
        <v>53.931698113207545</v>
      </c>
      <c r="AG69" s="528"/>
      <c r="AH69" s="131"/>
      <c r="AI69" s="142"/>
      <c r="AJ69" s="137" t="s">
        <v>11</v>
      </c>
      <c r="AK69" s="138">
        <v>15</v>
      </c>
      <c r="AL69" s="170">
        <v>3.8522641509433964</v>
      </c>
      <c r="AM69" s="140">
        <f t="shared" ref="AM69:AM119" si="251">AK69*AL69</f>
        <v>57.783962264150944</v>
      </c>
      <c r="AN69" s="134">
        <f>SUM(AM68:AM69)</f>
        <v>117.85637605725438</v>
      </c>
      <c r="AO69" s="528"/>
      <c r="AP69" s="131"/>
      <c r="AQ69" s="142"/>
      <c r="AR69" s="137" t="s">
        <v>11</v>
      </c>
      <c r="AS69" s="138">
        <v>0</v>
      </c>
      <c r="AT69" s="170">
        <v>3.8522641509433964</v>
      </c>
      <c r="AU69" s="140">
        <f t="shared" ref="AU69:AU119" si="252">AS69*AT69</f>
        <v>0</v>
      </c>
      <c r="AV69" s="134">
        <f>SUM(AU68:AU69)</f>
        <v>48.057931034482756</v>
      </c>
      <c r="AW69" s="528"/>
      <c r="AX69" s="131"/>
      <c r="AY69" s="142"/>
      <c r="AZ69" s="137" t="s">
        <v>11</v>
      </c>
      <c r="BA69" s="138"/>
      <c r="BB69" s="170">
        <v>3.8522641509433964</v>
      </c>
      <c r="BC69" s="140">
        <f t="shared" ref="BC69:BC119" si="253">BA69*BB69</f>
        <v>0</v>
      </c>
      <c r="BD69" s="134">
        <f>SUM(BC68:BC69)</f>
        <v>0</v>
      </c>
      <c r="BE69" s="528"/>
      <c r="BF69" s="131"/>
      <c r="BG69" s="142"/>
      <c r="BH69" s="137" t="s">
        <v>11</v>
      </c>
      <c r="BI69" s="138">
        <v>83</v>
      </c>
      <c r="BJ69" s="170">
        <v>3.8522641509433964</v>
      </c>
      <c r="BK69" s="140">
        <f t="shared" ref="BK69:BK119" si="254">BI69*BJ69</f>
        <v>319.7379245283019</v>
      </c>
      <c r="BL69" s="134">
        <f>SUM(BK68:BK69)</f>
        <v>319.7379245283019</v>
      </c>
      <c r="BM69" s="528"/>
      <c r="BN69" s="131"/>
      <c r="BO69" s="142"/>
      <c r="BP69" s="137" t="s">
        <v>11</v>
      </c>
      <c r="BQ69" s="138">
        <v>0</v>
      </c>
      <c r="BR69" s="170">
        <v>3.8522641509433964</v>
      </c>
      <c r="BS69" s="140">
        <f t="shared" ref="BS69:BS119" si="255">BQ69*BR69</f>
        <v>0</v>
      </c>
      <c r="BT69" s="134">
        <f>SUM(BS68:BS69)</f>
        <v>48.057931034482756</v>
      </c>
      <c r="BU69" s="528"/>
      <c r="BV69" s="553"/>
      <c r="BW69" s="533"/>
      <c r="BX69" s="559" t="s">
        <v>11</v>
      </c>
      <c r="BY69" s="560"/>
      <c r="BZ69" s="585">
        <v>3.8522641509433964</v>
      </c>
      <c r="CA69" s="562">
        <f t="shared" ref="CA69:CA119" si="256">BY69*BZ69</f>
        <v>0</v>
      </c>
      <c r="CB69" s="556">
        <f>SUM(CA68:CA69)</f>
        <v>0</v>
      </c>
      <c r="CC69" s="528"/>
      <c r="CD69" s="553"/>
      <c r="CE69" s="533"/>
      <c r="CF69" s="559" t="s">
        <v>11</v>
      </c>
      <c r="CG69" s="560"/>
      <c r="CH69" s="585">
        <v>3.8522641509433964</v>
      </c>
      <c r="CI69" s="562">
        <f t="shared" ref="CI69:CI119" si="257">CG69*CH69</f>
        <v>0</v>
      </c>
      <c r="CJ69" s="556">
        <f>SUM(CI68:CI69)</f>
        <v>0</v>
      </c>
      <c r="CK69" s="528"/>
      <c r="CL69" s="131"/>
      <c r="CM69" s="142"/>
      <c r="CN69" s="137" t="s">
        <v>11</v>
      </c>
      <c r="CO69" s="138"/>
      <c r="CP69" s="170">
        <v>3.8522641509433964</v>
      </c>
      <c r="CQ69" s="140">
        <f t="shared" ref="CQ69:CQ119" si="258">CO69*CP69</f>
        <v>0</v>
      </c>
      <c r="CR69" s="134">
        <f>SUM(CQ68:CQ69)</f>
        <v>0</v>
      </c>
      <c r="CS69" s="528"/>
      <c r="CT69" s="131"/>
      <c r="CU69" s="142"/>
      <c r="CV69" s="137" t="s">
        <v>11</v>
      </c>
      <c r="CW69" s="138">
        <v>19</v>
      </c>
      <c r="CX69" s="170">
        <v>3.8522641509433964</v>
      </c>
      <c r="CY69" s="140">
        <f t="shared" ref="CY69:CY119" si="259">CW69*CX69</f>
        <v>73.193018867924536</v>
      </c>
      <c r="CZ69" s="134">
        <f>SUM(CY68:CY69)</f>
        <v>73.193018867924536</v>
      </c>
      <c r="DA69" s="528"/>
      <c r="DB69" s="131"/>
      <c r="DC69" s="142"/>
      <c r="DD69" s="137" t="s">
        <v>11</v>
      </c>
      <c r="DE69" s="138"/>
      <c r="DF69" s="170">
        <v>3.8522641509433964</v>
      </c>
      <c r="DG69" s="140">
        <f t="shared" ref="DG69:DG119" si="260">DE69*DF69</f>
        <v>0</v>
      </c>
      <c r="DH69" s="134">
        <f>SUM(DG68:DG69)</f>
        <v>0</v>
      </c>
      <c r="DI69" s="528"/>
      <c r="DJ69" s="131"/>
      <c r="DK69" s="142"/>
      <c r="DL69" s="137" t="s">
        <v>11</v>
      </c>
      <c r="DM69" s="138">
        <v>31</v>
      </c>
      <c r="DN69" s="170">
        <v>3.8522641509433964</v>
      </c>
      <c r="DO69" s="140">
        <f t="shared" ref="DO69:DO119" si="261">DM69*DN69</f>
        <v>119.42018867924529</v>
      </c>
      <c r="DP69" s="134">
        <f>SUM(DO68:DO69)</f>
        <v>293.63018867924529</v>
      </c>
      <c r="DQ69" s="528"/>
      <c r="DR69" s="131"/>
      <c r="DS69" s="142"/>
      <c r="DT69" s="137" t="s">
        <v>11</v>
      </c>
      <c r="DU69" s="138">
        <v>64</v>
      </c>
      <c r="DV69" s="170">
        <v>3.8522641509433964</v>
      </c>
      <c r="DW69" s="140">
        <f t="shared" ref="DW69:DW119" si="262">DU69*DV69</f>
        <v>246.54490566037737</v>
      </c>
      <c r="DX69" s="134">
        <f>SUM(DW68:DW69)</f>
        <v>366.68973324658424</v>
      </c>
      <c r="DY69" s="528"/>
      <c r="DZ69" s="131"/>
      <c r="EA69" s="142"/>
      <c r="EB69" s="137" t="s">
        <v>11</v>
      </c>
      <c r="EC69" s="138">
        <v>34</v>
      </c>
      <c r="ED69" s="170">
        <v>3.8522641509433964</v>
      </c>
      <c r="EE69" s="140">
        <f t="shared" ref="EE69:EE119" si="263">EC69*ED69</f>
        <v>130.97698113207548</v>
      </c>
      <c r="EF69" s="134">
        <f>SUM(EE68:EE69)</f>
        <v>497.41870527000651</v>
      </c>
      <c r="EG69" s="528"/>
      <c r="EH69" s="131"/>
      <c r="EI69" s="142"/>
      <c r="EJ69" s="137" t="s">
        <v>11</v>
      </c>
      <c r="EK69" s="138">
        <v>60</v>
      </c>
      <c r="EL69" s="170">
        <v>3.8522641509433964</v>
      </c>
      <c r="EM69" s="140">
        <f t="shared" ref="EM69:EM119" si="264">EK69*EL69</f>
        <v>231.13584905660377</v>
      </c>
      <c r="EN69" s="134">
        <f>SUM(EM68:EM69)</f>
        <v>459.41102147039686</v>
      </c>
      <c r="EO69" s="528"/>
      <c r="EP69" s="131"/>
      <c r="EQ69" s="142"/>
      <c r="ER69" s="137" t="s">
        <v>11</v>
      </c>
      <c r="ES69" s="138">
        <v>15</v>
      </c>
      <c r="ET69" s="170">
        <v>3.8522641509433964</v>
      </c>
      <c r="EU69" s="140">
        <f t="shared" ref="EU69:EU119" si="265">ES69*ET69</f>
        <v>57.783962264150944</v>
      </c>
      <c r="EV69" s="134">
        <f>SUM(EU68:EU69)</f>
        <v>117.85637605725438</v>
      </c>
      <c r="EW69" s="528"/>
      <c r="EX69" s="131"/>
      <c r="EY69" s="142"/>
      <c r="EZ69" s="137" t="s">
        <v>11</v>
      </c>
      <c r="FA69" s="138"/>
      <c r="FB69" s="170">
        <v>3.8522641509433964</v>
      </c>
      <c r="FC69" s="140">
        <f t="shared" ref="FC69:FC119" si="266">FA69*FB69</f>
        <v>0</v>
      </c>
      <c r="FD69" s="134">
        <f>SUM(FC68:FC69)</f>
        <v>0</v>
      </c>
      <c r="FE69" s="528"/>
      <c r="FF69" s="131"/>
      <c r="FG69" s="142"/>
      <c r="FH69" s="137" t="s">
        <v>11</v>
      </c>
      <c r="FI69" s="138"/>
      <c r="FJ69" s="170">
        <v>3.8522641509433964</v>
      </c>
      <c r="FK69" s="140">
        <f t="shared" ref="FK69:FK119" si="267">FI69*FJ69</f>
        <v>0</v>
      </c>
      <c r="FL69" s="134">
        <f>SUM(FK68:FK69)</f>
        <v>0</v>
      </c>
      <c r="FM69" s="528"/>
      <c r="FN69" s="131"/>
      <c r="FO69" s="142"/>
      <c r="FP69" s="137" t="s">
        <v>11</v>
      </c>
      <c r="FQ69" s="138"/>
      <c r="FR69" s="170">
        <v>3.8522641509433964</v>
      </c>
      <c r="FS69" s="140">
        <f t="shared" ref="FS69:FS119" si="268">FQ69*FR69</f>
        <v>0</v>
      </c>
      <c r="FT69" s="134">
        <f>SUM(FS68:FS69)</f>
        <v>0</v>
      </c>
      <c r="FU69" s="528"/>
      <c r="FV69" s="131"/>
      <c r="FW69" s="142"/>
      <c r="FX69" s="137" t="s">
        <v>11</v>
      </c>
      <c r="FY69" s="138"/>
      <c r="FZ69" s="170">
        <v>3.8522641509433964</v>
      </c>
      <c r="GA69" s="140">
        <f t="shared" ref="GA69:GA119" si="269">FY69*FZ69</f>
        <v>0</v>
      </c>
      <c r="GB69" s="134">
        <f>SUM(GA68:GA69)</f>
        <v>0</v>
      </c>
      <c r="GC69" s="528"/>
      <c r="GD69" s="131"/>
      <c r="GE69" s="142"/>
      <c r="GF69" s="137" t="s">
        <v>11</v>
      </c>
      <c r="GG69" s="138"/>
      <c r="GH69" s="170">
        <v>3.8522641509433964</v>
      </c>
      <c r="GI69" s="140">
        <f t="shared" ref="GI69:GI119" si="270">GG69*GH69</f>
        <v>0</v>
      </c>
      <c r="GJ69" s="134">
        <f>SUM(GI68:GI69)</f>
        <v>0</v>
      </c>
      <c r="GK69" s="528"/>
      <c r="GL69" s="131"/>
      <c r="GM69" s="142"/>
      <c r="GN69" s="137" t="s">
        <v>11</v>
      </c>
      <c r="GO69" s="138">
        <f>'[1]Jan_18_Vol weekly-Data-Entry'!$D$226</f>
        <v>0</v>
      </c>
      <c r="GP69" s="170">
        <v>3.8522641509433964</v>
      </c>
      <c r="GQ69" s="140">
        <f t="shared" ref="GQ69:GQ119" si="271">GO69*GP69</f>
        <v>0</v>
      </c>
      <c r="GR69" s="134">
        <f>SUM(GQ68:GQ69)</f>
        <v>0</v>
      </c>
      <c r="GS69" s="528"/>
      <c r="GT69" s="131"/>
      <c r="GU69" s="142"/>
      <c r="GV69" s="137" t="s">
        <v>11</v>
      </c>
      <c r="GW69" s="138">
        <v>0</v>
      </c>
      <c r="GX69" s="170">
        <v>3.8522641509433964</v>
      </c>
      <c r="GY69" s="140">
        <f t="shared" ref="GY69:GY119" si="272">GW69*GX69</f>
        <v>0</v>
      </c>
      <c r="GZ69" s="134">
        <f>SUM(GY68:GY69)</f>
        <v>0</v>
      </c>
      <c r="HA69" s="528"/>
      <c r="HB69" s="131"/>
      <c r="HC69" s="142"/>
      <c r="HD69" s="137" t="s">
        <v>11</v>
      </c>
      <c r="HE69" s="138">
        <v>26</v>
      </c>
      <c r="HF69" s="170">
        <v>3.8522641509433964</v>
      </c>
      <c r="HG69" s="140">
        <f t="shared" ref="HG69:HG119" si="273">HE69*HF69</f>
        <v>100.15886792452831</v>
      </c>
      <c r="HH69" s="134">
        <f>SUM(HG68:HG69)</f>
        <v>178.25300585556278</v>
      </c>
      <c r="HI69" s="528"/>
      <c r="HJ69" s="131"/>
      <c r="HK69" s="142"/>
      <c r="HL69" s="137" t="s">
        <v>11</v>
      </c>
      <c r="HM69" s="138">
        <v>43</v>
      </c>
      <c r="HN69" s="170">
        <v>3.8522641509433964</v>
      </c>
      <c r="HO69" s="140">
        <f t="shared" ref="HO69:HO119" si="274">HM69*HN69</f>
        <v>165.64735849056603</v>
      </c>
      <c r="HP69" s="134">
        <f>SUM(HO68:HO69)</f>
        <v>165.64735849056603</v>
      </c>
      <c r="HQ69" s="528"/>
      <c r="HR69" s="131"/>
      <c r="HS69" s="142"/>
      <c r="HT69" s="137" t="s">
        <v>11</v>
      </c>
      <c r="HU69" s="138">
        <v>55</v>
      </c>
      <c r="HV69" s="170">
        <v>3.8522641509433964</v>
      </c>
      <c r="HW69" s="140">
        <f t="shared" ref="HW69:HW119" si="275">HU69*HV69</f>
        <v>211.87452830188681</v>
      </c>
      <c r="HX69" s="134">
        <f>SUM(HW68:HW69)</f>
        <v>716.48280416395573</v>
      </c>
      <c r="HY69" s="528"/>
      <c r="HZ69" s="131"/>
      <c r="IA69" s="142"/>
      <c r="IB69" s="137" t="s">
        <v>11</v>
      </c>
      <c r="IC69" s="138">
        <v>55</v>
      </c>
      <c r="ID69" s="170">
        <v>3.8522641509433964</v>
      </c>
      <c r="IE69" s="140">
        <f t="shared" ref="IE69:IE119" si="276">IC69*ID69</f>
        <v>211.87452830188681</v>
      </c>
      <c r="IF69" s="134">
        <f>SUM(IE68:IE69)</f>
        <v>716.48280416395573</v>
      </c>
      <c r="IG69" s="528"/>
      <c r="IH69" s="131"/>
      <c r="II69" s="142"/>
      <c r="IJ69" s="137" t="s">
        <v>11</v>
      </c>
      <c r="IK69" s="138">
        <v>72</v>
      </c>
      <c r="IL69" s="170">
        <v>3.8522641509433964</v>
      </c>
      <c r="IM69" s="140">
        <f t="shared" ref="IM69:IM119" si="277">IK69*IL69</f>
        <v>277.36301886792455</v>
      </c>
      <c r="IN69" s="134">
        <f>SUM(IM68:IM69)</f>
        <v>962.18853610930387</v>
      </c>
      <c r="IO69" s="528"/>
      <c r="IP69" s="131"/>
      <c r="IQ69" s="142"/>
      <c r="IR69" s="137" t="s">
        <v>11</v>
      </c>
      <c r="IS69" s="138">
        <v>44</v>
      </c>
      <c r="IT69" s="170">
        <v>3.8522641509433964</v>
      </c>
      <c r="IU69" s="140">
        <f t="shared" ref="IU69:IU119" si="278">IS69*IT69</f>
        <v>169.49962264150943</v>
      </c>
      <c r="IV69" s="134">
        <f>SUM(IU68:IU69)</f>
        <v>517.91962264150936</v>
      </c>
      <c r="IW69" s="528"/>
      <c r="IX69" s="131"/>
      <c r="IY69" s="142"/>
      <c r="IZ69" s="137" t="s">
        <v>11</v>
      </c>
      <c r="JA69" s="138">
        <v>15</v>
      </c>
      <c r="JB69" s="170">
        <v>3.8522641509433964</v>
      </c>
      <c r="JC69" s="140">
        <f t="shared" ref="JC69:JC119" si="279">JA69*JB69</f>
        <v>57.783962264150944</v>
      </c>
      <c r="JD69" s="134">
        <f>SUM(JC68:JC69)</f>
        <v>346.13154847104749</v>
      </c>
      <c r="JE69" s="528"/>
      <c r="JF69" s="131"/>
      <c r="JG69" s="142"/>
      <c r="JH69" s="137" t="s">
        <v>11</v>
      </c>
      <c r="JI69" s="138">
        <v>65</v>
      </c>
      <c r="JJ69" s="170">
        <v>3.8522641509433964</v>
      </c>
      <c r="JK69" s="140">
        <f t="shared" ref="JK69:JK119" si="280">JI69*JJ69</f>
        <v>250.39716981132077</v>
      </c>
      <c r="JL69" s="134">
        <f>SUM(JK68:JK69)</f>
        <v>256.40441119063109</v>
      </c>
      <c r="JM69" s="528"/>
      <c r="JN69" s="131"/>
      <c r="JO69" s="142"/>
      <c r="JP69" s="137" t="s">
        <v>11</v>
      </c>
      <c r="JQ69" s="138">
        <v>7</v>
      </c>
      <c r="JR69" s="170">
        <v>3.8522641509433964</v>
      </c>
      <c r="JS69" s="140">
        <f t="shared" ref="JS69:JS119" si="281">JQ69*JR69</f>
        <v>26.965849056603773</v>
      </c>
      <c r="JT69" s="134">
        <f>SUM(JS68:JS69)</f>
        <v>44.987573194534804</v>
      </c>
      <c r="JU69" s="528"/>
      <c r="JV69" s="131"/>
      <c r="JW69" s="142"/>
      <c r="JX69" s="137" t="s">
        <v>11</v>
      </c>
      <c r="JY69" s="138">
        <v>180</v>
      </c>
      <c r="JZ69" s="170">
        <v>3.8522641509433964</v>
      </c>
      <c r="KA69" s="140">
        <f t="shared" ref="KA69:KA119" si="282">JY69*JZ69</f>
        <v>693.40754716981132</v>
      </c>
      <c r="KB69" s="134">
        <f>SUM(KA68:KA69)</f>
        <v>2171.1889264801562</v>
      </c>
      <c r="KC69" s="528"/>
      <c r="KD69" s="131"/>
      <c r="KE69" s="142"/>
      <c r="KF69" s="137" t="s">
        <v>11</v>
      </c>
      <c r="KG69" s="138">
        <v>0</v>
      </c>
      <c r="KH69" s="170">
        <v>3.8522641509433964</v>
      </c>
      <c r="KI69" s="140">
        <f t="shared" ref="KI69:KI119" si="283">KG69*KH69</f>
        <v>0</v>
      </c>
      <c r="KJ69" s="134">
        <f>SUM(KI68:KI69)</f>
        <v>0</v>
      </c>
      <c r="KK69" s="528"/>
      <c r="KL69" s="131"/>
      <c r="KM69" s="142"/>
      <c r="KN69" s="137" t="s">
        <v>11</v>
      </c>
      <c r="KO69" s="138">
        <v>0</v>
      </c>
      <c r="KP69" s="170">
        <v>3.8522641509433964</v>
      </c>
      <c r="KQ69" s="140">
        <f t="shared" ref="KQ69:KQ119" si="284">KO69*KP69</f>
        <v>0</v>
      </c>
      <c r="KR69" s="134">
        <f>SUM(KQ68:KQ69)</f>
        <v>0</v>
      </c>
      <c r="KS69" s="528"/>
      <c r="KT69" s="131"/>
      <c r="KU69" s="142"/>
      <c r="KV69" s="137" t="s">
        <v>11</v>
      </c>
      <c r="KW69" s="138">
        <v>6</v>
      </c>
      <c r="KX69" s="170">
        <v>3.8522641509433964</v>
      </c>
      <c r="KY69" s="140">
        <f t="shared" ref="KY69:KY119" si="285">KW69*KX69</f>
        <v>23.113584905660378</v>
      </c>
      <c r="KZ69" s="134">
        <f>SUM(KY68:KY69)</f>
        <v>269.41048145738449</v>
      </c>
      <c r="LA69" s="528"/>
      <c r="LB69" s="131"/>
      <c r="LC69" s="142"/>
      <c r="LD69" s="137" t="s">
        <v>11</v>
      </c>
      <c r="LE69" s="138">
        <v>9</v>
      </c>
      <c r="LF69" s="170">
        <v>3.8522641509433964</v>
      </c>
      <c r="LG69" s="140">
        <f t="shared" ref="LG69:LG119" si="286">LE69*LF69</f>
        <v>34.670377358490569</v>
      </c>
      <c r="LH69" s="134">
        <f>SUM(LG68:LG69)</f>
        <v>34.670377358490569</v>
      </c>
      <c r="LI69" s="528"/>
      <c r="LJ69" s="131"/>
      <c r="LK69" s="142"/>
      <c r="LL69" s="137" t="s">
        <v>11</v>
      </c>
      <c r="LM69" s="175">
        <v>108</v>
      </c>
      <c r="LN69" s="139">
        <v>3.8522641509433964</v>
      </c>
      <c r="LO69" s="140">
        <f t="shared" ref="LO69:LO101" si="287">LM69*LN69</f>
        <v>416.04452830188683</v>
      </c>
      <c r="LP69" s="134">
        <f>SUM(LO68:LO69)</f>
        <v>602.26901106050752</v>
      </c>
      <c r="LQ69" s="528"/>
      <c r="LR69" s="131"/>
      <c r="LS69" s="142"/>
      <c r="LT69" s="137" t="s">
        <v>11</v>
      </c>
      <c r="LU69" s="175">
        <v>71</v>
      </c>
      <c r="LV69" s="139">
        <v>3.8522641509433964</v>
      </c>
      <c r="LW69" s="140">
        <f t="shared" ref="LW69:LW101" si="288">LU69*LV69</f>
        <v>273.51075471698113</v>
      </c>
      <c r="LX69" s="134">
        <f>SUM(LW68:LW69)</f>
        <v>411.67730644111907</v>
      </c>
      <c r="LY69" s="528"/>
      <c r="LZ69" s="131"/>
      <c r="MA69" s="142"/>
      <c r="MB69" s="137" t="s">
        <v>11</v>
      </c>
      <c r="MC69" s="175">
        <v>38</v>
      </c>
      <c r="MD69" s="139">
        <v>3.8522641509433964</v>
      </c>
      <c r="ME69" s="140">
        <f t="shared" ref="ME69:ME101" si="289">MC69*MD69</f>
        <v>146.38603773584907</v>
      </c>
      <c r="MF69" s="134">
        <f>SUM(ME68:ME69)</f>
        <v>146.38603773584907</v>
      </c>
      <c r="MG69" s="528"/>
      <c r="MH69" s="131"/>
      <c r="MI69" s="142"/>
      <c r="MJ69" s="137" t="s">
        <v>11</v>
      </c>
      <c r="MK69" s="175">
        <v>27</v>
      </c>
      <c r="ML69" s="139">
        <v>3.8522641509433964</v>
      </c>
      <c r="MM69" s="140">
        <f t="shared" ref="MM69:MM101" si="290">MK69*ML69</f>
        <v>104.01113207547171</v>
      </c>
      <c r="MN69" s="134">
        <f>SUM(MM68:MM69)</f>
        <v>392.35871828236827</v>
      </c>
      <c r="MO69" s="528"/>
      <c r="MP69" s="131"/>
      <c r="MQ69" s="142"/>
      <c r="MR69" s="137" t="s">
        <v>11</v>
      </c>
      <c r="MS69" s="175">
        <v>47</v>
      </c>
      <c r="MT69" s="139">
        <v>3.8522641509433964</v>
      </c>
      <c r="MU69" s="140">
        <f t="shared" ref="MU69:MU101" si="291">MS69*MT69</f>
        <v>181.05641509433963</v>
      </c>
      <c r="MV69" s="134">
        <f>SUM(MU68:MU69)</f>
        <v>481.41848405985684</v>
      </c>
      <c r="MW69" s="528"/>
      <c r="MX69" s="672" t="s">
        <v>98</v>
      </c>
      <c r="MY69" s="664">
        <v>25</v>
      </c>
      <c r="MZ69" s="665" t="s">
        <v>368</v>
      </c>
      <c r="NA69" s="665">
        <v>452</v>
      </c>
      <c r="NB69" s="707">
        <v>0.85</v>
      </c>
      <c r="NC69" s="140">
        <f t="shared" si="166"/>
        <v>384.2</v>
      </c>
      <c r="ND69" s="159">
        <f>NA69*NB69</f>
        <v>384.2</v>
      </c>
      <c r="NE69" s="528"/>
      <c r="NF69" s="672" t="s">
        <v>98</v>
      </c>
      <c r="NG69" s="713">
        <v>46</v>
      </c>
      <c r="NH69" s="665" t="s">
        <v>368</v>
      </c>
      <c r="NI69" s="665">
        <v>997</v>
      </c>
      <c r="NJ69" s="707">
        <v>0.85</v>
      </c>
      <c r="NK69" s="140">
        <f t="shared" si="227"/>
        <v>847.44999999999993</v>
      </c>
      <c r="NL69" s="159">
        <f>NI69*NJ69</f>
        <v>847.44999999999993</v>
      </c>
      <c r="NM69" s="528"/>
      <c r="NN69" s="672" t="s">
        <v>98</v>
      </c>
      <c r="NO69" s="664">
        <v>42</v>
      </c>
      <c r="NP69" s="665" t="s">
        <v>368</v>
      </c>
      <c r="NQ69" s="665">
        <v>864</v>
      </c>
      <c r="NR69" s="707">
        <v>0.85</v>
      </c>
      <c r="NS69" s="140">
        <f t="shared" si="228"/>
        <v>734.4</v>
      </c>
      <c r="NT69" s="159">
        <f>NQ69*NR69</f>
        <v>734.4</v>
      </c>
      <c r="NU69" s="528"/>
      <c r="NV69" s="672" t="s">
        <v>98</v>
      </c>
      <c r="NW69" s="713">
        <v>22</v>
      </c>
      <c r="NX69" s="665" t="s">
        <v>368</v>
      </c>
      <c r="NY69" s="665">
        <v>266</v>
      </c>
      <c r="NZ69" s="707">
        <v>0.85</v>
      </c>
      <c r="OA69" s="140">
        <f t="shared" si="229"/>
        <v>226.1</v>
      </c>
      <c r="OB69" s="159">
        <f>NY69*NZ69</f>
        <v>226.1</v>
      </c>
      <c r="OC69" s="528"/>
      <c r="OD69" s="672" t="s">
        <v>98</v>
      </c>
      <c r="OE69" s="713">
        <v>9</v>
      </c>
      <c r="OF69" s="665" t="s">
        <v>368</v>
      </c>
      <c r="OG69" s="781">
        <v>377</v>
      </c>
      <c r="OH69" s="707">
        <v>0.85</v>
      </c>
      <c r="OI69" s="140">
        <f t="shared" si="230"/>
        <v>320.45</v>
      </c>
      <c r="OJ69" s="159">
        <f>OG69*OH69</f>
        <v>320.45</v>
      </c>
      <c r="OK69" s="528"/>
      <c r="OL69" s="672" t="s">
        <v>98</v>
      </c>
      <c r="OM69" s="713">
        <v>19</v>
      </c>
      <c r="ON69" s="665" t="s">
        <v>368</v>
      </c>
      <c r="OO69" s="781">
        <v>435</v>
      </c>
      <c r="OP69" s="707">
        <v>0.85</v>
      </c>
      <c r="OQ69" s="140">
        <f t="shared" si="231"/>
        <v>369.75</v>
      </c>
      <c r="OR69" s="159">
        <f>OO69*OP69</f>
        <v>369.75</v>
      </c>
      <c r="OS69" s="528"/>
      <c r="OT69" s="672" t="s">
        <v>98</v>
      </c>
      <c r="OU69" s="713"/>
      <c r="OV69" s="665" t="s">
        <v>368</v>
      </c>
      <c r="OW69" s="781"/>
      <c r="OX69" s="707">
        <v>0.85</v>
      </c>
      <c r="OY69" s="140">
        <f t="shared" si="232"/>
        <v>0</v>
      </c>
      <c r="OZ69" s="159">
        <f>OW69*OX69</f>
        <v>0</v>
      </c>
      <c r="PA69" s="528"/>
      <c r="PB69" s="672" t="s">
        <v>98</v>
      </c>
      <c r="PC69" s="713"/>
      <c r="PD69" s="665" t="s">
        <v>368</v>
      </c>
      <c r="PE69" s="781"/>
      <c r="PF69" s="707">
        <v>0.85</v>
      </c>
      <c r="PG69" s="140">
        <f t="shared" si="233"/>
        <v>0</v>
      </c>
      <c r="PH69" s="159">
        <f>PE69*PF69</f>
        <v>0</v>
      </c>
      <c r="PI69" s="528"/>
      <c r="PJ69" s="672" t="s">
        <v>98</v>
      </c>
      <c r="PK69" s="713">
        <v>1</v>
      </c>
      <c r="PL69" s="665" t="s">
        <v>368</v>
      </c>
      <c r="PM69" s="781">
        <v>5</v>
      </c>
      <c r="PN69" s="707">
        <v>0.85</v>
      </c>
      <c r="PO69" s="140">
        <f t="shared" si="234"/>
        <v>4.25</v>
      </c>
      <c r="PP69" s="159">
        <f>PM69*PN69</f>
        <v>4.25</v>
      </c>
      <c r="PQ69" s="528"/>
      <c r="PR69" s="672" t="s">
        <v>98</v>
      </c>
      <c r="PS69" s="713">
        <v>8</v>
      </c>
      <c r="PT69" s="665" t="s">
        <v>368</v>
      </c>
      <c r="PU69" s="781">
        <v>199</v>
      </c>
      <c r="PV69" s="707">
        <v>0.85</v>
      </c>
      <c r="PW69" s="140">
        <f t="shared" si="235"/>
        <v>169.15</v>
      </c>
      <c r="PX69" s="159">
        <f>PU69*PV69</f>
        <v>169.15</v>
      </c>
      <c r="PY69" s="528"/>
      <c r="PZ69" s="672" t="s">
        <v>98</v>
      </c>
      <c r="QA69" s="713">
        <v>10</v>
      </c>
      <c r="QB69" s="665" t="s">
        <v>368</v>
      </c>
      <c r="QC69" s="781">
        <v>119</v>
      </c>
      <c r="QD69" s="707">
        <v>0.85</v>
      </c>
      <c r="QE69" s="140">
        <f t="shared" si="236"/>
        <v>101.14999999999999</v>
      </c>
      <c r="QF69" s="159">
        <f>QC69*QD69</f>
        <v>101.14999999999999</v>
      </c>
      <c r="QG69" s="528"/>
      <c r="QH69" s="672" t="s">
        <v>98</v>
      </c>
      <c r="QI69" s="713">
        <v>19</v>
      </c>
      <c r="QJ69" s="665" t="s">
        <v>368</v>
      </c>
      <c r="QK69" s="781">
        <v>450</v>
      </c>
      <c r="QL69" s="707">
        <v>0.85</v>
      </c>
      <c r="QM69" s="140">
        <f t="shared" si="237"/>
        <v>382.5</v>
      </c>
      <c r="QN69" s="159">
        <f>QK69*QL69</f>
        <v>382.5</v>
      </c>
      <c r="QO69" s="528"/>
      <c r="QP69" s="672" t="s">
        <v>98</v>
      </c>
      <c r="QQ69" s="713">
        <v>29</v>
      </c>
      <c r="QR69" s="665" t="s">
        <v>368</v>
      </c>
      <c r="QS69" s="781">
        <v>616</v>
      </c>
      <c r="QT69" s="707">
        <v>0.85</v>
      </c>
      <c r="QU69" s="140">
        <f t="shared" si="238"/>
        <v>523.6</v>
      </c>
      <c r="QV69" s="159">
        <f>QS69*QT69</f>
        <v>523.6</v>
      </c>
      <c r="QW69" s="528"/>
      <c r="QX69" s="672" t="s">
        <v>98</v>
      </c>
      <c r="QY69" s="713"/>
      <c r="QZ69" s="665" t="s">
        <v>368</v>
      </c>
      <c r="RA69" s="781"/>
      <c r="RB69" s="707">
        <v>0.85</v>
      </c>
      <c r="RC69" s="140">
        <f t="shared" si="239"/>
        <v>0</v>
      </c>
      <c r="RD69" s="159">
        <f>RA69*RB69</f>
        <v>0</v>
      </c>
      <c r="RE69" s="528"/>
      <c r="RF69" s="672" t="s">
        <v>98</v>
      </c>
      <c r="RG69" s="713"/>
      <c r="RH69" s="665" t="s">
        <v>368</v>
      </c>
      <c r="RI69" s="781"/>
      <c r="RJ69" s="707">
        <v>0.85</v>
      </c>
      <c r="RK69" s="140">
        <f t="shared" si="240"/>
        <v>0</v>
      </c>
      <c r="RL69" s="159">
        <f>RI69*RJ69</f>
        <v>0</v>
      </c>
      <c r="RM69" s="528"/>
      <c r="RN69" s="672" t="s">
        <v>98</v>
      </c>
      <c r="RO69" s="713">
        <v>25</v>
      </c>
      <c r="RP69" s="665" t="s">
        <v>368</v>
      </c>
      <c r="RQ69" s="781">
        <v>398</v>
      </c>
      <c r="RR69" s="707">
        <v>0.85</v>
      </c>
      <c r="RS69" s="140">
        <f t="shared" si="241"/>
        <v>338.3</v>
      </c>
      <c r="RT69" s="159">
        <f>RQ69*RR69</f>
        <v>338.3</v>
      </c>
      <c r="RU69" s="528"/>
      <c r="RV69" s="672" t="s">
        <v>98</v>
      </c>
      <c r="RW69" s="713">
        <v>17</v>
      </c>
      <c r="RX69" s="665" t="s">
        <v>368</v>
      </c>
      <c r="RY69" s="781">
        <v>624</v>
      </c>
      <c r="RZ69" s="707">
        <v>0.85</v>
      </c>
      <c r="SA69" s="140">
        <f t="shared" si="242"/>
        <v>530.4</v>
      </c>
      <c r="SB69" s="159">
        <f>RY69*RZ69</f>
        <v>530.4</v>
      </c>
      <c r="SC69" s="528"/>
      <c r="SD69" s="672" t="s">
        <v>98</v>
      </c>
      <c r="SE69" s="713">
        <v>32</v>
      </c>
      <c r="SF69" s="665" t="s">
        <v>368</v>
      </c>
      <c r="SG69" s="781">
        <v>308</v>
      </c>
      <c r="SH69" s="707">
        <v>0.85</v>
      </c>
      <c r="SI69" s="140">
        <f t="shared" si="243"/>
        <v>261.8</v>
      </c>
      <c r="SJ69" s="159">
        <f>SG69*SH69</f>
        <v>261.8</v>
      </c>
      <c r="SK69" s="528"/>
      <c r="SL69" s="672" t="s">
        <v>98</v>
      </c>
      <c r="SM69" s="713">
        <v>19</v>
      </c>
      <c r="SN69" s="665" t="s">
        <v>368</v>
      </c>
      <c r="SO69" s="781">
        <v>264</v>
      </c>
      <c r="SP69" s="707">
        <v>0.85</v>
      </c>
      <c r="SQ69" s="140">
        <f t="shared" si="244"/>
        <v>224.4</v>
      </c>
      <c r="SR69" s="159">
        <f>SO69*SP69</f>
        <v>224.4</v>
      </c>
      <c r="SS69" s="528"/>
      <c r="ST69" s="672" t="s">
        <v>98</v>
      </c>
      <c r="SU69" s="713">
        <v>17</v>
      </c>
      <c r="SV69" s="665" t="s">
        <v>368</v>
      </c>
      <c r="SW69" s="781">
        <v>147</v>
      </c>
      <c r="SX69" s="707">
        <v>0.85</v>
      </c>
      <c r="SY69" s="140">
        <f t="shared" si="245"/>
        <v>124.95</v>
      </c>
      <c r="SZ69" s="159">
        <f>SW69*SX69</f>
        <v>124.95</v>
      </c>
      <c r="TA69" s="528"/>
      <c r="TB69" s="672" t="s">
        <v>98</v>
      </c>
      <c r="TC69" s="713">
        <v>39</v>
      </c>
      <c r="TD69" s="665" t="s">
        <v>368</v>
      </c>
      <c r="TE69" s="781">
        <v>1000</v>
      </c>
      <c r="TF69" s="707">
        <v>0.85</v>
      </c>
      <c r="TG69" s="140">
        <f t="shared" si="246"/>
        <v>850</v>
      </c>
      <c r="TH69" s="159">
        <f>TE69*TF69</f>
        <v>850</v>
      </c>
      <c r="TI69" s="528"/>
    </row>
    <row r="70" spans="2:529">
      <c r="B70" s="143" t="s">
        <v>68</v>
      </c>
      <c r="C70" s="144">
        <v>6</v>
      </c>
      <c r="D70" s="137" t="s">
        <v>36</v>
      </c>
      <c r="E70" s="138">
        <v>0</v>
      </c>
      <c r="F70" s="170">
        <v>4.8258064516129027</v>
      </c>
      <c r="G70" s="140">
        <f t="shared" si="247"/>
        <v>0</v>
      </c>
      <c r="H70" s="130"/>
      <c r="I70" s="528"/>
      <c r="J70" s="143" t="s">
        <v>68</v>
      </c>
      <c r="K70" s="144">
        <v>1</v>
      </c>
      <c r="L70" s="137" t="s">
        <v>36</v>
      </c>
      <c r="M70" s="138">
        <v>0</v>
      </c>
      <c r="N70" s="170">
        <v>4.8258064516129027</v>
      </c>
      <c r="O70" s="140">
        <f t="shared" si="248"/>
        <v>0</v>
      </c>
      <c r="P70" s="130"/>
      <c r="Q70" s="528"/>
      <c r="R70" s="143" t="s">
        <v>68</v>
      </c>
      <c r="S70" s="144">
        <v>13</v>
      </c>
      <c r="T70" s="137" t="s">
        <v>36</v>
      </c>
      <c r="U70" s="138">
        <v>36</v>
      </c>
      <c r="V70" s="170">
        <v>4.8258064516129027</v>
      </c>
      <c r="W70" s="140">
        <f t="shared" si="249"/>
        <v>173.72903225806451</v>
      </c>
      <c r="X70" s="130"/>
      <c r="Y70" s="528"/>
      <c r="Z70" s="143" t="s">
        <v>68</v>
      </c>
      <c r="AA70" s="144">
        <v>1</v>
      </c>
      <c r="AB70" s="137" t="s">
        <v>36</v>
      </c>
      <c r="AC70" s="138">
        <v>0</v>
      </c>
      <c r="AD70" s="170">
        <v>4.8258064516129027</v>
      </c>
      <c r="AE70" s="140">
        <f t="shared" si="250"/>
        <v>0</v>
      </c>
      <c r="AF70" s="130"/>
      <c r="AG70" s="528"/>
      <c r="AH70" s="143" t="s">
        <v>68</v>
      </c>
      <c r="AI70" s="144">
        <v>13</v>
      </c>
      <c r="AJ70" s="137" t="s">
        <v>36</v>
      </c>
      <c r="AK70" s="138">
        <v>116</v>
      </c>
      <c r="AL70" s="170">
        <v>4.8258064516129027</v>
      </c>
      <c r="AM70" s="140">
        <f t="shared" si="251"/>
        <v>559.79354838709673</v>
      </c>
      <c r="AN70" s="130"/>
      <c r="AO70" s="528"/>
      <c r="AP70" s="143" t="s">
        <v>68</v>
      </c>
      <c r="AQ70" s="144">
        <v>2</v>
      </c>
      <c r="AR70" s="137" t="s">
        <v>36</v>
      </c>
      <c r="AS70" s="138">
        <v>0</v>
      </c>
      <c r="AT70" s="170">
        <v>4.8258064516129027</v>
      </c>
      <c r="AU70" s="140">
        <f t="shared" si="252"/>
        <v>0</v>
      </c>
      <c r="AV70" s="130"/>
      <c r="AW70" s="528"/>
      <c r="AX70" s="143" t="s">
        <v>68</v>
      </c>
      <c r="AY70" s="144"/>
      <c r="AZ70" s="137" t="s">
        <v>36</v>
      </c>
      <c r="BA70" s="138"/>
      <c r="BB70" s="170">
        <v>4.8258064516129027</v>
      </c>
      <c r="BC70" s="140">
        <f t="shared" si="253"/>
        <v>0</v>
      </c>
      <c r="BD70" s="130"/>
      <c r="BE70" s="528"/>
      <c r="BF70" s="143" t="s">
        <v>68</v>
      </c>
      <c r="BG70" s="144">
        <v>4</v>
      </c>
      <c r="BH70" s="137" t="s">
        <v>36</v>
      </c>
      <c r="BI70" s="138">
        <v>22</v>
      </c>
      <c r="BJ70" s="170">
        <v>4.8258064516129027</v>
      </c>
      <c r="BK70" s="140">
        <f t="shared" si="254"/>
        <v>106.16774193548386</v>
      </c>
      <c r="BL70" s="130"/>
      <c r="BM70" s="528"/>
      <c r="BN70" s="143" t="s">
        <v>68</v>
      </c>
      <c r="BO70" s="144">
        <v>1</v>
      </c>
      <c r="BP70" s="137" t="s">
        <v>36</v>
      </c>
      <c r="BQ70" s="138">
        <v>9</v>
      </c>
      <c r="BR70" s="170">
        <v>4.8258064516129027</v>
      </c>
      <c r="BS70" s="140">
        <f t="shared" si="255"/>
        <v>43.432258064516127</v>
      </c>
      <c r="BT70" s="130"/>
      <c r="BU70" s="528"/>
      <c r="BV70" s="564" t="s">
        <v>68</v>
      </c>
      <c r="BW70" s="565"/>
      <c r="BX70" s="559" t="s">
        <v>36</v>
      </c>
      <c r="BY70" s="560"/>
      <c r="BZ70" s="585">
        <v>4.8258064516129027</v>
      </c>
      <c r="CA70" s="562">
        <f t="shared" si="256"/>
        <v>0</v>
      </c>
      <c r="CB70" s="552"/>
      <c r="CC70" s="528"/>
      <c r="CD70" s="564" t="s">
        <v>68</v>
      </c>
      <c r="CE70" s="565"/>
      <c r="CF70" s="559" t="s">
        <v>36</v>
      </c>
      <c r="CG70" s="560"/>
      <c r="CH70" s="585">
        <v>4.8258064516129027</v>
      </c>
      <c r="CI70" s="562">
        <f t="shared" si="257"/>
        <v>0</v>
      </c>
      <c r="CJ70" s="552"/>
      <c r="CK70" s="528"/>
      <c r="CL70" s="143" t="s">
        <v>68</v>
      </c>
      <c r="CM70" s="144"/>
      <c r="CN70" s="137" t="s">
        <v>36</v>
      </c>
      <c r="CO70" s="138"/>
      <c r="CP70" s="170">
        <v>4.8258064516129027</v>
      </c>
      <c r="CQ70" s="140">
        <f t="shared" si="258"/>
        <v>0</v>
      </c>
      <c r="CR70" s="130"/>
      <c r="CS70" s="528"/>
      <c r="CT70" s="143" t="s">
        <v>68</v>
      </c>
      <c r="CU70" s="144">
        <v>2</v>
      </c>
      <c r="CV70" s="137" t="s">
        <v>36</v>
      </c>
      <c r="CW70" s="138">
        <v>0</v>
      </c>
      <c r="CX70" s="170">
        <v>4.8258064516129027</v>
      </c>
      <c r="CY70" s="140">
        <f t="shared" si="259"/>
        <v>0</v>
      </c>
      <c r="CZ70" s="130"/>
      <c r="DA70" s="528"/>
      <c r="DB70" s="143" t="s">
        <v>68</v>
      </c>
      <c r="DC70" s="144"/>
      <c r="DD70" s="137" t="s">
        <v>36</v>
      </c>
      <c r="DE70" s="138"/>
      <c r="DF70" s="170">
        <v>4.8258064516129027</v>
      </c>
      <c r="DG70" s="140">
        <f t="shared" si="260"/>
        <v>0</v>
      </c>
      <c r="DH70" s="130"/>
      <c r="DI70" s="528"/>
      <c r="DJ70" s="143" t="s">
        <v>68</v>
      </c>
      <c r="DK70" s="144">
        <v>11</v>
      </c>
      <c r="DL70" s="137" t="s">
        <v>36</v>
      </c>
      <c r="DM70" s="138">
        <v>50</v>
      </c>
      <c r="DN70" s="170">
        <v>4.8258064516129027</v>
      </c>
      <c r="DO70" s="140">
        <f t="shared" si="261"/>
        <v>241.29032258064512</v>
      </c>
      <c r="DP70" s="130"/>
      <c r="DQ70" s="528"/>
      <c r="DR70" s="143" t="s">
        <v>68</v>
      </c>
      <c r="DS70" s="144">
        <v>5</v>
      </c>
      <c r="DT70" s="137" t="s">
        <v>36</v>
      </c>
      <c r="DU70" s="138">
        <v>15</v>
      </c>
      <c r="DV70" s="170">
        <v>4.8258064516129027</v>
      </c>
      <c r="DW70" s="140">
        <f t="shared" si="262"/>
        <v>72.387096774193537</v>
      </c>
      <c r="DX70" s="130"/>
      <c r="DY70" s="528"/>
      <c r="DZ70" s="143" t="s">
        <v>68</v>
      </c>
      <c r="EA70" s="144">
        <v>9</v>
      </c>
      <c r="EB70" s="137" t="s">
        <v>36</v>
      </c>
      <c r="EC70" s="138">
        <v>44</v>
      </c>
      <c r="ED70" s="170">
        <v>4.8258064516129027</v>
      </c>
      <c r="EE70" s="140">
        <f t="shared" si="263"/>
        <v>212.33548387096772</v>
      </c>
      <c r="EF70" s="130"/>
      <c r="EG70" s="528"/>
      <c r="EH70" s="143" t="s">
        <v>68</v>
      </c>
      <c r="EI70" s="144">
        <v>8</v>
      </c>
      <c r="EJ70" s="137" t="s">
        <v>36</v>
      </c>
      <c r="EK70" s="138">
        <v>23</v>
      </c>
      <c r="EL70" s="170">
        <v>4.8258064516129027</v>
      </c>
      <c r="EM70" s="140">
        <f t="shared" si="264"/>
        <v>110.99354838709677</v>
      </c>
      <c r="EN70" s="130"/>
      <c r="EO70" s="528"/>
      <c r="EP70" s="143" t="s">
        <v>68</v>
      </c>
      <c r="EQ70" s="144">
        <v>10</v>
      </c>
      <c r="ER70" s="137" t="s">
        <v>36</v>
      </c>
      <c r="ES70" s="138">
        <v>116</v>
      </c>
      <c r="ET70" s="170">
        <v>4.8258064516129027</v>
      </c>
      <c r="EU70" s="140">
        <f t="shared" si="265"/>
        <v>559.79354838709673</v>
      </c>
      <c r="EV70" s="130"/>
      <c r="EW70" s="528"/>
      <c r="EX70" s="143" t="s">
        <v>68</v>
      </c>
      <c r="EY70" s="144"/>
      <c r="EZ70" s="137" t="s">
        <v>36</v>
      </c>
      <c r="FA70" s="138"/>
      <c r="FB70" s="170">
        <v>4.8258064516129027</v>
      </c>
      <c r="FC70" s="140">
        <f t="shared" si="266"/>
        <v>0</v>
      </c>
      <c r="FD70" s="130"/>
      <c r="FE70" s="528"/>
      <c r="FF70" s="143" t="s">
        <v>68</v>
      </c>
      <c r="FG70" s="144"/>
      <c r="FH70" s="137" t="s">
        <v>36</v>
      </c>
      <c r="FI70" s="138"/>
      <c r="FJ70" s="170">
        <v>4.8258064516129027</v>
      </c>
      <c r="FK70" s="140">
        <f t="shared" si="267"/>
        <v>0</v>
      </c>
      <c r="FL70" s="130"/>
      <c r="FM70" s="528"/>
      <c r="FN70" s="143" t="s">
        <v>68</v>
      </c>
      <c r="FO70" s="144"/>
      <c r="FP70" s="137" t="s">
        <v>36</v>
      </c>
      <c r="FQ70" s="138"/>
      <c r="FR70" s="170">
        <v>4.8258064516129027</v>
      </c>
      <c r="FS70" s="140">
        <f t="shared" si="268"/>
        <v>0</v>
      </c>
      <c r="FT70" s="130"/>
      <c r="FU70" s="528"/>
      <c r="FV70" s="143" t="s">
        <v>68</v>
      </c>
      <c r="FW70" s="144"/>
      <c r="FX70" s="137" t="s">
        <v>36</v>
      </c>
      <c r="FY70" s="138"/>
      <c r="FZ70" s="170">
        <v>4.8258064516129027</v>
      </c>
      <c r="GA70" s="140">
        <f t="shared" si="269"/>
        <v>0</v>
      </c>
      <c r="GB70" s="130"/>
      <c r="GC70" s="528"/>
      <c r="GD70" s="143" t="s">
        <v>68</v>
      </c>
      <c r="GE70" s="144"/>
      <c r="GF70" s="137" t="s">
        <v>36</v>
      </c>
      <c r="GG70" s="138"/>
      <c r="GH70" s="170">
        <v>4.8258064516129027</v>
      </c>
      <c r="GI70" s="140">
        <f t="shared" si="270"/>
        <v>0</v>
      </c>
      <c r="GJ70" s="130"/>
      <c r="GK70" s="528"/>
      <c r="GL70" s="143" t="s">
        <v>68</v>
      </c>
      <c r="GM70" s="144">
        <v>2</v>
      </c>
      <c r="GN70" s="137" t="s">
        <v>36</v>
      </c>
      <c r="GO70" s="138">
        <f>'[1]Jan_18_Vol weekly-Data-Entry'!$F$226</f>
        <v>0</v>
      </c>
      <c r="GP70" s="170">
        <v>4.8258064516129027</v>
      </c>
      <c r="GQ70" s="140">
        <f t="shared" si="271"/>
        <v>0</v>
      </c>
      <c r="GR70" s="130"/>
      <c r="GS70" s="528"/>
      <c r="GT70" s="143" t="s">
        <v>68</v>
      </c>
      <c r="GU70" s="144">
        <v>2</v>
      </c>
      <c r="GV70" s="137" t="s">
        <v>36</v>
      </c>
      <c r="GW70" s="138">
        <v>0</v>
      </c>
      <c r="GX70" s="170">
        <v>4.8258064516129027</v>
      </c>
      <c r="GY70" s="140">
        <f t="shared" si="272"/>
        <v>0</v>
      </c>
      <c r="GZ70" s="130"/>
      <c r="HA70" s="528"/>
      <c r="HB70" s="143" t="s">
        <v>68</v>
      </c>
      <c r="HC70" s="144">
        <v>9</v>
      </c>
      <c r="HD70" s="137" t="s">
        <v>36</v>
      </c>
      <c r="HE70" s="138">
        <v>36</v>
      </c>
      <c r="HF70" s="170">
        <v>4.8258064516129027</v>
      </c>
      <c r="HG70" s="140">
        <f t="shared" si="273"/>
        <v>173.72903225806451</v>
      </c>
      <c r="HH70" s="130"/>
      <c r="HI70" s="528"/>
      <c r="HJ70" s="143" t="s">
        <v>68</v>
      </c>
      <c r="HK70" s="144">
        <v>6</v>
      </c>
      <c r="HL70" s="137" t="s">
        <v>36</v>
      </c>
      <c r="HM70" s="138">
        <v>0</v>
      </c>
      <c r="HN70" s="170">
        <v>4.8258064516129027</v>
      </c>
      <c r="HO70" s="140">
        <f t="shared" si="274"/>
        <v>0</v>
      </c>
      <c r="HP70" s="130"/>
      <c r="HQ70" s="528"/>
      <c r="HR70" s="143" t="s">
        <v>68</v>
      </c>
      <c r="HS70" s="144">
        <v>8</v>
      </c>
      <c r="HT70" s="137" t="s">
        <v>36</v>
      </c>
      <c r="HU70" s="138">
        <v>149</v>
      </c>
      <c r="HV70" s="170">
        <v>4.8258064516129027</v>
      </c>
      <c r="HW70" s="140">
        <f t="shared" si="275"/>
        <v>719.04516129032254</v>
      </c>
      <c r="HX70" s="130"/>
      <c r="HY70" s="528"/>
      <c r="HZ70" s="143" t="s">
        <v>68</v>
      </c>
      <c r="IA70" s="144">
        <v>8</v>
      </c>
      <c r="IB70" s="137" t="s">
        <v>36</v>
      </c>
      <c r="IC70" s="138">
        <v>149</v>
      </c>
      <c r="ID70" s="170">
        <v>4.8258064516129027</v>
      </c>
      <c r="IE70" s="140">
        <f t="shared" si="276"/>
        <v>719.04516129032254</v>
      </c>
      <c r="IF70" s="130"/>
      <c r="IG70" s="528"/>
      <c r="IH70" s="143" t="s">
        <v>68</v>
      </c>
      <c r="II70" s="144">
        <v>5</v>
      </c>
      <c r="IJ70" s="137" t="s">
        <v>36</v>
      </c>
      <c r="IK70" s="138">
        <v>0</v>
      </c>
      <c r="IL70" s="170">
        <v>4.8258064516129027</v>
      </c>
      <c r="IM70" s="140">
        <f t="shared" si="277"/>
        <v>0</v>
      </c>
      <c r="IN70" s="130"/>
      <c r="IO70" s="528"/>
      <c r="IP70" s="143" t="s">
        <v>68</v>
      </c>
      <c r="IQ70" s="144">
        <v>21</v>
      </c>
      <c r="IR70" s="137" t="s">
        <v>36</v>
      </c>
      <c r="IS70" s="138">
        <v>7</v>
      </c>
      <c r="IT70" s="170">
        <v>4.8258064516129027</v>
      </c>
      <c r="IU70" s="140">
        <f t="shared" si="278"/>
        <v>33.780645161290316</v>
      </c>
      <c r="IV70" s="130"/>
      <c r="IW70" s="528"/>
      <c r="IX70" s="143" t="s">
        <v>68</v>
      </c>
      <c r="IY70" s="144">
        <v>4</v>
      </c>
      <c r="IZ70" s="137" t="s">
        <v>36</v>
      </c>
      <c r="JA70" s="138">
        <v>0</v>
      </c>
      <c r="JB70" s="170">
        <v>4.8258064516129027</v>
      </c>
      <c r="JC70" s="140">
        <f t="shared" si="279"/>
        <v>0</v>
      </c>
      <c r="JD70" s="130"/>
      <c r="JE70" s="528"/>
      <c r="JF70" s="143" t="s">
        <v>68</v>
      </c>
      <c r="JG70" s="144">
        <v>1</v>
      </c>
      <c r="JH70" s="137" t="s">
        <v>36</v>
      </c>
      <c r="JI70" s="138">
        <v>4</v>
      </c>
      <c r="JJ70" s="170">
        <v>4.8258064516129027</v>
      </c>
      <c r="JK70" s="140">
        <f t="shared" si="280"/>
        <v>19.303225806451611</v>
      </c>
      <c r="JL70" s="130"/>
      <c r="JM70" s="528"/>
      <c r="JN70" s="143" t="s">
        <v>68</v>
      </c>
      <c r="JO70" s="144">
        <v>3</v>
      </c>
      <c r="JP70" s="137" t="s">
        <v>36</v>
      </c>
      <c r="JQ70" s="138">
        <v>8</v>
      </c>
      <c r="JR70" s="170">
        <v>4.8258064516129027</v>
      </c>
      <c r="JS70" s="140">
        <f t="shared" si="281"/>
        <v>38.606451612903221</v>
      </c>
      <c r="JT70" s="130"/>
      <c r="JU70" s="528"/>
      <c r="JV70" s="143" t="s">
        <v>68</v>
      </c>
      <c r="JW70" s="144">
        <v>18</v>
      </c>
      <c r="JX70" s="137" t="s">
        <v>36</v>
      </c>
      <c r="JY70" s="138">
        <v>19</v>
      </c>
      <c r="JZ70" s="170">
        <v>4.8258064516129027</v>
      </c>
      <c r="KA70" s="140">
        <f t="shared" si="282"/>
        <v>91.690322580645145</v>
      </c>
      <c r="KB70" s="130"/>
      <c r="KC70" s="528"/>
      <c r="KD70" s="143" t="s">
        <v>68</v>
      </c>
      <c r="KE70" s="144">
        <v>3</v>
      </c>
      <c r="KF70" s="137" t="s">
        <v>36</v>
      </c>
      <c r="KG70" s="138">
        <v>115</v>
      </c>
      <c r="KH70" s="170">
        <v>4.8258064516129027</v>
      </c>
      <c r="KI70" s="140">
        <f t="shared" si="283"/>
        <v>554.96774193548379</v>
      </c>
      <c r="KJ70" s="130"/>
      <c r="KK70" s="528"/>
      <c r="KL70" s="143" t="s">
        <v>68</v>
      </c>
      <c r="KM70" s="144">
        <v>0</v>
      </c>
      <c r="KN70" s="137" t="s">
        <v>36</v>
      </c>
      <c r="KO70" s="138">
        <v>0</v>
      </c>
      <c r="KP70" s="170">
        <v>4.8258064516129027</v>
      </c>
      <c r="KQ70" s="140">
        <f t="shared" si="284"/>
        <v>0</v>
      </c>
      <c r="KR70" s="130"/>
      <c r="KS70" s="528"/>
      <c r="KT70" s="143" t="s">
        <v>68</v>
      </c>
      <c r="KU70" s="144">
        <v>13</v>
      </c>
      <c r="KV70" s="137" t="s">
        <v>36</v>
      </c>
      <c r="KW70" s="138">
        <v>1</v>
      </c>
      <c r="KX70" s="170">
        <v>4.8258064516129027</v>
      </c>
      <c r="KY70" s="140">
        <f t="shared" si="285"/>
        <v>4.8258064516129027</v>
      </c>
      <c r="KZ70" s="130"/>
      <c r="LA70" s="528"/>
      <c r="LB70" s="143" t="s">
        <v>68</v>
      </c>
      <c r="LC70" s="144">
        <v>12</v>
      </c>
      <c r="LD70" s="137" t="s">
        <v>36</v>
      </c>
      <c r="LE70" s="138">
        <v>182</v>
      </c>
      <c r="LF70" s="170">
        <v>4.8258064516129027</v>
      </c>
      <c r="LG70" s="140">
        <f t="shared" si="286"/>
        <v>878.29677419354823</v>
      </c>
      <c r="LH70" s="130"/>
      <c r="LI70" s="528"/>
      <c r="LJ70" s="143" t="s">
        <v>68</v>
      </c>
      <c r="LK70" s="144">
        <v>25</v>
      </c>
      <c r="LL70" s="137" t="s">
        <v>36</v>
      </c>
      <c r="LM70" s="175">
        <v>8</v>
      </c>
      <c r="LN70" s="139">
        <v>4.8258064516129027</v>
      </c>
      <c r="LO70" s="140">
        <f t="shared" si="287"/>
        <v>38.606451612903221</v>
      </c>
      <c r="LP70" s="130"/>
      <c r="LQ70" s="528"/>
      <c r="LR70" s="143" t="s">
        <v>68</v>
      </c>
      <c r="LS70" s="144">
        <v>26</v>
      </c>
      <c r="LT70" s="137" t="s">
        <v>36</v>
      </c>
      <c r="LU70" s="175">
        <v>4</v>
      </c>
      <c r="LV70" s="139">
        <v>4.8258064516129027</v>
      </c>
      <c r="LW70" s="140">
        <f t="shared" si="288"/>
        <v>19.303225806451611</v>
      </c>
      <c r="LX70" s="130"/>
      <c r="LY70" s="528"/>
      <c r="LZ70" s="143" t="s">
        <v>68</v>
      </c>
      <c r="MA70" s="144">
        <v>13</v>
      </c>
      <c r="MB70" s="137" t="s">
        <v>36</v>
      </c>
      <c r="MC70" s="175">
        <v>79</v>
      </c>
      <c r="MD70" s="139">
        <v>4.8258064516129027</v>
      </c>
      <c r="ME70" s="140">
        <f t="shared" si="289"/>
        <v>381.23870967741931</v>
      </c>
      <c r="MF70" s="130"/>
      <c r="MG70" s="528"/>
      <c r="MH70" s="143" t="s">
        <v>68</v>
      </c>
      <c r="MI70" s="144">
        <v>7</v>
      </c>
      <c r="MJ70" s="137" t="s">
        <v>36</v>
      </c>
      <c r="MK70" s="175">
        <v>21</v>
      </c>
      <c r="ML70" s="139">
        <v>4.8258064516129027</v>
      </c>
      <c r="MM70" s="140">
        <f t="shared" si="290"/>
        <v>101.34193548387096</v>
      </c>
      <c r="MN70" s="130"/>
      <c r="MO70" s="528"/>
      <c r="MP70" s="143" t="s">
        <v>68</v>
      </c>
      <c r="MQ70" s="144">
        <v>5</v>
      </c>
      <c r="MR70" s="137" t="s">
        <v>36</v>
      </c>
      <c r="MS70" s="175">
        <v>20</v>
      </c>
      <c r="MT70" s="139">
        <v>4.8258064516129027</v>
      </c>
      <c r="MU70" s="140">
        <f t="shared" si="291"/>
        <v>96.51612903225805</v>
      </c>
      <c r="MV70" s="130"/>
      <c r="MW70" s="528"/>
      <c r="MX70" s="700"/>
      <c r="MY70" s="675"/>
      <c r="MZ70" s="676"/>
      <c r="NA70" s="675"/>
      <c r="NB70" s="675"/>
      <c r="NC70" s="675"/>
      <c r="ND70" s="675"/>
      <c r="NE70" s="528"/>
      <c r="NF70" s="700"/>
      <c r="NG70" s="675"/>
      <c r="NH70" s="676"/>
      <c r="NI70" s="675"/>
      <c r="NJ70" s="675"/>
      <c r="NK70" s="675"/>
      <c r="NL70" s="675"/>
      <c r="NM70" s="528"/>
      <c r="NN70" s="700"/>
      <c r="NO70" s="675"/>
      <c r="NP70" s="676"/>
      <c r="NQ70" s="675"/>
      <c r="NR70" s="675"/>
      <c r="NS70" s="675"/>
      <c r="NT70" s="675"/>
      <c r="NU70" s="528"/>
      <c r="NV70" s="700"/>
      <c r="NW70" s="675"/>
      <c r="NX70" s="676"/>
      <c r="NY70" s="675"/>
      <c r="NZ70" s="675"/>
      <c r="OA70" s="675"/>
      <c r="OB70" s="675"/>
      <c r="OC70" s="528"/>
      <c r="OD70" s="700"/>
      <c r="OE70" s="675"/>
      <c r="OF70" s="676"/>
      <c r="OG70" s="675"/>
      <c r="OH70" s="675"/>
      <c r="OI70" s="675"/>
      <c r="OJ70" s="675"/>
      <c r="OK70" s="528"/>
      <c r="OL70" s="700"/>
      <c r="OM70" s="675"/>
      <c r="ON70" s="676"/>
      <c r="OO70" s="675"/>
      <c r="OP70" s="675"/>
      <c r="OQ70" s="675"/>
      <c r="OR70" s="675"/>
      <c r="OS70" s="528"/>
      <c r="OT70" s="700"/>
      <c r="OU70" s="675"/>
      <c r="OV70" s="676"/>
      <c r="OW70" s="675"/>
      <c r="OX70" s="675"/>
      <c r="OY70" s="675"/>
      <c r="OZ70" s="675"/>
      <c r="PA70" s="528"/>
      <c r="PB70" s="700"/>
      <c r="PC70" s="675"/>
      <c r="PD70" s="676"/>
      <c r="PE70" s="675"/>
      <c r="PF70" s="675"/>
      <c r="PG70" s="675"/>
      <c r="PH70" s="675"/>
      <c r="PI70" s="528"/>
      <c r="PJ70" s="700"/>
      <c r="PK70" s="675"/>
      <c r="PL70" s="676"/>
      <c r="PM70" s="675"/>
      <c r="PN70" s="675"/>
      <c r="PO70" s="675"/>
      <c r="PP70" s="675"/>
      <c r="PQ70" s="528"/>
      <c r="PR70" s="700"/>
      <c r="PS70" s="675"/>
      <c r="PT70" s="676"/>
      <c r="PU70" s="675"/>
      <c r="PV70" s="675"/>
      <c r="PW70" s="675"/>
      <c r="PX70" s="675"/>
      <c r="PY70" s="528"/>
      <c r="PZ70" s="700"/>
      <c r="QA70" s="675"/>
      <c r="QB70" s="676"/>
      <c r="QC70" s="675"/>
      <c r="QD70" s="675"/>
      <c r="QE70" s="675"/>
      <c r="QF70" s="675"/>
      <c r="QG70" s="528"/>
      <c r="QH70" s="700"/>
      <c r="QI70" s="675"/>
      <c r="QJ70" s="676"/>
      <c r="QK70" s="675"/>
      <c r="QL70" s="675"/>
      <c r="QM70" s="675"/>
      <c r="QN70" s="675"/>
      <c r="QO70" s="528"/>
      <c r="QP70" s="700"/>
      <c r="QQ70" s="675"/>
      <c r="QR70" s="676"/>
      <c r="QS70" s="675"/>
      <c r="QT70" s="675"/>
      <c r="QU70" s="675"/>
      <c r="QV70" s="675"/>
      <c r="QW70" s="528"/>
      <c r="QX70" s="700"/>
      <c r="QY70" s="675"/>
      <c r="QZ70" s="676"/>
      <c r="RA70" s="675"/>
      <c r="RB70" s="675"/>
      <c r="RC70" s="675"/>
      <c r="RD70" s="675"/>
      <c r="RE70" s="528"/>
      <c r="RF70" s="700"/>
      <c r="RG70" s="675"/>
      <c r="RH70" s="676"/>
      <c r="RI70" s="675"/>
      <c r="RJ70" s="675"/>
      <c r="RK70" s="675"/>
      <c r="RL70" s="675"/>
      <c r="RM70" s="528"/>
      <c r="RN70" s="700"/>
      <c r="RO70" s="675"/>
      <c r="RP70" s="676"/>
      <c r="RQ70" s="675"/>
      <c r="RR70" s="675"/>
      <c r="RS70" s="675"/>
      <c r="RT70" s="675"/>
      <c r="RU70" s="528"/>
      <c r="RV70" s="700"/>
      <c r="RW70" s="675"/>
      <c r="RX70" s="676"/>
      <c r="RY70" s="675"/>
      <c r="RZ70" s="675"/>
      <c r="SA70" s="675"/>
      <c r="SB70" s="675"/>
      <c r="SC70" s="528"/>
      <c r="SD70" s="700"/>
      <c r="SE70" s="675"/>
      <c r="SF70" s="676"/>
      <c r="SG70" s="675"/>
      <c r="SH70" s="675"/>
      <c r="SI70" s="675"/>
      <c r="SJ70" s="675"/>
      <c r="SK70" s="528"/>
      <c r="SL70" s="700"/>
      <c r="SM70" s="675"/>
      <c r="SN70" s="676"/>
      <c r="SO70" s="675"/>
      <c r="SP70" s="675"/>
      <c r="SQ70" s="675"/>
      <c r="SR70" s="675"/>
      <c r="SS70" s="528"/>
      <c r="ST70" s="700"/>
      <c r="SU70" s="675"/>
      <c r="SV70" s="676"/>
      <c r="SW70" s="675"/>
      <c r="SX70" s="675"/>
      <c r="SY70" s="675"/>
      <c r="SZ70" s="675"/>
      <c r="TA70" s="528"/>
      <c r="TB70" s="700"/>
      <c r="TC70" s="675"/>
      <c r="TD70" s="676"/>
      <c r="TE70" s="675"/>
      <c r="TF70" s="675"/>
      <c r="TG70" s="675"/>
      <c r="TH70" s="675"/>
      <c r="TI70" s="528"/>
    </row>
    <row r="71" spans="2:529">
      <c r="B71" s="145"/>
      <c r="C71" s="146"/>
      <c r="D71" s="137" t="s">
        <v>14</v>
      </c>
      <c r="E71" s="138">
        <v>115</v>
      </c>
      <c r="F71" s="170">
        <v>1.7825454545454547</v>
      </c>
      <c r="G71" s="140">
        <f t="shared" si="247"/>
        <v>204.99272727272728</v>
      </c>
      <c r="H71" s="147">
        <f>SUM(G70:G71)</f>
        <v>204.99272727272728</v>
      </c>
      <c r="I71" s="528"/>
      <c r="J71" s="145"/>
      <c r="K71" s="146"/>
      <c r="L71" s="137" t="s">
        <v>14</v>
      </c>
      <c r="M71" s="138">
        <v>140</v>
      </c>
      <c r="N71" s="170">
        <v>1.7825454545454547</v>
      </c>
      <c r="O71" s="140">
        <f t="shared" si="248"/>
        <v>249.55636363636364</v>
      </c>
      <c r="P71" s="147">
        <f>SUM(O70:O71)</f>
        <v>249.55636363636364</v>
      </c>
      <c r="Q71" s="528"/>
      <c r="R71" s="145"/>
      <c r="S71" s="146"/>
      <c r="T71" s="137" t="s">
        <v>14</v>
      </c>
      <c r="U71" s="138">
        <v>210</v>
      </c>
      <c r="V71" s="170">
        <v>1.7825454545454547</v>
      </c>
      <c r="W71" s="140">
        <f t="shared" si="249"/>
        <v>374.33454545454549</v>
      </c>
      <c r="X71" s="147">
        <f>SUM(W70:W71)</f>
        <v>548.06357771261003</v>
      </c>
      <c r="Y71" s="528"/>
      <c r="Z71" s="145"/>
      <c r="AA71" s="146"/>
      <c r="AB71" s="137" t="s">
        <v>14</v>
      </c>
      <c r="AC71" s="138">
        <v>480</v>
      </c>
      <c r="AD71" s="170">
        <v>1.7825454545454547</v>
      </c>
      <c r="AE71" s="140">
        <f t="shared" si="250"/>
        <v>855.62181818181818</v>
      </c>
      <c r="AF71" s="147">
        <f>SUM(AE70:AE71)</f>
        <v>855.62181818181818</v>
      </c>
      <c r="AG71" s="528"/>
      <c r="AH71" s="145"/>
      <c r="AI71" s="146"/>
      <c r="AJ71" s="137" t="s">
        <v>14</v>
      </c>
      <c r="AK71" s="138">
        <v>428</v>
      </c>
      <c r="AL71" s="170">
        <v>1.7825454545454547</v>
      </c>
      <c r="AM71" s="140">
        <f t="shared" si="251"/>
        <v>762.92945454545463</v>
      </c>
      <c r="AN71" s="147">
        <f>SUM(AM70:AM71)</f>
        <v>1322.7230029325515</v>
      </c>
      <c r="AO71" s="528"/>
      <c r="AP71" s="145"/>
      <c r="AQ71" s="146"/>
      <c r="AR71" s="137" t="s">
        <v>14</v>
      </c>
      <c r="AS71" s="138">
        <v>350</v>
      </c>
      <c r="AT71" s="170">
        <v>1.7825454545454547</v>
      </c>
      <c r="AU71" s="140">
        <f t="shared" si="252"/>
        <v>623.89090909090908</v>
      </c>
      <c r="AV71" s="147">
        <f>SUM(AU70:AU71)</f>
        <v>623.89090909090908</v>
      </c>
      <c r="AW71" s="528"/>
      <c r="AX71" s="145"/>
      <c r="AY71" s="146"/>
      <c r="AZ71" s="137" t="s">
        <v>14</v>
      </c>
      <c r="BA71" s="138"/>
      <c r="BB71" s="170">
        <v>1.7825454545454547</v>
      </c>
      <c r="BC71" s="140">
        <f t="shared" si="253"/>
        <v>0</v>
      </c>
      <c r="BD71" s="147">
        <f>SUM(BC70:BC71)</f>
        <v>0</v>
      </c>
      <c r="BE71" s="528"/>
      <c r="BF71" s="145"/>
      <c r="BG71" s="146"/>
      <c r="BH71" s="137" t="s">
        <v>14</v>
      </c>
      <c r="BI71" s="138">
        <v>80</v>
      </c>
      <c r="BJ71" s="170">
        <v>1.7825454545454547</v>
      </c>
      <c r="BK71" s="140">
        <f t="shared" si="254"/>
        <v>142.60363636363638</v>
      </c>
      <c r="BL71" s="147">
        <f>SUM(BK70:BK71)</f>
        <v>248.77137829912024</v>
      </c>
      <c r="BM71" s="528"/>
      <c r="BN71" s="145"/>
      <c r="BO71" s="146"/>
      <c r="BP71" s="137" t="s">
        <v>14</v>
      </c>
      <c r="BQ71" s="138">
        <v>0</v>
      </c>
      <c r="BR71" s="170">
        <v>1.7825454545454547</v>
      </c>
      <c r="BS71" s="140">
        <f t="shared" si="255"/>
        <v>0</v>
      </c>
      <c r="BT71" s="147">
        <f>SUM(BS70:BS71)</f>
        <v>43.432258064516127</v>
      </c>
      <c r="BU71" s="528"/>
      <c r="BV71" s="536"/>
      <c r="BW71" s="537"/>
      <c r="BX71" s="559" t="s">
        <v>14</v>
      </c>
      <c r="BY71" s="560"/>
      <c r="BZ71" s="585">
        <v>1.7825454545454547</v>
      </c>
      <c r="CA71" s="562">
        <f t="shared" si="256"/>
        <v>0</v>
      </c>
      <c r="CB71" s="566">
        <f>SUM(CA70:CA71)</f>
        <v>0</v>
      </c>
      <c r="CC71" s="528"/>
      <c r="CD71" s="536"/>
      <c r="CE71" s="537"/>
      <c r="CF71" s="559" t="s">
        <v>14</v>
      </c>
      <c r="CG71" s="560"/>
      <c r="CH71" s="585">
        <v>1.7825454545454547</v>
      </c>
      <c r="CI71" s="562">
        <f t="shared" si="257"/>
        <v>0</v>
      </c>
      <c r="CJ71" s="566">
        <f>SUM(CI70:CI71)</f>
        <v>0</v>
      </c>
      <c r="CK71" s="528"/>
      <c r="CL71" s="145"/>
      <c r="CM71" s="146"/>
      <c r="CN71" s="137" t="s">
        <v>14</v>
      </c>
      <c r="CO71" s="138"/>
      <c r="CP71" s="170">
        <v>1.7825454545454547</v>
      </c>
      <c r="CQ71" s="140">
        <f t="shared" si="258"/>
        <v>0</v>
      </c>
      <c r="CR71" s="147">
        <f>SUM(CQ70:CQ71)</f>
        <v>0</v>
      </c>
      <c r="CS71" s="528"/>
      <c r="CT71" s="145"/>
      <c r="CU71" s="146"/>
      <c r="CV71" s="137" t="s">
        <v>14</v>
      </c>
      <c r="CW71" s="138">
        <v>126</v>
      </c>
      <c r="CX71" s="170">
        <v>1.7825454545454547</v>
      </c>
      <c r="CY71" s="140">
        <f t="shared" si="259"/>
        <v>224.60072727272728</v>
      </c>
      <c r="CZ71" s="147">
        <f>SUM(CY70:CY71)</f>
        <v>224.60072727272728</v>
      </c>
      <c r="DA71" s="528"/>
      <c r="DB71" s="145"/>
      <c r="DC71" s="146"/>
      <c r="DD71" s="137" t="s">
        <v>14</v>
      </c>
      <c r="DE71" s="138"/>
      <c r="DF71" s="170">
        <v>1.7825454545454547</v>
      </c>
      <c r="DG71" s="140">
        <f t="shared" si="260"/>
        <v>0</v>
      </c>
      <c r="DH71" s="147">
        <f>SUM(DG70:DG71)</f>
        <v>0</v>
      </c>
      <c r="DI71" s="528"/>
      <c r="DJ71" s="145"/>
      <c r="DK71" s="146"/>
      <c r="DL71" s="137" t="s">
        <v>14</v>
      </c>
      <c r="DM71" s="138">
        <v>17</v>
      </c>
      <c r="DN71" s="170">
        <v>1.7825454545454547</v>
      </c>
      <c r="DO71" s="140">
        <f t="shared" si="261"/>
        <v>30.303272727272731</v>
      </c>
      <c r="DP71" s="147">
        <f>SUM(DO70:DO71)</f>
        <v>271.59359530791784</v>
      </c>
      <c r="DQ71" s="528"/>
      <c r="DR71" s="145"/>
      <c r="DS71" s="146"/>
      <c r="DT71" s="137" t="s">
        <v>14</v>
      </c>
      <c r="DU71" s="138">
        <v>97</v>
      </c>
      <c r="DV71" s="170">
        <v>1.7825454545454547</v>
      </c>
      <c r="DW71" s="140">
        <f t="shared" si="262"/>
        <v>172.9069090909091</v>
      </c>
      <c r="DX71" s="147">
        <f>SUM(DW70:DW71)</f>
        <v>245.29400586510263</v>
      </c>
      <c r="DY71" s="528"/>
      <c r="DZ71" s="145"/>
      <c r="EA71" s="146"/>
      <c r="EB71" s="137" t="s">
        <v>14</v>
      </c>
      <c r="EC71" s="138">
        <v>87</v>
      </c>
      <c r="ED71" s="170">
        <v>1.7825454545454547</v>
      </c>
      <c r="EE71" s="140">
        <f t="shared" si="263"/>
        <v>155.08145454545456</v>
      </c>
      <c r="EF71" s="147">
        <f>SUM(EE70:EE71)</f>
        <v>367.41693841642228</v>
      </c>
      <c r="EG71" s="528"/>
      <c r="EH71" s="145"/>
      <c r="EI71" s="146"/>
      <c r="EJ71" s="137" t="s">
        <v>14</v>
      </c>
      <c r="EK71" s="138">
        <v>566</v>
      </c>
      <c r="EL71" s="170">
        <v>1.7825454545454547</v>
      </c>
      <c r="EM71" s="140">
        <f t="shared" si="264"/>
        <v>1008.9207272727274</v>
      </c>
      <c r="EN71" s="147">
        <f>SUM(EM70:EM71)</f>
        <v>1119.9142756598242</v>
      </c>
      <c r="EO71" s="528"/>
      <c r="EP71" s="145"/>
      <c r="EQ71" s="146"/>
      <c r="ER71" s="137" t="s">
        <v>14</v>
      </c>
      <c r="ES71" s="138">
        <v>428</v>
      </c>
      <c r="ET71" s="170">
        <v>1.7825454545454547</v>
      </c>
      <c r="EU71" s="140">
        <f t="shared" si="265"/>
        <v>762.92945454545463</v>
      </c>
      <c r="EV71" s="147">
        <f>SUM(EU70:EU71)</f>
        <v>1322.7230029325515</v>
      </c>
      <c r="EW71" s="528"/>
      <c r="EX71" s="145"/>
      <c r="EY71" s="146"/>
      <c r="EZ71" s="137" t="s">
        <v>14</v>
      </c>
      <c r="FA71" s="138"/>
      <c r="FB71" s="170">
        <v>1.7825454545454547</v>
      </c>
      <c r="FC71" s="140">
        <f t="shared" si="266"/>
        <v>0</v>
      </c>
      <c r="FD71" s="147">
        <f>SUM(FC70:FC71)</f>
        <v>0</v>
      </c>
      <c r="FE71" s="528"/>
      <c r="FF71" s="145"/>
      <c r="FG71" s="146"/>
      <c r="FH71" s="137" t="s">
        <v>14</v>
      </c>
      <c r="FI71" s="138"/>
      <c r="FJ71" s="170">
        <v>1.7825454545454547</v>
      </c>
      <c r="FK71" s="140">
        <f t="shared" si="267"/>
        <v>0</v>
      </c>
      <c r="FL71" s="147">
        <f>SUM(FK70:FK71)</f>
        <v>0</v>
      </c>
      <c r="FM71" s="528"/>
      <c r="FN71" s="145"/>
      <c r="FO71" s="146"/>
      <c r="FP71" s="137" t="s">
        <v>14</v>
      </c>
      <c r="FQ71" s="138"/>
      <c r="FR71" s="170">
        <v>1.7825454545454547</v>
      </c>
      <c r="FS71" s="140">
        <f t="shared" si="268"/>
        <v>0</v>
      </c>
      <c r="FT71" s="147">
        <f>SUM(FS70:FS71)</f>
        <v>0</v>
      </c>
      <c r="FU71" s="528"/>
      <c r="FV71" s="145"/>
      <c r="FW71" s="146"/>
      <c r="FX71" s="137" t="s">
        <v>14</v>
      </c>
      <c r="FY71" s="138"/>
      <c r="FZ71" s="170">
        <v>1.7825454545454547</v>
      </c>
      <c r="GA71" s="140">
        <f t="shared" si="269"/>
        <v>0</v>
      </c>
      <c r="GB71" s="147">
        <f>SUM(GA70:GA71)</f>
        <v>0</v>
      </c>
      <c r="GC71" s="528"/>
      <c r="GD71" s="145"/>
      <c r="GE71" s="146"/>
      <c r="GF71" s="137" t="s">
        <v>14</v>
      </c>
      <c r="GG71" s="138"/>
      <c r="GH71" s="170">
        <v>1.7825454545454547</v>
      </c>
      <c r="GI71" s="140">
        <f t="shared" si="270"/>
        <v>0</v>
      </c>
      <c r="GJ71" s="147">
        <f>SUM(GI70:GI71)</f>
        <v>0</v>
      </c>
      <c r="GK71" s="528"/>
      <c r="GL71" s="145"/>
      <c r="GM71" s="146"/>
      <c r="GN71" s="137" t="s">
        <v>14</v>
      </c>
      <c r="GO71" s="138">
        <f>'[1]Jan_18_Vol weekly-Data-Entry'!$G$226</f>
        <v>0</v>
      </c>
      <c r="GP71" s="170">
        <v>1.7825454545454547</v>
      </c>
      <c r="GQ71" s="140">
        <f t="shared" si="271"/>
        <v>0</v>
      </c>
      <c r="GR71" s="147">
        <f>SUM(GQ70:GQ71)</f>
        <v>0</v>
      </c>
      <c r="GS71" s="528"/>
      <c r="GT71" s="145"/>
      <c r="GU71" s="146"/>
      <c r="GV71" s="137" t="s">
        <v>14</v>
      </c>
      <c r="GW71" s="138">
        <v>350</v>
      </c>
      <c r="GX71" s="170">
        <v>1.7825454545454547</v>
      </c>
      <c r="GY71" s="140">
        <f t="shared" si="272"/>
        <v>623.89090909090908</v>
      </c>
      <c r="GZ71" s="147">
        <f>SUM(GY70:GY71)</f>
        <v>623.89090909090908</v>
      </c>
      <c r="HA71" s="528"/>
      <c r="HB71" s="145"/>
      <c r="HC71" s="146"/>
      <c r="HD71" s="137" t="s">
        <v>14</v>
      </c>
      <c r="HE71" s="138">
        <v>210</v>
      </c>
      <c r="HF71" s="170">
        <v>1.7825454545454547</v>
      </c>
      <c r="HG71" s="140">
        <f t="shared" si="273"/>
        <v>374.33454545454549</v>
      </c>
      <c r="HH71" s="147">
        <f>SUM(HG70:HG71)</f>
        <v>548.06357771261003</v>
      </c>
      <c r="HI71" s="528"/>
      <c r="HJ71" s="145"/>
      <c r="HK71" s="146"/>
      <c r="HL71" s="137" t="s">
        <v>14</v>
      </c>
      <c r="HM71" s="138">
        <v>70</v>
      </c>
      <c r="HN71" s="170">
        <v>1.7825454545454547</v>
      </c>
      <c r="HO71" s="140">
        <f t="shared" si="274"/>
        <v>124.77818181818182</v>
      </c>
      <c r="HP71" s="147">
        <f>SUM(HO70:HO71)</f>
        <v>124.77818181818182</v>
      </c>
      <c r="HQ71" s="528"/>
      <c r="HR71" s="145"/>
      <c r="HS71" s="146"/>
      <c r="HT71" s="137" t="s">
        <v>14</v>
      </c>
      <c r="HU71" s="138">
        <v>22</v>
      </c>
      <c r="HV71" s="170">
        <v>1.7825454545454547</v>
      </c>
      <c r="HW71" s="140">
        <f t="shared" si="275"/>
        <v>39.216000000000001</v>
      </c>
      <c r="HX71" s="147">
        <f>SUM(HW70:HW71)</f>
        <v>758.26116129032255</v>
      </c>
      <c r="HY71" s="528"/>
      <c r="HZ71" s="145"/>
      <c r="IA71" s="146"/>
      <c r="IB71" s="137" t="s">
        <v>14</v>
      </c>
      <c r="IC71" s="138">
        <v>22</v>
      </c>
      <c r="ID71" s="170">
        <v>1.7825454545454547</v>
      </c>
      <c r="IE71" s="140">
        <f t="shared" si="276"/>
        <v>39.216000000000001</v>
      </c>
      <c r="IF71" s="147">
        <f>SUM(IE70:IE71)</f>
        <v>758.26116129032255</v>
      </c>
      <c r="IG71" s="528"/>
      <c r="IH71" s="145"/>
      <c r="II71" s="146"/>
      <c r="IJ71" s="137" t="s">
        <v>14</v>
      </c>
      <c r="IK71" s="138">
        <v>159</v>
      </c>
      <c r="IL71" s="170">
        <v>1.7825454545454547</v>
      </c>
      <c r="IM71" s="140">
        <f t="shared" si="277"/>
        <v>283.4247272727273</v>
      </c>
      <c r="IN71" s="147">
        <f>SUM(IM70:IM71)</f>
        <v>283.4247272727273</v>
      </c>
      <c r="IO71" s="528"/>
      <c r="IP71" s="145"/>
      <c r="IQ71" s="146"/>
      <c r="IR71" s="137" t="s">
        <v>14</v>
      </c>
      <c r="IS71" s="138">
        <v>856</v>
      </c>
      <c r="IT71" s="170">
        <v>1.7825454545454547</v>
      </c>
      <c r="IU71" s="140">
        <f t="shared" si="278"/>
        <v>1525.8589090909093</v>
      </c>
      <c r="IV71" s="147">
        <f>SUM(IU70:IU71)</f>
        <v>1559.6395542521996</v>
      </c>
      <c r="IW71" s="528"/>
      <c r="IX71" s="145"/>
      <c r="IY71" s="146"/>
      <c r="IZ71" s="137" t="s">
        <v>14</v>
      </c>
      <c r="JA71" s="138">
        <v>438</v>
      </c>
      <c r="JB71" s="170">
        <v>1.7825454545454547</v>
      </c>
      <c r="JC71" s="140">
        <f t="shared" si="279"/>
        <v>780.75490909090911</v>
      </c>
      <c r="JD71" s="147">
        <f>SUM(JC70:JC71)</f>
        <v>780.75490909090911</v>
      </c>
      <c r="JE71" s="528"/>
      <c r="JF71" s="145"/>
      <c r="JG71" s="146"/>
      <c r="JH71" s="137" t="s">
        <v>14</v>
      </c>
      <c r="JI71" s="138">
        <v>0</v>
      </c>
      <c r="JJ71" s="170">
        <v>1.7825454545454547</v>
      </c>
      <c r="JK71" s="140">
        <f t="shared" si="280"/>
        <v>0</v>
      </c>
      <c r="JL71" s="147">
        <f>SUM(JK70:JK71)</f>
        <v>19.303225806451611</v>
      </c>
      <c r="JM71" s="528"/>
      <c r="JN71" s="145"/>
      <c r="JO71" s="146"/>
      <c r="JP71" s="137" t="s">
        <v>14</v>
      </c>
      <c r="JQ71" s="138">
        <v>27</v>
      </c>
      <c r="JR71" s="170">
        <v>1.7825454545454547</v>
      </c>
      <c r="JS71" s="140">
        <f t="shared" si="281"/>
        <v>48.128727272727275</v>
      </c>
      <c r="JT71" s="147">
        <f>SUM(JS70:JS71)</f>
        <v>86.735178885630489</v>
      </c>
      <c r="JU71" s="528"/>
      <c r="JV71" s="145"/>
      <c r="JW71" s="146"/>
      <c r="JX71" s="137" t="s">
        <v>14</v>
      </c>
      <c r="JY71" s="138">
        <v>184</v>
      </c>
      <c r="JZ71" s="170">
        <v>1.7825454545454547</v>
      </c>
      <c r="KA71" s="140">
        <f t="shared" si="282"/>
        <v>327.98836363636366</v>
      </c>
      <c r="KB71" s="147">
        <f>SUM(KA70:KA71)</f>
        <v>419.67868621700882</v>
      </c>
      <c r="KC71" s="528"/>
      <c r="KD71" s="145"/>
      <c r="KE71" s="146"/>
      <c r="KF71" s="137" t="s">
        <v>14</v>
      </c>
      <c r="KG71" s="138">
        <v>0</v>
      </c>
      <c r="KH71" s="170">
        <v>1.7825454545454547</v>
      </c>
      <c r="KI71" s="140">
        <f t="shared" si="283"/>
        <v>0</v>
      </c>
      <c r="KJ71" s="147">
        <f>SUM(KI70:KI71)</f>
        <v>554.96774193548379</v>
      </c>
      <c r="KK71" s="528"/>
      <c r="KL71" s="145"/>
      <c r="KM71" s="146"/>
      <c r="KN71" s="137" t="s">
        <v>14</v>
      </c>
      <c r="KO71" s="138">
        <v>0</v>
      </c>
      <c r="KP71" s="170">
        <v>1.7825454545454547</v>
      </c>
      <c r="KQ71" s="140">
        <f t="shared" si="284"/>
        <v>0</v>
      </c>
      <c r="KR71" s="147">
        <f>SUM(KQ70:KQ71)</f>
        <v>0</v>
      </c>
      <c r="KS71" s="528"/>
      <c r="KT71" s="145"/>
      <c r="KU71" s="146"/>
      <c r="KV71" s="137" t="s">
        <v>14</v>
      </c>
      <c r="KW71" s="138">
        <v>557</v>
      </c>
      <c r="KX71" s="170">
        <v>1.7825454545454547</v>
      </c>
      <c r="KY71" s="140">
        <f t="shared" si="285"/>
        <v>992.87781818181827</v>
      </c>
      <c r="KZ71" s="147">
        <f>SUM(KY70:KY71)</f>
        <v>997.70362463343122</v>
      </c>
      <c r="LA71" s="528"/>
      <c r="LB71" s="145"/>
      <c r="LC71" s="146"/>
      <c r="LD71" s="137" t="s">
        <v>14</v>
      </c>
      <c r="LE71" s="138">
        <v>82</v>
      </c>
      <c r="LF71" s="170">
        <v>1.7825454545454547</v>
      </c>
      <c r="LG71" s="140">
        <f t="shared" si="286"/>
        <v>146.1687272727273</v>
      </c>
      <c r="LH71" s="147">
        <f>SUM(LG70:LG71)</f>
        <v>1024.4655014662756</v>
      </c>
      <c r="LI71" s="528"/>
      <c r="LJ71" s="145"/>
      <c r="LK71" s="146"/>
      <c r="LL71" s="137" t="s">
        <v>14</v>
      </c>
      <c r="LM71" s="175">
        <v>1047</v>
      </c>
      <c r="LN71" s="139">
        <v>1.7825454545454547</v>
      </c>
      <c r="LO71" s="140">
        <f t="shared" si="287"/>
        <v>1866.3250909090909</v>
      </c>
      <c r="LP71" s="147">
        <f>SUM(LO70:LO71)</f>
        <v>1904.9315425219941</v>
      </c>
      <c r="LQ71" s="528"/>
      <c r="LR71" s="145"/>
      <c r="LS71" s="146"/>
      <c r="LT71" s="137" t="s">
        <v>14</v>
      </c>
      <c r="LU71" s="175">
        <v>644</v>
      </c>
      <c r="LV71" s="139">
        <v>1.7825454545454547</v>
      </c>
      <c r="LW71" s="140">
        <f t="shared" si="288"/>
        <v>1147.9592727272727</v>
      </c>
      <c r="LX71" s="147">
        <f>SUM(LW70:LW71)</f>
        <v>1167.2624985337243</v>
      </c>
      <c r="LY71" s="528"/>
      <c r="LZ71" s="145"/>
      <c r="MA71" s="146"/>
      <c r="MB71" s="137" t="s">
        <v>14</v>
      </c>
      <c r="MC71" s="175">
        <v>153</v>
      </c>
      <c r="MD71" s="139">
        <v>1.7825454545454547</v>
      </c>
      <c r="ME71" s="140">
        <f t="shared" si="289"/>
        <v>272.72945454545459</v>
      </c>
      <c r="MF71" s="147">
        <f>SUM(ME70:ME71)</f>
        <v>653.96816422287384</v>
      </c>
      <c r="MG71" s="528"/>
      <c r="MH71" s="145"/>
      <c r="MI71" s="146"/>
      <c r="MJ71" s="137" t="s">
        <v>14</v>
      </c>
      <c r="MK71" s="175">
        <v>88</v>
      </c>
      <c r="ML71" s="139">
        <v>1.7825454545454547</v>
      </c>
      <c r="MM71" s="140">
        <f t="shared" si="290"/>
        <v>156.864</v>
      </c>
      <c r="MN71" s="147">
        <f>SUM(MM70:MM71)</f>
        <v>258.20593548387097</v>
      </c>
      <c r="MO71" s="528"/>
      <c r="MP71" s="145"/>
      <c r="MQ71" s="146"/>
      <c r="MR71" s="137" t="s">
        <v>14</v>
      </c>
      <c r="MS71" s="175">
        <v>17</v>
      </c>
      <c r="MT71" s="139">
        <v>1.7825454545454547</v>
      </c>
      <c r="MU71" s="140">
        <f t="shared" si="291"/>
        <v>30.303272727272731</v>
      </c>
      <c r="MV71" s="147">
        <f>SUM(MU70:MU71)</f>
        <v>126.81940175953078</v>
      </c>
      <c r="MW71" s="528"/>
      <c r="MX71" s="701"/>
      <c r="MY71" s="666"/>
      <c r="MZ71" s="666"/>
      <c r="NA71" s="666"/>
      <c r="NB71" s="666"/>
      <c r="NC71" s="666"/>
      <c r="ND71" s="666"/>
      <c r="NE71" s="528"/>
      <c r="NF71" s="701"/>
      <c r="NG71" s="666"/>
      <c r="NH71" s="666"/>
      <c r="NI71" s="666"/>
      <c r="NJ71" s="666"/>
      <c r="NK71" s="666"/>
      <c r="NL71" s="666"/>
      <c r="NM71" s="528"/>
      <c r="NN71" s="701"/>
      <c r="NO71" s="666"/>
      <c r="NP71" s="666"/>
      <c r="NQ71" s="666"/>
      <c r="NR71" s="666"/>
      <c r="NS71" s="666"/>
      <c r="NT71" s="666"/>
      <c r="NU71" s="528"/>
      <c r="NV71" s="701"/>
      <c r="NW71" s="666"/>
      <c r="NX71" s="666"/>
      <c r="NY71" s="666"/>
      <c r="NZ71" s="666"/>
      <c r="OA71" s="666"/>
      <c r="OB71" s="666"/>
      <c r="OC71" s="528"/>
      <c r="OD71" s="701"/>
      <c r="OE71" s="666"/>
      <c r="OF71" s="666"/>
      <c r="OG71" s="666"/>
      <c r="OH71" s="666"/>
      <c r="OI71" s="666"/>
      <c r="OJ71" s="666"/>
      <c r="OK71" s="528"/>
      <c r="OL71" s="701"/>
      <c r="OM71" s="666"/>
      <c r="ON71" s="666"/>
      <c r="OO71" s="666"/>
      <c r="OP71" s="666"/>
      <c r="OQ71" s="666"/>
      <c r="OR71" s="666"/>
      <c r="OS71" s="528"/>
      <c r="OT71" s="701"/>
      <c r="OU71" s="666"/>
      <c r="OV71" s="666"/>
      <c r="OW71" s="666"/>
      <c r="OX71" s="666"/>
      <c r="OY71" s="666"/>
      <c r="OZ71" s="666"/>
      <c r="PA71" s="528"/>
      <c r="PB71" s="701"/>
      <c r="PC71" s="666"/>
      <c r="PD71" s="666"/>
      <c r="PE71" s="666"/>
      <c r="PF71" s="666"/>
      <c r="PG71" s="666"/>
      <c r="PH71" s="666"/>
      <c r="PI71" s="528"/>
      <c r="PJ71" s="701"/>
      <c r="PK71" s="666"/>
      <c r="PL71" s="666"/>
      <c r="PM71" s="666"/>
      <c r="PN71" s="666"/>
      <c r="PO71" s="666"/>
      <c r="PP71" s="666"/>
      <c r="PQ71" s="528"/>
      <c r="PR71" s="701"/>
      <c r="PS71" s="666"/>
      <c r="PT71" s="666"/>
      <c r="PU71" s="666"/>
      <c r="PV71" s="666"/>
      <c r="PW71" s="666"/>
      <c r="PX71" s="666"/>
      <c r="PY71" s="528"/>
      <c r="PZ71" s="701"/>
      <c r="QA71" s="666"/>
      <c r="QB71" s="666"/>
      <c r="QC71" s="666"/>
      <c r="QD71" s="666"/>
      <c r="QE71" s="666"/>
      <c r="QF71" s="666"/>
      <c r="QG71" s="528"/>
      <c r="QH71" s="701"/>
      <c r="QI71" s="666"/>
      <c r="QJ71" s="666"/>
      <c r="QK71" s="666"/>
      <c r="QL71" s="666"/>
      <c r="QM71" s="666"/>
      <c r="QN71" s="666"/>
      <c r="QO71" s="528"/>
      <c r="QP71" s="701"/>
      <c r="QQ71" s="666"/>
      <c r="QR71" s="666"/>
      <c r="QS71" s="666"/>
      <c r="QT71" s="666"/>
      <c r="QU71" s="666"/>
      <c r="QV71" s="666"/>
      <c r="QW71" s="528"/>
      <c r="QX71" s="701"/>
      <c r="QY71" s="666"/>
      <c r="QZ71" s="666"/>
      <c r="RA71" s="666"/>
      <c r="RB71" s="666"/>
      <c r="RC71" s="666"/>
      <c r="RD71" s="666"/>
      <c r="RE71" s="528"/>
      <c r="RF71" s="701"/>
      <c r="RG71" s="666"/>
      <c r="RH71" s="666"/>
      <c r="RI71" s="666"/>
      <c r="RJ71" s="666"/>
      <c r="RK71" s="666"/>
      <c r="RL71" s="666"/>
      <c r="RM71" s="528"/>
      <c r="RN71" s="701"/>
      <c r="RO71" s="666"/>
      <c r="RP71" s="666"/>
      <c r="RQ71" s="666"/>
      <c r="RR71" s="666"/>
      <c r="RS71" s="666"/>
      <c r="RT71" s="666"/>
      <c r="RU71" s="528"/>
      <c r="RV71" s="701"/>
      <c r="RW71" s="666"/>
      <c r="RX71" s="666"/>
      <c r="RY71" s="666"/>
      <c r="RZ71" s="666"/>
      <c r="SA71" s="666"/>
      <c r="SB71" s="666"/>
      <c r="SC71" s="528"/>
      <c r="SD71" s="701"/>
      <c r="SE71" s="666"/>
      <c r="SF71" s="666"/>
      <c r="SG71" s="666"/>
      <c r="SH71" s="666"/>
      <c r="SI71" s="666"/>
      <c r="SJ71" s="666"/>
      <c r="SK71" s="528"/>
      <c r="SL71" s="701"/>
      <c r="SM71" s="666"/>
      <c r="SN71" s="666"/>
      <c r="SO71" s="666"/>
      <c r="SP71" s="666"/>
      <c r="SQ71" s="666"/>
      <c r="SR71" s="666"/>
      <c r="SS71" s="528"/>
      <c r="ST71" s="701"/>
      <c r="SU71" s="666"/>
      <c r="SV71" s="666"/>
      <c r="SW71" s="666"/>
      <c r="SX71" s="666"/>
      <c r="SY71" s="666"/>
      <c r="SZ71" s="666"/>
      <c r="TA71" s="528"/>
      <c r="TB71" s="701"/>
      <c r="TC71" s="666"/>
      <c r="TD71" s="666"/>
      <c r="TE71" s="666"/>
      <c r="TF71" s="666"/>
      <c r="TG71" s="666"/>
      <c r="TH71" s="666"/>
      <c r="TI71" s="528"/>
    </row>
    <row r="72" spans="2:529">
      <c r="B72" s="143" t="s">
        <v>69</v>
      </c>
      <c r="C72" s="144">
        <v>22</v>
      </c>
      <c r="D72" s="137" t="s">
        <v>70</v>
      </c>
      <c r="E72" s="138">
        <v>89</v>
      </c>
      <c r="F72" s="171">
        <v>9.9903614457831331</v>
      </c>
      <c r="G72" s="140">
        <f t="shared" si="247"/>
        <v>889.14216867469884</v>
      </c>
      <c r="H72" s="149"/>
      <c r="I72" s="528"/>
      <c r="J72" s="143" t="s">
        <v>69</v>
      </c>
      <c r="K72" s="144">
        <v>5</v>
      </c>
      <c r="L72" s="137" t="s">
        <v>70</v>
      </c>
      <c r="M72" s="138">
        <v>37</v>
      </c>
      <c r="N72" s="171">
        <v>9.9903614457831331</v>
      </c>
      <c r="O72" s="140">
        <f t="shared" si="248"/>
        <v>369.6433734939759</v>
      </c>
      <c r="P72" s="149"/>
      <c r="Q72" s="528"/>
      <c r="R72" s="143" t="s">
        <v>69</v>
      </c>
      <c r="S72" s="144">
        <v>16</v>
      </c>
      <c r="T72" s="137" t="s">
        <v>70</v>
      </c>
      <c r="U72" s="138">
        <v>85</v>
      </c>
      <c r="V72" s="171">
        <v>9.9903614457831331</v>
      </c>
      <c r="W72" s="140">
        <f t="shared" si="249"/>
        <v>849.18072289156635</v>
      </c>
      <c r="X72" s="149"/>
      <c r="Y72" s="528"/>
      <c r="Z72" s="143" t="s">
        <v>69</v>
      </c>
      <c r="AA72" s="144">
        <v>15</v>
      </c>
      <c r="AB72" s="137" t="s">
        <v>70</v>
      </c>
      <c r="AC72" s="138">
        <v>86</v>
      </c>
      <c r="AD72" s="171">
        <v>9.9903614457831331</v>
      </c>
      <c r="AE72" s="140">
        <f t="shared" si="250"/>
        <v>859.1710843373495</v>
      </c>
      <c r="AF72" s="149"/>
      <c r="AG72" s="528"/>
      <c r="AH72" s="143" t="s">
        <v>69</v>
      </c>
      <c r="AI72" s="144">
        <v>12</v>
      </c>
      <c r="AJ72" s="137" t="s">
        <v>70</v>
      </c>
      <c r="AK72" s="138">
        <v>34</v>
      </c>
      <c r="AL72" s="171">
        <v>9.9903614457831331</v>
      </c>
      <c r="AM72" s="140">
        <f t="shared" si="251"/>
        <v>339.6722891566265</v>
      </c>
      <c r="AN72" s="149"/>
      <c r="AO72" s="528"/>
      <c r="AP72" s="143" t="s">
        <v>69</v>
      </c>
      <c r="AQ72" s="144">
        <v>12</v>
      </c>
      <c r="AR72" s="137" t="s">
        <v>70</v>
      </c>
      <c r="AS72" s="138">
        <v>78</v>
      </c>
      <c r="AT72" s="171">
        <v>9.9903614457831331</v>
      </c>
      <c r="AU72" s="140">
        <f t="shared" si="252"/>
        <v>779.2481927710844</v>
      </c>
      <c r="AV72" s="149"/>
      <c r="AW72" s="528"/>
      <c r="AX72" s="143" t="s">
        <v>69</v>
      </c>
      <c r="AY72" s="144"/>
      <c r="AZ72" s="137" t="s">
        <v>70</v>
      </c>
      <c r="BA72" s="138"/>
      <c r="BB72" s="171">
        <v>9.9903614457831331</v>
      </c>
      <c r="BC72" s="140">
        <f t="shared" si="253"/>
        <v>0</v>
      </c>
      <c r="BD72" s="149"/>
      <c r="BE72" s="528"/>
      <c r="BF72" s="143" t="s">
        <v>69</v>
      </c>
      <c r="BG72" s="144">
        <v>11</v>
      </c>
      <c r="BH72" s="137" t="s">
        <v>70</v>
      </c>
      <c r="BI72" s="138">
        <v>70</v>
      </c>
      <c r="BJ72" s="171">
        <v>9.9903614457831331</v>
      </c>
      <c r="BK72" s="140">
        <f t="shared" si="254"/>
        <v>699.32530120481931</v>
      </c>
      <c r="BL72" s="149"/>
      <c r="BM72" s="528"/>
      <c r="BN72" s="143" t="s">
        <v>69</v>
      </c>
      <c r="BO72" s="144">
        <v>5</v>
      </c>
      <c r="BP72" s="137" t="s">
        <v>70</v>
      </c>
      <c r="BQ72" s="138">
        <v>35</v>
      </c>
      <c r="BR72" s="171">
        <v>9.9903614457831331</v>
      </c>
      <c r="BS72" s="140">
        <f t="shared" si="255"/>
        <v>349.66265060240966</v>
      </c>
      <c r="BT72" s="149"/>
      <c r="BU72" s="528"/>
      <c r="BV72" s="564" t="s">
        <v>69</v>
      </c>
      <c r="BW72" s="565"/>
      <c r="BX72" s="559" t="s">
        <v>70</v>
      </c>
      <c r="BY72" s="560"/>
      <c r="BZ72" s="586">
        <v>9.9903614457831331</v>
      </c>
      <c r="CA72" s="562">
        <f t="shared" si="256"/>
        <v>0</v>
      </c>
      <c r="CB72" s="568"/>
      <c r="CC72" s="528"/>
      <c r="CD72" s="564" t="s">
        <v>69</v>
      </c>
      <c r="CE72" s="565"/>
      <c r="CF72" s="559" t="s">
        <v>70</v>
      </c>
      <c r="CG72" s="560"/>
      <c r="CH72" s="586">
        <v>9.9903614457831331</v>
      </c>
      <c r="CI72" s="562">
        <f t="shared" si="257"/>
        <v>0</v>
      </c>
      <c r="CJ72" s="568"/>
      <c r="CK72" s="528"/>
      <c r="CL72" s="143" t="s">
        <v>69</v>
      </c>
      <c r="CM72" s="144"/>
      <c r="CN72" s="137" t="s">
        <v>70</v>
      </c>
      <c r="CO72" s="138"/>
      <c r="CP72" s="171">
        <v>9.9903614457831331</v>
      </c>
      <c r="CQ72" s="140">
        <f t="shared" si="258"/>
        <v>0</v>
      </c>
      <c r="CR72" s="149"/>
      <c r="CS72" s="528"/>
      <c r="CT72" s="143" t="s">
        <v>69</v>
      </c>
      <c r="CU72" s="144">
        <v>9</v>
      </c>
      <c r="CV72" s="137" t="s">
        <v>70</v>
      </c>
      <c r="CW72" s="138">
        <v>67</v>
      </c>
      <c r="CX72" s="171">
        <v>9.9903614457831331</v>
      </c>
      <c r="CY72" s="140">
        <f t="shared" si="259"/>
        <v>669.35421686746997</v>
      </c>
      <c r="CZ72" s="149"/>
      <c r="DA72" s="528"/>
      <c r="DB72" s="143" t="s">
        <v>69</v>
      </c>
      <c r="DC72" s="144"/>
      <c r="DD72" s="137" t="s">
        <v>70</v>
      </c>
      <c r="DE72" s="138"/>
      <c r="DF72" s="171">
        <v>9.9903614457831331</v>
      </c>
      <c r="DG72" s="140">
        <f t="shared" si="260"/>
        <v>0</v>
      </c>
      <c r="DH72" s="149"/>
      <c r="DI72" s="528"/>
      <c r="DJ72" s="143" t="s">
        <v>69</v>
      </c>
      <c r="DK72" s="144">
        <v>39</v>
      </c>
      <c r="DL72" s="137" t="s">
        <v>70</v>
      </c>
      <c r="DM72" s="138">
        <v>212</v>
      </c>
      <c r="DN72" s="171">
        <v>9.9903614457831331</v>
      </c>
      <c r="DO72" s="140">
        <f t="shared" si="261"/>
        <v>2117.9566265060243</v>
      </c>
      <c r="DP72" s="149"/>
      <c r="DQ72" s="528"/>
      <c r="DR72" s="143" t="s">
        <v>69</v>
      </c>
      <c r="DS72" s="144">
        <v>44</v>
      </c>
      <c r="DT72" s="137" t="s">
        <v>70</v>
      </c>
      <c r="DU72" s="138">
        <v>283</v>
      </c>
      <c r="DV72" s="171">
        <v>9.9903614457831331</v>
      </c>
      <c r="DW72" s="140">
        <f t="shared" si="262"/>
        <v>2827.2722891566268</v>
      </c>
      <c r="DX72" s="149"/>
      <c r="DY72" s="528"/>
      <c r="DZ72" s="143" t="s">
        <v>69</v>
      </c>
      <c r="EA72" s="144">
        <v>25</v>
      </c>
      <c r="EB72" s="137" t="s">
        <v>70</v>
      </c>
      <c r="EC72" s="138">
        <v>113</v>
      </c>
      <c r="ED72" s="171">
        <v>9.9903614457831331</v>
      </c>
      <c r="EE72" s="140">
        <f t="shared" si="263"/>
        <v>1128.9108433734941</v>
      </c>
      <c r="EF72" s="149"/>
      <c r="EG72" s="528"/>
      <c r="EH72" s="143" t="s">
        <v>69</v>
      </c>
      <c r="EI72" s="144">
        <v>39</v>
      </c>
      <c r="EJ72" s="137" t="s">
        <v>70</v>
      </c>
      <c r="EK72" s="138">
        <v>232</v>
      </c>
      <c r="EL72" s="171">
        <v>9.9903614457831331</v>
      </c>
      <c r="EM72" s="140">
        <f t="shared" si="264"/>
        <v>2317.7638554216869</v>
      </c>
      <c r="EN72" s="149"/>
      <c r="EO72" s="528"/>
      <c r="EP72" s="143" t="s">
        <v>69</v>
      </c>
      <c r="EQ72" s="144">
        <v>8</v>
      </c>
      <c r="ER72" s="137" t="s">
        <v>70</v>
      </c>
      <c r="ES72" s="138">
        <v>34</v>
      </c>
      <c r="ET72" s="171">
        <v>9.9903614457831331</v>
      </c>
      <c r="EU72" s="140">
        <f t="shared" si="265"/>
        <v>339.6722891566265</v>
      </c>
      <c r="EV72" s="149"/>
      <c r="EW72" s="528"/>
      <c r="EX72" s="143" t="s">
        <v>69</v>
      </c>
      <c r="EY72" s="144"/>
      <c r="EZ72" s="137" t="s">
        <v>70</v>
      </c>
      <c r="FA72" s="138"/>
      <c r="FB72" s="171">
        <v>9.9903614457831331</v>
      </c>
      <c r="FC72" s="140">
        <f t="shared" si="266"/>
        <v>0</v>
      </c>
      <c r="FD72" s="149"/>
      <c r="FE72" s="528"/>
      <c r="FF72" s="143" t="s">
        <v>69</v>
      </c>
      <c r="FG72" s="144"/>
      <c r="FH72" s="137" t="s">
        <v>70</v>
      </c>
      <c r="FI72" s="138"/>
      <c r="FJ72" s="171">
        <v>9.9903614457831331</v>
      </c>
      <c r="FK72" s="140">
        <f t="shared" si="267"/>
        <v>0</v>
      </c>
      <c r="FL72" s="149"/>
      <c r="FM72" s="528"/>
      <c r="FN72" s="143" t="s">
        <v>69</v>
      </c>
      <c r="FO72" s="144"/>
      <c r="FP72" s="137" t="s">
        <v>70</v>
      </c>
      <c r="FQ72" s="138"/>
      <c r="FR72" s="171">
        <v>9.9903614457831331</v>
      </c>
      <c r="FS72" s="140">
        <f t="shared" si="268"/>
        <v>0</v>
      </c>
      <c r="FT72" s="149"/>
      <c r="FU72" s="528"/>
      <c r="FV72" s="143" t="s">
        <v>69</v>
      </c>
      <c r="FW72" s="144"/>
      <c r="FX72" s="137" t="s">
        <v>70</v>
      </c>
      <c r="FY72" s="138"/>
      <c r="FZ72" s="171">
        <v>9.9903614457831331</v>
      </c>
      <c r="GA72" s="140">
        <f t="shared" si="269"/>
        <v>0</v>
      </c>
      <c r="GB72" s="149"/>
      <c r="GC72" s="528"/>
      <c r="GD72" s="143" t="s">
        <v>69</v>
      </c>
      <c r="GE72" s="144"/>
      <c r="GF72" s="137" t="s">
        <v>70</v>
      </c>
      <c r="GG72" s="138"/>
      <c r="GH72" s="171">
        <v>9.9903614457831331</v>
      </c>
      <c r="GI72" s="140">
        <f t="shared" si="270"/>
        <v>0</v>
      </c>
      <c r="GJ72" s="149"/>
      <c r="GK72" s="528"/>
      <c r="GL72" s="143" t="s">
        <v>69</v>
      </c>
      <c r="GM72" s="144">
        <v>9</v>
      </c>
      <c r="GN72" s="137" t="s">
        <v>70</v>
      </c>
      <c r="GO72" s="138">
        <f>'[1]Jan_18_Vol weekly-Data-Entry'!$I$226</f>
        <v>0</v>
      </c>
      <c r="GP72" s="171">
        <v>9.9903614457831331</v>
      </c>
      <c r="GQ72" s="140">
        <f t="shared" si="271"/>
        <v>0</v>
      </c>
      <c r="GR72" s="149"/>
      <c r="GS72" s="528"/>
      <c r="GT72" s="143" t="s">
        <v>69</v>
      </c>
      <c r="GU72" s="144">
        <v>1</v>
      </c>
      <c r="GV72" s="137" t="s">
        <v>70</v>
      </c>
      <c r="GW72" s="138">
        <v>0</v>
      </c>
      <c r="GX72" s="171">
        <v>9.9903614457831331</v>
      </c>
      <c r="GY72" s="140">
        <f t="shared" si="272"/>
        <v>0</v>
      </c>
      <c r="GZ72" s="149"/>
      <c r="HA72" s="528"/>
      <c r="HB72" s="143" t="s">
        <v>69</v>
      </c>
      <c r="HC72" s="144">
        <v>10</v>
      </c>
      <c r="HD72" s="137" t="s">
        <v>70</v>
      </c>
      <c r="HE72" s="138">
        <v>85</v>
      </c>
      <c r="HF72" s="171">
        <v>9.9903614457831331</v>
      </c>
      <c r="HG72" s="140">
        <f t="shared" si="273"/>
        <v>849.18072289156635</v>
      </c>
      <c r="HH72" s="149"/>
      <c r="HI72" s="528"/>
      <c r="HJ72" s="143" t="s">
        <v>69</v>
      </c>
      <c r="HK72" s="144">
        <v>25</v>
      </c>
      <c r="HL72" s="137" t="s">
        <v>70</v>
      </c>
      <c r="HM72" s="138">
        <v>181</v>
      </c>
      <c r="HN72" s="171">
        <v>9.9903614457831331</v>
      </c>
      <c r="HO72" s="140">
        <f t="shared" si="274"/>
        <v>1808.255421686747</v>
      </c>
      <c r="HP72" s="149"/>
      <c r="HQ72" s="528"/>
      <c r="HR72" s="143" t="s">
        <v>69</v>
      </c>
      <c r="HS72" s="144">
        <v>19</v>
      </c>
      <c r="HT72" s="137" t="s">
        <v>70</v>
      </c>
      <c r="HU72" s="138">
        <v>99</v>
      </c>
      <c r="HV72" s="171">
        <v>9.9903614457831331</v>
      </c>
      <c r="HW72" s="140">
        <f t="shared" si="275"/>
        <v>989.04578313253023</v>
      </c>
      <c r="HX72" s="149"/>
      <c r="HY72" s="528"/>
      <c r="HZ72" s="143" t="s">
        <v>69</v>
      </c>
      <c r="IA72" s="144">
        <v>17</v>
      </c>
      <c r="IB72" s="137" t="s">
        <v>70</v>
      </c>
      <c r="IC72" s="138">
        <v>99</v>
      </c>
      <c r="ID72" s="171">
        <v>9.9903614457831331</v>
      </c>
      <c r="IE72" s="140">
        <f t="shared" si="276"/>
        <v>989.04578313253023</v>
      </c>
      <c r="IF72" s="149"/>
      <c r="IG72" s="528"/>
      <c r="IH72" s="143" t="s">
        <v>69</v>
      </c>
      <c r="II72" s="144">
        <v>13</v>
      </c>
      <c r="IJ72" s="137" t="s">
        <v>70</v>
      </c>
      <c r="IK72" s="138">
        <v>40</v>
      </c>
      <c r="IL72" s="171">
        <v>9.9903614457831331</v>
      </c>
      <c r="IM72" s="140">
        <f t="shared" si="277"/>
        <v>399.61445783132535</v>
      </c>
      <c r="IN72" s="149"/>
      <c r="IO72" s="528"/>
      <c r="IP72" s="143" t="s">
        <v>69</v>
      </c>
      <c r="IQ72" s="144">
        <v>22</v>
      </c>
      <c r="IR72" s="137" t="s">
        <v>70</v>
      </c>
      <c r="IS72" s="138">
        <v>116</v>
      </c>
      <c r="IT72" s="171">
        <v>9.9903614457831331</v>
      </c>
      <c r="IU72" s="140">
        <f t="shared" si="278"/>
        <v>1158.8819277108435</v>
      </c>
      <c r="IV72" s="149"/>
      <c r="IW72" s="528"/>
      <c r="IX72" s="143" t="s">
        <v>69</v>
      </c>
      <c r="IY72" s="144">
        <v>9</v>
      </c>
      <c r="IZ72" s="137" t="s">
        <v>70</v>
      </c>
      <c r="JA72" s="138">
        <v>30</v>
      </c>
      <c r="JB72" s="171">
        <v>9.9903614457831331</v>
      </c>
      <c r="JC72" s="140">
        <f t="shared" si="279"/>
        <v>299.71084337349401</v>
      </c>
      <c r="JD72" s="149"/>
      <c r="JE72" s="528"/>
      <c r="JF72" s="143" t="s">
        <v>69</v>
      </c>
      <c r="JG72" s="144">
        <v>9</v>
      </c>
      <c r="JH72" s="137" t="s">
        <v>70</v>
      </c>
      <c r="JI72" s="138">
        <v>61</v>
      </c>
      <c r="JJ72" s="171">
        <v>9.9903614457831331</v>
      </c>
      <c r="JK72" s="140">
        <f t="shared" si="280"/>
        <v>609.41204819277107</v>
      </c>
      <c r="JL72" s="149"/>
      <c r="JM72" s="528"/>
      <c r="JN72" s="143" t="s">
        <v>69</v>
      </c>
      <c r="JO72" s="144">
        <v>11</v>
      </c>
      <c r="JP72" s="137" t="s">
        <v>70</v>
      </c>
      <c r="JQ72" s="138">
        <v>32</v>
      </c>
      <c r="JR72" s="171">
        <v>9.9903614457831331</v>
      </c>
      <c r="JS72" s="140">
        <f t="shared" si="281"/>
        <v>319.69156626506026</v>
      </c>
      <c r="JT72" s="149"/>
      <c r="JU72" s="528"/>
      <c r="JV72" s="143" t="s">
        <v>69</v>
      </c>
      <c r="JW72" s="144">
        <v>26</v>
      </c>
      <c r="JX72" s="137" t="s">
        <v>70</v>
      </c>
      <c r="JY72" s="138">
        <v>193</v>
      </c>
      <c r="JZ72" s="171">
        <v>9.9903614457831331</v>
      </c>
      <c r="KA72" s="140">
        <f t="shared" si="282"/>
        <v>1928.1397590361446</v>
      </c>
      <c r="KB72" s="149"/>
      <c r="KC72" s="528"/>
      <c r="KD72" s="143" t="s">
        <v>69</v>
      </c>
      <c r="KE72" s="144">
        <v>12</v>
      </c>
      <c r="KF72" s="137" t="s">
        <v>70</v>
      </c>
      <c r="KG72" s="138">
        <v>89</v>
      </c>
      <c r="KH72" s="171">
        <v>9.9903614457831331</v>
      </c>
      <c r="KI72" s="140">
        <f t="shared" si="283"/>
        <v>889.14216867469884</v>
      </c>
      <c r="KJ72" s="149"/>
      <c r="KK72" s="528"/>
      <c r="KL72" s="143" t="s">
        <v>69</v>
      </c>
      <c r="KM72" s="144">
        <v>5</v>
      </c>
      <c r="KN72" s="137" t="s">
        <v>70</v>
      </c>
      <c r="KO72" s="138">
        <v>37</v>
      </c>
      <c r="KP72" s="171">
        <v>9.9903614457831331</v>
      </c>
      <c r="KQ72" s="140">
        <f t="shared" si="284"/>
        <v>369.6433734939759</v>
      </c>
      <c r="KR72" s="149"/>
      <c r="KS72" s="528"/>
      <c r="KT72" s="143" t="s">
        <v>69</v>
      </c>
      <c r="KU72" s="144">
        <v>10</v>
      </c>
      <c r="KV72" s="137" t="s">
        <v>70</v>
      </c>
      <c r="KW72" s="138">
        <v>138</v>
      </c>
      <c r="KX72" s="171">
        <v>9.9903614457831331</v>
      </c>
      <c r="KY72" s="140">
        <f t="shared" si="285"/>
        <v>1378.6698795180723</v>
      </c>
      <c r="KZ72" s="149"/>
      <c r="LA72" s="528"/>
      <c r="LB72" s="143" t="s">
        <v>69</v>
      </c>
      <c r="LC72" s="144">
        <v>18</v>
      </c>
      <c r="LD72" s="137" t="s">
        <v>70</v>
      </c>
      <c r="LE72" s="138">
        <v>67</v>
      </c>
      <c r="LF72" s="171">
        <v>9.9903614457831331</v>
      </c>
      <c r="LG72" s="140">
        <f t="shared" si="286"/>
        <v>669.35421686746997</v>
      </c>
      <c r="LH72" s="149"/>
      <c r="LI72" s="528"/>
      <c r="LJ72" s="143" t="s">
        <v>69</v>
      </c>
      <c r="LK72" s="144">
        <v>20</v>
      </c>
      <c r="LL72" s="137" t="s">
        <v>70</v>
      </c>
      <c r="LM72" s="175">
        <v>106</v>
      </c>
      <c r="LN72" s="148">
        <v>9.9903614457831331</v>
      </c>
      <c r="LO72" s="140">
        <f t="shared" si="287"/>
        <v>1058.9783132530122</v>
      </c>
      <c r="LP72" s="149"/>
      <c r="LQ72" s="528"/>
      <c r="LR72" s="143" t="s">
        <v>69</v>
      </c>
      <c r="LS72" s="144">
        <v>14</v>
      </c>
      <c r="LT72" s="137" t="s">
        <v>70</v>
      </c>
      <c r="LU72" s="175">
        <v>47</v>
      </c>
      <c r="LV72" s="148">
        <v>9.9903614457831331</v>
      </c>
      <c r="LW72" s="140">
        <f t="shared" si="288"/>
        <v>469.54698795180724</v>
      </c>
      <c r="LX72" s="149"/>
      <c r="LY72" s="528"/>
      <c r="LZ72" s="143" t="s">
        <v>69</v>
      </c>
      <c r="MA72" s="144">
        <v>14</v>
      </c>
      <c r="MB72" s="137" t="s">
        <v>70</v>
      </c>
      <c r="MC72" s="175">
        <v>57</v>
      </c>
      <c r="MD72" s="148">
        <v>9.9903614457831331</v>
      </c>
      <c r="ME72" s="140">
        <f t="shared" si="289"/>
        <v>569.45060240963858</v>
      </c>
      <c r="MF72" s="149"/>
      <c r="MG72" s="528"/>
      <c r="MH72" s="143" t="s">
        <v>69</v>
      </c>
      <c r="MI72" s="144">
        <v>22</v>
      </c>
      <c r="MJ72" s="137" t="s">
        <v>70</v>
      </c>
      <c r="MK72" s="175">
        <v>145</v>
      </c>
      <c r="ML72" s="148">
        <v>9.9903614457831331</v>
      </c>
      <c r="MM72" s="140">
        <f t="shared" si="290"/>
        <v>1448.6024096385543</v>
      </c>
      <c r="MN72" s="149"/>
      <c r="MO72" s="528"/>
      <c r="MP72" s="143" t="s">
        <v>69</v>
      </c>
      <c r="MQ72" s="144">
        <v>14</v>
      </c>
      <c r="MR72" s="137" t="s">
        <v>70</v>
      </c>
      <c r="MS72" s="175">
        <v>66</v>
      </c>
      <c r="MT72" s="148">
        <v>9.9903614457831331</v>
      </c>
      <c r="MU72" s="140">
        <f t="shared" si="291"/>
        <v>659.36385542168682</v>
      </c>
      <c r="MV72" s="149"/>
      <c r="MW72" s="528"/>
      <c r="MX72" s="666"/>
      <c r="MY72" s="666"/>
      <c r="MZ72" s="666"/>
      <c r="NA72" s="666"/>
      <c r="NB72" s="666"/>
      <c r="NC72" s="666"/>
      <c r="ND72" s="666"/>
      <c r="NE72" s="528"/>
      <c r="NF72" s="666"/>
      <c r="NG72" s="666"/>
      <c r="NH72" s="666"/>
      <c r="NI72" s="666"/>
      <c r="NJ72" s="666"/>
      <c r="NK72" s="666"/>
      <c r="NL72" s="666"/>
      <c r="NM72" s="528"/>
      <c r="NN72" s="666"/>
      <c r="NO72" s="666"/>
      <c r="NP72" s="666"/>
      <c r="NQ72" s="666"/>
      <c r="NR72" s="666"/>
      <c r="NS72" s="666"/>
      <c r="NT72" s="666"/>
      <c r="NU72" s="528"/>
      <c r="NV72" s="666"/>
      <c r="NW72" s="666"/>
      <c r="NX72" s="666"/>
      <c r="NY72" s="666"/>
      <c r="NZ72" s="666"/>
      <c r="OA72" s="666"/>
      <c r="OB72" s="666"/>
      <c r="OC72" s="528"/>
      <c r="OD72" s="666"/>
      <c r="OE72" s="666"/>
      <c r="OF72" s="666"/>
      <c r="OG72" s="666"/>
      <c r="OH72" s="666"/>
      <c r="OI72" s="666"/>
      <c r="OJ72" s="666"/>
      <c r="OK72" s="528"/>
      <c r="OL72" s="666"/>
      <c r="OM72" s="666"/>
      <c r="ON72" s="666"/>
      <c r="OO72" s="666"/>
      <c r="OP72" s="666"/>
      <c r="OQ72" s="666"/>
      <c r="OR72" s="666"/>
      <c r="OS72" s="528"/>
      <c r="OT72" s="666"/>
      <c r="OU72" s="666"/>
      <c r="OV72" s="666"/>
      <c r="OW72" s="666"/>
      <c r="OX72" s="666"/>
      <c r="OY72" s="666"/>
      <c r="OZ72" s="666"/>
      <c r="PA72" s="528"/>
      <c r="PB72" s="666"/>
      <c r="PC72" s="666"/>
      <c r="PD72" s="666"/>
      <c r="PE72" s="666"/>
      <c r="PF72" s="666"/>
      <c r="PG72" s="666"/>
      <c r="PH72" s="666"/>
      <c r="PI72" s="528"/>
      <c r="PJ72" s="666"/>
      <c r="PK72" s="666"/>
      <c r="PL72" s="666"/>
      <c r="PM72" s="666"/>
      <c r="PN72" s="666"/>
      <c r="PO72" s="666"/>
      <c r="PP72" s="666"/>
      <c r="PQ72" s="528"/>
      <c r="PR72" s="666"/>
      <c r="PS72" s="666"/>
      <c r="PT72" s="666"/>
      <c r="PU72" s="666"/>
      <c r="PV72" s="666"/>
      <c r="PW72" s="666"/>
      <c r="PX72" s="666"/>
      <c r="PY72" s="528"/>
      <c r="PZ72" s="666"/>
      <c r="QA72" s="666"/>
      <c r="QB72" s="666"/>
      <c r="QC72" s="666"/>
      <c r="QD72" s="666"/>
      <c r="QE72" s="666"/>
      <c r="QF72" s="666"/>
      <c r="QG72" s="528"/>
      <c r="QH72" s="666"/>
      <c r="QI72" s="666"/>
      <c r="QJ72" s="666"/>
      <c r="QK72" s="666"/>
      <c r="QL72" s="666"/>
      <c r="QM72" s="666"/>
      <c r="QN72" s="666"/>
      <c r="QO72" s="528"/>
      <c r="QP72" s="666"/>
      <c r="QQ72" s="666"/>
      <c r="QR72" s="666"/>
      <c r="QS72" s="666"/>
      <c r="QT72" s="666"/>
      <c r="QU72" s="666"/>
      <c r="QV72" s="666"/>
      <c r="QW72" s="528"/>
      <c r="QX72" s="666"/>
      <c r="QY72" s="666"/>
      <c r="QZ72" s="666"/>
      <c r="RA72" s="666"/>
      <c r="RB72" s="666"/>
      <c r="RC72" s="666"/>
      <c r="RD72" s="666"/>
      <c r="RE72" s="528"/>
      <c r="RF72" s="666"/>
      <c r="RG72" s="666"/>
      <c r="RH72" s="666"/>
      <c r="RI72" s="666"/>
      <c r="RJ72" s="666"/>
      <c r="RK72" s="666"/>
      <c r="RL72" s="666"/>
      <c r="RM72" s="528"/>
      <c r="RN72" s="666"/>
      <c r="RO72" s="666"/>
      <c r="RP72" s="666"/>
      <c r="RQ72" s="666"/>
      <c r="RR72" s="666"/>
      <c r="RS72" s="666"/>
      <c r="RT72" s="666"/>
      <c r="RU72" s="528"/>
      <c r="RV72" s="666"/>
      <c r="RW72" s="666"/>
      <c r="RX72" s="666"/>
      <c r="RY72" s="666"/>
      <c r="RZ72" s="666"/>
      <c r="SA72" s="666"/>
      <c r="SB72" s="666"/>
      <c r="SC72" s="528"/>
      <c r="SD72" s="666"/>
      <c r="SE72" s="666"/>
      <c r="SF72" s="666"/>
      <c r="SG72" s="666"/>
      <c r="SH72" s="666"/>
      <c r="SI72" s="666"/>
      <c r="SJ72" s="666"/>
      <c r="SK72" s="528"/>
      <c r="SL72" s="666"/>
      <c r="SM72" s="666"/>
      <c r="SN72" s="666"/>
      <c r="SO72" s="666"/>
      <c r="SP72" s="666"/>
      <c r="SQ72" s="666"/>
      <c r="SR72" s="666"/>
      <c r="SS72" s="528"/>
      <c r="ST72" s="666"/>
      <c r="SU72" s="666"/>
      <c r="SV72" s="666"/>
      <c r="SW72" s="666"/>
      <c r="SX72" s="666"/>
      <c r="SY72" s="666"/>
      <c r="SZ72" s="666"/>
      <c r="TA72" s="528"/>
      <c r="TB72" s="666"/>
      <c r="TC72" s="666"/>
      <c r="TD72" s="666"/>
      <c r="TE72" s="666"/>
      <c r="TF72" s="666"/>
      <c r="TG72" s="666"/>
      <c r="TH72" s="666"/>
      <c r="TI72" s="528"/>
    </row>
    <row r="73" spans="2:529">
      <c r="B73" s="143"/>
      <c r="C73" s="146"/>
      <c r="D73" s="137" t="s">
        <v>11</v>
      </c>
      <c r="E73" s="138">
        <v>9</v>
      </c>
      <c r="F73" s="171">
        <v>3.5994117647058825</v>
      </c>
      <c r="G73" s="140">
        <f t="shared" si="247"/>
        <v>32.394705882352945</v>
      </c>
      <c r="H73" s="150"/>
      <c r="I73" s="528"/>
      <c r="J73" s="143"/>
      <c r="K73" s="146"/>
      <c r="L73" s="137" t="s">
        <v>11</v>
      </c>
      <c r="M73" s="138">
        <v>0</v>
      </c>
      <c r="N73" s="171">
        <v>3.5994117647058825</v>
      </c>
      <c r="O73" s="140">
        <f t="shared" si="248"/>
        <v>0</v>
      </c>
      <c r="P73" s="150"/>
      <c r="Q73" s="528"/>
      <c r="R73" s="143"/>
      <c r="S73" s="146"/>
      <c r="T73" s="137" t="s">
        <v>11</v>
      </c>
      <c r="U73" s="138">
        <v>0</v>
      </c>
      <c r="V73" s="171">
        <v>3.5994117647058825</v>
      </c>
      <c r="W73" s="140">
        <f t="shared" si="249"/>
        <v>0</v>
      </c>
      <c r="X73" s="150"/>
      <c r="Y73" s="528"/>
      <c r="Z73" s="143"/>
      <c r="AA73" s="146"/>
      <c r="AB73" s="137" t="s">
        <v>11</v>
      </c>
      <c r="AC73" s="138">
        <v>4</v>
      </c>
      <c r="AD73" s="171">
        <v>3.5994117647058825</v>
      </c>
      <c r="AE73" s="140">
        <f t="shared" si="250"/>
        <v>14.39764705882353</v>
      </c>
      <c r="AF73" s="150"/>
      <c r="AG73" s="528"/>
      <c r="AH73" s="143"/>
      <c r="AI73" s="146"/>
      <c r="AJ73" s="137" t="s">
        <v>11</v>
      </c>
      <c r="AK73" s="138">
        <v>3</v>
      </c>
      <c r="AL73" s="171">
        <v>3.5994117647058825</v>
      </c>
      <c r="AM73" s="140">
        <f t="shared" si="251"/>
        <v>10.798235294117648</v>
      </c>
      <c r="AN73" s="150"/>
      <c r="AO73" s="528"/>
      <c r="AP73" s="143"/>
      <c r="AQ73" s="146"/>
      <c r="AR73" s="137" t="s">
        <v>11</v>
      </c>
      <c r="AS73" s="138">
        <v>0</v>
      </c>
      <c r="AT73" s="171">
        <v>3.5994117647058825</v>
      </c>
      <c r="AU73" s="140">
        <f t="shared" si="252"/>
        <v>0</v>
      </c>
      <c r="AV73" s="150"/>
      <c r="AW73" s="528"/>
      <c r="AX73" s="143"/>
      <c r="AY73" s="146"/>
      <c r="AZ73" s="137" t="s">
        <v>11</v>
      </c>
      <c r="BA73" s="138"/>
      <c r="BB73" s="171">
        <v>3.5994117647058825</v>
      </c>
      <c r="BC73" s="140">
        <f t="shared" si="253"/>
        <v>0</v>
      </c>
      <c r="BD73" s="150"/>
      <c r="BE73" s="528"/>
      <c r="BF73" s="143"/>
      <c r="BG73" s="146"/>
      <c r="BH73" s="137" t="s">
        <v>11</v>
      </c>
      <c r="BI73" s="138">
        <v>2</v>
      </c>
      <c r="BJ73" s="171">
        <v>3.5994117647058825</v>
      </c>
      <c r="BK73" s="140">
        <f t="shared" si="254"/>
        <v>7.1988235294117651</v>
      </c>
      <c r="BL73" s="150"/>
      <c r="BM73" s="528"/>
      <c r="BN73" s="143"/>
      <c r="BO73" s="146"/>
      <c r="BP73" s="137" t="s">
        <v>11</v>
      </c>
      <c r="BQ73" s="138">
        <v>0</v>
      </c>
      <c r="BR73" s="171">
        <v>3.5994117647058825</v>
      </c>
      <c r="BS73" s="140">
        <f t="shared" si="255"/>
        <v>0</v>
      </c>
      <c r="BT73" s="150"/>
      <c r="BU73" s="528"/>
      <c r="BV73" s="564"/>
      <c r="BW73" s="537"/>
      <c r="BX73" s="559" t="s">
        <v>11</v>
      </c>
      <c r="BY73" s="560"/>
      <c r="BZ73" s="586">
        <v>3.5994117647058825</v>
      </c>
      <c r="CA73" s="562">
        <f t="shared" si="256"/>
        <v>0</v>
      </c>
      <c r="CB73" s="569"/>
      <c r="CC73" s="528"/>
      <c r="CD73" s="564"/>
      <c r="CE73" s="537"/>
      <c r="CF73" s="559" t="s">
        <v>11</v>
      </c>
      <c r="CG73" s="560"/>
      <c r="CH73" s="586">
        <v>3.5994117647058825</v>
      </c>
      <c r="CI73" s="562">
        <f t="shared" si="257"/>
        <v>0</v>
      </c>
      <c r="CJ73" s="569"/>
      <c r="CK73" s="528"/>
      <c r="CL73" s="143"/>
      <c r="CM73" s="146"/>
      <c r="CN73" s="137" t="s">
        <v>11</v>
      </c>
      <c r="CO73" s="138"/>
      <c r="CP73" s="171">
        <v>3.5994117647058825</v>
      </c>
      <c r="CQ73" s="140">
        <f t="shared" si="258"/>
        <v>0</v>
      </c>
      <c r="CR73" s="150"/>
      <c r="CS73" s="528"/>
      <c r="CT73" s="143"/>
      <c r="CU73" s="146"/>
      <c r="CV73" s="137" t="s">
        <v>11</v>
      </c>
      <c r="CW73" s="138">
        <v>0</v>
      </c>
      <c r="CX73" s="171">
        <v>3.5994117647058825</v>
      </c>
      <c r="CY73" s="140">
        <f t="shared" si="259"/>
        <v>0</v>
      </c>
      <c r="CZ73" s="150"/>
      <c r="DA73" s="528"/>
      <c r="DB73" s="143"/>
      <c r="DC73" s="146"/>
      <c r="DD73" s="137" t="s">
        <v>11</v>
      </c>
      <c r="DE73" s="138"/>
      <c r="DF73" s="171">
        <v>3.5994117647058825</v>
      </c>
      <c r="DG73" s="140">
        <f t="shared" si="260"/>
        <v>0</v>
      </c>
      <c r="DH73" s="150"/>
      <c r="DI73" s="528"/>
      <c r="DJ73" s="143"/>
      <c r="DK73" s="146"/>
      <c r="DL73" s="137" t="s">
        <v>11</v>
      </c>
      <c r="DM73" s="138">
        <v>3</v>
      </c>
      <c r="DN73" s="171">
        <v>3.5994117647058825</v>
      </c>
      <c r="DO73" s="140">
        <f t="shared" si="261"/>
        <v>10.798235294117648</v>
      </c>
      <c r="DP73" s="150"/>
      <c r="DQ73" s="528"/>
      <c r="DR73" s="143"/>
      <c r="DS73" s="146"/>
      <c r="DT73" s="137" t="s">
        <v>11</v>
      </c>
      <c r="DU73" s="138">
        <v>4</v>
      </c>
      <c r="DV73" s="171">
        <v>3.5994117647058825</v>
      </c>
      <c r="DW73" s="140">
        <f t="shared" si="262"/>
        <v>14.39764705882353</v>
      </c>
      <c r="DX73" s="150"/>
      <c r="DY73" s="528"/>
      <c r="DZ73" s="143"/>
      <c r="EA73" s="146"/>
      <c r="EB73" s="137" t="s">
        <v>11</v>
      </c>
      <c r="EC73" s="138">
        <v>0</v>
      </c>
      <c r="ED73" s="171">
        <v>3.5994117647058825</v>
      </c>
      <c r="EE73" s="140">
        <f t="shared" si="263"/>
        <v>0</v>
      </c>
      <c r="EF73" s="150"/>
      <c r="EG73" s="528"/>
      <c r="EH73" s="143"/>
      <c r="EI73" s="146"/>
      <c r="EJ73" s="137" t="s">
        <v>11</v>
      </c>
      <c r="EK73" s="138">
        <v>0</v>
      </c>
      <c r="EL73" s="171">
        <v>3.5994117647058825</v>
      </c>
      <c r="EM73" s="140">
        <f t="shared" si="264"/>
        <v>0</v>
      </c>
      <c r="EN73" s="150"/>
      <c r="EO73" s="528"/>
      <c r="EP73" s="143"/>
      <c r="EQ73" s="146"/>
      <c r="ER73" s="137" t="s">
        <v>11</v>
      </c>
      <c r="ES73" s="138">
        <v>3</v>
      </c>
      <c r="ET73" s="171">
        <v>3.5994117647058825</v>
      </c>
      <c r="EU73" s="140">
        <f t="shared" si="265"/>
        <v>10.798235294117648</v>
      </c>
      <c r="EV73" s="150"/>
      <c r="EW73" s="528"/>
      <c r="EX73" s="143"/>
      <c r="EY73" s="146"/>
      <c r="EZ73" s="137" t="s">
        <v>11</v>
      </c>
      <c r="FA73" s="138"/>
      <c r="FB73" s="171">
        <v>3.5994117647058825</v>
      </c>
      <c r="FC73" s="140">
        <f t="shared" si="266"/>
        <v>0</v>
      </c>
      <c r="FD73" s="150"/>
      <c r="FE73" s="528"/>
      <c r="FF73" s="143"/>
      <c r="FG73" s="146"/>
      <c r="FH73" s="137" t="s">
        <v>11</v>
      </c>
      <c r="FI73" s="138"/>
      <c r="FJ73" s="171">
        <v>3.5994117647058825</v>
      </c>
      <c r="FK73" s="140">
        <f t="shared" si="267"/>
        <v>0</v>
      </c>
      <c r="FL73" s="150"/>
      <c r="FM73" s="528"/>
      <c r="FN73" s="143"/>
      <c r="FO73" s="146"/>
      <c r="FP73" s="137" t="s">
        <v>11</v>
      </c>
      <c r="FQ73" s="138"/>
      <c r="FR73" s="171">
        <v>3.5994117647058825</v>
      </c>
      <c r="FS73" s="140">
        <f t="shared" si="268"/>
        <v>0</v>
      </c>
      <c r="FT73" s="150"/>
      <c r="FU73" s="528"/>
      <c r="FV73" s="143"/>
      <c r="FW73" s="146"/>
      <c r="FX73" s="137" t="s">
        <v>11</v>
      </c>
      <c r="FY73" s="138"/>
      <c r="FZ73" s="171">
        <v>3.5994117647058825</v>
      </c>
      <c r="GA73" s="140">
        <f t="shared" si="269"/>
        <v>0</v>
      </c>
      <c r="GB73" s="150"/>
      <c r="GC73" s="528"/>
      <c r="GD73" s="143"/>
      <c r="GE73" s="146"/>
      <c r="GF73" s="137" t="s">
        <v>11</v>
      </c>
      <c r="GG73" s="138"/>
      <c r="GH73" s="171">
        <v>3.5994117647058825</v>
      </c>
      <c r="GI73" s="140">
        <f t="shared" si="270"/>
        <v>0</v>
      </c>
      <c r="GJ73" s="150"/>
      <c r="GK73" s="528"/>
      <c r="GL73" s="143"/>
      <c r="GM73" s="146"/>
      <c r="GN73" s="137" t="s">
        <v>11</v>
      </c>
      <c r="GO73" s="138">
        <f>'[1]Jan_18_Vol weekly-Data-Entry'!$J$226</f>
        <v>0</v>
      </c>
      <c r="GP73" s="171">
        <v>3.5994117647058825</v>
      </c>
      <c r="GQ73" s="140">
        <f t="shared" si="271"/>
        <v>0</v>
      </c>
      <c r="GR73" s="150"/>
      <c r="GS73" s="528"/>
      <c r="GT73" s="143"/>
      <c r="GU73" s="146"/>
      <c r="GV73" s="137" t="s">
        <v>11</v>
      </c>
      <c r="GW73" s="138">
        <v>0</v>
      </c>
      <c r="GX73" s="171">
        <v>3.5994117647058825</v>
      </c>
      <c r="GY73" s="140">
        <f t="shared" si="272"/>
        <v>0</v>
      </c>
      <c r="GZ73" s="150"/>
      <c r="HA73" s="528"/>
      <c r="HB73" s="143"/>
      <c r="HC73" s="146"/>
      <c r="HD73" s="137" t="s">
        <v>11</v>
      </c>
      <c r="HE73" s="138">
        <v>0</v>
      </c>
      <c r="HF73" s="171">
        <v>3.5994117647058825</v>
      </c>
      <c r="HG73" s="140">
        <f t="shared" si="273"/>
        <v>0</v>
      </c>
      <c r="HH73" s="150"/>
      <c r="HI73" s="528"/>
      <c r="HJ73" s="143"/>
      <c r="HK73" s="146"/>
      <c r="HL73" s="137" t="s">
        <v>11</v>
      </c>
      <c r="HM73" s="138">
        <v>0</v>
      </c>
      <c r="HN73" s="171">
        <v>3.5994117647058825</v>
      </c>
      <c r="HO73" s="140">
        <f t="shared" si="274"/>
        <v>0</v>
      </c>
      <c r="HP73" s="150"/>
      <c r="HQ73" s="528"/>
      <c r="HR73" s="143"/>
      <c r="HS73" s="146"/>
      <c r="HT73" s="137" t="s">
        <v>11</v>
      </c>
      <c r="HU73" s="138">
        <v>27</v>
      </c>
      <c r="HV73" s="171">
        <v>3.5994117647058825</v>
      </c>
      <c r="HW73" s="140">
        <f t="shared" si="275"/>
        <v>97.184117647058827</v>
      </c>
      <c r="HX73" s="150"/>
      <c r="HY73" s="528"/>
      <c r="HZ73" s="143"/>
      <c r="IA73" s="146"/>
      <c r="IB73" s="137" t="s">
        <v>11</v>
      </c>
      <c r="IC73" s="138">
        <v>0</v>
      </c>
      <c r="ID73" s="171">
        <v>3.5994117647058825</v>
      </c>
      <c r="IE73" s="140">
        <f t="shared" si="276"/>
        <v>0</v>
      </c>
      <c r="IF73" s="150"/>
      <c r="IG73" s="528"/>
      <c r="IH73" s="143"/>
      <c r="II73" s="146"/>
      <c r="IJ73" s="137" t="s">
        <v>11</v>
      </c>
      <c r="IK73" s="138">
        <v>0</v>
      </c>
      <c r="IL73" s="171">
        <v>3.5994117647058825</v>
      </c>
      <c r="IM73" s="140">
        <f t="shared" si="277"/>
        <v>0</v>
      </c>
      <c r="IN73" s="150"/>
      <c r="IO73" s="528"/>
      <c r="IP73" s="143"/>
      <c r="IQ73" s="146"/>
      <c r="IR73" s="137" t="s">
        <v>11</v>
      </c>
      <c r="IS73" s="138">
        <v>0</v>
      </c>
      <c r="IT73" s="171">
        <v>3.5994117647058825</v>
      </c>
      <c r="IU73" s="140">
        <f t="shared" si="278"/>
        <v>0</v>
      </c>
      <c r="IV73" s="150"/>
      <c r="IW73" s="528"/>
      <c r="IX73" s="143"/>
      <c r="IY73" s="146"/>
      <c r="IZ73" s="137" t="s">
        <v>11</v>
      </c>
      <c r="JA73" s="138">
        <v>0</v>
      </c>
      <c r="JB73" s="171">
        <v>3.5994117647058825</v>
      </c>
      <c r="JC73" s="140">
        <f t="shared" si="279"/>
        <v>0</v>
      </c>
      <c r="JD73" s="150"/>
      <c r="JE73" s="528"/>
      <c r="JF73" s="143"/>
      <c r="JG73" s="146"/>
      <c r="JH73" s="137" t="s">
        <v>11</v>
      </c>
      <c r="JI73" s="138">
        <v>0</v>
      </c>
      <c r="JJ73" s="171">
        <v>3.5994117647058825</v>
      </c>
      <c r="JK73" s="140">
        <f t="shared" si="280"/>
        <v>0</v>
      </c>
      <c r="JL73" s="150"/>
      <c r="JM73" s="528"/>
      <c r="JN73" s="143"/>
      <c r="JO73" s="146"/>
      <c r="JP73" s="137" t="s">
        <v>11</v>
      </c>
      <c r="JQ73" s="138">
        <v>0</v>
      </c>
      <c r="JR73" s="171">
        <v>3.5994117647058825</v>
      </c>
      <c r="JS73" s="140">
        <f t="shared" si="281"/>
        <v>0</v>
      </c>
      <c r="JT73" s="150"/>
      <c r="JU73" s="528"/>
      <c r="JV73" s="143"/>
      <c r="JW73" s="146"/>
      <c r="JX73" s="137" t="s">
        <v>11</v>
      </c>
      <c r="JY73" s="138">
        <v>0</v>
      </c>
      <c r="JZ73" s="171">
        <v>3.5994117647058825</v>
      </c>
      <c r="KA73" s="140">
        <f t="shared" si="282"/>
        <v>0</v>
      </c>
      <c r="KB73" s="150"/>
      <c r="KC73" s="528"/>
      <c r="KD73" s="143"/>
      <c r="KE73" s="146"/>
      <c r="KF73" s="137" t="s">
        <v>11</v>
      </c>
      <c r="KG73" s="138">
        <v>9</v>
      </c>
      <c r="KH73" s="171">
        <v>3.5994117647058825</v>
      </c>
      <c r="KI73" s="140">
        <f t="shared" si="283"/>
        <v>32.394705882352945</v>
      </c>
      <c r="KJ73" s="150"/>
      <c r="KK73" s="528"/>
      <c r="KL73" s="143"/>
      <c r="KM73" s="146"/>
      <c r="KN73" s="137" t="s">
        <v>11</v>
      </c>
      <c r="KO73" s="138">
        <v>0</v>
      </c>
      <c r="KP73" s="171">
        <v>3.5994117647058825</v>
      </c>
      <c r="KQ73" s="140">
        <f t="shared" si="284"/>
        <v>0</v>
      </c>
      <c r="KR73" s="150"/>
      <c r="KS73" s="528"/>
      <c r="KT73" s="143"/>
      <c r="KU73" s="146"/>
      <c r="KV73" s="137" t="s">
        <v>11</v>
      </c>
      <c r="KW73" s="138">
        <v>0</v>
      </c>
      <c r="KX73" s="171">
        <v>3.5994117647058825</v>
      </c>
      <c r="KY73" s="140">
        <f t="shared" si="285"/>
        <v>0</v>
      </c>
      <c r="KZ73" s="150"/>
      <c r="LA73" s="528"/>
      <c r="LB73" s="143"/>
      <c r="LC73" s="146"/>
      <c r="LD73" s="137" t="s">
        <v>11</v>
      </c>
      <c r="LE73" s="138">
        <v>0</v>
      </c>
      <c r="LF73" s="171">
        <v>3.5994117647058825</v>
      </c>
      <c r="LG73" s="140">
        <f t="shared" si="286"/>
        <v>0</v>
      </c>
      <c r="LH73" s="150"/>
      <c r="LI73" s="528"/>
      <c r="LJ73" s="143"/>
      <c r="LK73" s="146"/>
      <c r="LL73" s="137" t="s">
        <v>11</v>
      </c>
      <c r="LM73" s="175">
        <v>0</v>
      </c>
      <c r="LN73" s="148">
        <v>3.5994117647058825</v>
      </c>
      <c r="LO73" s="140">
        <f t="shared" si="287"/>
        <v>0</v>
      </c>
      <c r="LP73" s="150"/>
      <c r="LQ73" s="528"/>
      <c r="LR73" s="143"/>
      <c r="LS73" s="146"/>
      <c r="LT73" s="137" t="s">
        <v>11</v>
      </c>
      <c r="LU73" s="175">
        <v>0</v>
      </c>
      <c r="LV73" s="148">
        <v>3.5994117647058825</v>
      </c>
      <c r="LW73" s="140">
        <f t="shared" si="288"/>
        <v>0</v>
      </c>
      <c r="LX73" s="150"/>
      <c r="LY73" s="528"/>
      <c r="LZ73" s="143"/>
      <c r="MA73" s="146"/>
      <c r="MB73" s="137" t="s">
        <v>11</v>
      </c>
      <c r="MC73" s="175">
        <v>0</v>
      </c>
      <c r="MD73" s="148">
        <v>3.5994117647058825</v>
      </c>
      <c r="ME73" s="140">
        <f t="shared" si="289"/>
        <v>0</v>
      </c>
      <c r="MF73" s="150"/>
      <c r="MG73" s="528"/>
      <c r="MH73" s="143"/>
      <c r="MI73" s="146"/>
      <c r="MJ73" s="137" t="s">
        <v>11</v>
      </c>
      <c r="MK73" s="175">
        <v>13</v>
      </c>
      <c r="ML73" s="148">
        <v>3.5994117647058825</v>
      </c>
      <c r="MM73" s="140">
        <f t="shared" si="290"/>
        <v>46.792352941176475</v>
      </c>
      <c r="MN73" s="150"/>
      <c r="MO73" s="528"/>
      <c r="MP73" s="143"/>
      <c r="MQ73" s="146"/>
      <c r="MR73" s="137" t="s">
        <v>11</v>
      </c>
      <c r="MS73" s="175">
        <v>0</v>
      </c>
      <c r="MT73" s="148">
        <v>3.5994117647058825</v>
      </c>
      <c r="MU73" s="140">
        <f t="shared" si="291"/>
        <v>0</v>
      </c>
      <c r="MV73" s="150"/>
      <c r="MW73" s="528"/>
      <c r="MX73" s="110"/>
      <c r="MY73" s="111"/>
      <c r="MZ73" s="111" t="s">
        <v>100</v>
      </c>
      <c r="NA73" s="111"/>
      <c r="NB73" s="111"/>
      <c r="NC73" s="112"/>
      <c r="ND73" s="113"/>
      <c r="NE73" s="528"/>
      <c r="NF73" s="110"/>
      <c r="NG73" s="111"/>
      <c r="NH73" s="111" t="s">
        <v>100</v>
      </c>
      <c r="NI73" s="111"/>
      <c r="NJ73" s="111"/>
      <c r="NK73" s="112"/>
      <c r="NL73" s="113"/>
      <c r="NM73" s="528"/>
      <c r="NN73" s="110"/>
      <c r="NO73" s="111"/>
      <c r="NP73" s="111" t="s">
        <v>100</v>
      </c>
      <c r="NQ73" s="111"/>
      <c r="NR73" s="111"/>
      <c r="NS73" s="112"/>
      <c r="NT73" s="113"/>
      <c r="NU73" s="528"/>
      <c r="NV73" s="110"/>
      <c r="NW73" s="111"/>
      <c r="NX73" s="111" t="s">
        <v>100</v>
      </c>
      <c r="NY73" s="111"/>
      <c r="NZ73" s="111"/>
      <c r="OA73" s="112"/>
      <c r="OB73" s="113"/>
      <c r="OC73" s="528"/>
      <c r="OD73" s="110"/>
      <c r="OE73" s="111"/>
      <c r="OF73" s="111" t="s">
        <v>100</v>
      </c>
      <c r="OG73" s="111"/>
      <c r="OH73" s="111"/>
      <c r="OI73" s="112"/>
      <c r="OJ73" s="113"/>
      <c r="OK73" s="528"/>
      <c r="OL73" s="110"/>
      <c r="OM73" s="111"/>
      <c r="ON73" s="111" t="s">
        <v>100</v>
      </c>
      <c r="OO73" s="111"/>
      <c r="OP73" s="111"/>
      <c r="OQ73" s="112"/>
      <c r="OR73" s="113"/>
      <c r="OS73" s="528"/>
      <c r="OT73" s="110"/>
      <c r="OU73" s="111"/>
      <c r="OV73" s="111" t="s">
        <v>100</v>
      </c>
      <c r="OW73" s="111"/>
      <c r="OX73" s="111"/>
      <c r="OY73" s="112"/>
      <c r="OZ73" s="113"/>
      <c r="PA73" s="528"/>
      <c r="PB73" s="110"/>
      <c r="PC73" s="111"/>
      <c r="PD73" s="111" t="s">
        <v>100</v>
      </c>
      <c r="PE73" s="111"/>
      <c r="PF73" s="111"/>
      <c r="PG73" s="112"/>
      <c r="PH73" s="113"/>
      <c r="PI73" s="528"/>
      <c r="PJ73" s="110"/>
      <c r="PK73" s="111"/>
      <c r="PL73" s="111" t="s">
        <v>100</v>
      </c>
      <c r="PM73" s="111"/>
      <c r="PN73" s="111"/>
      <c r="PO73" s="112"/>
      <c r="PP73" s="113"/>
      <c r="PQ73" s="528"/>
      <c r="PR73" s="110"/>
      <c r="PS73" s="111"/>
      <c r="PT73" s="111" t="s">
        <v>100</v>
      </c>
      <c r="PU73" s="111"/>
      <c r="PV73" s="111"/>
      <c r="PW73" s="112"/>
      <c r="PX73" s="113"/>
      <c r="PY73" s="528"/>
      <c r="PZ73" s="110"/>
      <c r="QA73" s="111"/>
      <c r="QB73" s="111" t="s">
        <v>100</v>
      </c>
      <c r="QC73" s="111"/>
      <c r="QD73" s="111"/>
      <c r="QE73" s="112"/>
      <c r="QF73" s="113"/>
      <c r="QG73" s="528"/>
      <c r="QH73" s="110"/>
      <c r="QI73" s="111"/>
      <c r="QJ73" s="111" t="s">
        <v>100</v>
      </c>
      <c r="QK73" s="111"/>
      <c r="QL73" s="111"/>
      <c r="QM73" s="112"/>
      <c r="QN73" s="113"/>
      <c r="QO73" s="528"/>
      <c r="QP73" s="110"/>
      <c r="QQ73" s="111"/>
      <c r="QR73" s="111" t="s">
        <v>100</v>
      </c>
      <c r="QS73" s="111"/>
      <c r="QT73" s="111"/>
      <c r="QU73" s="112"/>
      <c r="QV73" s="113"/>
      <c r="QW73" s="528"/>
      <c r="QX73" s="110"/>
      <c r="QY73" s="111"/>
      <c r="QZ73" s="111" t="s">
        <v>100</v>
      </c>
      <c r="RA73" s="111"/>
      <c r="RB73" s="111"/>
      <c r="RC73" s="112"/>
      <c r="RD73" s="113"/>
      <c r="RE73" s="528"/>
      <c r="RF73" s="110"/>
      <c r="RG73" s="111"/>
      <c r="RH73" s="111" t="s">
        <v>100</v>
      </c>
      <c r="RI73" s="111"/>
      <c r="RJ73" s="111"/>
      <c r="RK73" s="112"/>
      <c r="RL73" s="113"/>
      <c r="RM73" s="528"/>
      <c r="RN73" s="110"/>
      <c r="RO73" s="111"/>
      <c r="RP73" s="111" t="s">
        <v>100</v>
      </c>
      <c r="RQ73" s="111"/>
      <c r="RR73" s="111"/>
      <c r="RS73" s="112"/>
      <c r="RT73" s="113"/>
      <c r="RU73" s="528"/>
      <c r="RV73" s="110"/>
      <c r="RW73" s="111"/>
      <c r="RX73" s="111" t="s">
        <v>100</v>
      </c>
      <c r="RY73" s="111"/>
      <c r="RZ73" s="111"/>
      <c r="SA73" s="112"/>
      <c r="SB73" s="113"/>
      <c r="SC73" s="528"/>
      <c r="SD73" s="110"/>
      <c r="SE73" s="111"/>
      <c r="SF73" s="111" t="s">
        <v>100</v>
      </c>
      <c r="SG73" s="111"/>
      <c r="SH73" s="111"/>
      <c r="SI73" s="112"/>
      <c r="SJ73" s="113"/>
      <c r="SK73" s="528"/>
      <c r="SL73" s="110"/>
      <c r="SM73" s="111"/>
      <c r="SN73" s="111" t="s">
        <v>100</v>
      </c>
      <c r="SO73" s="111"/>
      <c r="SP73" s="111"/>
      <c r="SQ73" s="112"/>
      <c r="SR73" s="113"/>
      <c r="SS73" s="528"/>
      <c r="ST73" s="110"/>
      <c r="SU73" s="111"/>
      <c r="SV73" s="111" t="s">
        <v>100</v>
      </c>
      <c r="SW73" s="111"/>
      <c r="SX73" s="111"/>
      <c r="SY73" s="112"/>
      <c r="SZ73" s="113"/>
      <c r="TA73" s="528"/>
      <c r="TB73" s="110"/>
      <c r="TC73" s="111"/>
      <c r="TD73" s="111" t="s">
        <v>100</v>
      </c>
      <c r="TE73" s="111"/>
      <c r="TF73" s="111"/>
      <c r="TG73" s="112"/>
      <c r="TH73" s="113"/>
      <c r="TI73" s="528"/>
    </row>
    <row r="74" spans="2:529">
      <c r="B74" s="151"/>
      <c r="C74" s="152"/>
      <c r="D74" s="153" t="s">
        <v>71</v>
      </c>
      <c r="E74" s="138">
        <v>0</v>
      </c>
      <c r="F74" s="171">
        <v>3.8876190476190478</v>
      </c>
      <c r="G74" s="140">
        <f t="shared" si="247"/>
        <v>0</v>
      </c>
      <c r="H74" s="154">
        <f>SUM(G72:G74)</f>
        <v>921.53687455705176</v>
      </c>
      <c r="I74" s="528"/>
      <c r="J74" s="151"/>
      <c r="K74" s="152"/>
      <c r="L74" s="153" t="s">
        <v>71</v>
      </c>
      <c r="M74" s="138">
        <v>0</v>
      </c>
      <c r="N74" s="171">
        <v>3.8876190476190478</v>
      </c>
      <c r="O74" s="140">
        <f t="shared" si="248"/>
        <v>0</v>
      </c>
      <c r="P74" s="154">
        <f>SUM(O72:O74)</f>
        <v>369.6433734939759</v>
      </c>
      <c r="Q74" s="528"/>
      <c r="R74" s="151"/>
      <c r="S74" s="152"/>
      <c r="T74" s="153" t="s">
        <v>71</v>
      </c>
      <c r="U74" s="138">
        <v>0</v>
      </c>
      <c r="V74" s="171">
        <v>3.8876190476190478</v>
      </c>
      <c r="W74" s="140">
        <f t="shared" si="249"/>
        <v>0</v>
      </c>
      <c r="X74" s="154">
        <f>SUM(W72:W74)</f>
        <v>849.18072289156635</v>
      </c>
      <c r="Y74" s="528"/>
      <c r="Z74" s="151"/>
      <c r="AA74" s="152"/>
      <c r="AB74" s="153" t="s">
        <v>71</v>
      </c>
      <c r="AC74" s="138">
        <v>46</v>
      </c>
      <c r="AD74" s="171">
        <v>3.8876190476190478</v>
      </c>
      <c r="AE74" s="140">
        <f t="shared" si="250"/>
        <v>178.83047619047619</v>
      </c>
      <c r="AF74" s="154">
        <f>SUM(AE72:AE74)</f>
        <v>1052.3992075866493</v>
      </c>
      <c r="AG74" s="528"/>
      <c r="AH74" s="151"/>
      <c r="AI74" s="152"/>
      <c r="AJ74" s="153" t="s">
        <v>71</v>
      </c>
      <c r="AK74" s="138">
        <v>17</v>
      </c>
      <c r="AL74" s="171">
        <v>3.8876190476190478</v>
      </c>
      <c r="AM74" s="140">
        <f t="shared" si="251"/>
        <v>66.089523809523811</v>
      </c>
      <c r="AN74" s="154">
        <f>SUM(AM72:AM74)</f>
        <v>416.56004826026799</v>
      </c>
      <c r="AO74" s="528"/>
      <c r="AP74" s="151"/>
      <c r="AQ74" s="152"/>
      <c r="AR74" s="153" t="s">
        <v>71</v>
      </c>
      <c r="AS74" s="138">
        <v>9</v>
      </c>
      <c r="AT74" s="171">
        <v>3.8876190476190478</v>
      </c>
      <c r="AU74" s="140">
        <f t="shared" si="252"/>
        <v>34.988571428571433</v>
      </c>
      <c r="AV74" s="154">
        <f>SUM(AU72:AU74)</f>
        <v>814.23676419965579</v>
      </c>
      <c r="AW74" s="528"/>
      <c r="AX74" s="151"/>
      <c r="AY74" s="152"/>
      <c r="AZ74" s="153" t="s">
        <v>71</v>
      </c>
      <c r="BA74" s="138"/>
      <c r="BB74" s="171">
        <v>3.8876190476190478</v>
      </c>
      <c r="BC74" s="140">
        <f t="shared" si="253"/>
        <v>0</v>
      </c>
      <c r="BD74" s="154">
        <f>SUM(BC72:BC74)</f>
        <v>0</v>
      </c>
      <c r="BE74" s="528"/>
      <c r="BF74" s="151"/>
      <c r="BG74" s="152"/>
      <c r="BH74" s="153" t="s">
        <v>71</v>
      </c>
      <c r="BI74" s="138">
        <v>20</v>
      </c>
      <c r="BJ74" s="171">
        <v>3.8876190476190478</v>
      </c>
      <c r="BK74" s="140">
        <f t="shared" si="254"/>
        <v>77.75238095238096</v>
      </c>
      <c r="BL74" s="154">
        <f>SUM(BK72:BK74)</f>
        <v>784.27650568661204</v>
      </c>
      <c r="BM74" s="528"/>
      <c r="BN74" s="151"/>
      <c r="BO74" s="152"/>
      <c r="BP74" s="153" t="s">
        <v>71</v>
      </c>
      <c r="BQ74" s="138">
        <v>0</v>
      </c>
      <c r="BR74" s="171">
        <v>3.8876190476190478</v>
      </c>
      <c r="BS74" s="140">
        <f t="shared" si="255"/>
        <v>0</v>
      </c>
      <c r="BT74" s="154">
        <f>SUM(BS72:BS74)</f>
        <v>349.66265060240966</v>
      </c>
      <c r="BU74" s="528"/>
      <c r="BV74" s="543"/>
      <c r="BW74" s="544"/>
      <c r="BX74" s="570" t="s">
        <v>71</v>
      </c>
      <c r="BY74" s="560"/>
      <c r="BZ74" s="586">
        <v>3.8876190476190478</v>
      </c>
      <c r="CA74" s="562">
        <f t="shared" si="256"/>
        <v>0</v>
      </c>
      <c r="CB74" s="571">
        <f>SUM(CA72:CA74)</f>
        <v>0</v>
      </c>
      <c r="CC74" s="528"/>
      <c r="CD74" s="543"/>
      <c r="CE74" s="544"/>
      <c r="CF74" s="570" t="s">
        <v>71</v>
      </c>
      <c r="CG74" s="560"/>
      <c r="CH74" s="586">
        <v>3.8876190476190478</v>
      </c>
      <c r="CI74" s="562">
        <f t="shared" si="257"/>
        <v>0</v>
      </c>
      <c r="CJ74" s="571">
        <f>SUM(CI72:CI74)</f>
        <v>0</v>
      </c>
      <c r="CK74" s="528"/>
      <c r="CL74" s="151"/>
      <c r="CM74" s="152"/>
      <c r="CN74" s="153" t="s">
        <v>71</v>
      </c>
      <c r="CO74" s="138"/>
      <c r="CP74" s="171">
        <v>3.8876190476190478</v>
      </c>
      <c r="CQ74" s="140">
        <f t="shared" si="258"/>
        <v>0</v>
      </c>
      <c r="CR74" s="154">
        <f>SUM(CQ72:CQ74)</f>
        <v>0</v>
      </c>
      <c r="CS74" s="528"/>
      <c r="CT74" s="151"/>
      <c r="CU74" s="152"/>
      <c r="CV74" s="153" t="s">
        <v>71</v>
      </c>
      <c r="CW74" s="138">
        <v>0</v>
      </c>
      <c r="CX74" s="171">
        <v>3.8876190476190478</v>
      </c>
      <c r="CY74" s="140">
        <f t="shared" si="259"/>
        <v>0</v>
      </c>
      <c r="CZ74" s="154">
        <f>SUM(CY72:CY74)</f>
        <v>669.35421686746997</v>
      </c>
      <c r="DA74" s="528"/>
      <c r="DB74" s="151"/>
      <c r="DC74" s="152"/>
      <c r="DD74" s="153" t="s">
        <v>71</v>
      </c>
      <c r="DE74" s="138"/>
      <c r="DF74" s="171">
        <v>3.8876190476190478</v>
      </c>
      <c r="DG74" s="140">
        <f t="shared" si="260"/>
        <v>0</v>
      </c>
      <c r="DH74" s="154">
        <f>SUM(DG72:DG74)</f>
        <v>0</v>
      </c>
      <c r="DI74" s="528"/>
      <c r="DJ74" s="151"/>
      <c r="DK74" s="152"/>
      <c r="DL74" s="153" t="s">
        <v>71</v>
      </c>
      <c r="DM74" s="138">
        <v>27</v>
      </c>
      <c r="DN74" s="171">
        <v>3.8876190476190478</v>
      </c>
      <c r="DO74" s="140">
        <f t="shared" si="261"/>
        <v>104.96571428571428</v>
      </c>
      <c r="DP74" s="154">
        <f>SUM(DO72:DO74)</f>
        <v>2233.720576085856</v>
      </c>
      <c r="DQ74" s="528"/>
      <c r="DR74" s="151"/>
      <c r="DS74" s="152"/>
      <c r="DT74" s="153" t="s">
        <v>71</v>
      </c>
      <c r="DU74" s="138">
        <v>29</v>
      </c>
      <c r="DV74" s="171">
        <v>3.8876190476190478</v>
      </c>
      <c r="DW74" s="140">
        <f t="shared" si="262"/>
        <v>112.74095238095238</v>
      </c>
      <c r="DX74" s="154">
        <f>SUM(DW72:DW74)</f>
        <v>2954.4108885964029</v>
      </c>
      <c r="DY74" s="528"/>
      <c r="DZ74" s="151"/>
      <c r="EA74" s="152"/>
      <c r="EB74" s="153" t="s">
        <v>71</v>
      </c>
      <c r="EC74" s="138">
        <v>23</v>
      </c>
      <c r="ED74" s="171">
        <v>3.8876190476190478</v>
      </c>
      <c r="EE74" s="140">
        <f t="shared" si="263"/>
        <v>89.415238095238095</v>
      </c>
      <c r="EF74" s="154">
        <f>SUM(EE72:EE74)</f>
        <v>1218.3260814687321</v>
      </c>
      <c r="EG74" s="528"/>
      <c r="EH74" s="151"/>
      <c r="EI74" s="152"/>
      <c r="EJ74" s="153" t="s">
        <v>71</v>
      </c>
      <c r="EK74" s="138">
        <v>0</v>
      </c>
      <c r="EL74" s="171">
        <v>3.8876190476190478</v>
      </c>
      <c r="EM74" s="140">
        <f t="shared" si="264"/>
        <v>0</v>
      </c>
      <c r="EN74" s="154">
        <f>SUM(EM72:EM74)</f>
        <v>2317.7638554216869</v>
      </c>
      <c r="EO74" s="528"/>
      <c r="EP74" s="151"/>
      <c r="EQ74" s="152"/>
      <c r="ER74" s="153" t="s">
        <v>71</v>
      </c>
      <c r="ES74" s="138">
        <v>17</v>
      </c>
      <c r="ET74" s="171">
        <v>3.8876190476190478</v>
      </c>
      <c r="EU74" s="140">
        <f t="shared" si="265"/>
        <v>66.089523809523811</v>
      </c>
      <c r="EV74" s="154">
        <f>SUM(EU72:EU74)</f>
        <v>416.56004826026799</v>
      </c>
      <c r="EW74" s="528"/>
      <c r="EX74" s="151"/>
      <c r="EY74" s="152"/>
      <c r="EZ74" s="153" t="s">
        <v>71</v>
      </c>
      <c r="FA74" s="138"/>
      <c r="FB74" s="171">
        <v>3.8876190476190478</v>
      </c>
      <c r="FC74" s="140">
        <f t="shared" si="266"/>
        <v>0</v>
      </c>
      <c r="FD74" s="154">
        <f>SUM(FC72:FC74)</f>
        <v>0</v>
      </c>
      <c r="FE74" s="528"/>
      <c r="FF74" s="151"/>
      <c r="FG74" s="152"/>
      <c r="FH74" s="153" t="s">
        <v>71</v>
      </c>
      <c r="FI74" s="138"/>
      <c r="FJ74" s="171">
        <v>3.8876190476190478</v>
      </c>
      <c r="FK74" s="140">
        <f t="shared" si="267"/>
        <v>0</v>
      </c>
      <c r="FL74" s="154">
        <f>SUM(FK72:FK74)</f>
        <v>0</v>
      </c>
      <c r="FM74" s="528"/>
      <c r="FN74" s="151"/>
      <c r="FO74" s="152"/>
      <c r="FP74" s="153" t="s">
        <v>71</v>
      </c>
      <c r="FQ74" s="138"/>
      <c r="FR74" s="171">
        <v>3.8876190476190478</v>
      </c>
      <c r="FS74" s="140">
        <f t="shared" si="268"/>
        <v>0</v>
      </c>
      <c r="FT74" s="154">
        <f>SUM(FS72:FS74)</f>
        <v>0</v>
      </c>
      <c r="FU74" s="528"/>
      <c r="FV74" s="151"/>
      <c r="FW74" s="152"/>
      <c r="FX74" s="153" t="s">
        <v>71</v>
      </c>
      <c r="FY74" s="138"/>
      <c r="FZ74" s="171">
        <v>3.8876190476190478</v>
      </c>
      <c r="GA74" s="140">
        <f t="shared" si="269"/>
        <v>0</v>
      </c>
      <c r="GB74" s="154">
        <f>SUM(GA72:GA74)</f>
        <v>0</v>
      </c>
      <c r="GC74" s="528"/>
      <c r="GD74" s="151"/>
      <c r="GE74" s="152"/>
      <c r="GF74" s="153" t="s">
        <v>71</v>
      </c>
      <c r="GG74" s="138"/>
      <c r="GH74" s="171">
        <v>3.8876190476190478</v>
      </c>
      <c r="GI74" s="140">
        <f t="shared" si="270"/>
        <v>0</v>
      </c>
      <c r="GJ74" s="154">
        <f>SUM(GI72:GI74)</f>
        <v>0</v>
      </c>
      <c r="GK74" s="528"/>
      <c r="GL74" s="151"/>
      <c r="GM74" s="152"/>
      <c r="GN74" s="153" t="s">
        <v>71</v>
      </c>
      <c r="GO74" s="138">
        <f>'[1]Jan_18_Vol weekly-Data-Entry'!$K$226</f>
        <v>0</v>
      </c>
      <c r="GP74" s="171">
        <v>3.8876190476190478</v>
      </c>
      <c r="GQ74" s="140">
        <f t="shared" si="271"/>
        <v>0</v>
      </c>
      <c r="GR74" s="154">
        <f>SUM(GQ72:GQ74)</f>
        <v>0</v>
      </c>
      <c r="GS74" s="528"/>
      <c r="GT74" s="151"/>
      <c r="GU74" s="152"/>
      <c r="GV74" s="153" t="s">
        <v>71</v>
      </c>
      <c r="GW74" s="138">
        <v>9</v>
      </c>
      <c r="GX74" s="171">
        <v>3.8876190476190478</v>
      </c>
      <c r="GY74" s="140">
        <f t="shared" si="272"/>
        <v>34.988571428571433</v>
      </c>
      <c r="GZ74" s="154">
        <f>SUM(GY72:GY74)</f>
        <v>34.988571428571433</v>
      </c>
      <c r="HA74" s="528"/>
      <c r="HB74" s="151"/>
      <c r="HC74" s="152"/>
      <c r="HD74" s="153" t="s">
        <v>71</v>
      </c>
      <c r="HE74" s="138">
        <v>0</v>
      </c>
      <c r="HF74" s="171">
        <v>3.8876190476190478</v>
      </c>
      <c r="HG74" s="140">
        <f t="shared" si="273"/>
        <v>0</v>
      </c>
      <c r="HH74" s="154">
        <f>SUM(HG72:HG74)</f>
        <v>849.18072289156635</v>
      </c>
      <c r="HI74" s="528"/>
      <c r="HJ74" s="151"/>
      <c r="HK74" s="152"/>
      <c r="HL74" s="153" t="s">
        <v>71</v>
      </c>
      <c r="HM74" s="138">
        <v>0</v>
      </c>
      <c r="HN74" s="171">
        <v>3.8876190476190478</v>
      </c>
      <c r="HO74" s="140">
        <f t="shared" si="274"/>
        <v>0</v>
      </c>
      <c r="HP74" s="154">
        <f>SUM(HO72:HO74)</f>
        <v>1808.255421686747</v>
      </c>
      <c r="HQ74" s="528"/>
      <c r="HR74" s="151"/>
      <c r="HS74" s="152"/>
      <c r="HT74" s="153" t="s">
        <v>71</v>
      </c>
      <c r="HU74" s="138">
        <v>0</v>
      </c>
      <c r="HV74" s="171">
        <v>3.8876190476190478</v>
      </c>
      <c r="HW74" s="140">
        <f t="shared" si="275"/>
        <v>0</v>
      </c>
      <c r="HX74" s="154">
        <f>SUM(HW72:HW74)</f>
        <v>1086.2299007795891</v>
      </c>
      <c r="HY74" s="528"/>
      <c r="HZ74" s="151"/>
      <c r="IA74" s="152"/>
      <c r="IB74" s="153" t="s">
        <v>71</v>
      </c>
      <c r="IC74" s="138">
        <v>0</v>
      </c>
      <c r="ID74" s="171">
        <v>3.8876190476190478</v>
      </c>
      <c r="IE74" s="140">
        <f t="shared" si="276"/>
        <v>0</v>
      </c>
      <c r="IF74" s="154">
        <f>SUM(IE72:IE74)</f>
        <v>989.04578313253023</v>
      </c>
      <c r="IG74" s="528"/>
      <c r="IH74" s="151"/>
      <c r="II74" s="152"/>
      <c r="IJ74" s="153" t="s">
        <v>71</v>
      </c>
      <c r="IK74" s="138">
        <v>0</v>
      </c>
      <c r="IL74" s="171">
        <v>3.8876190476190478</v>
      </c>
      <c r="IM74" s="140">
        <f t="shared" si="277"/>
        <v>0</v>
      </c>
      <c r="IN74" s="154">
        <f>SUM(IM72:IM74)</f>
        <v>399.61445783132535</v>
      </c>
      <c r="IO74" s="528"/>
      <c r="IP74" s="151"/>
      <c r="IQ74" s="152"/>
      <c r="IR74" s="153" t="s">
        <v>71</v>
      </c>
      <c r="IS74" s="138">
        <v>12</v>
      </c>
      <c r="IT74" s="171">
        <v>3.8876190476190478</v>
      </c>
      <c r="IU74" s="140">
        <f t="shared" si="278"/>
        <v>46.651428571428575</v>
      </c>
      <c r="IV74" s="154">
        <f>SUM(IU72:IU74)</f>
        <v>1205.5333562822721</v>
      </c>
      <c r="IW74" s="528"/>
      <c r="IX74" s="151"/>
      <c r="IY74" s="152"/>
      <c r="IZ74" s="153" t="s">
        <v>71</v>
      </c>
      <c r="JA74" s="138">
        <v>4</v>
      </c>
      <c r="JB74" s="171">
        <v>3.8876190476190478</v>
      </c>
      <c r="JC74" s="140">
        <f t="shared" si="279"/>
        <v>15.550476190476191</v>
      </c>
      <c r="JD74" s="154">
        <f>SUM(JC72:JC74)</f>
        <v>315.26131956397023</v>
      </c>
      <c r="JE74" s="528"/>
      <c r="JF74" s="151"/>
      <c r="JG74" s="152"/>
      <c r="JH74" s="153" t="s">
        <v>71</v>
      </c>
      <c r="JI74" s="138">
        <v>0</v>
      </c>
      <c r="JJ74" s="171">
        <v>3.8876190476190478</v>
      </c>
      <c r="JK74" s="140">
        <f t="shared" si="280"/>
        <v>0</v>
      </c>
      <c r="JL74" s="154">
        <f>SUM(JK72:JK74)</f>
        <v>609.41204819277107</v>
      </c>
      <c r="JM74" s="528"/>
      <c r="JN74" s="151"/>
      <c r="JO74" s="152"/>
      <c r="JP74" s="153" t="s">
        <v>71</v>
      </c>
      <c r="JQ74" s="138">
        <v>20</v>
      </c>
      <c r="JR74" s="171">
        <v>3.8876190476190478</v>
      </c>
      <c r="JS74" s="140">
        <f t="shared" si="281"/>
        <v>77.75238095238096</v>
      </c>
      <c r="JT74" s="154">
        <f>SUM(JS72:JS74)</f>
        <v>397.44394721744123</v>
      </c>
      <c r="JU74" s="528"/>
      <c r="JV74" s="151"/>
      <c r="JW74" s="152"/>
      <c r="JX74" s="153" t="s">
        <v>71</v>
      </c>
      <c r="JY74" s="138">
        <v>0</v>
      </c>
      <c r="JZ74" s="171">
        <v>3.8876190476190478</v>
      </c>
      <c r="KA74" s="140">
        <f t="shared" si="282"/>
        <v>0</v>
      </c>
      <c r="KB74" s="154">
        <f>SUM(KA72:KA74)</f>
        <v>1928.1397590361446</v>
      </c>
      <c r="KC74" s="528"/>
      <c r="KD74" s="151"/>
      <c r="KE74" s="152"/>
      <c r="KF74" s="153" t="s">
        <v>71</v>
      </c>
      <c r="KG74" s="138">
        <v>12</v>
      </c>
      <c r="KH74" s="171">
        <v>3.8876190476190478</v>
      </c>
      <c r="KI74" s="140">
        <f t="shared" si="283"/>
        <v>46.651428571428575</v>
      </c>
      <c r="KJ74" s="154">
        <f>SUM(KI72:KI74)</f>
        <v>968.18830312848036</v>
      </c>
      <c r="KK74" s="528"/>
      <c r="KL74" s="151"/>
      <c r="KM74" s="152"/>
      <c r="KN74" s="153" t="s">
        <v>71</v>
      </c>
      <c r="KO74" s="138">
        <v>0</v>
      </c>
      <c r="KP74" s="171">
        <v>3.8876190476190478</v>
      </c>
      <c r="KQ74" s="140">
        <f t="shared" si="284"/>
        <v>0</v>
      </c>
      <c r="KR74" s="154">
        <f>SUM(KQ72:KQ74)</f>
        <v>369.6433734939759</v>
      </c>
      <c r="KS74" s="528"/>
      <c r="KT74" s="151"/>
      <c r="KU74" s="152"/>
      <c r="KV74" s="153" t="s">
        <v>71</v>
      </c>
      <c r="KW74" s="138">
        <v>0</v>
      </c>
      <c r="KX74" s="171">
        <v>3.8876190476190478</v>
      </c>
      <c r="KY74" s="140">
        <f t="shared" si="285"/>
        <v>0</v>
      </c>
      <c r="KZ74" s="154">
        <f>SUM(KY72:KY74)</f>
        <v>1378.6698795180723</v>
      </c>
      <c r="LA74" s="528"/>
      <c r="LB74" s="151"/>
      <c r="LC74" s="152"/>
      <c r="LD74" s="153" t="s">
        <v>71</v>
      </c>
      <c r="LE74" s="138">
        <v>0</v>
      </c>
      <c r="LF74" s="171">
        <v>3.8876190476190478</v>
      </c>
      <c r="LG74" s="140">
        <f t="shared" si="286"/>
        <v>0</v>
      </c>
      <c r="LH74" s="154">
        <f>SUM(LG72:LG74)</f>
        <v>669.35421686746997</v>
      </c>
      <c r="LI74" s="528"/>
      <c r="LJ74" s="151"/>
      <c r="LK74" s="152"/>
      <c r="LL74" s="153" t="s">
        <v>71</v>
      </c>
      <c r="LM74" s="175">
        <v>0</v>
      </c>
      <c r="LN74" s="148">
        <v>3.8876190476190478</v>
      </c>
      <c r="LO74" s="140">
        <f t="shared" si="287"/>
        <v>0</v>
      </c>
      <c r="LP74" s="154">
        <f>SUM(LO72:LO74)</f>
        <v>1058.9783132530122</v>
      </c>
      <c r="LQ74" s="528"/>
      <c r="LR74" s="151"/>
      <c r="LS74" s="152"/>
      <c r="LT74" s="153" t="s">
        <v>71</v>
      </c>
      <c r="LU74" s="175">
        <v>0</v>
      </c>
      <c r="LV74" s="148">
        <v>3.8876190476190478</v>
      </c>
      <c r="LW74" s="140">
        <f t="shared" si="288"/>
        <v>0</v>
      </c>
      <c r="LX74" s="154">
        <f>SUM(LW72:LW74)</f>
        <v>469.54698795180724</v>
      </c>
      <c r="LY74" s="528"/>
      <c r="LZ74" s="151"/>
      <c r="MA74" s="152"/>
      <c r="MB74" s="153" t="s">
        <v>71</v>
      </c>
      <c r="MC74" s="175">
        <v>16</v>
      </c>
      <c r="MD74" s="148">
        <v>3.8876190476190478</v>
      </c>
      <c r="ME74" s="140">
        <f t="shared" si="289"/>
        <v>62.201904761904764</v>
      </c>
      <c r="MF74" s="154">
        <f>SUM(ME72:ME74)</f>
        <v>631.65250717154333</v>
      </c>
      <c r="MG74" s="528"/>
      <c r="MH74" s="151"/>
      <c r="MI74" s="152"/>
      <c r="MJ74" s="153" t="s">
        <v>71</v>
      </c>
      <c r="MK74" s="175">
        <v>5</v>
      </c>
      <c r="ML74" s="148">
        <v>3.8876190476190478</v>
      </c>
      <c r="MM74" s="140">
        <f t="shared" si="290"/>
        <v>19.43809523809524</v>
      </c>
      <c r="MN74" s="154">
        <f>SUM(MM72:MM74)</f>
        <v>1514.8328578178259</v>
      </c>
      <c r="MO74" s="528"/>
      <c r="MP74" s="151"/>
      <c r="MQ74" s="152"/>
      <c r="MR74" s="153" t="s">
        <v>71</v>
      </c>
      <c r="MS74" s="175">
        <v>2</v>
      </c>
      <c r="MT74" s="148">
        <v>3.8876190476190478</v>
      </c>
      <c r="MU74" s="140">
        <f t="shared" si="291"/>
        <v>7.7752380952380955</v>
      </c>
      <c r="MV74" s="154">
        <f>SUM(MU72:MU74)</f>
        <v>667.13909351692496</v>
      </c>
      <c r="MW74" s="528"/>
      <c r="MX74" s="114"/>
      <c r="MY74" s="115"/>
      <c r="MZ74" s="116"/>
      <c r="NA74" s="115"/>
      <c r="NB74" s="115"/>
      <c r="NC74" s="117"/>
      <c r="ND74" s="118"/>
      <c r="NE74" s="528"/>
      <c r="NF74" s="114"/>
      <c r="NG74" s="115"/>
      <c r="NH74" s="116"/>
      <c r="NI74" s="115"/>
      <c r="NJ74" s="115"/>
      <c r="NK74" s="117"/>
      <c r="NL74" s="118"/>
      <c r="NM74" s="528"/>
      <c r="NN74" s="114"/>
      <c r="NO74" s="115"/>
      <c r="NP74" s="116"/>
      <c r="NQ74" s="115"/>
      <c r="NR74" s="115"/>
      <c r="NS74" s="117"/>
      <c r="NT74" s="118"/>
      <c r="NU74" s="528"/>
      <c r="NV74" s="114"/>
      <c r="NW74" s="115"/>
      <c r="NX74" s="116"/>
      <c r="NY74" s="115"/>
      <c r="NZ74" s="115"/>
      <c r="OA74" s="117"/>
      <c r="OB74" s="118"/>
      <c r="OC74" s="528"/>
      <c r="OD74" s="114"/>
      <c r="OE74" s="115"/>
      <c r="OF74" s="116"/>
      <c r="OG74" s="115"/>
      <c r="OH74" s="115"/>
      <c r="OI74" s="117"/>
      <c r="OJ74" s="118"/>
      <c r="OK74" s="528"/>
      <c r="OL74" s="114"/>
      <c r="OM74" s="115"/>
      <c r="ON74" s="116"/>
      <c r="OO74" s="115"/>
      <c r="OP74" s="115"/>
      <c r="OQ74" s="117"/>
      <c r="OR74" s="118"/>
      <c r="OS74" s="528"/>
      <c r="OT74" s="114"/>
      <c r="OU74" s="115"/>
      <c r="OV74" s="116"/>
      <c r="OW74" s="115"/>
      <c r="OX74" s="115"/>
      <c r="OY74" s="117"/>
      <c r="OZ74" s="118"/>
      <c r="PA74" s="528"/>
      <c r="PB74" s="114"/>
      <c r="PC74" s="115"/>
      <c r="PD74" s="116"/>
      <c r="PE74" s="115"/>
      <c r="PF74" s="115"/>
      <c r="PG74" s="117"/>
      <c r="PH74" s="118"/>
      <c r="PI74" s="528"/>
      <c r="PJ74" s="114"/>
      <c r="PK74" s="115"/>
      <c r="PL74" s="116"/>
      <c r="PM74" s="115"/>
      <c r="PN74" s="115"/>
      <c r="PO74" s="117"/>
      <c r="PP74" s="118"/>
      <c r="PQ74" s="528"/>
      <c r="PR74" s="114"/>
      <c r="PS74" s="115"/>
      <c r="PT74" s="116"/>
      <c r="PU74" s="115"/>
      <c r="PV74" s="115"/>
      <c r="PW74" s="117"/>
      <c r="PX74" s="118"/>
      <c r="PY74" s="528"/>
      <c r="PZ74" s="114"/>
      <c r="QA74" s="115"/>
      <c r="QB74" s="116"/>
      <c r="QC74" s="115"/>
      <c r="QD74" s="115"/>
      <c r="QE74" s="117"/>
      <c r="QF74" s="118"/>
      <c r="QG74" s="528"/>
      <c r="QH74" s="114"/>
      <c r="QI74" s="115"/>
      <c r="QJ74" s="116"/>
      <c r="QK74" s="115"/>
      <c r="QL74" s="115"/>
      <c r="QM74" s="117"/>
      <c r="QN74" s="118"/>
      <c r="QO74" s="528"/>
      <c r="QP74" s="114"/>
      <c r="QQ74" s="115"/>
      <c r="QR74" s="116"/>
      <c r="QS74" s="115"/>
      <c r="QT74" s="115"/>
      <c r="QU74" s="117"/>
      <c r="QV74" s="118"/>
      <c r="QW74" s="528"/>
      <c r="QX74" s="114"/>
      <c r="QY74" s="115"/>
      <c r="QZ74" s="116"/>
      <c r="RA74" s="115"/>
      <c r="RB74" s="115"/>
      <c r="RC74" s="117"/>
      <c r="RD74" s="118"/>
      <c r="RE74" s="528"/>
      <c r="RF74" s="114"/>
      <c r="RG74" s="115"/>
      <c r="RH74" s="116"/>
      <c r="RI74" s="115"/>
      <c r="RJ74" s="115"/>
      <c r="RK74" s="117"/>
      <c r="RL74" s="118"/>
      <c r="RM74" s="528"/>
      <c r="RN74" s="114"/>
      <c r="RO74" s="115"/>
      <c r="RP74" s="116"/>
      <c r="RQ74" s="115"/>
      <c r="RR74" s="115"/>
      <c r="RS74" s="117"/>
      <c r="RT74" s="118"/>
      <c r="RU74" s="528"/>
      <c r="RV74" s="114"/>
      <c r="RW74" s="115"/>
      <c r="RX74" s="116"/>
      <c r="RY74" s="115"/>
      <c r="RZ74" s="115"/>
      <c r="SA74" s="117"/>
      <c r="SB74" s="118"/>
      <c r="SC74" s="528"/>
      <c r="SD74" s="114"/>
      <c r="SE74" s="115"/>
      <c r="SF74" s="116"/>
      <c r="SG74" s="115"/>
      <c r="SH74" s="115"/>
      <c r="SI74" s="117"/>
      <c r="SJ74" s="118"/>
      <c r="SK74" s="528"/>
      <c r="SL74" s="114"/>
      <c r="SM74" s="115"/>
      <c r="SN74" s="116"/>
      <c r="SO74" s="115"/>
      <c r="SP74" s="115"/>
      <c r="SQ74" s="117"/>
      <c r="SR74" s="118"/>
      <c r="SS74" s="528"/>
      <c r="ST74" s="114"/>
      <c r="SU74" s="115"/>
      <c r="SV74" s="116"/>
      <c r="SW74" s="115"/>
      <c r="SX74" s="115"/>
      <c r="SY74" s="117"/>
      <c r="SZ74" s="118"/>
      <c r="TA74" s="528"/>
      <c r="TB74" s="114"/>
      <c r="TC74" s="115"/>
      <c r="TD74" s="116"/>
      <c r="TE74" s="115"/>
      <c r="TF74" s="115"/>
      <c r="TG74" s="117"/>
      <c r="TH74" s="118"/>
      <c r="TI74" s="528"/>
    </row>
    <row r="75" spans="2:529">
      <c r="B75" s="155" t="s">
        <v>72</v>
      </c>
      <c r="C75" s="156">
        <v>49</v>
      </c>
      <c r="D75" s="157" t="s">
        <v>10</v>
      </c>
      <c r="E75" s="138">
        <v>407</v>
      </c>
      <c r="F75" s="170">
        <v>7.5448192771084326</v>
      </c>
      <c r="G75" s="140">
        <f t="shared" si="247"/>
        <v>3070.7414457831319</v>
      </c>
      <c r="H75" s="149"/>
      <c r="I75" s="528"/>
      <c r="J75" s="155" t="s">
        <v>72</v>
      </c>
      <c r="K75" s="156">
        <v>9</v>
      </c>
      <c r="L75" s="157" t="s">
        <v>10</v>
      </c>
      <c r="M75" s="138">
        <v>159</v>
      </c>
      <c r="N75" s="170">
        <v>7.5448192771084326</v>
      </c>
      <c r="O75" s="140">
        <f t="shared" si="248"/>
        <v>1199.6262650602407</v>
      </c>
      <c r="P75" s="149"/>
      <c r="Q75" s="528"/>
      <c r="R75" s="155" t="s">
        <v>72</v>
      </c>
      <c r="S75" s="156">
        <v>25</v>
      </c>
      <c r="T75" s="157" t="s">
        <v>10</v>
      </c>
      <c r="U75" s="138">
        <v>175</v>
      </c>
      <c r="V75" s="170">
        <v>7.5448192771084326</v>
      </c>
      <c r="W75" s="140">
        <f t="shared" si="249"/>
        <v>1320.3433734939756</v>
      </c>
      <c r="X75" s="149"/>
      <c r="Y75" s="528"/>
      <c r="Z75" s="155" t="s">
        <v>72</v>
      </c>
      <c r="AA75" s="156">
        <v>11</v>
      </c>
      <c r="AB75" s="157" t="s">
        <v>10</v>
      </c>
      <c r="AC75" s="138">
        <v>41</v>
      </c>
      <c r="AD75" s="170">
        <v>7.5448192771084326</v>
      </c>
      <c r="AE75" s="140">
        <f t="shared" si="250"/>
        <v>309.33759036144573</v>
      </c>
      <c r="AF75" s="149"/>
      <c r="AG75" s="528"/>
      <c r="AH75" s="155" t="s">
        <v>72</v>
      </c>
      <c r="AI75" s="156">
        <v>11</v>
      </c>
      <c r="AJ75" s="157" t="s">
        <v>10</v>
      </c>
      <c r="AK75" s="138">
        <v>60</v>
      </c>
      <c r="AL75" s="170">
        <v>7.5448192771084326</v>
      </c>
      <c r="AM75" s="140">
        <f t="shared" si="251"/>
        <v>452.68915662650596</v>
      </c>
      <c r="AN75" s="149"/>
      <c r="AO75" s="528"/>
      <c r="AP75" s="155" t="s">
        <v>72</v>
      </c>
      <c r="AQ75" s="156">
        <v>13</v>
      </c>
      <c r="AR75" s="157" t="s">
        <v>10</v>
      </c>
      <c r="AS75" s="138">
        <v>131</v>
      </c>
      <c r="AT75" s="170">
        <v>7.5448192771084326</v>
      </c>
      <c r="AU75" s="140">
        <f t="shared" si="252"/>
        <v>988.37132530120471</v>
      </c>
      <c r="AV75" s="149"/>
      <c r="AW75" s="528"/>
      <c r="AX75" s="155" t="s">
        <v>72</v>
      </c>
      <c r="AY75" s="156"/>
      <c r="AZ75" s="157" t="s">
        <v>10</v>
      </c>
      <c r="BA75" s="138"/>
      <c r="BB75" s="170">
        <v>7.5448192771084326</v>
      </c>
      <c r="BC75" s="140">
        <f t="shared" si="253"/>
        <v>0</v>
      </c>
      <c r="BD75" s="149"/>
      <c r="BE75" s="528"/>
      <c r="BF75" s="155" t="s">
        <v>72</v>
      </c>
      <c r="BG75" s="156">
        <v>7</v>
      </c>
      <c r="BH75" s="157" t="s">
        <v>10</v>
      </c>
      <c r="BI75" s="138">
        <v>47</v>
      </c>
      <c r="BJ75" s="170">
        <v>7.5448192771084326</v>
      </c>
      <c r="BK75" s="140">
        <f t="shared" si="254"/>
        <v>354.60650602409635</v>
      </c>
      <c r="BL75" s="149"/>
      <c r="BM75" s="528"/>
      <c r="BN75" s="155" t="s">
        <v>72</v>
      </c>
      <c r="BO75" s="156">
        <v>3</v>
      </c>
      <c r="BP75" s="157" t="s">
        <v>10</v>
      </c>
      <c r="BQ75" s="138">
        <v>187</v>
      </c>
      <c r="BR75" s="170">
        <v>7.5448192771084326</v>
      </c>
      <c r="BS75" s="140">
        <f t="shared" si="255"/>
        <v>1410.8812048192769</v>
      </c>
      <c r="BT75" s="149"/>
      <c r="BU75" s="528"/>
      <c r="BV75" s="572" t="s">
        <v>72</v>
      </c>
      <c r="BW75" s="573"/>
      <c r="BX75" s="574" t="s">
        <v>10</v>
      </c>
      <c r="BY75" s="560"/>
      <c r="BZ75" s="585">
        <v>7.5448192771084326</v>
      </c>
      <c r="CA75" s="562">
        <f t="shared" si="256"/>
        <v>0</v>
      </c>
      <c r="CB75" s="568"/>
      <c r="CC75" s="528"/>
      <c r="CD75" s="572" t="s">
        <v>72</v>
      </c>
      <c r="CE75" s="573"/>
      <c r="CF75" s="574" t="s">
        <v>10</v>
      </c>
      <c r="CG75" s="560"/>
      <c r="CH75" s="585">
        <v>7.5448192771084326</v>
      </c>
      <c r="CI75" s="562">
        <f t="shared" si="257"/>
        <v>0</v>
      </c>
      <c r="CJ75" s="568"/>
      <c r="CK75" s="528"/>
      <c r="CL75" s="155" t="s">
        <v>72</v>
      </c>
      <c r="CM75" s="156"/>
      <c r="CN75" s="157" t="s">
        <v>10</v>
      </c>
      <c r="CO75" s="138"/>
      <c r="CP75" s="170">
        <v>7.5448192771084326</v>
      </c>
      <c r="CQ75" s="140">
        <f t="shared" si="258"/>
        <v>0</v>
      </c>
      <c r="CR75" s="149"/>
      <c r="CS75" s="528"/>
      <c r="CT75" s="155" t="s">
        <v>72</v>
      </c>
      <c r="CU75" s="156">
        <v>7</v>
      </c>
      <c r="CV75" s="157" t="s">
        <v>10</v>
      </c>
      <c r="CW75" s="138">
        <v>107</v>
      </c>
      <c r="CX75" s="170">
        <v>7.5448192771084326</v>
      </c>
      <c r="CY75" s="140">
        <f t="shared" si="259"/>
        <v>807.29566265060225</v>
      </c>
      <c r="CZ75" s="149"/>
      <c r="DA75" s="528"/>
      <c r="DB75" s="155" t="s">
        <v>72</v>
      </c>
      <c r="DC75" s="156"/>
      <c r="DD75" s="157" t="s">
        <v>10</v>
      </c>
      <c r="DE75" s="138"/>
      <c r="DF75" s="170">
        <v>7.5448192771084326</v>
      </c>
      <c r="DG75" s="140">
        <f t="shared" si="260"/>
        <v>0</v>
      </c>
      <c r="DH75" s="149"/>
      <c r="DI75" s="528"/>
      <c r="DJ75" s="155" t="s">
        <v>72</v>
      </c>
      <c r="DK75" s="156">
        <v>45</v>
      </c>
      <c r="DL75" s="157" t="s">
        <v>10</v>
      </c>
      <c r="DM75" s="138">
        <v>402</v>
      </c>
      <c r="DN75" s="170">
        <v>7.5448192771084326</v>
      </c>
      <c r="DO75" s="140">
        <f t="shared" si="261"/>
        <v>3033.0173493975899</v>
      </c>
      <c r="DP75" s="149"/>
      <c r="DQ75" s="528"/>
      <c r="DR75" s="155" t="s">
        <v>72</v>
      </c>
      <c r="DS75" s="156">
        <v>49</v>
      </c>
      <c r="DT75" s="157" t="s">
        <v>10</v>
      </c>
      <c r="DU75" s="138">
        <v>531</v>
      </c>
      <c r="DV75" s="170">
        <v>7.5448192771084326</v>
      </c>
      <c r="DW75" s="140">
        <f t="shared" si="262"/>
        <v>4006.2990361445777</v>
      </c>
      <c r="DX75" s="149"/>
      <c r="DY75" s="528"/>
      <c r="DZ75" s="155" t="s">
        <v>72</v>
      </c>
      <c r="EA75" s="156">
        <v>17</v>
      </c>
      <c r="EB75" s="157" t="s">
        <v>10</v>
      </c>
      <c r="EC75" s="138">
        <v>9</v>
      </c>
      <c r="ED75" s="170">
        <v>7.5448192771084326</v>
      </c>
      <c r="EE75" s="140">
        <f t="shared" si="263"/>
        <v>67.903373493975892</v>
      </c>
      <c r="EF75" s="149"/>
      <c r="EG75" s="528"/>
      <c r="EH75" s="155" t="s">
        <v>72</v>
      </c>
      <c r="EI75" s="156">
        <v>20</v>
      </c>
      <c r="EJ75" s="157" t="s">
        <v>10</v>
      </c>
      <c r="EK75" s="138">
        <v>193</v>
      </c>
      <c r="EL75" s="170">
        <v>7.5448192771084326</v>
      </c>
      <c r="EM75" s="140">
        <f t="shared" si="264"/>
        <v>1456.1501204819274</v>
      </c>
      <c r="EN75" s="149"/>
      <c r="EO75" s="528"/>
      <c r="EP75" s="155" t="s">
        <v>72</v>
      </c>
      <c r="EQ75" s="156">
        <v>6</v>
      </c>
      <c r="ER75" s="157" t="s">
        <v>10</v>
      </c>
      <c r="ES75" s="138">
        <v>60</v>
      </c>
      <c r="ET75" s="170">
        <v>7.5448192771084326</v>
      </c>
      <c r="EU75" s="140">
        <f t="shared" si="265"/>
        <v>452.68915662650596</v>
      </c>
      <c r="EV75" s="149"/>
      <c r="EW75" s="528"/>
      <c r="EX75" s="155" t="s">
        <v>72</v>
      </c>
      <c r="EY75" s="156"/>
      <c r="EZ75" s="157" t="s">
        <v>10</v>
      </c>
      <c r="FA75" s="138"/>
      <c r="FB75" s="170">
        <v>7.5448192771084326</v>
      </c>
      <c r="FC75" s="140">
        <f t="shared" si="266"/>
        <v>0</v>
      </c>
      <c r="FD75" s="149"/>
      <c r="FE75" s="528"/>
      <c r="FF75" s="155" t="s">
        <v>72</v>
      </c>
      <c r="FG75" s="156"/>
      <c r="FH75" s="157" t="s">
        <v>10</v>
      </c>
      <c r="FI75" s="138"/>
      <c r="FJ75" s="170">
        <v>7.5448192771084326</v>
      </c>
      <c r="FK75" s="140">
        <f t="shared" si="267"/>
        <v>0</v>
      </c>
      <c r="FL75" s="149"/>
      <c r="FM75" s="528"/>
      <c r="FN75" s="155" t="s">
        <v>72</v>
      </c>
      <c r="FO75" s="156"/>
      <c r="FP75" s="157" t="s">
        <v>10</v>
      </c>
      <c r="FQ75" s="138"/>
      <c r="FR75" s="170">
        <v>7.5448192771084326</v>
      </c>
      <c r="FS75" s="140">
        <f t="shared" si="268"/>
        <v>0</v>
      </c>
      <c r="FT75" s="149"/>
      <c r="FU75" s="528"/>
      <c r="FV75" s="155" t="s">
        <v>72</v>
      </c>
      <c r="FW75" s="156"/>
      <c r="FX75" s="157" t="s">
        <v>10</v>
      </c>
      <c r="FY75" s="138"/>
      <c r="FZ75" s="170">
        <v>7.5448192771084326</v>
      </c>
      <c r="GA75" s="140">
        <f t="shared" si="269"/>
        <v>0</v>
      </c>
      <c r="GB75" s="149"/>
      <c r="GC75" s="528"/>
      <c r="GD75" s="155" t="s">
        <v>72</v>
      </c>
      <c r="GE75" s="156"/>
      <c r="GF75" s="157" t="s">
        <v>10</v>
      </c>
      <c r="GG75" s="138"/>
      <c r="GH75" s="170">
        <v>7.5448192771084326</v>
      </c>
      <c r="GI75" s="140">
        <f t="shared" si="270"/>
        <v>0</v>
      </c>
      <c r="GJ75" s="149"/>
      <c r="GK75" s="528"/>
      <c r="GL75" s="155" t="s">
        <v>72</v>
      </c>
      <c r="GM75" s="156">
        <v>6</v>
      </c>
      <c r="GN75" s="157" t="s">
        <v>10</v>
      </c>
      <c r="GO75" s="138">
        <f>'[1]Jan_18_Vol weekly-Data-Entry'!$M$226</f>
        <v>0</v>
      </c>
      <c r="GP75" s="170">
        <v>7.5448192771084326</v>
      </c>
      <c r="GQ75" s="140">
        <f t="shared" si="271"/>
        <v>0</v>
      </c>
      <c r="GR75" s="149"/>
      <c r="GS75" s="528"/>
      <c r="GT75" s="155" t="s">
        <v>72</v>
      </c>
      <c r="GU75" s="156">
        <v>8</v>
      </c>
      <c r="GV75" s="157" t="s">
        <v>10</v>
      </c>
      <c r="GW75" s="138">
        <v>131</v>
      </c>
      <c r="GX75" s="170">
        <v>7.5448192771084326</v>
      </c>
      <c r="GY75" s="140">
        <f t="shared" si="272"/>
        <v>988.37132530120471</v>
      </c>
      <c r="GZ75" s="149"/>
      <c r="HA75" s="528"/>
      <c r="HB75" s="155" t="s">
        <v>72</v>
      </c>
      <c r="HC75" s="156">
        <v>16</v>
      </c>
      <c r="HD75" s="157" t="s">
        <v>10</v>
      </c>
      <c r="HE75" s="138">
        <v>175</v>
      </c>
      <c r="HF75" s="170">
        <v>7.5448192771084326</v>
      </c>
      <c r="HG75" s="140">
        <f t="shared" si="273"/>
        <v>1320.3433734939756</v>
      </c>
      <c r="HH75" s="149"/>
      <c r="HI75" s="528"/>
      <c r="HJ75" s="155" t="s">
        <v>72</v>
      </c>
      <c r="HK75" s="156">
        <v>51</v>
      </c>
      <c r="HL75" s="157" t="s">
        <v>10</v>
      </c>
      <c r="HM75" s="138">
        <v>386</v>
      </c>
      <c r="HN75" s="170">
        <v>7.5448192771084326</v>
      </c>
      <c r="HO75" s="140">
        <f t="shared" si="274"/>
        <v>2912.3002409638548</v>
      </c>
      <c r="HP75" s="149"/>
      <c r="HQ75" s="528"/>
      <c r="HR75" s="155" t="s">
        <v>72</v>
      </c>
      <c r="HS75" s="156">
        <v>36</v>
      </c>
      <c r="HT75" s="157" t="s">
        <v>10</v>
      </c>
      <c r="HU75" s="138">
        <v>213</v>
      </c>
      <c r="HV75" s="170">
        <v>7.5448192771084326</v>
      </c>
      <c r="HW75" s="140">
        <f t="shared" si="275"/>
        <v>1607.0465060240961</v>
      </c>
      <c r="HX75" s="149"/>
      <c r="HY75" s="528"/>
      <c r="HZ75" s="155" t="s">
        <v>72</v>
      </c>
      <c r="IA75" s="156">
        <v>36</v>
      </c>
      <c r="IB75" s="157" t="s">
        <v>10</v>
      </c>
      <c r="IC75" s="138">
        <v>213</v>
      </c>
      <c r="ID75" s="170">
        <v>7.5448192771084326</v>
      </c>
      <c r="IE75" s="140">
        <f t="shared" si="276"/>
        <v>1607.0465060240961</v>
      </c>
      <c r="IF75" s="149"/>
      <c r="IG75" s="528"/>
      <c r="IH75" s="155" t="s">
        <v>72</v>
      </c>
      <c r="II75" s="156">
        <v>25</v>
      </c>
      <c r="IJ75" s="157" t="s">
        <v>10</v>
      </c>
      <c r="IK75" s="138">
        <v>288</v>
      </c>
      <c r="IL75" s="170">
        <v>7.5448192771084326</v>
      </c>
      <c r="IM75" s="140">
        <f t="shared" si="277"/>
        <v>2172.9079518072285</v>
      </c>
      <c r="IN75" s="149"/>
      <c r="IO75" s="528"/>
      <c r="IP75" s="155" t="s">
        <v>72</v>
      </c>
      <c r="IQ75" s="156">
        <v>37</v>
      </c>
      <c r="IR75" s="157" t="s">
        <v>10</v>
      </c>
      <c r="IS75" s="138">
        <v>231</v>
      </c>
      <c r="IT75" s="170">
        <v>7.5448192771084326</v>
      </c>
      <c r="IU75" s="140">
        <f t="shared" si="278"/>
        <v>1742.8532530120478</v>
      </c>
      <c r="IV75" s="149"/>
      <c r="IW75" s="528"/>
      <c r="IX75" s="155" t="s">
        <v>72</v>
      </c>
      <c r="IY75" s="156">
        <v>14</v>
      </c>
      <c r="IZ75" s="157" t="s">
        <v>10</v>
      </c>
      <c r="JA75" s="138">
        <v>123</v>
      </c>
      <c r="JB75" s="170">
        <v>7.5448192771084326</v>
      </c>
      <c r="JC75" s="140">
        <f t="shared" si="279"/>
        <v>928.01277108433726</v>
      </c>
      <c r="JD75" s="149"/>
      <c r="JE75" s="528"/>
      <c r="JF75" s="155" t="s">
        <v>72</v>
      </c>
      <c r="JG75" s="156">
        <v>14</v>
      </c>
      <c r="JH75" s="157" t="s">
        <v>10</v>
      </c>
      <c r="JI75" s="138">
        <v>95</v>
      </c>
      <c r="JJ75" s="170">
        <v>7.5448192771084326</v>
      </c>
      <c r="JK75" s="140">
        <f t="shared" si="280"/>
        <v>716.75783132530114</v>
      </c>
      <c r="JL75" s="149"/>
      <c r="JM75" s="528"/>
      <c r="JN75" s="155" t="s">
        <v>72</v>
      </c>
      <c r="JO75" s="156">
        <v>16</v>
      </c>
      <c r="JP75" s="157" t="s">
        <v>10</v>
      </c>
      <c r="JQ75" s="138">
        <v>197</v>
      </c>
      <c r="JR75" s="170">
        <v>7.5448192771084326</v>
      </c>
      <c r="JS75" s="140">
        <f t="shared" si="281"/>
        <v>1486.3293975903612</v>
      </c>
      <c r="JT75" s="149"/>
      <c r="JU75" s="528"/>
      <c r="JV75" s="155" t="s">
        <v>72</v>
      </c>
      <c r="JW75" s="156">
        <v>36</v>
      </c>
      <c r="JX75" s="157" t="s">
        <v>10</v>
      </c>
      <c r="JY75" s="138">
        <v>185</v>
      </c>
      <c r="JZ75" s="170">
        <v>7.5448192771084326</v>
      </c>
      <c r="KA75" s="140">
        <f t="shared" si="282"/>
        <v>1395.7915662650601</v>
      </c>
      <c r="KB75" s="149"/>
      <c r="KC75" s="528"/>
      <c r="KD75" s="155" t="s">
        <v>72</v>
      </c>
      <c r="KE75" s="156">
        <v>26</v>
      </c>
      <c r="KF75" s="157" t="s">
        <v>10</v>
      </c>
      <c r="KG75" s="138">
        <v>407</v>
      </c>
      <c r="KH75" s="170">
        <v>7.5448192771084326</v>
      </c>
      <c r="KI75" s="140">
        <f t="shared" si="283"/>
        <v>3070.7414457831319</v>
      </c>
      <c r="KJ75" s="149"/>
      <c r="KK75" s="528"/>
      <c r="KL75" s="155" t="s">
        <v>72</v>
      </c>
      <c r="KM75" s="156">
        <v>9</v>
      </c>
      <c r="KN75" s="157" t="s">
        <v>10</v>
      </c>
      <c r="KO75" s="138">
        <v>159</v>
      </c>
      <c r="KP75" s="170">
        <v>7.5448192771084326</v>
      </c>
      <c r="KQ75" s="140">
        <f t="shared" si="284"/>
        <v>1199.6262650602407</v>
      </c>
      <c r="KR75" s="149"/>
      <c r="KS75" s="528"/>
      <c r="KT75" s="155" t="s">
        <v>72</v>
      </c>
      <c r="KU75" s="156">
        <v>20</v>
      </c>
      <c r="KV75" s="157" t="s">
        <v>10</v>
      </c>
      <c r="KW75" s="138">
        <v>371</v>
      </c>
      <c r="KX75" s="170">
        <v>7.5448192771084326</v>
      </c>
      <c r="KY75" s="140">
        <f t="shared" si="285"/>
        <v>2799.1279518072283</v>
      </c>
      <c r="KZ75" s="149"/>
      <c r="LA75" s="528"/>
      <c r="LB75" s="155" t="s">
        <v>72</v>
      </c>
      <c r="LC75" s="156">
        <v>17</v>
      </c>
      <c r="LD75" s="157" t="s">
        <v>10</v>
      </c>
      <c r="LE75" s="138">
        <v>126</v>
      </c>
      <c r="LF75" s="170">
        <v>7.5448192771084326</v>
      </c>
      <c r="LG75" s="140">
        <f t="shared" si="286"/>
        <v>950.64722891566248</v>
      </c>
      <c r="LH75" s="149"/>
      <c r="LI75" s="528"/>
      <c r="LJ75" s="155" t="s">
        <v>72</v>
      </c>
      <c r="LK75" s="156">
        <v>27</v>
      </c>
      <c r="LL75" s="157" t="s">
        <v>10</v>
      </c>
      <c r="LM75" s="175">
        <v>112</v>
      </c>
      <c r="LN75" s="139">
        <v>7.5448192771084326</v>
      </c>
      <c r="LO75" s="140">
        <f t="shared" si="287"/>
        <v>845.01975903614448</v>
      </c>
      <c r="LP75" s="149"/>
      <c r="LQ75" s="528"/>
      <c r="LR75" s="155" t="s">
        <v>72</v>
      </c>
      <c r="LS75" s="156">
        <v>29</v>
      </c>
      <c r="LT75" s="157" t="s">
        <v>10</v>
      </c>
      <c r="LU75" s="175">
        <v>117</v>
      </c>
      <c r="LV75" s="139">
        <v>7.5448192771084326</v>
      </c>
      <c r="LW75" s="140">
        <f t="shared" si="288"/>
        <v>882.74385542168659</v>
      </c>
      <c r="LX75" s="149"/>
      <c r="LY75" s="528"/>
      <c r="LZ75" s="155" t="s">
        <v>72</v>
      </c>
      <c r="MA75" s="156">
        <v>9</v>
      </c>
      <c r="MB75" s="157" t="s">
        <v>10</v>
      </c>
      <c r="MC75" s="175">
        <v>24</v>
      </c>
      <c r="MD75" s="139">
        <v>7.5448192771084326</v>
      </c>
      <c r="ME75" s="140">
        <f t="shared" si="289"/>
        <v>181.0756626506024</v>
      </c>
      <c r="MF75" s="149"/>
      <c r="MG75" s="528"/>
      <c r="MH75" s="155" t="s">
        <v>72</v>
      </c>
      <c r="MI75" s="156">
        <v>24</v>
      </c>
      <c r="MJ75" s="157" t="s">
        <v>10</v>
      </c>
      <c r="MK75" s="175">
        <v>81</v>
      </c>
      <c r="ML75" s="139">
        <v>7.5448192771084326</v>
      </c>
      <c r="MM75" s="140">
        <f t="shared" si="290"/>
        <v>611.13036144578302</v>
      </c>
      <c r="MN75" s="149"/>
      <c r="MO75" s="528"/>
      <c r="MP75" s="155" t="s">
        <v>72</v>
      </c>
      <c r="MQ75" s="156">
        <v>26</v>
      </c>
      <c r="MR75" s="157" t="s">
        <v>10</v>
      </c>
      <c r="MS75" s="175">
        <v>182</v>
      </c>
      <c r="MT75" s="139">
        <v>7.5448192771084326</v>
      </c>
      <c r="MU75" s="140">
        <f t="shared" si="291"/>
        <v>1373.1571084337347</v>
      </c>
      <c r="MV75" s="149"/>
      <c r="MW75" s="528"/>
      <c r="MX75" s="114"/>
      <c r="MY75" s="115"/>
      <c r="MZ75" s="119" t="s">
        <v>246</v>
      </c>
      <c r="NA75" s="120"/>
      <c r="NB75" s="115"/>
      <c r="NC75" s="117"/>
      <c r="ND75" s="118"/>
      <c r="NE75" s="528"/>
      <c r="NF75" s="114"/>
      <c r="NG75" s="115"/>
      <c r="NH75" s="119" t="s">
        <v>369</v>
      </c>
      <c r="NI75" s="120"/>
      <c r="NJ75" s="115"/>
      <c r="NK75" s="117"/>
      <c r="NL75" s="118"/>
      <c r="NM75" s="528"/>
      <c r="NN75" s="114"/>
      <c r="NO75" s="115"/>
      <c r="NP75" s="119" t="s">
        <v>371</v>
      </c>
      <c r="NQ75" s="120"/>
      <c r="NR75" s="115"/>
      <c r="NS75" s="117"/>
      <c r="NT75" s="118"/>
      <c r="NU75" s="528"/>
      <c r="NV75" s="114"/>
      <c r="NW75" s="115"/>
      <c r="NX75" s="119" t="s">
        <v>391</v>
      </c>
      <c r="NY75" s="120"/>
      <c r="NZ75" s="115"/>
      <c r="OA75" s="117"/>
      <c r="OB75" s="118"/>
      <c r="OC75" s="528"/>
      <c r="OD75" s="114"/>
      <c r="OE75" s="115"/>
      <c r="OF75" s="119" t="s">
        <v>392</v>
      </c>
      <c r="OG75" s="120"/>
      <c r="OH75" s="115"/>
      <c r="OI75" s="117"/>
      <c r="OJ75" s="118"/>
      <c r="OK75" s="528"/>
      <c r="OL75" s="114"/>
      <c r="OM75" s="115"/>
      <c r="ON75" s="119" t="s">
        <v>393</v>
      </c>
      <c r="OO75" s="120"/>
      <c r="OP75" s="115"/>
      <c r="OQ75" s="117"/>
      <c r="OR75" s="118"/>
      <c r="OS75" s="528"/>
      <c r="OT75" s="114"/>
      <c r="OU75" s="115"/>
      <c r="OV75" s="119" t="s">
        <v>402</v>
      </c>
      <c r="OW75" s="120"/>
      <c r="OX75" s="115"/>
      <c r="OY75" s="117"/>
      <c r="OZ75" s="118"/>
      <c r="PA75" s="528"/>
      <c r="PB75" s="114"/>
      <c r="PC75" s="115"/>
      <c r="PD75" s="119" t="s">
        <v>403</v>
      </c>
      <c r="PE75" s="120"/>
      <c r="PF75" s="115"/>
      <c r="PG75" s="117"/>
      <c r="PH75" s="118"/>
      <c r="PI75" s="528"/>
      <c r="PJ75" s="114"/>
      <c r="PK75" s="115"/>
      <c r="PL75" s="119" t="s">
        <v>404</v>
      </c>
      <c r="PM75" s="120"/>
      <c r="PN75" s="115"/>
      <c r="PO75" s="117"/>
      <c r="PP75" s="118"/>
      <c r="PQ75" s="528"/>
      <c r="PR75" s="114"/>
      <c r="PS75" s="115"/>
      <c r="PT75" s="119" t="s">
        <v>412</v>
      </c>
      <c r="PU75" s="120"/>
      <c r="PV75" s="115"/>
      <c r="PW75" s="117"/>
      <c r="PX75" s="118"/>
      <c r="PY75" s="528"/>
      <c r="PZ75" s="114"/>
      <c r="QA75" s="115"/>
      <c r="QB75" s="119" t="s">
        <v>413</v>
      </c>
      <c r="QC75" s="120"/>
      <c r="QD75" s="115"/>
      <c r="QE75" s="117"/>
      <c r="QF75" s="118"/>
      <c r="QG75" s="528"/>
      <c r="QH75" s="114"/>
      <c r="QI75" s="115"/>
      <c r="QJ75" s="119" t="s">
        <v>414</v>
      </c>
      <c r="QK75" s="120"/>
      <c r="QL75" s="115"/>
      <c r="QM75" s="117"/>
      <c r="QN75" s="118"/>
      <c r="QO75" s="528"/>
      <c r="QP75" s="114"/>
      <c r="QQ75" s="115"/>
      <c r="QR75" s="119" t="s">
        <v>415</v>
      </c>
      <c r="QS75" s="120"/>
      <c r="QT75" s="115"/>
      <c r="QU75" s="117"/>
      <c r="QV75" s="118"/>
      <c r="QW75" s="528"/>
      <c r="QX75" s="114"/>
      <c r="QY75" s="115"/>
      <c r="QZ75" s="119" t="s">
        <v>416</v>
      </c>
      <c r="RA75" s="120"/>
      <c r="RB75" s="115"/>
      <c r="RC75" s="117"/>
      <c r="RD75" s="118"/>
      <c r="RE75" s="528"/>
      <c r="RF75" s="114"/>
      <c r="RG75" s="115"/>
      <c r="RH75" s="119" t="s">
        <v>417</v>
      </c>
      <c r="RI75" s="120"/>
      <c r="RJ75" s="115"/>
      <c r="RK75" s="117"/>
      <c r="RL75" s="118"/>
      <c r="RM75" s="528"/>
      <c r="RN75" s="114"/>
      <c r="RO75" s="115"/>
      <c r="RP75" s="119" t="s">
        <v>433</v>
      </c>
      <c r="RQ75" s="120"/>
      <c r="RR75" s="115"/>
      <c r="RS75" s="117"/>
      <c r="RT75" s="118"/>
      <c r="RU75" s="528"/>
      <c r="RV75" s="114"/>
      <c r="RW75" s="115"/>
      <c r="RX75" s="119" t="s">
        <v>434</v>
      </c>
      <c r="RY75" s="120"/>
      <c r="RZ75" s="115"/>
      <c r="SA75" s="117"/>
      <c r="SB75" s="118"/>
      <c r="SC75" s="528"/>
      <c r="SD75" s="114"/>
      <c r="SE75" s="115"/>
      <c r="SF75" s="119" t="s">
        <v>435</v>
      </c>
      <c r="SG75" s="120"/>
      <c r="SH75" s="115"/>
      <c r="SI75" s="117"/>
      <c r="SJ75" s="118"/>
      <c r="SK75" s="528"/>
      <c r="SL75" s="114"/>
      <c r="SM75" s="115"/>
      <c r="SN75" s="119" t="s">
        <v>448</v>
      </c>
      <c r="SO75" s="120"/>
      <c r="SP75" s="115"/>
      <c r="SQ75" s="117"/>
      <c r="SR75" s="118"/>
      <c r="SS75" s="528"/>
      <c r="ST75" s="114"/>
      <c r="SU75" s="115"/>
      <c r="SV75" s="119" t="s">
        <v>449</v>
      </c>
      <c r="SW75" s="120"/>
      <c r="SX75" s="115"/>
      <c r="SY75" s="117"/>
      <c r="SZ75" s="118"/>
      <c r="TA75" s="528"/>
      <c r="TB75" s="114"/>
      <c r="TC75" s="115"/>
      <c r="TD75" s="119" t="s">
        <v>450</v>
      </c>
      <c r="TE75" s="120"/>
      <c r="TF75" s="115"/>
      <c r="TG75" s="117"/>
      <c r="TH75" s="118"/>
      <c r="TI75" s="528"/>
    </row>
    <row r="76" spans="2:529">
      <c r="B76" s="143"/>
      <c r="C76" s="142"/>
      <c r="D76" s="157" t="s">
        <v>11</v>
      </c>
      <c r="E76" s="138">
        <v>66</v>
      </c>
      <c r="F76" s="170">
        <v>3.3801234567901237</v>
      </c>
      <c r="G76" s="140">
        <f t="shared" si="247"/>
        <v>223.08814814814818</v>
      </c>
      <c r="H76" s="154">
        <f>SUM(G75:G76)</f>
        <v>3293.8295939312802</v>
      </c>
      <c r="I76" s="528"/>
      <c r="J76" s="143"/>
      <c r="K76" s="142"/>
      <c r="L76" s="157" t="s">
        <v>11</v>
      </c>
      <c r="M76" s="138">
        <v>11</v>
      </c>
      <c r="N76" s="170">
        <v>3.3801234567901237</v>
      </c>
      <c r="O76" s="140">
        <f t="shared" si="248"/>
        <v>37.181358024691363</v>
      </c>
      <c r="P76" s="154">
        <f>SUM(O75:O76)</f>
        <v>1236.8076230849322</v>
      </c>
      <c r="Q76" s="528"/>
      <c r="R76" s="143"/>
      <c r="S76" s="142"/>
      <c r="T76" s="157" t="s">
        <v>11</v>
      </c>
      <c r="U76" s="138">
        <v>92</v>
      </c>
      <c r="V76" s="170">
        <v>3.3801234567901237</v>
      </c>
      <c r="W76" s="140">
        <f t="shared" si="249"/>
        <v>310.97135802469137</v>
      </c>
      <c r="X76" s="154">
        <f>SUM(W75:W76)</f>
        <v>1631.314731518667</v>
      </c>
      <c r="Y76" s="528"/>
      <c r="Z76" s="143"/>
      <c r="AA76" s="142"/>
      <c r="AB76" s="157" t="s">
        <v>11</v>
      </c>
      <c r="AC76" s="138">
        <v>52</v>
      </c>
      <c r="AD76" s="170">
        <v>3.3801234567901237</v>
      </c>
      <c r="AE76" s="140">
        <f t="shared" si="250"/>
        <v>175.76641975308644</v>
      </c>
      <c r="AF76" s="154">
        <f>SUM(AE75:AE76)</f>
        <v>485.10401011453217</v>
      </c>
      <c r="AG76" s="528"/>
      <c r="AH76" s="143"/>
      <c r="AI76" s="142"/>
      <c r="AJ76" s="157" t="s">
        <v>11</v>
      </c>
      <c r="AK76" s="138">
        <v>49</v>
      </c>
      <c r="AL76" s="170">
        <v>3.3801234567901237</v>
      </c>
      <c r="AM76" s="140">
        <f t="shared" si="251"/>
        <v>165.62604938271608</v>
      </c>
      <c r="AN76" s="154">
        <f>SUM(AM75:AM76)</f>
        <v>618.31520600922204</v>
      </c>
      <c r="AO76" s="528"/>
      <c r="AP76" s="143"/>
      <c r="AQ76" s="142"/>
      <c r="AR76" s="157" t="s">
        <v>11</v>
      </c>
      <c r="AS76" s="138">
        <v>58</v>
      </c>
      <c r="AT76" s="170">
        <v>3.3801234567901237</v>
      </c>
      <c r="AU76" s="140">
        <f t="shared" si="252"/>
        <v>196.04716049382716</v>
      </c>
      <c r="AV76" s="154">
        <f>SUM(AU75:AU76)</f>
        <v>1184.4184857950318</v>
      </c>
      <c r="AW76" s="528"/>
      <c r="AX76" s="143"/>
      <c r="AY76" s="142"/>
      <c r="AZ76" s="157" t="s">
        <v>11</v>
      </c>
      <c r="BA76" s="138"/>
      <c r="BB76" s="170">
        <v>3.3801234567901237</v>
      </c>
      <c r="BC76" s="140">
        <f t="shared" si="253"/>
        <v>0</v>
      </c>
      <c r="BD76" s="154">
        <f>SUM(BC75:BC76)</f>
        <v>0</v>
      </c>
      <c r="BE76" s="528"/>
      <c r="BF76" s="143"/>
      <c r="BG76" s="142"/>
      <c r="BH76" s="157" t="s">
        <v>11</v>
      </c>
      <c r="BI76" s="138">
        <v>10</v>
      </c>
      <c r="BJ76" s="170">
        <v>3.3801234567901237</v>
      </c>
      <c r="BK76" s="140">
        <f t="shared" si="254"/>
        <v>33.80123456790124</v>
      </c>
      <c r="BL76" s="154">
        <f>SUM(BK75:BK76)</f>
        <v>388.40774059199759</v>
      </c>
      <c r="BM76" s="528"/>
      <c r="BN76" s="143"/>
      <c r="BO76" s="142"/>
      <c r="BP76" s="157" t="s">
        <v>11</v>
      </c>
      <c r="BQ76" s="138">
        <v>0</v>
      </c>
      <c r="BR76" s="170">
        <v>3.3801234567901237</v>
      </c>
      <c r="BS76" s="140">
        <f t="shared" si="255"/>
        <v>0</v>
      </c>
      <c r="BT76" s="154">
        <f>SUM(BS75:BS76)</f>
        <v>1410.8812048192769</v>
      </c>
      <c r="BU76" s="528"/>
      <c r="BV76" s="564"/>
      <c r="BW76" s="533"/>
      <c r="BX76" s="574" t="s">
        <v>11</v>
      </c>
      <c r="BY76" s="560"/>
      <c r="BZ76" s="585">
        <v>3.3801234567901237</v>
      </c>
      <c r="CA76" s="562">
        <f t="shared" si="256"/>
        <v>0</v>
      </c>
      <c r="CB76" s="571">
        <f>SUM(CA75:CA76)</f>
        <v>0</v>
      </c>
      <c r="CC76" s="528"/>
      <c r="CD76" s="564"/>
      <c r="CE76" s="533"/>
      <c r="CF76" s="574" t="s">
        <v>11</v>
      </c>
      <c r="CG76" s="560"/>
      <c r="CH76" s="585">
        <v>3.3801234567901237</v>
      </c>
      <c r="CI76" s="562">
        <f t="shared" si="257"/>
        <v>0</v>
      </c>
      <c r="CJ76" s="571">
        <f>SUM(CI75:CI76)</f>
        <v>0</v>
      </c>
      <c r="CK76" s="528"/>
      <c r="CL76" s="143"/>
      <c r="CM76" s="142"/>
      <c r="CN76" s="157" t="s">
        <v>11</v>
      </c>
      <c r="CO76" s="138"/>
      <c r="CP76" s="170">
        <v>3.3801234567901237</v>
      </c>
      <c r="CQ76" s="140">
        <f t="shared" si="258"/>
        <v>0</v>
      </c>
      <c r="CR76" s="154">
        <f>SUM(CQ75:CQ76)</f>
        <v>0</v>
      </c>
      <c r="CS76" s="528"/>
      <c r="CT76" s="143"/>
      <c r="CU76" s="142"/>
      <c r="CV76" s="157" t="s">
        <v>11</v>
      </c>
      <c r="CW76" s="138">
        <v>17</v>
      </c>
      <c r="CX76" s="170">
        <v>3.3801234567901237</v>
      </c>
      <c r="CY76" s="140">
        <f t="shared" si="259"/>
        <v>57.462098765432103</v>
      </c>
      <c r="CZ76" s="154">
        <f>SUM(CY75:CY76)</f>
        <v>864.75776141603433</v>
      </c>
      <c r="DA76" s="528"/>
      <c r="DB76" s="143"/>
      <c r="DC76" s="142"/>
      <c r="DD76" s="157" t="s">
        <v>11</v>
      </c>
      <c r="DE76" s="138"/>
      <c r="DF76" s="170">
        <v>3.3801234567901237</v>
      </c>
      <c r="DG76" s="140">
        <f t="shared" si="260"/>
        <v>0</v>
      </c>
      <c r="DH76" s="154">
        <f>SUM(DG75:DG76)</f>
        <v>0</v>
      </c>
      <c r="DI76" s="528"/>
      <c r="DJ76" s="143"/>
      <c r="DK76" s="142"/>
      <c r="DL76" s="157" t="s">
        <v>11</v>
      </c>
      <c r="DM76" s="138">
        <v>123</v>
      </c>
      <c r="DN76" s="170">
        <v>3.3801234567901237</v>
      </c>
      <c r="DO76" s="140">
        <f t="shared" si="261"/>
        <v>415.75518518518521</v>
      </c>
      <c r="DP76" s="154">
        <f>SUM(DO75:DO76)</f>
        <v>3448.7725345827753</v>
      </c>
      <c r="DQ76" s="528"/>
      <c r="DR76" s="143"/>
      <c r="DS76" s="142"/>
      <c r="DT76" s="157" t="s">
        <v>11</v>
      </c>
      <c r="DU76" s="138">
        <v>62</v>
      </c>
      <c r="DV76" s="170">
        <v>3.3801234567901237</v>
      </c>
      <c r="DW76" s="140">
        <f t="shared" si="262"/>
        <v>209.56765432098766</v>
      </c>
      <c r="DX76" s="154">
        <f>SUM(DW75:DW76)</f>
        <v>4215.8666904655656</v>
      </c>
      <c r="DY76" s="528"/>
      <c r="DZ76" s="143"/>
      <c r="EA76" s="142"/>
      <c r="EB76" s="157" t="s">
        <v>11</v>
      </c>
      <c r="EC76" s="138">
        <v>97</v>
      </c>
      <c r="ED76" s="170">
        <v>3.3801234567901237</v>
      </c>
      <c r="EE76" s="140">
        <f t="shared" si="263"/>
        <v>327.87197530864199</v>
      </c>
      <c r="EF76" s="154">
        <f>SUM(EE75:EE76)</f>
        <v>395.77534880261788</v>
      </c>
      <c r="EG76" s="528"/>
      <c r="EH76" s="143"/>
      <c r="EI76" s="142"/>
      <c r="EJ76" s="157" t="s">
        <v>11</v>
      </c>
      <c r="EK76" s="138">
        <v>41</v>
      </c>
      <c r="EL76" s="170">
        <v>3.3801234567901237</v>
      </c>
      <c r="EM76" s="140">
        <f t="shared" si="264"/>
        <v>138.58506172839506</v>
      </c>
      <c r="EN76" s="154">
        <f>SUM(EM75:EM76)</f>
        <v>1594.7351822103224</v>
      </c>
      <c r="EO76" s="528"/>
      <c r="EP76" s="143"/>
      <c r="EQ76" s="142"/>
      <c r="ER76" s="157" t="s">
        <v>11</v>
      </c>
      <c r="ES76" s="138">
        <v>49</v>
      </c>
      <c r="ET76" s="170">
        <v>3.3801234567901237</v>
      </c>
      <c r="EU76" s="140">
        <f t="shared" si="265"/>
        <v>165.62604938271608</v>
      </c>
      <c r="EV76" s="154">
        <f>SUM(EU75:EU76)</f>
        <v>618.31520600922204</v>
      </c>
      <c r="EW76" s="528"/>
      <c r="EX76" s="143"/>
      <c r="EY76" s="142"/>
      <c r="EZ76" s="157" t="s">
        <v>11</v>
      </c>
      <c r="FA76" s="138"/>
      <c r="FB76" s="170">
        <v>3.3801234567901237</v>
      </c>
      <c r="FC76" s="140">
        <f t="shared" si="266"/>
        <v>0</v>
      </c>
      <c r="FD76" s="154">
        <f>SUM(FC75:FC76)</f>
        <v>0</v>
      </c>
      <c r="FE76" s="528"/>
      <c r="FF76" s="143"/>
      <c r="FG76" s="142"/>
      <c r="FH76" s="157" t="s">
        <v>11</v>
      </c>
      <c r="FI76" s="138"/>
      <c r="FJ76" s="170">
        <v>3.3801234567901237</v>
      </c>
      <c r="FK76" s="140">
        <f t="shared" si="267"/>
        <v>0</v>
      </c>
      <c r="FL76" s="154">
        <f>SUM(FK75:FK76)</f>
        <v>0</v>
      </c>
      <c r="FM76" s="528"/>
      <c r="FN76" s="143"/>
      <c r="FO76" s="142"/>
      <c r="FP76" s="157" t="s">
        <v>11</v>
      </c>
      <c r="FQ76" s="138"/>
      <c r="FR76" s="170">
        <v>3.3801234567901237</v>
      </c>
      <c r="FS76" s="140">
        <f t="shared" si="268"/>
        <v>0</v>
      </c>
      <c r="FT76" s="154">
        <f>SUM(FS75:FS76)</f>
        <v>0</v>
      </c>
      <c r="FU76" s="528"/>
      <c r="FV76" s="143"/>
      <c r="FW76" s="142"/>
      <c r="FX76" s="157" t="s">
        <v>11</v>
      </c>
      <c r="FY76" s="138"/>
      <c r="FZ76" s="170">
        <v>3.3801234567901237</v>
      </c>
      <c r="GA76" s="140">
        <f t="shared" si="269"/>
        <v>0</v>
      </c>
      <c r="GB76" s="154">
        <f>SUM(GA75:GA76)</f>
        <v>0</v>
      </c>
      <c r="GC76" s="528"/>
      <c r="GD76" s="143"/>
      <c r="GE76" s="142"/>
      <c r="GF76" s="157" t="s">
        <v>11</v>
      </c>
      <c r="GG76" s="138"/>
      <c r="GH76" s="170">
        <v>3.3801234567901237</v>
      </c>
      <c r="GI76" s="140">
        <f t="shared" si="270"/>
        <v>0</v>
      </c>
      <c r="GJ76" s="154">
        <f>SUM(GI75:GI76)</f>
        <v>0</v>
      </c>
      <c r="GK76" s="528"/>
      <c r="GL76" s="143"/>
      <c r="GM76" s="142"/>
      <c r="GN76" s="157" t="s">
        <v>11</v>
      </c>
      <c r="GO76" s="138">
        <f>'[1]Jan_18_Vol weekly-Data-Entry'!$N$226</f>
        <v>0</v>
      </c>
      <c r="GP76" s="170">
        <v>3.3801234567901237</v>
      </c>
      <c r="GQ76" s="140">
        <f t="shared" si="271"/>
        <v>0</v>
      </c>
      <c r="GR76" s="154">
        <f>SUM(GQ75:GQ76)</f>
        <v>0</v>
      </c>
      <c r="GS76" s="528"/>
      <c r="GT76" s="143"/>
      <c r="GU76" s="142"/>
      <c r="GV76" s="157" t="s">
        <v>11</v>
      </c>
      <c r="GW76" s="138">
        <v>0</v>
      </c>
      <c r="GX76" s="170">
        <v>3.3801234567901237</v>
      </c>
      <c r="GY76" s="140">
        <f t="shared" si="272"/>
        <v>0</v>
      </c>
      <c r="GZ76" s="154">
        <f>SUM(GY75:GY76)</f>
        <v>988.37132530120471</v>
      </c>
      <c r="HA76" s="528"/>
      <c r="HB76" s="143"/>
      <c r="HC76" s="142"/>
      <c r="HD76" s="157" t="s">
        <v>11</v>
      </c>
      <c r="HE76" s="138">
        <v>92</v>
      </c>
      <c r="HF76" s="170">
        <v>3.3801234567901237</v>
      </c>
      <c r="HG76" s="140">
        <f t="shared" si="273"/>
        <v>310.97135802469137</v>
      </c>
      <c r="HH76" s="154">
        <f>SUM(HG75:HG76)</f>
        <v>1631.314731518667</v>
      </c>
      <c r="HI76" s="528"/>
      <c r="HJ76" s="143"/>
      <c r="HK76" s="142"/>
      <c r="HL76" s="157" t="s">
        <v>11</v>
      </c>
      <c r="HM76" s="138">
        <v>162</v>
      </c>
      <c r="HN76" s="170">
        <v>3.3801234567901237</v>
      </c>
      <c r="HO76" s="140">
        <f t="shared" si="274"/>
        <v>547.58000000000004</v>
      </c>
      <c r="HP76" s="154">
        <f>SUM(HO75:HO76)</f>
        <v>3459.8802409638547</v>
      </c>
      <c r="HQ76" s="528"/>
      <c r="HR76" s="143"/>
      <c r="HS76" s="142"/>
      <c r="HT76" s="157" t="s">
        <v>11</v>
      </c>
      <c r="HU76" s="138">
        <v>106</v>
      </c>
      <c r="HV76" s="170">
        <v>3.3801234567901237</v>
      </c>
      <c r="HW76" s="140">
        <f t="shared" si="275"/>
        <v>358.29308641975314</v>
      </c>
      <c r="HX76" s="154">
        <f>SUM(HW75:HW76)</f>
        <v>1965.3395924438491</v>
      </c>
      <c r="HY76" s="528"/>
      <c r="HZ76" s="143"/>
      <c r="IA76" s="142"/>
      <c r="IB76" s="157" t="s">
        <v>11</v>
      </c>
      <c r="IC76" s="138">
        <v>106</v>
      </c>
      <c r="ID76" s="170">
        <v>3.3801234567901237</v>
      </c>
      <c r="IE76" s="140">
        <f t="shared" si="276"/>
        <v>358.29308641975314</v>
      </c>
      <c r="IF76" s="154">
        <f>SUM(IE75:IE76)</f>
        <v>1965.3395924438491</v>
      </c>
      <c r="IG76" s="528"/>
      <c r="IH76" s="143"/>
      <c r="II76" s="142"/>
      <c r="IJ76" s="157" t="s">
        <v>11</v>
      </c>
      <c r="IK76" s="138">
        <v>0</v>
      </c>
      <c r="IL76" s="170">
        <v>3.3801234567901237</v>
      </c>
      <c r="IM76" s="140">
        <f t="shared" si="277"/>
        <v>0</v>
      </c>
      <c r="IN76" s="154">
        <f>SUM(IM75:IM76)</f>
        <v>2172.9079518072285</v>
      </c>
      <c r="IO76" s="528"/>
      <c r="IP76" s="143"/>
      <c r="IQ76" s="142"/>
      <c r="IR76" s="157" t="s">
        <v>11</v>
      </c>
      <c r="IS76" s="138">
        <v>52</v>
      </c>
      <c r="IT76" s="170">
        <v>3.3801234567901237</v>
      </c>
      <c r="IU76" s="140">
        <f t="shared" si="278"/>
        <v>175.76641975308644</v>
      </c>
      <c r="IV76" s="154">
        <f>SUM(IU75:IU76)</f>
        <v>1918.6196727651343</v>
      </c>
      <c r="IW76" s="528"/>
      <c r="IX76" s="143"/>
      <c r="IY76" s="142"/>
      <c r="IZ76" s="157" t="s">
        <v>11</v>
      </c>
      <c r="JA76" s="138">
        <v>17</v>
      </c>
      <c r="JB76" s="170">
        <v>3.3801234567901237</v>
      </c>
      <c r="JC76" s="140">
        <f t="shared" si="279"/>
        <v>57.462098765432103</v>
      </c>
      <c r="JD76" s="154">
        <f>SUM(JC75:JC76)</f>
        <v>985.47486984976933</v>
      </c>
      <c r="JE76" s="528"/>
      <c r="JF76" s="143"/>
      <c r="JG76" s="142"/>
      <c r="JH76" s="157" t="s">
        <v>11</v>
      </c>
      <c r="JI76" s="138">
        <v>74</v>
      </c>
      <c r="JJ76" s="170">
        <v>3.3801234567901237</v>
      </c>
      <c r="JK76" s="140">
        <f t="shared" si="280"/>
        <v>250.12913580246916</v>
      </c>
      <c r="JL76" s="154">
        <f>SUM(JK75:JK76)</f>
        <v>966.88696712777028</v>
      </c>
      <c r="JM76" s="528"/>
      <c r="JN76" s="143"/>
      <c r="JO76" s="142"/>
      <c r="JP76" s="157" t="s">
        <v>11</v>
      </c>
      <c r="JQ76" s="138">
        <v>48</v>
      </c>
      <c r="JR76" s="170">
        <v>3.3801234567901237</v>
      </c>
      <c r="JS76" s="140">
        <f t="shared" si="281"/>
        <v>162.24592592592595</v>
      </c>
      <c r="JT76" s="154">
        <f>SUM(JS75:JS76)</f>
        <v>1648.5753235162872</v>
      </c>
      <c r="JU76" s="528"/>
      <c r="JV76" s="143"/>
      <c r="JW76" s="142"/>
      <c r="JX76" s="157" t="s">
        <v>11</v>
      </c>
      <c r="JY76" s="138">
        <v>155</v>
      </c>
      <c r="JZ76" s="170">
        <v>3.3801234567901237</v>
      </c>
      <c r="KA76" s="140">
        <f t="shared" si="282"/>
        <v>523.91913580246921</v>
      </c>
      <c r="KB76" s="154">
        <f>SUM(KA75:KA76)</f>
        <v>1919.7107020675294</v>
      </c>
      <c r="KC76" s="528"/>
      <c r="KD76" s="143"/>
      <c r="KE76" s="142"/>
      <c r="KF76" s="157" t="s">
        <v>11</v>
      </c>
      <c r="KG76" s="138">
        <v>66</v>
      </c>
      <c r="KH76" s="170">
        <v>3.3801234567901237</v>
      </c>
      <c r="KI76" s="140">
        <f t="shared" si="283"/>
        <v>223.08814814814818</v>
      </c>
      <c r="KJ76" s="154">
        <f>SUM(KI75:KI76)</f>
        <v>3293.8295939312802</v>
      </c>
      <c r="KK76" s="528"/>
      <c r="KL76" s="143"/>
      <c r="KM76" s="142"/>
      <c r="KN76" s="157" t="s">
        <v>11</v>
      </c>
      <c r="KO76" s="138">
        <v>11</v>
      </c>
      <c r="KP76" s="170">
        <v>3.3801234567901237</v>
      </c>
      <c r="KQ76" s="140">
        <f t="shared" si="284"/>
        <v>37.181358024691363</v>
      </c>
      <c r="KR76" s="154">
        <f>SUM(KQ75:KQ76)</f>
        <v>1236.8076230849322</v>
      </c>
      <c r="KS76" s="528"/>
      <c r="KT76" s="143"/>
      <c r="KU76" s="142"/>
      <c r="KV76" s="157" t="s">
        <v>11</v>
      </c>
      <c r="KW76" s="138">
        <v>0</v>
      </c>
      <c r="KX76" s="170">
        <v>3.3801234567901237</v>
      </c>
      <c r="KY76" s="140">
        <f t="shared" si="285"/>
        <v>0</v>
      </c>
      <c r="KZ76" s="154">
        <f>SUM(KY75:KY76)</f>
        <v>2799.1279518072283</v>
      </c>
      <c r="LA76" s="528"/>
      <c r="LB76" s="143"/>
      <c r="LC76" s="142"/>
      <c r="LD76" s="157" t="s">
        <v>11</v>
      </c>
      <c r="LE76" s="138">
        <v>38</v>
      </c>
      <c r="LF76" s="170">
        <v>3.3801234567901237</v>
      </c>
      <c r="LG76" s="140">
        <f t="shared" si="286"/>
        <v>128.4446913580247</v>
      </c>
      <c r="LH76" s="154">
        <f>SUM(LG75:LG76)</f>
        <v>1079.0919202736873</v>
      </c>
      <c r="LI76" s="528"/>
      <c r="LJ76" s="143"/>
      <c r="LK76" s="142"/>
      <c r="LL76" s="157" t="s">
        <v>11</v>
      </c>
      <c r="LM76" s="175">
        <v>54</v>
      </c>
      <c r="LN76" s="139">
        <v>3.3801234567901237</v>
      </c>
      <c r="LO76" s="140">
        <f t="shared" si="287"/>
        <v>182.52666666666667</v>
      </c>
      <c r="LP76" s="154">
        <f>SUM(LO75:LO76)</f>
        <v>1027.5464257028111</v>
      </c>
      <c r="LQ76" s="528"/>
      <c r="LR76" s="143"/>
      <c r="LS76" s="142"/>
      <c r="LT76" s="157" t="s">
        <v>11</v>
      </c>
      <c r="LU76" s="175">
        <v>115</v>
      </c>
      <c r="LV76" s="139">
        <v>3.3801234567901237</v>
      </c>
      <c r="LW76" s="140">
        <f t="shared" si="288"/>
        <v>388.71419753086423</v>
      </c>
      <c r="LX76" s="154">
        <f>SUM(LW75:LW76)</f>
        <v>1271.4580529525508</v>
      </c>
      <c r="LY76" s="528"/>
      <c r="LZ76" s="143"/>
      <c r="MA76" s="142"/>
      <c r="MB76" s="157" t="s">
        <v>11</v>
      </c>
      <c r="MC76" s="175">
        <v>57</v>
      </c>
      <c r="MD76" s="139">
        <v>3.3801234567901237</v>
      </c>
      <c r="ME76" s="140">
        <f t="shared" si="289"/>
        <v>192.66703703703706</v>
      </c>
      <c r="MF76" s="154">
        <f>SUM(ME75:ME76)</f>
        <v>373.74269968763946</v>
      </c>
      <c r="MG76" s="528"/>
      <c r="MH76" s="143"/>
      <c r="MI76" s="142"/>
      <c r="MJ76" s="157" t="s">
        <v>11</v>
      </c>
      <c r="MK76" s="175">
        <v>80</v>
      </c>
      <c r="ML76" s="139">
        <v>3.3801234567901237</v>
      </c>
      <c r="MM76" s="140">
        <f t="shared" si="290"/>
        <v>270.40987654320992</v>
      </c>
      <c r="MN76" s="154">
        <f>SUM(MM75:MM76)</f>
        <v>881.54023798899289</v>
      </c>
      <c r="MO76" s="528"/>
      <c r="MP76" s="143"/>
      <c r="MQ76" s="142"/>
      <c r="MR76" s="157" t="s">
        <v>11</v>
      </c>
      <c r="MS76" s="175">
        <v>43</v>
      </c>
      <c r="MT76" s="139">
        <v>3.3801234567901237</v>
      </c>
      <c r="MU76" s="140">
        <f t="shared" si="291"/>
        <v>145.34530864197532</v>
      </c>
      <c r="MV76" s="154">
        <f>SUM(MU75:MU76)</f>
        <v>1518.5024170757101</v>
      </c>
      <c r="MW76" s="528"/>
      <c r="MX76" s="121"/>
      <c r="MY76" s="122"/>
      <c r="MZ76" s="123"/>
      <c r="NA76" s="124"/>
      <c r="NB76" s="124"/>
      <c r="NC76" s="125"/>
      <c r="ND76" s="126"/>
      <c r="NE76" s="528"/>
      <c r="NF76" s="121"/>
      <c r="NG76" s="122"/>
      <c r="NH76" s="123"/>
      <c r="NI76" s="124"/>
      <c r="NJ76" s="124"/>
      <c r="NK76" s="125"/>
      <c r="NL76" s="126"/>
      <c r="NM76" s="528"/>
      <c r="NN76" s="121"/>
      <c r="NO76" s="122"/>
      <c r="NP76" s="123"/>
      <c r="NQ76" s="124"/>
      <c r="NR76" s="124"/>
      <c r="NS76" s="125"/>
      <c r="NT76" s="126"/>
      <c r="NU76" s="528"/>
      <c r="NV76" s="121"/>
      <c r="NW76" s="122"/>
      <c r="NX76" s="123"/>
      <c r="NY76" s="124"/>
      <c r="NZ76" s="124"/>
      <c r="OA76" s="125"/>
      <c r="OB76" s="126"/>
      <c r="OC76" s="528"/>
      <c r="OD76" s="121"/>
      <c r="OE76" s="122"/>
      <c r="OF76" s="123"/>
      <c r="OG76" s="124"/>
      <c r="OH76" s="124"/>
      <c r="OI76" s="125"/>
      <c r="OJ76" s="126"/>
      <c r="OK76" s="528"/>
      <c r="OL76" s="121"/>
      <c r="OM76" s="122"/>
      <c r="ON76" s="123"/>
      <c r="OO76" s="124"/>
      <c r="OP76" s="124"/>
      <c r="OQ76" s="125"/>
      <c r="OR76" s="126"/>
      <c r="OS76" s="528"/>
      <c r="OT76" s="121"/>
      <c r="OU76" s="122"/>
      <c r="OV76" s="123"/>
      <c r="OW76" s="124"/>
      <c r="OX76" s="124"/>
      <c r="OY76" s="125"/>
      <c r="OZ76" s="126"/>
      <c r="PA76" s="528"/>
      <c r="PB76" s="121"/>
      <c r="PC76" s="122"/>
      <c r="PD76" s="123"/>
      <c r="PE76" s="124"/>
      <c r="PF76" s="124"/>
      <c r="PG76" s="125"/>
      <c r="PH76" s="126"/>
      <c r="PI76" s="528"/>
      <c r="PJ76" s="121"/>
      <c r="PK76" s="122"/>
      <c r="PL76" s="123"/>
      <c r="PM76" s="124"/>
      <c r="PN76" s="124"/>
      <c r="PO76" s="125"/>
      <c r="PP76" s="126"/>
      <c r="PQ76" s="528"/>
      <c r="PR76" s="121"/>
      <c r="PS76" s="122"/>
      <c r="PT76" s="123"/>
      <c r="PU76" s="124"/>
      <c r="PV76" s="124"/>
      <c r="PW76" s="125"/>
      <c r="PX76" s="126"/>
      <c r="PY76" s="528"/>
      <c r="PZ76" s="121"/>
      <c r="QA76" s="122"/>
      <c r="QB76" s="123"/>
      <c r="QC76" s="124"/>
      <c r="QD76" s="124"/>
      <c r="QE76" s="125"/>
      <c r="QF76" s="126"/>
      <c r="QG76" s="528"/>
      <c r="QH76" s="121"/>
      <c r="QI76" s="122"/>
      <c r="QJ76" s="123"/>
      <c r="QK76" s="124"/>
      <c r="QL76" s="124"/>
      <c r="QM76" s="125"/>
      <c r="QN76" s="126"/>
      <c r="QO76" s="528"/>
      <c r="QP76" s="121"/>
      <c r="QQ76" s="122"/>
      <c r="QR76" s="123"/>
      <c r="QS76" s="124"/>
      <c r="QT76" s="124"/>
      <c r="QU76" s="125"/>
      <c r="QV76" s="126"/>
      <c r="QW76" s="528"/>
      <c r="QX76" s="121"/>
      <c r="QY76" s="122"/>
      <c r="QZ76" s="123"/>
      <c r="RA76" s="124"/>
      <c r="RB76" s="124"/>
      <c r="RC76" s="125"/>
      <c r="RD76" s="126"/>
      <c r="RE76" s="528"/>
      <c r="RF76" s="121"/>
      <c r="RG76" s="122"/>
      <c r="RH76" s="123"/>
      <c r="RI76" s="124"/>
      <c r="RJ76" s="124"/>
      <c r="RK76" s="125"/>
      <c r="RL76" s="126"/>
      <c r="RM76" s="528"/>
      <c r="RN76" s="121"/>
      <c r="RO76" s="122"/>
      <c r="RP76" s="123"/>
      <c r="RQ76" s="124"/>
      <c r="RR76" s="124"/>
      <c r="RS76" s="125"/>
      <c r="RT76" s="126"/>
      <c r="RU76" s="528"/>
      <c r="RV76" s="121"/>
      <c r="RW76" s="122"/>
      <c r="RX76" s="123"/>
      <c r="RY76" s="124"/>
      <c r="RZ76" s="124"/>
      <c r="SA76" s="125"/>
      <c r="SB76" s="126"/>
      <c r="SC76" s="528"/>
      <c r="SD76" s="121"/>
      <c r="SE76" s="122"/>
      <c r="SF76" s="123"/>
      <c r="SG76" s="124"/>
      <c r="SH76" s="124"/>
      <c r="SI76" s="125"/>
      <c r="SJ76" s="126"/>
      <c r="SK76" s="528"/>
      <c r="SL76" s="121"/>
      <c r="SM76" s="122"/>
      <c r="SN76" s="123"/>
      <c r="SO76" s="124"/>
      <c r="SP76" s="124"/>
      <c r="SQ76" s="125"/>
      <c r="SR76" s="126"/>
      <c r="SS76" s="528"/>
      <c r="ST76" s="121"/>
      <c r="SU76" s="122"/>
      <c r="SV76" s="123"/>
      <c r="SW76" s="124"/>
      <c r="SX76" s="124"/>
      <c r="SY76" s="125"/>
      <c r="SZ76" s="126"/>
      <c r="TA76" s="528"/>
      <c r="TB76" s="121"/>
      <c r="TC76" s="122"/>
      <c r="TD76" s="123"/>
      <c r="TE76" s="124"/>
      <c r="TF76" s="124"/>
      <c r="TG76" s="125"/>
      <c r="TH76" s="126"/>
      <c r="TI76" s="528"/>
    </row>
    <row r="77" spans="2:529">
      <c r="B77" s="143" t="s">
        <v>73</v>
      </c>
      <c r="C77" s="144">
        <v>3</v>
      </c>
      <c r="D77" s="157" t="s">
        <v>20</v>
      </c>
      <c r="E77" s="138">
        <v>3</v>
      </c>
      <c r="F77" s="170">
        <v>7.2535483870967745</v>
      </c>
      <c r="G77" s="140">
        <f t="shared" si="247"/>
        <v>21.760645161290324</v>
      </c>
      <c r="H77" s="158"/>
      <c r="I77" s="528"/>
      <c r="J77" s="143" t="s">
        <v>73</v>
      </c>
      <c r="K77" s="144"/>
      <c r="L77" s="157" t="s">
        <v>20</v>
      </c>
      <c r="M77" s="138">
        <v>0</v>
      </c>
      <c r="N77" s="170">
        <v>7.2535483870967745</v>
      </c>
      <c r="O77" s="140">
        <f t="shared" si="248"/>
        <v>0</v>
      </c>
      <c r="P77" s="158"/>
      <c r="Q77" s="528"/>
      <c r="R77" s="143" t="s">
        <v>73</v>
      </c>
      <c r="S77" s="144">
        <v>12</v>
      </c>
      <c r="T77" s="157" t="s">
        <v>20</v>
      </c>
      <c r="U77" s="138">
        <v>30</v>
      </c>
      <c r="V77" s="170">
        <v>7.2535483870967745</v>
      </c>
      <c r="W77" s="140">
        <f t="shared" si="249"/>
        <v>217.60645161290324</v>
      </c>
      <c r="X77" s="158"/>
      <c r="Y77" s="528"/>
      <c r="Z77" s="143" t="s">
        <v>73</v>
      </c>
      <c r="AA77" s="144">
        <v>2</v>
      </c>
      <c r="AB77" s="157" t="s">
        <v>20</v>
      </c>
      <c r="AC77" s="138">
        <v>10</v>
      </c>
      <c r="AD77" s="170">
        <v>7.2535483870967745</v>
      </c>
      <c r="AE77" s="140">
        <f t="shared" si="250"/>
        <v>72.535483870967738</v>
      </c>
      <c r="AF77" s="158"/>
      <c r="AG77" s="528"/>
      <c r="AH77" s="143" t="s">
        <v>73</v>
      </c>
      <c r="AI77" s="144">
        <v>7</v>
      </c>
      <c r="AJ77" s="157" t="s">
        <v>20</v>
      </c>
      <c r="AK77" s="138">
        <v>1</v>
      </c>
      <c r="AL77" s="170">
        <v>7.2535483870967745</v>
      </c>
      <c r="AM77" s="140">
        <f t="shared" si="251"/>
        <v>7.2535483870967745</v>
      </c>
      <c r="AN77" s="158"/>
      <c r="AO77" s="528"/>
      <c r="AP77" s="143" t="s">
        <v>73</v>
      </c>
      <c r="AQ77" s="144">
        <v>6</v>
      </c>
      <c r="AR77" s="157" t="s">
        <v>20</v>
      </c>
      <c r="AS77" s="138">
        <v>50</v>
      </c>
      <c r="AT77" s="170">
        <v>7.2535483870967745</v>
      </c>
      <c r="AU77" s="140">
        <f t="shared" si="252"/>
        <v>362.67741935483872</v>
      </c>
      <c r="AV77" s="158"/>
      <c r="AW77" s="528"/>
      <c r="AX77" s="143" t="s">
        <v>73</v>
      </c>
      <c r="AY77" s="144"/>
      <c r="AZ77" s="157" t="s">
        <v>20</v>
      </c>
      <c r="BA77" s="138"/>
      <c r="BB77" s="170">
        <v>7.2535483870967745</v>
      </c>
      <c r="BC77" s="140">
        <f t="shared" si="253"/>
        <v>0</v>
      </c>
      <c r="BD77" s="158"/>
      <c r="BE77" s="528"/>
      <c r="BF77" s="143" t="s">
        <v>73</v>
      </c>
      <c r="BG77" s="144">
        <v>5</v>
      </c>
      <c r="BH77" s="157" t="s">
        <v>20</v>
      </c>
      <c r="BI77" s="138">
        <v>3</v>
      </c>
      <c r="BJ77" s="170">
        <v>7.2535483870967745</v>
      </c>
      <c r="BK77" s="140">
        <f t="shared" si="254"/>
        <v>21.760645161290324</v>
      </c>
      <c r="BL77" s="158"/>
      <c r="BM77" s="528"/>
      <c r="BN77" s="143" t="s">
        <v>73</v>
      </c>
      <c r="BO77" s="144">
        <v>1</v>
      </c>
      <c r="BP77" s="157" t="s">
        <v>20</v>
      </c>
      <c r="BQ77" s="138">
        <v>3</v>
      </c>
      <c r="BR77" s="170">
        <v>7.2535483870967745</v>
      </c>
      <c r="BS77" s="140">
        <f t="shared" si="255"/>
        <v>21.760645161290324</v>
      </c>
      <c r="BT77" s="158"/>
      <c r="BU77" s="528"/>
      <c r="BV77" s="564" t="s">
        <v>73</v>
      </c>
      <c r="BW77" s="565"/>
      <c r="BX77" s="574" t="s">
        <v>20</v>
      </c>
      <c r="BY77" s="560"/>
      <c r="BZ77" s="585">
        <v>7.2535483870967745</v>
      </c>
      <c r="CA77" s="562">
        <f t="shared" si="256"/>
        <v>0</v>
      </c>
      <c r="CB77" s="540"/>
      <c r="CC77" s="528"/>
      <c r="CD77" s="564" t="s">
        <v>73</v>
      </c>
      <c r="CE77" s="565"/>
      <c r="CF77" s="574" t="s">
        <v>20</v>
      </c>
      <c r="CG77" s="560"/>
      <c r="CH77" s="585">
        <v>7.2535483870967745</v>
      </c>
      <c r="CI77" s="562">
        <f t="shared" si="257"/>
        <v>0</v>
      </c>
      <c r="CJ77" s="540"/>
      <c r="CK77" s="528"/>
      <c r="CL77" s="143" t="s">
        <v>73</v>
      </c>
      <c r="CM77" s="144"/>
      <c r="CN77" s="157" t="s">
        <v>20</v>
      </c>
      <c r="CO77" s="138"/>
      <c r="CP77" s="170">
        <v>7.2535483870967745</v>
      </c>
      <c r="CQ77" s="140">
        <f t="shared" si="258"/>
        <v>0</v>
      </c>
      <c r="CR77" s="158"/>
      <c r="CS77" s="528"/>
      <c r="CT77" s="143" t="s">
        <v>73</v>
      </c>
      <c r="CU77" s="144"/>
      <c r="CV77" s="157" t="s">
        <v>20</v>
      </c>
      <c r="CW77" s="138">
        <v>0</v>
      </c>
      <c r="CX77" s="170">
        <v>7.2535483870967745</v>
      </c>
      <c r="CY77" s="140">
        <f t="shared" si="259"/>
        <v>0</v>
      </c>
      <c r="CZ77" s="158"/>
      <c r="DA77" s="528"/>
      <c r="DB77" s="143" t="s">
        <v>73</v>
      </c>
      <c r="DC77" s="144"/>
      <c r="DD77" s="157" t="s">
        <v>20</v>
      </c>
      <c r="DE77" s="138"/>
      <c r="DF77" s="170">
        <v>7.2535483870967745</v>
      </c>
      <c r="DG77" s="140">
        <f t="shared" si="260"/>
        <v>0</v>
      </c>
      <c r="DH77" s="158"/>
      <c r="DI77" s="528"/>
      <c r="DJ77" s="143" t="s">
        <v>73</v>
      </c>
      <c r="DK77" s="144">
        <v>12</v>
      </c>
      <c r="DL77" s="157" t="s">
        <v>20</v>
      </c>
      <c r="DM77" s="138">
        <v>32</v>
      </c>
      <c r="DN77" s="170">
        <v>7.2535483870967745</v>
      </c>
      <c r="DO77" s="140">
        <f t="shared" si="261"/>
        <v>232.11354838709678</v>
      </c>
      <c r="DP77" s="158"/>
      <c r="DQ77" s="528"/>
      <c r="DR77" s="143" t="s">
        <v>73</v>
      </c>
      <c r="DS77" s="144">
        <v>28</v>
      </c>
      <c r="DT77" s="157" t="s">
        <v>20</v>
      </c>
      <c r="DU77" s="138">
        <v>49</v>
      </c>
      <c r="DV77" s="170">
        <v>7.2535483870967745</v>
      </c>
      <c r="DW77" s="140">
        <f t="shared" si="262"/>
        <v>355.42387096774195</v>
      </c>
      <c r="DX77" s="158"/>
      <c r="DY77" s="528"/>
      <c r="DZ77" s="143" t="s">
        <v>73</v>
      </c>
      <c r="EA77" s="144">
        <v>16</v>
      </c>
      <c r="EB77" s="157" t="s">
        <v>20</v>
      </c>
      <c r="EC77" s="138">
        <v>22</v>
      </c>
      <c r="ED77" s="170">
        <v>7.2535483870967745</v>
      </c>
      <c r="EE77" s="140">
        <f t="shared" si="263"/>
        <v>159.57806451612905</v>
      </c>
      <c r="EF77" s="158"/>
      <c r="EG77" s="528"/>
      <c r="EH77" s="143" t="s">
        <v>73</v>
      </c>
      <c r="EI77" s="144">
        <v>19</v>
      </c>
      <c r="EJ77" s="157" t="s">
        <v>20</v>
      </c>
      <c r="EK77" s="138">
        <v>42</v>
      </c>
      <c r="EL77" s="170">
        <v>7.2535483870967745</v>
      </c>
      <c r="EM77" s="140">
        <f t="shared" si="264"/>
        <v>304.64903225806455</v>
      </c>
      <c r="EN77" s="158"/>
      <c r="EO77" s="528"/>
      <c r="EP77" s="143" t="s">
        <v>73</v>
      </c>
      <c r="EQ77" s="144">
        <v>6</v>
      </c>
      <c r="ER77" s="157" t="s">
        <v>20</v>
      </c>
      <c r="ES77" s="138">
        <v>0</v>
      </c>
      <c r="ET77" s="170">
        <v>7.2535483870967745</v>
      </c>
      <c r="EU77" s="140">
        <f t="shared" si="265"/>
        <v>0</v>
      </c>
      <c r="EV77" s="158"/>
      <c r="EW77" s="528"/>
      <c r="EX77" s="143" t="s">
        <v>73</v>
      </c>
      <c r="EY77" s="144"/>
      <c r="EZ77" s="157" t="s">
        <v>20</v>
      </c>
      <c r="FA77" s="138"/>
      <c r="FB77" s="170">
        <v>7.2535483870967745</v>
      </c>
      <c r="FC77" s="140">
        <f t="shared" si="266"/>
        <v>0</v>
      </c>
      <c r="FD77" s="158"/>
      <c r="FE77" s="528"/>
      <c r="FF77" s="143" t="s">
        <v>73</v>
      </c>
      <c r="FG77" s="144"/>
      <c r="FH77" s="157" t="s">
        <v>20</v>
      </c>
      <c r="FI77" s="138"/>
      <c r="FJ77" s="170">
        <v>7.2535483870967745</v>
      </c>
      <c r="FK77" s="140">
        <f t="shared" si="267"/>
        <v>0</v>
      </c>
      <c r="FL77" s="158"/>
      <c r="FM77" s="528"/>
      <c r="FN77" s="143" t="s">
        <v>73</v>
      </c>
      <c r="FO77" s="144"/>
      <c r="FP77" s="157" t="s">
        <v>20</v>
      </c>
      <c r="FQ77" s="138"/>
      <c r="FR77" s="170">
        <v>7.2535483870967745</v>
      </c>
      <c r="FS77" s="140">
        <f t="shared" si="268"/>
        <v>0</v>
      </c>
      <c r="FT77" s="158"/>
      <c r="FU77" s="528"/>
      <c r="FV77" s="143" t="s">
        <v>73</v>
      </c>
      <c r="FW77" s="144"/>
      <c r="FX77" s="157" t="s">
        <v>20</v>
      </c>
      <c r="FY77" s="138"/>
      <c r="FZ77" s="170">
        <v>7.2535483870967745</v>
      </c>
      <c r="GA77" s="140">
        <f t="shared" si="269"/>
        <v>0</v>
      </c>
      <c r="GB77" s="158"/>
      <c r="GC77" s="528"/>
      <c r="GD77" s="143" t="s">
        <v>73</v>
      </c>
      <c r="GE77" s="144"/>
      <c r="GF77" s="157" t="s">
        <v>20</v>
      </c>
      <c r="GG77" s="138"/>
      <c r="GH77" s="170">
        <v>7.2535483870967745</v>
      </c>
      <c r="GI77" s="140">
        <f t="shared" si="270"/>
        <v>0</v>
      </c>
      <c r="GJ77" s="158"/>
      <c r="GK77" s="528"/>
      <c r="GL77" s="143" t="s">
        <v>73</v>
      </c>
      <c r="GM77" s="144">
        <v>0</v>
      </c>
      <c r="GN77" s="157" t="s">
        <v>20</v>
      </c>
      <c r="GO77" s="138">
        <f>'[1]Jan_18_Vol weekly-Data-Entry'!$P$226</f>
        <v>0</v>
      </c>
      <c r="GP77" s="170">
        <v>7.2535483870967745</v>
      </c>
      <c r="GQ77" s="140">
        <f t="shared" si="271"/>
        <v>0</v>
      </c>
      <c r="GR77" s="158"/>
      <c r="GS77" s="528"/>
      <c r="GT77" s="143" t="s">
        <v>73</v>
      </c>
      <c r="GU77" s="144">
        <v>6</v>
      </c>
      <c r="GV77" s="157" t="s">
        <v>20</v>
      </c>
      <c r="GW77" s="138">
        <v>50</v>
      </c>
      <c r="GX77" s="170">
        <v>7.2535483870967745</v>
      </c>
      <c r="GY77" s="140">
        <f t="shared" si="272"/>
        <v>362.67741935483872</v>
      </c>
      <c r="GZ77" s="158"/>
      <c r="HA77" s="528"/>
      <c r="HB77" s="143" t="s">
        <v>73</v>
      </c>
      <c r="HC77" s="144">
        <v>6</v>
      </c>
      <c r="HD77" s="157" t="s">
        <v>20</v>
      </c>
      <c r="HE77" s="138">
        <v>30</v>
      </c>
      <c r="HF77" s="170">
        <v>7.2535483870967745</v>
      </c>
      <c r="HG77" s="140">
        <f t="shared" si="273"/>
        <v>217.60645161290324</v>
      </c>
      <c r="HH77" s="158"/>
      <c r="HI77" s="528"/>
      <c r="HJ77" s="143" t="s">
        <v>73</v>
      </c>
      <c r="HK77" s="144">
        <v>30</v>
      </c>
      <c r="HL77" s="157" t="s">
        <v>20</v>
      </c>
      <c r="HM77" s="138">
        <v>84</v>
      </c>
      <c r="HN77" s="170">
        <v>7.2535483870967745</v>
      </c>
      <c r="HO77" s="140">
        <f t="shared" si="274"/>
        <v>609.2980645161291</v>
      </c>
      <c r="HP77" s="158"/>
      <c r="HQ77" s="528"/>
      <c r="HR77" s="143" t="s">
        <v>73</v>
      </c>
      <c r="HS77" s="144">
        <v>31</v>
      </c>
      <c r="HT77" s="157" t="s">
        <v>20</v>
      </c>
      <c r="HU77" s="138">
        <v>102</v>
      </c>
      <c r="HV77" s="170">
        <v>7.2535483870967745</v>
      </c>
      <c r="HW77" s="140">
        <f t="shared" si="275"/>
        <v>739.86193548387098</v>
      </c>
      <c r="HX77" s="158"/>
      <c r="HY77" s="528"/>
      <c r="HZ77" s="143" t="s">
        <v>73</v>
      </c>
      <c r="IA77" s="144">
        <v>31</v>
      </c>
      <c r="IB77" s="157" t="s">
        <v>20</v>
      </c>
      <c r="IC77" s="138">
        <v>102</v>
      </c>
      <c r="ID77" s="170">
        <v>7.2535483870967745</v>
      </c>
      <c r="IE77" s="140">
        <f t="shared" si="276"/>
        <v>739.86193548387098</v>
      </c>
      <c r="IF77" s="158"/>
      <c r="IG77" s="528"/>
      <c r="IH77" s="143" t="s">
        <v>73</v>
      </c>
      <c r="II77" s="144">
        <v>21</v>
      </c>
      <c r="IJ77" s="157" t="s">
        <v>20</v>
      </c>
      <c r="IK77" s="138">
        <v>133</v>
      </c>
      <c r="IL77" s="170">
        <v>7.2535483870967745</v>
      </c>
      <c r="IM77" s="140">
        <f t="shared" si="277"/>
        <v>964.72193548387099</v>
      </c>
      <c r="IN77" s="158"/>
      <c r="IO77" s="528"/>
      <c r="IP77" s="143" t="s">
        <v>73</v>
      </c>
      <c r="IQ77" s="144">
        <v>21</v>
      </c>
      <c r="IR77" s="157" t="s">
        <v>20</v>
      </c>
      <c r="IS77" s="138">
        <v>28</v>
      </c>
      <c r="IT77" s="170">
        <v>7.2535483870967745</v>
      </c>
      <c r="IU77" s="140">
        <f t="shared" si="278"/>
        <v>203.0993548387097</v>
      </c>
      <c r="IV77" s="158"/>
      <c r="IW77" s="528"/>
      <c r="IX77" s="143" t="s">
        <v>73</v>
      </c>
      <c r="IY77" s="144">
        <v>5</v>
      </c>
      <c r="IZ77" s="157" t="s">
        <v>20</v>
      </c>
      <c r="JA77" s="138">
        <v>14</v>
      </c>
      <c r="JB77" s="170">
        <v>7.2535483870967745</v>
      </c>
      <c r="JC77" s="140">
        <f t="shared" si="279"/>
        <v>101.54967741935485</v>
      </c>
      <c r="JD77" s="158"/>
      <c r="JE77" s="528"/>
      <c r="JF77" s="143" t="s">
        <v>73</v>
      </c>
      <c r="JG77" s="144">
        <v>0</v>
      </c>
      <c r="JH77" s="157" t="s">
        <v>20</v>
      </c>
      <c r="JI77" s="138">
        <v>0</v>
      </c>
      <c r="JJ77" s="170">
        <v>7.2535483870967745</v>
      </c>
      <c r="JK77" s="140">
        <f t="shared" si="280"/>
        <v>0</v>
      </c>
      <c r="JL77" s="158"/>
      <c r="JM77" s="528"/>
      <c r="JN77" s="143" t="s">
        <v>73</v>
      </c>
      <c r="JO77" s="144">
        <v>5</v>
      </c>
      <c r="JP77" s="157" t="s">
        <v>20</v>
      </c>
      <c r="JQ77" s="138">
        <v>12</v>
      </c>
      <c r="JR77" s="170">
        <v>7.2535483870967745</v>
      </c>
      <c r="JS77" s="140">
        <f t="shared" si="281"/>
        <v>87.042580645161294</v>
      </c>
      <c r="JT77" s="158"/>
      <c r="JU77" s="528"/>
      <c r="JV77" s="143" t="s">
        <v>73</v>
      </c>
      <c r="JW77" s="144">
        <v>16</v>
      </c>
      <c r="JX77" s="157" t="s">
        <v>20</v>
      </c>
      <c r="JY77" s="138">
        <v>37</v>
      </c>
      <c r="JZ77" s="170">
        <v>7.2535483870967745</v>
      </c>
      <c r="KA77" s="140">
        <f t="shared" si="282"/>
        <v>268.38129032258064</v>
      </c>
      <c r="KB77" s="158"/>
      <c r="KC77" s="528"/>
      <c r="KD77" s="143" t="s">
        <v>73</v>
      </c>
      <c r="KE77" s="144">
        <v>2</v>
      </c>
      <c r="KF77" s="157" t="s">
        <v>20</v>
      </c>
      <c r="KG77" s="138">
        <v>3</v>
      </c>
      <c r="KH77" s="170">
        <v>7.2535483870967745</v>
      </c>
      <c r="KI77" s="140">
        <f t="shared" si="283"/>
        <v>21.760645161290324</v>
      </c>
      <c r="KJ77" s="158"/>
      <c r="KK77" s="528"/>
      <c r="KL77" s="143" t="s">
        <v>73</v>
      </c>
      <c r="KM77" s="144">
        <v>0</v>
      </c>
      <c r="KN77" s="157" t="s">
        <v>20</v>
      </c>
      <c r="KO77" s="138">
        <v>0</v>
      </c>
      <c r="KP77" s="170">
        <v>7.2535483870967745</v>
      </c>
      <c r="KQ77" s="140">
        <f t="shared" si="284"/>
        <v>0</v>
      </c>
      <c r="KR77" s="158"/>
      <c r="KS77" s="528"/>
      <c r="KT77" s="143" t="s">
        <v>73</v>
      </c>
      <c r="KU77" s="144">
        <v>17</v>
      </c>
      <c r="KV77" s="157" t="s">
        <v>20</v>
      </c>
      <c r="KW77" s="138">
        <v>45</v>
      </c>
      <c r="KX77" s="170">
        <v>7.2535483870967745</v>
      </c>
      <c r="KY77" s="140">
        <f t="shared" si="285"/>
        <v>326.40967741935486</v>
      </c>
      <c r="KZ77" s="158"/>
      <c r="LA77" s="528"/>
      <c r="LB77" s="143" t="s">
        <v>73</v>
      </c>
      <c r="LC77" s="144">
        <v>21</v>
      </c>
      <c r="LD77" s="157" t="s">
        <v>20</v>
      </c>
      <c r="LE77" s="138">
        <v>30</v>
      </c>
      <c r="LF77" s="170">
        <v>7.2535483870967745</v>
      </c>
      <c r="LG77" s="140">
        <f t="shared" si="286"/>
        <v>217.60645161290324</v>
      </c>
      <c r="LH77" s="158"/>
      <c r="LI77" s="528"/>
      <c r="LJ77" s="143" t="s">
        <v>73</v>
      </c>
      <c r="LK77" s="144">
        <v>25</v>
      </c>
      <c r="LL77" s="157" t="s">
        <v>20</v>
      </c>
      <c r="LM77" s="175">
        <v>65</v>
      </c>
      <c r="LN77" s="139">
        <v>7.2535483870967745</v>
      </c>
      <c r="LO77" s="140">
        <f t="shared" si="287"/>
        <v>471.48064516129034</v>
      </c>
      <c r="LP77" s="158"/>
      <c r="LQ77" s="528"/>
      <c r="LR77" s="143" t="s">
        <v>73</v>
      </c>
      <c r="LS77" s="144">
        <v>60</v>
      </c>
      <c r="LT77" s="157" t="s">
        <v>20</v>
      </c>
      <c r="LU77" s="175">
        <v>126</v>
      </c>
      <c r="LV77" s="139">
        <v>7.2535483870967745</v>
      </c>
      <c r="LW77" s="140">
        <f t="shared" si="288"/>
        <v>913.9470967741936</v>
      </c>
      <c r="LX77" s="158"/>
      <c r="LY77" s="528"/>
      <c r="LZ77" s="143" t="s">
        <v>73</v>
      </c>
      <c r="MA77" s="144">
        <v>32</v>
      </c>
      <c r="MB77" s="157" t="s">
        <v>20</v>
      </c>
      <c r="MC77" s="175">
        <v>83</v>
      </c>
      <c r="MD77" s="139">
        <v>7.2535483870967745</v>
      </c>
      <c r="ME77" s="140">
        <f t="shared" si="289"/>
        <v>602.04451612903233</v>
      </c>
      <c r="MF77" s="158"/>
      <c r="MG77" s="528"/>
      <c r="MH77" s="143" t="s">
        <v>73</v>
      </c>
      <c r="MI77" s="144">
        <v>11</v>
      </c>
      <c r="MJ77" s="157" t="s">
        <v>20</v>
      </c>
      <c r="MK77" s="175">
        <v>27</v>
      </c>
      <c r="ML77" s="139">
        <v>7.2535483870967745</v>
      </c>
      <c r="MM77" s="140">
        <f t="shared" si="290"/>
        <v>195.8458064516129</v>
      </c>
      <c r="MN77" s="158"/>
      <c r="MO77" s="528"/>
      <c r="MP77" s="143" t="s">
        <v>73</v>
      </c>
      <c r="MQ77" s="144">
        <v>9</v>
      </c>
      <c r="MR77" s="157" t="s">
        <v>20</v>
      </c>
      <c r="MS77" s="175">
        <v>21</v>
      </c>
      <c r="MT77" s="139">
        <v>7.2535483870967745</v>
      </c>
      <c r="MU77" s="140">
        <f t="shared" si="291"/>
        <v>152.32451612903228</v>
      </c>
      <c r="MV77" s="158"/>
      <c r="MW77" s="528"/>
      <c r="MX77" s="127" t="s">
        <v>56</v>
      </c>
      <c r="MY77" s="128" t="s">
        <v>57</v>
      </c>
      <c r="MZ77" s="128" t="s">
        <v>58</v>
      </c>
      <c r="NA77" s="128" t="s">
        <v>59</v>
      </c>
      <c r="NB77" s="128" t="s">
        <v>60</v>
      </c>
      <c r="NC77" s="129" t="s">
        <v>61</v>
      </c>
      <c r="ND77" s="130" t="s">
        <v>62</v>
      </c>
      <c r="NE77" s="528"/>
      <c r="NF77" s="127" t="s">
        <v>56</v>
      </c>
      <c r="NG77" s="128" t="s">
        <v>57</v>
      </c>
      <c r="NH77" s="128" t="s">
        <v>58</v>
      </c>
      <c r="NI77" s="128" t="s">
        <v>59</v>
      </c>
      <c r="NJ77" s="128" t="s">
        <v>60</v>
      </c>
      <c r="NK77" s="129" t="s">
        <v>61</v>
      </c>
      <c r="NL77" s="130" t="s">
        <v>62</v>
      </c>
      <c r="NM77" s="528"/>
      <c r="NN77" s="127" t="s">
        <v>56</v>
      </c>
      <c r="NO77" s="128" t="s">
        <v>57</v>
      </c>
      <c r="NP77" s="128" t="s">
        <v>58</v>
      </c>
      <c r="NQ77" s="128" t="s">
        <v>59</v>
      </c>
      <c r="NR77" s="128" t="s">
        <v>60</v>
      </c>
      <c r="NS77" s="129" t="s">
        <v>61</v>
      </c>
      <c r="NT77" s="130" t="s">
        <v>62</v>
      </c>
      <c r="NU77" s="528"/>
      <c r="NV77" s="127" t="s">
        <v>56</v>
      </c>
      <c r="NW77" s="128" t="s">
        <v>57</v>
      </c>
      <c r="NX77" s="128" t="s">
        <v>58</v>
      </c>
      <c r="NY77" s="128" t="s">
        <v>59</v>
      </c>
      <c r="NZ77" s="128" t="s">
        <v>60</v>
      </c>
      <c r="OA77" s="129" t="s">
        <v>61</v>
      </c>
      <c r="OB77" s="130" t="s">
        <v>62</v>
      </c>
      <c r="OC77" s="528"/>
      <c r="OD77" s="127" t="s">
        <v>56</v>
      </c>
      <c r="OE77" s="128" t="s">
        <v>57</v>
      </c>
      <c r="OF77" s="128" t="s">
        <v>58</v>
      </c>
      <c r="OG77" s="128" t="s">
        <v>59</v>
      </c>
      <c r="OH77" s="128" t="s">
        <v>60</v>
      </c>
      <c r="OI77" s="129" t="s">
        <v>61</v>
      </c>
      <c r="OJ77" s="130" t="s">
        <v>62</v>
      </c>
      <c r="OK77" s="528"/>
      <c r="OL77" s="127" t="s">
        <v>56</v>
      </c>
      <c r="OM77" s="128" t="s">
        <v>57</v>
      </c>
      <c r="ON77" s="128" t="s">
        <v>58</v>
      </c>
      <c r="OO77" s="128" t="s">
        <v>59</v>
      </c>
      <c r="OP77" s="128" t="s">
        <v>60</v>
      </c>
      <c r="OQ77" s="129" t="s">
        <v>61</v>
      </c>
      <c r="OR77" s="130" t="s">
        <v>62</v>
      </c>
      <c r="OS77" s="528"/>
      <c r="OT77" s="127" t="s">
        <v>56</v>
      </c>
      <c r="OU77" s="128" t="s">
        <v>57</v>
      </c>
      <c r="OV77" s="128" t="s">
        <v>58</v>
      </c>
      <c r="OW77" s="128" t="s">
        <v>59</v>
      </c>
      <c r="OX77" s="128" t="s">
        <v>60</v>
      </c>
      <c r="OY77" s="129" t="s">
        <v>61</v>
      </c>
      <c r="OZ77" s="130" t="s">
        <v>62</v>
      </c>
      <c r="PA77" s="528"/>
      <c r="PB77" s="127" t="s">
        <v>56</v>
      </c>
      <c r="PC77" s="128" t="s">
        <v>57</v>
      </c>
      <c r="PD77" s="128" t="s">
        <v>58</v>
      </c>
      <c r="PE77" s="128" t="s">
        <v>59</v>
      </c>
      <c r="PF77" s="128" t="s">
        <v>60</v>
      </c>
      <c r="PG77" s="129" t="s">
        <v>61</v>
      </c>
      <c r="PH77" s="130" t="s">
        <v>62</v>
      </c>
      <c r="PI77" s="528"/>
      <c r="PJ77" s="127" t="s">
        <v>56</v>
      </c>
      <c r="PK77" s="128" t="s">
        <v>57</v>
      </c>
      <c r="PL77" s="128" t="s">
        <v>58</v>
      </c>
      <c r="PM77" s="128" t="s">
        <v>59</v>
      </c>
      <c r="PN77" s="128" t="s">
        <v>60</v>
      </c>
      <c r="PO77" s="129" t="s">
        <v>61</v>
      </c>
      <c r="PP77" s="130" t="s">
        <v>62</v>
      </c>
      <c r="PQ77" s="528"/>
      <c r="PR77" s="127" t="s">
        <v>56</v>
      </c>
      <c r="PS77" s="128" t="s">
        <v>57</v>
      </c>
      <c r="PT77" s="128" t="s">
        <v>58</v>
      </c>
      <c r="PU77" s="128" t="s">
        <v>59</v>
      </c>
      <c r="PV77" s="128" t="s">
        <v>60</v>
      </c>
      <c r="PW77" s="129" t="s">
        <v>61</v>
      </c>
      <c r="PX77" s="130" t="s">
        <v>62</v>
      </c>
      <c r="PY77" s="528"/>
      <c r="PZ77" s="127" t="s">
        <v>56</v>
      </c>
      <c r="QA77" s="128" t="s">
        <v>57</v>
      </c>
      <c r="QB77" s="128" t="s">
        <v>58</v>
      </c>
      <c r="QC77" s="128" t="s">
        <v>59</v>
      </c>
      <c r="QD77" s="128" t="s">
        <v>60</v>
      </c>
      <c r="QE77" s="129" t="s">
        <v>61</v>
      </c>
      <c r="QF77" s="130" t="s">
        <v>62</v>
      </c>
      <c r="QG77" s="528"/>
      <c r="QH77" s="127" t="s">
        <v>56</v>
      </c>
      <c r="QI77" s="128" t="s">
        <v>57</v>
      </c>
      <c r="QJ77" s="128" t="s">
        <v>58</v>
      </c>
      <c r="QK77" s="128" t="s">
        <v>59</v>
      </c>
      <c r="QL77" s="128" t="s">
        <v>60</v>
      </c>
      <c r="QM77" s="129" t="s">
        <v>61</v>
      </c>
      <c r="QN77" s="130" t="s">
        <v>62</v>
      </c>
      <c r="QO77" s="528"/>
      <c r="QP77" s="127" t="s">
        <v>56</v>
      </c>
      <c r="QQ77" s="128" t="s">
        <v>57</v>
      </c>
      <c r="QR77" s="128" t="s">
        <v>58</v>
      </c>
      <c r="QS77" s="128" t="s">
        <v>59</v>
      </c>
      <c r="QT77" s="128" t="s">
        <v>60</v>
      </c>
      <c r="QU77" s="129" t="s">
        <v>61</v>
      </c>
      <c r="QV77" s="130" t="s">
        <v>62</v>
      </c>
      <c r="QW77" s="528"/>
      <c r="QX77" s="127" t="s">
        <v>56</v>
      </c>
      <c r="QY77" s="128" t="s">
        <v>57</v>
      </c>
      <c r="QZ77" s="128" t="s">
        <v>58</v>
      </c>
      <c r="RA77" s="128" t="s">
        <v>59</v>
      </c>
      <c r="RB77" s="128" t="s">
        <v>60</v>
      </c>
      <c r="RC77" s="129" t="s">
        <v>61</v>
      </c>
      <c r="RD77" s="130" t="s">
        <v>62</v>
      </c>
      <c r="RE77" s="528"/>
      <c r="RF77" s="127" t="s">
        <v>56</v>
      </c>
      <c r="RG77" s="128" t="s">
        <v>57</v>
      </c>
      <c r="RH77" s="128" t="s">
        <v>58</v>
      </c>
      <c r="RI77" s="128" t="s">
        <v>59</v>
      </c>
      <c r="RJ77" s="128" t="s">
        <v>60</v>
      </c>
      <c r="RK77" s="129" t="s">
        <v>61</v>
      </c>
      <c r="RL77" s="130" t="s">
        <v>62</v>
      </c>
      <c r="RM77" s="528"/>
      <c r="RN77" s="127" t="s">
        <v>56</v>
      </c>
      <c r="RO77" s="128" t="s">
        <v>57</v>
      </c>
      <c r="RP77" s="128" t="s">
        <v>58</v>
      </c>
      <c r="RQ77" s="128" t="s">
        <v>59</v>
      </c>
      <c r="RR77" s="128" t="s">
        <v>60</v>
      </c>
      <c r="RS77" s="129" t="s">
        <v>61</v>
      </c>
      <c r="RT77" s="130" t="s">
        <v>62</v>
      </c>
      <c r="RU77" s="528"/>
      <c r="RV77" s="127" t="s">
        <v>56</v>
      </c>
      <c r="RW77" s="128" t="s">
        <v>57</v>
      </c>
      <c r="RX77" s="128" t="s">
        <v>58</v>
      </c>
      <c r="RY77" s="128" t="s">
        <v>59</v>
      </c>
      <c r="RZ77" s="128" t="s">
        <v>60</v>
      </c>
      <c r="SA77" s="129" t="s">
        <v>61</v>
      </c>
      <c r="SB77" s="130" t="s">
        <v>62</v>
      </c>
      <c r="SC77" s="528"/>
      <c r="SD77" s="127" t="s">
        <v>56</v>
      </c>
      <c r="SE77" s="128" t="s">
        <v>57</v>
      </c>
      <c r="SF77" s="128" t="s">
        <v>58</v>
      </c>
      <c r="SG77" s="128" t="s">
        <v>59</v>
      </c>
      <c r="SH77" s="128" t="s">
        <v>60</v>
      </c>
      <c r="SI77" s="129" t="s">
        <v>61</v>
      </c>
      <c r="SJ77" s="130" t="s">
        <v>62</v>
      </c>
      <c r="SK77" s="528"/>
      <c r="SL77" s="127" t="s">
        <v>56</v>
      </c>
      <c r="SM77" s="128" t="s">
        <v>57</v>
      </c>
      <c r="SN77" s="128" t="s">
        <v>58</v>
      </c>
      <c r="SO77" s="128" t="s">
        <v>59</v>
      </c>
      <c r="SP77" s="128" t="s">
        <v>60</v>
      </c>
      <c r="SQ77" s="129" t="s">
        <v>61</v>
      </c>
      <c r="SR77" s="130" t="s">
        <v>62</v>
      </c>
      <c r="SS77" s="528"/>
      <c r="ST77" s="127" t="s">
        <v>56</v>
      </c>
      <c r="SU77" s="128" t="s">
        <v>57</v>
      </c>
      <c r="SV77" s="128" t="s">
        <v>58</v>
      </c>
      <c r="SW77" s="128" t="s">
        <v>59</v>
      </c>
      <c r="SX77" s="128" t="s">
        <v>60</v>
      </c>
      <c r="SY77" s="129" t="s">
        <v>61</v>
      </c>
      <c r="SZ77" s="130" t="s">
        <v>62</v>
      </c>
      <c r="TA77" s="528"/>
      <c r="TB77" s="127" t="s">
        <v>56</v>
      </c>
      <c r="TC77" s="128" t="s">
        <v>57</v>
      </c>
      <c r="TD77" s="128" t="s">
        <v>58</v>
      </c>
      <c r="TE77" s="128" t="s">
        <v>59</v>
      </c>
      <c r="TF77" s="128" t="s">
        <v>60</v>
      </c>
      <c r="TG77" s="129" t="s">
        <v>61</v>
      </c>
      <c r="TH77" s="130" t="s">
        <v>62</v>
      </c>
      <c r="TI77" s="528"/>
    </row>
    <row r="78" spans="2:529">
      <c r="B78" s="145"/>
      <c r="C78" s="146"/>
      <c r="D78" s="157" t="s">
        <v>74</v>
      </c>
      <c r="E78" s="138">
        <v>2</v>
      </c>
      <c r="F78" s="170">
        <v>2.9491111111111112</v>
      </c>
      <c r="G78" s="140">
        <f t="shared" si="247"/>
        <v>5.8982222222222225</v>
      </c>
      <c r="H78" s="159">
        <f>SUM(G77:G78)</f>
        <v>27.658867383512547</v>
      </c>
      <c r="I78" s="528"/>
      <c r="J78" s="145"/>
      <c r="K78" s="146"/>
      <c r="L78" s="157" t="s">
        <v>74</v>
      </c>
      <c r="M78" s="138">
        <v>0</v>
      </c>
      <c r="N78" s="170">
        <v>2.9491111111111112</v>
      </c>
      <c r="O78" s="140">
        <f t="shared" si="248"/>
        <v>0</v>
      </c>
      <c r="P78" s="159">
        <f>SUM(O77:O78)</f>
        <v>0</v>
      </c>
      <c r="Q78" s="528"/>
      <c r="R78" s="145"/>
      <c r="S78" s="146"/>
      <c r="T78" s="157" t="s">
        <v>74</v>
      </c>
      <c r="U78" s="138">
        <v>160</v>
      </c>
      <c r="V78" s="170">
        <v>2.9491111111111112</v>
      </c>
      <c r="W78" s="140">
        <f t="shared" si="249"/>
        <v>471.85777777777781</v>
      </c>
      <c r="X78" s="159">
        <f>SUM(W77:W78)</f>
        <v>689.46422939068111</v>
      </c>
      <c r="Y78" s="528"/>
      <c r="Z78" s="145"/>
      <c r="AA78" s="146"/>
      <c r="AB78" s="157" t="s">
        <v>74</v>
      </c>
      <c r="AC78" s="138">
        <v>10</v>
      </c>
      <c r="AD78" s="170">
        <v>2.9491111111111112</v>
      </c>
      <c r="AE78" s="140">
        <f t="shared" si="250"/>
        <v>29.491111111111113</v>
      </c>
      <c r="AF78" s="159">
        <f>SUM(AE77:AE78)</f>
        <v>102.02659498207885</v>
      </c>
      <c r="AG78" s="528"/>
      <c r="AH78" s="145"/>
      <c r="AI78" s="146"/>
      <c r="AJ78" s="157" t="s">
        <v>74</v>
      </c>
      <c r="AK78" s="138">
        <v>86</v>
      </c>
      <c r="AL78" s="170">
        <v>2.9491111111111112</v>
      </c>
      <c r="AM78" s="140">
        <f t="shared" si="251"/>
        <v>253.62355555555555</v>
      </c>
      <c r="AN78" s="159">
        <f>SUM(AM77:AM78)</f>
        <v>260.87710394265235</v>
      </c>
      <c r="AO78" s="528"/>
      <c r="AP78" s="145"/>
      <c r="AQ78" s="146"/>
      <c r="AR78" s="157" t="s">
        <v>74</v>
      </c>
      <c r="AS78" s="138">
        <v>0</v>
      </c>
      <c r="AT78" s="170">
        <v>2.9491111111111112</v>
      </c>
      <c r="AU78" s="140">
        <f t="shared" si="252"/>
        <v>0</v>
      </c>
      <c r="AV78" s="159">
        <f>SUM(AU77:AU78)</f>
        <v>362.67741935483872</v>
      </c>
      <c r="AW78" s="528"/>
      <c r="AX78" s="145"/>
      <c r="AY78" s="146"/>
      <c r="AZ78" s="157" t="s">
        <v>74</v>
      </c>
      <c r="BA78" s="138"/>
      <c r="BB78" s="170">
        <v>2.9491111111111112</v>
      </c>
      <c r="BC78" s="140">
        <f t="shared" si="253"/>
        <v>0</v>
      </c>
      <c r="BD78" s="159">
        <f>SUM(BC77:BC78)</f>
        <v>0</v>
      </c>
      <c r="BE78" s="528"/>
      <c r="BF78" s="145"/>
      <c r="BG78" s="146"/>
      <c r="BH78" s="157" t="s">
        <v>74</v>
      </c>
      <c r="BI78" s="138">
        <v>48</v>
      </c>
      <c r="BJ78" s="170">
        <v>2.9491111111111112</v>
      </c>
      <c r="BK78" s="140">
        <f t="shared" si="254"/>
        <v>141.55733333333333</v>
      </c>
      <c r="BL78" s="159">
        <f>SUM(BK77:BK78)</f>
        <v>163.31797849462365</v>
      </c>
      <c r="BM78" s="528"/>
      <c r="BN78" s="145"/>
      <c r="BO78" s="146"/>
      <c r="BP78" s="157" t="s">
        <v>74</v>
      </c>
      <c r="BQ78" s="138">
        <v>0</v>
      </c>
      <c r="BR78" s="170">
        <v>2.9491111111111112</v>
      </c>
      <c r="BS78" s="140">
        <f t="shared" si="255"/>
        <v>0</v>
      </c>
      <c r="BT78" s="159">
        <f>SUM(BS77:BS78)</f>
        <v>21.760645161290324</v>
      </c>
      <c r="BU78" s="528"/>
      <c r="BV78" s="536"/>
      <c r="BW78" s="537"/>
      <c r="BX78" s="574" t="s">
        <v>74</v>
      </c>
      <c r="BY78" s="560"/>
      <c r="BZ78" s="585">
        <v>2.9491111111111112</v>
      </c>
      <c r="CA78" s="562">
        <f t="shared" si="256"/>
        <v>0</v>
      </c>
      <c r="CB78" s="575">
        <f>SUM(CA77:CA78)</f>
        <v>0</v>
      </c>
      <c r="CC78" s="528"/>
      <c r="CD78" s="536"/>
      <c r="CE78" s="537"/>
      <c r="CF78" s="574" t="s">
        <v>74</v>
      </c>
      <c r="CG78" s="560"/>
      <c r="CH78" s="585">
        <v>2.9491111111111112</v>
      </c>
      <c r="CI78" s="562">
        <f t="shared" si="257"/>
        <v>0</v>
      </c>
      <c r="CJ78" s="575">
        <f>SUM(CI77:CI78)</f>
        <v>0</v>
      </c>
      <c r="CK78" s="528"/>
      <c r="CL78" s="145"/>
      <c r="CM78" s="146"/>
      <c r="CN78" s="157" t="s">
        <v>74</v>
      </c>
      <c r="CO78" s="138"/>
      <c r="CP78" s="170">
        <v>2.9491111111111112</v>
      </c>
      <c r="CQ78" s="140">
        <f t="shared" si="258"/>
        <v>0</v>
      </c>
      <c r="CR78" s="159">
        <f>SUM(CQ77:CQ78)</f>
        <v>0</v>
      </c>
      <c r="CS78" s="528"/>
      <c r="CT78" s="145"/>
      <c r="CU78" s="146"/>
      <c r="CV78" s="157" t="s">
        <v>74</v>
      </c>
      <c r="CW78" s="138">
        <v>0</v>
      </c>
      <c r="CX78" s="170">
        <v>2.9491111111111112</v>
      </c>
      <c r="CY78" s="140">
        <f t="shared" si="259"/>
        <v>0</v>
      </c>
      <c r="CZ78" s="159">
        <f>SUM(CY77:CY78)</f>
        <v>0</v>
      </c>
      <c r="DA78" s="528"/>
      <c r="DB78" s="145"/>
      <c r="DC78" s="146"/>
      <c r="DD78" s="157" t="s">
        <v>74</v>
      </c>
      <c r="DE78" s="138"/>
      <c r="DF78" s="170">
        <v>2.9491111111111112</v>
      </c>
      <c r="DG78" s="140">
        <f t="shared" si="260"/>
        <v>0</v>
      </c>
      <c r="DH78" s="159">
        <f>SUM(DG77:DG78)</f>
        <v>0</v>
      </c>
      <c r="DI78" s="528"/>
      <c r="DJ78" s="145"/>
      <c r="DK78" s="146"/>
      <c r="DL78" s="157" t="s">
        <v>74</v>
      </c>
      <c r="DM78" s="138">
        <v>86</v>
      </c>
      <c r="DN78" s="170">
        <v>2.9491111111111112</v>
      </c>
      <c r="DO78" s="140">
        <f t="shared" si="261"/>
        <v>253.62355555555555</v>
      </c>
      <c r="DP78" s="159">
        <f>SUM(DO77:DO78)</f>
        <v>485.73710394265231</v>
      </c>
      <c r="DQ78" s="528"/>
      <c r="DR78" s="145"/>
      <c r="DS78" s="146"/>
      <c r="DT78" s="157" t="s">
        <v>74</v>
      </c>
      <c r="DU78" s="138">
        <v>194</v>
      </c>
      <c r="DV78" s="170">
        <v>2.9491111111111112</v>
      </c>
      <c r="DW78" s="140">
        <f t="shared" si="262"/>
        <v>572.12755555555555</v>
      </c>
      <c r="DX78" s="159">
        <f>SUM(DW77:DW78)</f>
        <v>927.55142652329755</v>
      </c>
      <c r="DY78" s="528"/>
      <c r="DZ78" s="145"/>
      <c r="EA78" s="146"/>
      <c r="EB78" s="157" t="s">
        <v>74</v>
      </c>
      <c r="EC78" s="138">
        <v>163</v>
      </c>
      <c r="ED78" s="170">
        <v>2.9491111111111112</v>
      </c>
      <c r="EE78" s="140">
        <f t="shared" si="263"/>
        <v>480.70511111111114</v>
      </c>
      <c r="EF78" s="159">
        <f>SUM(EE77:EE78)</f>
        <v>640.28317562724021</v>
      </c>
      <c r="EG78" s="528"/>
      <c r="EH78" s="145"/>
      <c r="EI78" s="146"/>
      <c r="EJ78" s="157" t="s">
        <v>74</v>
      </c>
      <c r="EK78" s="138">
        <v>373</v>
      </c>
      <c r="EL78" s="170">
        <v>2.9491111111111112</v>
      </c>
      <c r="EM78" s="140">
        <f t="shared" si="264"/>
        <v>1100.0184444444444</v>
      </c>
      <c r="EN78" s="159">
        <f>SUM(EM77:EM78)</f>
        <v>1404.667476702509</v>
      </c>
      <c r="EO78" s="528"/>
      <c r="EP78" s="145"/>
      <c r="EQ78" s="146"/>
      <c r="ER78" s="157" t="s">
        <v>74</v>
      </c>
      <c r="ES78" s="138">
        <v>86</v>
      </c>
      <c r="ET78" s="170">
        <v>2.9491111111111112</v>
      </c>
      <c r="EU78" s="140">
        <f t="shared" si="265"/>
        <v>253.62355555555555</v>
      </c>
      <c r="EV78" s="159">
        <f>SUM(EU77:EU78)</f>
        <v>253.62355555555555</v>
      </c>
      <c r="EW78" s="528"/>
      <c r="EX78" s="145"/>
      <c r="EY78" s="146"/>
      <c r="EZ78" s="157" t="s">
        <v>74</v>
      </c>
      <c r="FA78" s="138"/>
      <c r="FB78" s="170">
        <v>2.9491111111111112</v>
      </c>
      <c r="FC78" s="140">
        <f t="shared" si="266"/>
        <v>0</v>
      </c>
      <c r="FD78" s="159">
        <f>SUM(FC77:FC78)</f>
        <v>0</v>
      </c>
      <c r="FE78" s="528"/>
      <c r="FF78" s="145"/>
      <c r="FG78" s="146"/>
      <c r="FH78" s="157" t="s">
        <v>74</v>
      </c>
      <c r="FI78" s="138"/>
      <c r="FJ78" s="170">
        <v>2.9491111111111112</v>
      </c>
      <c r="FK78" s="140">
        <f t="shared" si="267"/>
        <v>0</v>
      </c>
      <c r="FL78" s="159">
        <f>SUM(FK77:FK78)</f>
        <v>0</v>
      </c>
      <c r="FM78" s="528"/>
      <c r="FN78" s="145"/>
      <c r="FO78" s="146"/>
      <c r="FP78" s="157" t="s">
        <v>74</v>
      </c>
      <c r="FQ78" s="138"/>
      <c r="FR78" s="170">
        <v>2.9491111111111112</v>
      </c>
      <c r="FS78" s="140">
        <f t="shared" si="268"/>
        <v>0</v>
      </c>
      <c r="FT78" s="159">
        <f>SUM(FS77:FS78)</f>
        <v>0</v>
      </c>
      <c r="FU78" s="528"/>
      <c r="FV78" s="145"/>
      <c r="FW78" s="146"/>
      <c r="FX78" s="157" t="s">
        <v>74</v>
      </c>
      <c r="FY78" s="138"/>
      <c r="FZ78" s="170">
        <v>2.9491111111111112</v>
      </c>
      <c r="GA78" s="140">
        <f t="shared" si="269"/>
        <v>0</v>
      </c>
      <c r="GB78" s="159">
        <f>SUM(GA77:GA78)</f>
        <v>0</v>
      </c>
      <c r="GC78" s="528"/>
      <c r="GD78" s="145"/>
      <c r="GE78" s="146"/>
      <c r="GF78" s="157" t="s">
        <v>74</v>
      </c>
      <c r="GG78" s="138"/>
      <c r="GH78" s="170">
        <v>2.9491111111111112</v>
      </c>
      <c r="GI78" s="140">
        <f t="shared" si="270"/>
        <v>0</v>
      </c>
      <c r="GJ78" s="159">
        <f>SUM(GI77:GI78)</f>
        <v>0</v>
      </c>
      <c r="GK78" s="528"/>
      <c r="GL78" s="145"/>
      <c r="GM78" s="146"/>
      <c r="GN78" s="157" t="s">
        <v>74</v>
      </c>
      <c r="GO78" s="138">
        <f>'[1]Jan_18_Vol weekly-Data-Entry'!$Q$226</f>
        <v>0</v>
      </c>
      <c r="GP78" s="170">
        <v>2.9491111111111112</v>
      </c>
      <c r="GQ78" s="140">
        <f t="shared" si="271"/>
        <v>0</v>
      </c>
      <c r="GR78" s="159">
        <f>SUM(GQ77:GQ78)</f>
        <v>0</v>
      </c>
      <c r="GS78" s="528"/>
      <c r="GT78" s="145"/>
      <c r="GU78" s="146"/>
      <c r="GV78" s="157" t="s">
        <v>74</v>
      </c>
      <c r="GW78" s="138">
        <v>0</v>
      </c>
      <c r="GX78" s="170">
        <v>2.9491111111111112</v>
      </c>
      <c r="GY78" s="140">
        <f t="shared" si="272"/>
        <v>0</v>
      </c>
      <c r="GZ78" s="159">
        <f>SUM(GY77:GY78)</f>
        <v>362.67741935483872</v>
      </c>
      <c r="HA78" s="528"/>
      <c r="HB78" s="145"/>
      <c r="HC78" s="146"/>
      <c r="HD78" s="157" t="s">
        <v>74</v>
      </c>
      <c r="HE78" s="138">
        <v>160</v>
      </c>
      <c r="HF78" s="170">
        <v>2.9491111111111112</v>
      </c>
      <c r="HG78" s="140">
        <f t="shared" si="273"/>
        <v>471.85777777777781</v>
      </c>
      <c r="HH78" s="159">
        <f>SUM(HG77:HG78)</f>
        <v>689.46422939068111</v>
      </c>
      <c r="HI78" s="528"/>
      <c r="HJ78" s="145"/>
      <c r="HK78" s="146"/>
      <c r="HL78" s="157" t="s">
        <v>74</v>
      </c>
      <c r="HM78" s="138">
        <v>278</v>
      </c>
      <c r="HN78" s="170">
        <v>2.9491111111111112</v>
      </c>
      <c r="HO78" s="140">
        <f t="shared" si="274"/>
        <v>819.85288888888897</v>
      </c>
      <c r="HP78" s="159">
        <f>SUM(HO77:HO78)</f>
        <v>1429.1509534050181</v>
      </c>
      <c r="HQ78" s="528"/>
      <c r="HR78" s="145"/>
      <c r="HS78" s="146"/>
      <c r="HT78" s="157" t="s">
        <v>74</v>
      </c>
      <c r="HU78" s="138">
        <v>472</v>
      </c>
      <c r="HV78" s="170">
        <v>2.9491111111111112</v>
      </c>
      <c r="HW78" s="140">
        <f t="shared" si="275"/>
        <v>1391.9804444444444</v>
      </c>
      <c r="HX78" s="159">
        <f>SUM(HW77:HW78)</f>
        <v>2131.8423799283155</v>
      </c>
      <c r="HY78" s="528"/>
      <c r="HZ78" s="145"/>
      <c r="IA78" s="146"/>
      <c r="IB78" s="157" t="s">
        <v>74</v>
      </c>
      <c r="IC78" s="138">
        <v>472</v>
      </c>
      <c r="ID78" s="170">
        <v>2.9491111111111112</v>
      </c>
      <c r="IE78" s="140">
        <f t="shared" si="276"/>
        <v>1391.9804444444444</v>
      </c>
      <c r="IF78" s="159">
        <f>SUM(IE77:IE78)</f>
        <v>2131.8423799283155</v>
      </c>
      <c r="IG78" s="528"/>
      <c r="IH78" s="145"/>
      <c r="II78" s="146"/>
      <c r="IJ78" s="157" t="s">
        <v>74</v>
      </c>
      <c r="IK78" s="138">
        <v>139</v>
      </c>
      <c r="IL78" s="170">
        <v>2.9491111111111112</v>
      </c>
      <c r="IM78" s="140">
        <f t="shared" si="277"/>
        <v>409.92644444444448</v>
      </c>
      <c r="IN78" s="159">
        <f>SUM(IM77:IM78)</f>
        <v>1374.6483799283155</v>
      </c>
      <c r="IO78" s="528"/>
      <c r="IP78" s="145"/>
      <c r="IQ78" s="146"/>
      <c r="IR78" s="157" t="s">
        <v>74</v>
      </c>
      <c r="IS78" s="138">
        <v>319</v>
      </c>
      <c r="IT78" s="170">
        <v>2.9491111111111112</v>
      </c>
      <c r="IU78" s="140">
        <f t="shared" si="278"/>
        <v>940.76644444444446</v>
      </c>
      <c r="IV78" s="159">
        <f>SUM(IU77:IU78)</f>
        <v>1143.865799283154</v>
      </c>
      <c r="IW78" s="528"/>
      <c r="IX78" s="145"/>
      <c r="IY78" s="146"/>
      <c r="IZ78" s="157" t="s">
        <v>74</v>
      </c>
      <c r="JA78" s="138">
        <v>9</v>
      </c>
      <c r="JB78" s="170">
        <v>2.9491111111111112</v>
      </c>
      <c r="JC78" s="140">
        <f t="shared" si="279"/>
        <v>26.542000000000002</v>
      </c>
      <c r="JD78" s="159">
        <f>SUM(JC77:JC78)</f>
        <v>128.09167741935485</v>
      </c>
      <c r="JE78" s="528"/>
      <c r="JF78" s="145"/>
      <c r="JG78" s="146"/>
      <c r="JH78" s="157" t="s">
        <v>74</v>
      </c>
      <c r="JI78" s="138">
        <v>0</v>
      </c>
      <c r="JJ78" s="170">
        <v>2.9491111111111112</v>
      </c>
      <c r="JK78" s="140">
        <f t="shared" si="280"/>
        <v>0</v>
      </c>
      <c r="JL78" s="159">
        <f>SUM(JK77:JK78)</f>
        <v>0</v>
      </c>
      <c r="JM78" s="528"/>
      <c r="JN78" s="145"/>
      <c r="JO78" s="146"/>
      <c r="JP78" s="157" t="s">
        <v>74</v>
      </c>
      <c r="JQ78" s="138">
        <v>45</v>
      </c>
      <c r="JR78" s="170">
        <v>2.9491111111111112</v>
      </c>
      <c r="JS78" s="140">
        <f t="shared" si="281"/>
        <v>132.71</v>
      </c>
      <c r="JT78" s="159">
        <f>SUM(JS77:JS78)</f>
        <v>219.75258064516129</v>
      </c>
      <c r="JU78" s="528"/>
      <c r="JV78" s="145"/>
      <c r="JW78" s="146"/>
      <c r="JX78" s="157" t="s">
        <v>74</v>
      </c>
      <c r="JY78" s="138">
        <v>96</v>
      </c>
      <c r="JZ78" s="170">
        <v>2.9491111111111112</v>
      </c>
      <c r="KA78" s="140">
        <f t="shared" si="282"/>
        <v>283.11466666666666</v>
      </c>
      <c r="KB78" s="159">
        <f>SUM(KA77:KA78)</f>
        <v>551.49595698924736</v>
      </c>
      <c r="KC78" s="528"/>
      <c r="KD78" s="145"/>
      <c r="KE78" s="146"/>
      <c r="KF78" s="157" t="s">
        <v>74</v>
      </c>
      <c r="KG78" s="138">
        <v>0</v>
      </c>
      <c r="KH78" s="170">
        <v>2.9491111111111112</v>
      </c>
      <c r="KI78" s="140">
        <f t="shared" si="283"/>
        <v>0</v>
      </c>
      <c r="KJ78" s="159">
        <f>SUM(KI77:KI78)</f>
        <v>21.760645161290324</v>
      </c>
      <c r="KK78" s="528"/>
      <c r="KL78" s="145"/>
      <c r="KM78" s="146"/>
      <c r="KN78" s="157" t="s">
        <v>74</v>
      </c>
      <c r="KO78" s="138">
        <v>0</v>
      </c>
      <c r="KP78" s="170">
        <v>2.9491111111111112</v>
      </c>
      <c r="KQ78" s="140">
        <f t="shared" si="284"/>
        <v>0</v>
      </c>
      <c r="KR78" s="159">
        <f>SUM(KQ77:KQ78)</f>
        <v>0</v>
      </c>
      <c r="KS78" s="528"/>
      <c r="KT78" s="145"/>
      <c r="KU78" s="146"/>
      <c r="KV78" s="157" t="s">
        <v>74</v>
      </c>
      <c r="KW78" s="138">
        <v>158</v>
      </c>
      <c r="KX78" s="170">
        <v>2.9491111111111112</v>
      </c>
      <c r="KY78" s="140">
        <f t="shared" si="285"/>
        <v>465.9595555555556</v>
      </c>
      <c r="KZ78" s="159">
        <f>SUM(KY77:KY78)</f>
        <v>792.36923297491046</v>
      </c>
      <c r="LA78" s="528"/>
      <c r="LB78" s="145"/>
      <c r="LC78" s="146"/>
      <c r="LD78" s="157" t="s">
        <v>74</v>
      </c>
      <c r="LE78" s="138">
        <v>335</v>
      </c>
      <c r="LF78" s="170">
        <v>2.9491111111111112</v>
      </c>
      <c r="LG78" s="140">
        <f t="shared" si="286"/>
        <v>987.9522222222223</v>
      </c>
      <c r="LH78" s="159">
        <f>SUM(LG77:LG78)</f>
        <v>1205.5586738351255</v>
      </c>
      <c r="LI78" s="528"/>
      <c r="LJ78" s="145"/>
      <c r="LK78" s="146"/>
      <c r="LL78" s="157" t="s">
        <v>74</v>
      </c>
      <c r="LM78" s="175">
        <v>686</v>
      </c>
      <c r="LN78" s="139">
        <v>2.9491111111111112</v>
      </c>
      <c r="LO78" s="140">
        <f t="shared" si="287"/>
        <v>2023.0902222222223</v>
      </c>
      <c r="LP78" s="159">
        <f>SUM(LO77:LO78)</f>
        <v>2494.5708673835125</v>
      </c>
      <c r="LQ78" s="528"/>
      <c r="LR78" s="145"/>
      <c r="LS78" s="146"/>
      <c r="LT78" s="157" t="s">
        <v>74</v>
      </c>
      <c r="LU78" s="175">
        <v>1671</v>
      </c>
      <c r="LV78" s="139">
        <v>2.9491111111111112</v>
      </c>
      <c r="LW78" s="140">
        <f t="shared" si="288"/>
        <v>4927.9646666666667</v>
      </c>
      <c r="LX78" s="159">
        <f>SUM(LW77:LW78)</f>
        <v>5841.9117634408603</v>
      </c>
      <c r="LY78" s="528"/>
      <c r="LZ78" s="145"/>
      <c r="MA78" s="146"/>
      <c r="MB78" s="157" t="s">
        <v>74</v>
      </c>
      <c r="MC78" s="175">
        <v>723</v>
      </c>
      <c r="MD78" s="139">
        <v>2.9491111111111112</v>
      </c>
      <c r="ME78" s="140">
        <f t="shared" si="289"/>
        <v>2132.2073333333333</v>
      </c>
      <c r="MF78" s="159">
        <f>SUM(ME77:ME78)</f>
        <v>2734.2518494623655</v>
      </c>
      <c r="MG78" s="528"/>
      <c r="MH78" s="145"/>
      <c r="MI78" s="146"/>
      <c r="MJ78" s="157" t="s">
        <v>74</v>
      </c>
      <c r="MK78" s="175">
        <v>139</v>
      </c>
      <c r="ML78" s="139">
        <v>2.9491111111111112</v>
      </c>
      <c r="MM78" s="140">
        <f t="shared" si="290"/>
        <v>409.92644444444448</v>
      </c>
      <c r="MN78" s="159">
        <f>SUM(MM77:MM78)</f>
        <v>605.77225089605736</v>
      </c>
      <c r="MO78" s="528"/>
      <c r="MP78" s="145"/>
      <c r="MQ78" s="146"/>
      <c r="MR78" s="157" t="s">
        <v>74</v>
      </c>
      <c r="MS78" s="175">
        <v>34</v>
      </c>
      <c r="MT78" s="139">
        <v>2.9491111111111112</v>
      </c>
      <c r="MU78" s="140">
        <f t="shared" si="291"/>
        <v>100.26977777777778</v>
      </c>
      <c r="MV78" s="159">
        <f>SUM(MU77:MU78)</f>
        <v>252.59429390681004</v>
      </c>
      <c r="MW78" s="528"/>
      <c r="MX78" s="131"/>
      <c r="MY78" s="132" t="s">
        <v>63</v>
      </c>
      <c r="MZ78" s="132" t="s">
        <v>64</v>
      </c>
      <c r="NA78" s="132" t="s">
        <v>64</v>
      </c>
      <c r="NB78" s="131" t="s">
        <v>65</v>
      </c>
      <c r="NC78" s="133"/>
      <c r="ND78" s="134" t="s">
        <v>66</v>
      </c>
      <c r="NE78" s="528"/>
      <c r="NF78" s="131"/>
      <c r="NG78" s="132" t="s">
        <v>63</v>
      </c>
      <c r="NH78" s="132" t="s">
        <v>64</v>
      </c>
      <c r="NI78" s="132" t="s">
        <v>64</v>
      </c>
      <c r="NJ78" s="131" t="s">
        <v>65</v>
      </c>
      <c r="NK78" s="133"/>
      <c r="NL78" s="134" t="s">
        <v>66</v>
      </c>
      <c r="NM78" s="528"/>
      <c r="NN78" s="131"/>
      <c r="NO78" s="132" t="s">
        <v>63</v>
      </c>
      <c r="NP78" s="132" t="s">
        <v>64</v>
      </c>
      <c r="NQ78" s="132" t="s">
        <v>64</v>
      </c>
      <c r="NR78" s="131" t="s">
        <v>65</v>
      </c>
      <c r="NS78" s="133"/>
      <c r="NT78" s="134" t="s">
        <v>66</v>
      </c>
      <c r="NU78" s="528"/>
      <c r="NV78" s="131"/>
      <c r="NW78" s="132" t="s">
        <v>63</v>
      </c>
      <c r="NX78" s="132" t="s">
        <v>64</v>
      </c>
      <c r="NY78" s="132" t="s">
        <v>64</v>
      </c>
      <c r="NZ78" s="131" t="s">
        <v>65</v>
      </c>
      <c r="OA78" s="133"/>
      <c r="OB78" s="134" t="s">
        <v>66</v>
      </c>
      <c r="OC78" s="528"/>
      <c r="OD78" s="131"/>
      <c r="OE78" s="132" t="s">
        <v>63</v>
      </c>
      <c r="OF78" s="132" t="s">
        <v>64</v>
      </c>
      <c r="OG78" s="132" t="s">
        <v>64</v>
      </c>
      <c r="OH78" s="131" t="s">
        <v>65</v>
      </c>
      <c r="OI78" s="133"/>
      <c r="OJ78" s="134" t="s">
        <v>66</v>
      </c>
      <c r="OK78" s="528"/>
      <c r="OL78" s="131"/>
      <c r="OM78" s="132" t="s">
        <v>63</v>
      </c>
      <c r="ON78" s="132" t="s">
        <v>64</v>
      </c>
      <c r="OO78" s="132" t="s">
        <v>64</v>
      </c>
      <c r="OP78" s="131" t="s">
        <v>65</v>
      </c>
      <c r="OQ78" s="133"/>
      <c r="OR78" s="134" t="s">
        <v>66</v>
      </c>
      <c r="OS78" s="528"/>
      <c r="OT78" s="131"/>
      <c r="OU78" s="132" t="s">
        <v>63</v>
      </c>
      <c r="OV78" s="132" t="s">
        <v>64</v>
      </c>
      <c r="OW78" s="132" t="s">
        <v>64</v>
      </c>
      <c r="OX78" s="131" t="s">
        <v>65</v>
      </c>
      <c r="OY78" s="133"/>
      <c r="OZ78" s="134" t="s">
        <v>66</v>
      </c>
      <c r="PA78" s="528"/>
      <c r="PB78" s="131"/>
      <c r="PC78" s="132" t="s">
        <v>63</v>
      </c>
      <c r="PD78" s="132" t="s">
        <v>64</v>
      </c>
      <c r="PE78" s="132" t="s">
        <v>64</v>
      </c>
      <c r="PF78" s="131" t="s">
        <v>65</v>
      </c>
      <c r="PG78" s="133"/>
      <c r="PH78" s="134" t="s">
        <v>66</v>
      </c>
      <c r="PI78" s="528"/>
      <c r="PJ78" s="131"/>
      <c r="PK78" s="132" t="s">
        <v>63</v>
      </c>
      <c r="PL78" s="132" t="s">
        <v>64</v>
      </c>
      <c r="PM78" s="132" t="s">
        <v>64</v>
      </c>
      <c r="PN78" s="131" t="s">
        <v>65</v>
      </c>
      <c r="PO78" s="133"/>
      <c r="PP78" s="134" t="s">
        <v>66</v>
      </c>
      <c r="PQ78" s="528"/>
      <c r="PR78" s="131"/>
      <c r="PS78" s="132" t="s">
        <v>63</v>
      </c>
      <c r="PT78" s="132" t="s">
        <v>64</v>
      </c>
      <c r="PU78" s="132" t="s">
        <v>64</v>
      </c>
      <c r="PV78" s="131" t="s">
        <v>65</v>
      </c>
      <c r="PW78" s="133"/>
      <c r="PX78" s="134" t="s">
        <v>66</v>
      </c>
      <c r="PY78" s="528"/>
      <c r="PZ78" s="131"/>
      <c r="QA78" s="132" t="s">
        <v>63</v>
      </c>
      <c r="QB78" s="132" t="s">
        <v>64</v>
      </c>
      <c r="QC78" s="132" t="s">
        <v>64</v>
      </c>
      <c r="QD78" s="131" t="s">
        <v>65</v>
      </c>
      <c r="QE78" s="133"/>
      <c r="QF78" s="134" t="s">
        <v>66</v>
      </c>
      <c r="QG78" s="528"/>
      <c r="QH78" s="131"/>
      <c r="QI78" s="132" t="s">
        <v>63</v>
      </c>
      <c r="QJ78" s="132" t="s">
        <v>64</v>
      </c>
      <c r="QK78" s="132" t="s">
        <v>64</v>
      </c>
      <c r="QL78" s="131" t="s">
        <v>65</v>
      </c>
      <c r="QM78" s="133"/>
      <c r="QN78" s="134" t="s">
        <v>66</v>
      </c>
      <c r="QO78" s="528"/>
      <c r="QP78" s="131"/>
      <c r="QQ78" s="132" t="s">
        <v>63</v>
      </c>
      <c r="QR78" s="132" t="s">
        <v>64</v>
      </c>
      <c r="QS78" s="132" t="s">
        <v>64</v>
      </c>
      <c r="QT78" s="131" t="s">
        <v>65</v>
      </c>
      <c r="QU78" s="133"/>
      <c r="QV78" s="134" t="s">
        <v>66</v>
      </c>
      <c r="QW78" s="528"/>
      <c r="QX78" s="131"/>
      <c r="QY78" s="132" t="s">
        <v>63</v>
      </c>
      <c r="QZ78" s="132" t="s">
        <v>64</v>
      </c>
      <c r="RA78" s="132" t="s">
        <v>64</v>
      </c>
      <c r="RB78" s="131" t="s">
        <v>65</v>
      </c>
      <c r="RC78" s="133"/>
      <c r="RD78" s="134" t="s">
        <v>66</v>
      </c>
      <c r="RE78" s="528"/>
      <c r="RF78" s="131"/>
      <c r="RG78" s="132" t="s">
        <v>63</v>
      </c>
      <c r="RH78" s="132" t="s">
        <v>64</v>
      </c>
      <c r="RI78" s="132" t="s">
        <v>64</v>
      </c>
      <c r="RJ78" s="131" t="s">
        <v>65</v>
      </c>
      <c r="RK78" s="133"/>
      <c r="RL78" s="134" t="s">
        <v>66</v>
      </c>
      <c r="RM78" s="528"/>
      <c r="RN78" s="131"/>
      <c r="RO78" s="132" t="s">
        <v>63</v>
      </c>
      <c r="RP78" s="132" t="s">
        <v>64</v>
      </c>
      <c r="RQ78" s="132" t="s">
        <v>64</v>
      </c>
      <c r="RR78" s="131" t="s">
        <v>65</v>
      </c>
      <c r="RS78" s="133"/>
      <c r="RT78" s="134" t="s">
        <v>66</v>
      </c>
      <c r="RU78" s="528"/>
      <c r="RV78" s="131"/>
      <c r="RW78" s="132" t="s">
        <v>63</v>
      </c>
      <c r="RX78" s="132" t="s">
        <v>64</v>
      </c>
      <c r="RY78" s="132" t="s">
        <v>64</v>
      </c>
      <c r="RZ78" s="131" t="s">
        <v>65</v>
      </c>
      <c r="SA78" s="133"/>
      <c r="SB78" s="134" t="s">
        <v>66</v>
      </c>
      <c r="SC78" s="528"/>
      <c r="SD78" s="131"/>
      <c r="SE78" s="132" t="s">
        <v>63</v>
      </c>
      <c r="SF78" s="132" t="s">
        <v>64</v>
      </c>
      <c r="SG78" s="132" t="s">
        <v>64</v>
      </c>
      <c r="SH78" s="131" t="s">
        <v>65</v>
      </c>
      <c r="SI78" s="133"/>
      <c r="SJ78" s="134" t="s">
        <v>66</v>
      </c>
      <c r="SK78" s="528"/>
      <c r="SL78" s="131"/>
      <c r="SM78" s="132" t="s">
        <v>63</v>
      </c>
      <c r="SN78" s="132" t="s">
        <v>64</v>
      </c>
      <c r="SO78" s="132" t="s">
        <v>64</v>
      </c>
      <c r="SP78" s="131" t="s">
        <v>65</v>
      </c>
      <c r="SQ78" s="133"/>
      <c r="SR78" s="134" t="s">
        <v>66</v>
      </c>
      <c r="SS78" s="528"/>
      <c r="ST78" s="131"/>
      <c r="SU78" s="132" t="s">
        <v>63</v>
      </c>
      <c r="SV78" s="132" t="s">
        <v>64</v>
      </c>
      <c r="SW78" s="132" t="s">
        <v>64</v>
      </c>
      <c r="SX78" s="131" t="s">
        <v>65</v>
      </c>
      <c r="SY78" s="133"/>
      <c r="SZ78" s="134" t="s">
        <v>66</v>
      </c>
      <c r="TA78" s="528"/>
      <c r="TB78" s="131"/>
      <c r="TC78" s="132" t="s">
        <v>63</v>
      </c>
      <c r="TD78" s="132" t="s">
        <v>64</v>
      </c>
      <c r="TE78" s="132" t="s">
        <v>64</v>
      </c>
      <c r="TF78" s="131" t="s">
        <v>65</v>
      </c>
      <c r="TG78" s="133"/>
      <c r="TH78" s="134" t="s">
        <v>66</v>
      </c>
      <c r="TI78" s="528"/>
    </row>
    <row r="79" spans="2:529">
      <c r="B79" s="143" t="s">
        <v>75</v>
      </c>
      <c r="C79" s="144">
        <v>28</v>
      </c>
      <c r="D79" s="160" t="s">
        <v>76</v>
      </c>
      <c r="E79" s="138">
        <v>17</v>
      </c>
      <c r="F79" s="170">
        <v>7.3735593220338993</v>
      </c>
      <c r="G79" s="140">
        <f t="shared" si="247"/>
        <v>125.35050847457629</v>
      </c>
      <c r="H79" s="158"/>
      <c r="I79" s="528"/>
      <c r="J79" s="143" t="s">
        <v>75</v>
      </c>
      <c r="K79" s="144">
        <v>11</v>
      </c>
      <c r="L79" s="160" t="s">
        <v>76</v>
      </c>
      <c r="M79" s="138">
        <v>22</v>
      </c>
      <c r="N79" s="170">
        <v>7.3735593220338993</v>
      </c>
      <c r="O79" s="140">
        <f t="shared" si="248"/>
        <v>162.21830508474579</v>
      </c>
      <c r="P79" s="158"/>
      <c r="Q79" s="528"/>
      <c r="R79" s="143" t="s">
        <v>75</v>
      </c>
      <c r="S79" s="144">
        <v>2</v>
      </c>
      <c r="T79" s="160" t="s">
        <v>76</v>
      </c>
      <c r="U79" s="138">
        <v>0</v>
      </c>
      <c r="V79" s="170">
        <v>7.3735593220338993</v>
      </c>
      <c r="W79" s="140">
        <f t="shared" si="249"/>
        <v>0</v>
      </c>
      <c r="X79" s="158"/>
      <c r="Y79" s="528"/>
      <c r="Z79" s="143" t="s">
        <v>75</v>
      </c>
      <c r="AA79" s="144">
        <v>8</v>
      </c>
      <c r="AB79" s="160" t="s">
        <v>76</v>
      </c>
      <c r="AC79" s="138">
        <v>48</v>
      </c>
      <c r="AD79" s="170">
        <v>7.3735593220338993</v>
      </c>
      <c r="AE79" s="140">
        <f t="shared" si="250"/>
        <v>353.93084745762718</v>
      </c>
      <c r="AF79" s="158"/>
      <c r="AG79" s="528"/>
      <c r="AH79" s="143" t="s">
        <v>75</v>
      </c>
      <c r="AI79" s="144"/>
      <c r="AJ79" s="160" t="s">
        <v>76</v>
      </c>
      <c r="AK79" s="138">
        <v>0</v>
      </c>
      <c r="AL79" s="170">
        <v>7.3735593220338993</v>
      </c>
      <c r="AM79" s="140">
        <f t="shared" si="251"/>
        <v>0</v>
      </c>
      <c r="AN79" s="158"/>
      <c r="AO79" s="528"/>
      <c r="AP79" s="143" t="s">
        <v>75</v>
      </c>
      <c r="AQ79" s="144">
        <v>8</v>
      </c>
      <c r="AR79" s="160" t="s">
        <v>76</v>
      </c>
      <c r="AS79" s="138">
        <v>37</v>
      </c>
      <c r="AT79" s="170">
        <v>7.3735593220338993</v>
      </c>
      <c r="AU79" s="140">
        <f t="shared" si="252"/>
        <v>272.82169491525428</v>
      </c>
      <c r="AV79" s="158"/>
      <c r="AW79" s="528"/>
      <c r="AX79" s="143" t="s">
        <v>75</v>
      </c>
      <c r="AY79" s="144"/>
      <c r="AZ79" s="160" t="s">
        <v>76</v>
      </c>
      <c r="BA79" s="138"/>
      <c r="BB79" s="170">
        <v>7.3735593220338993</v>
      </c>
      <c r="BC79" s="140">
        <f t="shared" si="253"/>
        <v>0</v>
      </c>
      <c r="BD79" s="158"/>
      <c r="BE79" s="528"/>
      <c r="BF79" s="143" t="s">
        <v>75</v>
      </c>
      <c r="BG79" s="144">
        <v>16</v>
      </c>
      <c r="BH79" s="160" t="s">
        <v>76</v>
      </c>
      <c r="BI79" s="138">
        <v>34</v>
      </c>
      <c r="BJ79" s="170">
        <v>7.3735593220338993</v>
      </c>
      <c r="BK79" s="140">
        <f t="shared" si="254"/>
        <v>250.70101694915257</v>
      </c>
      <c r="BL79" s="158"/>
      <c r="BM79" s="528"/>
      <c r="BN79" s="143" t="s">
        <v>75</v>
      </c>
      <c r="BO79" s="144">
        <v>9</v>
      </c>
      <c r="BP79" s="160" t="s">
        <v>76</v>
      </c>
      <c r="BQ79" s="138">
        <v>27</v>
      </c>
      <c r="BR79" s="170">
        <v>7.3735593220338993</v>
      </c>
      <c r="BS79" s="140">
        <f t="shared" si="255"/>
        <v>199.08610169491527</v>
      </c>
      <c r="BT79" s="158"/>
      <c r="BU79" s="528"/>
      <c r="BV79" s="564" t="s">
        <v>75</v>
      </c>
      <c r="BW79" s="565"/>
      <c r="BX79" s="576" t="s">
        <v>76</v>
      </c>
      <c r="BY79" s="560"/>
      <c r="BZ79" s="585">
        <v>7.3735593220338993</v>
      </c>
      <c r="CA79" s="562">
        <f t="shared" si="256"/>
        <v>0</v>
      </c>
      <c r="CB79" s="540"/>
      <c r="CC79" s="528"/>
      <c r="CD79" s="564" t="s">
        <v>75</v>
      </c>
      <c r="CE79" s="565"/>
      <c r="CF79" s="576" t="s">
        <v>76</v>
      </c>
      <c r="CG79" s="560"/>
      <c r="CH79" s="585">
        <v>7.3735593220338993</v>
      </c>
      <c r="CI79" s="562">
        <f t="shared" si="257"/>
        <v>0</v>
      </c>
      <c r="CJ79" s="540"/>
      <c r="CK79" s="528"/>
      <c r="CL79" s="143" t="s">
        <v>75</v>
      </c>
      <c r="CM79" s="144"/>
      <c r="CN79" s="160" t="s">
        <v>76</v>
      </c>
      <c r="CO79" s="138"/>
      <c r="CP79" s="170">
        <v>7.3735593220338993</v>
      </c>
      <c r="CQ79" s="140">
        <f t="shared" si="258"/>
        <v>0</v>
      </c>
      <c r="CR79" s="158"/>
      <c r="CS79" s="528"/>
      <c r="CT79" s="143" t="s">
        <v>75</v>
      </c>
      <c r="CU79" s="144">
        <v>16</v>
      </c>
      <c r="CV79" s="160" t="s">
        <v>76</v>
      </c>
      <c r="CW79" s="138">
        <v>34</v>
      </c>
      <c r="CX79" s="170">
        <v>7.3735593220338993</v>
      </c>
      <c r="CY79" s="140">
        <f t="shared" si="259"/>
        <v>250.70101694915257</v>
      </c>
      <c r="CZ79" s="158"/>
      <c r="DA79" s="528"/>
      <c r="DB79" s="143" t="s">
        <v>75</v>
      </c>
      <c r="DC79" s="144"/>
      <c r="DD79" s="160" t="s">
        <v>76</v>
      </c>
      <c r="DE79" s="138"/>
      <c r="DF79" s="170">
        <v>7.3735593220338993</v>
      </c>
      <c r="DG79" s="140">
        <f t="shared" si="260"/>
        <v>0</v>
      </c>
      <c r="DH79" s="158"/>
      <c r="DI79" s="528"/>
      <c r="DJ79" s="143" t="s">
        <v>75</v>
      </c>
      <c r="DK79" s="144"/>
      <c r="DL79" s="160" t="s">
        <v>76</v>
      </c>
      <c r="DM79" s="138">
        <v>0</v>
      </c>
      <c r="DN79" s="170">
        <v>7.3735593220338993</v>
      </c>
      <c r="DO79" s="140">
        <f t="shared" si="261"/>
        <v>0</v>
      </c>
      <c r="DP79" s="158"/>
      <c r="DQ79" s="528"/>
      <c r="DR79" s="143" t="s">
        <v>75</v>
      </c>
      <c r="DS79" s="144">
        <v>59</v>
      </c>
      <c r="DT79" s="160" t="s">
        <v>76</v>
      </c>
      <c r="DU79" s="138">
        <v>198</v>
      </c>
      <c r="DV79" s="170">
        <v>7.3735593220338993</v>
      </c>
      <c r="DW79" s="140">
        <f t="shared" si="262"/>
        <v>1459.964745762712</v>
      </c>
      <c r="DX79" s="158"/>
      <c r="DY79" s="528"/>
      <c r="DZ79" s="143" t="s">
        <v>75</v>
      </c>
      <c r="EA79" s="144">
        <v>26</v>
      </c>
      <c r="EB79" s="160" t="s">
        <v>76</v>
      </c>
      <c r="EC79" s="138">
        <v>84</v>
      </c>
      <c r="ED79" s="170">
        <v>7.3735593220338993</v>
      </c>
      <c r="EE79" s="140">
        <f t="shared" si="263"/>
        <v>619.37898305084752</v>
      </c>
      <c r="EF79" s="158"/>
      <c r="EG79" s="528"/>
      <c r="EH79" s="143" t="s">
        <v>75</v>
      </c>
      <c r="EI79" s="144">
        <v>53</v>
      </c>
      <c r="EJ79" s="160" t="s">
        <v>76</v>
      </c>
      <c r="EK79" s="138">
        <v>96</v>
      </c>
      <c r="EL79" s="170">
        <v>7.3735593220338993</v>
      </c>
      <c r="EM79" s="140">
        <f t="shared" si="264"/>
        <v>707.86169491525436</v>
      </c>
      <c r="EN79" s="158"/>
      <c r="EO79" s="528"/>
      <c r="EP79" s="143" t="s">
        <v>75</v>
      </c>
      <c r="EQ79" s="144">
        <v>0</v>
      </c>
      <c r="ER79" s="160" t="s">
        <v>76</v>
      </c>
      <c r="ES79" s="138">
        <v>0</v>
      </c>
      <c r="ET79" s="170">
        <v>7.3735593220338993</v>
      </c>
      <c r="EU79" s="140">
        <f t="shared" si="265"/>
        <v>0</v>
      </c>
      <c r="EV79" s="158"/>
      <c r="EW79" s="528"/>
      <c r="EX79" s="143" t="s">
        <v>75</v>
      </c>
      <c r="EY79" s="144"/>
      <c r="EZ79" s="160" t="s">
        <v>76</v>
      </c>
      <c r="FA79" s="138"/>
      <c r="FB79" s="170">
        <v>7.3735593220338993</v>
      </c>
      <c r="FC79" s="140">
        <f t="shared" si="266"/>
        <v>0</v>
      </c>
      <c r="FD79" s="158"/>
      <c r="FE79" s="528"/>
      <c r="FF79" s="143" t="s">
        <v>75</v>
      </c>
      <c r="FG79" s="144"/>
      <c r="FH79" s="160" t="s">
        <v>76</v>
      </c>
      <c r="FI79" s="138"/>
      <c r="FJ79" s="170">
        <v>7.3735593220338993</v>
      </c>
      <c r="FK79" s="140">
        <f t="shared" si="267"/>
        <v>0</v>
      </c>
      <c r="FL79" s="158"/>
      <c r="FM79" s="528"/>
      <c r="FN79" s="143" t="s">
        <v>75</v>
      </c>
      <c r="FO79" s="144"/>
      <c r="FP79" s="160" t="s">
        <v>76</v>
      </c>
      <c r="FQ79" s="138"/>
      <c r="FR79" s="170">
        <v>7.3735593220338993</v>
      </c>
      <c r="FS79" s="140">
        <f t="shared" si="268"/>
        <v>0</v>
      </c>
      <c r="FT79" s="158"/>
      <c r="FU79" s="528"/>
      <c r="FV79" s="143" t="s">
        <v>75</v>
      </c>
      <c r="FW79" s="144"/>
      <c r="FX79" s="160" t="s">
        <v>76</v>
      </c>
      <c r="FY79" s="138"/>
      <c r="FZ79" s="170">
        <v>7.3735593220338993</v>
      </c>
      <c r="GA79" s="140">
        <f t="shared" si="269"/>
        <v>0</v>
      </c>
      <c r="GB79" s="158"/>
      <c r="GC79" s="528"/>
      <c r="GD79" s="143" t="s">
        <v>75</v>
      </c>
      <c r="GE79" s="144"/>
      <c r="GF79" s="160" t="s">
        <v>76</v>
      </c>
      <c r="GG79" s="138"/>
      <c r="GH79" s="170">
        <v>7.3735593220338993</v>
      </c>
      <c r="GI79" s="140">
        <f t="shared" si="270"/>
        <v>0</v>
      </c>
      <c r="GJ79" s="158"/>
      <c r="GK79" s="528"/>
      <c r="GL79" s="143" t="s">
        <v>75</v>
      </c>
      <c r="GM79" s="144">
        <v>10</v>
      </c>
      <c r="GN79" s="160" t="s">
        <v>76</v>
      </c>
      <c r="GO79" s="138">
        <f>'[1]Jan_18_Vol weekly-Data-Entry'!$S$226</f>
        <v>0</v>
      </c>
      <c r="GP79" s="170">
        <v>7.3735593220338993</v>
      </c>
      <c r="GQ79" s="140">
        <f t="shared" si="271"/>
        <v>0</v>
      </c>
      <c r="GR79" s="158"/>
      <c r="GS79" s="528"/>
      <c r="GT79" s="143" t="s">
        <v>75</v>
      </c>
      <c r="GU79" s="144">
        <v>0</v>
      </c>
      <c r="GV79" s="160" t="s">
        <v>76</v>
      </c>
      <c r="GW79" s="138">
        <v>0</v>
      </c>
      <c r="GX79" s="170">
        <v>7.3735593220338993</v>
      </c>
      <c r="GY79" s="140">
        <f t="shared" si="272"/>
        <v>0</v>
      </c>
      <c r="GZ79" s="158"/>
      <c r="HA79" s="528"/>
      <c r="HB79" s="143" t="s">
        <v>75</v>
      </c>
      <c r="HC79" s="144">
        <v>1</v>
      </c>
      <c r="HD79" s="160" t="s">
        <v>76</v>
      </c>
      <c r="HE79" s="138">
        <v>0</v>
      </c>
      <c r="HF79" s="170">
        <v>7.3735593220338993</v>
      </c>
      <c r="HG79" s="140">
        <f t="shared" si="273"/>
        <v>0</v>
      </c>
      <c r="HH79" s="158"/>
      <c r="HI79" s="528"/>
      <c r="HJ79" s="143" t="s">
        <v>75</v>
      </c>
      <c r="HK79" s="144">
        <v>52</v>
      </c>
      <c r="HL79" s="160" t="s">
        <v>76</v>
      </c>
      <c r="HM79" s="138">
        <v>286</v>
      </c>
      <c r="HN79" s="170">
        <v>7.3735593220338993</v>
      </c>
      <c r="HO79" s="140">
        <f t="shared" si="274"/>
        <v>2108.8379661016952</v>
      </c>
      <c r="HP79" s="158"/>
      <c r="HQ79" s="528"/>
      <c r="HR79" s="143" t="s">
        <v>75</v>
      </c>
      <c r="HS79" s="144">
        <v>55</v>
      </c>
      <c r="HT79" s="160" t="s">
        <v>76</v>
      </c>
      <c r="HU79" s="138">
        <v>318</v>
      </c>
      <c r="HV79" s="170">
        <v>7.3735593220338993</v>
      </c>
      <c r="HW79" s="140">
        <f t="shared" si="275"/>
        <v>2344.79186440678</v>
      </c>
      <c r="HX79" s="158"/>
      <c r="HY79" s="528"/>
      <c r="HZ79" s="143" t="s">
        <v>75</v>
      </c>
      <c r="IA79" s="144">
        <v>55</v>
      </c>
      <c r="IB79" s="160" t="s">
        <v>76</v>
      </c>
      <c r="IC79" s="138">
        <v>318</v>
      </c>
      <c r="ID79" s="170">
        <v>7.3735593220338993</v>
      </c>
      <c r="IE79" s="140">
        <f t="shared" si="276"/>
        <v>2344.79186440678</v>
      </c>
      <c r="IF79" s="158"/>
      <c r="IG79" s="528"/>
      <c r="IH79" s="143" t="s">
        <v>75</v>
      </c>
      <c r="II79" s="144">
        <v>42</v>
      </c>
      <c r="IJ79" s="160" t="s">
        <v>76</v>
      </c>
      <c r="IK79" s="138">
        <v>232</v>
      </c>
      <c r="IL79" s="170">
        <v>7.3735593220338993</v>
      </c>
      <c r="IM79" s="140">
        <f t="shared" si="277"/>
        <v>1710.6657627118645</v>
      </c>
      <c r="IN79" s="158"/>
      <c r="IO79" s="528"/>
      <c r="IP79" s="143" t="s">
        <v>75</v>
      </c>
      <c r="IQ79" s="144">
        <v>32</v>
      </c>
      <c r="IR79" s="160" t="s">
        <v>76</v>
      </c>
      <c r="IS79" s="138">
        <v>164</v>
      </c>
      <c r="IT79" s="170">
        <v>7.3735593220338993</v>
      </c>
      <c r="IU79" s="140">
        <f t="shared" si="278"/>
        <v>1209.2637288135595</v>
      </c>
      <c r="IV79" s="158"/>
      <c r="IW79" s="528"/>
      <c r="IX79" s="143" t="s">
        <v>75</v>
      </c>
      <c r="IY79" s="144">
        <v>30</v>
      </c>
      <c r="IZ79" s="160" t="s">
        <v>76</v>
      </c>
      <c r="JA79" s="138">
        <v>111</v>
      </c>
      <c r="JB79" s="170">
        <v>7.3735593220338993</v>
      </c>
      <c r="JC79" s="140">
        <f t="shared" si="279"/>
        <v>818.46508474576285</v>
      </c>
      <c r="JD79" s="158"/>
      <c r="JE79" s="528"/>
      <c r="JF79" s="143" t="s">
        <v>75</v>
      </c>
      <c r="JG79" s="144">
        <v>2</v>
      </c>
      <c r="JH79" s="160" t="s">
        <v>76</v>
      </c>
      <c r="JI79" s="138">
        <v>0</v>
      </c>
      <c r="JJ79" s="170">
        <v>7.3735593220338993</v>
      </c>
      <c r="JK79" s="140">
        <f t="shared" si="280"/>
        <v>0</v>
      </c>
      <c r="JL79" s="158"/>
      <c r="JM79" s="528"/>
      <c r="JN79" s="143" t="s">
        <v>75</v>
      </c>
      <c r="JO79" s="144">
        <v>5</v>
      </c>
      <c r="JP79" s="160" t="s">
        <v>76</v>
      </c>
      <c r="JQ79" s="138">
        <v>19</v>
      </c>
      <c r="JR79" s="170">
        <v>7.3735593220338993</v>
      </c>
      <c r="JS79" s="140">
        <f t="shared" si="281"/>
        <v>140.09762711864408</v>
      </c>
      <c r="JT79" s="158"/>
      <c r="JU79" s="528"/>
      <c r="JV79" s="143" t="s">
        <v>75</v>
      </c>
      <c r="JW79" s="144">
        <v>20</v>
      </c>
      <c r="JX79" s="160" t="s">
        <v>76</v>
      </c>
      <c r="JY79" s="138">
        <v>83</v>
      </c>
      <c r="JZ79" s="170">
        <v>7.3735593220338993</v>
      </c>
      <c r="KA79" s="140">
        <f t="shared" si="282"/>
        <v>612.00542372881364</v>
      </c>
      <c r="KB79" s="158"/>
      <c r="KC79" s="528"/>
      <c r="KD79" s="143" t="s">
        <v>75</v>
      </c>
      <c r="KE79" s="144">
        <v>5</v>
      </c>
      <c r="KF79" s="160" t="s">
        <v>76</v>
      </c>
      <c r="KG79" s="138">
        <v>17</v>
      </c>
      <c r="KH79" s="170">
        <v>7.3735593220338993</v>
      </c>
      <c r="KI79" s="140">
        <f t="shared" si="283"/>
        <v>125.35050847457629</v>
      </c>
      <c r="KJ79" s="158"/>
      <c r="KK79" s="528"/>
      <c r="KL79" s="143" t="s">
        <v>75</v>
      </c>
      <c r="KM79" s="144">
        <v>10</v>
      </c>
      <c r="KN79" s="160" t="s">
        <v>76</v>
      </c>
      <c r="KO79" s="138">
        <v>22</v>
      </c>
      <c r="KP79" s="170">
        <v>7.3735593220338993</v>
      </c>
      <c r="KQ79" s="140">
        <f t="shared" si="284"/>
        <v>162.21830508474579</v>
      </c>
      <c r="KR79" s="158"/>
      <c r="KS79" s="528"/>
      <c r="KT79" s="143" t="s">
        <v>75</v>
      </c>
      <c r="KU79" s="144">
        <v>59</v>
      </c>
      <c r="KV79" s="160" t="s">
        <v>76</v>
      </c>
      <c r="KW79" s="138">
        <v>363</v>
      </c>
      <c r="KX79" s="170">
        <v>7.3735593220338993</v>
      </c>
      <c r="KY79" s="140">
        <f t="shared" si="285"/>
        <v>2676.6020338983053</v>
      </c>
      <c r="KZ79" s="158"/>
      <c r="LA79" s="528"/>
      <c r="LB79" s="143" t="s">
        <v>75</v>
      </c>
      <c r="LC79" s="144">
        <v>52</v>
      </c>
      <c r="LD79" s="160" t="s">
        <v>76</v>
      </c>
      <c r="LE79" s="138">
        <v>275</v>
      </c>
      <c r="LF79" s="170">
        <v>7.3735593220338993</v>
      </c>
      <c r="LG79" s="140">
        <f t="shared" si="286"/>
        <v>2027.7288135593224</v>
      </c>
      <c r="LH79" s="158"/>
      <c r="LI79" s="528"/>
      <c r="LJ79" s="143" t="s">
        <v>75</v>
      </c>
      <c r="LK79" s="144">
        <v>51</v>
      </c>
      <c r="LL79" s="160" t="s">
        <v>76</v>
      </c>
      <c r="LM79" s="175">
        <v>272</v>
      </c>
      <c r="LN79" s="139">
        <v>7.3735593220338993</v>
      </c>
      <c r="LO79" s="140">
        <f t="shared" si="287"/>
        <v>2005.6081355932206</v>
      </c>
      <c r="LP79" s="158"/>
      <c r="LQ79" s="528"/>
      <c r="LR79" s="143" t="s">
        <v>75</v>
      </c>
      <c r="LS79" s="144">
        <v>44</v>
      </c>
      <c r="LT79" s="160" t="s">
        <v>76</v>
      </c>
      <c r="LU79" s="175">
        <v>173</v>
      </c>
      <c r="LV79" s="139">
        <v>7.3735593220338993</v>
      </c>
      <c r="LW79" s="140">
        <f t="shared" si="288"/>
        <v>1275.6257627118646</v>
      </c>
      <c r="LX79" s="158"/>
      <c r="LY79" s="528"/>
      <c r="LZ79" s="143" t="s">
        <v>75</v>
      </c>
      <c r="MA79" s="144">
        <v>49</v>
      </c>
      <c r="MB79" s="160" t="s">
        <v>76</v>
      </c>
      <c r="MC79" s="175">
        <v>186</v>
      </c>
      <c r="MD79" s="139">
        <v>7.3735593220338993</v>
      </c>
      <c r="ME79" s="140">
        <f t="shared" si="289"/>
        <v>1371.4820338983052</v>
      </c>
      <c r="MF79" s="158"/>
      <c r="MG79" s="528"/>
      <c r="MH79" s="143" t="s">
        <v>75</v>
      </c>
      <c r="MI79" s="144">
        <v>51</v>
      </c>
      <c r="MJ79" s="160" t="s">
        <v>76</v>
      </c>
      <c r="MK79" s="175">
        <v>244</v>
      </c>
      <c r="ML79" s="139">
        <v>7.3735593220338993</v>
      </c>
      <c r="MM79" s="140">
        <f t="shared" si="290"/>
        <v>1799.1484745762714</v>
      </c>
      <c r="MN79" s="158"/>
      <c r="MO79" s="528"/>
      <c r="MP79" s="143" t="s">
        <v>75</v>
      </c>
      <c r="MQ79" s="144">
        <v>51</v>
      </c>
      <c r="MR79" s="160" t="s">
        <v>76</v>
      </c>
      <c r="MS79" s="175">
        <v>128</v>
      </c>
      <c r="MT79" s="139">
        <v>7.3735593220338993</v>
      </c>
      <c r="MU79" s="140">
        <f t="shared" si="291"/>
        <v>943.81559322033911</v>
      </c>
      <c r="MV79" s="158"/>
      <c r="MW79" s="528"/>
      <c r="MX79" s="135" t="s">
        <v>67</v>
      </c>
      <c r="MY79" s="136">
        <v>17</v>
      </c>
      <c r="MZ79" s="137" t="s">
        <v>20</v>
      </c>
      <c r="NA79" s="175">
        <v>35</v>
      </c>
      <c r="NB79" s="139">
        <v>6.0072413793103445</v>
      </c>
      <c r="NC79" s="140">
        <f t="shared" ref="NC79:NC112" si="292">NA79*NB79</f>
        <v>210.25344827586207</v>
      </c>
      <c r="ND79" s="141"/>
      <c r="NE79" s="528"/>
      <c r="NF79" s="135" t="s">
        <v>67</v>
      </c>
      <c r="NG79" s="136">
        <v>10</v>
      </c>
      <c r="NH79" s="137" t="s">
        <v>20</v>
      </c>
      <c r="NI79" s="175">
        <v>9</v>
      </c>
      <c r="NJ79" s="139">
        <v>6.0072413793103445</v>
      </c>
      <c r="NK79" s="140">
        <f t="shared" ref="NK79:NK112" si="293">NI79*NJ79</f>
        <v>54.0651724137931</v>
      </c>
      <c r="NL79" s="141"/>
      <c r="NM79" s="528"/>
      <c r="NN79" s="135" t="s">
        <v>67</v>
      </c>
      <c r="NO79" s="136">
        <v>3</v>
      </c>
      <c r="NP79" s="137" t="s">
        <v>20</v>
      </c>
      <c r="NQ79" s="175">
        <v>22</v>
      </c>
      <c r="NR79" s="139">
        <v>6.0072413793103445</v>
      </c>
      <c r="NS79" s="140">
        <f t="shared" ref="NS79:NS112" si="294">NQ79*NR79</f>
        <v>132.15931034482759</v>
      </c>
      <c r="NT79" s="141"/>
      <c r="NU79" s="528"/>
      <c r="NV79" s="135" t="s">
        <v>67</v>
      </c>
      <c r="NW79" s="136">
        <v>3</v>
      </c>
      <c r="NX79" s="137" t="s">
        <v>20</v>
      </c>
      <c r="NY79" s="175">
        <v>5</v>
      </c>
      <c r="NZ79" s="139">
        <v>6.0072413793103445</v>
      </c>
      <c r="OA79" s="140">
        <f t="shared" ref="OA79:OA112" si="295">NY79*NZ79</f>
        <v>30.036206896551722</v>
      </c>
      <c r="OB79" s="141"/>
      <c r="OC79" s="528"/>
      <c r="OD79" s="135" t="s">
        <v>67</v>
      </c>
      <c r="OE79" s="136">
        <v>2</v>
      </c>
      <c r="OF79" s="137" t="s">
        <v>20</v>
      </c>
      <c r="OG79" s="175">
        <v>1</v>
      </c>
      <c r="OH79" s="139">
        <v>6.0072413793103445</v>
      </c>
      <c r="OI79" s="140">
        <f t="shared" ref="OI79:OI112" si="296">OG79*OH79</f>
        <v>6.0072413793103445</v>
      </c>
      <c r="OJ79" s="141"/>
      <c r="OK79" s="528"/>
      <c r="OL79" s="135" t="s">
        <v>67</v>
      </c>
      <c r="OM79" s="136"/>
      <c r="ON79" s="137" t="s">
        <v>20</v>
      </c>
      <c r="OO79" s="175"/>
      <c r="OP79" s="139">
        <v>6.0072413793103445</v>
      </c>
      <c r="OQ79" s="140">
        <f t="shared" ref="OQ79:OQ112" si="297">OO79*OP79</f>
        <v>0</v>
      </c>
      <c r="OR79" s="141"/>
      <c r="OS79" s="528"/>
      <c r="OT79" s="135" t="s">
        <v>67</v>
      </c>
      <c r="OU79" s="136"/>
      <c r="OV79" s="137" t="s">
        <v>20</v>
      </c>
      <c r="OW79" s="175"/>
      <c r="OX79" s="139">
        <v>6.0072413793103445</v>
      </c>
      <c r="OY79" s="140">
        <f t="shared" ref="OY79:OY112" si="298">OW79*OX79</f>
        <v>0</v>
      </c>
      <c r="OZ79" s="141"/>
      <c r="PA79" s="528"/>
      <c r="PB79" s="135" t="s">
        <v>67</v>
      </c>
      <c r="PC79" s="136"/>
      <c r="PD79" s="137" t="s">
        <v>20</v>
      </c>
      <c r="PE79" s="175"/>
      <c r="PF79" s="139">
        <v>6.0072413793103445</v>
      </c>
      <c r="PG79" s="140">
        <f t="shared" ref="PG79:PG112" si="299">PE79*PF79</f>
        <v>0</v>
      </c>
      <c r="PH79" s="141"/>
      <c r="PI79" s="528"/>
      <c r="PJ79" s="135" t="s">
        <v>67</v>
      </c>
      <c r="PK79" s="136">
        <v>5</v>
      </c>
      <c r="PL79" s="137" t="s">
        <v>20</v>
      </c>
      <c r="PM79" s="175">
        <v>1</v>
      </c>
      <c r="PN79" s="139">
        <v>6.0072413793103445</v>
      </c>
      <c r="PO79" s="140">
        <f t="shared" ref="PO79:PO112" si="300">PM79*PN79</f>
        <v>6.0072413793103445</v>
      </c>
      <c r="PP79" s="141"/>
      <c r="PQ79" s="528"/>
      <c r="PR79" s="135" t="s">
        <v>67</v>
      </c>
      <c r="PS79" s="136">
        <v>2</v>
      </c>
      <c r="PT79" s="137" t="s">
        <v>20</v>
      </c>
      <c r="PU79" s="175">
        <v>7</v>
      </c>
      <c r="PV79" s="139">
        <v>6.0072413793103445</v>
      </c>
      <c r="PW79" s="140">
        <f t="shared" ref="PW79:PW112" si="301">PU79*PV79</f>
        <v>42.050689655172413</v>
      </c>
      <c r="PX79" s="141"/>
      <c r="PY79" s="528"/>
      <c r="PZ79" s="135" t="s">
        <v>67</v>
      </c>
      <c r="QA79" s="136">
        <v>5</v>
      </c>
      <c r="QB79" s="137" t="s">
        <v>20</v>
      </c>
      <c r="QC79" s="175">
        <v>57</v>
      </c>
      <c r="QD79" s="139">
        <v>6.0072413793103445</v>
      </c>
      <c r="QE79" s="140">
        <f t="shared" ref="QE79:QE112" si="302">QC79*QD79</f>
        <v>342.41275862068966</v>
      </c>
      <c r="QF79" s="141"/>
      <c r="QG79" s="528"/>
      <c r="QH79" s="135" t="s">
        <v>67</v>
      </c>
      <c r="QI79" s="136">
        <v>6</v>
      </c>
      <c r="QJ79" s="137" t="s">
        <v>20</v>
      </c>
      <c r="QK79" s="175">
        <v>23</v>
      </c>
      <c r="QL79" s="139">
        <v>6.0072413793103445</v>
      </c>
      <c r="QM79" s="140">
        <f t="shared" ref="QM79:QM112" si="303">QK79*QL79</f>
        <v>138.16655172413792</v>
      </c>
      <c r="QN79" s="141"/>
      <c r="QO79" s="528"/>
      <c r="QP79" s="135" t="s">
        <v>67</v>
      </c>
      <c r="QQ79" s="136">
        <v>11</v>
      </c>
      <c r="QR79" s="137" t="s">
        <v>20</v>
      </c>
      <c r="QS79" s="175">
        <v>54</v>
      </c>
      <c r="QT79" s="139">
        <v>6.0072413793103445</v>
      </c>
      <c r="QU79" s="140">
        <f t="shared" ref="QU79:QU112" si="304">QS79*QT79</f>
        <v>324.39103448275858</v>
      </c>
      <c r="QV79" s="141"/>
      <c r="QW79" s="528"/>
      <c r="QX79" s="135" t="s">
        <v>67</v>
      </c>
      <c r="QY79" s="136"/>
      <c r="QZ79" s="137" t="s">
        <v>20</v>
      </c>
      <c r="RA79" s="175"/>
      <c r="RB79" s="139">
        <v>6.0072413793103445</v>
      </c>
      <c r="RC79" s="140">
        <f t="shared" ref="RC79:RC112" si="305">RA79*RB79</f>
        <v>0</v>
      </c>
      <c r="RD79" s="141"/>
      <c r="RE79" s="528"/>
      <c r="RF79" s="135" t="s">
        <v>67</v>
      </c>
      <c r="RG79" s="136"/>
      <c r="RH79" s="137" t="s">
        <v>20</v>
      </c>
      <c r="RI79" s="175"/>
      <c r="RJ79" s="139">
        <v>6.0072413793103445</v>
      </c>
      <c r="RK79" s="140">
        <f t="shared" ref="RK79:RK112" si="306">RI79*RJ79</f>
        <v>0</v>
      </c>
      <c r="RL79" s="141"/>
      <c r="RM79" s="528"/>
      <c r="RN79" s="135" t="s">
        <v>67</v>
      </c>
      <c r="RO79" s="136">
        <v>6</v>
      </c>
      <c r="RP79" s="137" t="s">
        <v>20</v>
      </c>
      <c r="RQ79" s="175">
        <v>15</v>
      </c>
      <c r="RR79" s="139">
        <v>6.0072413793103445</v>
      </c>
      <c r="RS79" s="140">
        <f t="shared" ref="RS79:RS112" si="307">RQ79*RR79</f>
        <v>90.108620689655169</v>
      </c>
      <c r="RT79" s="141"/>
      <c r="RU79" s="528"/>
      <c r="RV79" s="135" t="s">
        <v>67</v>
      </c>
      <c r="RW79" s="136">
        <v>18</v>
      </c>
      <c r="RX79" s="137" t="s">
        <v>20</v>
      </c>
      <c r="RY79" s="175">
        <v>55</v>
      </c>
      <c r="RZ79" s="139">
        <v>6.0072413793103445</v>
      </c>
      <c r="SA79" s="140">
        <f t="shared" ref="SA79:SA112" si="308">RY79*RZ79</f>
        <v>330.39827586206894</v>
      </c>
      <c r="SB79" s="141"/>
      <c r="SC79" s="528"/>
      <c r="SD79" s="135" t="s">
        <v>67</v>
      </c>
      <c r="SE79" s="136">
        <v>23</v>
      </c>
      <c r="SF79" s="137" t="s">
        <v>20</v>
      </c>
      <c r="SG79" s="175">
        <v>145</v>
      </c>
      <c r="SH79" s="139">
        <v>6.0072413793103445</v>
      </c>
      <c r="SI79" s="140">
        <f t="shared" ref="SI79:SI112" si="309">SG79*SH79</f>
        <v>871.05</v>
      </c>
      <c r="SJ79" s="141"/>
      <c r="SK79" s="528"/>
      <c r="SL79" s="135" t="s">
        <v>67</v>
      </c>
      <c r="SM79" s="136">
        <v>8</v>
      </c>
      <c r="SN79" s="137" t="s">
        <v>20</v>
      </c>
      <c r="SO79" s="175">
        <v>34</v>
      </c>
      <c r="SP79" s="139">
        <v>6.0072413793103445</v>
      </c>
      <c r="SQ79" s="140">
        <f t="shared" ref="SQ79:SQ112" si="310">SO79*SP79</f>
        <v>204.24620689655171</v>
      </c>
      <c r="SR79" s="141"/>
      <c r="SS79" s="528"/>
      <c r="ST79" s="135" t="s">
        <v>67</v>
      </c>
      <c r="SU79" s="136">
        <v>25</v>
      </c>
      <c r="SV79" s="137" t="s">
        <v>20</v>
      </c>
      <c r="SW79" s="175">
        <v>93</v>
      </c>
      <c r="SX79" s="139">
        <v>6.0072413793103445</v>
      </c>
      <c r="SY79" s="140">
        <f t="shared" ref="SY79:SY112" si="311">SW79*SX79</f>
        <v>558.67344827586203</v>
      </c>
      <c r="SZ79" s="141"/>
      <c r="TA79" s="528"/>
      <c r="TB79" s="135" t="s">
        <v>67</v>
      </c>
      <c r="TC79" s="136">
        <v>18</v>
      </c>
      <c r="TD79" s="137" t="s">
        <v>20</v>
      </c>
      <c r="TE79" s="175">
        <v>122</v>
      </c>
      <c r="TF79" s="139">
        <v>6.0072413793103445</v>
      </c>
      <c r="TG79" s="140">
        <f t="shared" ref="TG79:TG112" si="312">TE79*TF79</f>
        <v>732.88344827586207</v>
      </c>
      <c r="TH79" s="141"/>
      <c r="TI79" s="528"/>
    </row>
    <row r="80" spans="2:529">
      <c r="B80" s="145"/>
      <c r="C80" s="146"/>
      <c r="D80" s="157" t="s">
        <v>77</v>
      </c>
      <c r="E80" s="138">
        <v>84</v>
      </c>
      <c r="F80" s="170">
        <v>3.0458333333333329</v>
      </c>
      <c r="G80" s="140">
        <f t="shared" si="247"/>
        <v>255.84999999999997</v>
      </c>
      <c r="H80" s="158"/>
      <c r="I80" s="528"/>
      <c r="J80" s="145"/>
      <c r="K80" s="146"/>
      <c r="L80" s="157" t="s">
        <v>77</v>
      </c>
      <c r="M80" s="138">
        <v>15</v>
      </c>
      <c r="N80" s="170">
        <v>3.0458333333333329</v>
      </c>
      <c r="O80" s="140">
        <f t="shared" si="248"/>
        <v>45.687499999999993</v>
      </c>
      <c r="P80" s="158"/>
      <c r="Q80" s="528"/>
      <c r="R80" s="145"/>
      <c r="S80" s="146"/>
      <c r="T80" s="157" t="s">
        <v>77</v>
      </c>
      <c r="U80" s="138">
        <v>57</v>
      </c>
      <c r="V80" s="170">
        <v>3.0458333333333329</v>
      </c>
      <c r="W80" s="140">
        <f t="shared" si="249"/>
        <v>173.61249999999998</v>
      </c>
      <c r="X80" s="158"/>
      <c r="Y80" s="528"/>
      <c r="Z80" s="145"/>
      <c r="AA80" s="146"/>
      <c r="AB80" s="157" t="s">
        <v>77</v>
      </c>
      <c r="AC80" s="138">
        <v>0</v>
      </c>
      <c r="AD80" s="170">
        <v>3.0458333333333329</v>
      </c>
      <c r="AE80" s="140">
        <f t="shared" si="250"/>
        <v>0</v>
      </c>
      <c r="AF80" s="158"/>
      <c r="AG80" s="528"/>
      <c r="AH80" s="145"/>
      <c r="AI80" s="146"/>
      <c r="AJ80" s="157" t="s">
        <v>77</v>
      </c>
      <c r="AK80" s="138">
        <v>0</v>
      </c>
      <c r="AL80" s="170">
        <v>3.0458333333333329</v>
      </c>
      <c r="AM80" s="140">
        <f t="shared" si="251"/>
        <v>0</v>
      </c>
      <c r="AN80" s="158"/>
      <c r="AO80" s="528"/>
      <c r="AP80" s="145"/>
      <c r="AQ80" s="146"/>
      <c r="AR80" s="157" t="s">
        <v>77</v>
      </c>
      <c r="AS80" s="138">
        <v>0</v>
      </c>
      <c r="AT80" s="170">
        <v>3.0458333333333329</v>
      </c>
      <c r="AU80" s="140">
        <f t="shared" si="252"/>
        <v>0</v>
      </c>
      <c r="AV80" s="158"/>
      <c r="AW80" s="528"/>
      <c r="AX80" s="145"/>
      <c r="AY80" s="146"/>
      <c r="AZ80" s="157" t="s">
        <v>77</v>
      </c>
      <c r="BA80" s="138"/>
      <c r="BB80" s="170">
        <v>3.0458333333333329</v>
      </c>
      <c r="BC80" s="140">
        <f t="shared" si="253"/>
        <v>0</v>
      </c>
      <c r="BD80" s="158"/>
      <c r="BE80" s="528"/>
      <c r="BF80" s="145"/>
      <c r="BG80" s="146"/>
      <c r="BH80" s="157" t="s">
        <v>77</v>
      </c>
      <c r="BI80" s="138">
        <v>3</v>
      </c>
      <c r="BJ80" s="170">
        <v>3.0458333333333329</v>
      </c>
      <c r="BK80" s="140">
        <f t="shared" si="254"/>
        <v>9.1374999999999993</v>
      </c>
      <c r="BL80" s="158"/>
      <c r="BM80" s="528"/>
      <c r="BN80" s="145"/>
      <c r="BO80" s="146"/>
      <c r="BP80" s="157" t="s">
        <v>77</v>
      </c>
      <c r="BQ80" s="138">
        <v>12</v>
      </c>
      <c r="BR80" s="170">
        <v>3.0458333333333329</v>
      </c>
      <c r="BS80" s="140">
        <f t="shared" si="255"/>
        <v>36.549999999999997</v>
      </c>
      <c r="BT80" s="158"/>
      <c r="BU80" s="528"/>
      <c r="BV80" s="536"/>
      <c r="BW80" s="537"/>
      <c r="BX80" s="574" t="s">
        <v>77</v>
      </c>
      <c r="BY80" s="560"/>
      <c r="BZ80" s="585">
        <v>3.0458333333333329</v>
      </c>
      <c r="CA80" s="562">
        <f t="shared" si="256"/>
        <v>0</v>
      </c>
      <c r="CB80" s="540"/>
      <c r="CC80" s="528"/>
      <c r="CD80" s="536"/>
      <c r="CE80" s="537"/>
      <c r="CF80" s="574" t="s">
        <v>77</v>
      </c>
      <c r="CG80" s="560"/>
      <c r="CH80" s="585">
        <v>3.0458333333333329</v>
      </c>
      <c r="CI80" s="562">
        <f t="shared" si="257"/>
        <v>0</v>
      </c>
      <c r="CJ80" s="540"/>
      <c r="CK80" s="528"/>
      <c r="CL80" s="145"/>
      <c r="CM80" s="146"/>
      <c r="CN80" s="157" t="s">
        <v>77</v>
      </c>
      <c r="CO80" s="138"/>
      <c r="CP80" s="170">
        <v>3.0458333333333329</v>
      </c>
      <c r="CQ80" s="140">
        <f t="shared" si="258"/>
        <v>0</v>
      </c>
      <c r="CR80" s="158"/>
      <c r="CS80" s="528"/>
      <c r="CT80" s="145"/>
      <c r="CU80" s="146"/>
      <c r="CV80" s="157" t="s">
        <v>77</v>
      </c>
      <c r="CW80" s="138">
        <v>3</v>
      </c>
      <c r="CX80" s="170">
        <v>3.0458333333333329</v>
      </c>
      <c r="CY80" s="140">
        <f t="shared" si="259"/>
        <v>9.1374999999999993</v>
      </c>
      <c r="CZ80" s="158"/>
      <c r="DA80" s="528"/>
      <c r="DB80" s="145"/>
      <c r="DC80" s="146"/>
      <c r="DD80" s="157" t="s">
        <v>77</v>
      </c>
      <c r="DE80" s="138"/>
      <c r="DF80" s="170">
        <v>3.0458333333333329</v>
      </c>
      <c r="DG80" s="140">
        <f t="shared" si="260"/>
        <v>0</v>
      </c>
      <c r="DH80" s="158"/>
      <c r="DI80" s="528"/>
      <c r="DJ80" s="145"/>
      <c r="DK80" s="146"/>
      <c r="DL80" s="157" t="s">
        <v>77</v>
      </c>
      <c r="DM80" s="138">
        <v>0</v>
      </c>
      <c r="DN80" s="170">
        <v>3.0458333333333329</v>
      </c>
      <c r="DO80" s="140">
        <f t="shared" si="261"/>
        <v>0</v>
      </c>
      <c r="DP80" s="158"/>
      <c r="DQ80" s="528"/>
      <c r="DR80" s="145"/>
      <c r="DS80" s="146"/>
      <c r="DT80" s="157" t="s">
        <v>77</v>
      </c>
      <c r="DU80" s="138">
        <v>103</v>
      </c>
      <c r="DV80" s="170">
        <v>3.0458333333333329</v>
      </c>
      <c r="DW80" s="140">
        <f t="shared" si="262"/>
        <v>313.7208333333333</v>
      </c>
      <c r="DX80" s="158"/>
      <c r="DY80" s="528"/>
      <c r="DZ80" s="145"/>
      <c r="EA80" s="146"/>
      <c r="EB80" s="157" t="s">
        <v>77</v>
      </c>
      <c r="EC80" s="138">
        <v>108</v>
      </c>
      <c r="ED80" s="170">
        <v>3.0458333333333329</v>
      </c>
      <c r="EE80" s="140">
        <f t="shared" si="263"/>
        <v>328.94999999999993</v>
      </c>
      <c r="EF80" s="158"/>
      <c r="EG80" s="528"/>
      <c r="EH80" s="145"/>
      <c r="EI80" s="146"/>
      <c r="EJ80" s="157" t="s">
        <v>77</v>
      </c>
      <c r="EK80" s="138">
        <v>138</v>
      </c>
      <c r="EL80" s="170">
        <v>3.0458333333333329</v>
      </c>
      <c r="EM80" s="140">
        <f t="shared" si="264"/>
        <v>420.32499999999993</v>
      </c>
      <c r="EN80" s="158"/>
      <c r="EO80" s="528"/>
      <c r="EP80" s="145"/>
      <c r="EQ80" s="146"/>
      <c r="ER80" s="157" t="s">
        <v>77</v>
      </c>
      <c r="ES80" s="138">
        <v>0</v>
      </c>
      <c r="ET80" s="170">
        <v>3.0458333333333329</v>
      </c>
      <c r="EU80" s="140">
        <f t="shared" si="265"/>
        <v>0</v>
      </c>
      <c r="EV80" s="158"/>
      <c r="EW80" s="528"/>
      <c r="EX80" s="145"/>
      <c r="EY80" s="146"/>
      <c r="EZ80" s="157" t="s">
        <v>77</v>
      </c>
      <c r="FA80" s="138"/>
      <c r="FB80" s="170">
        <v>3.0458333333333329</v>
      </c>
      <c r="FC80" s="140">
        <f t="shared" si="266"/>
        <v>0</v>
      </c>
      <c r="FD80" s="158"/>
      <c r="FE80" s="528"/>
      <c r="FF80" s="145"/>
      <c r="FG80" s="146"/>
      <c r="FH80" s="157" t="s">
        <v>77</v>
      </c>
      <c r="FI80" s="138"/>
      <c r="FJ80" s="170">
        <v>3.0458333333333329</v>
      </c>
      <c r="FK80" s="140">
        <f t="shared" si="267"/>
        <v>0</v>
      </c>
      <c r="FL80" s="158"/>
      <c r="FM80" s="528"/>
      <c r="FN80" s="145"/>
      <c r="FO80" s="146"/>
      <c r="FP80" s="157" t="s">
        <v>77</v>
      </c>
      <c r="FQ80" s="138"/>
      <c r="FR80" s="170">
        <v>3.0458333333333329</v>
      </c>
      <c r="FS80" s="140">
        <f t="shared" si="268"/>
        <v>0</v>
      </c>
      <c r="FT80" s="158"/>
      <c r="FU80" s="528"/>
      <c r="FV80" s="145"/>
      <c r="FW80" s="146"/>
      <c r="FX80" s="157" t="s">
        <v>77</v>
      </c>
      <c r="FY80" s="138"/>
      <c r="FZ80" s="170">
        <v>3.0458333333333329</v>
      </c>
      <c r="GA80" s="140">
        <f t="shared" si="269"/>
        <v>0</v>
      </c>
      <c r="GB80" s="158"/>
      <c r="GC80" s="528"/>
      <c r="GD80" s="145"/>
      <c r="GE80" s="146"/>
      <c r="GF80" s="157" t="s">
        <v>77</v>
      </c>
      <c r="GG80" s="138"/>
      <c r="GH80" s="170">
        <v>3.0458333333333329</v>
      </c>
      <c r="GI80" s="140">
        <f t="shared" si="270"/>
        <v>0</v>
      </c>
      <c r="GJ80" s="158"/>
      <c r="GK80" s="528"/>
      <c r="GL80" s="145"/>
      <c r="GM80" s="146"/>
      <c r="GN80" s="157" t="s">
        <v>77</v>
      </c>
      <c r="GO80" s="138">
        <f>'[1]Jan_18_Vol weekly-Data-Entry'!$T$226</f>
        <v>0</v>
      </c>
      <c r="GP80" s="170">
        <v>3.0458333333333329</v>
      </c>
      <c r="GQ80" s="140">
        <f t="shared" si="271"/>
        <v>0</v>
      </c>
      <c r="GR80" s="158"/>
      <c r="GS80" s="528"/>
      <c r="GT80" s="145"/>
      <c r="GU80" s="146"/>
      <c r="GV80" s="157" t="s">
        <v>77</v>
      </c>
      <c r="GW80" s="138">
        <v>0</v>
      </c>
      <c r="GX80" s="170">
        <v>3.0458333333333329</v>
      </c>
      <c r="GY80" s="140">
        <f t="shared" si="272"/>
        <v>0</v>
      </c>
      <c r="GZ80" s="158"/>
      <c r="HA80" s="528"/>
      <c r="HB80" s="145"/>
      <c r="HC80" s="146"/>
      <c r="HD80" s="157" t="s">
        <v>77</v>
      </c>
      <c r="HE80" s="138">
        <v>57</v>
      </c>
      <c r="HF80" s="170">
        <v>3.0458333333333329</v>
      </c>
      <c r="HG80" s="140">
        <f t="shared" si="273"/>
        <v>173.61249999999998</v>
      </c>
      <c r="HH80" s="158"/>
      <c r="HI80" s="528"/>
      <c r="HJ80" s="145"/>
      <c r="HK80" s="146"/>
      <c r="HL80" s="157" t="s">
        <v>77</v>
      </c>
      <c r="HM80" s="138">
        <v>0</v>
      </c>
      <c r="HN80" s="170">
        <v>3.0458333333333329</v>
      </c>
      <c r="HO80" s="140">
        <f t="shared" si="274"/>
        <v>0</v>
      </c>
      <c r="HP80" s="158"/>
      <c r="HQ80" s="528"/>
      <c r="HR80" s="145"/>
      <c r="HS80" s="146"/>
      <c r="HT80" s="157" t="s">
        <v>77</v>
      </c>
      <c r="HU80" s="138">
        <v>97</v>
      </c>
      <c r="HV80" s="170">
        <v>3.0458333333333329</v>
      </c>
      <c r="HW80" s="140">
        <f t="shared" si="275"/>
        <v>295.44583333333327</v>
      </c>
      <c r="HX80" s="158"/>
      <c r="HY80" s="528"/>
      <c r="HZ80" s="145"/>
      <c r="IA80" s="146"/>
      <c r="IB80" s="157" t="s">
        <v>77</v>
      </c>
      <c r="IC80" s="138">
        <v>88</v>
      </c>
      <c r="ID80" s="170">
        <v>3.0458333333333329</v>
      </c>
      <c r="IE80" s="140">
        <f t="shared" si="276"/>
        <v>268.0333333333333</v>
      </c>
      <c r="IF80" s="158"/>
      <c r="IG80" s="528"/>
      <c r="IH80" s="145"/>
      <c r="II80" s="146"/>
      <c r="IJ80" s="157" t="s">
        <v>77</v>
      </c>
      <c r="IK80" s="138">
        <v>0</v>
      </c>
      <c r="IL80" s="170">
        <v>3.0458333333333329</v>
      </c>
      <c r="IM80" s="140">
        <f t="shared" si="277"/>
        <v>0</v>
      </c>
      <c r="IN80" s="158"/>
      <c r="IO80" s="528"/>
      <c r="IP80" s="145"/>
      <c r="IQ80" s="146"/>
      <c r="IR80" s="157" t="s">
        <v>77</v>
      </c>
      <c r="IS80" s="138">
        <v>0</v>
      </c>
      <c r="IT80" s="170">
        <v>3.0458333333333329</v>
      </c>
      <c r="IU80" s="140">
        <f t="shared" si="278"/>
        <v>0</v>
      </c>
      <c r="IV80" s="158"/>
      <c r="IW80" s="528"/>
      <c r="IX80" s="145"/>
      <c r="IY80" s="146"/>
      <c r="IZ80" s="157" t="s">
        <v>77</v>
      </c>
      <c r="JA80" s="138">
        <v>20</v>
      </c>
      <c r="JB80" s="170">
        <v>3.0458333333333329</v>
      </c>
      <c r="JC80" s="140">
        <f t="shared" si="279"/>
        <v>60.916666666666657</v>
      </c>
      <c r="JD80" s="158"/>
      <c r="JE80" s="528"/>
      <c r="JF80" s="145"/>
      <c r="JG80" s="146"/>
      <c r="JH80" s="157" t="s">
        <v>77</v>
      </c>
      <c r="JI80" s="138">
        <v>13</v>
      </c>
      <c r="JJ80" s="170">
        <v>3.0458333333333329</v>
      </c>
      <c r="JK80" s="140">
        <f t="shared" si="280"/>
        <v>39.595833333333331</v>
      </c>
      <c r="JL80" s="158"/>
      <c r="JM80" s="528"/>
      <c r="JN80" s="145"/>
      <c r="JO80" s="146"/>
      <c r="JP80" s="157" t="s">
        <v>77</v>
      </c>
      <c r="JQ80" s="138">
        <v>0</v>
      </c>
      <c r="JR80" s="170">
        <v>3.0458333333333329</v>
      </c>
      <c r="JS80" s="140">
        <f t="shared" si="281"/>
        <v>0</v>
      </c>
      <c r="JT80" s="158"/>
      <c r="JU80" s="528"/>
      <c r="JV80" s="145"/>
      <c r="JW80" s="146"/>
      <c r="JX80" s="157" t="s">
        <v>77</v>
      </c>
      <c r="JY80" s="138">
        <v>0</v>
      </c>
      <c r="JZ80" s="170">
        <v>3.0458333333333329</v>
      </c>
      <c r="KA80" s="140">
        <f t="shared" si="282"/>
        <v>0</v>
      </c>
      <c r="KB80" s="158"/>
      <c r="KC80" s="528"/>
      <c r="KD80" s="145"/>
      <c r="KE80" s="146"/>
      <c r="KF80" s="157" t="s">
        <v>77</v>
      </c>
      <c r="KG80" s="138">
        <v>0</v>
      </c>
      <c r="KH80" s="170">
        <v>3.0458333333333329</v>
      </c>
      <c r="KI80" s="140">
        <f t="shared" si="283"/>
        <v>0</v>
      </c>
      <c r="KJ80" s="158"/>
      <c r="KK80" s="528"/>
      <c r="KL80" s="145"/>
      <c r="KM80" s="146"/>
      <c r="KN80" s="157" t="s">
        <v>77</v>
      </c>
      <c r="KO80" s="138">
        <v>15</v>
      </c>
      <c r="KP80" s="170">
        <v>3.0458333333333329</v>
      </c>
      <c r="KQ80" s="140">
        <f t="shared" si="284"/>
        <v>45.687499999999993</v>
      </c>
      <c r="KR80" s="158"/>
      <c r="KS80" s="528"/>
      <c r="KT80" s="145"/>
      <c r="KU80" s="146"/>
      <c r="KV80" s="157" t="s">
        <v>77</v>
      </c>
      <c r="KW80" s="138">
        <v>151</v>
      </c>
      <c r="KX80" s="170">
        <v>3.0458333333333329</v>
      </c>
      <c r="KY80" s="140">
        <f t="shared" si="285"/>
        <v>459.92083333333329</v>
      </c>
      <c r="KZ80" s="158"/>
      <c r="LA80" s="528"/>
      <c r="LB80" s="145"/>
      <c r="LC80" s="146"/>
      <c r="LD80" s="157" t="s">
        <v>77</v>
      </c>
      <c r="LE80" s="138">
        <v>59</v>
      </c>
      <c r="LF80" s="170">
        <v>3.0458333333333329</v>
      </c>
      <c r="LG80" s="140">
        <f t="shared" si="286"/>
        <v>179.70416666666665</v>
      </c>
      <c r="LH80" s="158"/>
      <c r="LI80" s="528"/>
      <c r="LJ80" s="145"/>
      <c r="LK80" s="146"/>
      <c r="LL80" s="157" t="s">
        <v>77</v>
      </c>
      <c r="LM80" s="175">
        <v>29</v>
      </c>
      <c r="LN80" s="139">
        <v>3.0458333333333329</v>
      </c>
      <c r="LO80" s="140">
        <f t="shared" si="287"/>
        <v>88.329166666666652</v>
      </c>
      <c r="LP80" s="158"/>
      <c r="LQ80" s="528"/>
      <c r="LR80" s="145"/>
      <c r="LS80" s="146"/>
      <c r="LT80" s="157" t="s">
        <v>77</v>
      </c>
      <c r="LU80" s="175">
        <v>0</v>
      </c>
      <c r="LV80" s="139">
        <v>3.0458333333333329</v>
      </c>
      <c r="LW80" s="140">
        <f t="shared" si="288"/>
        <v>0</v>
      </c>
      <c r="LX80" s="158"/>
      <c r="LY80" s="528"/>
      <c r="LZ80" s="145"/>
      <c r="MA80" s="146"/>
      <c r="MB80" s="157" t="s">
        <v>77</v>
      </c>
      <c r="MC80" s="175">
        <v>42</v>
      </c>
      <c r="MD80" s="139">
        <v>3.0458333333333329</v>
      </c>
      <c r="ME80" s="140">
        <f t="shared" si="289"/>
        <v>127.92499999999998</v>
      </c>
      <c r="MF80" s="158"/>
      <c r="MG80" s="528"/>
      <c r="MH80" s="145"/>
      <c r="MI80" s="146"/>
      <c r="MJ80" s="157" t="s">
        <v>77</v>
      </c>
      <c r="MK80" s="175">
        <v>52</v>
      </c>
      <c r="ML80" s="139">
        <v>3.0458333333333329</v>
      </c>
      <c r="MM80" s="140">
        <f t="shared" si="290"/>
        <v>158.38333333333333</v>
      </c>
      <c r="MN80" s="158"/>
      <c r="MO80" s="528"/>
      <c r="MP80" s="145"/>
      <c r="MQ80" s="146"/>
      <c r="MR80" s="157" t="s">
        <v>77</v>
      </c>
      <c r="MS80" s="175">
        <v>49</v>
      </c>
      <c r="MT80" s="139">
        <v>3.0458333333333329</v>
      </c>
      <c r="MU80" s="140">
        <f t="shared" si="291"/>
        <v>149.24583333333331</v>
      </c>
      <c r="MV80" s="158"/>
      <c r="MW80" s="528"/>
      <c r="MX80" s="131"/>
      <c r="MY80" s="142"/>
      <c r="MZ80" s="137" t="s">
        <v>11</v>
      </c>
      <c r="NA80" s="175">
        <v>71</v>
      </c>
      <c r="NB80" s="139">
        <v>3.8522641509433964</v>
      </c>
      <c r="NC80" s="140">
        <f t="shared" si="292"/>
        <v>273.51075471698113</v>
      </c>
      <c r="ND80" s="134">
        <f>SUM(NC79:NC80)</f>
        <v>483.7642029928432</v>
      </c>
      <c r="NE80" s="528"/>
      <c r="NF80" s="131"/>
      <c r="NG80" s="142"/>
      <c r="NH80" s="137" t="s">
        <v>11</v>
      </c>
      <c r="NI80" s="175">
        <v>815</v>
      </c>
      <c r="NJ80" s="139">
        <v>3.8522641509433964</v>
      </c>
      <c r="NK80" s="140">
        <f t="shared" si="293"/>
        <v>3139.595283018868</v>
      </c>
      <c r="NL80" s="134">
        <f>SUM(NK79:NK80)</f>
        <v>3193.6604554326609</v>
      </c>
      <c r="NM80" s="528"/>
      <c r="NN80" s="131"/>
      <c r="NO80" s="142"/>
      <c r="NP80" s="137" t="s">
        <v>11</v>
      </c>
      <c r="NQ80" s="175">
        <v>5</v>
      </c>
      <c r="NR80" s="139">
        <v>3.8522641509433964</v>
      </c>
      <c r="NS80" s="140">
        <f t="shared" si="294"/>
        <v>19.261320754716984</v>
      </c>
      <c r="NT80" s="134">
        <f>SUM(NS79:NS80)</f>
        <v>151.42063109954458</v>
      </c>
      <c r="NU80" s="528"/>
      <c r="NV80" s="131"/>
      <c r="NW80" s="142"/>
      <c r="NX80" s="137" t="s">
        <v>11</v>
      </c>
      <c r="NY80" s="175"/>
      <c r="NZ80" s="139">
        <v>3.8522641509433964</v>
      </c>
      <c r="OA80" s="140">
        <f t="shared" si="295"/>
        <v>0</v>
      </c>
      <c r="OB80" s="134">
        <f>SUM(OA79:OA80)</f>
        <v>30.036206896551722</v>
      </c>
      <c r="OC80" s="528"/>
      <c r="OD80" s="131"/>
      <c r="OE80" s="142"/>
      <c r="OF80" s="137" t="s">
        <v>11</v>
      </c>
      <c r="OG80" s="175">
        <v>10</v>
      </c>
      <c r="OH80" s="139">
        <v>3.8522641509433964</v>
      </c>
      <c r="OI80" s="140">
        <f t="shared" si="296"/>
        <v>38.522641509433967</v>
      </c>
      <c r="OJ80" s="134">
        <f>SUM(OI79:OI80)</f>
        <v>44.529882888744311</v>
      </c>
      <c r="OK80" s="528"/>
      <c r="OL80" s="131"/>
      <c r="OM80" s="142"/>
      <c r="ON80" s="137" t="s">
        <v>11</v>
      </c>
      <c r="OO80" s="175"/>
      <c r="OP80" s="139">
        <v>3.8522641509433964</v>
      </c>
      <c r="OQ80" s="140">
        <f t="shared" si="297"/>
        <v>0</v>
      </c>
      <c r="OR80" s="134">
        <f>SUM(OQ79:OQ80)</f>
        <v>0</v>
      </c>
      <c r="OS80" s="528"/>
      <c r="OT80" s="131"/>
      <c r="OU80" s="142"/>
      <c r="OV80" s="137" t="s">
        <v>11</v>
      </c>
      <c r="OW80" s="175"/>
      <c r="OX80" s="139">
        <v>3.8522641509433964</v>
      </c>
      <c r="OY80" s="140">
        <f t="shared" si="298"/>
        <v>0</v>
      </c>
      <c r="OZ80" s="134">
        <f>SUM(OY79:OY80)</f>
        <v>0</v>
      </c>
      <c r="PA80" s="528"/>
      <c r="PB80" s="131"/>
      <c r="PC80" s="142"/>
      <c r="PD80" s="137" t="s">
        <v>11</v>
      </c>
      <c r="PE80" s="175"/>
      <c r="PF80" s="139">
        <v>3.8522641509433964</v>
      </c>
      <c r="PG80" s="140">
        <f t="shared" si="299"/>
        <v>0</v>
      </c>
      <c r="PH80" s="134">
        <f>SUM(PG79:PG80)</f>
        <v>0</v>
      </c>
      <c r="PI80" s="528"/>
      <c r="PJ80" s="131"/>
      <c r="PK80" s="142"/>
      <c r="PL80" s="137" t="s">
        <v>11</v>
      </c>
      <c r="PM80" s="175">
        <v>26</v>
      </c>
      <c r="PN80" s="139">
        <v>3.8522641509433964</v>
      </c>
      <c r="PO80" s="140">
        <f t="shared" si="300"/>
        <v>100.15886792452831</v>
      </c>
      <c r="PP80" s="134">
        <f>SUM(PO79:PO80)</f>
        <v>106.16610930383865</v>
      </c>
      <c r="PQ80" s="528"/>
      <c r="PR80" s="131"/>
      <c r="PS80" s="142"/>
      <c r="PT80" s="137" t="s">
        <v>11</v>
      </c>
      <c r="PU80" s="175"/>
      <c r="PV80" s="139">
        <v>3.8522641509433964</v>
      </c>
      <c r="PW80" s="140">
        <f t="shared" si="301"/>
        <v>0</v>
      </c>
      <c r="PX80" s="134">
        <f>SUM(PW79:PW80)</f>
        <v>42.050689655172413</v>
      </c>
      <c r="PY80" s="528"/>
      <c r="PZ80" s="131"/>
      <c r="QA80" s="142"/>
      <c r="QB80" s="137" t="s">
        <v>11</v>
      </c>
      <c r="QC80" s="175">
        <v>1</v>
      </c>
      <c r="QD80" s="139">
        <v>3.8522641509433964</v>
      </c>
      <c r="QE80" s="140">
        <f t="shared" si="302"/>
        <v>3.8522641509433964</v>
      </c>
      <c r="QF80" s="134">
        <f>SUM(QE79:QE80)</f>
        <v>346.26502277163303</v>
      </c>
      <c r="QG80" s="528"/>
      <c r="QH80" s="131"/>
      <c r="QI80" s="142"/>
      <c r="QJ80" s="137" t="s">
        <v>11</v>
      </c>
      <c r="QK80" s="175">
        <v>45</v>
      </c>
      <c r="QL80" s="139">
        <v>3.8522641509433964</v>
      </c>
      <c r="QM80" s="140">
        <f t="shared" si="303"/>
        <v>173.35188679245283</v>
      </c>
      <c r="QN80" s="134">
        <f>SUM(QM79:QM80)</f>
        <v>311.51843851659078</v>
      </c>
      <c r="QO80" s="528"/>
      <c r="QP80" s="131"/>
      <c r="QQ80" s="142"/>
      <c r="QR80" s="137" t="s">
        <v>11</v>
      </c>
      <c r="QS80" s="175">
        <v>11</v>
      </c>
      <c r="QT80" s="139">
        <v>3.8522641509433964</v>
      </c>
      <c r="QU80" s="140">
        <f t="shared" si="304"/>
        <v>42.374905660377358</v>
      </c>
      <c r="QV80" s="134">
        <f>SUM(QU79:QU80)</f>
        <v>366.76594014313594</v>
      </c>
      <c r="QW80" s="528"/>
      <c r="QX80" s="131"/>
      <c r="QY80" s="142"/>
      <c r="QZ80" s="137" t="s">
        <v>11</v>
      </c>
      <c r="RA80" s="175"/>
      <c r="RB80" s="139">
        <v>3.8522641509433964</v>
      </c>
      <c r="RC80" s="140">
        <f t="shared" si="305"/>
        <v>0</v>
      </c>
      <c r="RD80" s="134">
        <f>SUM(RC79:RC80)</f>
        <v>0</v>
      </c>
      <c r="RE80" s="528"/>
      <c r="RF80" s="131"/>
      <c r="RG80" s="142"/>
      <c r="RH80" s="137" t="s">
        <v>11</v>
      </c>
      <c r="RI80" s="175"/>
      <c r="RJ80" s="139">
        <v>3.8522641509433964</v>
      </c>
      <c r="RK80" s="140">
        <f t="shared" si="306"/>
        <v>0</v>
      </c>
      <c r="RL80" s="134">
        <f>SUM(RK79:RK80)</f>
        <v>0</v>
      </c>
      <c r="RM80" s="528"/>
      <c r="RN80" s="131"/>
      <c r="RO80" s="142"/>
      <c r="RP80" s="137" t="s">
        <v>11</v>
      </c>
      <c r="RQ80" s="175">
        <v>7</v>
      </c>
      <c r="RR80" s="139">
        <v>3.8522641509433964</v>
      </c>
      <c r="RS80" s="140">
        <f t="shared" si="307"/>
        <v>26.965849056603773</v>
      </c>
      <c r="RT80" s="134">
        <f>SUM(RS79:RS80)</f>
        <v>117.07446974625894</v>
      </c>
      <c r="RU80" s="528"/>
      <c r="RV80" s="131"/>
      <c r="RW80" s="142"/>
      <c r="RX80" s="137" t="s">
        <v>11</v>
      </c>
      <c r="RY80" s="175">
        <v>53</v>
      </c>
      <c r="RZ80" s="139">
        <v>3.8522641509433964</v>
      </c>
      <c r="SA80" s="140">
        <f t="shared" si="308"/>
        <v>204.17000000000002</v>
      </c>
      <c r="SB80" s="134">
        <f>SUM(SA79:SA80)</f>
        <v>534.56827586206896</v>
      </c>
      <c r="SC80" s="528"/>
      <c r="SD80" s="131"/>
      <c r="SE80" s="142"/>
      <c r="SF80" s="137" t="s">
        <v>11</v>
      </c>
      <c r="SG80" s="175">
        <v>13</v>
      </c>
      <c r="SH80" s="139">
        <v>3.8522641509433964</v>
      </c>
      <c r="SI80" s="140">
        <f t="shared" si="309"/>
        <v>50.079433962264154</v>
      </c>
      <c r="SJ80" s="134">
        <f>SUM(SI79:SI80)</f>
        <v>921.1294339622641</v>
      </c>
      <c r="SK80" s="528"/>
      <c r="SL80" s="131"/>
      <c r="SM80" s="142"/>
      <c r="SN80" s="137" t="s">
        <v>11</v>
      </c>
      <c r="SO80" s="175">
        <v>18</v>
      </c>
      <c r="SP80" s="139">
        <v>3.8522641509433964</v>
      </c>
      <c r="SQ80" s="140">
        <f t="shared" si="310"/>
        <v>69.340754716981138</v>
      </c>
      <c r="SR80" s="134">
        <f>SUM(SQ79:SQ80)</f>
        <v>273.58696161353282</v>
      </c>
      <c r="SS80" s="528"/>
      <c r="ST80" s="131"/>
      <c r="SU80" s="142"/>
      <c r="SV80" s="137" t="s">
        <v>11</v>
      </c>
      <c r="SW80" s="175">
        <v>44</v>
      </c>
      <c r="SX80" s="139">
        <v>3.8522641509433964</v>
      </c>
      <c r="SY80" s="140">
        <f t="shared" si="311"/>
        <v>169.49962264150943</v>
      </c>
      <c r="SZ80" s="134">
        <f>SUM(SY79:SY80)</f>
        <v>728.17307091737143</v>
      </c>
      <c r="TA80" s="528"/>
      <c r="TB80" s="131"/>
      <c r="TC80" s="142"/>
      <c r="TD80" s="137" t="s">
        <v>11</v>
      </c>
      <c r="TE80" s="175"/>
      <c r="TF80" s="139">
        <v>3.8522641509433964</v>
      </c>
      <c r="TG80" s="140">
        <f t="shared" si="312"/>
        <v>0</v>
      </c>
      <c r="TH80" s="134">
        <f>SUM(TG79:TG80)</f>
        <v>732.88344827586207</v>
      </c>
      <c r="TI80" s="528"/>
    </row>
    <row r="81" spans="2:529">
      <c r="B81" s="145"/>
      <c r="C81" s="146"/>
      <c r="D81" s="157" t="s">
        <v>78</v>
      </c>
      <c r="E81" s="138">
        <v>7</v>
      </c>
      <c r="F81" s="170">
        <v>1.3166666666666667</v>
      </c>
      <c r="G81" s="140">
        <f t="shared" si="247"/>
        <v>9.2166666666666668</v>
      </c>
      <c r="H81" s="158"/>
      <c r="I81" s="528"/>
      <c r="J81" s="145"/>
      <c r="K81" s="146"/>
      <c r="L81" s="157" t="s">
        <v>78</v>
      </c>
      <c r="M81" s="138">
        <v>3</v>
      </c>
      <c r="N81" s="170">
        <v>1.3166666666666667</v>
      </c>
      <c r="O81" s="140">
        <f t="shared" si="248"/>
        <v>3.95</v>
      </c>
      <c r="P81" s="158"/>
      <c r="Q81" s="528"/>
      <c r="R81" s="145"/>
      <c r="S81" s="146"/>
      <c r="T81" s="157" t="s">
        <v>78</v>
      </c>
      <c r="U81" s="138">
        <v>0</v>
      </c>
      <c r="V81" s="170">
        <v>1.3166666666666667</v>
      </c>
      <c r="W81" s="140">
        <f t="shared" si="249"/>
        <v>0</v>
      </c>
      <c r="X81" s="158"/>
      <c r="Y81" s="528"/>
      <c r="Z81" s="145"/>
      <c r="AA81" s="146"/>
      <c r="AB81" s="157" t="s">
        <v>78</v>
      </c>
      <c r="AC81" s="138">
        <v>0</v>
      </c>
      <c r="AD81" s="170">
        <v>1.3166666666666667</v>
      </c>
      <c r="AE81" s="140">
        <f t="shared" si="250"/>
        <v>0</v>
      </c>
      <c r="AF81" s="158"/>
      <c r="AG81" s="528"/>
      <c r="AH81" s="145"/>
      <c r="AI81" s="146"/>
      <c r="AJ81" s="157" t="s">
        <v>78</v>
      </c>
      <c r="AK81" s="138">
        <v>0</v>
      </c>
      <c r="AL81" s="170">
        <v>1.3166666666666667</v>
      </c>
      <c r="AM81" s="140">
        <f t="shared" si="251"/>
        <v>0</v>
      </c>
      <c r="AN81" s="158"/>
      <c r="AO81" s="528"/>
      <c r="AP81" s="145"/>
      <c r="AQ81" s="146"/>
      <c r="AR81" s="157" t="s">
        <v>78</v>
      </c>
      <c r="AS81" s="138">
        <v>3</v>
      </c>
      <c r="AT81" s="170">
        <v>1.3166666666666667</v>
      </c>
      <c r="AU81" s="140">
        <f t="shared" si="252"/>
        <v>3.95</v>
      </c>
      <c r="AV81" s="158"/>
      <c r="AW81" s="528"/>
      <c r="AX81" s="145"/>
      <c r="AY81" s="146"/>
      <c r="AZ81" s="157" t="s">
        <v>78</v>
      </c>
      <c r="BA81" s="138"/>
      <c r="BB81" s="170">
        <v>1.3166666666666667</v>
      </c>
      <c r="BC81" s="140">
        <f t="shared" si="253"/>
        <v>0</v>
      </c>
      <c r="BD81" s="158"/>
      <c r="BE81" s="528"/>
      <c r="BF81" s="145"/>
      <c r="BG81" s="146"/>
      <c r="BH81" s="157" t="s">
        <v>78</v>
      </c>
      <c r="BI81" s="138">
        <v>57</v>
      </c>
      <c r="BJ81" s="170">
        <v>1.3166666666666667</v>
      </c>
      <c r="BK81" s="140">
        <f t="shared" si="254"/>
        <v>75.05</v>
      </c>
      <c r="BL81" s="158"/>
      <c r="BM81" s="528"/>
      <c r="BN81" s="145"/>
      <c r="BO81" s="146"/>
      <c r="BP81" s="157" t="s">
        <v>78</v>
      </c>
      <c r="BQ81" s="138">
        <v>3</v>
      </c>
      <c r="BR81" s="170">
        <v>1.3166666666666667</v>
      </c>
      <c r="BS81" s="140">
        <f t="shared" si="255"/>
        <v>3.95</v>
      </c>
      <c r="BT81" s="158"/>
      <c r="BU81" s="528"/>
      <c r="BV81" s="536"/>
      <c r="BW81" s="537"/>
      <c r="BX81" s="574" t="s">
        <v>78</v>
      </c>
      <c r="BY81" s="560"/>
      <c r="BZ81" s="585">
        <v>1.3166666666666667</v>
      </c>
      <c r="CA81" s="562">
        <f t="shared" si="256"/>
        <v>0</v>
      </c>
      <c r="CB81" s="540"/>
      <c r="CC81" s="528"/>
      <c r="CD81" s="536"/>
      <c r="CE81" s="537"/>
      <c r="CF81" s="574" t="s">
        <v>78</v>
      </c>
      <c r="CG81" s="560"/>
      <c r="CH81" s="585">
        <v>1.3166666666666667</v>
      </c>
      <c r="CI81" s="562">
        <f t="shared" si="257"/>
        <v>0</v>
      </c>
      <c r="CJ81" s="540"/>
      <c r="CK81" s="528"/>
      <c r="CL81" s="145"/>
      <c r="CM81" s="146"/>
      <c r="CN81" s="157" t="s">
        <v>78</v>
      </c>
      <c r="CO81" s="138"/>
      <c r="CP81" s="170">
        <v>1.3166666666666667</v>
      </c>
      <c r="CQ81" s="140">
        <f t="shared" si="258"/>
        <v>0</v>
      </c>
      <c r="CR81" s="158"/>
      <c r="CS81" s="528"/>
      <c r="CT81" s="145"/>
      <c r="CU81" s="146"/>
      <c r="CV81" s="157" t="s">
        <v>78</v>
      </c>
      <c r="CW81" s="138">
        <v>57</v>
      </c>
      <c r="CX81" s="170">
        <v>1.3166666666666667</v>
      </c>
      <c r="CY81" s="140">
        <f t="shared" si="259"/>
        <v>75.05</v>
      </c>
      <c r="CZ81" s="158"/>
      <c r="DA81" s="528"/>
      <c r="DB81" s="145"/>
      <c r="DC81" s="146"/>
      <c r="DD81" s="157" t="s">
        <v>78</v>
      </c>
      <c r="DE81" s="138"/>
      <c r="DF81" s="170">
        <v>1.3166666666666667</v>
      </c>
      <c r="DG81" s="140">
        <f t="shared" si="260"/>
        <v>0</v>
      </c>
      <c r="DH81" s="158"/>
      <c r="DI81" s="528"/>
      <c r="DJ81" s="145"/>
      <c r="DK81" s="146"/>
      <c r="DL81" s="157" t="s">
        <v>78</v>
      </c>
      <c r="DM81" s="138">
        <v>0</v>
      </c>
      <c r="DN81" s="170">
        <v>1.3166666666666667</v>
      </c>
      <c r="DO81" s="140">
        <f t="shared" si="261"/>
        <v>0</v>
      </c>
      <c r="DP81" s="158"/>
      <c r="DQ81" s="528"/>
      <c r="DR81" s="145"/>
      <c r="DS81" s="146"/>
      <c r="DT81" s="157" t="s">
        <v>78</v>
      </c>
      <c r="DU81" s="138">
        <v>113</v>
      </c>
      <c r="DV81" s="170">
        <v>1.3166666666666667</v>
      </c>
      <c r="DW81" s="140">
        <f t="shared" si="262"/>
        <v>148.78333333333333</v>
      </c>
      <c r="DX81" s="158"/>
      <c r="DY81" s="528"/>
      <c r="DZ81" s="145"/>
      <c r="EA81" s="146"/>
      <c r="EB81" s="157" t="s">
        <v>78</v>
      </c>
      <c r="EC81" s="138">
        <v>0</v>
      </c>
      <c r="ED81" s="170">
        <v>1.3166666666666667</v>
      </c>
      <c r="EE81" s="140">
        <f t="shared" si="263"/>
        <v>0</v>
      </c>
      <c r="EF81" s="158"/>
      <c r="EG81" s="528"/>
      <c r="EH81" s="145"/>
      <c r="EI81" s="146"/>
      <c r="EJ81" s="157" t="s">
        <v>78</v>
      </c>
      <c r="EK81" s="138">
        <v>0</v>
      </c>
      <c r="EL81" s="170">
        <v>1.3166666666666667</v>
      </c>
      <c r="EM81" s="140">
        <f t="shared" si="264"/>
        <v>0</v>
      </c>
      <c r="EN81" s="158"/>
      <c r="EO81" s="528"/>
      <c r="EP81" s="145"/>
      <c r="EQ81" s="146"/>
      <c r="ER81" s="157" t="s">
        <v>78</v>
      </c>
      <c r="ES81" s="138">
        <v>0</v>
      </c>
      <c r="ET81" s="170">
        <v>1.3166666666666667</v>
      </c>
      <c r="EU81" s="140">
        <f t="shared" si="265"/>
        <v>0</v>
      </c>
      <c r="EV81" s="158"/>
      <c r="EW81" s="528"/>
      <c r="EX81" s="145"/>
      <c r="EY81" s="146"/>
      <c r="EZ81" s="157" t="s">
        <v>78</v>
      </c>
      <c r="FA81" s="138"/>
      <c r="FB81" s="170">
        <v>1.3166666666666667</v>
      </c>
      <c r="FC81" s="140">
        <f t="shared" si="266"/>
        <v>0</v>
      </c>
      <c r="FD81" s="158"/>
      <c r="FE81" s="528"/>
      <c r="FF81" s="145"/>
      <c r="FG81" s="146"/>
      <c r="FH81" s="157" t="s">
        <v>78</v>
      </c>
      <c r="FI81" s="138"/>
      <c r="FJ81" s="170">
        <v>1.3166666666666667</v>
      </c>
      <c r="FK81" s="140">
        <f t="shared" si="267"/>
        <v>0</v>
      </c>
      <c r="FL81" s="158"/>
      <c r="FM81" s="528"/>
      <c r="FN81" s="145"/>
      <c r="FO81" s="146"/>
      <c r="FP81" s="157" t="s">
        <v>78</v>
      </c>
      <c r="FQ81" s="138"/>
      <c r="FR81" s="170">
        <v>1.3166666666666667</v>
      </c>
      <c r="FS81" s="140">
        <f t="shared" si="268"/>
        <v>0</v>
      </c>
      <c r="FT81" s="158"/>
      <c r="FU81" s="528"/>
      <c r="FV81" s="145"/>
      <c r="FW81" s="146"/>
      <c r="FX81" s="157" t="s">
        <v>78</v>
      </c>
      <c r="FY81" s="138"/>
      <c r="FZ81" s="170">
        <v>1.3166666666666667</v>
      </c>
      <c r="GA81" s="140">
        <f t="shared" si="269"/>
        <v>0</v>
      </c>
      <c r="GB81" s="158"/>
      <c r="GC81" s="528"/>
      <c r="GD81" s="145"/>
      <c r="GE81" s="146"/>
      <c r="GF81" s="157" t="s">
        <v>78</v>
      </c>
      <c r="GG81" s="138"/>
      <c r="GH81" s="170">
        <v>1.3166666666666667</v>
      </c>
      <c r="GI81" s="140">
        <f t="shared" si="270"/>
        <v>0</v>
      </c>
      <c r="GJ81" s="158"/>
      <c r="GK81" s="528"/>
      <c r="GL81" s="145"/>
      <c r="GM81" s="146"/>
      <c r="GN81" s="157" t="s">
        <v>78</v>
      </c>
      <c r="GO81" s="138">
        <f>'[1]Jan_18_Vol weekly-Data-Entry'!$U$226</f>
        <v>0</v>
      </c>
      <c r="GP81" s="170">
        <v>1.3166666666666667</v>
      </c>
      <c r="GQ81" s="140">
        <f t="shared" si="271"/>
        <v>0</v>
      </c>
      <c r="GR81" s="158"/>
      <c r="GS81" s="528"/>
      <c r="GT81" s="145"/>
      <c r="GU81" s="146"/>
      <c r="GV81" s="157" t="s">
        <v>78</v>
      </c>
      <c r="GW81" s="138">
        <v>0</v>
      </c>
      <c r="GX81" s="170">
        <v>1.3166666666666667</v>
      </c>
      <c r="GY81" s="140">
        <f t="shared" si="272"/>
        <v>0</v>
      </c>
      <c r="GZ81" s="158"/>
      <c r="HA81" s="528"/>
      <c r="HB81" s="145"/>
      <c r="HC81" s="146"/>
      <c r="HD81" s="157" t="s">
        <v>78</v>
      </c>
      <c r="HE81" s="138">
        <v>0</v>
      </c>
      <c r="HF81" s="170">
        <v>1.3166666666666667</v>
      </c>
      <c r="HG81" s="140">
        <f t="shared" si="273"/>
        <v>0</v>
      </c>
      <c r="HH81" s="158"/>
      <c r="HI81" s="528"/>
      <c r="HJ81" s="145"/>
      <c r="HK81" s="146"/>
      <c r="HL81" s="157" t="s">
        <v>78</v>
      </c>
      <c r="HM81" s="138">
        <v>0</v>
      </c>
      <c r="HN81" s="170">
        <v>1.3166666666666667</v>
      </c>
      <c r="HO81" s="140">
        <f t="shared" si="274"/>
        <v>0</v>
      </c>
      <c r="HP81" s="158"/>
      <c r="HQ81" s="528"/>
      <c r="HR81" s="145"/>
      <c r="HS81" s="146"/>
      <c r="HT81" s="157" t="s">
        <v>78</v>
      </c>
      <c r="HU81" s="138">
        <v>0</v>
      </c>
      <c r="HV81" s="170">
        <v>1.3166666666666667</v>
      </c>
      <c r="HW81" s="140">
        <f t="shared" si="275"/>
        <v>0</v>
      </c>
      <c r="HX81" s="158"/>
      <c r="HY81" s="528"/>
      <c r="HZ81" s="145"/>
      <c r="IA81" s="146"/>
      <c r="IB81" s="157" t="s">
        <v>78</v>
      </c>
      <c r="IC81" s="138">
        <v>0</v>
      </c>
      <c r="ID81" s="170">
        <v>1.3166666666666667</v>
      </c>
      <c r="IE81" s="140">
        <f t="shared" si="276"/>
        <v>0</v>
      </c>
      <c r="IF81" s="158"/>
      <c r="IG81" s="528"/>
      <c r="IH81" s="145"/>
      <c r="II81" s="146"/>
      <c r="IJ81" s="157" t="s">
        <v>78</v>
      </c>
      <c r="IK81" s="138">
        <v>25</v>
      </c>
      <c r="IL81" s="170">
        <v>1.3166666666666667</v>
      </c>
      <c r="IM81" s="140">
        <f t="shared" si="277"/>
        <v>32.916666666666664</v>
      </c>
      <c r="IN81" s="158"/>
      <c r="IO81" s="528"/>
      <c r="IP81" s="145"/>
      <c r="IQ81" s="146"/>
      <c r="IR81" s="157" t="s">
        <v>78</v>
      </c>
      <c r="IS81" s="138">
        <v>0</v>
      </c>
      <c r="IT81" s="170">
        <v>1.3166666666666667</v>
      </c>
      <c r="IU81" s="140">
        <f t="shared" si="278"/>
        <v>0</v>
      </c>
      <c r="IV81" s="158"/>
      <c r="IW81" s="528"/>
      <c r="IX81" s="145"/>
      <c r="IY81" s="146"/>
      <c r="IZ81" s="157" t="s">
        <v>78</v>
      </c>
      <c r="JA81" s="138">
        <v>24</v>
      </c>
      <c r="JB81" s="170">
        <v>1.3166666666666667</v>
      </c>
      <c r="JC81" s="140">
        <f t="shared" si="279"/>
        <v>31.6</v>
      </c>
      <c r="JD81" s="158"/>
      <c r="JE81" s="528"/>
      <c r="JF81" s="145"/>
      <c r="JG81" s="146"/>
      <c r="JH81" s="157" t="s">
        <v>78</v>
      </c>
      <c r="JI81" s="138">
        <v>0</v>
      </c>
      <c r="JJ81" s="170">
        <v>1.3166666666666667</v>
      </c>
      <c r="JK81" s="140">
        <f t="shared" si="280"/>
        <v>0</v>
      </c>
      <c r="JL81" s="158"/>
      <c r="JM81" s="528"/>
      <c r="JN81" s="145"/>
      <c r="JO81" s="146"/>
      <c r="JP81" s="157" t="s">
        <v>78</v>
      </c>
      <c r="JQ81" s="138">
        <v>0</v>
      </c>
      <c r="JR81" s="170">
        <v>1.3166666666666667</v>
      </c>
      <c r="JS81" s="140">
        <f t="shared" si="281"/>
        <v>0</v>
      </c>
      <c r="JT81" s="158"/>
      <c r="JU81" s="528"/>
      <c r="JV81" s="145"/>
      <c r="JW81" s="146"/>
      <c r="JX81" s="157" t="s">
        <v>78</v>
      </c>
      <c r="JY81" s="138">
        <v>68</v>
      </c>
      <c r="JZ81" s="170">
        <v>1.3166666666666667</v>
      </c>
      <c r="KA81" s="140">
        <f t="shared" si="282"/>
        <v>89.533333333333331</v>
      </c>
      <c r="KB81" s="158"/>
      <c r="KC81" s="528"/>
      <c r="KD81" s="145"/>
      <c r="KE81" s="146"/>
      <c r="KF81" s="157" t="s">
        <v>78</v>
      </c>
      <c r="KG81" s="138">
        <v>0</v>
      </c>
      <c r="KH81" s="170">
        <v>1.3166666666666667</v>
      </c>
      <c r="KI81" s="140">
        <f t="shared" si="283"/>
        <v>0</v>
      </c>
      <c r="KJ81" s="158"/>
      <c r="KK81" s="528"/>
      <c r="KL81" s="145"/>
      <c r="KM81" s="146"/>
      <c r="KN81" s="157" t="s">
        <v>78</v>
      </c>
      <c r="KO81" s="138">
        <v>3</v>
      </c>
      <c r="KP81" s="170">
        <v>1.3166666666666667</v>
      </c>
      <c r="KQ81" s="140">
        <f t="shared" si="284"/>
        <v>3.95</v>
      </c>
      <c r="KR81" s="158"/>
      <c r="KS81" s="528"/>
      <c r="KT81" s="145"/>
      <c r="KU81" s="146"/>
      <c r="KV81" s="157" t="s">
        <v>78</v>
      </c>
      <c r="KW81" s="138">
        <v>0</v>
      </c>
      <c r="KX81" s="170">
        <v>1.3166666666666667</v>
      </c>
      <c r="KY81" s="140">
        <f t="shared" si="285"/>
        <v>0</v>
      </c>
      <c r="KZ81" s="158"/>
      <c r="LA81" s="528"/>
      <c r="LB81" s="145"/>
      <c r="LC81" s="146"/>
      <c r="LD81" s="157" t="s">
        <v>78</v>
      </c>
      <c r="LE81" s="138">
        <v>13</v>
      </c>
      <c r="LF81" s="170">
        <v>1.3166666666666667</v>
      </c>
      <c r="LG81" s="140">
        <f t="shared" si="286"/>
        <v>17.116666666666667</v>
      </c>
      <c r="LH81" s="158"/>
      <c r="LI81" s="528"/>
      <c r="LJ81" s="145"/>
      <c r="LK81" s="146"/>
      <c r="LL81" s="157" t="s">
        <v>78</v>
      </c>
      <c r="LM81" s="175">
        <v>0</v>
      </c>
      <c r="LN81" s="139">
        <v>1.3166666666666667</v>
      </c>
      <c r="LO81" s="140">
        <f t="shared" si="287"/>
        <v>0</v>
      </c>
      <c r="LP81" s="158"/>
      <c r="LQ81" s="528"/>
      <c r="LR81" s="145"/>
      <c r="LS81" s="146"/>
      <c r="LT81" s="157" t="s">
        <v>78</v>
      </c>
      <c r="LU81" s="175">
        <v>33</v>
      </c>
      <c r="LV81" s="139">
        <v>1.3166666666666667</v>
      </c>
      <c r="LW81" s="140">
        <f t="shared" si="288"/>
        <v>43.45</v>
      </c>
      <c r="LX81" s="158"/>
      <c r="LY81" s="528"/>
      <c r="LZ81" s="145"/>
      <c r="MA81" s="146"/>
      <c r="MB81" s="157" t="s">
        <v>78</v>
      </c>
      <c r="MC81" s="175">
        <v>33</v>
      </c>
      <c r="MD81" s="139">
        <v>1.3166666666666667</v>
      </c>
      <c r="ME81" s="140">
        <f t="shared" si="289"/>
        <v>43.45</v>
      </c>
      <c r="MF81" s="158"/>
      <c r="MG81" s="528"/>
      <c r="MH81" s="145"/>
      <c r="MI81" s="146"/>
      <c r="MJ81" s="157" t="s">
        <v>78</v>
      </c>
      <c r="MK81" s="175">
        <v>20</v>
      </c>
      <c r="ML81" s="139">
        <v>1.3166666666666667</v>
      </c>
      <c r="MM81" s="140">
        <f t="shared" si="290"/>
        <v>26.333333333333332</v>
      </c>
      <c r="MN81" s="158"/>
      <c r="MO81" s="528"/>
      <c r="MP81" s="145"/>
      <c r="MQ81" s="146"/>
      <c r="MR81" s="157" t="s">
        <v>78</v>
      </c>
      <c r="MS81" s="175">
        <v>91</v>
      </c>
      <c r="MT81" s="139">
        <v>1.3166666666666667</v>
      </c>
      <c r="MU81" s="140">
        <f t="shared" si="291"/>
        <v>119.81666666666666</v>
      </c>
      <c r="MV81" s="158"/>
      <c r="MW81" s="528"/>
      <c r="MX81" s="143" t="s">
        <v>68</v>
      </c>
      <c r="MY81" s="144">
        <v>13</v>
      </c>
      <c r="MZ81" s="137" t="s">
        <v>36</v>
      </c>
      <c r="NA81" s="175">
        <v>0</v>
      </c>
      <c r="NB81" s="139">
        <v>4.8258064516129027</v>
      </c>
      <c r="NC81" s="140">
        <f t="shared" si="292"/>
        <v>0</v>
      </c>
      <c r="ND81" s="130"/>
      <c r="NE81" s="528"/>
      <c r="NF81" s="143" t="s">
        <v>68</v>
      </c>
      <c r="NG81" s="144">
        <v>9</v>
      </c>
      <c r="NH81" s="137" t="s">
        <v>36</v>
      </c>
      <c r="NI81" s="175"/>
      <c r="NJ81" s="139">
        <v>4.8258064516129027</v>
      </c>
      <c r="NK81" s="140">
        <f t="shared" si="293"/>
        <v>0</v>
      </c>
      <c r="NL81" s="130"/>
      <c r="NM81" s="528"/>
      <c r="NN81" s="143" t="s">
        <v>68</v>
      </c>
      <c r="NO81" s="144">
        <v>10</v>
      </c>
      <c r="NP81" s="137" t="s">
        <v>36</v>
      </c>
      <c r="NQ81" s="175">
        <v>5</v>
      </c>
      <c r="NR81" s="139">
        <v>4.8258064516129027</v>
      </c>
      <c r="NS81" s="140">
        <f t="shared" si="294"/>
        <v>24.129032258064512</v>
      </c>
      <c r="NT81" s="130"/>
      <c r="NU81" s="528"/>
      <c r="NV81" s="143" t="s">
        <v>68</v>
      </c>
      <c r="NW81" s="144">
        <v>3</v>
      </c>
      <c r="NX81" s="137" t="s">
        <v>36</v>
      </c>
      <c r="NY81" s="175">
        <v>3</v>
      </c>
      <c r="NZ81" s="139">
        <v>4.8258064516129027</v>
      </c>
      <c r="OA81" s="140">
        <f t="shared" si="295"/>
        <v>14.477419354838709</v>
      </c>
      <c r="OB81" s="130"/>
      <c r="OC81" s="528"/>
      <c r="OD81" s="143" t="s">
        <v>68</v>
      </c>
      <c r="OE81" s="144">
        <v>4</v>
      </c>
      <c r="OF81" s="137" t="s">
        <v>36</v>
      </c>
      <c r="OG81" s="175">
        <v>62</v>
      </c>
      <c r="OH81" s="139">
        <v>4.8258064516129027</v>
      </c>
      <c r="OI81" s="140">
        <f t="shared" si="296"/>
        <v>299.2</v>
      </c>
      <c r="OJ81" s="130"/>
      <c r="OK81" s="528"/>
      <c r="OL81" s="143" t="s">
        <v>68</v>
      </c>
      <c r="OM81" s="144">
        <v>3</v>
      </c>
      <c r="ON81" s="137" t="s">
        <v>36</v>
      </c>
      <c r="OO81" s="175">
        <v>2</v>
      </c>
      <c r="OP81" s="139">
        <v>4.8258064516129027</v>
      </c>
      <c r="OQ81" s="140">
        <f t="shared" si="297"/>
        <v>9.6516129032258053</v>
      </c>
      <c r="OR81" s="130"/>
      <c r="OS81" s="528"/>
      <c r="OT81" s="143" t="s">
        <v>68</v>
      </c>
      <c r="OU81" s="144"/>
      <c r="OV81" s="137" t="s">
        <v>36</v>
      </c>
      <c r="OW81" s="175"/>
      <c r="OX81" s="139">
        <v>4.8258064516129027</v>
      </c>
      <c r="OY81" s="140">
        <f t="shared" si="298"/>
        <v>0</v>
      </c>
      <c r="OZ81" s="130"/>
      <c r="PA81" s="528"/>
      <c r="PB81" s="143" t="s">
        <v>68</v>
      </c>
      <c r="PC81" s="144">
        <v>1</v>
      </c>
      <c r="PD81" s="137" t="s">
        <v>36</v>
      </c>
      <c r="PE81" s="175">
        <v>1</v>
      </c>
      <c r="PF81" s="139">
        <v>4.8258064516129027</v>
      </c>
      <c r="PG81" s="140">
        <f t="shared" si="299"/>
        <v>4.8258064516129027</v>
      </c>
      <c r="PH81" s="130"/>
      <c r="PI81" s="528"/>
      <c r="PJ81" s="143" t="s">
        <v>68</v>
      </c>
      <c r="PK81" s="144">
        <v>4</v>
      </c>
      <c r="PL81" s="137" t="s">
        <v>36</v>
      </c>
      <c r="PM81" s="175"/>
      <c r="PN81" s="139">
        <v>4.8258064516129027</v>
      </c>
      <c r="PO81" s="140">
        <f t="shared" si="300"/>
        <v>0</v>
      </c>
      <c r="PP81" s="130"/>
      <c r="PQ81" s="528"/>
      <c r="PR81" s="143" t="s">
        <v>68</v>
      </c>
      <c r="PS81" s="144"/>
      <c r="PT81" s="137" t="s">
        <v>36</v>
      </c>
      <c r="PU81" s="175"/>
      <c r="PV81" s="139">
        <v>4.8258064516129027</v>
      </c>
      <c r="PW81" s="140">
        <f t="shared" si="301"/>
        <v>0</v>
      </c>
      <c r="PX81" s="130"/>
      <c r="PY81" s="528"/>
      <c r="PZ81" s="143" t="s">
        <v>68</v>
      </c>
      <c r="QA81" s="144">
        <v>4</v>
      </c>
      <c r="QB81" s="137" t="s">
        <v>36</v>
      </c>
      <c r="QC81" s="175"/>
      <c r="QD81" s="139">
        <v>4.8258064516129027</v>
      </c>
      <c r="QE81" s="140">
        <f t="shared" si="302"/>
        <v>0</v>
      </c>
      <c r="QF81" s="130"/>
      <c r="QG81" s="528"/>
      <c r="QH81" s="143" t="s">
        <v>68</v>
      </c>
      <c r="QI81" s="144">
        <v>3</v>
      </c>
      <c r="QJ81" s="137" t="s">
        <v>36</v>
      </c>
      <c r="QK81" s="175"/>
      <c r="QL81" s="139">
        <v>4.8258064516129027</v>
      </c>
      <c r="QM81" s="140">
        <f t="shared" si="303"/>
        <v>0</v>
      </c>
      <c r="QN81" s="130"/>
      <c r="QO81" s="528"/>
      <c r="QP81" s="143" t="s">
        <v>68</v>
      </c>
      <c r="QQ81" s="144">
        <v>1</v>
      </c>
      <c r="QR81" s="137" t="s">
        <v>36</v>
      </c>
      <c r="QS81" s="175">
        <v>2</v>
      </c>
      <c r="QT81" s="139">
        <v>4.8258064516129027</v>
      </c>
      <c r="QU81" s="140">
        <f t="shared" si="304"/>
        <v>9.6516129032258053</v>
      </c>
      <c r="QV81" s="130"/>
      <c r="QW81" s="528"/>
      <c r="QX81" s="143" t="s">
        <v>68</v>
      </c>
      <c r="QY81" s="144"/>
      <c r="QZ81" s="137" t="s">
        <v>36</v>
      </c>
      <c r="RA81" s="175"/>
      <c r="RB81" s="139">
        <v>4.8258064516129027</v>
      </c>
      <c r="RC81" s="140">
        <f t="shared" si="305"/>
        <v>0</v>
      </c>
      <c r="RD81" s="130"/>
      <c r="RE81" s="528"/>
      <c r="RF81" s="143" t="s">
        <v>68</v>
      </c>
      <c r="RG81" s="144"/>
      <c r="RH81" s="137" t="s">
        <v>36</v>
      </c>
      <c r="RI81" s="175"/>
      <c r="RJ81" s="139">
        <v>4.8258064516129027</v>
      </c>
      <c r="RK81" s="140">
        <f t="shared" si="306"/>
        <v>0</v>
      </c>
      <c r="RL81" s="130"/>
      <c r="RM81" s="528"/>
      <c r="RN81" s="143" t="s">
        <v>68</v>
      </c>
      <c r="RO81" s="144">
        <v>5</v>
      </c>
      <c r="RP81" s="137" t="s">
        <v>36</v>
      </c>
      <c r="RQ81" s="175">
        <v>8</v>
      </c>
      <c r="RR81" s="139">
        <v>4.8258064516129027</v>
      </c>
      <c r="RS81" s="140">
        <f t="shared" si="307"/>
        <v>38.606451612903221</v>
      </c>
      <c r="RT81" s="130"/>
      <c r="RU81" s="528"/>
      <c r="RV81" s="143" t="s">
        <v>68</v>
      </c>
      <c r="RW81" s="144">
        <v>13</v>
      </c>
      <c r="RX81" s="137" t="s">
        <v>36</v>
      </c>
      <c r="RY81" s="175">
        <v>16</v>
      </c>
      <c r="RZ81" s="139">
        <v>4.8258064516129027</v>
      </c>
      <c r="SA81" s="140">
        <f t="shared" si="308"/>
        <v>77.212903225806443</v>
      </c>
      <c r="SB81" s="130"/>
      <c r="SC81" s="528"/>
      <c r="SD81" s="143" t="s">
        <v>68</v>
      </c>
      <c r="SE81" s="144">
        <v>12</v>
      </c>
      <c r="SF81" s="137" t="s">
        <v>36</v>
      </c>
      <c r="SG81" s="175">
        <v>76</v>
      </c>
      <c r="SH81" s="139">
        <v>4.8258064516129027</v>
      </c>
      <c r="SI81" s="140">
        <f t="shared" si="309"/>
        <v>366.76129032258058</v>
      </c>
      <c r="SJ81" s="130"/>
      <c r="SK81" s="528"/>
      <c r="SL81" s="143" t="s">
        <v>68</v>
      </c>
      <c r="SM81" s="144">
        <v>11</v>
      </c>
      <c r="SN81" s="137" t="s">
        <v>36</v>
      </c>
      <c r="SO81" s="175">
        <v>14</v>
      </c>
      <c r="SP81" s="139">
        <v>4.8258064516129027</v>
      </c>
      <c r="SQ81" s="140">
        <f t="shared" si="310"/>
        <v>67.561290322580632</v>
      </c>
      <c r="SR81" s="130"/>
      <c r="SS81" s="528"/>
      <c r="ST81" s="143" t="s">
        <v>68</v>
      </c>
      <c r="SU81" s="144">
        <v>8</v>
      </c>
      <c r="SV81" s="137" t="s">
        <v>36</v>
      </c>
      <c r="SW81" s="175">
        <v>55</v>
      </c>
      <c r="SX81" s="139">
        <v>4.8258064516129027</v>
      </c>
      <c r="SY81" s="140">
        <f t="shared" si="311"/>
        <v>265.41935483870964</v>
      </c>
      <c r="SZ81" s="130"/>
      <c r="TA81" s="528"/>
      <c r="TB81" s="143" t="s">
        <v>68</v>
      </c>
      <c r="TC81" s="144">
        <v>9</v>
      </c>
      <c r="TD81" s="137" t="s">
        <v>36</v>
      </c>
      <c r="TE81" s="175">
        <v>10</v>
      </c>
      <c r="TF81" s="139">
        <v>4.8258064516129027</v>
      </c>
      <c r="TG81" s="140">
        <f t="shared" si="312"/>
        <v>48.258064516129025</v>
      </c>
      <c r="TH81" s="130"/>
      <c r="TI81" s="528"/>
    </row>
    <row r="82" spans="2:529">
      <c r="B82" s="151"/>
      <c r="C82" s="161"/>
      <c r="D82" s="157" t="s">
        <v>79</v>
      </c>
      <c r="E82" s="138">
        <v>0</v>
      </c>
      <c r="F82" s="170">
        <v>2.0930769230769233</v>
      </c>
      <c r="G82" s="140">
        <f t="shared" si="247"/>
        <v>0</v>
      </c>
      <c r="H82" s="159">
        <f>SUM(G79:G82)</f>
        <v>390.41717514124292</v>
      </c>
      <c r="I82" s="528"/>
      <c r="J82" s="151"/>
      <c r="K82" s="161"/>
      <c r="L82" s="157" t="s">
        <v>79</v>
      </c>
      <c r="M82" s="138">
        <v>0</v>
      </c>
      <c r="N82" s="170">
        <v>2.0930769230769233</v>
      </c>
      <c r="O82" s="140">
        <f t="shared" si="248"/>
        <v>0</v>
      </c>
      <c r="P82" s="159">
        <f>SUM(O79:O82)</f>
        <v>211.85580508474578</v>
      </c>
      <c r="Q82" s="528"/>
      <c r="R82" s="151"/>
      <c r="S82" s="161"/>
      <c r="T82" s="157" t="s">
        <v>79</v>
      </c>
      <c r="U82" s="138">
        <v>72</v>
      </c>
      <c r="V82" s="170">
        <v>2.0930769230769233</v>
      </c>
      <c r="W82" s="140">
        <f t="shared" si="249"/>
        <v>150.70153846153846</v>
      </c>
      <c r="X82" s="159">
        <f>SUM(W79:W82)</f>
        <v>324.31403846153842</v>
      </c>
      <c r="Y82" s="528"/>
      <c r="Z82" s="151"/>
      <c r="AA82" s="161"/>
      <c r="AB82" s="157" t="s">
        <v>79</v>
      </c>
      <c r="AC82" s="138">
        <v>0</v>
      </c>
      <c r="AD82" s="170">
        <v>2.0930769230769233</v>
      </c>
      <c r="AE82" s="140">
        <f t="shared" si="250"/>
        <v>0</v>
      </c>
      <c r="AF82" s="159">
        <f>SUM(AE79:AE82)</f>
        <v>353.93084745762718</v>
      </c>
      <c r="AG82" s="528"/>
      <c r="AH82" s="151"/>
      <c r="AI82" s="161"/>
      <c r="AJ82" s="157" t="s">
        <v>79</v>
      </c>
      <c r="AK82" s="138">
        <v>0</v>
      </c>
      <c r="AL82" s="170">
        <v>2.0930769230769233</v>
      </c>
      <c r="AM82" s="140">
        <f t="shared" si="251"/>
        <v>0</v>
      </c>
      <c r="AN82" s="159">
        <f>SUM(AM79:AM82)</f>
        <v>0</v>
      </c>
      <c r="AO82" s="528"/>
      <c r="AP82" s="151"/>
      <c r="AQ82" s="161"/>
      <c r="AR82" s="157" t="s">
        <v>79</v>
      </c>
      <c r="AS82" s="138">
        <v>0</v>
      </c>
      <c r="AT82" s="170">
        <v>2.0930769230769233</v>
      </c>
      <c r="AU82" s="140">
        <f t="shared" si="252"/>
        <v>0</v>
      </c>
      <c r="AV82" s="159">
        <f>SUM(AU79:AU82)</f>
        <v>276.77169491525427</v>
      </c>
      <c r="AW82" s="528"/>
      <c r="AX82" s="151"/>
      <c r="AY82" s="161"/>
      <c r="AZ82" s="157" t="s">
        <v>79</v>
      </c>
      <c r="BA82" s="138"/>
      <c r="BB82" s="170">
        <v>2.0930769230769233</v>
      </c>
      <c r="BC82" s="140">
        <f t="shared" si="253"/>
        <v>0</v>
      </c>
      <c r="BD82" s="159">
        <f>SUM(BC79:BC82)</f>
        <v>0</v>
      </c>
      <c r="BE82" s="528"/>
      <c r="BF82" s="151"/>
      <c r="BG82" s="161"/>
      <c r="BH82" s="157" t="s">
        <v>79</v>
      </c>
      <c r="BI82" s="138">
        <v>11</v>
      </c>
      <c r="BJ82" s="170">
        <v>2.0930769230769233</v>
      </c>
      <c r="BK82" s="140">
        <f t="shared" si="254"/>
        <v>23.023846153846158</v>
      </c>
      <c r="BL82" s="159">
        <f>SUM(BK79:BK82)</f>
        <v>357.91236310299871</v>
      </c>
      <c r="BM82" s="528"/>
      <c r="BN82" s="151"/>
      <c r="BO82" s="161"/>
      <c r="BP82" s="157" t="s">
        <v>79</v>
      </c>
      <c r="BQ82" s="138">
        <v>18</v>
      </c>
      <c r="BR82" s="170">
        <v>2.0930769230769233</v>
      </c>
      <c r="BS82" s="140">
        <f t="shared" si="255"/>
        <v>37.675384615384615</v>
      </c>
      <c r="BT82" s="159">
        <f>SUM(BS79:BS82)</f>
        <v>277.26148631029992</v>
      </c>
      <c r="BU82" s="528"/>
      <c r="BV82" s="543"/>
      <c r="BW82" s="577"/>
      <c r="BX82" s="574" t="s">
        <v>79</v>
      </c>
      <c r="BY82" s="560"/>
      <c r="BZ82" s="585">
        <v>2.0930769230769233</v>
      </c>
      <c r="CA82" s="562">
        <f t="shared" si="256"/>
        <v>0</v>
      </c>
      <c r="CB82" s="575">
        <f>SUM(CA79:CA82)</f>
        <v>0</v>
      </c>
      <c r="CC82" s="528"/>
      <c r="CD82" s="543"/>
      <c r="CE82" s="577"/>
      <c r="CF82" s="574" t="s">
        <v>79</v>
      </c>
      <c r="CG82" s="560"/>
      <c r="CH82" s="585">
        <v>2.0930769230769233</v>
      </c>
      <c r="CI82" s="562">
        <f t="shared" si="257"/>
        <v>0</v>
      </c>
      <c r="CJ82" s="575">
        <f>SUM(CI79:CI82)</f>
        <v>0</v>
      </c>
      <c r="CK82" s="528"/>
      <c r="CL82" s="151"/>
      <c r="CM82" s="161"/>
      <c r="CN82" s="157" t="s">
        <v>79</v>
      </c>
      <c r="CO82" s="138"/>
      <c r="CP82" s="170">
        <v>2.0930769230769233</v>
      </c>
      <c r="CQ82" s="140">
        <f t="shared" si="258"/>
        <v>0</v>
      </c>
      <c r="CR82" s="159">
        <f>SUM(CQ79:CQ82)</f>
        <v>0</v>
      </c>
      <c r="CS82" s="528"/>
      <c r="CT82" s="151"/>
      <c r="CU82" s="161"/>
      <c r="CV82" s="157" t="s">
        <v>79</v>
      </c>
      <c r="CW82" s="138">
        <v>11</v>
      </c>
      <c r="CX82" s="170">
        <v>2.0930769230769233</v>
      </c>
      <c r="CY82" s="140">
        <f t="shared" si="259"/>
        <v>23.023846153846158</v>
      </c>
      <c r="CZ82" s="159">
        <f>SUM(CY79:CY82)</f>
        <v>357.91236310299871</v>
      </c>
      <c r="DA82" s="528"/>
      <c r="DB82" s="151"/>
      <c r="DC82" s="161"/>
      <c r="DD82" s="157" t="s">
        <v>79</v>
      </c>
      <c r="DE82" s="138"/>
      <c r="DF82" s="170">
        <v>2.0930769230769233</v>
      </c>
      <c r="DG82" s="140">
        <f t="shared" si="260"/>
        <v>0</v>
      </c>
      <c r="DH82" s="159">
        <f>SUM(DG79:DG82)</f>
        <v>0</v>
      </c>
      <c r="DI82" s="528"/>
      <c r="DJ82" s="151"/>
      <c r="DK82" s="161"/>
      <c r="DL82" s="157" t="s">
        <v>79</v>
      </c>
      <c r="DM82" s="138">
        <v>0</v>
      </c>
      <c r="DN82" s="170">
        <v>2.0930769230769233</v>
      </c>
      <c r="DO82" s="140">
        <f t="shared" si="261"/>
        <v>0</v>
      </c>
      <c r="DP82" s="159">
        <f>SUM(DO79:DO82)</f>
        <v>0</v>
      </c>
      <c r="DQ82" s="528"/>
      <c r="DR82" s="151"/>
      <c r="DS82" s="161"/>
      <c r="DT82" s="157" t="s">
        <v>79</v>
      </c>
      <c r="DU82" s="138">
        <v>0</v>
      </c>
      <c r="DV82" s="170">
        <v>2.0930769230769233</v>
      </c>
      <c r="DW82" s="140">
        <f t="shared" si="262"/>
        <v>0</v>
      </c>
      <c r="DX82" s="159">
        <f>SUM(DW79:DW82)</f>
        <v>1922.4689124293786</v>
      </c>
      <c r="DY82" s="528"/>
      <c r="DZ82" s="151"/>
      <c r="EA82" s="161"/>
      <c r="EB82" s="157" t="s">
        <v>79</v>
      </c>
      <c r="EC82" s="138">
        <v>0</v>
      </c>
      <c r="ED82" s="170">
        <v>2.0930769230769233</v>
      </c>
      <c r="EE82" s="140">
        <f t="shared" si="263"/>
        <v>0</v>
      </c>
      <c r="EF82" s="159">
        <f>SUM(EE79:EE82)</f>
        <v>948.32898305084746</v>
      </c>
      <c r="EG82" s="528"/>
      <c r="EH82" s="151"/>
      <c r="EI82" s="161"/>
      <c r="EJ82" s="157" t="s">
        <v>79</v>
      </c>
      <c r="EK82" s="138">
        <v>149</v>
      </c>
      <c r="EL82" s="170">
        <v>2.0930769230769233</v>
      </c>
      <c r="EM82" s="140">
        <f t="shared" si="264"/>
        <v>311.86846153846159</v>
      </c>
      <c r="EN82" s="159">
        <f>SUM(EM79:EM82)</f>
        <v>1440.0551564537159</v>
      </c>
      <c r="EO82" s="528"/>
      <c r="EP82" s="151"/>
      <c r="EQ82" s="161"/>
      <c r="ER82" s="157" t="s">
        <v>79</v>
      </c>
      <c r="ES82" s="138">
        <v>0</v>
      </c>
      <c r="ET82" s="170">
        <v>2.0930769230769233</v>
      </c>
      <c r="EU82" s="140">
        <f t="shared" si="265"/>
        <v>0</v>
      </c>
      <c r="EV82" s="159">
        <f>SUM(EU79:EU82)</f>
        <v>0</v>
      </c>
      <c r="EW82" s="528"/>
      <c r="EX82" s="151"/>
      <c r="EY82" s="161"/>
      <c r="EZ82" s="157" t="s">
        <v>79</v>
      </c>
      <c r="FA82" s="138"/>
      <c r="FB82" s="170">
        <v>2.0930769230769233</v>
      </c>
      <c r="FC82" s="140">
        <f t="shared" si="266"/>
        <v>0</v>
      </c>
      <c r="FD82" s="159">
        <f>SUM(FC79:FC82)</f>
        <v>0</v>
      </c>
      <c r="FE82" s="528"/>
      <c r="FF82" s="151"/>
      <c r="FG82" s="161"/>
      <c r="FH82" s="157" t="s">
        <v>79</v>
      </c>
      <c r="FI82" s="138"/>
      <c r="FJ82" s="170">
        <v>2.0930769230769233</v>
      </c>
      <c r="FK82" s="140">
        <f t="shared" si="267"/>
        <v>0</v>
      </c>
      <c r="FL82" s="159">
        <f>SUM(FK79:FK82)</f>
        <v>0</v>
      </c>
      <c r="FM82" s="528"/>
      <c r="FN82" s="151"/>
      <c r="FO82" s="161"/>
      <c r="FP82" s="157" t="s">
        <v>79</v>
      </c>
      <c r="FQ82" s="138"/>
      <c r="FR82" s="170">
        <v>2.0930769230769233</v>
      </c>
      <c r="FS82" s="140">
        <f t="shared" si="268"/>
        <v>0</v>
      </c>
      <c r="FT82" s="159">
        <f>SUM(FS79:FS82)</f>
        <v>0</v>
      </c>
      <c r="FU82" s="528"/>
      <c r="FV82" s="151"/>
      <c r="FW82" s="161"/>
      <c r="FX82" s="157" t="s">
        <v>79</v>
      </c>
      <c r="FY82" s="138"/>
      <c r="FZ82" s="170">
        <v>2.0930769230769233</v>
      </c>
      <c r="GA82" s="140">
        <f t="shared" si="269"/>
        <v>0</v>
      </c>
      <c r="GB82" s="159">
        <f>SUM(GA79:GA82)</f>
        <v>0</v>
      </c>
      <c r="GC82" s="528"/>
      <c r="GD82" s="151"/>
      <c r="GE82" s="161"/>
      <c r="GF82" s="157" t="s">
        <v>79</v>
      </c>
      <c r="GG82" s="138"/>
      <c r="GH82" s="170">
        <v>2.0930769230769233</v>
      </c>
      <c r="GI82" s="140">
        <f t="shared" si="270"/>
        <v>0</v>
      </c>
      <c r="GJ82" s="159">
        <f>SUM(GI79:GI82)</f>
        <v>0</v>
      </c>
      <c r="GK82" s="528"/>
      <c r="GL82" s="151"/>
      <c r="GM82" s="161"/>
      <c r="GN82" s="157" t="s">
        <v>79</v>
      </c>
      <c r="GO82" s="138">
        <f>'[1]Jan_18_Vol weekly-Data-Entry'!$V$226</f>
        <v>0</v>
      </c>
      <c r="GP82" s="170">
        <v>2.0930769230769233</v>
      </c>
      <c r="GQ82" s="140">
        <f t="shared" si="271"/>
        <v>0</v>
      </c>
      <c r="GR82" s="159">
        <f>SUM(GQ79:GQ82)</f>
        <v>0</v>
      </c>
      <c r="GS82" s="528"/>
      <c r="GT82" s="151"/>
      <c r="GU82" s="161"/>
      <c r="GV82" s="157" t="s">
        <v>79</v>
      </c>
      <c r="GW82" s="138">
        <v>0</v>
      </c>
      <c r="GX82" s="170">
        <v>2.0930769230769233</v>
      </c>
      <c r="GY82" s="140">
        <f t="shared" si="272"/>
        <v>0</v>
      </c>
      <c r="GZ82" s="159">
        <f>SUM(GY79:GY82)</f>
        <v>0</v>
      </c>
      <c r="HA82" s="528"/>
      <c r="HB82" s="151"/>
      <c r="HC82" s="161"/>
      <c r="HD82" s="157" t="s">
        <v>79</v>
      </c>
      <c r="HE82" s="138">
        <v>0</v>
      </c>
      <c r="HF82" s="170">
        <v>2.0930769230769233</v>
      </c>
      <c r="HG82" s="140">
        <f t="shared" si="273"/>
        <v>0</v>
      </c>
      <c r="HH82" s="159">
        <f>SUM(HG79:HG82)</f>
        <v>173.61249999999998</v>
      </c>
      <c r="HI82" s="528"/>
      <c r="HJ82" s="151"/>
      <c r="HK82" s="161"/>
      <c r="HL82" s="157" t="s">
        <v>79</v>
      </c>
      <c r="HM82" s="138">
        <v>0</v>
      </c>
      <c r="HN82" s="170">
        <v>2.0930769230769233</v>
      </c>
      <c r="HO82" s="140">
        <f t="shared" si="274"/>
        <v>0</v>
      </c>
      <c r="HP82" s="159">
        <f>SUM(HO79:HO82)</f>
        <v>2108.8379661016952</v>
      </c>
      <c r="HQ82" s="528"/>
      <c r="HR82" s="151"/>
      <c r="HS82" s="161"/>
      <c r="HT82" s="157" t="s">
        <v>79</v>
      </c>
      <c r="HU82" s="138">
        <v>51</v>
      </c>
      <c r="HV82" s="170">
        <v>2.0930769230769233</v>
      </c>
      <c r="HW82" s="140">
        <f t="shared" si="275"/>
        <v>106.74692307692308</v>
      </c>
      <c r="HX82" s="159">
        <f>SUM(HW79:HW82)</f>
        <v>2746.9846208170361</v>
      </c>
      <c r="HY82" s="528"/>
      <c r="HZ82" s="151"/>
      <c r="IA82" s="161"/>
      <c r="IB82" s="157" t="s">
        <v>79</v>
      </c>
      <c r="IC82" s="138">
        <v>42</v>
      </c>
      <c r="ID82" s="170">
        <v>2.0930769230769233</v>
      </c>
      <c r="IE82" s="140">
        <f t="shared" si="276"/>
        <v>87.909230769230774</v>
      </c>
      <c r="IF82" s="159">
        <f>SUM(IE79:IE82)</f>
        <v>2700.7344285093441</v>
      </c>
      <c r="IG82" s="528"/>
      <c r="IH82" s="151"/>
      <c r="II82" s="161"/>
      <c r="IJ82" s="157" t="s">
        <v>79</v>
      </c>
      <c r="IK82" s="138">
        <v>0</v>
      </c>
      <c r="IL82" s="170">
        <v>2.0930769230769233</v>
      </c>
      <c r="IM82" s="140">
        <f t="shared" si="277"/>
        <v>0</v>
      </c>
      <c r="IN82" s="159">
        <f>SUM(IM79:IM82)</f>
        <v>1743.5824293785313</v>
      </c>
      <c r="IO82" s="528"/>
      <c r="IP82" s="151"/>
      <c r="IQ82" s="161"/>
      <c r="IR82" s="157" t="s">
        <v>79</v>
      </c>
      <c r="IS82" s="138">
        <v>0</v>
      </c>
      <c r="IT82" s="170">
        <v>2.0930769230769233</v>
      </c>
      <c r="IU82" s="140">
        <f t="shared" si="278"/>
        <v>0</v>
      </c>
      <c r="IV82" s="159">
        <f>SUM(IU79:IU82)</f>
        <v>1209.2637288135595</v>
      </c>
      <c r="IW82" s="528"/>
      <c r="IX82" s="151"/>
      <c r="IY82" s="161"/>
      <c r="IZ82" s="157" t="s">
        <v>79</v>
      </c>
      <c r="JA82" s="138">
        <v>132</v>
      </c>
      <c r="JB82" s="170">
        <v>2.0930769230769233</v>
      </c>
      <c r="JC82" s="140">
        <f t="shared" si="279"/>
        <v>276.28615384615387</v>
      </c>
      <c r="JD82" s="159">
        <f>SUM(JC79:JC82)</f>
        <v>1187.2679052585834</v>
      </c>
      <c r="JE82" s="528"/>
      <c r="JF82" s="151"/>
      <c r="JG82" s="161"/>
      <c r="JH82" s="157" t="s">
        <v>79</v>
      </c>
      <c r="JI82" s="138">
        <v>0</v>
      </c>
      <c r="JJ82" s="170">
        <v>2.0930769230769233</v>
      </c>
      <c r="JK82" s="140">
        <f t="shared" si="280"/>
        <v>0</v>
      </c>
      <c r="JL82" s="159">
        <f>SUM(JK79:JK82)</f>
        <v>39.595833333333331</v>
      </c>
      <c r="JM82" s="528"/>
      <c r="JN82" s="151"/>
      <c r="JO82" s="161"/>
      <c r="JP82" s="157" t="s">
        <v>79</v>
      </c>
      <c r="JQ82" s="138">
        <v>0</v>
      </c>
      <c r="JR82" s="170">
        <v>2.0930769230769233</v>
      </c>
      <c r="JS82" s="140">
        <f t="shared" si="281"/>
        <v>0</v>
      </c>
      <c r="JT82" s="159">
        <f>SUM(JS79:JS82)</f>
        <v>140.09762711864408</v>
      </c>
      <c r="JU82" s="528"/>
      <c r="JV82" s="151"/>
      <c r="JW82" s="161"/>
      <c r="JX82" s="157" t="s">
        <v>79</v>
      </c>
      <c r="JY82" s="138">
        <v>11</v>
      </c>
      <c r="JZ82" s="170">
        <v>2.0930769230769233</v>
      </c>
      <c r="KA82" s="140">
        <f t="shared" si="282"/>
        <v>23.023846153846158</v>
      </c>
      <c r="KB82" s="159">
        <f>SUM(KA79:KA82)</f>
        <v>724.56260321599314</v>
      </c>
      <c r="KC82" s="528"/>
      <c r="KD82" s="151"/>
      <c r="KE82" s="161"/>
      <c r="KF82" s="157" t="s">
        <v>79</v>
      </c>
      <c r="KG82" s="138">
        <v>0</v>
      </c>
      <c r="KH82" s="170">
        <v>2.0930769230769233</v>
      </c>
      <c r="KI82" s="140">
        <f t="shared" si="283"/>
        <v>0</v>
      </c>
      <c r="KJ82" s="159">
        <f>SUM(KI79:KI82)</f>
        <v>125.35050847457629</v>
      </c>
      <c r="KK82" s="528"/>
      <c r="KL82" s="151"/>
      <c r="KM82" s="161"/>
      <c r="KN82" s="157" t="s">
        <v>79</v>
      </c>
      <c r="KO82" s="138">
        <v>0</v>
      </c>
      <c r="KP82" s="170">
        <v>2.0930769230769233</v>
      </c>
      <c r="KQ82" s="140">
        <f t="shared" si="284"/>
        <v>0</v>
      </c>
      <c r="KR82" s="159">
        <f>SUM(KQ79:KQ82)</f>
        <v>211.85580508474578</v>
      </c>
      <c r="KS82" s="528"/>
      <c r="KT82" s="151"/>
      <c r="KU82" s="161"/>
      <c r="KV82" s="157" t="s">
        <v>79</v>
      </c>
      <c r="KW82" s="138">
        <v>87</v>
      </c>
      <c r="KX82" s="170">
        <v>2.0930769230769233</v>
      </c>
      <c r="KY82" s="140">
        <f t="shared" si="285"/>
        <v>182.09769230769231</v>
      </c>
      <c r="KZ82" s="159">
        <f>SUM(KY79:KY82)</f>
        <v>3318.6205595393308</v>
      </c>
      <c r="LA82" s="528"/>
      <c r="LB82" s="151"/>
      <c r="LC82" s="161"/>
      <c r="LD82" s="157" t="s">
        <v>79</v>
      </c>
      <c r="LE82" s="138">
        <v>74</v>
      </c>
      <c r="LF82" s="170">
        <v>2.0930769230769233</v>
      </c>
      <c r="LG82" s="140">
        <f t="shared" si="286"/>
        <v>154.88769230769233</v>
      </c>
      <c r="LH82" s="159">
        <f>SUM(LG79:LG82)</f>
        <v>2379.4373392003481</v>
      </c>
      <c r="LI82" s="528"/>
      <c r="LJ82" s="151"/>
      <c r="LK82" s="161"/>
      <c r="LL82" s="157" t="s">
        <v>79</v>
      </c>
      <c r="LM82" s="175">
        <v>79</v>
      </c>
      <c r="LN82" s="139">
        <v>2.0930769230769233</v>
      </c>
      <c r="LO82" s="140">
        <f t="shared" si="287"/>
        <v>165.35307692307694</v>
      </c>
      <c r="LP82" s="159">
        <f>SUM(LO79:LO82)</f>
        <v>2259.2903791829644</v>
      </c>
      <c r="LQ82" s="528"/>
      <c r="LR82" s="151"/>
      <c r="LS82" s="161"/>
      <c r="LT82" s="157" t="s">
        <v>79</v>
      </c>
      <c r="LU82" s="175">
        <v>50</v>
      </c>
      <c r="LV82" s="139">
        <v>2.0930769230769233</v>
      </c>
      <c r="LW82" s="140">
        <f t="shared" si="288"/>
        <v>104.65384615384616</v>
      </c>
      <c r="LX82" s="159">
        <f>SUM(LW79:LW82)</f>
        <v>1423.7296088657108</v>
      </c>
      <c r="LY82" s="528"/>
      <c r="LZ82" s="151"/>
      <c r="MA82" s="161"/>
      <c r="MB82" s="157" t="s">
        <v>79</v>
      </c>
      <c r="MC82" s="175">
        <v>202</v>
      </c>
      <c r="MD82" s="139">
        <v>2.0930769230769233</v>
      </c>
      <c r="ME82" s="140">
        <f t="shared" si="289"/>
        <v>422.80153846153848</v>
      </c>
      <c r="MF82" s="159">
        <f>SUM(ME79:ME82)</f>
        <v>1965.6585723598437</v>
      </c>
      <c r="MG82" s="528"/>
      <c r="MH82" s="151"/>
      <c r="MI82" s="161"/>
      <c r="MJ82" s="157" t="s">
        <v>79</v>
      </c>
      <c r="MK82" s="175">
        <v>61</v>
      </c>
      <c r="ML82" s="139">
        <v>2.0930769230769233</v>
      </c>
      <c r="MM82" s="140">
        <f t="shared" si="290"/>
        <v>127.67769230769233</v>
      </c>
      <c r="MN82" s="159">
        <f>SUM(MM79:MM82)</f>
        <v>2111.5428335506303</v>
      </c>
      <c r="MO82" s="528"/>
      <c r="MP82" s="151"/>
      <c r="MQ82" s="161"/>
      <c r="MR82" s="157" t="s">
        <v>79</v>
      </c>
      <c r="MS82" s="175">
        <v>116</v>
      </c>
      <c r="MT82" s="139">
        <v>2.0930769230769233</v>
      </c>
      <c r="MU82" s="140">
        <f t="shared" si="291"/>
        <v>242.79692307692309</v>
      </c>
      <c r="MV82" s="159">
        <f>SUM(MU79:MU82)</f>
        <v>1455.6750162972621</v>
      </c>
      <c r="MW82" s="528"/>
      <c r="MX82" s="145"/>
      <c r="MY82" s="146"/>
      <c r="MZ82" s="137" t="s">
        <v>14</v>
      </c>
      <c r="NA82" s="175">
        <v>468</v>
      </c>
      <c r="NB82" s="139">
        <v>1.7825454545454547</v>
      </c>
      <c r="NC82" s="140">
        <f t="shared" si="292"/>
        <v>834.23127272727277</v>
      </c>
      <c r="ND82" s="147">
        <f>SUM(NC81:NC82)</f>
        <v>834.23127272727277</v>
      </c>
      <c r="NE82" s="528"/>
      <c r="NF82" s="145"/>
      <c r="NG82" s="146"/>
      <c r="NH82" s="137" t="s">
        <v>14</v>
      </c>
      <c r="NI82" s="175">
        <v>488</v>
      </c>
      <c r="NJ82" s="139">
        <v>1.7825454545454547</v>
      </c>
      <c r="NK82" s="140">
        <f t="shared" si="293"/>
        <v>869.88218181818183</v>
      </c>
      <c r="NL82" s="147">
        <f>SUM(NK81:NK82)</f>
        <v>869.88218181818183</v>
      </c>
      <c r="NM82" s="528"/>
      <c r="NN82" s="145"/>
      <c r="NO82" s="146"/>
      <c r="NP82" s="137" t="s">
        <v>14</v>
      </c>
      <c r="NQ82" s="175">
        <v>220</v>
      </c>
      <c r="NR82" s="139">
        <v>1.7825454545454547</v>
      </c>
      <c r="NS82" s="140">
        <f t="shared" si="294"/>
        <v>392.16</v>
      </c>
      <c r="NT82" s="147">
        <f>SUM(NS81:NS82)</f>
        <v>416.28903225806454</v>
      </c>
      <c r="NU82" s="528"/>
      <c r="NV82" s="145"/>
      <c r="NW82" s="146"/>
      <c r="NX82" s="137" t="s">
        <v>14</v>
      </c>
      <c r="NY82" s="175">
        <v>360</v>
      </c>
      <c r="NZ82" s="139">
        <v>1.7825454545454547</v>
      </c>
      <c r="OA82" s="140">
        <f t="shared" si="295"/>
        <v>641.71636363636367</v>
      </c>
      <c r="OB82" s="147">
        <f>SUM(OA81:OA82)</f>
        <v>656.1937829912024</v>
      </c>
      <c r="OC82" s="528"/>
      <c r="OD82" s="145"/>
      <c r="OE82" s="146"/>
      <c r="OF82" s="137" t="s">
        <v>14</v>
      </c>
      <c r="OG82" s="175">
        <v>20</v>
      </c>
      <c r="OH82" s="139">
        <v>1.7825454545454547</v>
      </c>
      <c r="OI82" s="140">
        <f t="shared" si="296"/>
        <v>35.650909090909096</v>
      </c>
      <c r="OJ82" s="147">
        <f>SUM(OI81:OI82)</f>
        <v>334.85090909090911</v>
      </c>
      <c r="OK82" s="528"/>
      <c r="OL82" s="145"/>
      <c r="OM82" s="146"/>
      <c r="ON82" s="137" t="s">
        <v>14</v>
      </c>
      <c r="OO82" s="175">
        <v>512</v>
      </c>
      <c r="OP82" s="139">
        <v>1.7825454545454547</v>
      </c>
      <c r="OQ82" s="140">
        <f t="shared" si="297"/>
        <v>912.66327272727278</v>
      </c>
      <c r="OR82" s="147">
        <f>SUM(OQ81:OQ82)</f>
        <v>922.31488563049857</v>
      </c>
      <c r="OS82" s="528"/>
      <c r="OT82" s="145"/>
      <c r="OU82" s="146"/>
      <c r="OV82" s="137" t="s">
        <v>14</v>
      </c>
      <c r="OW82" s="175"/>
      <c r="OX82" s="139">
        <v>1.7825454545454547</v>
      </c>
      <c r="OY82" s="140">
        <f t="shared" si="298"/>
        <v>0</v>
      </c>
      <c r="OZ82" s="147">
        <f>SUM(OY81:OY82)</f>
        <v>0</v>
      </c>
      <c r="PA82" s="528"/>
      <c r="PB82" s="145"/>
      <c r="PC82" s="146"/>
      <c r="PD82" s="137" t="s">
        <v>14</v>
      </c>
      <c r="PE82" s="175"/>
      <c r="PF82" s="139">
        <v>1.7825454545454547</v>
      </c>
      <c r="PG82" s="140">
        <f t="shared" si="299"/>
        <v>0</v>
      </c>
      <c r="PH82" s="147">
        <f>SUM(PG81:PG82)</f>
        <v>4.8258064516129027</v>
      </c>
      <c r="PI82" s="528"/>
      <c r="PJ82" s="145"/>
      <c r="PK82" s="146"/>
      <c r="PL82" s="137" t="s">
        <v>14</v>
      </c>
      <c r="PM82" s="175">
        <v>110</v>
      </c>
      <c r="PN82" s="139">
        <v>1.7825454545454547</v>
      </c>
      <c r="PO82" s="140">
        <f t="shared" si="300"/>
        <v>196.08</v>
      </c>
      <c r="PP82" s="147">
        <f>SUM(PO81:PO82)</f>
        <v>196.08</v>
      </c>
      <c r="PQ82" s="528"/>
      <c r="PR82" s="145"/>
      <c r="PS82" s="146"/>
      <c r="PT82" s="137" t="s">
        <v>14</v>
      </c>
      <c r="PU82" s="175"/>
      <c r="PV82" s="139">
        <v>1.7825454545454547</v>
      </c>
      <c r="PW82" s="140">
        <f t="shared" si="301"/>
        <v>0</v>
      </c>
      <c r="PX82" s="147">
        <f>SUM(PW81:PW82)</f>
        <v>0</v>
      </c>
      <c r="PY82" s="528"/>
      <c r="PZ82" s="145"/>
      <c r="QA82" s="146"/>
      <c r="QB82" s="137" t="s">
        <v>14</v>
      </c>
      <c r="QC82" s="175">
        <v>56</v>
      </c>
      <c r="QD82" s="139">
        <v>1.7825454545454547</v>
      </c>
      <c r="QE82" s="140">
        <f t="shared" si="302"/>
        <v>99.822545454545462</v>
      </c>
      <c r="QF82" s="147">
        <f>SUM(QE81:QE82)</f>
        <v>99.822545454545462</v>
      </c>
      <c r="QG82" s="528"/>
      <c r="QH82" s="145"/>
      <c r="QI82" s="146"/>
      <c r="QJ82" s="137" t="s">
        <v>14</v>
      </c>
      <c r="QK82" s="175">
        <v>36</v>
      </c>
      <c r="QL82" s="139">
        <v>1.7825454545454547</v>
      </c>
      <c r="QM82" s="140">
        <f t="shared" si="303"/>
        <v>64.171636363636367</v>
      </c>
      <c r="QN82" s="147">
        <f>SUM(QM81:QM82)</f>
        <v>64.171636363636367</v>
      </c>
      <c r="QO82" s="528"/>
      <c r="QP82" s="145"/>
      <c r="QQ82" s="146"/>
      <c r="QR82" s="137" t="s">
        <v>14</v>
      </c>
      <c r="QS82" s="175"/>
      <c r="QT82" s="139">
        <v>1.7825454545454547</v>
      </c>
      <c r="QU82" s="140">
        <f t="shared" si="304"/>
        <v>0</v>
      </c>
      <c r="QV82" s="147">
        <f>SUM(QU81:QU82)</f>
        <v>9.6516129032258053</v>
      </c>
      <c r="QW82" s="528"/>
      <c r="QX82" s="145"/>
      <c r="QY82" s="146"/>
      <c r="QZ82" s="137" t="s">
        <v>14</v>
      </c>
      <c r="RA82" s="175"/>
      <c r="RB82" s="139">
        <v>1.7825454545454547</v>
      </c>
      <c r="RC82" s="140">
        <f t="shared" si="305"/>
        <v>0</v>
      </c>
      <c r="RD82" s="147">
        <f>SUM(RC81:RC82)</f>
        <v>0</v>
      </c>
      <c r="RE82" s="528"/>
      <c r="RF82" s="145"/>
      <c r="RG82" s="146"/>
      <c r="RH82" s="137" t="s">
        <v>14</v>
      </c>
      <c r="RI82" s="175"/>
      <c r="RJ82" s="139">
        <v>1.7825454545454547</v>
      </c>
      <c r="RK82" s="140">
        <f t="shared" si="306"/>
        <v>0</v>
      </c>
      <c r="RL82" s="147">
        <f>SUM(RK81:RK82)</f>
        <v>0</v>
      </c>
      <c r="RM82" s="528"/>
      <c r="RN82" s="145"/>
      <c r="RO82" s="146"/>
      <c r="RP82" s="137" t="s">
        <v>14</v>
      </c>
      <c r="RQ82" s="175">
        <v>33</v>
      </c>
      <c r="RR82" s="139">
        <v>1.7825454545454547</v>
      </c>
      <c r="RS82" s="140">
        <f t="shared" si="307"/>
        <v>58.824000000000005</v>
      </c>
      <c r="RT82" s="147">
        <f>SUM(RS81:RS82)</f>
        <v>97.430451612903227</v>
      </c>
      <c r="RU82" s="528"/>
      <c r="RV82" s="145"/>
      <c r="RW82" s="146"/>
      <c r="RX82" s="137" t="s">
        <v>14</v>
      </c>
      <c r="RY82" s="175">
        <v>120</v>
      </c>
      <c r="RZ82" s="139">
        <v>1.7825454545454547</v>
      </c>
      <c r="SA82" s="140">
        <f t="shared" si="308"/>
        <v>213.90545454545455</v>
      </c>
      <c r="SB82" s="147">
        <f>SUM(SA81:SA82)</f>
        <v>291.118357771261</v>
      </c>
      <c r="SC82" s="528"/>
      <c r="SD82" s="145"/>
      <c r="SE82" s="146"/>
      <c r="SF82" s="137" t="s">
        <v>14</v>
      </c>
      <c r="SG82" s="175">
        <v>35</v>
      </c>
      <c r="SH82" s="139">
        <v>1.7825454545454547</v>
      </c>
      <c r="SI82" s="140">
        <f t="shared" si="309"/>
        <v>62.38909090909091</v>
      </c>
      <c r="SJ82" s="147">
        <f>SUM(SI81:SI82)</f>
        <v>429.15038123167147</v>
      </c>
      <c r="SK82" s="528"/>
      <c r="SL82" s="145"/>
      <c r="SM82" s="146"/>
      <c r="SN82" s="137" t="s">
        <v>14</v>
      </c>
      <c r="SO82" s="175">
        <v>160</v>
      </c>
      <c r="SP82" s="139">
        <v>1.7825454545454547</v>
      </c>
      <c r="SQ82" s="140">
        <f t="shared" si="310"/>
        <v>285.20727272727277</v>
      </c>
      <c r="SR82" s="147">
        <f>SUM(SQ81:SQ82)</f>
        <v>352.76856304985341</v>
      </c>
      <c r="SS82" s="528"/>
      <c r="ST82" s="145"/>
      <c r="SU82" s="146"/>
      <c r="SV82" s="137" t="s">
        <v>14</v>
      </c>
      <c r="SW82" s="175">
        <v>77</v>
      </c>
      <c r="SX82" s="139">
        <v>1.7825454545454547</v>
      </c>
      <c r="SY82" s="140">
        <f t="shared" si="311"/>
        <v>137.256</v>
      </c>
      <c r="SZ82" s="147">
        <f>SUM(SY81:SY82)</f>
        <v>402.67535483870961</v>
      </c>
      <c r="TA82" s="528"/>
      <c r="TB82" s="145"/>
      <c r="TC82" s="146"/>
      <c r="TD82" s="137" t="s">
        <v>14</v>
      </c>
      <c r="TE82" s="175">
        <v>357</v>
      </c>
      <c r="TF82" s="139">
        <v>1.7825454545454547</v>
      </c>
      <c r="TG82" s="140">
        <f t="shared" si="312"/>
        <v>636.36872727272726</v>
      </c>
      <c r="TH82" s="147">
        <f>SUM(TG81:TG82)</f>
        <v>684.62679178885628</v>
      </c>
      <c r="TI82" s="528"/>
    </row>
    <row r="83" spans="2:529">
      <c r="B83" s="143" t="s">
        <v>80</v>
      </c>
      <c r="C83" s="144">
        <v>65</v>
      </c>
      <c r="D83" s="160" t="s">
        <v>76</v>
      </c>
      <c r="E83" s="138">
        <v>19</v>
      </c>
      <c r="F83" s="170">
        <v>4.3755555555555548</v>
      </c>
      <c r="G83" s="140">
        <f t="shared" si="247"/>
        <v>83.135555555555541</v>
      </c>
      <c r="H83" s="158"/>
      <c r="I83" s="528"/>
      <c r="J83" s="143" t="s">
        <v>80</v>
      </c>
      <c r="K83" s="144">
        <v>24</v>
      </c>
      <c r="L83" s="160" t="s">
        <v>76</v>
      </c>
      <c r="M83" s="138">
        <v>7</v>
      </c>
      <c r="N83" s="170">
        <v>4.3755555555555548</v>
      </c>
      <c r="O83" s="140">
        <f t="shared" si="248"/>
        <v>30.628888888888884</v>
      </c>
      <c r="P83" s="158"/>
      <c r="Q83" s="528"/>
      <c r="R83" s="143" t="s">
        <v>80</v>
      </c>
      <c r="S83" s="144"/>
      <c r="T83" s="160" t="s">
        <v>76</v>
      </c>
      <c r="U83" s="138">
        <v>0</v>
      </c>
      <c r="V83" s="170">
        <v>4.3755555555555548</v>
      </c>
      <c r="W83" s="140">
        <f t="shared" si="249"/>
        <v>0</v>
      </c>
      <c r="X83" s="158"/>
      <c r="Y83" s="528"/>
      <c r="Z83" s="143" t="s">
        <v>80</v>
      </c>
      <c r="AA83" s="144">
        <v>33</v>
      </c>
      <c r="AB83" s="160" t="s">
        <v>76</v>
      </c>
      <c r="AC83" s="138">
        <v>33</v>
      </c>
      <c r="AD83" s="170">
        <v>4.3755555555555548</v>
      </c>
      <c r="AE83" s="140">
        <f t="shared" si="250"/>
        <v>144.39333333333332</v>
      </c>
      <c r="AF83" s="158"/>
      <c r="AG83" s="528"/>
      <c r="AH83" s="143" t="s">
        <v>80</v>
      </c>
      <c r="AI83" s="144"/>
      <c r="AJ83" s="160" t="s">
        <v>76</v>
      </c>
      <c r="AK83" s="138">
        <v>0</v>
      </c>
      <c r="AL83" s="170">
        <v>4.3755555555555548</v>
      </c>
      <c r="AM83" s="140">
        <f t="shared" si="251"/>
        <v>0</v>
      </c>
      <c r="AN83" s="158"/>
      <c r="AO83" s="528"/>
      <c r="AP83" s="143" t="s">
        <v>80</v>
      </c>
      <c r="AQ83" s="144">
        <v>31</v>
      </c>
      <c r="AR83" s="160" t="s">
        <v>76</v>
      </c>
      <c r="AS83" s="138">
        <v>43</v>
      </c>
      <c r="AT83" s="170">
        <v>4.3755555555555548</v>
      </c>
      <c r="AU83" s="140">
        <f t="shared" si="252"/>
        <v>188.14888888888885</v>
      </c>
      <c r="AV83" s="158"/>
      <c r="AW83" s="528"/>
      <c r="AX83" s="143" t="s">
        <v>80</v>
      </c>
      <c r="AY83" s="144"/>
      <c r="AZ83" s="160" t="s">
        <v>76</v>
      </c>
      <c r="BA83" s="138"/>
      <c r="BB83" s="170">
        <v>4.3755555555555548</v>
      </c>
      <c r="BC83" s="140">
        <f t="shared" si="253"/>
        <v>0</v>
      </c>
      <c r="BD83" s="158"/>
      <c r="BE83" s="528"/>
      <c r="BF83" s="143" t="s">
        <v>80</v>
      </c>
      <c r="BG83" s="144">
        <v>15</v>
      </c>
      <c r="BH83" s="160" t="s">
        <v>76</v>
      </c>
      <c r="BI83" s="138">
        <v>12</v>
      </c>
      <c r="BJ83" s="170">
        <v>4.3755555555555548</v>
      </c>
      <c r="BK83" s="140">
        <f t="shared" si="254"/>
        <v>52.506666666666661</v>
      </c>
      <c r="BL83" s="158"/>
      <c r="BM83" s="528"/>
      <c r="BN83" s="143" t="s">
        <v>80</v>
      </c>
      <c r="BO83" s="144">
        <v>19</v>
      </c>
      <c r="BP83" s="160" t="s">
        <v>76</v>
      </c>
      <c r="BQ83" s="138">
        <v>9</v>
      </c>
      <c r="BR83" s="170">
        <v>4.3755555555555548</v>
      </c>
      <c r="BS83" s="140">
        <f t="shared" si="255"/>
        <v>39.379999999999995</v>
      </c>
      <c r="BT83" s="158"/>
      <c r="BU83" s="528"/>
      <c r="BV83" s="564" t="s">
        <v>80</v>
      </c>
      <c r="BW83" s="565"/>
      <c r="BX83" s="576" t="s">
        <v>76</v>
      </c>
      <c r="BY83" s="560"/>
      <c r="BZ83" s="585">
        <v>4.3755555555555548</v>
      </c>
      <c r="CA83" s="562">
        <f t="shared" si="256"/>
        <v>0</v>
      </c>
      <c r="CB83" s="540"/>
      <c r="CC83" s="528"/>
      <c r="CD83" s="564" t="s">
        <v>80</v>
      </c>
      <c r="CE83" s="565"/>
      <c r="CF83" s="576" t="s">
        <v>76</v>
      </c>
      <c r="CG83" s="560"/>
      <c r="CH83" s="585">
        <v>4.3755555555555548</v>
      </c>
      <c r="CI83" s="562">
        <f t="shared" si="257"/>
        <v>0</v>
      </c>
      <c r="CJ83" s="540"/>
      <c r="CK83" s="528"/>
      <c r="CL83" s="143" t="s">
        <v>80</v>
      </c>
      <c r="CM83" s="144"/>
      <c r="CN83" s="160" t="s">
        <v>76</v>
      </c>
      <c r="CO83" s="138"/>
      <c r="CP83" s="170">
        <v>4.3755555555555548</v>
      </c>
      <c r="CQ83" s="140">
        <f t="shared" si="258"/>
        <v>0</v>
      </c>
      <c r="CR83" s="158"/>
      <c r="CS83" s="528"/>
      <c r="CT83" s="143" t="s">
        <v>80</v>
      </c>
      <c r="CU83" s="144">
        <v>15</v>
      </c>
      <c r="CV83" s="160" t="s">
        <v>76</v>
      </c>
      <c r="CW83" s="138">
        <v>12</v>
      </c>
      <c r="CX83" s="170">
        <v>4.3755555555555548</v>
      </c>
      <c r="CY83" s="140">
        <f t="shared" si="259"/>
        <v>52.506666666666661</v>
      </c>
      <c r="CZ83" s="158"/>
      <c r="DA83" s="528"/>
      <c r="DB83" s="143" t="s">
        <v>80</v>
      </c>
      <c r="DC83" s="144"/>
      <c r="DD83" s="160" t="s">
        <v>76</v>
      </c>
      <c r="DE83" s="138"/>
      <c r="DF83" s="170">
        <v>4.3755555555555548</v>
      </c>
      <c r="DG83" s="140">
        <f t="shared" si="260"/>
        <v>0</v>
      </c>
      <c r="DH83" s="158"/>
      <c r="DI83" s="528"/>
      <c r="DJ83" s="143" t="s">
        <v>80</v>
      </c>
      <c r="DK83" s="144"/>
      <c r="DL83" s="160" t="s">
        <v>76</v>
      </c>
      <c r="DM83" s="138">
        <v>0</v>
      </c>
      <c r="DN83" s="170">
        <v>4.3755555555555548</v>
      </c>
      <c r="DO83" s="140">
        <f t="shared" si="261"/>
        <v>0</v>
      </c>
      <c r="DP83" s="158"/>
      <c r="DQ83" s="528"/>
      <c r="DR83" s="143" t="s">
        <v>80</v>
      </c>
      <c r="DS83" s="144">
        <v>49</v>
      </c>
      <c r="DT83" s="160" t="s">
        <v>76</v>
      </c>
      <c r="DU83" s="138">
        <v>5</v>
      </c>
      <c r="DV83" s="170">
        <v>4.3755555555555548</v>
      </c>
      <c r="DW83" s="140">
        <f t="shared" si="262"/>
        <v>21.877777777777773</v>
      </c>
      <c r="DX83" s="158"/>
      <c r="DY83" s="528"/>
      <c r="DZ83" s="143" t="s">
        <v>80</v>
      </c>
      <c r="EA83" s="144">
        <v>15</v>
      </c>
      <c r="EB83" s="160" t="s">
        <v>76</v>
      </c>
      <c r="EC83" s="138">
        <v>1</v>
      </c>
      <c r="ED83" s="170">
        <v>4.3755555555555548</v>
      </c>
      <c r="EE83" s="140">
        <f t="shared" si="263"/>
        <v>4.3755555555555548</v>
      </c>
      <c r="EF83" s="158"/>
      <c r="EG83" s="528"/>
      <c r="EH83" s="143" t="s">
        <v>80</v>
      </c>
      <c r="EI83" s="144">
        <v>27</v>
      </c>
      <c r="EJ83" s="160" t="s">
        <v>76</v>
      </c>
      <c r="EK83" s="138">
        <v>0</v>
      </c>
      <c r="EL83" s="170">
        <v>4.3755555555555548</v>
      </c>
      <c r="EM83" s="140">
        <f t="shared" si="264"/>
        <v>0</v>
      </c>
      <c r="EN83" s="158"/>
      <c r="EO83" s="528"/>
      <c r="EP83" s="143" t="s">
        <v>80</v>
      </c>
      <c r="EQ83" s="144">
        <v>0</v>
      </c>
      <c r="ER83" s="160" t="s">
        <v>76</v>
      </c>
      <c r="ES83" s="138">
        <v>0</v>
      </c>
      <c r="ET83" s="170">
        <v>4.3755555555555548</v>
      </c>
      <c r="EU83" s="140">
        <f t="shared" si="265"/>
        <v>0</v>
      </c>
      <c r="EV83" s="158"/>
      <c r="EW83" s="528"/>
      <c r="EX83" s="143" t="s">
        <v>80</v>
      </c>
      <c r="EY83" s="144"/>
      <c r="EZ83" s="160" t="s">
        <v>76</v>
      </c>
      <c r="FA83" s="138"/>
      <c r="FB83" s="170">
        <v>4.3755555555555548</v>
      </c>
      <c r="FC83" s="140">
        <f t="shared" si="266"/>
        <v>0</v>
      </c>
      <c r="FD83" s="158"/>
      <c r="FE83" s="528"/>
      <c r="FF83" s="143" t="s">
        <v>80</v>
      </c>
      <c r="FG83" s="144"/>
      <c r="FH83" s="160" t="s">
        <v>76</v>
      </c>
      <c r="FI83" s="138"/>
      <c r="FJ83" s="170">
        <v>4.3755555555555548</v>
      </c>
      <c r="FK83" s="140">
        <f t="shared" si="267"/>
        <v>0</v>
      </c>
      <c r="FL83" s="158"/>
      <c r="FM83" s="528"/>
      <c r="FN83" s="143" t="s">
        <v>80</v>
      </c>
      <c r="FO83" s="144"/>
      <c r="FP83" s="160" t="s">
        <v>76</v>
      </c>
      <c r="FQ83" s="138"/>
      <c r="FR83" s="170">
        <v>4.3755555555555548</v>
      </c>
      <c r="FS83" s="140">
        <f t="shared" si="268"/>
        <v>0</v>
      </c>
      <c r="FT83" s="158"/>
      <c r="FU83" s="528"/>
      <c r="FV83" s="143" t="s">
        <v>80</v>
      </c>
      <c r="FW83" s="144"/>
      <c r="FX83" s="160" t="s">
        <v>76</v>
      </c>
      <c r="FY83" s="138"/>
      <c r="FZ83" s="170">
        <v>4.3755555555555548</v>
      </c>
      <c r="GA83" s="140">
        <f t="shared" si="269"/>
        <v>0</v>
      </c>
      <c r="GB83" s="158"/>
      <c r="GC83" s="528"/>
      <c r="GD83" s="143" t="s">
        <v>80</v>
      </c>
      <c r="GE83" s="144"/>
      <c r="GF83" s="160" t="s">
        <v>76</v>
      </c>
      <c r="GG83" s="138"/>
      <c r="GH83" s="170">
        <v>4.3755555555555548</v>
      </c>
      <c r="GI83" s="140">
        <f t="shared" si="270"/>
        <v>0</v>
      </c>
      <c r="GJ83" s="158"/>
      <c r="GK83" s="528"/>
      <c r="GL83" s="143" t="s">
        <v>80</v>
      </c>
      <c r="GM83" s="144">
        <v>13</v>
      </c>
      <c r="GN83" s="160" t="s">
        <v>76</v>
      </c>
      <c r="GO83" s="138">
        <f>'[1]Jan_18_Vol weekly-Data-Entry'!$X$226</f>
        <v>0</v>
      </c>
      <c r="GP83" s="170">
        <v>4.3755555555555548</v>
      </c>
      <c r="GQ83" s="140">
        <f t="shared" si="271"/>
        <v>0</v>
      </c>
      <c r="GR83" s="158"/>
      <c r="GS83" s="528"/>
      <c r="GT83" s="143" t="s">
        <v>80</v>
      </c>
      <c r="GU83" s="144">
        <v>22</v>
      </c>
      <c r="GV83" s="160" t="s">
        <v>76</v>
      </c>
      <c r="GW83" s="138">
        <v>43</v>
      </c>
      <c r="GX83" s="170">
        <v>4.3755555555555548</v>
      </c>
      <c r="GY83" s="140">
        <f t="shared" si="272"/>
        <v>188.14888888888885</v>
      </c>
      <c r="GZ83" s="158"/>
      <c r="HA83" s="528"/>
      <c r="HB83" s="143" t="s">
        <v>80</v>
      </c>
      <c r="HC83" s="144">
        <v>0</v>
      </c>
      <c r="HD83" s="160" t="s">
        <v>76</v>
      </c>
      <c r="HE83" s="138">
        <v>0</v>
      </c>
      <c r="HF83" s="170">
        <v>4.3755555555555548</v>
      </c>
      <c r="HG83" s="140">
        <f t="shared" si="273"/>
        <v>0</v>
      </c>
      <c r="HH83" s="158"/>
      <c r="HI83" s="528"/>
      <c r="HJ83" s="143" t="s">
        <v>80</v>
      </c>
      <c r="HK83" s="144">
        <v>105</v>
      </c>
      <c r="HL83" s="160" t="s">
        <v>76</v>
      </c>
      <c r="HM83" s="138">
        <v>26</v>
      </c>
      <c r="HN83" s="170">
        <v>4.3755555555555548</v>
      </c>
      <c r="HO83" s="140">
        <f t="shared" si="274"/>
        <v>113.76444444444442</v>
      </c>
      <c r="HP83" s="158"/>
      <c r="HQ83" s="528"/>
      <c r="HR83" s="143" t="s">
        <v>80</v>
      </c>
      <c r="HS83" s="144">
        <v>86</v>
      </c>
      <c r="HT83" s="160" t="s">
        <v>76</v>
      </c>
      <c r="HU83" s="138">
        <v>35</v>
      </c>
      <c r="HV83" s="170">
        <v>4.3755555555555548</v>
      </c>
      <c r="HW83" s="140">
        <f t="shared" si="275"/>
        <v>153.14444444444442</v>
      </c>
      <c r="HX83" s="158"/>
      <c r="HY83" s="528"/>
      <c r="HZ83" s="143" t="s">
        <v>80</v>
      </c>
      <c r="IA83" s="144">
        <v>84</v>
      </c>
      <c r="IB83" s="160" t="s">
        <v>76</v>
      </c>
      <c r="IC83" s="138">
        <v>35</v>
      </c>
      <c r="ID83" s="170">
        <v>4.3755555555555548</v>
      </c>
      <c r="IE83" s="140">
        <f t="shared" si="276"/>
        <v>153.14444444444442</v>
      </c>
      <c r="IF83" s="158"/>
      <c r="IG83" s="528"/>
      <c r="IH83" s="143" t="s">
        <v>80</v>
      </c>
      <c r="II83" s="144">
        <v>30</v>
      </c>
      <c r="IJ83" s="160" t="s">
        <v>76</v>
      </c>
      <c r="IK83" s="138">
        <v>0</v>
      </c>
      <c r="IL83" s="170">
        <v>4.3755555555555548</v>
      </c>
      <c r="IM83" s="140">
        <f t="shared" si="277"/>
        <v>0</v>
      </c>
      <c r="IN83" s="158"/>
      <c r="IO83" s="528"/>
      <c r="IP83" s="143" t="s">
        <v>80</v>
      </c>
      <c r="IQ83" s="144">
        <v>31</v>
      </c>
      <c r="IR83" s="160" t="s">
        <v>76</v>
      </c>
      <c r="IS83" s="138">
        <v>12</v>
      </c>
      <c r="IT83" s="170">
        <v>4.3755555555555548</v>
      </c>
      <c r="IU83" s="140">
        <f t="shared" si="278"/>
        <v>52.506666666666661</v>
      </c>
      <c r="IV83" s="158"/>
      <c r="IW83" s="528"/>
      <c r="IX83" s="143" t="s">
        <v>80</v>
      </c>
      <c r="IY83" s="144">
        <v>40</v>
      </c>
      <c r="IZ83" s="160" t="s">
        <v>76</v>
      </c>
      <c r="JA83" s="138">
        <v>10</v>
      </c>
      <c r="JB83" s="170">
        <v>4.3755555555555548</v>
      </c>
      <c r="JC83" s="140">
        <f t="shared" si="279"/>
        <v>43.755555555555546</v>
      </c>
      <c r="JD83" s="158"/>
      <c r="JE83" s="528"/>
      <c r="JF83" s="143" t="s">
        <v>80</v>
      </c>
      <c r="JG83" s="144">
        <v>5</v>
      </c>
      <c r="JH83" s="160" t="s">
        <v>76</v>
      </c>
      <c r="JI83" s="138">
        <v>0</v>
      </c>
      <c r="JJ83" s="170">
        <v>4.3755555555555548</v>
      </c>
      <c r="JK83" s="140">
        <f t="shared" si="280"/>
        <v>0</v>
      </c>
      <c r="JL83" s="158"/>
      <c r="JM83" s="528"/>
      <c r="JN83" s="143" t="s">
        <v>80</v>
      </c>
      <c r="JO83" s="144">
        <v>3</v>
      </c>
      <c r="JP83" s="160" t="s">
        <v>76</v>
      </c>
      <c r="JQ83" s="138">
        <v>29</v>
      </c>
      <c r="JR83" s="170">
        <v>4.3755555555555548</v>
      </c>
      <c r="JS83" s="140">
        <f t="shared" si="281"/>
        <v>126.89111111111109</v>
      </c>
      <c r="JT83" s="158"/>
      <c r="JU83" s="528"/>
      <c r="JV83" s="143" t="s">
        <v>80</v>
      </c>
      <c r="JW83" s="144">
        <v>31</v>
      </c>
      <c r="JX83" s="160" t="s">
        <v>76</v>
      </c>
      <c r="JY83" s="138">
        <v>0</v>
      </c>
      <c r="JZ83" s="170">
        <v>4.3755555555555548</v>
      </c>
      <c r="KA83" s="140">
        <f t="shared" si="282"/>
        <v>0</v>
      </c>
      <c r="KB83" s="158"/>
      <c r="KC83" s="528"/>
      <c r="KD83" s="143" t="s">
        <v>80</v>
      </c>
      <c r="KE83" s="144">
        <v>6</v>
      </c>
      <c r="KF83" s="160" t="s">
        <v>76</v>
      </c>
      <c r="KG83" s="138">
        <v>19</v>
      </c>
      <c r="KH83" s="170">
        <v>4.3755555555555548</v>
      </c>
      <c r="KI83" s="140">
        <f t="shared" si="283"/>
        <v>83.135555555555541</v>
      </c>
      <c r="KJ83" s="158"/>
      <c r="KK83" s="528"/>
      <c r="KL83" s="143" t="s">
        <v>80</v>
      </c>
      <c r="KM83" s="144">
        <v>22</v>
      </c>
      <c r="KN83" s="160" t="s">
        <v>76</v>
      </c>
      <c r="KO83" s="138">
        <v>7</v>
      </c>
      <c r="KP83" s="170">
        <v>4.3755555555555548</v>
      </c>
      <c r="KQ83" s="140">
        <f t="shared" si="284"/>
        <v>30.628888888888884</v>
      </c>
      <c r="KR83" s="158"/>
      <c r="KS83" s="528"/>
      <c r="KT83" s="143" t="s">
        <v>80</v>
      </c>
      <c r="KU83" s="144">
        <v>63</v>
      </c>
      <c r="KV83" s="160" t="s">
        <v>76</v>
      </c>
      <c r="KW83" s="138">
        <v>19</v>
      </c>
      <c r="KX83" s="170">
        <v>4.3755555555555548</v>
      </c>
      <c r="KY83" s="140">
        <f t="shared" si="285"/>
        <v>83.135555555555541</v>
      </c>
      <c r="KZ83" s="158"/>
      <c r="LA83" s="528"/>
      <c r="LB83" s="143" t="s">
        <v>80</v>
      </c>
      <c r="LC83" s="144">
        <v>58</v>
      </c>
      <c r="LD83" s="160" t="s">
        <v>76</v>
      </c>
      <c r="LE83" s="138">
        <v>4</v>
      </c>
      <c r="LF83" s="170">
        <v>4.3755555555555548</v>
      </c>
      <c r="LG83" s="140">
        <f t="shared" si="286"/>
        <v>17.502222222222219</v>
      </c>
      <c r="LH83" s="158"/>
      <c r="LI83" s="528"/>
      <c r="LJ83" s="143" t="s">
        <v>80</v>
      </c>
      <c r="LK83" s="144">
        <v>69</v>
      </c>
      <c r="LL83" s="160" t="s">
        <v>76</v>
      </c>
      <c r="LM83" s="175">
        <v>0</v>
      </c>
      <c r="LN83" s="139">
        <v>4.3755555555555548</v>
      </c>
      <c r="LO83" s="140">
        <f t="shared" si="287"/>
        <v>0</v>
      </c>
      <c r="LP83" s="158"/>
      <c r="LQ83" s="528"/>
      <c r="LR83" s="143" t="s">
        <v>80</v>
      </c>
      <c r="LS83" s="144">
        <v>52</v>
      </c>
      <c r="LT83" s="160" t="s">
        <v>76</v>
      </c>
      <c r="LU83" s="175">
        <v>7</v>
      </c>
      <c r="LV83" s="139">
        <v>4.3755555555555548</v>
      </c>
      <c r="LW83" s="140">
        <f t="shared" si="288"/>
        <v>30.628888888888884</v>
      </c>
      <c r="LX83" s="158"/>
      <c r="LY83" s="528"/>
      <c r="LZ83" s="143" t="s">
        <v>80</v>
      </c>
      <c r="MA83" s="144">
        <v>55</v>
      </c>
      <c r="MB83" s="160" t="s">
        <v>76</v>
      </c>
      <c r="MC83" s="175">
        <v>14</v>
      </c>
      <c r="MD83" s="139">
        <v>4.3755555555555548</v>
      </c>
      <c r="ME83" s="140">
        <f t="shared" si="289"/>
        <v>61.257777777777768</v>
      </c>
      <c r="MF83" s="158"/>
      <c r="MG83" s="528"/>
      <c r="MH83" s="143" t="s">
        <v>80</v>
      </c>
      <c r="MI83" s="144">
        <v>95</v>
      </c>
      <c r="MJ83" s="160" t="s">
        <v>76</v>
      </c>
      <c r="MK83" s="175">
        <v>11</v>
      </c>
      <c r="ML83" s="139">
        <v>4.3755555555555548</v>
      </c>
      <c r="MM83" s="140">
        <f t="shared" si="290"/>
        <v>48.131111111111103</v>
      </c>
      <c r="MN83" s="158"/>
      <c r="MO83" s="528"/>
      <c r="MP83" s="143" t="s">
        <v>80</v>
      </c>
      <c r="MQ83" s="144">
        <v>55</v>
      </c>
      <c r="MR83" s="160" t="s">
        <v>76</v>
      </c>
      <c r="MS83" s="175">
        <v>8</v>
      </c>
      <c r="MT83" s="139">
        <v>4.3755555555555548</v>
      </c>
      <c r="MU83" s="140">
        <f t="shared" si="291"/>
        <v>35.004444444444438</v>
      </c>
      <c r="MV83" s="158"/>
      <c r="MW83" s="528"/>
      <c r="MX83" s="143" t="s">
        <v>69</v>
      </c>
      <c r="MY83" s="144">
        <v>9</v>
      </c>
      <c r="MZ83" s="137" t="s">
        <v>70</v>
      </c>
      <c r="NA83" s="175">
        <v>14</v>
      </c>
      <c r="NB83" s="148">
        <v>9.9903614457831331</v>
      </c>
      <c r="NC83" s="140">
        <f t="shared" si="292"/>
        <v>139.86506024096386</v>
      </c>
      <c r="ND83" s="149"/>
      <c r="NE83" s="528"/>
      <c r="NF83" s="143" t="s">
        <v>69</v>
      </c>
      <c r="NG83" s="144">
        <v>5</v>
      </c>
      <c r="NH83" s="137" t="s">
        <v>70</v>
      </c>
      <c r="NI83" s="175">
        <v>7</v>
      </c>
      <c r="NJ83" s="148">
        <v>9.9903614457831331</v>
      </c>
      <c r="NK83" s="140">
        <f t="shared" si="293"/>
        <v>69.932530120481928</v>
      </c>
      <c r="NL83" s="149"/>
      <c r="NM83" s="528"/>
      <c r="NN83" s="143" t="s">
        <v>69</v>
      </c>
      <c r="NO83" s="144">
        <v>4</v>
      </c>
      <c r="NP83" s="137" t="s">
        <v>70</v>
      </c>
      <c r="NQ83" s="175">
        <v>24</v>
      </c>
      <c r="NR83" s="148">
        <v>9.9903614457831331</v>
      </c>
      <c r="NS83" s="140">
        <f t="shared" si="294"/>
        <v>239.76867469879519</v>
      </c>
      <c r="NT83" s="149"/>
      <c r="NU83" s="528"/>
      <c r="NV83" s="143" t="s">
        <v>69</v>
      </c>
      <c r="NW83" s="144">
        <v>4</v>
      </c>
      <c r="NX83" s="137" t="s">
        <v>70</v>
      </c>
      <c r="NY83" s="175">
        <v>13</v>
      </c>
      <c r="NZ83" s="148">
        <v>9.9903614457831331</v>
      </c>
      <c r="OA83" s="140">
        <f t="shared" si="295"/>
        <v>129.87469879518073</v>
      </c>
      <c r="OB83" s="149"/>
      <c r="OC83" s="528"/>
      <c r="OD83" s="143" t="s">
        <v>69</v>
      </c>
      <c r="OE83" s="144">
        <v>13</v>
      </c>
      <c r="OF83" s="137" t="s">
        <v>70</v>
      </c>
      <c r="OG83" s="175">
        <v>61</v>
      </c>
      <c r="OH83" s="148">
        <v>9.9903614457831331</v>
      </c>
      <c r="OI83" s="140">
        <f t="shared" si="296"/>
        <v>609.41204819277107</v>
      </c>
      <c r="OJ83" s="149"/>
      <c r="OK83" s="528"/>
      <c r="OL83" s="143" t="s">
        <v>69</v>
      </c>
      <c r="OM83" s="144">
        <v>4</v>
      </c>
      <c r="ON83" s="137" t="s">
        <v>70</v>
      </c>
      <c r="OO83" s="175">
        <v>4</v>
      </c>
      <c r="OP83" s="148">
        <v>9.9903614457831331</v>
      </c>
      <c r="OQ83" s="140">
        <f t="shared" si="297"/>
        <v>39.961445783132532</v>
      </c>
      <c r="OR83" s="149"/>
      <c r="OS83" s="528"/>
      <c r="OT83" s="143" t="s">
        <v>69</v>
      </c>
      <c r="OU83" s="144"/>
      <c r="OV83" s="137" t="s">
        <v>70</v>
      </c>
      <c r="OW83" s="175"/>
      <c r="OX83" s="148">
        <v>9.9903614457831331</v>
      </c>
      <c r="OY83" s="140">
        <f t="shared" si="298"/>
        <v>0</v>
      </c>
      <c r="OZ83" s="149"/>
      <c r="PA83" s="528"/>
      <c r="PB83" s="143" t="s">
        <v>69</v>
      </c>
      <c r="PC83" s="144">
        <v>1</v>
      </c>
      <c r="PD83" s="137" t="s">
        <v>70</v>
      </c>
      <c r="PE83" s="175">
        <v>3</v>
      </c>
      <c r="PF83" s="148">
        <v>9.9903614457831331</v>
      </c>
      <c r="PG83" s="140">
        <f t="shared" si="299"/>
        <v>29.971084337349399</v>
      </c>
      <c r="PH83" s="149"/>
      <c r="PI83" s="528"/>
      <c r="PJ83" s="143" t="s">
        <v>69</v>
      </c>
      <c r="PK83" s="144">
        <v>7</v>
      </c>
      <c r="PL83" s="137" t="s">
        <v>70</v>
      </c>
      <c r="PM83" s="175">
        <v>17</v>
      </c>
      <c r="PN83" s="148">
        <v>9.9903614457831331</v>
      </c>
      <c r="PO83" s="140">
        <f t="shared" si="300"/>
        <v>169.83614457831325</v>
      </c>
      <c r="PP83" s="149"/>
      <c r="PQ83" s="528"/>
      <c r="PR83" s="143" t="s">
        <v>69</v>
      </c>
      <c r="PS83" s="144">
        <v>5</v>
      </c>
      <c r="PT83" s="137" t="s">
        <v>70</v>
      </c>
      <c r="PU83" s="175">
        <v>18</v>
      </c>
      <c r="PV83" s="148">
        <v>9.9903614457831331</v>
      </c>
      <c r="PW83" s="140">
        <f t="shared" si="301"/>
        <v>179.8265060240964</v>
      </c>
      <c r="PX83" s="149"/>
      <c r="PY83" s="528"/>
      <c r="PZ83" s="143" t="s">
        <v>69</v>
      </c>
      <c r="QA83" s="144">
        <v>3</v>
      </c>
      <c r="QB83" s="137" t="s">
        <v>70</v>
      </c>
      <c r="QC83" s="175">
        <v>5</v>
      </c>
      <c r="QD83" s="148">
        <v>9.9903614457831331</v>
      </c>
      <c r="QE83" s="140">
        <f t="shared" si="302"/>
        <v>49.951807228915669</v>
      </c>
      <c r="QF83" s="149"/>
      <c r="QG83" s="528"/>
      <c r="QH83" s="143" t="s">
        <v>69</v>
      </c>
      <c r="QI83" s="144">
        <v>4</v>
      </c>
      <c r="QJ83" s="137" t="s">
        <v>70</v>
      </c>
      <c r="QK83" s="175">
        <v>21</v>
      </c>
      <c r="QL83" s="148">
        <v>9.9903614457831331</v>
      </c>
      <c r="QM83" s="140">
        <f t="shared" si="303"/>
        <v>209.7975903614458</v>
      </c>
      <c r="QN83" s="149"/>
      <c r="QO83" s="528"/>
      <c r="QP83" s="143" t="s">
        <v>69</v>
      </c>
      <c r="QQ83" s="144">
        <v>9</v>
      </c>
      <c r="QR83" s="137" t="s">
        <v>70</v>
      </c>
      <c r="QS83" s="175">
        <v>28</v>
      </c>
      <c r="QT83" s="148">
        <v>9.9903614457831331</v>
      </c>
      <c r="QU83" s="140">
        <f t="shared" si="304"/>
        <v>279.73012048192771</v>
      </c>
      <c r="QV83" s="149"/>
      <c r="QW83" s="528"/>
      <c r="QX83" s="143" t="s">
        <v>69</v>
      </c>
      <c r="QY83" s="144"/>
      <c r="QZ83" s="137" t="s">
        <v>70</v>
      </c>
      <c r="RA83" s="175"/>
      <c r="RB83" s="148">
        <v>9.9903614457831331</v>
      </c>
      <c r="RC83" s="140">
        <f t="shared" si="305"/>
        <v>0</v>
      </c>
      <c r="RD83" s="149"/>
      <c r="RE83" s="528"/>
      <c r="RF83" s="143" t="s">
        <v>69</v>
      </c>
      <c r="RG83" s="144"/>
      <c r="RH83" s="137" t="s">
        <v>70</v>
      </c>
      <c r="RI83" s="175"/>
      <c r="RJ83" s="148">
        <v>9.9903614457831331</v>
      </c>
      <c r="RK83" s="140">
        <f t="shared" si="306"/>
        <v>0</v>
      </c>
      <c r="RL83" s="149"/>
      <c r="RM83" s="528"/>
      <c r="RN83" s="143" t="s">
        <v>69</v>
      </c>
      <c r="RO83" s="144">
        <v>12</v>
      </c>
      <c r="RP83" s="137" t="s">
        <v>70</v>
      </c>
      <c r="RQ83" s="175">
        <v>66</v>
      </c>
      <c r="RR83" s="148">
        <v>9.9903614457831331</v>
      </c>
      <c r="RS83" s="140">
        <f t="shared" si="307"/>
        <v>659.36385542168682</v>
      </c>
      <c r="RT83" s="149"/>
      <c r="RU83" s="528"/>
      <c r="RV83" s="143" t="s">
        <v>69</v>
      </c>
      <c r="RW83" s="144">
        <v>21</v>
      </c>
      <c r="RX83" s="137" t="s">
        <v>70</v>
      </c>
      <c r="RY83" s="175">
        <v>132</v>
      </c>
      <c r="RZ83" s="148">
        <v>9.9903614457831331</v>
      </c>
      <c r="SA83" s="140">
        <f t="shared" si="308"/>
        <v>1318.7277108433736</v>
      </c>
      <c r="SB83" s="149"/>
      <c r="SC83" s="528"/>
      <c r="SD83" s="143" t="s">
        <v>69</v>
      </c>
      <c r="SE83" s="144">
        <v>20</v>
      </c>
      <c r="SF83" s="137" t="s">
        <v>70</v>
      </c>
      <c r="SG83" s="175">
        <v>105</v>
      </c>
      <c r="SH83" s="148">
        <v>9.9903614457831331</v>
      </c>
      <c r="SI83" s="140">
        <f t="shared" si="309"/>
        <v>1048.9879518072289</v>
      </c>
      <c r="SJ83" s="149"/>
      <c r="SK83" s="528"/>
      <c r="SL83" s="143" t="s">
        <v>69</v>
      </c>
      <c r="SM83" s="144">
        <v>16</v>
      </c>
      <c r="SN83" s="137" t="s">
        <v>70</v>
      </c>
      <c r="SO83" s="175">
        <v>66</v>
      </c>
      <c r="SP83" s="148">
        <v>9.9903614457831331</v>
      </c>
      <c r="SQ83" s="140">
        <f t="shared" si="310"/>
        <v>659.36385542168682</v>
      </c>
      <c r="SR83" s="149"/>
      <c r="SS83" s="528"/>
      <c r="ST83" s="143" t="s">
        <v>69</v>
      </c>
      <c r="SU83" s="144">
        <v>18</v>
      </c>
      <c r="SV83" s="137" t="s">
        <v>70</v>
      </c>
      <c r="SW83" s="175">
        <v>95</v>
      </c>
      <c r="SX83" s="148">
        <v>9.9903614457831331</v>
      </c>
      <c r="SY83" s="140">
        <f t="shared" si="311"/>
        <v>949.08433734939763</v>
      </c>
      <c r="SZ83" s="149"/>
      <c r="TA83" s="528"/>
      <c r="TB83" s="143" t="s">
        <v>69</v>
      </c>
      <c r="TC83" s="144">
        <v>18</v>
      </c>
      <c r="TD83" s="137" t="s">
        <v>70</v>
      </c>
      <c r="TE83" s="175">
        <v>116</v>
      </c>
      <c r="TF83" s="148">
        <v>9.9903614457831331</v>
      </c>
      <c r="TG83" s="140">
        <f t="shared" si="312"/>
        <v>1158.8819277108435</v>
      </c>
      <c r="TH83" s="149"/>
      <c r="TI83" s="528"/>
    </row>
    <row r="84" spans="2:529">
      <c r="B84" s="145"/>
      <c r="C84" s="146"/>
      <c r="D84" s="157" t="s">
        <v>77</v>
      </c>
      <c r="E84" s="138">
        <v>143</v>
      </c>
      <c r="F84" s="170">
        <v>4.104857142857143</v>
      </c>
      <c r="G84" s="140">
        <f t="shared" si="247"/>
        <v>586.99457142857148</v>
      </c>
      <c r="H84" s="158"/>
      <c r="I84" s="528"/>
      <c r="J84" s="145"/>
      <c r="K84" s="146"/>
      <c r="L84" s="157" t="s">
        <v>77</v>
      </c>
      <c r="M84" s="138">
        <v>107</v>
      </c>
      <c r="N84" s="170">
        <v>4.104857142857143</v>
      </c>
      <c r="O84" s="140">
        <f t="shared" si="248"/>
        <v>439.2197142857143</v>
      </c>
      <c r="P84" s="158"/>
      <c r="Q84" s="528"/>
      <c r="R84" s="145"/>
      <c r="S84" s="146"/>
      <c r="T84" s="157" t="s">
        <v>77</v>
      </c>
      <c r="U84" s="138">
        <v>0</v>
      </c>
      <c r="V84" s="170">
        <v>4.104857142857143</v>
      </c>
      <c r="W84" s="140">
        <f t="shared" si="249"/>
        <v>0</v>
      </c>
      <c r="X84" s="158"/>
      <c r="Y84" s="528"/>
      <c r="Z84" s="145"/>
      <c r="AA84" s="146"/>
      <c r="AB84" s="157" t="s">
        <v>77</v>
      </c>
      <c r="AC84" s="138">
        <v>50</v>
      </c>
      <c r="AD84" s="170">
        <v>4.104857142857143</v>
      </c>
      <c r="AE84" s="140">
        <f t="shared" si="250"/>
        <v>205.24285714285716</v>
      </c>
      <c r="AF84" s="158"/>
      <c r="AG84" s="528"/>
      <c r="AH84" s="145"/>
      <c r="AI84" s="146"/>
      <c r="AJ84" s="157" t="s">
        <v>77</v>
      </c>
      <c r="AK84" s="138">
        <v>0</v>
      </c>
      <c r="AL84" s="170">
        <v>4.104857142857143</v>
      </c>
      <c r="AM84" s="140">
        <f t="shared" si="251"/>
        <v>0</v>
      </c>
      <c r="AN84" s="158"/>
      <c r="AO84" s="528"/>
      <c r="AP84" s="145"/>
      <c r="AQ84" s="146"/>
      <c r="AR84" s="157" t="s">
        <v>77</v>
      </c>
      <c r="AS84" s="138">
        <v>24</v>
      </c>
      <c r="AT84" s="170">
        <v>4.104857142857143</v>
      </c>
      <c r="AU84" s="140">
        <f t="shared" si="252"/>
        <v>98.516571428571439</v>
      </c>
      <c r="AV84" s="158"/>
      <c r="AW84" s="528"/>
      <c r="AX84" s="145"/>
      <c r="AY84" s="146"/>
      <c r="AZ84" s="157" t="s">
        <v>77</v>
      </c>
      <c r="BA84" s="138"/>
      <c r="BB84" s="170">
        <v>4.104857142857143</v>
      </c>
      <c r="BC84" s="140">
        <f t="shared" si="253"/>
        <v>0</v>
      </c>
      <c r="BD84" s="158"/>
      <c r="BE84" s="528"/>
      <c r="BF84" s="145"/>
      <c r="BG84" s="146"/>
      <c r="BH84" s="157" t="s">
        <v>77</v>
      </c>
      <c r="BI84" s="138">
        <v>80</v>
      </c>
      <c r="BJ84" s="170">
        <v>4.104857142857143</v>
      </c>
      <c r="BK84" s="140">
        <f t="shared" si="254"/>
        <v>328.38857142857142</v>
      </c>
      <c r="BL84" s="158"/>
      <c r="BM84" s="528"/>
      <c r="BN84" s="145"/>
      <c r="BO84" s="146"/>
      <c r="BP84" s="157" t="s">
        <v>77</v>
      </c>
      <c r="BQ84" s="138">
        <v>12</v>
      </c>
      <c r="BR84" s="170">
        <v>4.104857142857143</v>
      </c>
      <c r="BS84" s="140">
        <f t="shared" si="255"/>
        <v>49.258285714285719</v>
      </c>
      <c r="BT84" s="158"/>
      <c r="BU84" s="528"/>
      <c r="BV84" s="536"/>
      <c r="BW84" s="537"/>
      <c r="BX84" s="574" t="s">
        <v>77</v>
      </c>
      <c r="BY84" s="560"/>
      <c r="BZ84" s="585">
        <v>4.104857142857143</v>
      </c>
      <c r="CA84" s="562">
        <f t="shared" si="256"/>
        <v>0</v>
      </c>
      <c r="CB84" s="540"/>
      <c r="CC84" s="528"/>
      <c r="CD84" s="536"/>
      <c r="CE84" s="537"/>
      <c r="CF84" s="574" t="s">
        <v>77</v>
      </c>
      <c r="CG84" s="560"/>
      <c r="CH84" s="585">
        <v>4.104857142857143</v>
      </c>
      <c r="CI84" s="562">
        <f t="shared" si="257"/>
        <v>0</v>
      </c>
      <c r="CJ84" s="540"/>
      <c r="CK84" s="528"/>
      <c r="CL84" s="145"/>
      <c r="CM84" s="146"/>
      <c r="CN84" s="157" t="s">
        <v>77</v>
      </c>
      <c r="CO84" s="138"/>
      <c r="CP84" s="170">
        <v>4.104857142857143</v>
      </c>
      <c r="CQ84" s="140">
        <f t="shared" si="258"/>
        <v>0</v>
      </c>
      <c r="CR84" s="158"/>
      <c r="CS84" s="528"/>
      <c r="CT84" s="145"/>
      <c r="CU84" s="146"/>
      <c r="CV84" s="157" t="s">
        <v>77</v>
      </c>
      <c r="CW84" s="138">
        <v>40</v>
      </c>
      <c r="CX84" s="170">
        <v>4.104857142857143</v>
      </c>
      <c r="CY84" s="140">
        <f t="shared" si="259"/>
        <v>164.19428571428571</v>
      </c>
      <c r="CZ84" s="158"/>
      <c r="DA84" s="528"/>
      <c r="DB84" s="145"/>
      <c r="DC84" s="146"/>
      <c r="DD84" s="157" t="s">
        <v>77</v>
      </c>
      <c r="DE84" s="138"/>
      <c r="DF84" s="170">
        <v>4.104857142857143</v>
      </c>
      <c r="DG84" s="140">
        <f t="shared" si="260"/>
        <v>0</v>
      </c>
      <c r="DH84" s="158"/>
      <c r="DI84" s="528"/>
      <c r="DJ84" s="145"/>
      <c r="DK84" s="146"/>
      <c r="DL84" s="157" t="s">
        <v>77</v>
      </c>
      <c r="DM84" s="138">
        <v>0</v>
      </c>
      <c r="DN84" s="170">
        <v>4.104857142857143</v>
      </c>
      <c r="DO84" s="140">
        <f t="shared" si="261"/>
        <v>0</v>
      </c>
      <c r="DP84" s="158"/>
      <c r="DQ84" s="528"/>
      <c r="DR84" s="145"/>
      <c r="DS84" s="146"/>
      <c r="DT84" s="157" t="s">
        <v>77</v>
      </c>
      <c r="DU84" s="138">
        <v>63</v>
      </c>
      <c r="DV84" s="170">
        <v>4.104857142857143</v>
      </c>
      <c r="DW84" s="140">
        <f t="shared" si="262"/>
        <v>258.60599999999999</v>
      </c>
      <c r="DX84" s="158"/>
      <c r="DY84" s="528"/>
      <c r="DZ84" s="145"/>
      <c r="EA84" s="146"/>
      <c r="EB84" s="157" t="s">
        <v>77</v>
      </c>
      <c r="EC84" s="138">
        <v>87</v>
      </c>
      <c r="ED84" s="170">
        <v>4.104857142857143</v>
      </c>
      <c r="EE84" s="140">
        <f t="shared" si="263"/>
        <v>357.12257142857146</v>
      </c>
      <c r="EF84" s="158"/>
      <c r="EG84" s="528"/>
      <c r="EH84" s="145"/>
      <c r="EI84" s="146"/>
      <c r="EJ84" s="157" t="s">
        <v>77</v>
      </c>
      <c r="EK84" s="138">
        <v>72</v>
      </c>
      <c r="EL84" s="170">
        <v>4.104857142857143</v>
      </c>
      <c r="EM84" s="140">
        <f t="shared" si="264"/>
        <v>295.54971428571429</v>
      </c>
      <c r="EN84" s="158"/>
      <c r="EO84" s="528"/>
      <c r="EP84" s="145"/>
      <c r="EQ84" s="146"/>
      <c r="ER84" s="157" t="s">
        <v>77</v>
      </c>
      <c r="ES84" s="138">
        <v>0</v>
      </c>
      <c r="ET84" s="170">
        <v>4.104857142857143</v>
      </c>
      <c r="EU84" s="140">
        <f t="shared" si="265"/>
        <v>0</v>
      </c>
      <c r="EV84" s="158"/>
      <c r="EW84" s="528"/>
      <c r="EX84" s="145"/>
      <c r="EY84" s="146"/>
      <c r="EZ84" s="157" t="s">
        <v>77</v>
      </c>
      <c r="FA84" s="138"/>
      <c r="FB84" s="170">
        <v>4.104857142857143</v>
      </c>
      <c r="FC84" s="140">
        <f t="shared" si="266"/>
        <v>0</v>
      </c>
      <c r="FD84" s="158"/>
      <c r="FE84" s="528"/>
      <c r="FF84" s="145"/>
      <c r="FG84" s="146"/>
      <c r="FH84" s="157" t="s">
        <v>77</v>
      </c>
      <c r="FI84" s="138"/>
      <c r="FJ84" s="170">
        <v>4.104857142857143</v>
      </c>
      <c r="FK84" s="140">
        <f t="shared" si="267"/>
        <v>0</v>
      </c>
      <c r="FL84" s="158"/>
      <c r="FM84" s="528"/>
      <c r="FN84" s="145"/>
      <c r="FO84" s="146"/>
      <c r="FP84" s="157" t="s">
        <v>77</v>
      </c>
      <c r="FQ84" s="138"/>
      <c r="FR84" s="170">
        <v>4.104857142857143</v>
      </c>
      <c r="FS84" s="140">
        <f t="shared" si="268"/>
        <v>0</v>
      </c>
      <c r="FT84" s="158"/>
      <c r="FU84" s="528"/>
      <c r="FV84" s="145"/>
      <c r="FW84" s="146"/>
      <c r="FX84" s="157" t="s">
        <v>77</v>
      </c>
      <c r="FY84" s="138"/>
      <c r="FZ84" s="170">
        <v>4.104857142857143</v>
      </c>
      <c r="GA84" s="140">
        <f t="shared" si="269"/>
        <v>0</v>
      </c>
      <c r="GB84" s="158"/>
      <c r="GC84" s="528"/>
      <c r="GD84" s="145"/>
      <c r="GE84" s="146"/>
      <c r="GF84" s="157" t="s">
        <v>77</v>
      </c>
      <c r="GG84" s="138"/>
      <c r="GH84" s="170">
        <v>4.104857142857143</v>
      </c>
      <c r="GI84" s="140">
        <f t="shared" si="270"/>
        <v>0</v>
      </c>
      <c r="GJ84" s="158"/>
      <c r="GK84" s="528"/>
      <c r="GL84" s="145"/>
      <c r="GM84" s="146"/>
      <c r="GN84" s="157" t="s">
        <v>77</v>
      </c>
      <c r="GO84" s="138">
        <f>'[1]Jan_18_Vol weekly-Data-Entry'!$Y$226</f>
        <v>0</v>
      </c>
      <c r="GP84" s="170">
        <v>4.104857142857143</v>
      </c>
      <c r="GQ84" s="140">
        <f t="shared" si="271"/>
        <v>0</v>
      </c>
      <c r="GR84" s="158"/>
      <c r="GS84" s="528"/>
      <c r="GT84" s="145"/>
      <c r="GU84" s="146"/>
      <c r="GV84" s="157" t="s">
        <v>77</v>
      </c>
      <c r="GW84" s="138">
        <v>24</v>
      </c>
      <c r="GX84" s="170">
        <v>4.104857142857143</v>
      </c>
      <c r="GY84" s="140">
        <f t="shared" si="272"/>
        <v>98.516571428571439</v>
      </c>
      <c r="GZ84" s="158"/>
      <c r="HA84" s="528"/>
      <c r="HB84" s="145"/>
      <c r="HC84" s="146"/>
      <c r="HD84" s="157" t="s">
        <v>77</v>
      </c>
      <c r="HE84" s="138">
        <v>0</v>
      </c>
      <c r="HF84" s="170">
        <v>4.104857142857143</v>
      </c>
      <c r="HG84" s="140">
        <f t="shared" si="273"/>
        <v>0</v>
      </c>
      <c r="HH84" s="158"/>
      <c r="HI84" s="528"/>
      <c r="HJ84" s="145"/>
      <c r="HK84" s="146"/>
      <c r="HL84" s="157" t="s">
        <v>77</v>
      </c>
      <c r="HM84" s="138">
        <v>420</v>
      </c>
      <c r="HN84" s="170">
        <v>4.104857142857143</v>
      </c>
      <c r="HO84" s="140">
        <f t="shared" si="274"/>
        <v>1724.04</v>
      </c>
      <c r="HP84" s="158"/>
      <c r="HQ84" s="528"/>
      <c r="HR84" s="145"/>
      <c r="HS84" s="146"/>
      <c r="HT84" s="157" t="s">
        <v>77</v>
      </c>
      <c r="HU84" s="138">
        <v>465</v>
      </c>
      <c r="HV84" s="170">
        <v>4.104857142857143</v>
      </c>
      <c r="HW84" s="140">
        <f t="shared" si="275"/>
        <v>1908.7585714285715</v>
      </c>
      <c r="HX84" s="158"/>
      <c r="HY84" s="528"/>
      <c r="HZ84" s="145"/>
      <c r="IA84" s="146"/>
      <c r="IB84" s="157" t="s">
        <v>77</v>
      </c>
      <c r="IC84" s="138">
        <v>417</v>
      </c>
      <c r="ID84" s="170">
        <v>4.104857142857143</v>
      </c>
      <c r="IE84" s="140">
        <f t="shared" si="276"/>
        <v>1711.7254285714287</v>
      </c>
      <c r="IF84" s="158"/>
      <c r="IG84" s="528"/>
      <c r="IH84" s="145"/>
      <c r="II84" s="146"/>
      <c r="IJ84" s="157" t="s">
        <v>77</v>
      </c>
      <c r="IK84" s="138">
        <v>0</v>
      </c>
      <c r="IL84" s="170">
        <v>4.104857142857143</v>
      </c>
      <c r="IM84" s="140">
        <f t="shared" si="277"/>
        <v>0</v>
      </c>
      <c r="IN84" s="158"/>
      <c r="IO84" s="528"/>
      <c r="IP84" s="145"/>
      <c r="IQ84" s="146"/>
      <c r="IR84" s="157" t="s">
        <v>77</v>
      </c>
      <c r="IS84" s="138">
        <v>344</v>
      </c>
      <c r="IT84" s="170">
        <v>4.104857142857143</v>
      </c>
      <c r="IU84" s="140">
        <f t="shared" si="278"/>
        <v>1412.0708571428572</v>
      </c>
      <c r="IV84" s="158"/>
      <c r="IW84" s="528"/>
      <c r="IX84" s="145"/>
      <c r="IY84" s="146"/>
      <c r="IZ84" s="157" t="s">
        <v>77</v>
      </c>
      <c r="JA84" s="138">
        <v>164</v>
      </c>
      <c r="JB84" s="170">
        <v>4.104857142857143</v>
      </c>
      <c r="JC84" s="140">
        <f t="shared" si="279"/>
        <v>673.19657142857147</v>
      </c>
      <c r="JD84" s="158"/>
      <c r="JE84" s="528"/>
      <c r="JF84" s="145"/>
      <c r="JG84" s="146"/>
      <c r="JH84" s="157" t="s">
        <v>77</v>
      </c>
      <c r="JI84" s="138">
        <v>13</v>
      </c>
      <c r="JJ84" s="170">
        <v>4.104857142857143</v>
      </c>
      <c r="JK84" s="140">
        <f t="shared" si="280"/>
        <v>53.363142857142861</v>
      </c>
      <c r="JL84" s="158"/>
      <c r="JM84" s="528"/>
      <c r="JN84" s="145"/>
      <c r="JO84" s="146"/>
      <c r="JP84" s="157" t="s">
        <v>77</v>
      </c>
      <c r="JQ84" s="138">
        <v>0</v>
      </c>
      <c r="JR84" s="170">
        <v>4.104857142857143</v>
      </c>
      <c r="JS84" s="140">
        <f t="shared" si="281"/>
        <v>0</v>
      </c>
      <c r="JT84" s="158"/>
      <c r="JU84" s="528"/>
      <c r="JV84" s="145"/>
      <c r="JW84" s="146"/>
      <c r="JX84" s="157" t="s">
        <v>77</v>
      </c>
      <c r="JY84" s="138">
        <v>0</v>
      </c>
      <c r="JZ84" s="170">
        <v>4.104857142857143</v>
      </c>
      <c r="KA84" s="140">
        <f t="shared" si="282"/>
        <v>0</v>
      </c>
      <c r="KB84" s="158"/>
      <c r="KC84" s="528"/>
      <c r="KD84" s="145"/>
      <c r="KE84" s="146"/>
      <c r="KF84" s="157" t="s">
        <v>77</v>
      </c>
      <c r="KG84" s="138">
        <v>0</v>
      </c>
      <c r="KH84" s="170">
        <v>4.104857142857143</v>
      </c>
      <c r="KI84" s="140">
        <f t="shared" si="283"/>
        <v>0</v>
      </c>
      <c r="KJ84" s="158"/>
      <c r="KK84" s="528"/>
      <c r="KL84" s="145"/>
      <c r="KM84" s="146"/>
      <c r="KN84" s="157" t="s">
        <v>77</v>
      </c>
      <c r="KO84" s="138">
        <v>107</v>
      </c>
      <c r="KP84" s="170">
        <v>4.104857142857143</v>
      </c>
      <c r="KQ84" s="140">
        <f t="shared" si="284"/>
        <v>439.2197142857143</v>
      </c>
      <c r="KR84" s="158"/>
      <c r="KS84" s="528"/>
      <c r="KT84" s="145"/>
      <c r="KU84" s="146"/>
      <c r="KV84" s="157" t="s">
        <v>77</v>
      </c>
      <c r="KW84" s="138">
        <v>234</v>
      </c>
      <c r="KX84" s="170">
        <v>4.104857142857143</v>
      </c>
      <c r="KY84" s="140">
        <f t="shared" si="285"/>
        <v>960.53657142857151</v>
      </c>
      <c r="KZ84" s="158"/>
      <c r="LA84" s="528"/>
      <c r="LB84" s="145"/>
      <c r="LC84" s="146"/>
      <c r="LD84" s="157" t="s">
        <v>77</v>
      </c>
      <c r="LE84" s="138">
        <v>0</v>
      </c>
      <c r="LF84" s="170">
        <v>4.104857142857143</v>
      </c>
      <c r="LG84" s="140">
        <f t="shared" si="286"/>
        <v>0</v>
      </c>
      <c r="LH84" s="158"/>
      <c r="LI84" s="528"/>
      <c r="LJ84" s="145"/>
      <c r="LK84" s="146"/>
      <c r="LL84" s="157" t="s">
        <v>77</v>
      </c>
      <c r="LM84" s="175">
        <v>723</v>
      </c>
      <c r="LN84" s="139">
        <v>4.104857142857143</v>
      </c>
      <c r="LO84" s="140">
        <f t="shared" si="287"/>
        <v>2967.8117142857145</v>
      </c>
      <c r="LP84" s="158"/>
      <c r="LQ84" s="528"/>
      <c r="LR84" s="145"/>
      <c r="LS84" s="146"/>
      <c r="LT84" s="157" t="s">
        <v>77</v>
      </c>
      <c r="LU84" s="175">
        <v>92</v>
      </c>
      <c r="LV84" s="139">
        <v>4.104857142857143</v>
      </c>
      <c r="LW84" s="140">
        <f t="shared" si="288"/>
        <v>377.64685714285713</v>
      </c>
      <c r="LX84" s="158"/>
      <c r="LY84" s="528"/>
      <c r="LZ84" s="145"/>
      <c r="MA84" s="146"/>
      <c r="MB84" s="157" t="s">
        <v>77</v>
      </c>
      <c r="MC84" s="175">
        <v>117</v>
      </c>
      <c r="MD84" s="139">
        <v>4.104857142857143</v>
      </c>
      <c r="ME84" s="140">
        <f t="shared" si="289"/>
        <v>480.26828571428575</v>
      </c>
      <c r="MF84" s="158"/>
      <c r="MG84" s="528"/>
      <c r="MH84" s="145"/>
      <c r="MI84" s="146"/>
      <c r="MJ84" s="157" t="s">
        <v>77</v>
      </c>
      <c r="MK84" s="175">
        <v>398</v>
      </c>
      <c r="ML84" s="139">
        <v>4.104857142857143</v>
      </c>
      <c r="MM84" s="140">
        <f t="shared" si="290"/>
        <v>1633.7331428571429</v>
      </c>
      <c r="MN84" s="158"/>
      <c r="MO84" s="528"/>
      <c r="MP84" s="145"/>
      <c r="MQ84" s="146"/>
      <c r="MR84" s="157" t="s">
        <v>77</v>
      </c>
      <c r="MS84" s="175">
        <v>185</v>
      </c>
      <c r="MT84" s="139">
        <v>4.104857142857143</v>
      </c>
      <c r="MU84" s="140">
        <f t="shared" si="291"/>
        <v>759.39857142857147</v>
      </c>
      <c r="MV84" s="158"/>
      <c r="MW84" s="528"/>
      <c r="MX84" s="143"/>
      <c r="MY84" s="146"/>
      <c r="MZ84" s="137" t="s">
        <v>11</v>
      </c>
      <c r="NA84" s="175">
        <v>8</v>
      </c>
      <c r="NB84" s="148">
        <v>3.5994117647058825</v>
      </c>
      <c r="NC84" s="140">
        <f t="shared" si="292"/>
        <v>28.79529411764706</v>
      </c>
      <c r="ND84" s="150"/>
      <c r="NE84" s="528"/>
      <c r="NF84" s="143"/>
      <c r="NG84" s="146"/>
      <c r="NH84" s="137" t="s">
        <v>11</v>
      </c>
      <c r="NI84" s="175">
        <v>1</v>
      </c>
      <c r="NJ84" s="148">
        <v>3.5994117647058825</v>
      </c>
      <c r="NK84" s="140">
        <f t="shared" si="293"/>
        <v>3.5994117647058825</v>
      </c>
      <c r="NL84" s="150"/>
      <c r="NM84" s="528"/>
      <c r="NN84" s="143"/>
      <c r="NO84" s="146"/>
      <c r="NP84" s="137" t="s">
        <v>11</v>
      </c>
      <c r="NQ84" s="175"/>
      <c r="NR84" s="148">
        <v>3.5994117647058825</v>
      </c>
      <c r="NS84" s="140">
        <f t="shared" si="294"/>
        <v>0</v>
      </c>
      <c r="NT84" s="150"/>
      <c r="NU84" s="528"/>
      <c r="NV84" s="143"/>
      <c r="NW84" s="146"/>
      <c r="NX84" s="137" t="s">
        <v>11</v>
      </c>
      <c r="NY84" s="175"/>
      <c r="NZ84" s="148">
        <v>3.5994117647058825</v>
      </c>
      <c r="OA84" s="140">
        <f t="shared" si="295"/>
        <v>0</v>
      </c>
      <c r="OB84" s="150"/>
      <c r="OC84" s="528"/>
      <c r="OD84" s="143"/>
      <c r="OE84" s="146"/>
      <c r="OF84" s="137" t="s">
        <v>11</v>
      </c>
      <c r="OG84" s="175">
        <v>2</v>
      </c>
      <c r="OH84" s="148">
        <v>3.5994117647058825</v>
      </c>
      <c r="OI84" s="140">
        <f t="shared" si="296"/>
        <v>7.1988235294117651</v>
      </c>
      <c r="OJ84" s="150"/>
      <c r="OK84" s="528"/>
      <c r="OL84" s="143"/>
      <c r="OM84" s="146"/>
      <c r="ON84" s="137" t="s">
        <v>11</v>
      </c>
      <c r="OO84" s="175">
        <v>3</v>
      </c>
      <c r="OP84" s="148">
        <v>3.5994117647058825</v>
      </c>
      <c r="OQ84" s="140">
        <f t="shared" si="297"/>
        <v>10.798235294117648</v>
      </c>
      <c r="OR84" s="150"/>
      <c r="OS84" s="528"/>
      <c r="OT84" s="143"/>
      <c r="OU84" s="146"/>
      <c r="OV84" s="137" t="s">
        <v>11</v>
      </c>
      <c r="OW84" s="175"/>
      <c r="OX84" s="148">
        <v>3.5994117647058825</v>
      </c>
      <c r="OY84" s="140">
        <f t="shared" si="298"/>
        <v>0</v>
      </c>
      <c r="OZ84" s="150"/>
      <c r="PA84" s="528"/>
      <c r="PB84" s="143"/>
      <c r="PC84" s="146"/>
      <c r="PD84" s="137" t="s">
        <v>11</v>
      </c>
      <c r="PE84" s="175"/>
      <c r="PF84" s="148">
        <v>3.5994117647058825</v>
      </c>
      <c r="PG84" s="140">
        <f t="shared" si="299"/>
        <v>0</v>
      </c>
      <c r="PH84" s="150"/>
      <c r="PI84" s="528"/>
      <c r="PJ84" s="143"/>
      <c r="PK84" s="146"/>
      <c r="PL84" s="137" t="s">
        <v>11</v>
      </c>
      <c r="PM84" s="175">
        <v>6</v>
      </c>
      <c r="PN84" s="148">
        <v>3.5994117647058825</v>
      </c>
      <c r="PO84" s="140">
        <f t="shared" si="300"/>
        <v>21.596470588235295</v>
      </c>
      <c r="PP84" s="150"/>
      <c r="PQ84" s="528"/>
      <c r="PR84" s="143"/>
      <c r="PS84" s="146"/>
      <c r="PT84" s="137" t="s">
        <v>11</v>
      </c>
      <c r="PU84" s="175"/>
      <c r="PV84" s="148">
        <v>3.5994117647058825</v>
      </c>
      <c r="PW84" s="140">
        <f t="shared" si="301"/>
        <v>0</v>
      </c>
      <c r="PX84" s="150"/>
      <c r="PY84" s="528"/>
      <c r="PZ84" s="143"/>
      <c r="QA84" s="146"/>
      <c r="QB84" s="137" t="s">
        <v>11</v>
      </c>
      <c r="QC84" s="175"/>
      <c r="QD84" s="148">
        <v>3.5994117647058825</v>
      </c>
      <c r="QE84" s="140">
        <f t="shared" si="302"/>
        <v>0</v>
      </c>
      <c r="QF84" s="150"/>
      <c r="QG84" s="528"/>
      <c r="QH84" s="143"/>
      <c r="QI84" s="146"/>
      <c r="QJ84" s="137" t="s">
        <v>11</v>
      </c>
      <c r="QK84" s="175"/>
      <c r="QL84" s="148">
        <v>3.5994117647058825</v>
      </c>
      <c r="QM84" s="140">
        <f t="shared" si="303"/>
        <v>0</v>
      </c>
      <c r="QN84" s="150"/>
      <c r="QO84" s="528"/>
      <c r="QP84" s="143"/>
      <c r="QQ84" s="146"/>
      <c r="QR84" s="137" t="s">
        <v>11</v>
      </c>
      <c r="QS84" s="175">
        <v>3</v>
      </c>
      <c r="QT84" s="148">
        <v>3.5994117647058825</v>
      </c>
      <c r="QU84" s="140">
        <f t="shared" si="304"/>
        <v>10.798235294117648</v>
      </c>
      <c r="QV84" s="150"/>
      <c r="QW84" s="528"/>
      <c r="QX84" s="143"/>
      <c r="QY84" s="146"/>
      <c r="QZ84" s="137" t="s">
        <v>11</v>
      </c>
      <c r="RA84" s="175"/>
      <c r="RB84" s="148">
        <v>3.5994117647058825</v>
      </c>
      <c r="RC84" s="140">
        <f t="shared" si="305"/>
        <v>0</v>
      </c>
      <c r="RD84" s="150"/>
      <c r="RE84" s="528"/>
      <c r="RF84" s="143"/>
      <c r="RG84" s="146"/>
      <c r="RH84" s="137" t="s">
        <v>11</v>
      </c>
      <c r="RI84" s="175"/>
      <c r="RJ84" s="148">
        <v>3.5994117647058825</v>
      </c>
      <c r="RK84" s="140">
        <f t="shared" si="306"/>
        <v>0</v>
      </c>
      <c r="RL84" s="150"/>
      <c r="RM84" s="528"/>
      <c r="RN84" s="143"/>
      <c r="RO84" s="146"/>
      <c r="RP84" s="137" t="s">
        <v>11</v>
      </c>
      <c r="RQ84" s="175"/>
      <c r="RR84" s="148">
        <v>3.5994117647058825</v>
      </c>
      <c r="RS84" s="140">
        <f t="shared" si="307"/>
        <v>0</v>
      </c>
      <c r="RT84" s="150"/>
      <c r="RU84" s="528"/>
      <c r="RV84" s="143"/>
      <c r="RW84" s="146"/>
      <c r="RX84" s="137" t="s">
        <v>11</v>
      </c>
      <c r="RY84" s="175">
        <v>3</v>
      </c>
      <c r="RZ84" s="148">
        <v>3.5994117647058825</v>
      </c>
      <c r="SA84" s="140">
        <f t="shared" si="308"/>
        <v>10.798235294117648</v>
      </c>
      <c r="SB84" s="150"/>
      <c r="SC84" s="528"/>
      <c r="SD84" s="143"/>
      <c r="SE84" s="146"/>
      <c r="SF84" s="137" t="s">
        <v>11</v>
      </c>
      <c r="SG84" s="175">
        <v>2</v>
      </c>
      <c r="SH84" s="148">
        <v>3.5994117647058825</v>
      </c>
      <c r="SI84" s="140">
        <f t="shared" si="309"/>
        <v>7.1988235294117651</v>
      </c>
      <c r="SJ84" s="150"/>
      <c r="SK84" s="528"/>
      <c r="SL84" s="143"/>
      <c r="SM84" s="146"/>
      <c r="SN84" s="137" t="s">
        <v>11</v>
      </c>
      <c r="SO84" s="175">
        <v>6</v>
      </c>
      <c r="SP84" s="148">
        <v>3.5994117647058825</v>
      </c>
      <c r="SQ84" s="140">
        <f t="shared" si="310"/>
        <v>21.596470588235295</v>
      </c>
      <c r="SR84" s="150"/>
      <c r="SS84" s="528"/>
      <c r="ST84" s="143"/>
      <c r="SU84" s="146"/>
      <c r="SV84" s="137" t="s">
        <v>11</v>
      </c>
      <c r="SW84" s="175"/>
      <c r="SX84" s="148">
        <v>3.5994117647058825</v>
      </c>
      <c r="SY84" s="140">
        <f t="shared" si="311"/>
        <v>0</v>
      </c>
      <c r="SZ84" s="150"/>
      <c r="TA84" s="528"/>
      <c r="TB84" s="143"/>
      <c r="TC84" s="146"/>
      <c r="TD84" s="137" t="s">
        <v>11</v>
      </c>
      <c r="TE84" s="175"/>
      <c r="TF84" s="148">
        <v>3.5994117647058825</v>
      </c>
      <c r="TG84" s="140">
        <f t="shared" si="312"/>
        <v>0</v>
      </c>
      <c r="TH84" s="150"/>
      <c r="TI84" s="528"/>
    </row>
    <row r="85" spans="2:529">
      <c r="B85" s="145"/>
      <c r="C85" s="146"/>
      <c r="D85" s="157" t="s">
        <v>78</v>
      </c>
      <c r="E85" s="138">
        <v>101</v>
      </c>
      <c r="F85" s="170">
        <v>2.5133333333333332</v>
      </c>
      <c r="G85" s="140">
        <f t="shared" si="247"/>
        <v>253.84666666666666</v>
      </c>
      <c r="H85" s="158"/>
      <c r="I85" s="528"/>
      <c r="J85" s="145"/>
      <c r="K85" s="146"/>
      <c r="L85" s="157" t="s">
        <v>78</v>
      </c>
      <c r="M85" s="138">
        <v>2</v>
      </c>
      <c r="N85" s="170">
        <v>2.5133333333333332</v>
      </c>
      <c r="O85" s="140">
        <f t="shared" si="248"/>
        <v>5.0266666666666664</v>
      </c>
      <c r="P85" s="158"/>
      <c r="Q85" s="528"/>
      <c r="R85" s="145"/>
      <c r="S85" s="146"/>
      <c r="T85" s="157" t="s">
        <v>78</v>
      </c>
      <c r="U85" s="138">
        <v>0</v>
      </c>
      <c r="V85" s="170">
        <v>2.5133333333333332</v>
      </c>
      <c r="W85" s="140">
        <f t="shared" si="249"/>
        <v>0</v>
      </c>
      <c r="X85" s="158"/>
      <c r="Y85" s="528"/>
      <c r="Z85" s="145"/>
      <c r="AA85" s="146"/>
      <c r="AB85" s="157" t="s">
        <v>78</v>
      </c>
      <c r="AC85" s="138">
        <v>32</v>
      </c>
      <c r="AD85" s="170">
        <v>2.5133333333333332</v>
      </c>
      <c r="AE85" s="140">
        <f t="shared" si="250"/>
        <v>80.426666666666662</v>
      </c>
      <c r="AF85" s="158"/>
      <c r="AG85" s="528"/>
      <c r="AH85" s="145"/>
      <c r="AI85" s="146"/>
      <c r="AJ85" s="157" t="s">
        <v>78</v>
      </c>
      <c r="AK85" s="138">
        <v>0</v>
      </c>
      <c r="AL85" s="170">
        <v>2.5133333333333332</v>
      </c>
      <c r="AM85" s="140">
        <f t="shared" si="251"/>
        <v>0</v>
      </c>
      <c r="AN85" s="158"/>
      <c r="AO85" s="528"/>
      <c r="AP85" s="145"/>
      <c r="AQ85" s="146"/>
      <c r="AR85" s="157" t="s">
        <v>78</v>
      </c>
      <c r="AS85" s="138">
        <v>199</v>
      </c>
      <c r="AT85" s="170">
        <v>2.5133333333333332</v>
      </c>
      <c r="AU85" s="140">
        <f t="shared" si="252"/>
        <v>500.15333333333331</v>
      </c>
      <c r="AV85" s="158"/>
      <c r="AW85" s="528"/>
      <c r="AX85" s="145"/>
      <c r="AY85" s="146"/>
      <c r="AZ85" s="157" t="s">
        <v>78</v>
      </c>
      <c r="BA85" s="138"/>
      <c r="BB85" s="170">
        <v>2.5133333333333332</v>
      </c>
      <c r="BC85" s="140">
        <f t="shared" si="253"/>
        <v>0</v>
      </c>
      <c r="BD85" s="158"/>
      <c r="BE85" s="528"/>
      <c r="BF85" s="145"/>
      <c r="BG85" s="146"/>
      <c r="BH85" s="157" t="s">
        <v>78</v>
      </c>
      <c r="BI85" s="138">
        <v>36</v>
      </c>
      <c r="BJ85" s="170">
        <v>2.5133333333333332</v>
      </c>
      <c r="BK85" s="140">
        <f t="shared" si="254"/>
        <v>90.47999999999999</v>
      </c>
      <c r="BL85" s="158"/>
      <c r="BM85" s="528"/>
      <c r="BN85" s="145"/>
      <c r="BO85" s="146"/>
      <c r="BP85" s="157" t="s">
        <v>78</v>
      </c>
      <c r="BQ85" s="138">
        <v>93</v>
      </c>
      <c r="BR85" s="170">
        <v>2.5133333333333332</v>
      </c>
      <c r="BS85" s="140">
        <f t="shared" si="255"/>
        <v>233.73999999999998</v>
      </c>
      <c r="BT85" s="158"/>
      <c r="BU85" s="528"/>
      <c r="BV85" s="536"/>
      <c r="BW85" s="537"/>
      <c r="BX85" s="574" t="s">
        <v>78</v>
      </c>
      <c r="BY85" s="560"/>
      <c r="BZ85" s="585">
        <v>2.5133333333333332</v>
      </c>
      <c r="CA85" s="562">
        <f t="shared" si="256"/>
        <v>0</v>
      </c>
      <c r="CB85" s="540"/>
      <c r="CC85" s="528"/>
      <c r="CD85" s="536"/>
      <c r="CE85" s="537"/>
      <c r="CF85" s="574" t="s">
        <v>78</v>
      </c>
      <c r="CG85" s="560"/>
      <c r="CH85" s="585">
        <v>2.5133333333333332</v>
      </c>
      <c r="CI85" s="562">
        <f t="shared" si="257"/>
        <v>0</v>
      </c>
      <c r="CJ85" s="540"/>
      <c r="CK85" s="528"/>
      <c r="CL85" s="145"/>
      <c r="CM85" s="146"/>
      <c r="CN85" s="157" t="s">
        <v>78</v>
      </c>
      <c r="CO85" s="138"/>
      <c r="CP85" s="170">
        <v>2.5133333333333332</v>
      </c>
      <c r="CQ85" s="140">
        <f t="shared" si="258"/>
        <v>0</v>
      </c>
      <c r="CR85" s="158"/>
      <c r="CS85" s="528"/>
      <c r="CT85" s="145"/>
      <c r="CU85" s="146"/>
      <c r="CV85" s="157" t="s">
        <v>78</v>
      </c>
      <c r="CW85" s="138">
        <v>36</v>
      </c>
      <c r="CX85" s="170">
        <v>2.5133333333333332</v>
      </c>
      <c r="CY85" s="140">
        <f t="shared" si="259"/>
        <v>90.47999999999999</v>
      </c>
      <c r="CZ85" s="158"/>
      <c r="DA85" s="528"/>
      <c r="DB85" s="145"/>
      <c r="DC85" s="146"/>
      <c r="DD85" s="157" t="s">
        <v>78</v>
      </c>
      <c r="DE85" s="138"/>
      <c r="DF85" s="170">
        <v>2.5133333333333332</v>
      </c>
      <c r="DG85" s="140">
        <f t="shared" si="260"/>
        <v>0</v>
      </c>
      <c r="DH85" s="158"/>
      <c r="DI85" s="528"/>
      <c r="DJ85" s="145"/>
      <c r="DK85" s="146"/>
      <c r="DL85" s="157" t="s">
        <v>78</v>
      </c>
      <c r="DM85" s="138">
        <v>0</v>
      </c>
      <c r="DN85" s="170">
        <v>2.5133333333333332</v>
      </c>
      <c r="DO85" s="140">
        <f t="shared" si="261"/>
        <v>0</v>
      </c>
      <c r="DP85" s="158"/>
      <c r="DQ85" s="528"/>
      <c r="DR85" s="145"/>
      <c r="DS85" s="146"/>
      <c r="DT85" s="157" t="s">
        <v>78</v>
      </c>
      <c r="DU85" s="138">
        <v>462</v>
      </c>
      <c r="DV85" s="170">
        <v>2.5133333333333332</v>
      </c>
      <c r="DW85" s="140">
        <f t="shared" si="262"/>
        <v>1161.1599999999999</v>
      </c>
      <c r="DX85" s="158"/>
      <c r="DY85" s="528"/>
      <c r="DZ85" s="145"/>
      <c r="EA85" s="146"/>
      <c r="EB85" s="157" t="s">
        <v>78</v>
      </c>
      <c r="EC85" s="138">
        <v>3</v>
      </c>
      <c r="ED85" s="170">
        <v>2.5133333333333332</v>
      </c>
      <c r="EE85" s="140">
        <f t="shared" si="263"/>
        <v>7.5399999999999991</v>
      </c>
      <c r="EF85" s="158"/>
      <c r="EG85" s="528"/>
      <c r="EH85" s="145"/>
      <c r="EI85" s="146"/>
      <c r="EJ85" s="157" t="s">
        <v>78</v>
      </c>
      <c r="EK85" s="138">
        <v>0</v>
      </c>
      <c r="EL85" s="170">
        <v>2.5133333333333332</v>
      </c>
      <c r="EM85" s="140">
        <f t="shared" si="264"/>
        <v>0</v>
      </c>
      <c r="EN85" s="158"/>
      <c r="EO85" s="528"/>
      <c r="EP85" s="145"/>
      <c r="EQ85" s="146"/>
      <c r="ER85" s="157" t="s">
        <v>78</v>
      </c>
      <c r="ES85" s="138">
        <v>0</v>
      </c>
      <c r="ET85" s="170">
        <v>2.5133333333333332</v>
      </c>
      <c r="EU85" s="140">
        <f t="shared" si="265"/>
        <v>0</v>
      </c>
      <c r="EV85" s="158"/>
      <c r="EW85" s="528"/>
      <c r="EX85" s="145"/>
      <c r="EY85" s="146"/>
      <c r="EZ85" s="157" t="s">
        <v>78</v>
      </c>
      <c r="FA85" s="138"/>
      <c r="FB85" s="170">
        <v>2.5133333333333332</v>
      </c>
      <c r="FC85" s="140">
        <f t="shared" si="266"/>
        <v>0</v>
      </c>
      <c r="FD85" s="158"/>
      <c r="FE85" s="528"/>
      <c r="FF85" s="145"/>
      <c r="FG85" s="146"/>
      <c r="FH85" s="157" t="s">
        <v>78</v>
      </c>
      <c r="FI85" s="138"/>
      <c r="FJ85" s="170">
        <v>2.5133333333333332</v>
      </c>
      <c r="FK85" s="140">
        <f t="shared" si="267"/>
        <v>0</v>
      </c>
      <c r="FL85" s="158"/>
      <c r="FM85" s="528"/>
      <c r="FN85" s="145"/>
      <c r="FO85" s="146"/>
      <c r="FP85" s="157" t="s">
        <v>78</v>
      </c>
      <c r="FQ85" s="138"/>
      <c r="FR85" s="170">
        <v>2.5133333333333332</v>
      </c>
      <c r="FS85" s="140">
        <f t="shared" si="268"/>
        <v>0</v>
      </c>
      <c r="FT85" s="158"/>
      <c r="FU85" s="528"/>
      <c r="FV85" s="145"/>
      <c r="FW85" s="146"/>
      <c r="FX85" s="157" t="s">
        <v>78</v>
      </c>
      <c r="FY85" s="138"/>
      <c r="FZ85" s="170">
        <v>2.5133333333333332</v>
      </c>
      <c r="GA85" s="140">
        <f t="shared" si="269"/>
        <v>0</v>
      </c>
      <c r="GB85" s="158"/>
      <c r="GC85" s="528"/>
      <c r="GD85" s="145"/>
      <c r="GE85" s="146"/>
      <c r="GF85" s="157" t="s">
        <v>78</v>
      </c>
      <c r="GG85" s="138"/>
      <c r="GH85" s="170">
        <v>2.5133333333333332</v>
      </c>
      <c r="GI85" s="140">
        <f t="shared" si="270"/>
        <v>0</v>
      </c>
      <c r="GJ85" s="158"/>
      <c r="GK85" s="528"/>
      <c r="GL85" s="145"/>
      <c r="GM85" s="146"/>
      <c r="GN85" s="157" t="s">
        <v>78</v>
      </c>
      <c r="GO85" s="138">
        <f>'[1]Jan_18_Vol weekly-Data-Entry'!$Z$226</f>
        <v>0</v>
      </c>
      <c r="GP85" s="170">
        <v>2.5133333333333332</v>
      </c>
      <c r="GQ85" s="140">
        <f t="shared" si="271"/>
        <v>0</v>
      </c>
      <c r="GR85" s="158"/>
      <c r="GS85" s="528"/>
      <c r="GT85" s="145"/>
      <c r="GU85" s="146"/>
      <c r="GV85" s="157" t="s">
        <v>78</v>
      </c>
      <c r="GW85" s="138">
        <v>199</v>
      </c>
      <c r="GX85" s="170">
        <v>2.5133333333333332</v>
      </c>
      <c r="GY85" s="140">
        <f t="shared" si="272"/>
        <v>500.15333333333331</v>
      </c>
      <c r="GZ85" s="158"/>
      <c r="HA85" s="528"/>
      <c r="HB85" s="145"/>
      <c r="HC85" s="146"/>
      <c r="HD85" s="157" t="s">
        <v>78</v>
      </c>
      <c r="HE85" s="138">
        <v>0</v>
      </c>
      <c r="HF85" s="170">
        <v>2.5133333333333332</v>
      </c>
      <c r="HG85" s="140">
        <f t="shared" si="273"/>
        <v>0</v>
      </c>
      <c r="HH85" s="158"/>
      <c r="HI85" s="528"/>
      <c r="HJ85" s="145"/>
      <c r="HK85" s="146"/>
      <c r="HL85" s="157" t="s">
        <v>78</v>
      </c>
      <c r="HM85" s="138">
        <v>0</v>
      </c>
      <c r="HN85" s="170">
        <v>2.5133333333333332</v>
      </c>
      <c r="HO85" s="140">
        <f t="shared" si="274"/>
        <v>0</v>
      </c>
      <c r="HP85" s="158"/>
      <c r="HQ85" s="528"/>
      <c r="HR85" s="145"/>
      <c r="HS85" s="146"/>
      <c r="HT85" s="157" t="s">
        <v>78</v>
      </c>
      <c r="HU85" s="138">
        <v>113</v>
      </c>
      <c r="HV85" s="170">
        <v>2.5133333333333332</v>
      </c>
      <c r="HW85" s="140">
        <f t="shared" si="275"/>
        <v>284.00666666666666</v>
      </c>
      <c r="HX85" s="158"/>
      <c r="HY85" s="528"/>
      <c r="HZ85" s="145"/>
      <c r="IA85" s="146"/>
      <c r="IB85" s="157" t="s">
        <v>78</v>
      </c>
      <c r="IC85" s="138">
        <v>0</v>
      </c>
      <c r="ID85" s="170">
        <v>2.5133333333333332</v>
      </c>
      <c r="IE85" s="140">
        <f t="shared" si="276"/>
        <v>0</v>
      </c>
      <c r="IF85" s="158"/>
      <c r="IG85" s="528"/>
      <c r="IH85" s="145"/>
      <c r="II85" s="146"/>
      <c r="IJ85" s="157" t="s">
        <v>78</v>
      </c>
      <c r="IK85" s="138">
        <v>0</v>
      </c>
      <c r="IL85" s="170">
        <v>2.5133333333333332</v>
      </c>
      <c r="IM85" s="140">
        <f t="shared" si="277"/>
        <v>0</v>
      </c>
      <c r="IN85" s="158"/>
      <c r="IO85" s="528"/>
      <c r="IP85" s="145"/>
      <c r="IQ85" s="146"/>
      <c r="IR85" s="157" t="s">
        <v>78</v>
      </c>
      <c r="IS85" s="138">
        <v>0</v>
      </c>
      <c r="IT85" s="170">
        <v>2.5133333333333332</v>
      </c>
      <c r="IU85" s="140">
        <f t="shared" si="278"/>
        <v>0</v>
      </c>
      <c r="IV85" s="158"/>
      <c r="IW85" s="528"/>
      <c r="IX85" s="145"/>
      <c r="IY85" s="146"/>
      <c r="IZ85" s="157" t="s">
        <v>78</v>
      </c>
      <c r="JA85" s="138">
        <v>0</v>
      </c>
      <c r="JB85" s="170">
        <v>2.5133333333333332</v>
      </c>
      <c r="JC85" s="140">
        <f t="shared" si="279"/>
        <v>0</v>
      </c>
      <c r="JD85" s="158"/>
      <c r="JE85" s="528"/>
      <c r="JF85" s="145"/>
      <c r="JG85" s="146"/>
      <c r="JH85" s="157" t="s">
        <v>78</v>
      </c>
      <c r="JI85" s="138">
        <v>0</v>
      </c>
      <c r="JJ85" s="170">
        <v>2.5133333333333332</v>
      </c>
      <c r="JK85" s="140">
        <f t="shared" si="280"/>
        <v>0</v>
      </c>
      <c r="JL85" s="158"/>
      <c r="JM85" s="528"/>
      <c r="JN85" s="145"/>
      <c r="JO85" s="146"/>
      <c r="JP85" s="157" t="s">
        <v>78</v>
      </c>
      <c r="JQ85" s="138">
        <v>0</v>
      </c>
      <c r="JR85" s="170">
        <v>2.5133333333333332</v>
      </c>
      <c r="JS85" s="140">
        <f t="shared" si="281"/>
        <v>0</v>
      </c>
      <c r="JT85" s="158"/>
      <c r="JU85" s="528"/>
      <c r="JV85" s="145"/>
      <c r="JW85" s="146"/>
      <c r="JX85" s="157" t="s">
        <v>78</v>
      </c>
      <c r="JY85" s="138">
        <v>0</v>
      </c>
      <c r="JZ85" s="170">
        <v>2.5133333333333332</v>
      </c>
      <c r="KA85" s="140">
        <f t="shared" si="282"/>
        <v>0</v>
      </c>
      <c r="KB85" s="158"/>
      <c r="KC85" s="528"/>
      <c r="KD85" s="145"/>
      <c r="KE85" s="146"/>
      <c r="KF85" s="157" t="s">
        <v>78</v>
      </c>
      <c r="KG85" s="138">
        <v>0</v>
      </c>
      <c r="KH85" s="170">
        <v>2.5133333333333332</v>
      </c>
      <c r="KI85" s="140">
        <f t="shared" si="283"/>
        <v>0</v>
      </c>
      <c r="KJ85" s="158"/>
      <c r="KK85" s="528"/>
      <c r="KL85" s="145"/>
      <c r="KM85" s="146"/>
      <c r="KN85" s="157" t="s">
        <v>78</v>
      </c>
      <c r="KO85" s="138">
        <v>2</v>
      </c>
      <c r="KP85" s="170">
        <v>2.5133333333333332</v>
      </c>
      <c r="KQ85" s="140">
        <f t="shared" si="284"/>
        <v>5.0266666666666664</v>
      </c>
      <c r="KR85" s="158"/>
      <c r="KS85" s="528"/>
      <c r="KT85" s="145"/>
      <c r="KU85" s="146"/>
      <c r="KV85" s="157" t="s">
        <v>78</v>
      </c>
      <c r="KW85" s="138">
        <v>24</v>
      </c>
      <c r="KX85" s="170">
        <v>2.5133333333333332</v>
      </c>
      <c r="KY85" s="140">
        <f t="shared" si="285"/>
        <v>60.319999999999993</v>
      </c>
      <c r="KZ85" s="158"/>
      <c r="LA85" s="528"/>
      <c r="LB85" s="145"/>
      <c r="LC85" s="146"/>
      <c r="LD85" s="157" t="s">
        <v>78</v>
      </c>
      <c r="LE85" s="138">
        <v>0</v>
      </c>
      <c r="LF85" s="170">
        <v>2.5133333333333332</v>
      </c>
      <c r="LG85" s="140">
        <f t="shared" si="286"/>
        <v>0</v>
      </c>
      <c r="LH85" s="158"/>
      <c r="LI85" s="528"/>
      <c r="LJ85" s="145"/>
      <c r="LK85" s="146"/>
      <c r="LL85" s="157" t="s">
        <v>78</v>
      </c>
      <c r="LM85" s="175">
        <v>0</v>
      </c>
      <c r="LN85" s="139">
        <v>2.5133333333333332</v>
      </c>
      <c r="LO85" s="140">
        <f t="shared" si="287"/>
        <v>0</v>
      </c>
      <c r="LP85" s="158"/>
      <c r="LQ85" s="528"/>
      <c r="LR85" s="145"/>
      <c r="LS85" s="146"/>
      <c r="LT85" s="157" t="s">
        <v>78</v>
      </c>
      <c r="LU85" s="175">
        <v>9</v>
      </c>
      <c r="LV85" s="139">
        <v>2.5133333333333332</v>
      </c>
      <c r="LW85" s="140">
        <f t="shared" si="288"/>
        <v>22.619999999999997</v>
      </c>
      <c r="LX85" s="158"/>
      <c r="LY85" s="528"/>
      <c r="LZ85" s="145"/>
      <c r="MA85" s="146"/>
      <c r="MB85" s="157" t="s">
        <v>78</v>
      </c>
      <c r="MC85" s="175">
        <v>26</v>
      </c>
      <c r="MD85" s="139">
        <v>2.5133333333333332</v>
      </c>
      <c r="ME85" s="140">
        <f t="shared" si="289"/>
        <v>65.346666666666664</v>
      </c>
      <c r="MF85" s="158"/>
      <c r="MG85" s="528"/>
      <c r="MH85" s="145"/>
      <c r="MI85" s="146"/>
      <c r="MJ85" s="157" t="s">
        <v>78</v>
      </c>
      <c r="MK85" s="175">
        <v>24</v>
      </c>
      <c r="ML85" s="139">
        <v>2.5133333333333332</v>
      </c>
      <c r="MM85" s="140">
        <f t="shared" si="290"/>
        <v>60.319999999999993</v>
      </c>
      <c r="MN85" s="158"/>
      <c r="MO85" s="528"/>
      <c r="MP85" s="145"/>
      <c r="MQ85" s="146"/>
      <c r="MR85" s="157" t="s">
        <v>78</v>
      </c>
      <c r="MS85" s="175">
        <v>14</v>
      </c>
      <c r="MT85" s="139">
        <v>2.5133333333333332</v>
      </c>
      <c r="MU85" s="140">
        <f t="shared" si="291"/>
        <v>35.186666666666667</v>
      </c>
      <c r="MV85" s="158"/>
      <c r="MW85" s="528"/>
      <c r="MX85" s="151"/>
      <c r="MY85" s="152"/>
      <c r="MZ85" s="153" t="s">
        <v>71</v>
      </c>
      <c r="NA85" s="175">
        <v>2</v>
      </c>
      <c r="NB85" s="148">
        <v>3.8876190476190478</v>
      </c>
      <c r="NC85" s="140">
        <f t="shared" si="292"/>
        <v>7.7752380952380955</v>
      </c>
      <c r="ND85" s="154">
        <f>SUM(NC83:NC85)</f>
        <v>176.43559245384901</v>
      </c>
      <c r="NE85" s="528"/>
      <c r="NF85" s="151"/>
      <c r="NG85" s="152"/>
      <c r="NH85" s="153" t="s">
        <v>71</v>
      </c>
      <c r="NI85" s="175">
        <v>2</v>
      </c>
      <c r="NJ85" s="148">
        <v>3.8876190476190478</v>
      </c>
      <c r="NK85" s="140">
        <f t="shared" si="293"/>
        <v>7.7752380952380955</v>
      </c>
      <c r="NL85" s="154">
        <f>SUM(NK83:NK85)</f>
        <v>81.3071799804259</v>
      </c>
      <c r="NM85" s="528"/>
      <c r="NN85" s="151"/>
      <c r="NO85" s="152"/>
      <c r="NP85" s="153" t="s">
        <v>71</v>
      </c>
      <c r="NQ85" s="175"/>
      <c r="NR85" s="148">
        <v>3.8876190476190478</v>
      </c>
      <c r="NS85" s="140">
        <f t="shared" si="294"/>
        <v>0</v>
      </c>
      <c r="NT85" s="154">
        <f>SUM(NS83:NS85)</f>
        <v>239.76867469879519</v>
      </c>
      <c r="NU85" s="528"/>
      <c r="NV85" s="151"/>
      <c r="NW85" s="152"/>
      <c r="NX85" s="153" t="s">
        <v>71</v>
      </c>
      <c r="NY85" s="175">
        <v>6</v>
      </c>
      <c r="NZ85" s="148">
        <v>3.8876190476190478</v>
      </c>
      <c r="OA85" s="140">
        <f t="shared" si="295"/>
        <v>23.325714285714287</v>
      </c>
      <c r="OB85" s="154">
        <f>SUM(OA83:OA85)</f>
        <v>153.20041308089503</v>
      </c>
      <c r="OC85" s="528"/>
      <c r="OD85" s="151"/>
      <c r="OE85" s="152"/>
      <c r="OF85" s="153" t="s">
        <v>71</v>
      </c>
      <c r="OG85" s="175">
        <v>28</v>
      </c>
      <c r="OH85" s="148">
        <v>3.8876190476190478</v>
      </c>
      <c r="OI85" s="140">
        <f t="shared" si="296"/>
        <v>108.85333333333334</v>
      </c>
      <c r="OJ85" s="154">
        <f>SUM(OI83:OI85)</f>
        <v>725.46420505551623</v>
      </c>
      <c r="OK85" s="528"/>
      <c r="OL85" s="151"/>
      <c r="OM85" s="152"/>
      <c r="ON85" s="153" t="s">
        <v>71</v>
      </c>
      <c r="OO85" s="175">
        <v>4</v>
      </c>
      <c r="OP85" s="148">
        <v>3.8876190476190478</v>
      </c>
      <c r="OQ85" s="140">
        <f t="shared" si="297"/>
        <v>15.550476190476191</v>
      </c>
      <c r="OR85" s="154">
        <f>SUM(OQ83:OQ85)</f>
        <v>66.310157267726368</v>
      </c>
      <c r="OS85" s="528"/>
      <c r="OT85" s="151"/>
      <c r="OU85" s="152"/>
      <c r="OV85" s="153" t="s">
        <v>71</v>
      </c>
      <c r="OW85" s="175"/>
      <c r="OX85" s="148">
        <v>3.8876190476190478</v>
      </c>
      <c r="OY85" s="140">
        <f t="shared" si="298"/>
        <v>0</v>
      </c>
      <c r="OZ85" s="154">
        <f>SUM(OY83:OY85)</f>
        <v>0</v>
      </c>
      <c r="PA85" s="528"/>
      <c r="PB85" s="151"/>
      <c r="PC85" s="152"/>
      <c r="PD85" s="153" t="s">
        <v>71</v>
      </c>
      <c r="PE85" s="175"/>
      <c r="PF85" s="148">
        <v>3.8876190476190478</v>
      </c>
      <c r="PG85" s="140">
        <f t="shared" si="299"/>
        <v>0</v>
      </c>
      <c r="PH85" s="154">
        <f>SUM(PG83:PG85)</f>
        <v>29.971084337349399</v>
      </c>
      <c r="PI85" s="528"/>
      <c r="PJ85" s="151"/>
      <c r="PK85" s="152"/>
      <c r="PL85" s="153" t="s">
        <v>71</v>
      </c>
      <c r="PM85" s="175">
        <v>26</v>
      </c>
      <c r="PN85" s="148">
        <v>3.8876190476190478</v>
      </c>
      <c r="PO85" s="140">
        <f t="shared" si="300"/>
        <v>101.07809523809524</v>
      </c>
      <c r="PP85" s="154">
        <f>SUM(PO83:PO85)</f>
        <v>292.51071040464376</v>
      </c>
      <c r="PQ85" s="528"/>
      <c r="PR85" s="151"/>
      <c r="PS85" s="152"/>
      <c r="PT85" s="153" t="s">
        <v>71</v>
      </c>
      <c r="PU85" s="175"/>
      <c r="PV85" s="148">
        <v>3.8876190476190478</v>
      </c>
      <c r="PW85" s="140">
        <f t="shared" si="301"/>
        <v>0</v>
      </c>
      <c r="PX85" s="154">
        <f>SUM(PW83:PW85)</f>
        <v>179.8265060240964</v>
      </c>
      <c r="PY85" s="528"/>
      <c r="PZ85" s="151"/>
      <c r="QA85" s="152"/>
      <c r="QB85" s="153" t="s">
        <v>71</v>
      </c>
      <c r="QC85" s="175">
        <v>1</v>
      </c>
      <c r="QD85" s="148">
        <v>3.8876190476190478</v>
      </c>
      <c r="QE85" s="140">
        <f t="shared" si="302"/>
        <v>3.8876190476190478</v>
      </c>
      <c r="QF85" s="154">
        <f>SUM(QE83:QE85)</f>
        <v>53.839426276534716</v>
      </c>
      <c r="QG85" s="528"/>
      <c r="QH85" s="151"/>
      <c r="QI85" s="152"/>
      <c r="QJ85" s="153" t="s">
        <v>71</v>
      </c>
      <c r="QK85" s="175"/>
      <c r="QL85" s="148">
        <v>3.8876190476190478</v>
      </c>
      <c r="QM85" s="140">
        <f t="shared" si="303"/>
        <v>0</v>
      </c>
      <c r="QN85" s="154">
        <f>SUM(QM83:QM85)</f>
        <v>209.7975903614458</v>
      </c>
      <c r="QO85" s="528"/>
      <c r="QP85" s="151"/>
      <c r="QQ85" s="152"/>
      <c r="QR85" s="153" t="s">
        <v>71</v>
      </c>
      <c r="QS85" s="175"/>
      <c r="QT85" s="148">
        <v>3.8876190476190478</v>
      </c>
      <c r="QU85" s="140">
        <f t="shared" si="304"/>
        <v>0</v>
      </c>
      <c r="QV85" s="154">
        <f>SUM(QU83:QU85)</f>
        <v>290.52835577604537</v>
      </c>
      <c r="QW85" s="528"/>
      <c r="QX85" s="151"/>
      <c r="QY85" s="152"/>
      <c r="QZ85" s="153" t="s">
        <v>71</v>
      </c>
      <c r="RA85" s="175"/>
      <c r="RB85" s="148">
        <v>3.8876190476190478</v>
      </c>
      <c r="RC85" s="140">
        <f t="shared" si="305"/>
        <v>0</v>
      </c>
      <c r="RD85" s="154">
        <f>SUM(RC83:RC85)</f>
        <v>0</v>
      </c>
      <c r="RE85" s="528"/>
      <c r="RF85" s="151"/>
      <c r="RG85" s="152"/>
      <c r="RH85" s="153" t="s">
        <v>71</v>
      </c>
      <c r="RI85" s="175"/>
      <c r="RJ85" s="148">
        <v>3.8876190476190478</v>
      </c>
      <c r="RK85" s="140">
        <f t="shared" si="306"/>
        <v>0</v>
      </c>
      <c r="RL85" s="154">
        <f>SUM(RK83:RK85)</f>
        <v>0</v>
      </c>
      <c r="RM85" s="528"/>
      <c r="RN85" s="151"/>
      <c r="RO85" s="152"/>
      <c r="RP85" s="153" t="s">
        <v>71</v>
      </c>
      <c r="RQ85" s="175"/>
      <c r="RR85" s="148">
        <v>3.8876190476190478</v>
      </c>
      <c r="RS85" s="140">
        <f t="shared" si="307"/>
        <v>0</v>
      </c>
      <c r="RT85" s="154">
        <f>SUM(RS83:RS85)</f>
        <v>659.36385542168682</v>
      </c>
      <c r="RU85" s="528"/>
      <c r="RV85" s="151"/>
      <c r="RW85" s="152"/>
      <c r="RX85" s="153" t="s">
        <v>71</v>
      </c>
      <c r="RY85" s="175">
        <v>14</v>
      </c>
      <c r="RZ85" s="148">
        <v>3.8876190476190478</v>
      </c>
      <c r="SA85" s="140">
        <f t="shared" si="308"/>
        <v>54.426666666666669</v>
      </c>
      <c r="SB85" s="154">
        <f>SUM(SA83:SA85)</f>
        <v>1383.952612804158</v>
      </c>
      <c r="SC85" s="528"/>
      <c r="SD85" s="151"/>
      <c r="SE85" s="152"/>
      <c r="SF85" s="153" t="s">
        <v>71</v>
      </c>
      <c r="SG85" s="175">
        <v>14</v>
      </c>
      <c r="SH85" s="148">
        <v>3.8876190476190478</v>
      </c>
      <c r="SI85" s="140">
        <f t="shared" si="309"/>
        <v>54.426666666666669</v>
      </c>
      <c r="SJ85" s="154">
        <f>SUM(SI83:SI85)</f>
        <v>1110.6134420033075</v>
      </c>
      <c r="SK85" s="528"/>
      <c r="SL85" s="151"/>
      <c r="SM85" s="152"/>
      <c r="SN85" s="153" t="s">
        <v>71</v>
      </c>
      <c r="SO85" s="175">
        <v>12</v>
      </c>
      <c r="SP85" s="148">
        <v>3.8876190476190478</v>
      </c>
      <c r="SQ85" s="140">
        <f t="shared" si="310"/>
        <v>46.651428571428575</v>
      </c>
      <c r="SR85" s="154">
        <f>SUM(SQ83:SQ85)</f>
        <v>727.61175458135074</v>
      </c>
      <c r="SS85" s="528"/>
      <c r="ST85" s="151"/>
      <c r="SU85" s="152"/>
      <c r="SV85" s="153" t="s">
        <v>71</v>
      </c>
      <c r="SW85" s="175">
        <v>17</v>
      </c>
      <c r="SX85" s="148">
        <v>3.8876190476190478</v>
      </c>
      <c r="SY85" s="140">
        <f t="shared" si="311"/>
        <v>66.089523809523811</v>
      </c>
      <c r="SZ85" s="154">
        <f>SUM(SY83:SY85)</f>
        <v>1015.1738611589215</v>
      </c>
      <c r="TA85" s="528"/>
      <c r="TB85" s="151"/>
      <c r="TC85" s="152"/>
      <c r="TD85" s="153" t="s">
        <v>71</v>
      </c>
      <c r="TE85" s="175">
        <v>9</v>
      </c>
      <c r="TF85" s="148">
        <v>3.8876190476190478</v>
      </c>
      <c r="TG85" s="140">
        <f t="shared" si="312"/>
        <v>34.988571428571433</v>
      </c>
      <c r="TH85" s="154">
        <f>SUM(TG83:TG85)</f>
        <v>1193.870499139415</v>
      </c>
      <c r="TI85" s="528"/>
    </row>
    <row r="86" spans="2:529">
      <c r="B86" s="145"/>
      <c r="C86" s="146"/>
      <c r="D86" s="157" t="s">
        <v>79</v>
      </c>
      <c r="E86" s="138">
        <v>187</v>
      </c>
      <c r="F86" s="170">
        <v>1.4800000000000002</v>
      </c>
      <c r="G86" s="140">
        <f t="shared" si="247"/>
        <v>276.76000000000005</v>
      </c>
      <c r="H86" s="159">
        <f>SUM(G83:G86)</f>
        <v>1200.7367936507937</v>
      </c>
      <c r="I86" s="528"/>
      <c r="J86" s="145"/>
      <c r="K86" s="146"/>
      <c r="L86" s="157" t="s">
        <v>79</v>
      </c>
      <c r="M86" s="138">
        <v>40</v>
      </c>
      <c r="N86" s="170">
        <v>1.4800000000000002</v>
      </c>
      <c r="O86" s="140">
        <f t="shared" si="248"/>
        <v>59.20000000000001</v>
      </c>
      <c r="P86" s="159">
        <f>SUM(O83:O86)</f>
        <v>534.0752698412698</v>
      </c>
      <c r="Q86" s="528"/>
      <c r="R86" s="145"/>
      <c r="S86" s="146"/>
      <c r="T86" s="157" t="s">
        <v>79</v>
      </c>
      <c r="U86" s="138">
        <v>0</v>
      </c>
      <c r="V86" s="170">
        <v>1.4800000000000002</v>
      </c>
      <c r="W86" s="140">
        <f t="shared" si="249"/>
        <v>0</v>
      </c>
      <c r="X86" s="159">
        <f>SUM(W83:W86)</f>
        <v>0</v>
      </c>
      <c r="Y86" s="528"/>
      <c r="Z86" s="145"/>
      <c r="AA86" s="146"/>
      <c r="AB86" s="157" t="s">
        <v>79</v>
      </c>
      <c r="AC86" s="138">
        <v>238</v>
      </c>
      <c r="AD86" s="170">
        <v>1.4800000000000002</v>
      </c>
      <c r="AE86" s="140">
        <f t="shared" si="250"/>
        <v>352.24000000000007</v>
      </c>
      <c r="AF86" s="159">
        <f>SUM(AE83:AE86)</f>
        <v>782.30285714285719</v>
      </c>
      <c r="AG86" s="528"/>
      <c r="AH86" s="145"/>
      <c r="AI86" s="146"/>
      <c r="AJ86" s="157" t="s">
        <v>79</v>
      </c>
      <c r="AK86" s="138">
        <v>0</v>
      </c>
      <c r="AL86" s="170">
        <v>1.4800000000000002</v>
      </c>
      <c r="AM86" s="140">
        <f t="shared" si="251"/>
        <v>0</v>
      </c>
      <c r="AN86" s="159">
        <f>SUM(AM83:AM86)</f>
        <v>0</v>
      </c>
      <c r="AO86" s="528"/>
      <c r="AP86" s="145"/>
      <c r="AQ86" s="146"/>
      <c r="AR86" s="157" t="s">
        <v>79</v>
      </c>
      <c r="AS86" s="138">
        <v>51</v>
      </c>
      <c r="AT86" s="170">
        <v>1.4800000000000002</v>
      </c>
      <c r="AU86" s="140">
        <f t="shared" si="252"/>
        <v>75.48</v>
      </c>
      <c r="AV86" s="159">
        <f>SUM(AU83:AU86)</f>
        <v>862.29879365079364</v>
      </c>
      <c r="AW86" s="528"/>
      <c r="AX86" s="145"/>
      <c r="AY86" s="146"/>
      <c r="AZ86" s="157" t="s">
        <v>79</v>
      </c>
      <c r="BA86" s="138"/>
      <c r="BB86" s="170">
        <v>1.4800000000000002</v>
      </c>
      <c r="BC86" s="140">
        <f t="shared" si="253"/>
        <v>0</v>
      </c>
      <c r="BD86" s="159">
        <f>SUM(BC83:BC86)</f>
        <v>0</v>
      </c>
      <c r="BE86" s="528"/>
      <c r="BF86" s="145"/>
      <c r="BG86" s="146"/>
      <c r="BH86" s="157" t="s">
        <v>79</v>
      </c>
      <c r="BI86" s="138">
        <v>203</v>
      </c>
      <c r="BJ86" s="170">
        <v>1.4800000000000002</v>
      </c>
      <c r="BK86" s="140">
        <f t="shared" si="254"/>
        <v>300.44000000000005</v>
      </c>
      <c r="BL86" s="159">
        <f>SUM(BK83:BK86)</f>
        <v>771.8152380952381</v>
      </c>
      <c r="BM86" s="528"/>
      <c r="BN86" s="145"/>
      <c r="BO86" s="146"/>
      <c r="BP86" s="157" t="s">
        <v>79</v>
      </c>
      <c r="BQ86" s="138">
        <v>140</v>
      </c>
      <c r="BR86" s="170">
        <v>1.4800000000000002</v>
      </c>
      <c r="BS86" s="140">
        <f t="shared" si="255"/>
        <v>207.20000000000002</v>
      </c>
      <c r="BT86" s="159">
        <f>SUM(BS83:BS86)</f>
        <v>529.5782857142857</v>
      </c>
      <c r="BU86" s="528"/>
      <c r="BV86" s="536"/>
      <c r="BW86" s="537"/>
      <c r="BX86" s="574" t="s">
        <v>79</v>
      </c>
      <c r="BY86" s="560"/>
      <c r="BZ86" s="585">
        <v>1.4800000000000002</v>
      </c>
      <c r="CA86" s="562">
        <f t="shared" si="256"/>
        <v>0</v>
      </c>
      <c r="CB86" s="575">
        <f>SUM(CA83:CA86)</f>
        <v>0</v>
      </c>
      <c r="CC86" s="528"/>
      <c r="CD86" s="536"/>
      <c r="CE86" s="537"/>
      <c r="CF86" s="574" t="s">
        <v>79</v>
      </c>
      <c r="CG86" s="560"/>
      <c r="CH86" s="585">
        <v>1.4800000000000002</v>
      </c>
      <c r="CI86" s="562">
        <f t="shared" si="257"/>
        <v>0</v>
      </c>
      <c r="CJ86" s="575">
        <f>SUM(CI83:CI86)</f>
        <v>0</v>
      </c>
      <c r="CK86" s="528"/>
      <c r="CL86" s="145"/>
      <c r="CM86" s="146"/>
      <c r="CN86" s="157" t="s">
        <v>79</v>
      </c>
      <c r="CO86" s="138"/>
      <c r="CP86" s="170">
        <v>1.4800000000000002</v>
      </c>
      <c r="CQ86" s="140">
        <f t="shared" si="258"/>
        <v>0</v>
      </c>
      <c r="CR86" s="159">
        <f>SUM(CQ83:CQ86)</f>
        <v>0</v>
      </c>
      <c r="CS86" s="528"/>
      <c r="CT86" s="145"/>
      <c r="CU86" s="146"/>
      <c r="CV86" s="157" t="s">
        <v>79</v>
      </c>
      <c r="CW86" s="138">
        <v>188</v>
      </c>
      <c r="CX86" s="170">
        <v>1.4800000000000002</v>
      </c>
      <c r="CY86" s="140">
        <f t="shared" si="259"/>
        <v>278.24000000000007</v>
      </c>
      <c r="CZ86" s="159">
        <f>SUM(CY83:CY86)</f>
        <v>585.42095238095249</v>
      </c>
      <c r="DA86" s="528"/>
      <c r="DB86" s="145"/>
      <c r="DC86" s="146"/>
      <c r="DD86" s="157" t="s">
        <v>79</v>
      </c>
      <c r="DE86" s="138"/>
      <c r="DF86" s="170">
        <v>1.4800000000000002</v>
      </c>
      <c r="DG86" s="140">
        <f t="shared" si="260"/>
        <v>0</v>
      </c>
      <c r="DH86" s="159">
        <f>SUM(DG83:DG86)</f>
        <v>0</v>
      </c>
      <c r="DI86" s="528"/>
      <c r="DJ86" s="145"/>
      <c r="DK86" s="146"/>
      <c r="DL86" s="157" t="s">
        <v>79</v>
      </c>
      <c r="DM86" s="138">
        <v>0</v>
      </c>
      <c r="DN86" s="170">
        <v>1.4800000000000002</v>
      </c>
      <c r="DO86" s="140">
        <f t="shared" si="261"/>
        <v>0</v>
      </c>
      <c r="DP86" s="159">
        <f>SUM(DO83:DO86)</f>
        <v>0</v>
      </c>
      <c r="DQ86" s="528"/>
      <c r="DR86" s="145"/>
      <c r="DS86" s="146"/>
      <c r="DT86" s="157" t="s">
        <v>79</v>
      </c>
      <c r="DU86" s="138">
        <v>0</v>
      </c>
      <c r="DV86" s="170">
        <v>1.4800000000000002</v>
      </c>
      <c r="DW86" s="140">
        <f t="shared" si="262"/>
        <v>0</v>
      </c>
      <c r="DX86" s="159">
        <f>SUM(DW83:DW86)</f>
        <v>1441.6437777777776</v>
      </c>
      <c r="DY86" s="528"/>
      <c r="DZ86" s="145"/>
      <c r="EA86" s="146"/>
      <c r="EB86" s="157" t="s">
        <v>79</v>
      </c>
      <c r="EC86" s="138">
        <v>134</v>
      </c>
      <c r="ED86" s="170">
        <v>1.4800000000000002</v>
      </c>
      <c r="EE86" s="140">
        <f t="shared" si="263"/>
        <v>198.32000000000002</v>
      </c>
      <c r="EF86" s="159">
        <f>SUM(EE83:EE86)</f>
        <v>567.35812698412701</v>
      </c>
      <c r="EG86" s="528"/>
      <c r="EH86" s="145"/>
      <c r="EI86" s="146"/>
      <c r="EJ86" s="157" t="s">
        <v>79</v>
      </c>
      <c r="EK86" s="138">
        <v>159</v>
      </c>
      <c r="EL86" s="170">
        <v>1.4800000000000002</v>
      </c>
      <c r="EM86" s="140">
        <f t="shared" si="264"/>
        <v>235.32000000000002</v>
      </c>
      <c r="EN86" s="159">
        <f>SUM(EM83:EM86)</f>
        <v>530.86971428571428</v>
      </c>
      <c r="EO86" s="528"/>
      <c r="EP86" s="145"/>
      <c r="EQ86" s="146"/>
      <c r="ER86" s="157" t="s">
        <v>79</v>
      </c>
      <c r="ES86" s="138">
        <v>0</v>
      </c>
      <c r="ET86" s="170">
        <v>1.4800000000000002</v>
      </c>
      <c r="EU86" s="140">
        <f t="shared" si="265"/>
        <v>0</v>
      </c>
      <c r="EV86" s="159">
        <f>SUM(EU83:EU86)</f>
        <v>0</v>
      </c>
      <c r="EW86" s="528"/>
      <c r="EX86" s="145"/>
      <c r="EY86" s="146"/>
      <c r="EZ86" s="157" t="s">
        <v>79</v>
      </c>
      <c r="FA86" s="138"/>
      <c r="FB86" s="170">
        <v>1.4800000000000002</v>
      </c>
      <c r="FC86" s="140">
        <f t="shared" si="266"/>
        <v>0</v>
      </c>
      <c r="FD86" s="159">
        <f>SUM(FC83:FC86)</f>
        <v>0</v>
      </c>
      <c r="FE86" s="528"/>
      <c r="FF86" s="145"/>
      <c r="FG86" s="146"/>
      <c r="FH86" s="157" t="s">
        <v>79</v>
      </c>
      <c r="FI86" s="138"/>
      <c r="FJ86" s="170">
        <v>1.4800000000000002</v>
      </c>
      <c r="FK86" s="140">
        <f t="shared" si="267"/>
        <v>0</v>
      </c>
      <c r="FL86" s="159">
        <f>SUM(FK83:FK86)</f>
        <v>0</v>
      </c>
      <c r="FM86" s="528"/>
      <c r="FN86" s="145"/>
      <c r="FO86" s="146"/>
      <c r="FP86" s="157" t="s">
        <v>79</v>
      </c>
      <c r="FQ86" s="138"/>
      <c r="FR86" s="170">
        <v>1.4800000000000002</v>
      </c>
      <c r="FS86" s="140">
        <f t="shared" si="268"/>
        <v>0</v>
      </c>
      <c r="FT86" s="159">
        <f>SUM(FS83:FS86)</f>
        <v>0</v>
      </c>
      <c r="FU86" s="528"/>
      <c r="FV86" s="145"/>
      <c r="FW86" s="146"/>
      <c r="FX86" s="157" t="s">
        <v>79</v>
      </c>
      <c r="FY86" s="138"/>
      <c r="FZ86" s="170">
        <v>1.4800000000000002</v>
      </c>
      <c r="GA86" s="140">
        <f t="shared" si="269"/>
        <v>0</v>
      </c>
      <c r="GB86" s="159">
        <f>SUM(GA83:GA86)</f>
        <v>0</v>
      </c>
      <c r="GC86" s="528"/>
      <c r="GD86" s="145"/>
      <c r="GE86" s="146"/>
      <c r="GF86" s="157" t="s">
        <v>79</v>
      </c>
      <c r="GG86" s="138"/>
      <c r="GH86" s="170">
        <v>1.4800000000000002</v>
      </c>
      <c r="GI86" s="140">
        <f t="shared" si="270"/>
        <v>0</v>
      </c>
      <c r="GJ86" s="159">
        <f>SUM(GI83:GI86)</f>
        <v>0</v>
      </c>
      <c r="GK86" s="528"/>
      <c r="GL86" s="145"/>
      <c r="GM86" s="146"/>
      <c r="GN86" s="157" t="s">
        <v>79</v>
      </c>
      <c r="GO86" s="138">
        <f>'[1]Jan_18_Vol weekly-Data-Entry'!$AA$226</f>
        <v>0</v>
      </c>
      <c r="GP86" s="170">
        <v>1.4800000000000002</v>
      </c>
      <c r="GQ86" s="140">
        <f t="shared" si="271"/>
        <v>0</v>
      </c>
      <c r="GR86" s="159">
        <f>SUM(GQ83:GQ86)</f>
        <v>0</v>
      </c>
      <c r="GS86" s="528"/>
      <c r="GT86" s="145"/>
      <c r="GU86" s="146"/>
      <c r="GV86" s="157" t="s">
        <v>79</v>
      </c>
      <c r="GW86" s="138">
        <v>0</v>
      </c>
      <c r="GX86" s="170">
        <v>1.4800000000000002</v>
      </c>
      <c r="GY86" s="140">
        <f t="shared" si="272"/>
        <v>0</v>
      </c>
      <c r="GZ86" s="159">
        <f>SUM(GY83:GY86)</f>
        <v>786.81879365079362</v>
      </c>
      <c r="HA86" s="528"/>
      <c r="HB86" s="145"/>
      <c r="HC86" s="146"/>
      <c r="HD86" s="157" t="s">
        <v>79</v>
      </c>
      <c r="HE86" s="138">
        <v>0</v>
      </c>
      <c r="HF86" s="170">
        <v>1.4800000000000002</v>
      </c>
      <c r="HG86" s="140">
        <f t="shared" si="273"/>
        <v>0</v>
      </c>
      <c r="HH86" s="159">
        <f>SUM(HG83:HG86)</f>
        <v>0</v>
      </c>
      <c r="HI86" s="528"/>
      <c r="HJ86" s="145"/>
      <c r="HK86" s="146"/>
      <c r="HL86" s="157" t="s">
        <v>79</v>
      </c>
      <c r="HM86" s="138">
        <v>485</v>
      </c>
      <c r="HN86" s="170">
        <v>1.4800000000000002</v>
      </c>
      <c r="HO86" s="140">
        <f t="shared" si="274"/>
        <v>717.80000000000007</v>
      </c>
      <c r="HP86" s="159">
        <f>SUM(HO83:HO86)</f>
        <v>2555.6044444444447</v>
      </c>
      <c r="HQ86" s="528"/>
      <c r="HR86" s="145"/>
      <c r="HS86" s="146"/>
      <c r="HT86" s="157" t="s">
        <v>79</v>
      </c>
      <c r="HU86" s="138">
        <v>706</v>
      </c>
      <c r="HV86" s="170">
        <v>1.4800000000000002</v>
      </c>
      <c r="HW86" s="140">
        <f t="shared" si="275"/>
        <v>1044.8800000000001</v>
      </c>
      <c r="HX86" s="159">
        <f>SUM(HW83:HW86)</f>
        <v>3390.7896825396829</v>
      </c>
      <c r="HY86" s="528"/>
      <c r="HZ86" s="145"/>
      <c r="IA86" s="146"/>
      <c r="IB86" s="157" t="s">
        <v>79</v>
      </c>
      <c r="IC86" s="138">
        <v>697</v>
      </c>
      <c r="ID86" s="170">
        <v>1.4800000000000002</v>
      </c>
      <c r="IE86" s="140">
        <f t="shared" si="276"/>
        <v>1031.5600000000002</v>
      </c>
      <c r="IF86" s="159">
        <f>SUM(IE83:IE86)</f>
        <v>2896.4298730158735</v>
      </c>
      <c r="IG86" s="528"/>
      <c r="IH86" s="145"/>
      <c r="II86" s="146"/>
      <c r="IJ86" s="157" t="s">
        <v>79</v>
      </c>
      <c r="IK86" s="138">
        <v>287</v>
      </c>
      <c r="IL86" s="170">
        <v>1.4800000000000002</v>
      </c>
      <c r="IM86" s="140">
        <f t="shared" si="277"/>
        <v>424.76000000000005</v>
      </c>
      <c r="IN86" s="159">
        <f>SUM(IM83:IM86)</f>
        <v>424.76000000000005</v>
      </c>
      <c r="IO86" s="528"/>
      <c r="IP86" s="145"/>
      <c r="IQ86" s="146"/>
      <c r="IR86" s="157" t="s">
        <v>79</v>
      </c>
      <c r="IS86" s="138">
        <v>374</v>
      </c>
      <c r="IT86" s="170">
        <v>1.4800000000000002</v>
      </c>
      <c r="IU86" s="140">
        <f t="shared" si="278"/>
        <v>553.5200000000001</v>
      </c>
      <c r="IV86" s="159">
        <f>SUM(IU83:IU86)</f>
        <v>2018.0975238095239</v>
      </c>
      <c r="IW86" s="528"/>
      <c r="IX86" s="145"/>
      <c r="IY86" s="146"/>
      <c r="IZ86" s="157" t="s">
        <v>79</v>
      </c>
      <c r="JA86" s="138">
        <v>431</v>
      </c>
      <c r="JB86" s="170">
        <v>1.4800000000000002</v>
      </c>
      <c r="JC86" s="140">
        <f t="shared" si="279"/>
        <v>637.88000000000011</v>
      </c>
      <c r="JD86" s="159">
        <f>SUM(JC83:JC86)</f>
        <v>1354.8321269841272</v>
      </c>
      <c r="JE86" s="528"/>
      <c r="JF86" s="145"/>
      <c r="JG86" s="146"/>
      <c r="JH86" s="157" t="s">
        <v>79</v>
      </c>
      <c r="JI86" s="138">
        <v>0</v>
      </c>
      <c r="JJ86" s="170">
        <v>1.4800000000000002</v>
      </c>
      <c r="JK86" s="140">
        <f t="shared" si="280"/>
        <v>0</v>
      </c>
      <c r="JL86" s="159">
        <f>SUM(JK83:JK86)</f>
        <v>53.363142857142861</v>
      </c>
      <c r="JM86" s="528"/>
      <c r="JN86" s="145"/>
      <c r="JO86" s="146"/>
      <c r="JP86" s="157" t="s">
        <v>79</v>
      </c>
      <c r="JQ86" s="138">
        <v>0</v>
      </c>
      <c r="JR86" s="170">
        <v>1.4800000000000002</v>
      </c>
      <c r="JS86" s="140">
        <f t="shared" si="281"/>
        <v>0</v>
      </c>
      <c r="JT86" s="159">
        <f>SUM(JS83:JS86)</f>
        <v>126.89111111111109</v>
      </c>
      <c r="JU86" s="528"/>
      <c r="JV86" s="145"/>
      <c r="JW86" s="146"/>
      <c r="JX86" s="157" t="s">
        <v>79</v>
      </c>
      <c r="JY86" s="138">
        <v>304</v>
      </c>
      <c r="JZ86" s="170">
        <v>1.4800000000000002</v>
      </c>
      <c r="KA86" s="140">
        <f t="shared" si="282"/>
        <v>449.92000000000007</v>
      </c>
      <c r="KB86" s="159">
        <f>SUM(KA83:KA86)</f>
        <v>449.92000000000007</v>
      </c>
      <c r="KC86" s="528"/>
      <c r="KD86" s="145"/>
      <c r="KE86" s="146"/>
      <c r="KF86" s="157" t="s">
        <v>79</v>
      </c>
      <c r="KG86" s="138">
        <v>0</v>
      </c>
      <c r="KH86" s="170">
        <v>1.4800000000000002</v>
      </c>
      <c r="KI86" s="140">
        <f t="shared" si="283"/>
        <v>0</v>
      </c>
      <c r="KJ86" s="159">
        <f>SUM(KI83:KI86)</f>
        <v>83.135555555555541</v>
      </c>
      <c r="KK86" s="528"/>
      <c r="KL86" s="145"/>
      <c r="KM86" s="146"/>
      <c r="KN86" s="157" t="s">
        <v>79</v>
      </c>
      <c r="KO86" s="138">
        <v>40</v>
      </c>
      <c r="KP86" s="170">
        <v>1.4800000000000002</v>
      </c>
      <c r="KQ86" s="140">
        <f t="shared" si="284"/>
        <v>59.20000000000001</v>
      </c>
      <c r="KR86" s="159">
        <f>SUM(KQ83:KQ86)</f>
        <v>534.0752698412698</v>
      </c>
      <c r="KS86" s="528"/>
      <c r="KT86" s="145"/>
      <c r="KU86" s="146"/>
      <c r="KV86" s="157" t="s">
        <v>79</v>
      </c>
      <c r="KW86" s="138">
        <v>577</v>
      </c>
      <c r="KX86" s="170">
        <v>1.4800000000000002</v>
      </c>
      <c r="KY86" s="140">
        <f t="shared" si="285"/>
        <v>853.96000000000015</v>
      </c>
      <c r="KZ86" s="159">
        <f>SUM(KY83:KY86)</f>
        <v>1957.9521269841271</v>
      </c>
      <c r="LA86" s="528"/>
      <c r="LB86" s="145"/>
      <c r="LC86" s="146"/>
      <c r="LD86" s="157" t="s">
        <v>79</v>
      </c>
      <c r="LE86" s="138">
        <v>743</v>
      </c>
      <c r="LF86" s="170">
        <v>1.4800000000000002</v>
      </c>
      <c r="LG86" s="140">
        <f t="shared" si="286"/>
        <v>1099.6400000000001</v>
      </c>
      <c r="LH86" s="159">
        <f>SUM(LG83:LG86)</f>
        <v>1117.1422222222222</v>
      </c>
      <c r="LI86" s="528"/>
      <c r="LJ86" s="145"/>
      <c r="LK86" s="146"/>
      <c r="LL86" s="157" t="s">
        <v>79</v>
      </c>
      <c r="LM86" s="175">
        <v>359</v>
      </c>
      <c r="LN86" s="139">
        <v>1.4800000000000002</v>
      </c>
      <c r="LO86" s="140">
        <f t="shared" si="287"/>
        <v>531.32000000000005</v>
      </c>
      <c r="LP86" s="159">
        <f>SUM(LO83:LO86)</f>
        <v>3499.1317142857147</v>
      </c>
      <c r="LQ86" s="528"/>
      <c r="LR86" s="145"/>
      <c r="LS86" s="146"/>
      <c r="LT86" s="157" t="s">
        <v>79</v>
      </c>
      <c r="LU86" s="175">
        <v>527</v>
      </c>
      <c r="LV86" s="139">
        <v>1.4800000000000002</v>
      </c>
      <c r="LW86" s="140">
        <f t="shared" si="288"/>
        <v>779.96000000000015</v>
      </c>
      <c r="LX86" s="159">
        <f>SUM(LW83:LW86)</f>
        <v>1210.8557460317461</v>
      </c>
      <c r="LY86" s="528"/>
      <c r="LZ86" s="145"/>
      <c r="MA86" s="146"/>
      <c r="MB86" s="157" t="s">
        <v>79</v>
      </c>
      <c r="MC86" s="175">
        <v>571</v>
      </c>
      <c r="MD86" s="139">
        <v>1.4800000000000002</v>
      </c>
      <c r="ME86" s="140">
        <f t="shared" si="289"/>
        <v>845.08000000000015</v>
      </c>
      <c r="MF86" s="159">
        <f>SUM(ME83:ME86)</f>
        <v>1451.9527301587304</v>
      </c>
      <c r="MG86" s="528"/>
      <c r="MH86" s="145"/>
      <c r="MI86" s="146"/>
      <c r="MJ86" s="157" t="s">
        <v>79</v>
      </c>
      <c r="MK86" s="175">
        <v>1232</v>
      </c>
      <c r="ML86" s="139">
        <v>1.4800000000000002</v>
      </c>
      <c r="MM86" s="140">
        <f t="shared" si="290"/>
        <v>1823.3600000000004</v>
      </c>
      <c r="MN86" s="159">
        <f>SUM(MM83:MM86)</f>
        <v>3565.5442539682545</v>
      </c>
      <c r="MO86" s="528"/>
      <c r="MP86" s="145"/>
      <c r="MQ86" s="146"/>
      <c r="MR86" s="157" t="s">
        <v>79</v>
      </c>
      <c r="MS86" s="175">
        <v>802</v>
      </c>
      <c r="MT86" s="139">
        <v>1.4800000000000002</v>
      </c>
      <c r="MU86" s="140">
        <f t="shared" si="291"/>
        <v>1186.9600000000003</v>
      </c>
      <c r="MV86" s="159">
        <f>SUM(MU83:MU86)</f>
        <v>2016.5496825396829</v>
      </c>
      <c r="MW86" s="528"/>
      <c r="MX86" s="155" t="s">
        <v>72</v>
      </c>
      <c r="MY86" s="156">
        <v>34</v>
      </c>
      <c r="MZ86" s="157" t="s">
        <v>10</v>
      </c>
      <c r="NA86" s="175">
        <v>173</v>
      </c>
      <c r="NB86" s="139">
        <v>7.5448192771084326</v>
      </c>
      <c r="NC86" s="140">
        <f t="shared" si="292"/>
        <v>1305.2537349397589</v>
      </c>
      <c r="ND86" s="149"/>
      <c r="NE86" s="528"/>
      <c r="NF86" s="155" t="s">
        <v>72</v>
      </c>
      <c r="NG86" s="156">
        <v>22</v>
      </c>
      <c r="NH86" s="157" t="s">
        <v>10</v>
      </c>
      <c r="NI86" s="175">
        <v>1211</v>
      </c>
      <c r="NJ86" s="139">
        <v>7.5448192771084326</v>
      </c>
      <c r="NK86" s="140">
        <f t="shared" si="293"/>
        <v>9136.7761445783126</v>
      </c>
      <c r="NL86" s="149"/>
      <c r="NM86" s="528"/>
      <c r="NN86" s="155" t="s">
        <v>72</v>
      </c>
      <c r="NO86" s="156">
        <v>14</v>
      </c>
      <c r="NP86" s="157" t="s">
        <v>10</v>
      </c>
      <c r="NQ86" s="175">
        <v>122</v>
      </c>
      <c r="NR86" s="139">
        <v>7.5448192771084326</v>
      </c>
      <c r="NS86" s="140">
        <f t="shared" si="294"/>
        <v>920.46795180722881</v>
      </c>
      <c r="NT86" s="149"/>
      <c r="NU86" s="528"/>
      <c r="NV86" s="155" t="s">
        <v>72</v>
      </c>
      <c r="NW86" s="156">
        <v>15</v>
      </c>
      <c r="NX86" s="157" t="s">
        <v>10</v>
      </c>
      <c r="NY86" s="175">
        <v>131</v>
      </c>
      <c r="NZ86" s="139">
        <v>7.5448192771084326</v>
      </c>
      <c r="OA86" s="140">
        <f t="shared" si="295"/>
        <v>988.37132530120471</v>
      </c>
      <c r="OB86" s="149"/>
      <c r="OC86" s="528"/>
      <c r="OD86" s="155" t="s">
        <v>72</v>
      </c>
      <c r="OE86" s="156">
        <v>21</v>
      </c>
      <c r="OF86" s="157" t="s">
        <v>10</v>
      </c>
      <c r="OG86" s="175">
        <v>265</v>
      </c>
      <c r="OH86" s="139">
        <v>7.5448192771084326</v>
      </c>
      <c r="OI86" s="140">
        <f t="shared" si="296"/>
        <v>1999.3771084337347</v>
      </c>
      <c r="OJ86" s="149"/>
      <c r="OK86" s="528"/>
      <c r="OL86" s="155" t="s">
        <v>72</v>
      </c>
      <c r="OM86" s="156">
        <v>6</v>
      </c>
      <c r="ON86" s="157" t="s">
        <v>10</v>
      </c>
      <c r="OO86" s="175">
        <v>13</v>
      </c>
      <c r="OP86" s="139">
        <v>7.5448192771084326</v>
      </c>
      <c r="OQ86" s="140">
        <f t="shared" si="297"/>
        <v>98.082650602409629</v>
      </c>
      <c r="OR86" s="149"/>
      <c r="OS86" s="528"/>
      <c r="OT86" s="155" t="s">
        <v>72</v>
      </c>
      <c r="OU86" s="156"/>
      <c r="OV86" s="157" t="s">
        <v>10</v>
      </c>
      <c r="OW86" s="175"/>
      <c r="OX86" s="139">
        <v>7.5448192771084326</v>
      </c>
      <c r="OY86" s="140">
        <f t="shared" si="298"/>
        <v>0</v>
      </c>
      <c r="OZ86" s="149"/>
      <c r="PA86" s="528"/>
      <c r="PB86" s="155" t="s">
        <v>72</v>
      </c>
      <c r="PC86" s="156"/>
      <c r="PD86" s="157" t="s">
        <v>10</v>
      </c>
      <c r="PE86" s="175"/>
      <c r="PF86" s="139">
        <v>7.5448192771084326</v>
      </c>
      <c r="PG86" s="140">
        <f t="shared" si="299"/>
        <v>0</v>
      </c>
      <c r="PH86" s="149"/>
      <c r="PI86" s="528"/>
      <c r="PJ86" s="155" t="s">
        <v>72</v>
      </c>
      <c r="PK86" s="156">
        <v>4</v>
      </c>
      <c r="PL86" s="157" t="s">
        <v>10</v>
      </c>
      <c r="PM86" s="175">
        <v>14</v>
      </c>
      <c r="PN86" s="139">
        <v>7.5448192771084326</v>
      </c>
      <c r="PO86" s="140">
        <f t="shared" si="300"/>
        <v>105.62746987951806</v>
      </c>
      <c r="PP86" s="149"/>
      <c r="PQ86" s="528"/>
      <c r="PR86" s="155" t="s">
        <v>72</v>
      </c>
      <c r="PS86" s="156">
        <v>6</v>
      </c>
      <c r="PT86" s="157" t="s">
        <v>10</v>
      </c>
      <c r="PU86" s="175">
        <v>60</v>
      </c>
      <c r="PV86" s="139">
        <v>7.5448192771084326</v>
      </c>
      <c r="PW86" s="140">
        <f t="shared" si="301"/>
        <v>452.68915662650596</v>
      </c>
      <c r="PX86" s="149"/>
      <c r="PY86" s="528"/>
      <c r="PZ86" s="155" t="s">
        <v>72</v>
      </c>
      <c r="QA86" s="156">
        <v>10</v>
      </c>
      <c r="QB86" s="157" t="s">
        <v>10</v>
      </c>
      <c r="QC86" s="175">
        <v>43</v>
      </c>
      <c r="QD86" s="139">
        <v>7.5448192771084326</v>
      </c>
      <c r="QE86" s="140">
        <f t="shared" si="302"/>
        <v>324.42722891566262</v>
      </c>
      <c r="QF86" s="149"/>
      <c r="QG86" s="528"/>
      <c r="QH86" s="155" t="s">
        <v>72</v>
      </c>
      <c r="QI86" s="156">
        <v>13</v>
      </c>
      <c r="QJ86" s="157" t="s">
        <v>10</v>
      </c>
      <c r="QK86" s="175">
        <v>233</v>
      </c>
      <c r="QL86" s="139">
        <v>7.5448192771084326</v>
      </c>
      <c r="QM86" s="140">
        <f t="shared" si="303"/>
        <v>1757.9428915662647</v>
      </c>
      <c r="QN86" s="149"/>
      <c r="QO86" s="528"/>
      <c r="QP86" s="155" t="s">
        <v>72</v>
      </c>
      <c r="QQ86" s="156">
        <v>20</v>
      </c>
      <c r="QR86" s="157" t="s">
        <v>10</v>
      </c>
      <c r="QS86" s="175">
        <v>213</v>
      </c>
      <c r="QT86" s="139">
        <v>7.5448192771084326</v>
      </c>
      <c r="QU86" s="140">
        <f t="shared" si="304"/>
        <v>1607.0465060240961</v>
      </c>
      <c r="QV86" s="149"/>
      <c r="QW86" s="528"/>
      <c r="QX86" s="155" t="s">
        <v>72</v>
      </c>
      <c r="QY86" s="156"/>
      <c r="QZ86" s="157" t="s">
        <v>10</v>
      </c>
      <c r="RA86" s="175"/>
      <c r="RB86" s="139">
        <v>7.5448192771084326</v>
      </c>
      <c r="RC86" s="140">
        <f t="shared" si="305"/>
        <v>0</v>
      </c>
      <c r="RD86" s="149"/>
      <c r="RE86" s="528"/>
      <c r="RF86" s="155" t="s">
        <v>72</v>
      </c>
      <c r="RG86" s="156"/>
      <c r="RH86" s="157" t="s">
        <v>10</v>
      </c>
      <c r="RI86" s="175"/>
      <c r="RJ86" s="139">
        <v>7.5448192771084326</v>
      </c>
      <c r="RK86" s="140">
        <f t="shared" si="306"/>
        <v>0</v>
      </c>
      <c r="RL86" s="149"/>
      <c r="RM86" s="528"/>
      <c r="RN86" s="155" t="s">
        <v>72</v>
      </c>
      <c r="RO86" s="156">
        <v>24</v>
      </c>
      <c r="RP86" s="157" t="s">
        <v>10</v>
      </c>
      <c r="RQ86" s="175">
        <v>263</v>
      </c>
      <c r="RR86" s="139">
        <v>7.5448192771084326</v>
      </c>
      <c r="RS86" s="140">
        <f t="shared" si="307"/>
        <v>1984.2874698795179</v>
      </c>
      <c r="RT86" s="149"/>
      <c r="RU86" s="528"/>
      <c r="RV86" s="155" t="s">
        <v>72</v>
      </c>
      <c r="RW86" s="156">
        <v>17</v>
      </c>
      <c r="RX86" s="157" t="s">
        <v>10</v>
      </c>
      <c r="RY86" s="175">
        <v>106</v>
      </c>
      <c r="RZ86" s="139">
        <v>7.5448192771084326</v>
      </c>
      <c r="SA86" s="140">
        <f t="shared" si="308"/>
        <v>799.75084337349381</v>
      </c>
      <c r="SB86" s="149"/>
      <c r="SC86" s="528"/>
      <c r="SD86" s="155" t="s">
        <v>72</v>
      </c>
      <c r="SE86" s="156">
        <v>16</v>
      </c>
      <c r="SF86" s="157" t="s">
        <v>10</v>
      </c>
      <c r="SG86" s="175">
        <v>56</v>
      </c>
      <c r="SH86" s="139">
        <v>7.5448192771084326</v>
      </c>
      <c r="SI86" s="140">
        <f t="shared" si="309"/>
        <v>422.50987951807224</v>
      </c>
      <c r="SJ86" s="149"/>
      <c r="SK86" s="528"/>
      <c r="SL86" s="155" t="s">
        <v>72</v>
      </c>
      <c r="SM86" s="156">
        <v>8</v>
      </c>
      <c r="SN86" s="157" t="s">
        <v>10</v>
      </c>
      <c r="SO86" s="175">
        <v>29</v>
      </c>
      <c r="SP86" s="139">
        <v>7.5448192771084326</v>
      </c>
      <c r="SQ86" s="140">
        <f t="shared" si="310"/>
        <v>218.79975903614454</v>
      </c>
      <c r="SR86" s="149"/>
      <c r="SS86" s="528"/>
      <c r="ST86" s="155" t="s">
        <v>72</v>
      </c>
      <c r="SU86" s="156">
        <v>2</v>
      </c>
      <c r="SV86" s="157" t="s">
        <v>10</v>
      </c>
      <c r="SW86" s="175">
        <v>8</v>
      </c>
      <c r="SX86" s="139">
        <v>7.5448192771084326</v>
      </c>
      <c r="SY86" s="140">
        <f t="shared" si="311"/>
        <v>60.358554216867461</v>
      </c>
      <c r="SZ86" s="149"/>
      <c r="TA86" s="528"/>
      <c r="TB86" s="155" t="s">
        <v>72</v>
      </c>
      <c r="TC86" s="156">
        <v>8</v>
      </c>
      <c r="TD86" s="157" t="s">
        <v>10</v>
      </c>
      <c r="TE86" s="175">
        <v>94</v>
      </c>
      <c r="TF86" s="139">
        <v>7.5448192771084326</v>
      </c>
      <c r="TG86" s="140">
        <f t="shared" si="312"/>
        <v>709.2130120481927</v>
      </c>
      <c r="TH86" s="149"/>
      <c r="TI86" s="528"/>
    </row>
    <row r="87" spans="2:529">
      <c r="B87" s="162" t="s">
        <v>81</v>
      </c>
      <c r="C87" s="163">
        <v>38</v>
      </c>
      <c r="D87" s="157" t="s">
        <v>14</v>
      </c>
      <c r="E87" s="138">
        <v>402</v>
      </c>
      <c r="F87" s="172">
        <v>1.7113846153846155</v>
      </c>
      <c r="G87" s="140">
        <f t="shared" si="247"/>
        <v>687.97661538461546</v>
      </c>
      <c r="H87" s="159">
        <f>E87*F87</f>
        <v>687.97661538461546</v>
      </c>
      <c r="I87" s="528"/>
      <c r="J87" s="162" t="s">
        <v>81</v>
      </c>
      <c r="K87" s="163">
        <v>24</v>
      </c>
      <c r="L87" s="157" t="s">
        <v>14</v>
      </c>
      <c r="M87" s="138">
        <v>515</v>
      </c>
      <c r="N87" s="172">
        <v>1.7113846153846155</v>
      </c>
      <c r="O87" s="140">
        <f t="shared" si="248"/>
        <v>881.36307692307696</v>
      </c>
      <c r="P87" s="159">
        <f>M87*N87</f>
        <v>881.36307692307696</v>
      </c>
      <c r="Q87" s="528"/>
      <c r="R87" s="162" t="s">
        <v>81</v>
      </c>
      <c r="S87" s="163">
        <v>2</v>
      </c>
      <c r="T87" s="157" t="s">
        <v>14</v>
      </c>
      <c r="U87" s="138">
        <v>4</v>
      </c>
      <c r="V87" s="172">
        <v>1.7113846153846155</v>
      </c>
      <c r="W87" s="140">
        <f t="shared" si="249"/>
        <v>6.845538461538462</v>
      </c>
      <c r="X87" s="159">
        <f>U87*V87</f>
        <v>6.845538461538462</v>
      </c>
      <c r="Y87" s="528"/>
      <c r="Z87" s="162" t="s">
        <v>81</v>
      </c>
      <c r="AA87" s="163">
        <v>25</v>
      </c>
      <c r="AB87" s="157" t="s">
        <v>14</v>
      </c>
      <c r="AC87" s="138">
        <v>1506</v>
      </c>
      <c r="AD87" s="172">
        <v>1.7113846153846155</v>
      </c>
      <c r="AE87" s="140">
        <f t="shared" si="250"/>
        <v>2577.345230769231</v>
      </c>
      <c r="AF87" s="159">
        <f>AC87*AD87</f>
        <v>2577.345230769231</v>
      </c>
      <c r="AG87" s="528"/>
      <c r="AH87" s="162" t="s">
        <v>81</v>
      </c>
      <c r="AI87" s="163"/>
      <c r="AJ87" s="157" t="s">
        <v>14</v>
      </c>
      <c r="AK87" s="138">
        <v>0</v>
      </c>
      <c r="AL87" s="172">
        <v>1.7113846153846155</v>
      </c>
      <c r="AM87" s="140">
        <f t="shared" si="251"/>
        <v>0</v>
      </c>
      <c r="AN87" s="159">
        <f>AK87*AL87</f>
        <v>0</v>
      </c>
      <c r="AO87" s="528"/>
      <c r="AP87" s="162" t="s">
        <v>81</v>
      </c>
      <c r="AQ87" s="163">
        <v>29</v>
      </c>
      <c r="AR87" s="157" t="s">
        <v>14</v>
      </c>
      <c r="AS87" s="138">
        <v>760</v>
      </c>
      <c r="AT87" s="172">
        <v>1.7113846153846155</v>
      </c>
      <c r="AU87" s="140">
        <f t="shared" si="252"/>
        <v>1300.6523076923079</v>
      </c>
      <c r="AV87" s="159">
        <f>AS87*AT87</f>
        <v>1300.6523076923079</v>
      </c>
      <c r="AW87" s="528"/>
      <c r="AX87" s="162" t="s">
        <v>81</v>
      </c>
      <c r="AY87" s="163"/>
      <c r="AZ87" s="157" t="s">
        <v>14</v>
      </c>
      <c r="BA87" s="138"/>
      <c r="BB87" s="172">
        <v>1.7113846153846155</v>
      </c>
      <c r="BC87" s="140">
        <f t="shared" si="253"/>
        <v>0</v>
      </c>
      <c r="BD87" s="159">
        <f>BA87*BB87</f>
        <v>0</v>
      </c>
      <c r="BE87" s="528"/>
      <c r="BF87" s="162" t="s">
        <v>81</v>
      </c>
      <c r="BG87" s="163">
        <v>28</v>
      </c>
      <c r="BH87" s="157" t="s">
        <v>14</v>
      </c>
      <c r="BI87" s="138">
        <v>580</v>
      </c>
      <c r="BJ87" s="172">
        <v>1.7113846153846155</v>
      </c>
      <c r="BK87" s="140">
        <f t="shared" si="254"/>
        <v>992.60307692307697</v>
      </c>
      <c r="BL87" s="159">
        <f>BI87*BJ87</f>
        <v>992.60307692307697</v>
      </c>
      <c r="BM87" s="528"/>
      <c r="BN87" s="162" t="s">
        <v>81</v>
      </c>
      <c r="BO87" s="163">
        <v>21</v>
      </c>
      <c r="BP87" s="157" t="s">
        <v>14</v>
      </c>
      <c r="BQ87" s="138">
        <v>657</v>
      </c>
      <c r="BR87" s="172">
        <v>1.7113846153846155</v>
      </c>
      <c r="BS87" s="140">
        <f t="shared" si="255"/>
        <v>1124.3796923076925</v>
      </c>
      <c r="BT87" s="159">
        <f>BQ87*BR87</f>
        <v>1124.3796923076925</v>
      </c>
      <c r="BU87" s="528"/>
      <c r="BV87" s="578" t="s">
        <v>81</v>
      </c>
      <c r="BW87" s="579"/>
      <c r="BX87" s="574" t="s">
        <v>14</v>
      </c>
      <c r="BY87" s="560"/>
      <c r="BZ87" s="587">
        <v>1.7113846153846155</v>
      </c>
      <c r="CA87" s="562">
        <f t="shared" si="256"/>
        <v>0</v>
      </c>
      <c r="CB87" s="575">
        <f>BY87*BZ87</f>
        <v>0</v>
      </c>
      <c r="CC87" s="528"/>
      <c r="CD87" s="578" t="s">
        <v>81</v>
      </c>
      <c r="CE87" s="579"/>
      <c r="CF87" s="574" t="s">
        <v>14</v>
      </c>
      <c r="CG87" s="560"/>
      <c r="CH87" s="587">
        <v>1.7113846153846155</v>
      </c>
      <c r="CI87" s="562">
        <f t="shared" si="257"/>
        <v>0</v>
      </c>
      <c r="CJ87" s="575">
        <f>CG87*CH87</f>
        <v>0</v>
      </c>
      <c r="CK87" s="528"/>
      <c r="CL87" s="162" t="s">
        <v>81</v>
      </c>
      <c r="CM87" s="163"/>
      <c r="CN87" s="157" t="s">
        <v>14</v>
      </c>
      <c r="CO87" s="138"/>
      <c r="CP87" s="172">
        <v>1.7113846153846155</v>
      </c>
      <c r="CQ87" s="140">
        <f t="shared" si="258"/>
        <v>0</v>
      </c>
      <c r="CR87" s="159">
        <f>CO87*CP87</f>
        <v>0</v>
      </c>
      <c r="CS87" s="528"/>
      <c r="CT87" s="162" t="s">
        <v>81</v>
      </c>
      <c r="CU87" s="163">
        <v>13</v>
      </c>
      <c r="CV87" s="157" t="s">
        <v>14</v>
      </c>
      <c r="CW87" s="138">
        <v>662</v>
      </c>
      <c r="CX87" s="172">
        <v>1.7113846153846155</v>
      </c>
      <c r="CY87" s="140">
        <f t="shared" si="259"/>
        <v>1132.9366153846154</v>
      </c>
      <c r="CZ87" s="159">
        <f>CW87*CX87</f>
        <v>1132.9366153846154</v>
      </c>
      <c r="DA87" s="528"/>
      <c r="DB87" s="162" t="s">
        <v>81</v>
      </c>
      <c r="DC87" s="163"/>
      <c r="DD87" s="157" t="s">
        <v>14</v>
      </c>
      <c r="DE87" s="138"/>
      <c r="DF87" s="172">
        <v>1.7113846153846155</v>
      </c>
      <c r="DG87" s="140">
        <f t="shared" si="260"/>
        <v>0</v>
      </c>
      <c r="DH87" s="159">
        <f>DE87*DF87</f>
        <v>0</v>
      </c>
      <c r="DI87" s="528"/>
      <c r="DJ87" s="162" t="s">
        <v>81</v>
      </c>
      <c r="DK87" s="163">
        <v>51</v>
      </c>
      <c r="DL87" s="157" t="s">
        <v>14</v>
      </c>
      <c r="DM87" s="138">
        <v>699</v>
      </c>
      <c r="DN87" s="172">
        <v>1.7113846153846155</v>
      </c>
      <c r="DO87" s="140">
        <f t="shared" si="261"/>
        <v>1196.2578461538462</v>
      </c>
      <c r="DP87" s="159">
        <f>DM87*DN87</f>
        <v>1196.2578461538462</v>
      </c>
      <c r="DQ87" s="528"/>
      <c r="DR87" s="162" t="s">
        <v>81</v>
      </c>
      <c r="DS87" s="163">
        <v>50</v>
      </c>
      <c r="DT87" s="157" t="s">
        <v>14</v>
      </c>
      <c r="DU87" s="138">
        <v>621</v>
      </c>
      <c r="DV87" s="172">
        <v>1.7113846153846155</v>
      </c>
      <c r="DW87" s="140">
        <f t="shared" si="262"/>
        <v>1062.7698461538462</v>
      </c>
      <c r="DX87" s="159">
        <f>DU87*DV87</f>
        <v>1062.7698461538462</v>
      </c>
      <c r="DY87" s="528"/>
      <c r="DZ87" s="162" t="s">
        <v>81</v>
      </c>
      <c r="EA87" s="163">
        <v>72</v>
      </c>
      <c r="EB87" s="157" t="s">
        <v>14</v>
      </c>
      <c r="EC87" s="138">
        <v>817</v>
      </c>
      <c r="ED87" s="172">
        <v>1.7113846153846155</v>
      </c>
      <c r="EE87" s="140">
        <f t="shared" si="263"/>
        <v>1398.201230769231</v>
      </c>
      <c r="EF87" s="159">
        <f>EC87*ED87</f>
        <v>1398.201230769231</v>
      </c>
      <c r="EG87" s="528"/>
      <c r="EH87" s="162" t="s">
        <v>81</v>
      </c>
      <c r="EI87" s="163">
        <v>29</v>
      </c>
      <c r="EJ87" s="157" t="s">
        <v>14</v>
      </c>
      <c r="EK87" s="138">
        <v>241</v>
      </c>
      <c r="EL87" s="172">
        <v>1.7113846153846155</v>
      </c>
      <c r="EM87" s="140">
        <f t="shared" si="264"/>
        <v>412.44369230769234</v>
      </c>
      <c r="EN87" s="159">
        <f>EK87*EL87</f>
        <v>412.44369230769234</v>
      </c>
      <c r="EO87" s="528"/>
      <c r="EP87" s="162" t="s">
        <v>81</v>
      </c>
      <c r="EQ87" s="163">
        <v>0</v>
      </c>
      <c r="ER87" s="157" t="s">
        <v>14</v>
      </c>
      <c r="ES87" s="138">
        <v>0</v>
      </c>
      <c r="ET87" s="172">
        <v>1.7113846153846155</v>
      </c>
      <c r="EU87" s="140">
        <f t="shared" si="265"/>
        <v>0</v>
      </c>
      <c r="EV87" s="159">
        <f>ES87*ET87</f>
        <v>0</v>
      </c>
      <c r="EW87" s="528"/>
      <c r="EX87" s="162" t="s">
        <v>81</v>
      </c>
      <c r="EY87" s="163"/>
      <c r="EZ87" s="157" t="s">
        <v>14</v>
      </c>
      <c r="FA87" s="138"/>
      <c r="FB87" s="172">
        <v>1.7113846153846155</v>
      </c>
      <c r="FC87" s="140">
        <f t="shared" si="266"/>
        <v>0</v>
      </c>
      <c r="FD87" s="159">
        <f>FA87*FB87</f>
        <v>0</v>
      </c>
      <c r="FE87" s="528"/>
      <c r="FF87" s="162" t="s">
        <v>81</v>
      </c>
      <c r="FG87" s="163"/>
      <c r="FH87" s="157" t="s">
        <v>14</v>
      </c>
      <c r="FI87" s="138"/>
      <c r="FJ87" s="172">
        <v>1.7113846153846155</v>
      </c>
      <c r="FK87" s="140">
        <f t="shared" si="267"/>
        <v>0</v>
      </c>
      <c r="FL87" s="159">
        <f>FI87*FJ87</f>
        <v>0</v>
      </c>
      <c r="FM87" s="528"/>
      <c r="FN87" s="162" t="s">
        <v>81</v>
      </c>
      <c r="FO87" s="163"/>
      <c r="FP87" s="157" t="s">
        <v>14</v>
      </c>
      <c r="FQ87" s="138"/>
      <c r="FR87" s="172">
        <v>1.7113846153846155</v>
      </c>
      <c r="FS87" s="140">
        <f t="shared" si="268"/>
        <v>0</v>
      </c>
      <c r="FT87" s="159">
        <f>FQ87*FR87</f>
        <v>0</v>
      </c>
      <c r="FU87" s="528"/>
      <c r="FV87" s="162" t="s">
        <v>81</v>
      </c>
      <c r="FW87" s="163"/>
      <c r="FX87" s="157" t="s">
        <v>14</v>
      </c>
      <c r="FY87" s="138"/>
      <c r="FZ87" s="172">
        <v>1.7113846153846155</v>
      </c>
      <c r="GA87" s="140">
        <f t="shared" si="269"/>
        <v>0</v>
      </c>
      <c r="GB87" s="159">
        <f>FY87*FZ87</f>
        <v>0</v>
      </c>
      <c r="GC87" s="528"/>
      <c r="GD87" s="162" t="s">
        <v>81</v>
      </c>
      <c r="GE87" s="163"/>
      <c r="GF87" s="157" t="s">
        <v>14</v>
      </c>
      <c r="GG87" s="138"/>
      <c r="GH87" s="172">
        <v>1.7113846153846155</v>
      </c>
      <c r="GI87" s="140">
        <f t="shared" si="270"/>
        <v>0</v>
      </c>
      <c r="GJ87" s="159">
        <f>GG87*GH87</f>
        <v>0</v>
      </c>
      <c r="GK87" s="528"/>
      <c r="GL87" s="162" t="s">
        <v>81</v>
      </c>
      <c r="GM87" s="163">
        <v>13</v>
      </c>
      <c r="GN87" s="157" t="s">
        <v>14</v>
      </c>
      <c r="GO87" s="138">
        <f>'[1]Jan_18_Vol weekly-Data-Entry'!$AC$226</f>
        <v>0</v>
      </c>
      <c r="GP87" s="172">
        <v>1.7113846153846155</v>
      </c>
      <c r="GQ87" s="140">
        <f t="shared" si="271"/>
        <v>0</v>
      </c>
      <c r="GR87" s="159">
        <f>GO87*GP87</f>
        <v>0</v>
      </c>
      <c r="GS87" s="528"/>
      <c r="GT87" s="162" t="s">
        <v>81</v>
      </c>
      <c r="GU87" s="163">
        <v>6</v>
      </c>
      <c r="GV87" s="157" t="s">
        <v>14</v>
      </c>
      <c r="GW87" s="138">
        <v>845</v>
      </c>
      <c r="GX87" s="172">
        <v>1.7113846153846155</v>
      </c>
      <c r="GY87" s="140">
        <f t="shared" si="272"/>
        <v>1446.1200000000001</v>
      </c>
      <c r="GZ87" s="159">
        <f>GW87*GX87</f>
        <v>1446.1200000000001</v>
      </c>
      <c r="HA87" s="528"/>
      <c r="HB87" s="162" t="s">
        <v>81</v>
      </c>
      <c r="HC87" s="163">
        <v>0</v>
      </c>
      <c r="HD87" s="157" t="s">
        <v>14</v>
      </c>
      <c r="HE87" s="138">
        <v>0</v>
      </c>
      <c r="HF87" s="172">
        <v>1.7113846153846155</v>
      </c>
      <c r="HG87" s="140">
        <f t="shared" si="273"/>
        <v>0</v>
      </c>
      <c r="HH87" s="159">
        <f>HE87*HF87</f>
        <v>0</v>
      </c>
      <c r="HI87" s="528"/>
      <c r="HJ87" s="162" t="s">
        <v>81</v>
      </c>
      <c r="HK87" s="163">
        <v>60</v>
      </c>
      <c r="HL87" s="157" t="s">
        <v>14</v>
      </c>
      <c r="HM87" s="138">
        <v>552</v>
      </c>
      <c r="HN87" s="172">
        <v>1.7113846153846155</v>
      </c>
      <c r="HO87" s="140">
        <f t="shared" si="274"/>
        <v>944.68430769230781</v>
      </c>
      <c r="HP87" s="159">
        <f>HM87*HN87</f>
        <v>944.68430769230781</v>
      </c>
      <c r="HQ87" s="528"/>
      <c r="HR87" s="162" t="s">
        <v>81</v>
      </c>
      <c r="HS87" s="163">
        <v>55</v>
      </c>
      <c r="HT87" s="157" t="s">
        <v>14</v>
      </c>
      <c r="HU87" s="138">
        <v>713</v>
      </c>
      <c r="HV87" s="172">
        <v>1.7113846153846155</v>
      </c>
      <c r="HW87" s="140">
        <f t="shared" si="275"/>
        <v>1220.2172307692308</v>
      </c>
      <c r="HX87" s="159">
        <f>HU87*HV87</f>
        <v>1220.2172307692308</v>
      </c>
      <c r="HY87" s="528"/>
      <c r="HZ87" s="162" t="s">
        <v>81</v>
      </c>
      <c r="IA87" s="163">
        <v>55</v>
      </c>
      <c r="IB87" s="157" t="s">
        <v>14</v>
      </c>
      <c r="IC87" s="138">
        <v>713</v>
      </c>
      <c r="ID87" s="172">
        <v>1.7113846153846155</v>
      </c>
      <c r="IE87" s="140">
        <f t="shared" si="276"/>
        <v>1220.2172307692308</v>
      </c>
      <c r="IF87" s="159">
        <f>IC87*ID87</f>
        <v>1220.2172307692308</v>
      </c>
      <c r="IG87" s="528"/>
      <c r="IH87" s="162" t="s">
        <v>81</v>
      </c>
      <c r="II87" s="163">
        <v>53</v>
      </c>
      <c r="IJ87" s="157" t="s">
        <v>14</v>
      </c>
      <c r="IK87" s="138">
        <v>768</v>
      </c>
      <c r="IL87" s="172">
        <v>1.7113846153846155</v>
      </c>
      <c r="IM87" s="140">
        <f t="shared" si="277"/>
        <v>1314.3433846153848</v>
      </c>
      <c r="IN87" s="159">
        <f>IK87*IL87</f>
        <v>1314.3433846153848</v>
      </c>
      <c r="IO87" s="528"/>
      <c r="IP87" s="162" t="s">
        <v>81</v>
      </c>
      <c r="IQ87" s="163">
        <v>27</v>
      </c>
      <c r="IR87" s="157" t="s">
        <v>14</v>
      </c>
      <c r="IS87" s="138">
        <v>847</v>
      </c>
      <c r="IT87" s="172">
        <v>1.7113846153846155</v>
      </c>
      <c r="IU87" s="140">
        <f t="shared" si="278"/>
        <v>1449.5427692307694</v>
      </c>
      <c r="IV87" s="159">
        <f>IS87*IT87</f>
        <v>1449.5427692307694</v>
      </c>
      <c r="IW87" s="528"/>
      <c r="IX87" s="162" t="s">
        <v>81</v>
      </c>
      <c r="IY87" s="163">
        <v>57</v>
      </c>
      <c r="IZ87" s="157" t="s">
        <v>14</v>
      </c>
      <c r="JA87" s="138">
        <v>1170</v>
      </c>
      <c r="JB87" s="172">
        <v>1.7113846153846155</v>
      </c>
      <c r="JC87" s="140">
        <f t="shared" si="279"/>
        <v>2002.3200000000002</v>
      </c>
      <c r="JD87" s="159">
        <f>JA87*JB87</f>
        <v>2002.3200000000002</v>
      </c>
      <c r="JE87" s="528"/>
      <c r="JF87" s="162" t="s">
        <v>81</v>
      </c>
      <c r="JG87" s="163">
        <v>5</v>
      </c>
      <c r="JH87" s="157" t="s">
        <v>14</v>
      </c>
      <c r="JI87" s="138">
        <v>364</v>
      </c>
      <c r="JJ87" s="172">
        <v>1.7113846153846155</v>
      </c>
      <c r="JK87" s="140">
        <f t="shared" si="280"/>
        <v>622.94400000000007</v>
      </c>
      <c r="JL87" s="159">
        <f>JI87*JJ87</f>
        <v>622.94400000000007</v>
      </c>
      <c r="JM87" s="528"/>
      <c r="JN87" s="162" t="s">
        <v>81</v>
      </c>
      <c r="JO87" s="163">
        <v>0</v>
      </c>
      <c r="JP87" s="157" t="s">
        <v>14</v>
      </c>
      <c r="JQ87" s="138">
        <v>0</v>
      </c>
      <c r="JR87" s="172">
        <v>1.7113846153846155</v>
      </c>
      <c r="JS87" s="140">
        <f t="shared" si="281"/>
        <v>0</v>
      </c>
      <c r="JT87" s="159">
        <f>JQ87*JR87</f>
        <v>0</v>
      </c>
      <c r="JU87" s="528"/>
      <c r="JV87" s="162" t="s">
        <v>81</v>
      </c>
      <c r="JW87" s="163">
        <v>42</v>
      </c>
      <c r="JX87" s="157" t="s">
        <v>14</v>
      </c>
      <c r="JY87" s="138">
        <v>501</v>
      </c>
      <c r="JZ87" s="172">
        <v>1.7113846153846155</v>
      </c>
      <c r="KA87" s="140">
        <f t="shared" si="282"/>
        <v>857.40369230769238</v>
      </c>
      <c r="KB87" s="159">
        <f>JY87*JZ87</f>
        <v>857.40369230769238</v>
      </c>
      <c r="KC87" s="528"/>
      <c r="KD87" s="162" t="s">
        <v>81</v>
      </c>
      <c r="KE87" s="163">
        <v>1</v>
      </c>
      <c r="KF87" s="157" t="s">
        <v>14</v>
      </c>
      <c r="KG87" s="138">
        <v>16</v>
      </c>
      <c r="KH87" s="172">
        <v>1.7113846153846155</v>
      </c>
      <c r="KI87" s="140">
        <f t="shared" si="283"/>
        <v>27.382153846153848</v>
      </c>
      <c r="KJ87" s="159">
        <f>KG87*KH87</f>
        <v>27.382153846153848</v>
      </c>
      <c r="KK87" s="528"/>
      <c r="KL87" s="162" t="s">
        <v>81</v>
      </c>
      <c r="KM87" s="163">
        <v>24</v>
      </c>
      <c r="KN87" s="157" t="s">
        <v>14</v>
      </c>
      <c r="KO87" s="138">
        <v>515</v>
      </c>
      <c r="KP87" s="172">
        <v>1.7113846153846155</v>
      </c>
      <c r="KQ87" s="140">
        <f t="shared" si="284"/>
        <v>881.36307692307696</v>
      </c>
      <c r="KR87" s="159">
        <f>KO87*KP87</f>
        <v>881.36307692307696</v>
      </c>
      <c r="KS87" s="528"/>
      <c r="KT87" s="162" t="s">
        <v>81</v>
      </c>
      <c r="KU87" s="163">
        <v>47</v>
      </c>
      <c r="KV87" s="157" t="s">
        <v>14</v>
      </c>
      <c r="KW87" s="138">
        <v>709</v>
      </c>
      <c r="KX87" s="172">
        <v>1.7113846153846155</v>
      </c>
      <c r="KY87" s="140">
        <f t="shared" si="285"/>
        <v>1213.3716923076925</v>
      </c>
      <c r="KZ87" s="159">
        <f>KW87*KX87</f>
        <v>1213.3716923076925</v>
      </c>
      <c r="LA87" s="528"/>
      <c r="LB87" s="162" t="s">
        <v>81</v>
      </c>
      <c r="LC87" s="163">
        <v>30</v>
      </c>
      <c r="LD87" s="157" t="s">
        <v>14</v>
      </c>
      <c r="LE87" s="138">
        <v>230</v>
      </c>
      <c r="LF87" s="172">
        <v>1.7113846153846155</v>
      </c>
      <c r="LG87" s="140">
        <f t="shared" si="286"/>
        <v>393.61846153846159</v>
      </c>
      <c r="LH87" s="159">
        <f>LE87*LF87</f>
        <v>393.61846153846159</v>
      </c>
      <c r="LI87" s="528"/>
      <c r="LJ87" s="162" t="s">
        <v>81</v>
      </c>
      <c r="LK87" s="163">
        <v>59</v>
      </c>
      <c r="LL87" s="157" t="s">
        <v>14</v>
      </c>
      <c r="LM87" s="175">
        <v>750</v>
      </c>
      <c r="LN87" s="164">
        <v>1.7113846153846155</v>
      </c>
      <c r="LO87" s="140">
        <f t="shared" si="287"/>
        <v>1283.5384615384617</v>
      </c>
      <c r="LP87" s="159">
        <f>LM87*LN87</f>
        <v>1283.5384615384617</v>
      </c>
      <c r="LQ87" s="528"/>
      <c r="LR87" s="162" t="s">
        <v>81</v>
      </c>
      <c r="LS87" s="163">
        <v>34</v>
      </c>
      <c r="LT87" s="157" t="s">
        <v>14</v>
      </c>
      <c r="LU87" s="175">
        <v>366</v>
      </c>
      <c r="LV87" s="164">
        <v>1.7113846153846155</v>
      </c>
      <c r="LW87" s="140">
        <f t="shared" si="288"/>
        <v>626.36676923076925</v>
      </c>
      <c r="LX87" s="159">
        <f>LU87*LV87</f>
        <v>626.36676923076925</v>
      </c>
      <c r="LY87" s="528"/>
      <c r="LZ87" s="162" t="s">
        <v>81</v>
      </c>
      <c r="MA87" s="163">
        <v>22</v>
      </c>
      <c r="MB87" s="157" t="s">
        <v>14</v>
      </c>
      <c r="MC87" s="175">
        <v>241</v>
      </c>
      <c r="MD87" s="164">
        <v>1.7113846153846155</v>
      </c>
      <c r="ME87" s="140">
        <f t="shared" si="289"/>
        <v>412.44369230769234</v>
      </c>
      <c r="MF87" s="159">
        <f>MC87*MD87</f>
        <v>412.44369230769234</v>
      </c>
      <c r="MG87" s="528"/>
      <c r="MH87" s="162" t="s">
        <v>81</v>
      </c>
      <c r="MI87" s="163">
        <v>61</v>
      </c>
      <c r="MJ87" s="157" t="s">
        <v>14</v>
      </c>
      <c r="MK87" s="175">
        <v>568</v>
      </c>
      <c r="ML87" s="164">
        <v>1.7113846153846155</v>
      </c>
      <c r="MM87" s="140">
        <f t="shared" si="290"/>
        <v>972.06646153846157</v>
      </c>
      <c r="MN87" s="159">
        <f>MK87*ML87</f>
        <v>972.06646153846157</v>
      </c>
      <c r="MO87" s="528"/>
      <c r="MP87" s="162" t="s">
        <v>81</v>
      </c>
      <c r="MQ87" s="163">
        <v>62</v>
      </c>
      <c r="MR87" s="157" t="s">
        <v>14</v>
      </c>
      <c r="MS87" s="175">
        <v>673</v>
      </c>
      <c r="MT87" s="164">
        <v>1.7113846153846155</v>
      </c>
      <c r="MU87" s="140">
        <f t="shared" si="291"/>
        <v>1151.7618461538461</v>
      </c>
      <c r="MV87" s="159">
        <f>MS87*MT87</f>
        <v>1151.7618461538461</v>
      </c>
      <c r="MW87" s="528"/>
      <c r="MX87" s="143"/>
      <c r="MY87" s="142"/>
      <c r="MZ87" s="157" t="s">
        <v>11</v>
      </c>
      <c r="NA87" s="175">
        <v>74</v>
      </c>
      <c r="NB87" s="139">
        <v>3.3801234567901237</v>
      </c>
      <c r="NC87" s="140">
        <f t="shared" si="292"/>
        <v>250.12913580246916</v>
      </c>
      <c r="ND87" s="154">
        <f>SUM(NC86:NC87)</f>
        <v>1555.3828707422281</v>
      </c>
      <c r="NE87" s="528"/>
      <c r="NF87" s="143"/>
      <c r="NG87" s="142"/>
      <c r="NH87" s="157" t="s">
        <v>11</v>
      </c>
      <c r="NI87" s="175">
        <v>441</v>
      </c>
      <c r="NJ87" s="139">
        <v>3.3801234567901237</v>
      </c>
      <c r="NK87" s="140">
        <f t="shared" si="293"/>
        <v>1490.6344444444446</v>
      </c>
      <c r="NL87" s="154">
        <f>SUM(NK86:NK87)</f>
        <v>10627.410589022757</v>
      </c>
      <c r="NM87" s="528"/>
      <c r="NN87" s="143"/>
      <c r="NO87" s="142"/>
      <c r="NP87" s="157" t="s">
        <v>11</v>
      </c>
      <c r="NQ87" s="175"/>
      <c r="NR87" s="139">
        <v>3.3801234567901237</v>
      </c>
      <c r="NS87" s="140">
        <f t="shared" si="294"/>
        <v>0</v>
      </c>
      <c r="NT87" s="154">
        <f>SUM(NS86:NS87)</f>
        <v>920.46795180722881</v>
      </c>
      <c r="NU87" s="528"/>
      <c r="NV87" s="143"/>
      <c r="NW87" s="142"/>
      <c r="NX87" s="157" t="s">
        <v>11</v>
      </c>
      <c r="NY87" s="175">
        <v>10</v>
      </c>
      <c r="NZ87" s="139">
        <v>3.3801234567901237</v>
      </c>
      <c r="OA87" s="140">
        <f t="shared" si="295"/>
        <v>33.80123456790124</v>
      </c>
      <c r="OB87" s="154">
        <f>SUM(OA86:OA87)</f>
        <v>1022.172559869106</v>
      </c>
      <c r="OC87" s="528"/>
      <c r="OD87" s="143"/>
      <c r="OE87" s="142"/>
      <c r="OF87" s="157" t="s">
        <v>11</v>
      </c>
      <c r="OG87" s="175">
        <v>23</v>
      </c>
      <c r="OH87" s="139">
        <v>3.3801234567901237</v>
      </c>
      <c r="OI87" s="140">
        <f t="shared" si="296"/>
        <v>77.742839506172842</v>
      </c>
      <c r="OJ87" s="154">
        <f>SUM(OI86:OI87)</f>
        <v>2077.1199479399074</v>
      </c>
      <c r="OK87" s="528"/>
      <c r="OL87" s="143"/>
      <c r="OM87" s="142"/>
      <c r="ON87" s="157" t="s">
        <v>11</v>
      </c>
      <c r="OO87" s="175">
        <v>14</v>
      </c>
      <c r="OP87" s="139">
        <v>3.3801234567901237</v>
      </c>
      <c r="OQ87" s="140">
        <f t="shared" si="297"/>
        <v>47.321728395061733</v>
      </c>
      <c r="OR87" s="154">
        <f>SUM(OQ86:OQ87)</f>
        <v>145.40437899747135</v>
      </c>
      <c r="OS87" s="528"/>
      <c r="OT87" s="143"/>
      <c r="OU87" s="142"/>
      <c r="OV87" s="157" t="s">
        <v>11</v>
      </c>
      <c r="OW87" s="175"/>
      <c r="OX87" s="139">
        <v>3.3801234567901237</v>
      </c>
      <c r="OY87" s="140">
        <f t="shared" si="298"/>
        <v>0</v>
      </c>
      <c r="OZ87" s="154">
        <f>SUM(OY86:OY87)</f>
        <v>0</v>
      </c>
      <c r="PA87" s="528"/>
      <c r="PB87" s="143"/>
      <c r="PC87" s="142"/>
      <c r="PD87" s="157" t="s">
        <v>11</v>
      </c>
      <c r="PE87" s="175"/>
      <c r="PF87" s="139">
        <v>3.3801234567901237</v>
      </c>
      <c r="PG87" s="140">
        <f t="shared" si="299"/>
        <v>0</v>
      </c>
      <c r="PH87" s="154">
        <f>SUM(PG86:PG87)</f>
        <v>0</v>
      </c>
      <c r="PI87" s="528"/>
      <c r="PJ87" s="143"/>
      <c r="PK87" s="142"/>
      <c r="PL87" s="157" t="s">
        <v>11</v>
      </c>
      <c r="PM87" s="175">
        <v>5</v>
      </c>
      <c r="PN87" s="139">
        <v>3.3801234567901237</v>
      </c>
      <c r="PO87" s="140">
        <f t="shared" si="300"/>
        <v>16.90061728395062</v>
      </c>
      <c r="PP87" s="154">
        <f>SUM(PO86:PO87)</f>
        <v>122.52808716346868</v>
      </c>
      <c r="PQ87" s="528"/>
      <c r="PR87" s="143"/>
      <c r="PS87" s="142"/>
      <c r="PT87" s="157" t="s">
        <v>11</v>
      </c>
      <c r="PU87" s="175"/>
      <c r="PV87" s="139">
        <v>3.3801234567901237</v>
      </c>
      <c r="PW87" s="140">
        <f t="shared" si="301"/>
        <v>0</v>
      </c>
      <c r="PX87" s="154">
        <f>SUM(PW86:PW87)</f>
        <v>452.68915662650596</v>
      </c>
      <c r="PY87" s="528"/>
      <c r="PZ87" s="143"/>
      <c r="QA87" s="142"/>
      <c r="QB87" s="157" t="s">
        <v>11</v>
      </c>
      <c r="QC87" s="175">
        <v>26</v>
      </c>
      <c r="QD87" s="139">
        <v>3.3801234567901237</v>
      </c>
      <c r="QE87" s="140">
        <f t="shared" si="302"/>
        <v>87.883209876543219</v>
      </c>
      <c r="QF87" s="154">
        <f>SUM(QE86:QE87)</f>
        <v>412.31043879220584</v>
      </c>
      <c r="QG87" s="528"/>
      <c r="QH87" s="143"/>
      <c r="QI87" s="142"/>
      <c r="QJ87" s="157" t="s">
        <v>11</v>
      </c>
      <c r="QK87" s="175">
        <v>7</v>
      </c>
      <c r="QL87" s="139">
        <v>3.3801234567901237</v>
      </c>
      <c r="QM87" s="140">
        <f t="shared" si="303"/>
        <v>23.660864197530866</v>
      </c>
      <c r="QN87" s="154">
        <f>SUM(QM86:QM87)</f>
        <v>1781.6037557637956</v>
      </c>
      <c r="QO87" s="528"/>
      <c r="QP87" s="143"/>
      <c r="QQ87" s="142"/>
      <c r="QR87" s="157" t="s">
        <v>11</v>
      </c>
      <c r="QS87" s="175">
        <v>10</v>
      </c>
      <c r="QT87" s="139">
        <v>3.3801234567901237</v>
      </c>
      <c r="QU87" s="140">
        <f t="shared" si="304"/>
        <v>33.80123456790124</v>
      </c>
      <c r="QV87" s="154">
        <f>SUM(QU86:QU87)</f>
        <v>1640.8477405919973</v>
      </c>
      <c r="QW87" s="528"/>
      <c r="QX87" s="143"/>
      <c r="QY87" s="142"/>
      <c r="QZ87" s="157" t="s">
        <v>11</v>
      </c>
      <c r="RA87" s="175"/>
      <c r="RB87" s="139">
        <v>3.3801234567901237</v>
      </c>
      <c r="RC87" s="140">
        <f t="shared" si="305"/>
        <v>0</v>
      </c>
      <c r="RD87" s="154">
        <f>SUM(RC86:RC87)</f>
        <v>0</v>
      </c>
      <c r="RE87" s="528"/>
      <c r="RF87" s="143"/>
      <c r="RG87" s="142"/>
      <c r="RH87" s="157" t="s">
        <v>11</v>
      </c>
      <c r="RI87" s="175"/>
      <c r="RJ87" s="139">
        <v>3.3801234567901237</v>
      </c>
      <c r="RK87" s="140">
        <f t="shared" si="306"/>
        <v>0</v>
      </c>
      <c r="RL87" s="154">
        <f>SUM(RK86:RK87)</f>
        <v>0</v>
      </c>
      <c r="RM87" s="528"/>
      <c r="RN87" s="143"/>
      <c r="RO87" s="142"/>
      <c r="RP87" s="157" t="s">
        <v>11</v>
      </c>
      <c r="RQ87" s="175">
        <v>10</v>
      </c>
      <c r="RR87" s="139">
        <v>3.3801234567901237</v>
      </c>
      <c r="RS87" s="140">
        <f t="shared" si="307"/>
        <v>33.80123456790124</v>
      </c>
      <c r="RT87" s="154">
        <f>SUM(RS86:RS87)</f>
        <v>2018.0887044474191</v>
      </c>
      <c r="RU87" s="528"/>
      <c r="RV87" s="143"/>
      <c r="RW87" s="142"/>
      <c r="RX87" s="157" t="s">
        <v>11</v>
      </c>
      <c r="RY87" s="175">
        <v>23</v>
      </c>
      <c r="RZ87" s="139">
        <v>3.3801234567901237</v>
      </c>
      <c r="SA87" s="140">
        <f t="shared" si="308"/>
        <v>77.742839506172842</v>
      </c>
      <c r="SB87" s="154">
        <f>SUM(SA86:SA87)</f>
        <v>877.49368287966661</v>
      </c>
      <c r="SC87" s="528"/>
      <c r="SD87" s="143"/>
      <c r="SE87" s="142"/>
      <c r="SF87" s="157" t="s">
        <v>11</v>
      </c>
      <c r="SG87" s="175">
        <v>24</v>
      </c>
      <c r="SH87" s="139">
        <v>3.3801234567901237</v>
      </c>
      <c r="SI87" s="140">
        <f t="shared" si="309"/>
        <v>81.122962962962973</v>
      </c>
      <c r="SJ87" s="154">
        <f>SUM(SI86:SI87)</f>
        <v>503.6328424810352</v>
      </c>
      <c r="SK87" s="528"/>
      <c r="SL87" s="143"/>
      <c r="SM87" s="142"/>
      <c r="SN87" s="157" t="s">
        <v>11</v>
      </c>
      <c r="SO87" s="175">
        <v>9</v>
      </c>
      <c r="SP87" s="139">
        <v>3.3801234567901237</v>
      </c>
      <c r="SQ87" s="140">
        <f t="shared" si="310"/>
        <v>30.421111111111113</v>
      </c>
      <c r="SR87" s="154">
        <f>SUM(SQ86:SQ87)</f>
        <v>249.22087014725565</v>
      </c>
      <c r="SS87" s="528"/>
      <c r="ST87" s="143"/>
      <c r="SU87" s="142"/>
      <c r="SV87" s="157" t="s">
        <v>11</v>
      </c>
      <c r="SW87" s="175"/>
      <c r="SX87" s="139">
        <v>3.3801234567901237</v>
      </c>
      <c r="SY87" s="140">
        <f t="shared" si="311"/>
        <v>0</v>
      </c>
      <c r="SZ87" s="154">
        <f>SUM(SY86:SY87)</f>
        <v>60.358554216867461</v>
      </c>
      <c r="TA87" s="528"/>
      <c r="TB87" s="143"/>
      <c r="TC87" s="142"/>
      <c r="TD87" s="157" t="s">
        <v>11</v>
      </c>
      <c r="TE87" s="175"/>
      <c r="TF87" s="139">
        <v>3.3801234567901237</v>
      </c>
      <c r="TG87" s="140">
        <f t="shared" si="312"/>
        <v>0</v>
      </c>
      <c r="TH87" s="154">
        <f>SUM(TG86:TG87)</f>
        <v>709.2130120481927</v>
      </c>
      <c r="TI87" s="528"/>
    </row>
    <row r="88" spans="2:529">
      <c r="B88" s="162" t="s">
        <v>82</v>
      </c>
      <c r="C88" s="144">
        <v>2</v>
      </c>
      <c r="D88" s="157" t="s">
        <v>14</v>
      </c>
      <c r="E88" s="138">
        <v>16</v>
      </c>
      <c r="F88" s="172">
        <v>6.525348837209302</v>
      </c>
      <c r="G88" s="140">
        <f t="shared" si="247"/>
        <v>104.40558139534883</v>
      </c>
      <c r="H88" s="159">
        <f>E88*F88</f>
        <v>104.40558139534883</v>
      </c>
      <c r="I88" s="528"/>
      <c r="J88" s="162" t="s">
        <v>82</v>
      </c>
      <c r="K88" s="144"/>
      <c r="L88" s="157" t="s">
        <v>14</v>
      </c>
      <c r="M88" s="138">
        <v>0</v>
      </c>
      <c r="N88" s="172">
        <v>6.525348837209302</v>
      </c>
      <c r="O88" s="140">
        <f t="shared" si="248"/>
        <v>0</v>
      </c>
      <c r="P88" s="159">
        <f>M88*N88</f>
        <v>0</v>
      </c>
      <c r="Q88" s="528"/>
      <c r="R88" s="162" t="s">
        <v>82</v>
      </c>
      <c r="S88" s="144">
        <v>3</v>
      </c>
      <c r="T88" s="157" t="s">
        <v>14</v>
      </c>
      <c r="U88" s="138">
        <v>5</v>
      </c>
      <c r="V88" s="172">
        <v>6.525348837209302</v>
      </c>
      <c r="W88" s="140">
        <f t="shared" si="249"/>
        <v>32.626744186046508</v>
      </c>
      <c r="X88" s="159">
        <f>U88*V88</f>
        <v>32.626744186046508</v>
      </c>
      <c r="Y88" s="528"/>
      <c r="Z88" s="162" t="s">
        <v>82</v>
      </c>
      <c r="AA88" s="144"/>
      <c r="AB88" s="157" t="s">
        <v>14</v>
      </c>
      <c r="AC88" s="138">
        <v>0</v>
      </c>
      <c r="AD88" s="172">
        <v>6.525348837209302</v>
      </c>
      <c r="AE88" s="140">
        <f t="shared" si="250"/>
        <v>0</v>
      </c>
      <c r="AF88" s="159">
        <f>AC88*AD88</f>
        <v>0</v>
      </c>
      <c r="AG88" s="528"/>
      <c r="AH88" s="162" t="s">
        <v>82</v>
      </c>
      <c r="AI88" s="144"/>
      <c r="AJ88" s="157" t="s">
        <v>14</v>
      </c>
      <c r="AK88" s="138">
        <v>0</v>
      </c>
      <c r="AL88" s="172">
        <v>6.525348837209302</v>
      </c>
      <c r="AM88" s="140">
        <f t="shared" si="251"/>
        <v>0</v>
      </c>
      <c r="AN88" s="159">
        <f>AK88*AL88</f>
        <v>0</v>
      </c>
      <c r="AO88" s="528"/>
      <c r="AP88" s="162" t="s">
        <v>82</v>
      </c>
      <c r="AQ88" s="144">
        <v>2</v>
      </c>
      <c r="AR88" s="157" t="s">
        <v>14</v>
      </c>
      <c r="AS88" s="138">
        <v>137</v>
      </c>
      <c r="AT88" s="172">
        <v>6.525348837209302</v>
      </c>
      <c r="AU88" s="140">
        <f t="shared" si="252"/>
        <v>893.97279069767433</v>
      </c>
      <c r="AV88" s="159">
        <f>AS88*AT88</f>
        <v>893.97279069767433</v>
      </c>
      <c r="AW88" s="528"/>
      <c r="AX88" s="162" t="s">
        <v>82</v>
      </c>
      <c r="AY88" s="144"/>
      <c r="AZ88" s="157" t="s">
        <v>14</v>
      </c>
      <c r="BA88" s="138"/>
      <c r="BB88" s="172">
        <v>6.525348837209302</v>
      </c>
      <c r="BC88" s="140">
        <f t="shared" si="253"/>
        <v>0</v>
      </c>
      <c r="BD88" s="159">
        <f>BA88*BB88</f>
        <v>0</v>
      </c>
      <c r="BE88" s="528"/>
      <c r="BF88" s="162" t="s">
        <v>82</v>
      </c>
      <c r="BG88" s="144">
        <v>2</v>
      </c>
      <c r="BH88" s="157" t="s">
        <v>14</v>
      </c>
      <c r="BI88" s="138">
        <v>58</v>
      </c>
      <c r="BJ88" s="172">
        <v>6.525348837209302</v>
      </c>
      <c r="BK88" s="140">
        <f t="shared" si="254"/>
        <v>378.47023255813951</v>
      </c>
      <c r="BL88" s="159">
        <f>BI88*BJ88</f>
        <v>378.47023255813951</v>
      </c>
      <c r="BM88" s="528"/>
      <c r="BN88" s="162" t="s">
        <v>82</v>
      </c>
      <c r="BO88" s="144"/>
      <c r="BP88" s="157" t="s">
        <v>14</v>
      </c>
      <c r="BQ88" s="138">
        <v>0</v>
      </c>
      <c r="BR88" s="172">
        <v>6.525348837209302</v>
      </c>
      <c r="BS88" s="140">
        <f t="shared" si="255"/>
        <v>0</v>
      </c>
      <c r="BT88" s="159">
        <f>BQ88*BR88</f>
        <v>0</v>
      </c>
      <c r="BU88" s="528"/>
      <c r="BV88" s="578" t="s">
        <v>82</v>
      </c>
      <c r="BW88" s="565"/>
      <c r="BX88" s="574" t="s">
        <v>14</v>
      </c>
      <c r="BY88" s="560"/>
      <c r="BZ88" s="587">
        <v>6.525348837209302</v>
      </c>
      <c r="CA88" s="562">
        <f t="shared" si="256"/>
        <v>0</v>
      </c>
      <c r="CB88" s="575">
        <f>BY88*BZ88</f>
        <v>0</v>
      </c>
      <c r="CC88" s="528"/>
      <c r="CD88" s="578" t="s">
        <v>82</v>
      </c>
      <c r="CE88" s="565"/>
      <c r="CF88" s="574" t="s">
        <v>14</v>
      </c>
      <c r="CG88" s="560"/>
      <c r="CH88" s="587">
        <v>6.525348837209302</v>
      </c>
      <c r="CI88" s="562">
        <f t="shared" si="257"/>
        <v>0</v>
      </c>
      <c r="CJ88" s="575">
        <f>CG88*CH88</f>
        <v>0</v>
      </c>
      <c r="CK88" s="528"/>
      <c r="CL88" s="162" t="s">
        <v>82</v>
      </c>
      <c r="CM88" s="144"/>
      <c r="CN88" s="157" t="s">
        <v>14</v>
      </c>
      <c r="CO88" s="138"/>
      <c r="CP88" s="172">
        <v>6.525348837209302</v>
      </c>
      <c r="CQ88" s="140">
        <f t="shared" si="258"/>
        <v>0</v>
      </c>
      <c r="CR88" s="159">
        <f>CO88*CP88</f>
        <v>0</v>
      </c>
      <c r="CS88" s="528"/>
      <c r="CT88" s="162" t="s">
        <v>82</v>
      </c>
      <c r="CU88" s="144">
        <v>2</v>
      </c>
      <c r="CV88" s="157" t="s">
        <v>14</v>
      </c>
      <c r="CW88" s="138">
        <v>4000</v>
      </c>
      <c r="CX88" s="172">
        <v>6.525348837209302</v>
      </c>
      <c r="CY88" s="140">
        <f t="shared" si="259"/>
        <v>26101.39534883721</v>
      </c>
      <c r="CZ88" s="159">
        <f>CW88*CX88</f>
        <v>26101.39534883721</v>
      </c>
      <c r="DA88" s="528"/>
      <c r="DB88" s="162" t="s">
        <v>82</v>
      </c>
      <c r="DC88" s="144"/>
      <c r="DD88" s="157" t="s">
        <v>14</v>
      </c>
      <c r="DE88" s="138"/>
      <c r="DF88" s="172">
        <v>6.525348837209302</v>
      </c>
      <c r="DG88" s="140">
        <f t="shared" si="260"/>
        <v>0</v>
      </c>
      <c r="DH88" s="159">
        <f>DE88*DF88</f>
        <v>0</v>
      </c>
      <c r="DI88" s="528"/>
      <c r="DJ88" s="162" t="s">
        <v>82</v>
      </c>
      <c r="DK88" s="144">
        <v>1</v>
      </c>
      <c r="DL88" s="157" t="s">
        <v>14</v>
      </c>
      <c r="DM88" s="138">
        <v>81</v>
      </c>
      <c r="DN88" s="172">
        <v>6.525348837209302</v>
      </c>
      <c r="DO88" s="140">
        <f t="shared" si="261"/>
        <v>528.55325581395346</v>
      </c>
      <c r="DP88" s="159">
        <f>DM88*DN88</f>
        <v>528.55325581395346</v>
      </c>
      <c r="DQ88" s="528"/>
      <c r="DR88" s="162" t="s">
        <v>82</v>
      </c>
      <c r="DS88" s="144">
        <v>0</v>
      </c>
      <c r="DT88" s="157" t="s">
        <v>14</v>
      </c>
      <c r="DU88" s="138">
        <v>0</v>
      </c>
      <c r="DV88" s="172">
        <v>6.525348837209302</v>
      </c>
      <c r="DW88" s="140">
        <f t="shared" si="262"/>
        <v>0</v>
      </c>
      <c r="DX88" s="159">
        <f>DU88*DV88</f>
        <v>0</v>
      </c>
      <c r="DY88" s="528"/>
      <c r="DZ88" s="162" t="s">
        <v>82</v>
      </c>
      <c r="EA88" s="144">
        <v>0</v>
      </c>
      <c r="EB88" s="157" t="s">
        <v>14</v>
      </c>
      <c r="EC88" s="138">
        <v>0</v>
      </c>
      <c r="ED88" s="172">
        <v>6.525348837209302</v>
      </c>
      <c r="EE88" s="140">
        <f t="shared" si="263"/>
        <v>0</v>
      </c>
      <c r="EF88" s="159">
        <f>EC88*ED88</f>
        <v>0</v>
      </c>
      <c r="EG88" s="528"/>
      <c r="EH88" s="162" t="s">
        <v>82</v>
      </c>
      <c r="EI88" s="144">
        <v>0</v>
      </c>
      <c r="EJ88" s="157" t="s">
        <v>14</v>
      </c>
      <c r="EK88" s="138">
        <v>0</v>
      </c>
      <c r="EL88" s="172">
        <v>6.525348837209302</v>
      </c>
      <c r="EM88" s="140">
        <f t="shared" si="264"/>
        <v>0</v>
      </c>
      <c r="EN88" s="159">
        <f>EK88*EL88</f>
        <v>0</v>
      </c>
      <c r="EO88" s="528"/>
      <c r="EP88" s="162" t="s">
        <v>82</v>
      </c>
      <c r="EQ88" s="144">
        <v>0</v>
      </c>
      <c r="ER88" s="157" t="s">
        <v>14</v>
      </c>
      <c r="ES88" s="138">
        <v>0</v>
      </c>
      <c r="ET88" s="172">
        <v>6.525348837209302</v>
      </c>
      <c r="EU88" s="140">
        <f t="shared" si="265"/>
        <v>0</v>
      </c>
      <c r="EV88" s="159">
        <f>ES88*ET88</f>
        <v>0</v>
      </c>
      <c r="EW88" s="528"/>
      <c r="EX88" s="162" t="s">
        <v>82</v>
      </c>
      <c r="EY88" s="144"/>
      <c r="EZ88" s="157" t="s">
        <v>14</v>
      </c>
      <c r="FA88" s="138"/>
      <c r="FB88" s="172">
        <v>6.525348837209302</v>
      </c>
      <c r="FC88" s="140">
        <f t="shared" si="266"/>
        <v>0</v>
      </c>
      <c r="FD88" s="159">
        <f>FA88*FB88</f>
        <v>0</v>
      </c>
      <c r="FE88" s="528"/>
      <c r="FF88" s="162" t="s">
        <v>82</v>
      </c>
      <c r="FG88" s="144"/>
      <c r="FH88" s="157" t="s">
        <v>14</v>
      </c>
      <c r="FI88" s="138"/>
      <c r="FJ88" s="172">
        <v>6.525348837209302</v>
      </c>
      <c r="FK88" s="140">
        <f t="shared" si="267"/>
        <v>0</v>
      </c>
      <c r="FL88" s="159">
        <f>FI88*FJ88</f>
        <v>0</v>
      </c>
      <c r="FM88" s="528"/>
      <c r="FN88" s="162" t="s">
        <v>82</v>
      </c>
      <c r="FO88" s="144"/>
      <c r="FP88" s="157" t="s">
        <v>14</v>
      </c>
      <c r="FQ88" s="138"/>
      <c r="FR88" s="172">
        <v>6.525348837209302</v>
      </c>
      <c r="FS88" s="140">
        <f t="shared" si="268"/>
        <v>0</v>
      </c>
      <c r="FT88" s="159">
        <f>FQ88*FR88</f>
        <v>0</v>
      </c>
      <c r="FU88" s="528"/>
      <c r="FV88" s="162" t="s">
        <v>82</v>
      </c>
      <c r="FW88" s="144"/>
      <c r="FX88" s="157" t="s">
        <v>14</v>
      </c>
      <c r="FY88" s="138"/>
      <c r="FZ88" s="172">
        <v>6.525348837209302</v>
      </c>
      <c r="GA88" s="140">
        <f t="shared" si="269"/>
        <v>0</v>
      </c>
      <c r="GB88" s="159">
        <f>FY88*FZ88</f>
        <v>0</v>
      </c>
      <c r="GC88" s="528"/>
      <c r="GD88" s="162" t="s">
        <v>82</v>
      </c>
      <c r="GE88" s="144"/>
      <c r="GF88" s="157" t="s">
        <v>14</v>
      </c>
      <c r="GG88" s="138"/>
      <c r="GH88" s="172">
        <v>6.525348837209302</v>
      </c>
      <c r="GI88" s="140">
        <f t="shared" si="270"/>
        <v>0</v>
      </c>
      <c r="GJ88" s="159">
        <f>GG88*GH88</f>
        <v>0</v>
      </c>
      <c r="GK88" s="528"/>
      <c r="GL88" s="162" t="s">
        <v>82</v>
      </c>
      <c r="GM88" s="144">
        <v>2</v>
      </c>
      <c r="GN88" s="157" t="s">
        <v>14</v>
      </c>
      <c r="GO88" s="138">
        <f>'[1]Jan_18_Vol weekly-Data-Entry'!$AD$226</f>
        <v>0</v>
      </c>
      <c r="GP88" s="172">
        <v>6.525348837209302</v>
      </c>
      <c r="GQ88" s="140">
        <f t="shared" si="271"/>
        <v>0</v>
      </c>
      <c r="GR88" s="159">
        <f>GO88*GP88</f>
        <v>0</v>
      </c>
      <c r="GS88" s="528"/>
      <c r="GT88" s="162" t="s">
        <v>82</v>
      </c>
      <c r="GU88" s="144">
        <v>2</v>
      </c>
      <c r="GV88" s="157" t="s">
        <v>14</v>
      </c>
      <c r="GW88" s="138">
        <v>137</v>
      </c>
      <c r="GX88" s="172">
        <v>6.525348837209302</v>
      </c>
      <c r="GY88" s="140">
        <f t="shared" si="272"/>
        <v>893.97279069767433</v>
      </c>
      <c r="GZ88" s="159">
        <f>GW88*GX88</f>
        <v>893.97279069767433</v>
      </c>
      <c r="HA88" s="528"/>
      <c r="HB88" s="162" t="s">
        <v>82</v>
      </c>
      <c r="HC88" s="144">
        <v>2</v>
      </c>
      <c r="HD88" s="157" t="s">
        <v>14</v>
      </c>
      <c r="HE88" s="138">
        <v>5</v>
      </c>
      <c r="HF88" s="172">
        <v>6.525348837209302</v>
      </c>
      <c r="HG88" s="140">
        <f t="shared" si="273"/>
        <v>32.626744186046508</v>
      </c>
      <c r="HH88" s="159">
        <f>HE88*HF88</f>
        <v>32.626744186046508</v>
      </c>
      <c r="HI88" s="528"/>
      <c r="HJ88" s="162" t="s">
        <v>82</v>
      </c>
      <c r="HK88" s="144">
        <v>4</v>
      </c>
      <c r="HL88" s="157" t="s">
        <v>14</v>
      </c>
      <c r="HM88" s="138">
        <v>69</v>
      </c>
      <c r="HN88" s="172">
        <v>6.525348837209302</v>
      </c>
      <c r="HO88" s="140">
        <f t="shared" si="274"/>
        <v>450.24906976744182</v>
      </c>
      <c r="HP88" s="159">
        <f>HM88*HN88</f>
        <v>450.24906976744182</v>
      </c>
      <c r="HQ88" s="528"/>
      <c r="HR88" s="162" t="s">
        <v>82</v>
      </c>
      <c r="HS88" s="144">
        <v>0</v>
      </c>
      <c r="HT88" s="157" t="s">
        <v>14</v>
      </c>
      <c r="HU88" s="138">
        <v>0</v>
      </c>
      <c r="HV88" s="172">
        <v>6.525348837209302</v>
      </c>
      <c r="HW88" s="140">
        <f t="shared" si="275"/>
        <v>0</v>
      </c>
      <c r="HX88" s="159">
        <f>HU88*HV88</f>
        <v>0</v>
      </c>
      <c r="HY88" s="528"/>
      <c r="HZ88" s="162" t="s">
        <v>82</v>
      </c>
      <c r="IA88" s="144">
        <v>0</v>
      </c>
      <c r="IB88" s="157" t="s">
        <v>14</v>
      </c>
      <c r="IC88" s="138">
        <v>0</v>
      </c>
      <c r="ID88" s="172">
        <v>6.525348837209302</v>
      </c>
      <c r="IE88" s="140">
        <f t="shared" si="276"/>
        <v>0</v>
      </c>
      <c r="IF88" s="159">
        <f>IC88*ID88</f>
        <v>0</v>
      </c>
      <c r="IG88" s="528"/>
      <c r="IH88" s="162" t="s">
        <v>82</v>
      </c>
      <c r="II88" s="144">
        <v>2</v>
      </c>
      <c r="IJ88" s="157" t="s">
        <v>14</v>
      </c>
      <c r="IK88" s="138">
        <v>35</v>
      </c>
      <c r="IL88" s="172">
        <v>6.525348837209302</v>
      </c>
      <c r="IM88" s="140">
        <f t="shared" si="277"/>
        <v>228.38720930232557</v>
      </c>
      <c r="IN88" s="159">
        <f>IK88*IL88</f>
        <v>228.38720930232557</v>
      </c>
      <c r="IO88" s="528"/>
      <c r="IP88" s="162" t="s">
        <v>82</v>
      </c>
      <c r="IQ88" s="144">
        <v>0</v>
      </c>
      <c r="IR88" s="157" t="s">
        <v>14</v>
      </c>
      <c r="IS88" s="138">
        <v>0</v>
      </c>
      <c r="IT88" s="172">
        <v>6.525348837209302</v>
      </c>
      <c r="IU88" s="140">
        <f t="shared" si="278"/>
        <v>0</v>
      </c>
      <c r="IV88" s="159">
        <f>IS88*IT88</f>
        <v>0</v>
      </c>
      <c r="IW88" s="528"/>
      <c r="IX88" s="162" t="s">
        <v>82</v>
      </c>
      <c r="IY88" s="144">
        <v>0</v>
      </c>
      <c r="IZ88" s="157" t="s">
        <v>14</v>
      </c>
      <c r="JA88" s="138">
        <v>0</v>
      </c>
      <c r="JB88" s="172">
        <v>6.525348837209302</v>
      </c>
      <c r="JC88" s="140">
        <f t="shared" si="279"/>
        <v>0</v>
      </c>
      <c r="JD88" s="159">
        <f>JA88*JB88</f>
        <v>0</v>
      </c>
      <c r="JE88" s="528"/>
      <c r="JF88" s="162" t="s">
        <v>82</v>
      </c>
      <c r="JG88" s="144">
        <v>5</v>
      </c>
      <c r="JH88" s="157" t="s">
        <v>14</v>
      </c>
      <c r="JI88" s="138">
        <v>511</v>
      </c>
      <c r="JJ88" s="172">
        <v>6.525348837209302</v>
      </c>
      <c r="JK88" s="140">
        <f t="shared" si="280"/>
        <v>3334.4532558139535</v>
      </c>
      <c r="JL88" s="159">
        <f>JI88*JJ88</f>
        <v>3334.4532558139535</v>
      </c>
      <c r="JM88" s="528"/>
      <c r="JN88" s="162" t="s">
        <v>82</v>
      </c>
      <c r="JO88" s="144">
        <v>2</v>
      </c>
      <c r="JP88" s="157" t="s">
        <v>14</v>
      </c>
      <c r="JQ88" s="138">
        <v>80</v>
      </c>
      <c r="JR88" s="172">
        <v>6.525348837209302</v>
      </c>
      <c r="JS88" s="140">
        <f t="shared" si="281"/>
        <v>522.02790697674413</v>
      </c>
      <c r="JT88" s="159">
        <f>JQ88*JR88</f>
        <v>522.02790697674413</v>
      </c>
      <c r="JU88" s="528"/>
      <c r="JV88" s="162" t="s">
        <v>82</v>
      </c>
      <c r="JW88" s="144">
        <v>3</v>
      </c>
      <c r="JX88" s="157" t="s">
        <v>14</v>
      </c>
      <c r="JY88" s="138">
        <v>31</v>
      </c>
      <c r="JZ88" s="172">
        <v>6.525348837209302</v>
      </c>
      <c r="KA88" s="140">
        <f t="shared" si="282"/>
        <v>202.28581395348837</v>
      </c>
      <c r="KB88" s="159">
        <f>JY88*JZ88</f>
        <v>202.28581395348837</v>
      </c>
      <c r="KC88" s="528"/>
      <c r="KD88" s="162" t="s">
        <v>82</v>
      </c>
      <c r="KE88" s="144">
        <v>5</v>
      </c>
      <c r="KF88" s="157" t="s">
        <v>14</v>
      </c>
      <c r="KG88" s="138">
        <v>549</v>
      </c>
      <c r="KH88" s="172">
        <v>6.525348837209302</v>
      </c>
      <c r="KI88" s="140">
        <f t="shared" si="283"/>
        <v>3582.4165116279069</v>
      </c>
      <c r="KJ88" s="159">
        <f>KG88*KH88</f>
        <v>3582.4165116279069</v>
      </c>
      <c r="KK88" s="528"/>
      <c r="KL88" s="162" t="s">
        <v>82</v>
      </c>
      <c r="KM88" s="144">
        <v>0</v>
      </c>
      <c r="KN88" s="157" t="s">
        <v>14</v>
      </c>
      <c r="KO88" s="138">
        <v>0</v>
      </c>
      <c r="KP88" s="172">
        <v>6.525348837209302</v>
      </c>
      <c r="KQ88" s="140">
        <f t="shared" si="284"/>
        <v>0</v>
      </c>
      <c r="KR88" s="159">
        <f>KO88*KP88</f>
        <v>0</v>
      </c>
      <c r="KS88" s="528"/>
      <c r="KT88" s="162" t="s">
        <v>82</v>
      </c>
      <c r="KU88" s="144">
        <v>0</v>
      </c>
      <c r="KV88" s="157" t="s">
        <v>14</v>
      </c>
      <c r="KW88" s="138">
        <v>0</v>
      </c>
      <c r="KX88" s="172">
        <v>6.525348837209302</v>
      </c>
      <c r="KY88" s="140">
        <f t="shared" si="285"/>
        <v>0</v>
      </c>
      <c r="KZ88" s="159">
        <f>KW88*KX88</f>
        <v>0</v>
      </c>
      <c r="LA88" s="528"/>
      <c r="LB88" s="162" t="s">
        <v>82</v>
      </c>
      <c r="LC88" s="144">
        <v>5</v>
      </c>
      <c r="LD88" s="157" t="s">
        <v>14</v>
      </c>
      <c r="LE88" s="138">
        <v>422</v>
      </c>
      <c r="LF88" s="172">
        <v>6.525348837209302</v>
      </c>
      <c r="LG88" s="140">
        <f t="shared" si="286"/>
        <v>2753.6972093023255</v>
      </c>
      <c r="LH88" s="159">
        <f>LE88*LF88</f>
        <v>2753.6972093023255</v>
      </c>
      <c r="LI88" s="528"/>
      <c r="LJ88" s="162" t="s">
        <v>82</v>
      </c>
      <c r="LK88" s="144">
        <v>0</v>
      </c>
      <c r="LL88" s="157" t="s">
        <v>14</v>
      </c>
      <c r="LM88" s="175">
        <v>0</v>
      </c>
      <c r="LN88" s="164">
        <v>6.525348837209302</v>
      </c>
      <c r="LO88" s="140">
        <f t="shared" si="287"/>
        <v>0</v>
      </c>
      <c r="LP88" s="159">
        <f>LM88*LN88</f>
        <v>0</v>
      </c>
      <c r="LQ88" s="528"/>
      <c r="LR88" s="162" t="s">
        <v>82</v>
      </c>
      <c r="LS88" s="144">
        <v>0</v>
      </c>
      <c r="LT88" s="157" t="s">
        <v>14</v>
      </c>
      <c r="LU88" s="175">
        <v>0</v>
      </c>
      <c r="LV88" s="164">
        <v>6.525348837209302</v>
      </c>
      <c r="LW88" s="140">
        <f t="shared" si="288"/>
        <v>0</v>
      </c>
      <c r="LX88" s="159">
        <f>LU88*LV88</f>
        <v>0</v>
      </c>
      <c r="LY88" s="528"/>
      <c r="LZ88" s="162" t="s">
        <v>82</v>
      </c>
      <c r="MA88" s="144">
        <v>0</v>
      </c>
      <c r="MB88" s="157" t="s">
        <v>14</v>
      </c>
      <c r="MC88" s="175">
        <v>0</v>
      </c>
      <c r="MD88" s="164">
        <v>6.525348837209302</v>
      </c>
      <c r="ME88" s="140">
        <f t="shared" si="289"/>
        <v>0</v>
      </c>
      <c r="MF88" s="159">
        <f>MC88*MD88</f>
        <v>0</v>
      </c>
      <c r="MG88" s="528"/>
      <c r="MH88" s="162" t="s">
        <v>82</v>
      </c>
      <c r="MI88" s="144">
        <v>1</v>
      </c>
      <c r="MJ88" s="157" t="s">
        <v>14</v>
      </c>
      <c r="MK88" s="175">
        <v>3</v>
      </c>
      <c r="ML88" s="164">
        <v>6.525348837209302</v>
      </c>
      <c r="MM88" s="140">
        <f t="shared" si="290"/>
        <v>19.576046511627908</v>
      </c>
      <c r="MN88" s="159">
        <f>MK88*ML88</f>
        <v>19.576046511627908</v>
      </c>
      <c r="MO88" s="528"/>
      <c r="MP88" s="162" t="s">
        <v>82</v>
      </c>
      <c r="MQ88" s="144">
        <v>5</v>
      </c>
      <c r="MR88" s="157" t="s">
        <v>14</v>
      </c>
      <c r="MS88" s="175">
        <v>147</v>
      </c>
      <c r="MT88" s="164">
        <v>6.525348837209302</v>
      </c>
      <c r="MU88" s="140">
        <f t="shared" si="291"/>
        <v>959.22627906976743</v>
      </c>
      <c r="MV88" s="159">
        <f>MS88*MT88</f>
        <v>959.22627906976743</v>
      </c>
      <c r="MW88" s="528"/>
      <c r="MX88" s="143" t="s">
        <v>73</v>
      </c>
      <c r="MY88" s="144">
        <v>14</v>
      </c>
      <c r="MZ88" s="157" t="s">
        <v>20</v>
      </c>
      <c r="NA88" s="175">
        <v>39</v>
      </c>
      <c r="NB88" s="139">
        <v>7.2535483870967745</v>
      </c>
      <c r="NC88" s="140">
        <f t="shared" si="292"/>
        <v>282.88838709677418</v>
      </c>
      <c r="ND88" s="158"/>
      <c r="NE88" s="528"/>
      <c r="NF88" s="143" t="s">
        <v>73</v>
      </c>
      <c r="NG88" s="144">
        <v>3</v>
      </c>
      <c r="NH88" s="157" t="s">
        <v>20</v>
      </c>
      <c r="NI88" s="175">
        <v>7</v>
      </c>
      <c r="NJ88" s="139">
        <v>7.2535483870967745</v>
      </c>
      <c r="NK88" s="140">
        <f t="shared" si="293"/>
        <v>50.774838709677425</v>
      </c>
      <c r="NL88" s="158"/>
      <c r="NM88" s="528"/>
      <c r="NN88" s="143" t="s">
        <v>73</v>
      </c>
      <c r="NO88" s="144">
        <v>3</v>
      </c>
      <c r="NP88" s="157" t="s">
        <v>20</v>
      </c>
      <c r="NQ88" s="175">
        <v>4</v>
      </c>
      <c r="NR88" s="139">
        <v>7.2535483870967745</v>
      </c>
      <c r="NS88" s="140">
        <f t="shared" si="294"/>
        <v>29.014193548387098</v>
      </c>
      <c r="NT88" s="158"/>
      <c r="NU88" s="528"/>
      <c r="NV88" s="143" t="s">
        <v>73</v>
      </c>
      <c r="NW88" s="144">
        <v>12</v>
      </c>
      <c r="NX88" s="157" t="s">
        <v>20</v>
      </c>
      <c r="NY88" s="175">
        <v>42</v>
      </c>
      <c r="NZ88" s="139">
        <v>7.2535483870967745</v>
      </c>
      <c r="OA88" s="140">
        <f t="shared" si="295"/>
        <v>304.64903225806455</v>
      </c>
      <c r="OB88" s="158"/>
      <c r="OC88" s="528"/>
      <c r="OD88" s="143" t="s">
        <v>73</v>
      </c>
      <c r="OE88" s="144">
        <v>4</v>
      </c>
      <c r="OF88" s="157" t="s">
        <v>20</v>
      </c>
      <c r="OG88" s="175">
        <v>1</v>
      </c>
      <c r="OH88" s="139">
        <v>7.2535483870967745</v>
      </c>
      <c r="OI88" s="140">
        <f t="shared" si="296"/>
        <v>7.2535483870967745</v>
      </c>
      <c r="OJ88" s="158"/>
      <c r="OK88" s="528"/>
      <c r="OL88" s="143" t="s">
        <v>73</v>
      </c>
      <c r="OM88" s="144">
        <v>7</v>
      </c>
      <c r="ON88" s="157" t="s">
        <v>20</v>
      </c>
      <c r="OO88" s="175">
        <v>7</v>
      </c>
      <c r="OP88" s="139">
        <v>7.2535483870967745</v>
      </c>
      <c r="OQ88" s="140">
        <f t="shared" si="297"/>
        <v>50.774838709677425</v>
      </c>
      <c r="OR88" s="158"/>
      <c r="OS88" s="528"/>
      <c r="OT88" s="143" t="s">
        <v>73</v>
      </c>
      <c r="OU88" s="144"/>
      <c r="OV88" s="157" t="s">
        <v>20</v>
      </c>
      <c r="OW88" s="175"/>
      <c r="OX88" s="139">
        <v>7.2535483870967745</v>
      </c>
      <c r="OY88" s="140">
        <f t="shared" si="298"/>
        <v>0</v>
      </c>
      <c r="OZ88" s="158"/>
      <c r="PA88" s="528"/>
      <c r="PB88" s="143" t="s">
        <v>73</v>
      </c>
      <c r="PC88" s="144">
        <v>1</v>
      </c>
      <c r="PD88" s="157" t="s">
        <v>20</v>
      </c>
      <c r="PE88" s="175">
        <v>4</v>
      </c>
      <c r="PF88" s="139">
        <v>7.2535483870967745</v>
      </c>
      <c r="PG88" s="140">
        <f t="shared" si="299"/>
        <v>29.014193548387098</v>
      </c>
      <c r="PH88" s="158"/>
      <c r="PI88" s="528"/>
      <c r="PJ88" s="143" t="s">
        <v>73</v>
      </c>
      <c r="PK88" s="144">
        <v>7</v>
      </c>
      <c r="PL88" s="157" t="s">
        <v>20</v>
      </c>
      <c r="PM88" s="175">
        <v>7</v>
      </c>
      <c r="PN88" s="139">
        <v>7.2535483870967745</v>
      </c>
      <c r="PO88" s="140">
        <f t="shared" si="300"/>
        <v>50.774838709677425</v>
      </c>
      <c r="PP88" s="158"/>
      <c r="PQ88" s="528"/>
      <c r="PR88" s="143" t="s">
        <v>73</v>
      </c>
      <c r="PS88" s="144">
        <v>2</v>
      </c>
      <c r="PT88" s="157" t="s">
        <v>20</v>
      </c>
      <c r="PU88" s="175">
        <v>9</v>
      </c>
      <c r="PV88" s="139">
        <v>7.2535483870967745</v>
      </c>
      <c r="PW88" s="140">
        <f t="shared" si="301"/>
        <v>65.281935483870967</v>
      </c>
      <c r="PX88" s="158"/>
      <c r="PY88" s="528"/>
      <c r="PZ88" s="143" t="s">
        <v>73</v>
      </c>
      <c r="QA88" s="144">
        <v>8</v>
      </c>
      <c r="QB88" s="157" t="s">
        <v>20</v>
      </c>
      <c r="QC88" s="175">
        <v>22</v>
      </c>
      <c r="QD88" s="139">
        <v>7.2535483870967745</v>
      </c>
      <c r="QE88" s="140">
        <f t="shared" si="302"/>
        <v>159.57806451612905</v>
      </c>
      <c r="QF88" s="158"/>
      <c r="QG88" s="528"/>
      <c r="QH88" s="143" t="s">
        <v>73</v>
      </c>
      <c r="QI88" s="144">
        <v>9</v>
      </c>
      <c r="QJ88" s="157" t="s">
        <v>20</v>
      </c>
      <c r="QK88" s="175">
        <v>34</v>
      </c>
      <c r="QL88" s="139">
        <v>7.2535483870967745</v>
      </c>
      <c r="QM88" s="140">
        <f t="shared" si="303"/>
        <v>246.62064516129033</v>
      </c>
      <c r="QN88" s="158"/>
      <c r="QO88" s="528"/>
      <c r="QP88" s="143" t="s">
        <v>73</v>
      </c>
      <c r="QQ88" s="144">
        <v>6</v>
      </c>
      <c r="QR88" s="157" t="s">
        <v>20</v>
      </c>
      <c r="QS88" s="175">
        <v>14</v>
      </c>
      <c r="QT88" s="139">
        <v>7.2535483870967745</v>
      </c>
      <c r="QU88" s="140">
        <f t="shared" si="304"/>
        <v>101.54967741935485</v>
      </c>
      <c r="QV88" s="158"/>
      <c r="QW88" s="528"/>
      <c r="QX88" s="143" t="s">
        <v>73</v>
      </c>
      <c r="QY88" s="144"/>
      <c r="QZ88" s="157" t="s">
        <v>20</v>
      </c>
      <c r="RA88" s="175"/>
      <c r="RB88" s="139">
        <v>7.2535483870967745</v>
      </c>
      <c r="RC88" s="140">
        <f t="shared" si="305"/>
        <v>0</v>
      </c>
      <c r="RD88" s="158"/>
      <c r="RE88" s="528"/>
      <c r="RF88" s="143" t="s">
        <v>73</v>
      </c>
      <c r="RG88" s="144"/>
      <c r="RH88" s="157" t="s">
        <v>20</v>
      </c>
      <c r="RI88" s="175"/>
      <c r="RJ88" s="139">
        <v>7.2535483870967745</v>
      </c>
      <c r="RK88" s="140">
        <f t="shared" si="306"/>
        <v>0</v>
      </c>
      <c r="RL88" s="158"/>
      <c r="RM88" s="528"/>
      <c r="RN88" s="143" t="s">
        <v>73</v>
      </c>
      <c r="RO88" s="144">
        <v>5</v>
      </c>
      <c r="RP88" s="157" t="s">
        <v>20</v>
      </c>
      <c r="RQ88" s="175">
        <v>27</v>
      </c>
      <c r="RR88" s="139">
        <v>7.2535483870967745</v>
      </c>
      <c r="RS88" s="140">
        <f t="shared" si="307"/>
        <v>195.8458064516129</v>
      </c>
      <c r="RT88" s="158"/>
      <c r="RU88" s="528"/>
      <c r="RV88" s="143" t="s">
        <v>73</v>
      </c>
      <c r="RW88" s="144">
        <v>3</v>
      </c>
      <c r="RX88" s="157" t="s">
        <v>20</v>
      </c>
      <c r="RY88" s="175">
        <v>3</v>
      </c>
      <c r="RZ88" s="139">
        <v>7.2535483870967745</v>
      </c>
      <c r="SA88" s="140">
        <f t="shared" si="308"/>
        <v>21.760645161290324</v>
      </c>
      <c r="SB88" s="158"/>
      <c r="SC88" s="528"/>
      <c r="SD88" s="143" t="s">
        <v>73</v>
      </c>
      <c r="SE88" s="144">
        <v>17</v>
      </c>
      <c r="SF88" s="157" t="s">
        <v>20</v>
      </c>
      <c r="SG88" s="175">
        <v>38</v>
      </c>
      <c r="SH88" s="139">
        <v>7.2535483870967745</v>
      </c>
      <c r="SI88" s="140">
        <f t="shared" si="309"/>
        <v>275.63483870967741</v>
      </c>
      <c r="SJ88" s="158"/>
      <c r="SK88" s="528"/>
      <c r="SL88" s="143" t="s">
        <v>73</v>
      </c>
      <c r="SM88" s="144">
        <v>21</v>
      </c>
      <c r="SN88" s="157" t="s">
        <v>20</v>
      </c>
      <c r="SO88" s="175">
        <v>36</v>
      </c>
      <c r="SP88" s="139">
        <v>7.2535483870967745</v>
      </c>
      <c r="SQ88" s="140">
        <f t="shared" si="310"/>
        <v>261.12774193548387</v>
      </c>
      <c r="SR88" s="158"/>
      <c r="SS88" s="528"/>
      <c r="ST88" s="143" t="s">
        <v>73</v>
      </c>
      <c r="SU88" s="144">
        <v>19</v>
      </c>
      <c r="SV88" s="157" t="s">
        <v>20</v>
      </c>
      <c r="SW88" s="175">
        <v>45</v>
      </c>
      <c r="SX88" s="139">
        <v>7.2535483870967745</v>
      </c>
      <c r="SY88" s="140">
        <f t="shared" si="311"/>
        <v>326.40967741935486</v>
      </c>
      <c r="SZ88" s="158"/>
      <c r="TA88" s="528"/>
      <c r="TB88" s="143" t="s">
        <v>73</v>
      </c>
      <c r="TC88" s="144">
        <v>20</v>
      </c>
      <c r="TD88" s="157" t="s">
        <v>20</v>
      </c>
      <c r="TE88" s="175">
        <v>38</v>
      </c>
      <c r="TF88" s="139">
        <v>7.2535483870967745</v>
      </c>
      <c r="TG88" s="140">
        <f t="shared" si="312"/>
        <v>275.63483870967741</v>
      </c>
      <c r="TH88" s="158"/>
      <c r="TI88" s="528"/>
    </row>
    <row r="89" spans="2:529">
      <c r="B89" s="155" t="s">
        <v>83</v>
      </c>
      <c r="C89" s="131">
        <v>6</v>
      </c>
      <c r="D89" s="157" t="s">
        <v>14</v>
      </c>
      <c r="E89" s="138">
        <v>0</v>
      </c>
      <c r="F89" s="172">
        <v>1.4694871794871796</v>
      </c>
      <c r="G89" s="140">
        <f t="shared" si="247"/>
        <v>0</v>
      </c>
      <c r="H89" s="165"/>
      <c r="I89" s="528"/>
      <c r="J89" s="155" t="s">
        <v>83</v>
      </c>
      <c r="K89" s="131"/>
      <c r="L89" s="157" t="s">
        <v>14</v>
      </c>
      <c r="M89" s="138">
        <v>0</v>
      </c>
      <c r="N89" s="172">
        <v>1.4694871794871796</v>
      </c>
      <c r="O89" s="140">
        <f t="shared" si="248"/>
        <v>0</v>
      </c>
      <c r="P89" s="165"/>
      <c r="Q89" s="528"/>
      <c r="R89" s="155" t="s">
        <v>83</v>
      </c>
      <c r="S89" s="131">
        <v>22</v>
      </c>
      <c r="T89" s="157" t="s">
        <v>14</v>
      </c>
      <c r="U89" s="138">
        <v>905</v>
      </c>
      <c r="V89" s="172">
        <v>1.4694871794871796</v>
      </c>
      <c r="W89" s="140">
        <f t="shared" si="249"/>
        <v>1329.8858974358975</v>
      </c>
      <c r="X89" s="165"/>
      <c r="Y89" s="528"/>
      <c r="Z89" s="155" t="s">
        <v>83</v>
      </c>
      <c r="AA89" s="131">
        <v>1</v>
      </c>
      <c r="AB89" s="157" t="s">
        <v>14</v>
      </c>
      <c r="AC89" s="138">
        <v>44</v>
      </c>
      <c r="AD89" s="172">
        <v>1.4694871794871796</v>
      </c>
      <c r="AE89" s="140">
        <f t="shared" si="250"/>
        <v>64.657435897435903</v>
      </c>
      <c r="AF89" s="165"/>
      <c r="AG89" s="528"/>
      <c r="AH89" s="155" t="s">
        <v>83</v>
      </c>
      <c r="AI89" s="131"/>
      <c r="AJ89" s="157" t="s">
        <v>14</v>
      </c>
      <c r="AK89" s="138">
        <v>0</v>
      </c>
      <c r="AL89" s="172">
        <v>1.4694871794871796</v>
      </c>
      <c r="AM89" s="140">
        <f t="shared" si="251"/>
        <v>0</v>
      </c>
      <c r="AN89" s="165"/>
      <c r="AO89" s="528"/>
      <c r="AP89" s="155" t="s">
        <v>83</v>
      </c>
      <c r="AQ89" s="131">
        <v>1</v>
      </c>
      <c r="AR89" s="157" t="s">
        <v>14</v>
      </c>
      <c r="AS89" s="138">
        <v>84</v>
      </c>
      <c r="AT89" s="172">
        <v>1.4694871794871796</v>
      </c>
      <c r="AU89" s="140">
        <f t="shared" si="252"/>
        <v>123.43692307692308</v>
      </c>
      <c r="AV89" s="165"/>
      <c r="AW89" s="528"/>
      <c r="AX89" s="155" t="s">
        <v>83</v>
      </c>
      <c r="AY89" s="131"/>
      <c r="AZ89" s="157" t="s">
        <v>14</v>
      </c>
      <c r="BA89" s="138"/>
      <c r="BB89" s="172">
        <v>1.4694871794871796</v>
      </c>
      <c r="BC89" s="140">
        <f t="shared" si="253"/>
        <v>0</v>
      </c>
      <c r="BD89" s="165"/>
      <c r="BE89" s="528"/>
      <c r="BF89" s="155" t="s">
        <v>83</v>
      </c>
      <c r="BG89" s="131">
        <v>21</v>
      </c>
      <c r="BH89" s="157" t="s">
        <v>14</v>
      </c>
      <c r="BI89" s="138">
        <v>642</v>
      </c>
      <c r="BJ89" s="172">
        <v>1.4694871794871796</v>
      </c>
      <c r="BK89" s="140">
        <f t="shared" si="254"/>
        <v>943.41076923076923</v>
      </c>
      <c r="BL89" s="165"/>
      <c r="BM89" s="528"/>
      <c r="BN89" s="155" t="s">
        <v>83</v>
      </c>
      <c r="BO89" s="131">
        <v>7</v>
      </c>
      <c r="BP89" s="157" t="s">
        <v>14</v>
      </c>
      <c r="BQ89" s="138">
        <v>816</v>
      </c>
      <c r="BR89" s="172">
        <v>1.4694871794871796</v>
      </c>
      <c r="BS89" s="140">
        <f t="shared" si="255"/>
        <v>1199.1015384615384</v>
      </c>
      <c r="BT89" s="165"/>
      <c r="BU89" s="528"/>
      <c r="BV89" s="572" t="s">
        <v>83</v>
      </c>
      <c r="BW89" s="553"/>
      <c r="BX89" s="574" t="s">
        <v>14</v>
      </c>
      <c r="BY89" s="560"/>
      <c r="BZ89" s="587">
        <v>1.4694871794871796</v>
      </c>
      <c r="CA89" s="562">
        <f t="shared" si="256"/>
        <v>0</v>
      </c>
      <c r="CB89" s="535"/>
      <c r="CC89" s="528"/>
      <c r="CD89" s="572" t="s">
        <v>83</v>
      </c>
      <c r="CE89" s="553"/>
      <c r="CF89" s="574" t="s">
        <v>14</v>
      </c>
      <c r="CG89" s="560"/>
      <c r="CH89" s="587">
        <v>1.4694871794871796</v>
      </c>
      <c r="CI89" s="562">
        <f t="shared" si="257"/>
        <v>0</v>
      </c>
      <c r="CJ89" s="535"/>
      <c r="CK89" s="528"/>
      <c r="CL89" s="155" t="s">
        <v>83</v>
      </c>
      <c r="CM89" s="131"/>
      <c r="CN89" s="157" t="s">
        <v>14</v>
      </c>
      <c r="CO89" s="138"/>
      <c r="CP89" s="172">
        <v>1.4694871794871796</v>
      </c>
      <c r="CQ89" s="140">
        <f t="shared" si="258"/>
        <v>0</v>
      </c>
      <c r="CR89" s="165"/>
      <c r="CS89" s="528"/>
      <c r="CT89" s="155" t="s">
        <v>83</v>
      </c>
      <c r="CU89" s="131">
        <v>4</v>
      </c>
      <c r="CV89" s="157" t="s">
        <v>14</v>
      </c>
      <c r="CW89" s="138">
        <v>393</v>
      </c>
      <c r="CX89" s="172">
        <v>1.4694871794871796</v>
      </c>
      <c r="CY89" s="140">
        <f t="shared" si="259"/>
        <v>577.50846153846157</v>
      </c>
      <c r="CZ89" s="165"/>
      <c r="DA89" s="528"/>
      <c r="DB89" s="155" t="s">
        <v>83</v>
      </c>
      <c r="DC89" s="131"/>
      <c r="DD89" s="157" t="s">
        <v>14</v>
      </c>
      <c r="DE89" s="138"/>
      <c r="DF89" s="172">
        <v>1.4694871794871796</v>
      </c>
      <c r="DG89" s="140">
        <f t="shared" si="260"/>
        <v>0</v>
      </c>
      <c r="DH89" s="165"/>
      <c r="DI89" s="528"/>
      <c r="DJ89" s="155" t="s">
        <v>83</v>
      </c>
      <c r="DK89" s="131"/>
      <c r="DL89" s="157" t="s">
        <v>14</v>
      </c>
      <c r="DM89" s="138">
        <v>0</v>
      </c>
      <c r="DN89" s="172">
        <v>1.4694871794871796</v>
      </c>
      <c r="DO89" s="140">
        <f t="shared" si="261"/>
        <v>0</v>
      </c>
      <c r="DP89" s="165"/>
      <c r="DQ89" s="528"/>
      <c r="DR89" s="155" t="s">
        <v>83</v>
      </c>
      <c r="DS89" s="131">
        <v>0</v>
      </c>
      <c r="DT89" s="157" t="s">
        <v>14</v>
      </c>
      <c r="DU89" s="138">
        <v>0</v>
      </c>
      <c r="DV89" s="172">
        <v>1.4694871794871796</v>
      </c>
      <c r="DW89" s="140">
        <f t="shared" si="262"/>
        <v>0</v>
      </c>
      <c r="DX89" s="165"/>
      <c r="DY89" s="528"/>
      <c r="DZ89" s="155" t="s">
        <v>83</v>
      </c>
      <c r="EA89" s="131">
        <v>2</v>
      </c>
      <c r="EB89" s="157" t="s">
        <v>14</v>
      </c>
      <c r="EC89" s="138">
        <v>50</v>
      </c>
      <c r="ED89" s="172">
        <v>1.4694871794871796</v>
      </c>
      <c r="EE89" s="140">
        <f t="shared" si="263"/>
        <v>73.474358974358978</v>
      </c>
      <c r="EF89" s="165"/>
      <c r="EG89" s="528"/>
      <c r="EH89" s="155" t="s">
        <v>83</v>
      </c>
      <c r="EI89" s="131">
        <v>3</v>
      </c>
      <c r="EJ89" s="157" t="s">
        <v>14</v>
      </c>
      <c r="EK89" s="138">
        <v>305</v>
      </c>
      <c r="EL89" s="172">
        <v>1.4694871794871796</v>
      </c>
      <c r="EM89" s="140">
        <f t="shared" si="264"/>
        <v>448.19358974358977</v>
      </c>
      <c r="EN89" s="165"/>
      <c r="EO89" s="528"/>
      <c r="EP89" s="155" t="s">
        <v>83</v>
      </c>
      <c r="EQ89" s="131">
        <v>0</v>
      </c>
      <c r="ER89" s="157" t="s">
        <v>14</v>
      </c>
      <c r="ES89" s="138">
        <v>0</v>
      </c>
      <c r="ET89" s="172">
        <v>1.4694871794871796</v>
      </c>
      <c r="EU89" s="140">
        <f t="shared" si="265"/>
        <v>0</v>
      </c>
      <c r="EV89" s="165"/>
      <c r="EW89" s="528"/>
      <c r="EX89" s="155" t="s">
        <v>83</v>
      </c>
      <c r="EY89" s="131"/>
      <c r="EZ89" s="157" t="s">
        <v>14</v>
      </c>
      <c r="FA89" s="138"/>
      <c r="FB89" s="172">
        <v>1.4694871794871796</v>
      </c>
      <c r="FC89" s="140">
        <f t="shared" si="266"/>
        <v>0</v>
      </c>
      <c r="FD89" s="165"/>
      <c r="FE89" s="528"/>
      <c r="FF89" s="155" t="s">
        <v>83</v>
      </c>
      <c r="FG89" s="131"/>
      <c r="FH89" s="157" t="s">
        <v>14</v>
      </c>
      <c r="FI89" s="138"/>
      <c r="FJ89" s="172">
        <v>1.4694871794871796</v>
      </c>
      <c r="FK89" s="140">
        <f t="shared" si="267"/>
        <v>0</v>
      </c>
      <c r="FL89" s="165"/>
      <c r="FM89" s="528"/>
      <c r="FN89" s="155" t="s">
        <v>83</v>
      </c>
      <c r="FO89" s="131"/>
      <c r="FP89" s="157" t="s">
        <v>14</v>
      </c>
      <c r="FQ89" s="138"/>
      <c r="FR89" s="172">
        <v>1.4694871794871796</v>
      </c>
      <c r="FS89" s="140">
        <f t="shared" si="268"/>
        <v>0</v>
      </c>
      <c r="FT89" s="165"/>
      <c r="FU89" s="528"/>
      <c r="FV89" s="155" t="s">
        <v>83</v>
      </c>
      <c r="FW89" s="131"/>
      <c r="FX89" s="157" t="s">
        <v>14</v>
      </c>
      <c r="FY89" s="138"/>
      <c r="FZ89" s="172">
        <v>1.4694871794871796</v>
      </c>
      <c r="GA89" s="140">
        <f t="shared" si="269"/>
        <v>0</v>
      </c>
      <c r="GB89" s="165"/>
      <c r="GC89" s="528"/>
      <c r="GD89" s="155" t="s">
        <v>83</v>
      </c>
      <c r="GE89" s="131"/>
      <c r="GF89" s="157" t="s">
        <v>14</v>
      </c>
      <c r="GG89" s="138"/>
      <c r="GH89" s="172">
        <v>1.4694871794871796</v>
      </c>
      <c r="GI89" s="140">
        <f t="shared" si="270"/>
        <v>0</v>
      </c>
      <c r="GJ89" s="165"/>
      <c r="GK89" s="528"/>
      <c r="GL89" s="155" t="s">
        <v>83</v>
      </c>
      <c r="GM89" s="131">
        <v>4</v>
      </c>
      <c r="GN89" s="157" t="s">
        <v>14</v>
      </c>
      <c r="GO89" s="138">
        <f>'[1]Jan_18_Vol weekly-Data-Entry'!$AE$226</f>
        <v>0</v>
      </c>
      <c r="GP89" s="172">
        <v>1.4694871794871796</v>
      </c>
      <c r="GQ89" s="140">
        <f t="shared" si="271"/>
        <v>0</v>
      </c>
      <c r="GR89" s="165"/>
      <c r="GS89" s="528"/>
      <c r="GT89" s="155" t="s">
        <v>83</v>
      </c>
      <c r="GU89" s="131">
        <v>1</v>
      </c>
      <c r="GV89" s="157" t="s">
        <v>14</v>
      </c>
      <c r="GW89" s="138">
        <v>54</v>
      </c>
      <c r="GX89" s="172">
        <v>1.4694871794871796</v>
      </c>
      <c r="GY89" s="140">
        <f t="shared" si="272"/>
        <v>79.35230769230769</v>
      </c>
      <c r="GZ89" s="165"/>
      <c r="HA89" s="528"/>
      <c r="HB89" s="155" t="s">
        <v>83</v>
      </c>
      <c r="HC89" s="131">
        <v>0</v>
      </c>
      <c r="HD89" s="157" t="s">
        <v>14</v>
      </c>
      <c r="HE89" s="138">
        <v>0</v>
      </c>
      <c r="HF89" s="172">
        <v>1.4694871794871796</v>
      </c>
      <c r="HG89" s="140">
        <f t="shared" si="273"/>
        <v>0</v>
      </c>
      <c r="HH89" s="165"/>
      <c r="HI89" s="528"/>
      <c r="HJ89" s="155" t="s">
        <v>83</v>
      </c>
      <c r="HK89" s="131">
        <v>0</v>
      </c>
      <c r="HL89" s="157" t="s">
        <v>14</v>
      </c>
      <c r="HM89" s="138">
        <v>0</v>
      </c>
      <c r="HN89" s="172">
        <v>1.4694871794871796</v>
      </c>
      <c r="HO89" s="140">
        <f t="shared" si="274"/>
        <v>0</v>
      </c>
      <c r="HP89" s="165"/>
      <c r="HQ89" s="528"/>
      <c r="HR89" s="155" t="s">
        <v>83</v>
      </c>
      <c r="HS89" s="131">
        <v>7</v>
      </c>
      <c r="HT89" s="157" t="s">
        <v>14</v>
      </c>
      <c r="HU89" s="138">
        <v>329</v>
      </c>
      <c r="HV89" s="172">
        <v>1.4694871794871796</v>
      </c>
      <c r="HW89" s="140">
        <f t="shared" si="275"/>
        <v>483.46128205128207</v>
      </c>
      <c r="HX89" s="165"/>
      <c r="HY89" s="528"/>
      <c r="HZ89" s="155" t="s">
        <v>83</v>
      </c>
      <c r="IA89" s="131">
        <v>7</v>
      </c>
      <c r="IB89" s="157" t="s">
        <v>14</v>
      </c>
      <c r="IC89" s="138">
        <v>329</v>
      </c>
      <c r="ID89" s="172">
        <v>1.4694871794871796</v>
      </c>
      <c r="IE89" s="140">
        <f t="shared" si="276"/>
        <v>483.46128205128207</v>
      </c>
      <c r="IF89" s="165"/>
      <c r="IG89" s="528"/>
      <c r="IH89" s="155" t="s">
        <v>83</v>
      </c>
      <c r="II89" s="131">
        <v>19</v>
      </c>
      <c r="IJ89" s="157" t="s">
        <v>14</v>
      </c>
      <c r="IK89" s="138">
        <v>348</v>
      </c>
      <c r="IL89" s="172">
        <v>1.4694871794871796</v>
      </c>
      <c r="IM89" s="140">
        <f t="shared" si="277"/>
        <v>511.38153846153847</v>
      </c>
      <c r="IN89" s="165"/>
      <c r="IO89" s="528"/>
      <c r="IP89" s="155" t="s">
        <v>83</v>
      </c>
      <c r="IQ89" s="131">
        <v>34</v>
      </c>
      <c r="IR89" s="157" t="s">
        <v>14</v>
      </c>
      <c r="IS89" s="138">
        <v>1265</v>
      </c>
      <c r="IT89" s="172">
        <v>1.4694871794871796</v>
      </c>
      <c r="IU89" s="140">
        <f t="shared" si="278"/>
        <v>1858.9012820512821</v>
      </c>
      <c r="IV89" s="165"/>
      <c r="IW89" s="528"/>
      <c r="IX89" s="155" t="s">
        <v>83</v>
      </c>
      <c r="IY89" s="131">
        <v>36</v>
      </c>
      <c r="IZ89" s="157" t="s">
        <v>14</v>
      </c>
      <c r="JA89" s="138">
        <v>775</v>
      </c>
      <c r="JB89" s="172">
        <v>1.4694871794871796</v>
      </c>
      <c r="JC89" s="140">
        <f t="shared" si="279"/>
        <v>1138.8525641025642</v>
      </c>
      <c r="JD89" s="165"/>
      <c r="JE89" s="528"/>
      <c r="JF89" s="155" t="s">
        <v>83</v>
      </c>
      <c r="JG89" s="131">
        <v>22</v>
      </c>
      <c r="JH89" s="157" t="s">
        <v>14</v>
      </c>
      <c r="JI89" s="138">
        <v>698</v>
      </c>
      <c r="JJ89" s="172">
        <v>1.4694871794871796</v>
      </c>
      <c r="JK89" s="140">
        <f t="shared" si="280"/>
        <v>1025.7020512820513</v>
      </c>
      <c r="JL89" s="165"/>
      <c r="JM89" s="528"/>
      <c r="JN89" s="155" t="s">
        <v>83</v>
      </c>
      <c r="JO89" s="131">
        <v>27</v>
      </c>
      <c r="JP89" s="157" t="s">
        <v>14</v>
      </c>
      <c r="JQ89" s="138">
        <v>1112</v>
      </c>
      <c r="JR89" s="172">
        <v>1.4694871794871796</v>
      </c>
      <c r="JS89" s="140">
        <f t="shared" si="281"/>
        <v>1634.0697435897437</v>
      </c>
      <c r="JT89" s="165"/>
      <c r="JU89" s="528"/>
      <c r="JV89" s="155" t="s">
        <v>83</v>
      </c>
      <c r="JW89" s="131">
        <v>44</v>
      </c>
      <c r="JX89" s="157" t="s">
        <v>14</v>
      </c>
      <c r="JY89" s="138">
        <v>785</v>
      </c>
      <c r="JZ89" s="172">
        <v>1.4694871794871796</v>
      </c>
      <c r="KA89" s="140">
        <f t="shared" si="282"/>
        <v>1153.5474358974359</v>
      </c>
      <c r="KB89" s="165"/>
      <c r="KC89" s="528"/>
      <c r="KD89" s="155" t="s">
        <v>83</v>
      </c>
      <c r="KE89" s="131">
        <v>5</v>
      </c>
      <c r="KF89" s="157" t="s">
        <v>14</v>
      </c>
      <c r="KG89" s="138">
        <v>303</v>
      </c>
      <c r="KH89" s="172">
        <v>1.4694871794871796</v>
      </c>
      <c r="KI89" s="140">
        <f t="shared" si="283"/>
        <v>445.25461538461542</v>
      </c>
      <c r="KJ89" s="165"/>
      <c r="KK89" s="528"/>
      <c r="KL89" s="155" t="s">
        <v>83</v>
      </c>
      <c r="KM89" s="131">
        <v>0</v>
      </c>
      <c r="KN89" s="157" t="s">
        <v>14</v>
      </c>
      <c r="KO89" s="138">
        <v>0</v>
      </c>
      <c r="KP89" s="172">
        <v>1.4694871794871796</v>
      </c>
      <c r="KQ89" s="140">
        <f t="shared" si="284"/>
        <v>0</v>
      </c>
      <c r="KR89" s="165"/>
      <c r="KS89" s="528"/>
      <c r="KT89" s="155" t="s">
        <v>83</v>
      </c>
      <c r="KU89" s="131">
        <v>0</v>
      </c>
      <c r="KV89" s="157" t="s">
        <v>14</v>
      </c>
      <c r="KW89" s="138">
        <v>0</v>
      </c>
      <c r="KX89" s="172">
        <v>1.4694871794871796</v>
      </c>
      <c r="KY89" s="140">
        <f t="shared" si="285"/>
        <v>0</v>
      </c>
      <c r="KZ89" s="165"/>
      <c r="LA89" s="528"/>
      <c r="LB89" s="155" t="s">
        <v>83</v>
      </c>
      <c r="LC89" s="131">
        <v>1</v>
      </c>
      <c r="LD89" s="157" t="s">
        <v>14</v>
      </c>
      <c r="LE89" s="138">
        <v>2</v>
      </c>
      <c r="LF89" s="172">
        <v>1.4694871794871796</v>
      </c>
      <c r="LG89" s="140">
        <f t="shared" si="286"/>
        <v>2.9389743589743591</v>
      </c>
      <c r="LH89" s="165"/>
      <c r="LI89" s="528"/>
      <c r="LJ89" s="155" t="s">
        <v>83</v>
      </c>
      <c r="LK89" s="131">
        <v>4</v>
      </c>
      <c r="LL89" s="157" t="s">
        <v>14</v>
      </c>
      <c r="LM89" s="175">
        <v>123</v>
      </c>
      <c r="LN89" s="164">
        <v>1.4694871794871796</v>
      </c>
      <c r="LO89" s="140">
        <f t="shared" si="287"/>
        <v>180.74692307692308</v>
      </c>
      <c r="LP89" s="165"/>
      <c r="LQ89" s="528"/>
      <c r="LR89" s="155" t="s">
        <v>83</v>
      </c>
      <c r="LS89" s="131">
        <v>21</v>
      </c>
      <c r="LT89" s="157" t="s">
        <v>14</v>
      </c>
      <c r="LU89" s="175">
        <v>604</v>
      </c>
      <c r="LV89" s="164">
        <v>1.4694871794871796</v>
      </c>
      <c r="LW89" s="140">
        <f t="shared" si="288"/>
        <v>887.57025641025643</v>
      </c>
      <c r="LX89" s="165"/>
      <c r="LY89" s="528"/>
      <c r="LZ89" s="155" t="s">
        <v>83</v>
      </c>
      <c r="MA89" s="131">
        <v>22</v>
      </c>
      <c r="MB89" s="157" t="s">
        <v>14</v>
      </c>
      <c r="MC89" s="175">
        <v>1178</v>
      </c>
      <c r="MD89" s="164">
        <v>1.4694871794871796</v>
      </c>
      <c r="ME89" s="140">
        <f t="shared" si="289"/>
        <v>1731.0558974358976</v>
      </c>
      <c r="MF89" s="165"/>
      <c r="MG89" s="528"/>
      <c r="MH89" s="155" t="s">
        <v>83</v>
      </c>
      <c r="MI89" s="131">
        <v>41</v>
      </c>
      <c r="MJ89" s="157" t="s">
        <v>14</v>
      </c>
      <c r="MK89" s="175">
        <v>1228</v>
      </c>
      <c r="ML89" s="164">
        <v>1.4694871794871796</v>
      </c>
      <c r="MM89" s="140">
        <f t="shared" si="290"/>
        <v>1804.5302564102565</v>
      </c>
      <c r="MN89" s="165"/>
      <c r="MO89" s="528"/>
      <c r="MP89" s="155" t="s">
        <v>83</v>
      </c>
      <c r="MQ89" s="131">
        <v>71</v>
      </c>
      <c r="MR89" s="157" t="s">
        <v>14</v>
      </c>
      <c r="MS89" s="175">
        <v>3219</v>
      </c>
      <c r="MT89" s="164">
        <v>1.4694871794871796</v>
      </c>
      <c r="MU89" s="140">
        <f t="shared" si="291"/>
        <v>4730.2792307692307</v>
      </c>
      <c r="MV89" s="165"/>
      <c r="MW89" s="528"/>
      <c r="MX89" s="145"/>
      <c r="MY89" s="146"/>
      <c r="MZ89" s="157" t="s">
        <v>74</v>
      </c>
      <c r="NA89" s="175">
        <v>48</v>
      </c>
      <c r="NB89" s="139">
        <v>2.9491111111111112</v>
      </c>
      <c r="NC89" s="140">
        <f t="shared" si="292"/>
        <v>141.55733333333333</v>
      </c>
      <c r="ND89" s="159">
        <f>SUM(NC88:NC89)</f>
        <v>424.44572043010749</v>
      </c>
      <c r="NE89" s="528"/>
      <c r="NF89" s="145"/>
      <c r="NG89" s="146"/>
      <c r="NH89" s="157" t="s">
        <v>74</v>
      </c>
      <c r="NI89" s="175">
        <v>107</v>
      </c>
      <c r="NJ89" s="139">
        <v>2.9491111111111112</v>
      </c>
      <c r="NK89" s="140">
        <f t="shared" si="293"/>
        <v>315.55488888888891</v>
      </c>
      <c r="NL89" s="159">
        <f>SUM(NK88:NK89)</f>
        <v>366.32972759856636</v>
      </c>
      <c r="NM89" s="528"/>
      <c r="NN89" s="145"/>
      <c r="NO89" s="146"/>
      <c r="NP89" s="157" t="s">
        <v>74</v>
      </c>
      <c r="NQ89" s="175">
        <v>19</v>
      </c>
      <c r="NR89" s="139">
        <v>2.9491111111111112</v>
      </c>
      <c r="NS89" s="140">
        <f t="shared" si="294"/>
        <v>56.033111111111111</v>
      </c>
      <c r="NT89" s="159">
        <f>SUM(NS88:NS89)</f>
        <v>85.047304659498209</v>
      </c>
      <c r="NU89" s="528"/>
      <c r="NV89" s="145"/>
      <c r="NW89" s="146"/>
      <c r="NX89" s="157" t="s">
        <v>74</v>
      </c>
      <c r="NY89" s="175">
        <v>20</v>
      </c>
      <c r="NZ89" s="139">
        <v>2.9491111111111112</v>
      </c>
      <c r="OA89" s="140">
        <f t="shared" si="295"/>
        <v>58.982222222222227</v>
      </c>
      <c r="OB89" s="159">
        <f>SUM(OA88:OA89)</f>
        <v>363.63125448028677</v>
      </c>
      <c r="OC89" s="528"/>
      <c r="OD89" s="145"/>
      <c r="OE89" s="146"/>
      <c r="OF89" s="157" t="s">
        <v>74</v>
      </c>
      <c r="OG89" s="175">
        <v>82</v>
      </c>
      <c r="OH89" s="139">
        <v>2.9491111111111112</v>
      </c>
      <c r="OI89" s="140">
        <f t="shared" si="296"/>
        <v>241.82711111111112</v>
      </c>
      <c r="OJ89" s="159">
        <f>SUM(OI88:OI89)</f>
        <v>249.08065949820789</v>
      </c>
      <c r="OK89" s="528"/>
      <c r="OL89" s="145"/>
      <c r="OM89" s="146"/>
      <c r="ON89" s="157" t="s">
        <v>74</v>
      </c>
      <c r="OO89" s="175">
        <v>82</v>
      </c>
      <c r="OP89" s="139">
        <v>2.9491111111111112</v>
      </c>
      <c r="OQ89" s="140">
        <f t="shared" si="297"/>
        <v>241.82711111111112</v>
      </c>
      <c r="OR89" s="159">
        <f>SUM(OQ88:OQ89)</f>
        <v>292.60194982078855</v>
      </c>
      <c r="OS89" s="528"/>
      <c r="OT89" s="145"/>
      <c r="OU89" s="146"/>
      <c r="OV89" s="157" t="s">
        <v>74</v>
      </c>
      <c r="OW89" s="175"/>
      <c r="OX89" s="139">
        <v>2.9491111111111112</v>
      </c>
      <c r="OY89" s="140">
        <f t="shared" si="298"/>
        <v>0</v>
      </c>
      <c r="OZ89" s="159">
        <f>SUM(OY88:OY89)</f>
        <v>0</v>
      </c>
      <c r="PA89" s="528"/>
      <c r="PB89" s="145"/>
      <c r="PC89" s="146"/>
      <c r="PD89" s="157" t="s">
        <v>74</v>
      </c>
      <c r="PE89" s="175"/>
      <c r="PF89" s="139">
        <v>2.9491111111111112</v>
      </c>
      <c r="PG89" s="140">
        <f t="shared" si="299"/>
        <v>0</v>
      </c>
      <c r="PH89" s="159">
        <f>SUM(PG88:PG89)</f>
        <v>29.014193548387098</v>
      </c>
      <c r="PI89" s="528"/>
      <c r="PJ89" s="145"/>
      <c r="PK89" s="146"/>
      <c r="PL89" s="157" t="s">
        <v>74</v>
      </c>
      <c r="PM89" s="175">
        <v>79</v>
      </c>
      <c r="PN89" s="139">
        <v>2.9491111111111112</v>
      </c>
      <c r="PO89" s="140">
        <f t="shared" si="300"/>
        <v>232.9797777777778</v>
      </c>
      <c r="PP89" s="159">
        <f>SUM(PO88:PO89)</f>
        <v>283.75461648745522</v>
      </c>
      <c r="PQ89" s="528"/>
      <c r="PR89" s="145"/>
      <c r="PS89" s="146"/>
      <c r="PT89" s="157" t="s">
        <v>74</v>
      </c>
      <c r="PU89" s="175"/>
      <c r="PV89" s="139">
        <v>2.9491111111111112</v>
      </c>
      <c r="PW89" s="140">
        <f t="shared" si="301"/>
        <v>0</v>
      </c>
      <c r="PX89" s="159">
        <f>SUM(PW88:PW89)</f>
        <v>65.281935483870967</v>
      </c>
      <c r="PY89" s="528"/>
      <c r="PZ89" s="145"/>
      <c r="QA89" s="146"/>
      <c r="QB89" s="157" t="s">
        <v>74</v>
      </c>
      <c r="QC89" s="175">
        <v>17</v>
      </c>
      <c r="QD89" s="139">
        <v>2.9491111111111112</v>
      </c>
      <c r="QE89" s="140">
        <f t="shared" si="302"/>
        <v>50.134888888888888</v>
      </c>
      <c r="QF89" s="159">
        <f>SUM(QE88:QE89)</f>
        <v>209.71295340501794</v>
      </c>
      <c r="QG89" s="528"/>
      <c r="QH89" s="145"/>
      <c r="QI89" s="146"/>
      <c r="QJ89" s="157" t="s">
        <v>74</v>
      </c>
      <c r="QK89" s="175">
        <v>8</v>
      </c>
      <c r="QL89" s="139">
        <v>2.9491111111111112</v>
      </c>
      <c r="QM89" s="140">
        <f t="shared" si="303"/>
        <v>23.59288888888889</v>
      </c>
      <c r="QN89" s="159">
        <f>SUM(QM88:QM89)</f>
        <v>270.21353405017919</v>
      </c>
      <c r="QO89" s="528"/>
      <c r="QP89" s="145"/>
      <c r="QQ89" s="146"/>
      <c r="QR89" s="157" t="s">
        <v>74</v>
      </c>
      <c r="QS89" s="175">
        <v>4</v>
      </c>
      <c r="QT89" s="139">
        <v>2.9491111111111112</v>
      </c>
      <c r="QU89" s="140">
        <f t="shared" si="304"/>
        <v>11.796444444444445</v>
      </c>
      <c r="QV89" s="159">
        <f>SUM(QU88:QU89)</f>
        <v>113.3461218637993</v>
      </c>
      <c r="QW89" s="528"/>
      <c r="QX89" s="145"/>
      <c r="QY89" s="146"/>
      <c r="QZ89" s="157" t="s">
        <v>74</v>
      </c>
      <c r="RA89" s="175"/>
      <c r="RB89" s="139">
        <v>2.9491111111111112</v>
      </c>
      <c r="RC89" s="140">
        <f t="shared" si="305"/>
        <v>0</v>
      </c>
      <c r="RD89" s="159">
        <f>SUM(RC88:RC89)</f>
        <v>0</v>
      </c>
      <c r="RE89" s="528"/>
      <c r="RF89" s="145"/>
      <c r="RG89" s="146"/>
      <c r="RH89" s="157" t="s">
        <v>74</v>
      </c>
      <c r="RI89" s="175"/>
      <c r="RJ89" s="139">
        <v>2.9491111111111112</v>
      </c>
      <c r="RK89" s="140">
        <f t="shared" si="306"/>
        <v>0</v>
      </c>
      <c r="RL89" s="159">
        <f>SUM(RK88:RK89)</f>
        <v>0</v>
      </c>
      <c r="RM89" s="528"/>
      <c r="RN89" s="145"/>
      <c r="RO89" s="146"/>
      <c r="RP89" s="157" t="s">
        <v>74</v>
      </c>
      <c r="RQ89" s="175">
        <v>5</v>
      </c>
      <c r="RR89" s="139">
        <v>2.9491111111111112</v>
      </c>
      <c r="RS89" s="140">
        <f t="shared" si="307"/>
        <v>14.745555555555557</v>
      </c>
      <c r="RT89" s="159">
        <f>SUM(RS88:RS89)</f>
        <v>210.59136200716847</v>
      </c>
      <c r="RU89" s="528"/>
      <c r="RV89" s="145"/>
      <c r="RW89" s="146"/>
      <c r="RX89" s="157" t="s">
        <v>74</v>
      </c>
      <c r="RY89" s="175">
        <v>12</v>
      </c>
      <c r="RZ89" s="139">
        <v>2.9491111111111112</v>
      </c>
      <c r="SA89" s="140">
        <f t="shared" si="308"/>
        <v>35.389333333333333</v>
      </c>
      <c r="SB89" s="159">
        <f>SUM(SA88:SA89)</f>
        <v>57.149978494623653</v>
      </c>
      <c r="SC89" s="528"/>
      <c r="SD89" s="145"/>
      <c r="SE89" s="146"/>
      <c r="SF89" s="157" t="s">
        <v>74</v>
      </c>
      <c r="SG89" s="175">
        <v>266</v>
      </c>
      <c r="SH89" s="139">
        <v>2.9491111111111112</v>
      </c>
      <c r="SI89" s="140">
        <f t="shared" si="309"/>
        <v>784.46355555555556</v>
      </c>
      <c r="SJ89" s="159">
        <f>SUM(SI88:SI89)</f>
        <v>1060.0983942652329</v>
      </c>
      <c r="SK89" s="528"/>
      <c r="SL89" s="145"/>
      <c r="SM89" s="146"/>
      <c r="SN89" s="157" t="s">
        <v>74</v>
      </c>
      <c r="SO89" s="175">
        <v>332</v>
      </c>
      <c r="SP89" s="139">
        <v>2.9491111111111112</v>
      </c>
      <c r="SQ89" s="140">
        <f t="shared" si="310"/>
        <v>979.10488888888892</v>
      </c>
      <c r="SR89" s="159">
        <f>SUM(SQ88:SQ89)</f>
        <v>1240.2326308243728</v>
      </c>
      <c r="SS89" s="528"/>
      <c r="ST89" s="145"/>
      <c r="SU89" s="146"/>
      <c r="SV89" s="157" t="s">
        <v>74</v>
      </c>
      <c r="SW89" s="175">
        <v>242</v>
      </c>
      <c r="SX89" s="139">
        <v>2.9491111111111112</v>
      </c>
      <c r="SY89" s="140">
        <f t="shared" si="311"/>
        <v>713.68488888888896</v>
      </c>
      <c r="SZ89" s="159">
        <f>SUM(SY88:SY89)</f>
        <v>1040.0945663082439</v>
      </c>
      <c r="TA89" s="528"/>
      <c r="TB89" s="145"/>
      <c r="TC89" s="146"/>
      <c r="TD89" s="157" t="s">
        <v>74</v>
      </c>
      <c r="TE89" s="175">
        <v>350</v>
      </c>
      <c r="TF89" s="139">
        <v>2.9491111111111112</v>
      </c>
      <c r="TG89" s="140">
        <f t="shared" si="312"/>
        <v>1032.1888888888889</v>
      </c>
      <c r="TH89" s="159">
        <f>SUM(TG88:TG89)</f>
        <v>1307.8237275985662</v>
      </c>
      <c r="TI89" s="528"/>
    </row>
    <row r="90" spans="2:529">
      <c r="B90" s="145"/>
      <c r="C90" s="146"/>
      <c r="D90" s="151" t="s">
        <v>20</v>
      </c>
      <c r="E90" s="138">
        <v>0</v>
      </c>
      <c r="F90" s="173"/>
      <c r="G90" s="140">
        <f t="shared" si="247"/>
        <v>0</v>
      </c>
      <c r="H90" s="150"/>
      <c r="I90" s="528"/>
      <c r="J90" s="145"/>
      <c r="K90" s="146">
        <v>22</v>
      </c>
      <c r="L90" s="151" t="s">
        <v>20</v>
      </c>
      <c r="M90" s="138">
        <v>0</v>
      </c>
      <c r="N90" s="173"/>
      <c r="O90" s="140">
        <f t="shared" si="248"/>
        <v>0</v>
      </c>
      <c r="P90" s="150"/>
      <c r="Q90" s="528"/>
      <c r="R90" s="145"/>
      <c r="S90" s="146">
        <v>22</v>
      </c>
      <c r="T90" s="151" t="s">
        <v>20</v>
      </c>
      <c r="U90" s="138">
        <v>0</v>
      </c>
      <c r="V90" s="173"/>
      <c r="W90" s="140">
        <f t="shared" si="249"/>
        <v>0</v>
      </c>
      <c r="X90" s="150"/>
      <c r="Y90" s="528"/>
      <c r="Z90" s="145"/>
      <c r="AA90" s="146">
        <v>22</v>
      </c>
      <c r="AB90" s="151" t="s">
        <v>20</v>
      </c>
      <c r="AC90" s="138"/>
      <c r="AD90" s="173"/>
      <c r="AE90" s="140">
        <f t="shared" si="250"/>
        <v>0</v>
      </c>
      <c r="AF90" s="150"/>
      <c r="AG90" s="528"/>
      <c r="AH90" s="145"/>
      <c r="AI90" s="146">
        <v>22</v>
      </c>
      <c r="AJ90" s="151" t="s">
        <v>20</v>
      </c>
      <c r="AK90" s="138">
        <v>0</v>
      </c>
      <c r="AL90" s="173"/>
      <c r="AM90" s="140">
        <f t="shared" si="251"/>
        <v>0</v>
      </c>
      <c r="AN90" s="150"/>
      <c r="AO90" s="528"/>
      <c r="AP90" s="145"/>
      <c r="AQ90" s="146">
        <v>22</v>
      </c>
      <c r="AR90" s="151" t="s">
        <v>20</v>
      </c>
      <c r="AS90" s="138">
        <v>0</v>
      </c>
      <c r="AT90" s="173"/>
      <c r="AU90" s="140">
        <f t="shared" si="252"/>
        <v>0</v>
      </c>
      <c r="AV90" s="150"/>
      <c r="AW90" s="528"/>
      <c r="AX90" s="145"/>
      <c r="AY90" s="146">
        <v>22</v>
      </c>
      <c r="AZ90" s="151" t="s">
        <v>20</v>
      </c>
      <c r="BA90" s="138"/>
      <c r="BB90" s="173"/>
      <c r="BC90" s="140">
        <f t="shared" si="253"/>
        <v>0</v>
      </c>
      <c r="BD90" s="150"/>
      <c r="BE90" s="528"/>
      <c r="BF90" s="145"/>
      <c r="BG90" s="146">
        <v>22</v>
      </c>
      <c r="BH90" s="151" t="s">
        <v>20</v>
      </c>
      <c r="BI90" s="138"/>
      <c r="BJ90" s="173"/>
      <c r="BK90" s="140">
        <f t="shared" si="254"/>
        <v>0</v>
      </c>
      <c r="BL90" s="150"/>
      <c r="BM90" s="528"/>
      <c r="BN90" s="145"/>
      <c r="BO90" s="146">
        <v>22</v>
      </c>
      <c r="BP90" s="151" t="s">
        <v>20</v>
      </c>
      <c r="BQ90" s="138">
        <v>0</v>
      </c>
      <c r="BR90" s="173"/>
      <c r="BS90" s="140">
        <f t="shared" si="255"/>
        <v>0</v>
      </c>
      <c r="BT90" s="150"/>
      <c r="BU90" s="528"/>
      <c r="BV90" s="536"/>
      <c r="BW90" s="537"/>
      <c r="BX90" s="543" t="s">
        <v>20</v>
      </c>
      <c r="BY90" s="560"/>
      <c r="BZ90" s="588"/>
      <c r="CA90" s="562">
        <f t="shared" si="256"/>
        <v>0</v>
      </c>
      <c r="CB90" s="569"/>
      <c r="CC90" s="528"/>
      <c r="CD90" s="536"/>
      <c r="CE90" s="537"/>
      <c r="CF90" s="543" t="s">
        <v>20</v>
      </c>
      <c r="CG90" s="560"/>
      <c r="CH90" s="588"/>
      <c r="CI90" s="562">
        <f t="shared" si="257"/>
        <v>0</v>
      </c>
      <c r="CJ90" s="569"/>
      <c r="CK90" s="528"/>
      <c r="CL90" s="145"/>
      <c r="CM90" s="146">
        <v>22</v>
      </c>
      <c r="CN90" s="151" t="s">
        <v>20</v>
      </c>
      <c r="CO90" s="138"/>
      <c r="CP90" s="173"/>
      <c r="CQ90" s="140">
        <f t="shared" si="258"/>
        <v>0</v>
      </c>
      <c r="CR90" s="150"/>
      <c r="CS90" s="528"/>
      <c r="CT90" s="145"/>
      <c r="CU90" s="146">
        <v>22</v>
      </c>
      <c r="CV90" s="151" t="s">
        <v>20</v>
      </c>
      <c r="CW90" s="138"/>
      <c r="CX90" s="173"/>
      <c r="CY90" s="140">
        <f t="shared" si="259"/>
        <v>0</v>
      </c>
      <c r="CZ90" s="150"/>
      <c r="DA90" s="528"/>
      <c r="DB90" s="145"/>
      <c r="DC90" s="146"/>
      <c r="DD90" s="151" t="s">
        <v>20</v>
      </c>
      <c r="DE90" s="138"/>
      <c r="DF90" s="173"/>
      <c r="DG90" s="140">
        <f t="shared" si="260"/>
        <v>0</v>
      </c>
      <c r="DH90" s="150"/>
      <c r="DI90" s="528"/>
      <c r="DJ90" s="145"/>
      <c r="DK90" s="146"/>
      <c r="DL90" s="151" t="s">
        <v>20</v>
      </c>
      <c r="DM90" s="138">
        <v>0</v>
      </c>
      <c r="DN90" s="173"/>
      <c r="DO90" s="140">
        <f t="shared" si="261"/>
        <v>0</v>
      </c>
      <c r="DP90" s="150"/>
      <c r="DQ90" s="528"/>
      <c r="DR90" s="145"/>
      <c r="DS90" s="146"/>
      <c r="DT90" s="151" t="s">
        <v>20</v>
      </c>
      <c r="DU90" s="138"/>
      <c r="DV90" s="173"/>
      <c r="DW90" s="140">
        <f t="shared" si="262"/>
        <v>0</v>
      </c>
      <c r="DX90" s="150"/>
      <c r="DY90" s="528"/>
      <c r="DZ90" s="145"/>
      <c r="EA90" s="146"/>
      <c r="EB90" s="151" t="s">
        <v>20</v>
      </c>
      <c r="EC90" s="138"/>
      <c r="ED90" s="173"/>
      <c r="EE90" s="140">
        <f t="shared" si="263"/>
        <v>0</v>
      </c>
      <c r="EF90" s="150"/>
      <c r="EG90" s="528"/>
      <c r="EH90" s="145"/>
      <c r="EI90" s="146"/>
      <c r="EJ90" s="151" t="s">
        <v>20</v>
      </c>
      <c r="EK90" s="138"/>
      <c r="EL90" s="173"/>
      <c r="EM90" s="140">
        <f t="shared" si="264"/>
        <v>0</v>
      </c>
      <c r="EN90" s="150"/>
      <c r="EO90" s="528"/>
      <c r="EP90" s="145"/>
      <c r="EQ90" s="146"/>
      <c r="ER90" s="151" t="s">
        <v>20</v>
      </c>
      <c r="ES90" s="138"/>
      <c r="ET90" s="173"/>
      <c r="EU90" s="140">
        <f t="shared" si="265"/>
        <v>0</v>
      </c>
      <c r="EV90" s="150"/>
      <c r="EW90" s="528"/>
      <c r="EX90" s="145"/>
      <c r="EY90" s="146"/>
      <c r="EZ90" s="151" t="s">
        <v>20</v>
      </c>
      <c r="FA90" s="138"/>
      <c r="FB90" s="173"/>
      <c r="FC90" s="140">
        <f t="shared" si="266"/>
        <v>0</v>
      </c>
      <c r="FD90" s="150"/>
      <c r="FE90" s="528"/>
      <c r="FF90" s="145"/>
      <c r="FG90" s="146"/>
      <c r="FH90" s="151" t="s">
        <v>20</v>
      </c>
      <c r="FI90" s="138"/>
      <c r="FJ90" s="173"/>
      <c r="FK90" s="140">
        <f t="shared" si="267"/>
        <v>0</v>
      </c>
      <c r="FL90" s="150"/>
      <c r="FM90" s="528"/>
      <c r="FN90" s="145"/>
      <c r="FO90" s="146"/>
      <c r="FP90" s="151" t="s">
        <v>20</v>
      </c>
      <c r="FQ90" s="138"/>
      <c r="FR90" s="173"/>
      <c r="FS90" s="140">
        <f t="shared" si="268"/>
        <v>0</v>
      </c>
      <c r="FT90" s="150"/>
      <c r="FU90" s="528"/>
      <c r="FV90" s="145"/>
      <c r="FW90" s="146"/>
      <c r="FX90" s="151" t="s">
        <v>20</v>
      </c>
      <c r="FY90" s="138"/>
      <c r="FZ90" s="173"/>
      <c r="GA90" s="140">
        <f t="shared" si="269"/>
        <v>0</v>
      </c>
      <c r="GB90" s="150"/>
      <c r="GC90" s="528"/>
      <c r="GD90" s="145"/>
      <c r="GE90" s="146"/>
      <c r="GF90" s="151" t="s">
        <v>20</v>
      </c>
      <c r="GG90" s="138"/>
      <c r="GH90" s="173"/>
      <c r="GI90" s="140">
        <f t="shared" si="270"/>
        <v>0</v>
      </c>
      <c r="GJ90" s="150"/>
      <c r="GK90" s="528"/>
      <c r="GL90" s="145"/>
      <c r="GM90" s="146"/>
      <c r="GN90" s="151" t="s">
        <v>20</v>
      </c>
      <c r="GO90" s="138">
        <f>'[1]Jan_18_Vol weekly-Data-Entry'!$AF$226</f>
        <v>0</v>
      </c>
      <c r="GP90" s="173"/>
      <c r="GQ90" s="140">
        <f t="shared" si="271"/>
        <v>0</v>
      </c>
      <c r="GR90" s="150"/>
      <c r="GS90" s="528"/>
      <c r="GT90" s="145"/>
      <c r="GU90" s="146"/>
      <c r="GV90" s="151" t="s">
        <v>20</v>
      </c>
      <c r="GW90" s="138">
        <v>0</v>
      </c>
      <c r="GX90" s="173"/>
      <c r="GY90" s="140">
        <f t="shared" si="272"/>
        <v>0</v>
      </c>
      <c r="GZ90" s="150"/>
      <c r="HA90" s="528"/>
      <c r="HB90" s="145"/>
      <c r="HC90" s="146"/>
      <c r="HD90" s="151" t="s">
        <v>20</v>
      </c>
      <c r="HE90" s="138">
        <v>0</v>
      </c>
      <c r="HF90" s="173"/>
      <c r="HG90" s="140">
        <f t="shared" si="273"/>
        <v>0</v>
      </c>
      <c r="HH90" s="150"/>
      <c r="HI90" s="528"/>
      <c r="HJ90" s="145"/>
      <c r="HK90" s="146"/>
      <c r="HL90" s="151" t="s">
        <v>20</v>
      </c>
      <c r="HM90" s="138">
        <v>0</v>
      </c>
      <c r="HN90" s="173"/>
      <c r="HO90" s="140">
        <f t="shared" si="274"/>
        <v>0</v>
      </c>
      <c r="HP90" s="150"/>
      <c r="HQ90" s="528"/>
      <c r="HR90" s="145"/>
      <c r="HS90" s="146"/>
      <c r="HT90" s="151" t="s">
        <v>20</v>
      </c>
      <c r="HU90" s="138">
        <v>0</v>
      </c>
      <c r="HV90" s="173"/>
      <c r="HW90" s="140">
        <f t="shared" si="275"/>
        <v>0</v>
      </c>
      <c r="HX90" s="150"/>
      <c r="HY90" s="528"/>
      <c r="HZ90" s="145"/>
      <c r="IA90" s="146"/>
      <c r="IB90" s="151" t="s">
        <v>20</v>
      </c>
      <c r="IC90" s="138">
        <v>0</v>
      </c>
      <c r="ID90" s="173"/>
      <c r="IE90" s="140">
        <f t="shared" si="276"/>
        <v>0</v>
      </c>
      <c r="IF90" s="150"/>
      <c r="IG90" s="528"/>
      <c r="IH90" s="145"/>
      <c r="II90" s="146"/>
      <c r="IJ90" s="151" t="s">
        <v>20</v>
      </c>
      <c r="IK90" s="138">
        <v>0</v>
      </c>
      <c r="IL90" s="173"/>
      <c r="IM90" s="140">
        <f t="shared" si="277"/>
        <v>0</v>
      </c>
      <c r="IN90" s="150"/>
      <c r="IO90" s="528"/>
      <c r="IP90" s="145"/>
      <c r="IQ90" s="146"/>
      <c r="IR90" s="151" t="s">
        <v>20</v>
      </c>
      <c r="IS90" s="138">
        <v>0</v>
      </c>
      <c r="IT90" s="173"/>
      <c r="IU90" s="140">
        <f t="shared" si="278"/>
        <v>0</v>
      </c>
      <c r="IV90" s="150"/>
      <c r="IW90" s="528"/>
      <c r="IX90" s="145"/>
      <c r="IY90" s="146"/>
      <c r="IZ90" s="151" t="s">
        <v>20</v>
      </c>
      <c r="JA90" s="138">
        <v>0</v>
      </c>
      <c r="JB90" s="173"/>
      <c r="JC90" s="140">
        <f t="shared" si="279"/>
        <v>0</v>
      </c>
      <c r="JD90" s="150"/>
      <c r="JE90" s="528"/>
      <c r="JF90" s="145"/>
      <c r="JG90" s="146"/>
      <c r="JH90" s="151" t="s">
        <v>20</v>
      </c>
      <c r="JI90" s="138">
        <v>0</v>
      </c>
      <c r="JJ90" s="173"/>
      <c r="JK90" s="140">
        <f t="shared" si="280"/>
        <v>0</v>
      </c>
      <c r="JL90" s="150"/>
      <c r="JM90" s="528"/>
      <c r="JN90" s="145"/>
      <c r="JO90" s="146"/>
      <c r="JP90" s="151" t="s">
        <v>20</v>
      </c>
      <c r="JQ90" s="138">
        <v>0</v>
      </c>
      <c r="JR90" s="173"/>
      <c r="JS90" s="140">
        <f t="shared" si="281"/>
        <v>0</v>
      </c>
      <c r="JT90" s="150"/>
      <c r="JU90" s="528"/>
      <c r="JV90" s="145"/>
      <c r="JW90" s="146"/>
      <c r="JX90" s="151" t="s">
        <v>20</v>
      </c>
      <c r="JY90" s="138">
        <v>0</v>
      </c>
      <c r="JZ90" s="173"/>
      <c r="KA90" s="140">
        <f t="shared" si="282"/>
        <v>0</v>
      </c>
      <c r="KB90" s="150"/>
      <c r="KC90" s="528"/>
      <c r="KD90" s="145"/>
      <c r="KE90" s="146"/>
      <c r="KF90" s="151" t="s">
        <v>20</v>
      </c>
      <c r="KG90" s="138">
        <v>0</v>
      </c>
      <c r="KH90" s="173"/>
      <c r="KI90" s="140">
        <f t="shared" si="283"/>
        <v>0</v>
      </c>
      <c r="KJ90" s="150"/>
      <c r="KK90" s="528"/>
      <c r="KL90" s="145"/>
      <c r="KM90" s="146"/>
      <c r="KN90" s="151" t="s">
        <v>20</v>
      </c>
      <c r="KO90" s="138">
        <v>0</v>
      </c>
      <c r="KP90" s="173"/>
      <c r="KQ90" s="140">
        <f t="shared" si="284"/>
        <v>0</v>
      </c>
      <c r="KR90" s="150"/>
      <c r="KS90" s="528"/>
      <c r="KT90" s="145"/>
      <c r="KU90" s="146"/>
      <c r="KV90" s="151" t="s">
        <v>20</v>
      </c>
      <c r="KW90" s="138">
        <v>0</v>
      </c>
      <c r="KX90" s="173"/>
      <c r="KY90" s="140">
        <f t="shared" si="285"/>
        <v>0</v>
      </c>
      <c r="KZ90" s="150"/>
      <c r="LA90" s="528"/>
      <c r="LB90" s="145"/>
      <c r="LC90" s="146"/>
      <c r="LD90" s="151" t="s">
        <v>20</v>
      </c>
      <c r="LE90" s="138">
        <v>0</v>
      </c>
      <c r="LF90" s="173"/>
      <c r="LG90" s="140">
        <f t="shared" si="286"/>
        <v>0</v>
      </c>
      <c r="LH90" s="150"/>
      <c r="LI90" s="528"/>
      <c r="LJ90" s="145"/>
      <c r="LK90" s="146"/>
      <c r="LL90" s="151" t="s">
        <v>20</v>
      </c>
      <c r="LM90" s="175">
        <v>0</v>
      </c>
      <c r="LN90" s="166"/>
      <c r="LO90" s="140">
        <f t="shared" si="287"/>
        <v>0</v>
      </c>
      <c r="LP90" s="150"/>
      <c r="LQ90" s="528"/>
      <c r="LR90" s="145"/>
      <c r="LS90" s="146"/>
      <c r="LT90" s="151" t="s">
        <v>20</v>
      </c>
      <c r="LU90" s="175"/>
      <c r="LV90" s="166"/>
      <c r="LW90" s="140">
        <f t="shared" si="288"/>
        <v>0</v>
      </c>
      <c r="LX90" s="150"/>
      <c r="LY90" s="528"/>
      <c r="LZ90" s="145"/>
      <c r="MA90" s="146"/>
      <c r="MB90" s="151" t="s">
        <v>20</v>
      </c>
      <c r="MC90" s="175"/>
      <c r="MD90" s="166"/>
      <c r="ME90" s="140">
        <f t="shared" si="289"/>
        <v>0</v>
      </c>
      <c r="MF90" s="150"/>
      <c r="MG90" s="528"/>
      <c r="MH90" s="145"/>
      <c r="MI90" s="146"/>
      <c r="MJ90" s="151" t="s">
        <v>20</v>
      </c>
      <c r="MK90" s="175"/>
      <c r="ML90" s="166"/>
      <c r="MM90" s="140">
        <f t="shared" si="290"/>
        <v>0</v>
      </c>
      <c r="MN90" s="150"/>
      <c r="MO90" s="528"/>
      <c r="MP90" s="145"/>
      <c r="MQ90" s="146"/>
      <c r="MR90" s="151" t="s">
        <v>20</v>
      </c>
      <c r="MS90" s="175"/>
      <c r="MT90" s="166"/>
      <c r="MU90" s="140">
        <f t="shared" si="291"/>
        <v>0</v>
      </c>
      <c r="MV90" s="150"/>
      <c r="MW90" s="528"/>
      <c r="MX90" s="143" t="s">
        <v>75</v>
      </c>
      <c r="MY90" s="144">
        <v>60</v>
      </c>
      <c r="MZ90" s="160" t="s">
        <v>76</v>
      </c>
      <c r="NA90" s="175">
        <v>258</v>
      </c>
      <c r="NB90" s="139">
        <v>7.3735593220338993</v>
      </c>
      <c r="NC90" s="140">
        <f t="shared" si="292"/>
        <v>1902.378305084746</v>
      </c>
      <c r="ND90" s="158"/>
      <c r="NE90" s="528"/>
      <c r="NF90" s="143" t="s">
        <v>75</v>
      </c>
      <c r="NG90" s="144">
        <v>44</v>
      </c>
      <c r="NH90" s="160" t="s">
        <v>76</v>
      </c>
      <c r="NI90" s="175">
        <v>1162</v>
      </c>
      <c r="NJ90" s="139">
        <v>7.3735593220338993</v>
      </c>
      <c r="NK90" s="140">
        <f t="shared" si="293"/>
        <v>8568.0759322033919</v>
      </c>
      <c r="NL90" s="158"/>
      <c r="NM90" s="528"/>
      <c r="NN90" s="143" t="s">
        <v>75</v>
      </c>
      <c r="NO90" s="144">
        <v>60</v>
      </c>
      <c r="NP90" s="160" t="s">
        <v>76</v>
      </c>
      <c r="NQ90" s="175">
        <v>232</v>
      </c>
      <c r="NR90" s="139">
        <v>7.3735593220338993</v>
      </c>
      <c r="NS90" s="140">
        <f t="shared" si="294"/>
        <v>1710.6657627118645</v>
      </c>
      <c r="NT90" s="158"/>
      <c r="NU90" s="528"/>
      <c r="NV90" s="143" t="s">
        <v>75</v>
      </c>
      <c r="NW90" s="144">
        <v>45</v>
      </c>
      <c r="NX90" s="160" t="s">
        <v>76</v>
      </c>
      <c r="NY90" s="175">
        <v>76</v>
      </c>
      <c r="NZ90" s="139">
        <v>7.3735593220338993</v>
      </c>
      <c r="OA90" s="140">
        <f t="shared" si="295"/>
        <v>560.39050847457634</v>
      </c>
      <c r="OB90" s="158"/>
      <c r="OC90" s="528"/>
      <c r="OD90" s="143" t="s">
        <v>75</v>
      </c>
      <c r="OE90" s="144">
        <v>39</v>
      </c>
      <c r="OF90" s="160" t="s">
        <v>76</v>
      </c>
      <c r="OG90" s="175">
        <v>129</v>
      </c>
      <c r="OH90" s="139">
        <v>7.3735593220338993</v>
      </c>
      <c r="OI90" s="140">
        <f t="shared" si="296"/>
        <v>951.18915254237299</v>
      </c>
      <c r="OJ90" s="158"/>
      <c r="OK90" s="528"/>
      <c r="OL90" s="143" t="s">
        <v>75</v>
      </c>
      <c r="OM90" s="144">
        <v>37</v>
      </c>
      <c r="ON90" s="160" t="s">
        <v>76</v>
      </c>
      <c r="OO90" s="175">
        <v>118</v>
      </c>
      <c r="OP90" s="139">
        <v>7.3735593220338993</v>
      </c>
      <c r="OQ90" s="140">
        <f t="shared" si="297"/>
        <v>870.08000000000015</v>
      </c>
      <c r="OR90" s="158"/>
      <c r="OS90" s="528"/>
      <c r="OT90" s="143" t="s">
        <v>75</v>
      </c>
      <c r="OU90" s="144"/>
      <c r="OV90" s="160" t="s">
        <v>76</v>
      </c>
      <c r="OW90" s="175"/>
      <c r="OX90" s="139">
        <v>7.3735593220338993</v>
      </c>
      <c r="OY90" s="140">
        <f t="shared" si="298"/>
        <v>0</v>
      </c>
      <c r="OZ90" s="158"/>
      <c r="PA90" s="528"/>
      <c r="PB90" s="143" t="s">
        <v>75</v>
      </c>
      <c r="PC90" s="144">
        <v>5</v>
      </c>
      <c r="PD90" s="160" t="s">
        <v>76</v>
      </c>
      <c r="PE90" s="175">
        <v>7</v>
      </c>
      <c r="PF90" s="139">
        <v>7.3735593220338993</v>
      </c>
      <c r="PG90" s="140">
        <f t="shared" si="299"/>
        <v>51.614915254237296</v>
      </c>
      <c r="PH90" s="158"/>
      <c r="PI90" s="528"/>
      <c r="PJ90" s="143" t="s">
        <v>75</v>
      </c>
      <c r="PK90" s="144">
        <v>10</v>
      </c>
      <c r="PL90" s="160" t="s">
        <v>76</v>
      </c>
      <c r="PM90" s="175">
        <v>9</v>
      </c>
      <c r="PN90" s="139">
        <v>7.3735593220338993</v>
      </c>
      <c r="PO90" s="140">
        <f t="shared" si="300"/>
        <v>66.3620338983051</v>
      </c>
      <c r="PP90" s="158"/>
      <c r="PQ90" s="528"/>
      <c r="PR90" s="143" t="s">
        <v>75</v>
      </c>
      <c r="PS90" s="144">
        <v>4</v>
      </c>
      <c r="PT90" s="160" t="s">
        <v>76</v>
      </c>
      <c r="PU90" s="175">
        <v>8</v>
      </c>
      <c r="PV90" s="139">
        <v>7.3735593220338993</v>
      </c>
      <c r="PW90" s="140">
        <f t="shared" si="301"/>
        <v>58.988474576271194</v>
      </c>
      <c r="PX90" s="158"/>
      <c r="PY90" s="528"/>
      <c r="PZ90" s="143" t="s">
        <v>75</v>
      </c>
      <c r="QA90" s="144">
        <v>16</v>
      </c>
      <c r="QB90" s="160" t="s">
        <v>76</v>
      </c>
      <c r="QC90" s="175">
        <v>28</v>
      </c>
      <c r="QD90" s="139">
        <v>7.3735593220338993</v>
      </c>
      <c r="QE90" s="140">
        <f t="shared" si="302"/>
        <v>206.45966101694918</v>
      </c>
      <c r="QF90" s="158"/>
      <c r="QG90" s="528"/>
      <c r="QH90" s="143" t="s">
        <v>75</v>
      </c>
      <c r="QI90" s="144">
        <v>10</v>
      </c>
      <c r="QJ90" s="160" t="s">
        <v>76</v>
      </c>
      <c r="QK90" s="175">
        <v>9</v>
      </c>
      <c r="QL90" s="139">
        <v>7.3735593220338993</v>
      </c>
      <c r="QM90" s="140">
        <f t="shared" si="303"/>
        <v>66.3620338983051</v>
      </c>
      <c r="QN90" s="158"/>
      <c r="QO90" s="528"/>
      <c r="QP90" s="143" t="s">
        <v>75</v>
      </c>
      <c r="QQ90" s="144">
        <v>19</v>
      </c>
      <c r="QR90" s="160" t="s">
        <v>76</v>
      </c>
      <c r="QS90" s="175">
        <v>28</v>
      </c>
      <c r="QT90" s="139">
        <v>7.3735593220338993</v>
      </c>
      <c r="QU90" s="140">
        <f t="shared" si="304"/>
        <v>206.45966101694918</v>
      </c>
      <c r="QV90" s="158"/>
      <c r="QW90" s="528"/>
      <c r="QX90" s="143" t="s">
        <v>75</v>
      </c>
      <c r="QY90" s="144"/>
      <c r="QZ90" s="160" t="s">
        <v>76</v>
      </c>
      <c r="RA90" s="175"/>
      <c r="RB90" s="139">
        <v>7.3735593220338993</v>
      </c>
      <c r="RC90" s="140">
        <f t="shared" si="305"/>
        <v>0</v>
      </c>
      <c r="RD90" s="158"/>
      <c r="RE90" s="528"/>
      <c r="RF90" s="143" t="s">
        <v>75</v>
      </c>
      <c r="RG90" s="144"/>
      <c r="RH90" s="160" t="s">
        <v>76</v>
      </c>
      <c r="RI90" s="175"/>
      <c r="RJ90" s="139">
        <v>7.3735593220338993</v>
      </c>
      <c r="RK90" s="140">
        <f t="shared" si="306"/>
        <v>0</v>
      </c>
      <c r="RL90" s="158"/>
      <c r="RM90" s="528"/>
      <c r="RN90" s="143" t="s">
        <v>75</v>
      </c>
      <c r="RO90" s="144">
        <v>56</v>
      </c>
      <c r="RP90" s="160" t="s">
        <v>76</v>
      </c>
      <c r="RQ90" s="175">
        <v>228</v>
      </c>
      <c r="RR90" s="139">
        <v>7.3735593220338993</v>
      </c>
      <c r="RS90" s="140">
        <f t="shared" si="307"/>
        <v>1681.171525423729</v>
      </c>
      <c r="RT90" s="158"/>
      <c r="RU90" s="528"/>
      <c r="RV90" s="143" t="s">
        <v>75</v>
      </c>
      <c r="RW90" s="144">
        <v>44</v>
      </c>
      <c r="RX90" s="160" t="s">
        <v>76</v>
      </c>
      <c r="RY90" s="175">
        <v>176</v>
      </c>
      <c r="RZ90" s="139">
        <v>7.3735593220338993</v>
      </c>
      <c r="SA90" s="140">
        <f t="shared" si="308"/>
        <v>1297.7464406779663</v>
      </c>
      <c r="SB90" s="158"/>
      <c r="SC90" s="528"/>
      <c r="SD90" s="143" t="s">
        <v>75</v>
      </c>
      <c r="SE90" s="144">
        <v>45</v>
      </c>
      <c r="SF90" s="160" t="s">
        <v>76</v>
      </c>
      <c r="SG90" s="175">
        <v>141</v>
      </c>
      <c r="SH90" s="139">
        <v>7.3735593220338993</v>
      </c>
      <c r="SI90" s="140">
        <f t="shared" si="309"/>
        <v>1039.6718644067798</v>
      </c>
      <c r="SJ90" s="158"/>
      <c r="SK90" s="528"/>
      <c r="SL90" s="143" t="s">
        <v>75</v>
      </c>
      <c r="SM90" s="144">
        <v>34</v>
      </c>
      <c r="SN90" s="160" t="s">
        <v>76</v>
      </c>
      <c r="SO90" s="175">
        <v>87</v>
      </c>
      <c r="SP90" s="139">
        <v>7.3735593220338993</v>
      </c>
      <c r="SQ90" s="140">
        <f t="shared" si="310"/>
        <v>641.49966101694929</v>
      </c>
      <c r="SR90" s="158"/>
      <c r="SS90" s="528"/>
      <c r="ST90" s="143" t="s">
        <v>75</v>
      </c>
      <c r="SU90" s="144">
        <v>43</v>
      </c>
      <c r="SV90" s="160" t="s">
        <v>76</v>
      </c>
      <c r="SW90" s="175">
        <v>130</v>
      </c>
      <c r="SX90" s="139">
        <v>7.3735593220338993</v>
      </c>
      <c r="SY90" s="140">
        <f t="shared" si="311"/>
        <v>958.56271186440688</v>
      </c>
      <c r="SZ90" s="158"/>
      <c r="TA90" s="528"/>
      <c r="TB90" s="143" t="s">
        <v>75</v>
      </c>
      <c r="TC90" s="144">
        <v>37</v>
      </c>
      <c r="TD90" s="160" t="s">
        <v>76</v>
      </c>
      <c r="TE90" s="175">
        <v>126</v>
      </c>
      <c r="TF90" s="139">
        <v>7.3735593220338993</v>
      </c>
      <c r="TG90" s="140">
        <f t="shared" si="312"/>
        <v>929.06847457627134</v>
      </c>
      <c r="TH90" s="158"/>
      <c r="TI90" s="528"/>
    </row>
    <row r="91" spans="2:529">
      <c r="B91" s="145"/>
      <c r="C91" s="146"/>
      <c r="D91" s="157" t="s">
        <v>84</v>
      </c>
      <c r="E91" s="138">
        <v>0</v>
      </c>
      <c r="F91" s="173"/>
      <c r="G91" s="140">
        <f t="shared" si="247"/>
        <v>0</v>
      </c>
      <c r="H91" s="150"/>
      <c r="I91" s="528"/>
      <c r="J91" s="145"/>
      <c r="K91" s="146">
        <v>8</v>
      </c>
      <c r="L91" s="157" t="s">
        <v>84</v>
      </c>
      <c r="M91" s="138">
        <v>0</v>
      </c>
      <c r="N91" s="173"/>
      <c r="O91" s="140">
        <f t="shared" si="248"/>
        <v>0</v>
      </c>
      <c r="P91" s="150"/>
      <c r="Q91" s="528"/>
      <c r="R91" s="145"/>
      <c r="S91" s="146">
        <v>8</v>
      </c>
      <c r="T91" s="157" t="s">
        <v>84</v>
      </c>
      <c r="U91" s="138">
        <v>0</v>
      </c>
      <c r="V91" s="173"/>
      <c r="W91" s="140">
        <f t="shared" si="249"/>
        <v>0</v>
      </c>
      <c r="X91" s="150"/>
      <c r="Y91" s="528"/>
      <c r="Z91" s="145"/>
      <c r="AA91" s="146">
        <v>8</v>
      </c>
      <c r="AB91" s="157" t="s">
        <v>84</v>
      </c>
      <c r="AC91" s="138">
        <v>0</v>
      </c>
      <c r="AD91" s="173"/>
      <c r="AE91" s="140">
        <f t="shared" si="250"/>
        <v>0</v>
      </c>
      <c r="AF91" s="150"/>
      <c r="AG91" s="528"/>
      <c r="AH91" s="145"/>
      <c r="AI91" s="146">
        <v>8</v>
      </c>
      <c r="AJ91" s="157" t="s">
        <v>84</v>
      </c>
      <c r="AK91" s="138">
        <v>0</v>
      </c>
      <c r="AL91" s="173"/>
      <c r="AM91" s="140">
        <f t="shared" si="251"/>
        <v>0</v>
      </c>
      <c r="AN91" s="150"/>
      <c r="AO91" s="528"/>
      <c r="AP91" s="145"/>
      <c r="AQ91" s="146">
        <v>8</v>
      </c>
      <c r="AR91" s="157" t="s">
        <v>84</v>
      </c>
      <c r="AS91" s="138">
        <v>0</v>
      </c>
      <c r="AT91" s="173"/>
      <c r="AU91" s="140">
        <f t="shared" si="252"/>
        <v>0</v>
      </c>
      <c r="AV91" s="150"/>
      <c r="AW91" s="528"/>
      <c r="AX91" s="145"/>
      <c r="AY91" s="146">
        <v>8</v>
      </c>
      <c r="AZ91" s="157" t="s">
        <v>84</v>
      </c>
      <c r="BA91" s="138"/>
      <c r="BB91" s="173"/>
      <c r="BC91" s="140">
        <f t="shared" si="253"/>
        <v>0</v>
      </c>
      <c r="BD91" s="150"/>
      <c r="BE91" s="528"/>
      <c r="BF91" s="145"/>
      <c r="BG91" s="146">
        <v>8</v>
      </c>
      <c r="BH91" s="157" t="s">
        <v>84</v>
      </c>
      <c r="BI91" s="138"/>
      <c r="BJ91" s="173"/>
      <c r="BK91" s="140">
        <f t="shared" si="254"/>
        <v>0</v>
      </c>
      <c r="BL91" s="150"/>
      <c r="BM91" s="528"/>
      <c r="BN91" s="145"/>
      <c r="BO91" s="146">
        <v>8</v>
      </c>
      <c r="BP91" s="157" t="s">
        <v>84</v>
      </c>
      <c r="BQ91" s="138">
        <v>0</v>
      </c>
      <c r="BR91" s="173"/>
      <c r="BS91" s="140">
        <f t="shared" si="255"/>
        <v>0</v>
      </c>
      <c r="BT91" s="150"/>
      <c r="BU91" s="528"/>
      <c r="BV91" s="536"/>
      <c r="BW91" s="537"/>
      <c r="BX91" s="574" t="s">
        <v>84</v>
      </c>
      <c r="BY91" s="560"/>
      <c r="BZ91" s="588"/>
      <c r="CA91" s="562">
        <f t="shared" si="256"/>
        <v>0</v>
      </c>
      <c r="CB91" s="569"/>
      <c r="CC91" s="528"/>
      <c r="CD91" s="536"/>
      <c r="CE91" s="537"/>
      <c r="CF91" s="574" t="s">
        <v>84</v>
      </c>
      <c r="CG91" s="560"/>
      <c r="CH91" s="588"/>
      <c r="CI91" s="562">
        <f t="shared" si="257"/>
        <v>0</v>
      </c>
      <c r="CJ91" s="569"/>
      <c r="CK91" s="528"/>
      <c r="CL91" s="145"/>
      <c r="CM91" s="146">
        <v>8</v>
      </c>
      <c r="CN91" s="157" t="s">
        <v>84</v>
      </c>
      <c r="CO91" s="138"/>
      <c r="CP91" s="173"/>
      <c r="CQ91" s="140">
        <f t="shared" si="258"/>
        <v>0</v>
      </c>
      <c r="CR91" s="150"/>
      <c r="CS91" s="528"/>
      <c r="CT91" s="145"/>
      <c r="CU91" s="146">
        <v>8</v>
      </c>
      <c r="CV91" s="157" t="s">
        <v>84</v>
      </c>
      <c r="CW91" s="138">
        <v>0</v>
      </c>
      <c r="CX91" s="173"/>
      <c r="CY91" s="140">
        <f t="shared" si="259"/>
        <v>0</v>
      </c>
      <c r="CZ91" s="150"/>
      <c r="DA91" s="528"/>
      <c r="DB91" s="145"/>
      <c r="DC91" s="146"/>
      <c r="DD91" s="157" t="s">
        <v>84</v>
      </c>
      <c r="DE91" s="138"/>
      <c r="DF91" s="173"/>
      <c r="DG91" s="140">
        <f t="shared" si="260"/>
        <v>0</v>
      </c>
      <c r="DH91" s="150"/>
      <c r="DI91" s="528"/>
      <c r="DJ91" s="145"/>
      <c r="DK91" s="146"/>
      <c r="DL91" s="157" t="s">
        <v>84</v>
      </c>
      <c r="DM91" s="138">
        <v>0</v>
      </c>
      <c r="DN91" s="173"/>
      <c r="DO91" s="140">
        <f t="shared" si="261"/>
        <v>0</v>
      </c>
      <c r="DP91" s="150"/>
      <c r="DQ91" s="528"/>
      <c r="DR91" s="145"/>
      <c r="DS91" s="146"/>
      <c r="DT91" s="157" t="s">
        <v>84</v>
      </c>
      <c r="DU91" s="138"/>
      <c r="DV91" s="173"/>
      <c r="DW91" s="140">
        <f t="shared" si="262"/>
        <v>0</v>
      </c>
      <c r="DX91" s="150"/>
      <c r="DY91" s="528"/>
      <c r="DZ91" s="145"/>
      <c r="EA91" s="146"/>
      <c r="EB91" s="157" t="s">
        <v>84</v>
      </c>
      <c r="EC91" s="138"/>
      <c r="ED91" s="173"/>
      <c r="EE91" s="140">
        <f t="shared" si="263"/>
        <v>0</v>
      </c>
      <c r="EF91" s="150"/>
      <c r="EG91" s="528"/>
      <c r="EH91" s="145"/>
      <c r="EI91" s="146"/>
      <c r="EJ91" s="157" t="s">
        <v>84</v>
      </c>
      <c r="EK91" s="138"/>
      <c r="EL91" s="173"/>
      <c r="EM91" s="140">
        <f t="shared" si="264"/>
        <v>0</v>
      </c>
      <c r="EN91" s="150"/>
      <c r="EO91" s="528"/>
      <c r="EP91" s="145"/>
      <c r="EQ91" s="146"/>
      <c r="ER91" s="157" t="s">
        <v>84</v>
      </c>
      <c r="ES91" s="138"/>
      <c r="ET91" s="173"/>
      <c r="EU91" s="140">
        <f t="shared" si="265"/>
        <v>0</v>
      </c>
      <c r="EV91" s="150"/>
      <c r="EW91" s="528"/>
      <c r="EX91" s="145"/>
      <c r="EY91" s="146"/>
      <c r="EZ91" s="157" t="s">
        <v>84</v>
      </c>
      <c r="FA91" s="138"/>
      <c r="FB91" s="173"/>
      <c r="FC91" s="140">
        <f t="shared" si="266"/>
        <v>0</v>
      </c>
      <c r="FD91" s="150"/>
      <c r="FE91" s="528"/>
      <c r="FF91" s="145"/>
      <c r="FG91" s="146"/>
      <c r="FH91" s="157" t="s">
        <v>84</v>
      </c>
      <c r="FI91" s="138"/>
      <c r="FJ91" s="173"/>
      <c r="FK91" s="140">
        <f t="shared" si="267"/>
        <v>0</v>
      </c>
      <c r="FL91" s="150"/>
      <c r="FM91" s="528"/>
      <c r="FN91" s="145"/>
      <c r="FO91" s="146"/>
      <c r="FP91" s="157" t="s">
        <v>84</v>
      </c>
      <c r="FQ91" s="138"/>
      <c r="FR91" s="173"/>
      <c r="FS91" s="140">
        <f t="shared" si="268"/>
        <v>0</v>
      </c>
      <c r="FT91" s="150"/>
      <c r="FU91" s="528"/>
      <c r="FV91" s="145"/>
      <c r="FW91" s="146"/>
      <c r="FX91" s="157" t="s">
        <v>84</v>
      </c>
      <c r="FY91" s="138"/>
      <c r="FZ91" s="173"/>
      <c r="GA91" s="140">
        <f t="shared" si="269"/>
        <v>0</v>
      </c>
      <c r="GB91" s="150"/>
      <c r="GC91" s="528"/>
      <c r="GD91" s="145"/>
      <c r="GE91" s="146"/>
      <c r="GF91" s="157" t="s">
        <v>84</v>
      </c>
      <c r="GG91" s="138"/>
      <c r="GH91" s="173"/>
      <c r="GI91" s="140">
        <f t="shared" si="270"/>
        <v>0</v>
      </c>
      <c r="GJ91" s="150"/>
      <c r="GK91" s="528"/>
      <c r="GL91" s="145"/>
      <c r="GM91" s="146"/>
      <c r="GN91" s="157" t="s">
        <v>84</v>
      </c>
      <c r="GO91" s="138">
        <f>'[1]Jan_18_Vol weekly-Data-Entry'!$AG$226</f>
        <v>0</v>
      </c>
      <c r="GP91" s="173"/>
      <c r="GQ91" s="140">
        <f t="shared" si="271"/>
        <v>0</v>
      </c>
      <c r="GR91" s="150"/>
      <c r="GS91" s="528"/>
      <c r="GT91" s="145"/>
      <c r="GU91" s="146"/>
      <c r="GV91" s="157" t="s">
        <v>84</v>
      </c>
      <c r="GW91" s="138">
        <v>0</v>
      </c>
      <c r="GX91" s="173"/>
      <c r="GY91" s="140">
        <f t="shared" si="272"/>
        <v>0</v>
      </c>
      <c r="GZ91" s="150"/>
      <c r="HA91" s="528"/>
      <c r="HB91" s="145"/>
      <c r="HC91" s="146"/>
      <c r="HD91" s="157" t="s">
        <v>84</v>
      </c>
      <c r="HE91" s="138">
        <v>0</v>
      </c>
      <c r="HF91" s="173"/>
      <c r="HG91" s="140">
        <f t="shared" si="273"/>
        <v>0</v>
      </c>
      <c r="HH91" s="150"/>
      <c r="HI91" s="528"/>
      <c r="HJ91" s="145"/>
      <c r="HK91" s="146"/>
      <c r="HL91" s="157" t="s">
        <v>84</v>
      </c>
      <c r="HM91" s="138">
        <v>0</v>
      </c>
      <c r="HN91" s="173"/>
      <c r="HO91" s="140">
        <f t="shared" si="274"/>
        <v>0</v>
      </c>
      <c r="HP91" s="150"/>
      <c r="HQ91" s="528"/>
      <c r="HR91" s="145"/>
      <c r="HS91" s="146"/>
      <c r="HT91" s="157" t="s">
        <v>84</v>
      </c>
      <c r="HU91" s="138">
        <v>0</v>
      </c>
      <c r="HV91" s="173"/>
      <c r="HW91" s="140">
        <f t="shared" si="275"/>
        <v>0</v>
      </c>
      <c r="HX91" s="150"/>
      <c r="HY91" s="528"/>
      <c r="HZ91" s="145"/>
      <c r="IA91" s="146"/>
      <c r="IB91" s="157" t="s">
        <v>84</v>
      </c>
      <c r="IC91" s="138">
        <v>0</v>
      </c>
      <c r="ID91" s="173"/>
      <c r="IE91" s="140">
        <f t="shared" si="276"/>
        <v>0</v>
      </c>
      <c r="IF91" s="150"/>
      <c r="IG91" s="528"/>
      <c r="IH91" s="145"/>
      <c r="II91" s="146"/>
      <c r="IJ91" s="157" t="s">
        <v>84</v>
      </c>
      <c r="IK91" s="138">
        <v>0</v>
      </c>
      <c r="IL91" s="173"/>
      <c r="IM91" s="140">
        <f t="shared" si="277"/>
        <v>0</v>
      </c>
      <c r="IN91" s="150"/>
      <c r="IO91" s="528"/>
      <c r="IP91" s="145"/>
      <c r="IQ91" s="146"/>
      <c r="IR91" s="157" t="s">
        <v>84</v>
      </c>
      <c r="IS91" s="138">
        <v>0</v>
      </c>
      <c r="IT91" s="173"/>
      <c r="IU91" s="140">
        <f t="shared" si="278"/>
        <v>0</v>
      </c>
      <c r="IV91" s="150"/>
      <c r="IW91" s="528"/>
      <c r="IX91" s="145"/>
      <c r="IY91" s="146"/>
      <c r="IZ91" s="157" t="s">
        <v>84</v>
      </c>
      <c r="JA91" s="138">
        <v>0</v>
      </c>
      <c r="JB91" s="173"/>
      <c r="JC91" s="140">
        <f t="shared" si="279"/>
        <v>0</v>
      </c>
      <c r="JD91" s="150"/>
      <c r="JE91" s="528"/>
      <c r="JF91" s="145"/>
      <c r="JG91" s="146"/>
      <c r="JH91" s="157" t="s">
        <v>84</v>
      </c>
      <c r="JI91" s="138">
        <v>0</v>
      </c>
      <c r="JJ91" s="173"/>
      <c r="JK91" s="140">
        <f t="shared" si="280"/>
        <v>0</v>
      </c>
      <c r="JL91" s="150"/>
      <c r="JM91" s="528"/>
      <c r="JN91" s="145"/>
      <c r="JO91" s="146"/>
      <c r="JP91" s="157" t="s">
        <v>84</v>
      </c>
      <c r="JQ91" s="138">
        <v>0</v>
      </c>
      <c r="JR91" s="173"/>
      <c r="JS91" s="140">
        <f t="shared" si="281"/>
        <v>0</v>
      </c>
      <c r="JT91" s="150"/>
      <c r="JU91" s="528"/>
      <c r="JV91" s="145"/>
      <c r="JW91" s="146"/>
      <c r="JX91" s="157" t="s">
        <v>84</v>
      </c>
      <c r="JY91" s="138">
        <v>0</v>
      </c>
      <c r="JZ91" s="173"/>
      <c r="KA91" s="140">
        <f t="shared" si="282"/>
        <v>0</v>
      </c>
      <c r="KB91" s="150"/>
      <c r="KC91" s="528"/>
      <c r="KD91" s="145"/>
      <c r="KE91" s="146"/>
      <c r="KF91" s="157" t="s">
        <v>84</v>
      </c>
      <c r="KG91" s="138">
        <v>0</v>
      </c>
      <c r="KH91" s="173"/>
      <c r="KI91" s="140">
        <f t="shared" si="283"/>
        <v>0</v>
      </c>
      <c r="KJ91" s="150"/>
      <c r="KK91" s="528"/>
      <c r="KL91" s="145"/>
      <c r="KM91" s="146"/>
      <c r="KN91" s="157" t="s">
        <v>84</v>
      </c>
      <c r="KO91" s="138">
        <v>0</v>
      </c>
      <c r="KP91" s="173"/>
      <c r="KQ91" s="140">
        <f t="shared" si="284"/>
        <v>0</v>
      </c>
      <c r="KR91" s="150"/>
      <c r="KS91" s="528"/>
      <c r="KT91" s="145"/>
      <c r="KU91" s="146"/>
      <c r="KV91" s="157" t="s">
        <v>84</v>
      </c>
      <c r="KW91" s="138">
        <v>0</v>
      </c>
      <c r="KX91" s="173"/>
      <c r="KY91" s="140">
        <f t="shared" si="285"/>
        <v>0</v>
      </c>
      <c r="KZ91" s="150"/>
      <c r="LA91" s="528"/>
      <c r="LB91" s="145"/>
      <c r="LC91" s="146"/>
      <c r="LD91" s="157" t="s">
        <v>84</v>
      </c>
      <c r="LE91" s="138">
        <v>0</v>
      </c>
      <c r="LF91" s="173"/>
      <c r="LG91" s="140">
        <f t="shared" si="286"/>
        <v>0</v>
      </c>
      <c r="LH91" s="150"/>
      <c r="LI91" s="528"/>
      <c r="LJ91" s="145"/>
      <c r="LK91" s="146"/>
      <c r="LL91" s="157" t="s">
        <v>84</v>
      </c>
      <c r="LM91" s="175">
        <v>0</v>
      </c>
      <c r="LN91" s="166"/>
      <c r="LO91" s="140">
        <f t="shared" si="287"/>
        <v>0</v>
      </c>
      <c r="LP91" s="150"/>
      <c r="LQ91" s="528"/>
      <c r="LR91" s="145"/>
      <c r="LS91" s="146"/>
      <c r="LT91" s="157" t="s">
        <v>84</v>
      </c>
      <c r="LU91" s="175"/>
      <c r="LV91" s="166"/>
      <c r="LW91" s="140">
        <f t="shared" si="288"/>
        <v>0</v>
      </c>
      <c r="LX91" s="150"/>
      <c r="LY91" s="528"/>
      <c r="LZ91" s="145"/>
      <c r="MA91" s="146"/>
      <c r="MB91" s="157" t="s">
        <v>84</v>
      </c>
      <c r="MC91" s="175"/>
      <c r="MD91" s="166"/>
      <c r="ME91" s="140">
        <f t="shared" si="289"/>
        <v>0</v>
      </c>
      <c r="MF91" s="150"/>
      <c r="MG91" s="528"/>
      <c r="MH91" s="145"/>
      <c r="MI91" s="146"/>
      <c r="MJ91" s="157" t="s">
        <v>84</v>
      </c>
      <c r="MK91" s="175"/>
      <c r="ML91" s="166"/>
      <c r="MM91" s="140">
        <f t="shared" si="290"/>
        <v>0</v>
      </c>
      <c r="MN91" s="150"/>
      <c r="MO91" s="528"/>
      <c r="MP91" s="145"/>
      <c r="MQ91" s="146"/>
      <c r="MR91" s="157" t="s">
        <v>84</v>
      </c>
      <c r="MS91" s="175"/>
      <c r="MT91" s="166"/>
      <c r="MU91" s="140">
        <f t="shared" si="291"/>
        <v>0</v>
      </c>
      <c r="MV91" s="150"/>
      <c r="MW91" s="528"/>
      <c r="MX91" s="145"/>
      <c r="MY91" s="146"/>
      <c r="MZ91" s="157" t="s">
        <v>77</v>
      </c>
      <c r="NA91" s="175">
        <v>27</v>
      </c>
      <c r="NB91" s="139">
        <v>3.0458333333333329</v>
      </c>
      <c r="NC91" s="140">
        <f t="shared" si="292"/>
        <v>82.237499999999983</v>
      </c>
      <c r="ND91" s="158"/>
      <c r="NE91" s="528"/>
      <c r="NF91" s="145"/>
      <c r="NG91" s="146"/>
      <c r="NH91" s="157" t="s">
        <v>370</v>
      </c>
      <c r="NI91" s="175">
        <v>179</v>
      </c>
      <c r="NJ91" s="139">
        <v>3.0458333333333329</v>
      </c>
      <c r="NK91" s="140">
        <f t="shared" si="293"/>
        <v>545.20416666666665</v>
      </c>
      <c r="NL91" s="158"/>
      <c r="NM91" s="528"/>
      <c r="NN91" s="145"/>
      <c r="NO91" s="146"/>
      <c r="NP91" s="157" t="s">
        <v>370</v>
      </c>
      <c r="NQ91" s="175">
        <v>83</v>
      </c>
      <c r="NR91" s="139">
        <v>3.0458333333333329</v>
      </c>
      <c r="NS91" s="140">
        <f t="shared" si="294"/>
        <v>252.80416666666665</v>
      </c>
      <c r="NT91" s="158"/>
      <c r="NU91" s="528"/>
      <c r="NV91" s="145"/>
      <c r="NW91" s="146"/>
      <c r="NX91" s="157" t="s">
        <v>370</v>
      </c>
      <c r="NY91" s="175">
        <v>59</v>
      </c>
      <c r="NZ91" s="139">
        <v>3.0458333333333329</v>
      </c>
      <c r="OA91" s="140">
        <f t="shared" si="295"/>
        <v>179.70416666666665</v>
      </c>
      <c r="OB91" s="158"/>
      <c r="OC91" s="528"/>
      <c r="OD91" s="145"/>
      <c r="OE91" s="146"/>
      <c r="OF91" s="157" t="s">
        <v>370</v>
      </c>
      <c r="OG91" s="175">
        <v>43</v>
      </c>
      <c r="OH91" s="139">
        <v>3.0458333333333329</v>
      </c>
      <c r="OI91" s="140">
        <f t="shared" si="296"/>
        <v>130.9708333333333</v>
      </c>
      <c r="OJ91" s="158"/>
      <c r="OK91" s="528"/>
      <c r="OL91" s="145"/>
      <c r="OM91" s="146"/>
      <c r="ON91" s="157" t="s">
        <v>370</v>
      </c>
      <c r="OO91" s="175">
        <v>23</v>
      </c>
      <c r="OP91" s="139">
        <v>3.0458333333333329</v>
      </c>
      <c r="OQ91" s="140">
        <f t="shared" si="297"/>
        <v>70.05416666666666</v>
      </c>
      <c r="OR91" s="158"/>
      <c r="OS91" s="528"/>
      <c r="OT91" s="145"/>
      <c r="OU91" s="146"/>
      <c r="OV91" s="157" t="s">
        <v>370</v>
      </c>
      <c r="OW91" s="175"/>
      <c r="OX91" s="139">
        <v>3.0458333333333329</v>
      </c>
      <c r="OY91" s="140">
        <f t="shared" si="298"/>
        <v>0</v>
      </c>
      <c r="OZ91" s="158"/>
      <c r="PA91" s="528"/>
      <c r="PB91" s="145"/>
      <c r="PC91" s="146"/>
      <c r="PD91" s="157" t="s">
        <v>370</v>
      </c>
      <c r="PE91" s="175"/>
      <c r="PF91" s="139">
        <v>3.0458333333333329</v>
      </c>
      <c r="PG91" s="140">
        <f t="shared" si="299"/>
        <v>0</v>
      </c>
      <c r="PH91" s="158"/>
      <c r="PI91" s="528"/>
      <c r="PJ91" s="145"/>
      <c r="PK91" s="146"/>
      <c r="PL91" s="157" t="s">
        <v>370</v>
      </c>
      <c r="PM91" s="175">
        <v>8</v>
      </c>
      <c r="PN91" s="139">
        <v>3.0458333333333329</v>
      </c>
      <c r="PO91" s="140">
        <f t="shared" si="300"/>
        <v>24.366666666666664</v>
      </c>
      <c r="PP91" s="158"/>
      <c r="PQ91" s="528"/>
      <c r="PR91" s="145"/>
      <c r="PS91" s="146"/>
      <c r="PT91" s="157" t="s">
        <v>370</v>
      </c>
      <c r="PU91" s="175">
        <v>3</v>
      </c>
      <c r="PV91" s="139">
        <v>3.0458333333333329</v>
      </c>
      <c r="PW91" s="140">
        <f t="shared" si="301"/>
        <v>9.1374999999999993</v>
      </c>
      <c r="PX91" s="158"/>
      <c r="PY91" s="528"/>
      <c r="PZ91" s="145"/>
      <c r="QA91" s="146"/>
      <c r="QB91" s="157" t="s">
        <v>370</v>
      </c>
      <c r="QC91" s="175">
        <v>10</v>
      </c>
      <c r="QD91" s="139">
        <v>3.0458333333333329</v>
      </c>
      <c r="QE91" s="140">
        <f t="shared" si="302"/>
        <v>30.458333333333329</v>
      </c>
      <c r="QF91" s="158"/>
      <c r="QG91" s="528"/>
      <c r="QH91" s="145"/>
      <c r="QI91" s="146"/>
      <c r="QJ91" s="157" t="s">
        <v>370</v>
      </c>
      <c r="QK91" s="175">
        <v>5</v>
      </c>
      <c r="QL91" s="139">
        <v>3.0458333333333329</v>
      </c>
      <c r="QM91" s="140">
        <f t="shared" si="303"/>
        <v>15.229166666666664</v>
      </c>
      <c r="QN91" s="158"/>
      <c r="QO91" s="528"/>
      <c r="QP91" s="145"/>
      <c r="QQ91" s="146"/>
      <c r="QR91" s="157" t="s">
        <v>370</v>
      </c>
      <c r="QS91" s="175">
        <v>9</v>
      </c>
      <c r="QT91" s="139">
        <v>3.0458333333333329</v>
      </c>
      <c r="QU91" s="140">
        <f t="shared" si="304"/>
        <v>27.412499999999998</v>
      </c>
      <c r="QV91" s="158"/>
      <c r="QW91" s="528"/>
      <c r="QX91" s="145"/>
      <c r="QY91" s="146"/>
      <c r="QZ91" s="157" t="s">
        <v>370</v>
      </c>
      <c r="RA91" s="175"/>
      <c r="RB91" s="139">
        <v>3.0458333333333329</v>
      </c>
      <c r="RC91" s="140">
        <f t="shared" si="305"/>
        <v>0</v>
      </c>
      <c r="RD91" s="158"/>
      <c r="RE91" s="528"/>
      <c r="RF91" s="145"/>
      <c r="RG91" s="146"/>
      <c r="RH91" s="157" t="s">
        <v>370</v>
      </c>
      <c r="RI91" s="175"/>
      <c r="RJ91" s="139">
        <v>3.0458333333333329</v>
      </c>
      <c r="RK91" s="140">
        <f t="shared" si="306"/>
        <v>0</v>
      </c>
      <c r="RL91" s="158"/>
      <c r="RM91" s="528"/>
      <c r="RN91" s="145"/>
      <c r="RO91" s="146"/>
      <c r="RP91" s="157" t="s">
        <v>370</v>
      </c>
      <c r="RQ91" s="175">
        <v>73</v>
      </c>
      <c r="RR91" s="139">
        <v>3.0458333333333329</v>
      </c>
      <c r="RS91" s="140">
        <f t="shared" si="307"/>
        <v>222.3458333333333</v>
      </c>
      <c r="RT91" s="158"/>
      <c r="RU91" s="528"/>
      <c r="RV91" s="145"/>
      <c r="RW91" s="146"/>
      <c r="RX91" s="157" t="s">
        <v>370</v>
      </c>
      <c r="RY91" s="175">
        <v>57</v>
      </c>
      <c r="RZ91" s="139">
        <v>3.0458333333333329</v>
      </c>
      <c r="SA91" s="140">
        <f t="shared" si="308"/>
        <v>173.61249999999998</v>
      </c>
      <c r="SB91" s="158"/>
      <c r="SC91" s="528"/>
      <c r="SD91" s="145"/>
      <c r="SE91" s="146"/>
      <c r="SF91" s="157" t="s">
        <v>370</v>
      </c>
      <c r="SG91" s="175">
        <v>65</v>
      </c>
      <c r="SH91" s="139">
        <v>3.0458333333333329</v>
      </c>
      <c r="SI91" s="140">
        <f t="shared" si="309"/>
        <v>197.97916666666663</v>
      </c>
      <c r="SJ91" s="158"/>
      <c r="SK91" s="528"/>
      <c r="SL91" s="145"/>
      <c r="SM91" s="146"/>
      <c r="SN91" s="157" t="s">
        <v>370</v>
      </c>
      <c r="SO91" s="175">
        <v>57</v>
      </c>
      <c r="SP91" s="139">
        <v>3.0458333333333329</v>
      </c>
      <c r="SQ91" s="140">
        <f t="shared" si="310"/>
        <v>173.61249999999998</v>
      </c>
      <c r="SR91" s="158"/>
      <c r="SS91" s="528"/>
      <c r="ST91" s="145"/>
      <c r="SU91" s="146"/>
      <c r="SV91" s="157" t="s">
        <v>370</v>
      </c>
      <c r="SW91" s="175">
        <v>42</v>
      </c>
      <c r="SX91" s="139">
        <v>3.0458333333333329</v>
      </c>
      <c r="SY91" s="140">
        <f t="shared" si="311"/>
        <v>127.92499999999998</v>
      </c>
      <c r="SZ91" s="158"/>
      <c r="TA91" s="528"/>
      <c r="TB91" s="145"/>
      <c r="TC91" s="146"/>
      <c r="TD91" s="157" t="s">
        <v>370</v>
      </c>
      <c r="TE91" s="175">
        <v>14</v>
      </c>
      <c r="TF91" s="139">
        <v>3.0458333333333329</v>
      </c>
      <c r="TG91" s="140">
        <f t="shared" si="312"/>
        <v>42.641666666666659</v>
      </c>
      <c r="TH91" s="158"/>
      <c r="TI91" s="528"/>
    </row>
    <row r="92" spans="2:529">
      <c r="B92" s="145"/>
      <c r="C92" s="174"/>
      <c r="D92" s="167" t="s">
        <v>85</v>
      </c>
      <c r="E92" s="138">
        <v>0</v>
      </c>
      <c r="F92" s="170"/>
      <c r="G92" s="140">
        <f t="shared" si="247"/>
        <v>0</v>
      </c>
      <c r="H92" s="159">
        <f>SUM(G89:G92)</f>
        <v>0</v>
      </c>
      <c r="I92" s="528"/>
      <c r="J92" s="145"/>
      <c r="K92" s="174">
        <v>12</v>
      </c>
      <c r="L92" s="167" t="s">
        <v>85</v>
      </c>
      <c r="M92" s="138">
        <v>0</v>
      </c>
      <c r="N92" s="170"/>
      <c r="O92" s="140">
        <f t="shared" si="248"/>
        <v>0</v>
      </c>
      <c r="P92" s="159">
        <f>SUM(O89:O92)</f>
        <v>0</v>
      </c>
      <c r="Q92" s="528"/>
      <c r="R92" s="145"/>
      <c r="S92" s="174">
        <v>12</v>
      </c>
      <c r="T92" s="167" t="s">
        <v>85</v>
      </c>
      <c r="U92" s="138">
        <v>0</v>
      </c>
      <c r="V92" s="170"/>
      <c r="W92" s="140">
        <f t="shared" si="249"/>
        <v>0</v>
      </c>
      <c r="X92" s="159">
        <f>SUM(W89:W92)</f>
        <v>1329.8858974358975</v>
      </c>
      <c r="Y92" s="528"/>
      <c r="Z92" s="145"/>
      <c r="AA92" s="174">
        <v>12</v>
      </c>
      <c r="AB92" s="167" t="s">
        <v>85</v>
      </c>
      <c r="AC92" s="138">
        <v>0</v>
      </c>
      <c r="AD92" s="170"/>
      <c r="AE92" s="140">
        <f t="shared" si="250"/>
        <v>0</v>
      </c>
      <c r="AF92" s="159">
        <f>SUM(AE89:AE92)</f>
        <v>64.657435897435903</v>
      </c>
      <c r="AG92" s="528"/>
      <c r="AH92" s="145"/>
      <c r="AI92" s="174">
        <v>12</v>
      </c>
      <c r="AJ92" s="167" t="s">
        <v>85</v>
      </c>
      <c r="AK92" s="138">
        <v>0</v>
      </c>
      <c r="AL92" s="170"/>
      <c r="AM92" s="140">
        <f t="shared" si="251"/>
        <v>0</v>
      </c>
      <c r="AN92" s="159">
        <f>SUM(AM89:AM92)</f>
        <v>0</v>
      </c>
      <c r="AO92" s="528"/>
      <c r="AP92" s="145"/>
      <c r="AQ92" s="174">
        <v>12</v>
      </c>
      <c r="AR92" s="167" t="s">
        <v>85</v>
      </c>
      <c r="AS92" s="138"/>
      <c r="AT92" s="170"/>
      <c r="AU92" s="140">
        <f t="shared" si="252"/>
        <v>0</v>
      </c>
      <c r="AV92" s="159">
        <f>SUM(AU89:AU92)</f>
        <v>123.43692307692308</v>
      </c>
      <c r="AW92" s="528"/>
      <c r="AX92" s="145"/>
      <c r="AY92" s="174">
        <v>12</v>
      </c>
      <c r="AZ92" s="167" t="s">
        <v>85</v>
      </c>
      <c r="BA92" s="138"/>
      <c r="BB92" s="170"/>
      <c r="BC92" s="140">
        <f t="shared" si="253"/>
        <v>0</v>
      </c>
      <c r="BD92" s="159">
        <f>SUM(BC89:BC92)</f>
        <v>0</v>
      </c>
      <c r="BE92" s="528"/>
      <c r="BF92" s="145"/>
      <c r="BG92" s="174">
        <v>12</v>
      </c>
      <c r="BH92" s="167" t="s">
        <v>85</v>
      </c>
      <c r="BI92" s="138"/>
      <c r="BJ92" s="170"/>
      <c r="BK92" s="140">
        <f t="shared" si="254"/>
        <v>0</v>
      </c>
      <c r="BL92" s="159">
        <f>SUM(BK89:BK92)</f>
        <v>943.41076923076923</v>
      </c>
      <c r="BM92" s="528"/>
      <c r="BN92" s="145"/>
      <c r="BO92" s="174">
        <v>12</v>
      </c>
      <c r="BP92" s="167" t="s">
        <v>85</v>
      </c>
      <c r="BQ92" s="138"/>
      <c r="BR92" s="170"/>
      <c r="BS92" s="140">
        <f t="shared" si="255"/>
        <v>0</v>
      </c>
      <c r="BT92" s="159">
        <f>SUM(BS89:BS92)</f>
        <v>1199.1015384615384</v>
      </c>
      <c r="BU92" s="528"/>
      <c r="BV92" s="536"/>
      <c r="BW92" s="582"/>
      <c r="BX92" s="545" t="s">
        <v>85</v>
      </c>
      <c r="BY92" s="560"/>
      <c r="BZ92" s="585"/>
      <c r="CA92" s="562">
        <f t="shared" si="256"/>
        <v>0</v>
      </c>
      <c r="CB92" s="575">
        <f>SUM(CA89:CA92)</f>
        <v>0</v>
      </c>
      <c r="CC92" s="528"/>
      <c r="CD92" s="536"/>
      <c r="CE92" s="582"/>
      <c r="CF92" s="545" t="s">
        <v>85</v>
      </c>
      <c r="CG92" s="560"/>
      <c r="CH92" s="585"/>
      <c r="CI92" s="562">
        <f t="shared" si="257"/>
        <v>0</v>
      </c>
      <c r="CJ92" s="575">
        <f>SUM(CI89:CI92)</f>
        <v>0</v>
      </c>
      <c r="CK92" s="528"/>
      <c r="CL92" s="145"/>
      <c r="CM92" s="174">
        <v>12</v>
      </c>
      <c r="CN92" s="167" t="s">
        <v>85</v>
      </c>
      <c r="CO92" s="138"/>
      <c r="CP92" s="170"/>
      <c r="CQ92" s="140">
        <f t="shared" si="258"/>
        <v>0</v>
      </c>
      <c r="CR92" s="159">
        <f>SUM(CQ89:CQ92)</f>
        <v>0</v>
      </c>
      <c r="CS92" s="528"/>
      <c r="CT92" s="145"/>
      <c r="CU92" s="174">
        <v>12</v>
      </c>
      <c r="CV92" s="167" t="s">
        <v>85</v>
      </c>
      <c r="CW92" s="138">
        <v>0</v>
      </c>
      <c r="CX92" s="170"/>
      <c r="CY92" s="140">
        <f t="shared" si="259"/>
        <v>0</v>
      </c>
      <c r="CZ92" s="159">
        <f>SUM(CY89:CY92)</f>
        <v>577.50846153846157</v>
      </c>
      <c r="DA92" s="528"/>
      <c r="DB92" s="145"/>
      <c r="DC92" s="174"/>
      <c r="DD92" s="167" t="s">
        <v>85</v>
      </c>
      <c r="DE92" s="138"/>
      <c r="DF92" s="170"/>
      <c r="DG92" s="140">
        <f t="shared" si="260"/>
        <v>0</v>
      </c>
      <c r="DH92" s="159">
        <f>SUM(DG89:DG92)</f>
        <v>0</v>
      </c>
      <c r="DI92" s="528"/>
      <c r="DJ92" s="145"/>
      <c r="DK92" s="174"/>
      <c r="DL92" s="167" t="s">
        <v>85</v>
      </c>
      <c r="DM92" s="138">
        <v>0</v>
      </c>
      <c r="DN92" s="170"/>
      <c r="DO92" s="140">
        <f t="shared" si="261"/>
        <v>0</v>
      </c>
      <c r="DP92" s="159">
        <f>SUM(DO89:DO92)</f>
        <v>0</v>
      </c>
      <c r="DQ92" s="528"/>
      <c r="DR92" s="145"/>
      <c r="DS92" s="174"/>
      <c r="DT92" s="167" t="s">
        <v>85</v>
      </c>
      <c r="DU92" s="138"/>
      <c r="DV92" s="170"/>
      <c r="DW92" s="140">
        <f t="shared" si="262"/>
        <v>0</v>
      </c>
      <c r="DX92" s="159">
        <f>SUM(DW89:DW92)</f>
        <v>0</v>
      </c>
      <c r="DY92" s="528"/>
      <c r="DZ92" s="145"/>
      <c r="EA92" s="174"/>
      <c r="EB92" s="167" t="s">
        <v>85</v>
      </c>
      <c r="EC92" s="138"/>
      <c r="ED92" s="170"/>
      <c r="EE92" s="140">
        <f t="shared" si="263"/>
        <v>0</v>
      </c>
      <c r="EF92" s="159">
        <f>SUM(EE89:EE92)</f>
        <v>73.474358974358978</v>
      </c>
      <c r="EG92" s="528"/>
      <c r="EH92" s="145"/>
      <c r="EI92" s="174"/>
      <c r="EJ92" s="167" t="s">
        <v>85</v>
      </c>
      <c r="EK92" s="138"/>
      <c r="EL92" s="170"/>
      <c r="EM92" s="140">
        <f t="shared" si="264"/>
        <v>0</v>
      </c>
      <c r="EN92" s="159">
        <f>SUM(EM89:EM92)</f>
        <v>448.19358974358977</v>
      </c>
      <c r="EO92" s="528"/>
      <c r="EP92" s="145"/>
      <c r="EQ92" s="174"/>
      <c r="ER92" s="167" t="s">
        <v>85</v>
      </c>
      <c r="ES92" s="138"/>
      <c r="ET92" s="170"/>
      <c r="EU92" s="140">
        <f t="shared" si="265"/>
        <v>0</v>
      </c>
      <c r="EV92" s="159">
        <f>SUM(EU89:EU92)</f>
        <v>0</v>
      </c>
      <c r="EW92" s="528"/>
      <c r="EX92" s="145"/>
      <c r="EY92" s="174"/>
      <c r="EZ92" s="167" t="s">
        <v>85</v>
      </c>
      <c r="FA92" s="138"/>
      <c r="FB92" s="170"/>
      <c r="FC92" s="140">
        <f t="shared" si="266"/>
        <v>0</v>
      </c>
      <c r="FD92" s="159">
        <f>SUM(FC89:FC92)</f>
        <v>0</v>
      </c>
      <c r="FE92" s="528"/>
      <c r="FF92" s="145"/>
      <c r="FG92" s="174"/>
      <c r="FH92" s="167" t="s">
        <v>85</v>
      </c>
      <c r="FI92" s="138"/>
      <c r="FJ92" s="170"/>
      <c r="FK92" s="140">
        <f t="shared" si="267"/>
        <v>0</v>
      </c>
      <c r="FL92" s="159">
        <f>SUM(FK89:FK92)</f>
        <v>0</v>
      </c>
      <c r="FM92" s="528"/>
      <c r="FN92" s="145"/>
      <c r="FO92" s="174"/>
      <c r="FP92" s="167" t="s">
        <v>85</v>
      </c>
      <c r="FQ92" s="138"/>
      <c r="FR92" s="170"/>
      <c r="FS92" s="140">
        <f t="shared" si="268"/>
        <v>0</v>
      </c>
      <c r="FT92" s="159">
        <f>SUM(FS89:FS92)</f>
        <v>0</v>
      </c>
      <c r="FU92" s="528"/>
      <c r="FV92" s="145"/>
      <c r="FW92" s="174"/>
      <c r="FX92" s="167" t="s">
        <v>85</v>
      </c>
      <c r="FY92" s="138"/>
      <c r="FZ92" s="170"/>
      <c r="GA92" s="140">
        <f t="shared" si="269"/>
        <v>0</v>
      </c>
      <c r="GB92" s="159">
        <f>SUM(GA89:GA92)</f>
        <v>0</v>
      </c>
      <c r="GC92" s="528"/>
      <c r="GD92" s="145"/>
      <c r="GE92" s="174"/>
      <c r="GF92" s="167" t="s">
        <v>85</v>
      </c>
      <c r="GG92" s="138"/>
      <c r="GH92" s="170"/>
      <c r="GI92" s="140">
        <f t="shared" si="270"/>
        <v>0</v>
      </c>
      <c r="GJ92" s="159">
        <f>SUM(GI89:GI92)</f>
        <v>0</v>
      </c>
      <c r="GK92" s="528"/>
      <c r="GL92" s="145"/>
      <c r="GM92" s="174"/>
      <c r="GN92" s="167" t="s">
        <v>85</v>
      </c>
      <c r="GO92" s="138">
        <f>'[1]Jan_18_Vol weekly-Data-Entry'!$AH$226</f>
        <v>0</v>
      </c>
      <c r="GP92" s="170"/>
      <c r="GQ92" s="140">
        <f t="shared" si="271"/>
        <v>0</v>
      </c>
      <c r="GR92" s="159">
        <f>SUM(GQ89:GQ92)</f>
        <v>0</v>
      </c>
      <c r="GS92" s="528"/>
      <c r="GT92" s="145"/>
      <c r="GU92" s="174"/>
      <c r="GV92" s="167" t="s">
        <v>85</v>
      </c>
      <c r="GW92" s="138">
        <v>0</v>
      </c>
      <c r="GX92" s="170"/>
      <c r="GY92" s="140">
        <f>GW92*GX92</f>
        <v>0</v>
      </c>
      <c r="GZ92" s="159">
        <f>SUM(GY89:GY92)</f>
        <v>79.35230769230769</v>
      </c>
      <c r="HA92" s="528"/>
      <c r="HB92" s="145"/>
      <c r="HC92" s="174"/>
      <c r="HD92" s="167" t="s">
        <v>85</v>
      </c>
      <c r="HE92" s="138">
        <v>0</v>
      </c>
      <c r="HF92" s="170"/>
      <c r="HG92" s="140">
        <f t="shared" si="273"/>
        <v>0</v>
      </c>
      <c r="HH92" s="159">
        <f>SUM(HG89:HG92)</f>
        <v>0</v>
      </c>
      <c r="HI92" s="528"/>
      <c r="HJ92" s="145"/>
      <c r="HK92" s="174"/>
      <c r="HL92" s="167" t="s">
        <v>85</v>
      </c>
      <c r="HM92" s="138">
        <v>0</v>
      </c>
      <c r="HN92" s="170"/>
      <c r="HO92" s="140">
        <f t="shared" si="274"/>
        <v>0</v>
      </c>
      <c r="HP92" s="159">
        <f>SUM(HO89:HO92)</f>
        <v>0</v>
      </c>
      <c r="HQ92" s="528"/>
      <c r="HR92" s="145"/>
      <c r="HS92" s="174"/>
      <c r="HT92" s="167" t="s">
        <v>85</v>
      </c>
      <c r="HU92" s="138">
        <v>0</v>
      </c>
      <c r="HV92" s="170"/>
      <c r="HW92" s="140">
        <f t="shared" si="275"/>
        <v>0</v>
      </c>
      <c r="HX92" s="159">
        <f>SUM(HW89:HW92)</f>
        <v>483.46128205128207</v>
      </c>
      <c r="HY92" s="528"/>
      <c r="HZ92" s="145"/>
      <c r="IA92" s="174"/>
      <c r="IB92" s="167" t="s">
        <v>85</v>
      </c>
      <c r="IC92" s="138">
        <v>0</v>
      </c>
      <c r="ID92" s="170"/>
      <c r="IE92" s="140">
        <f t="shared" si="276"/>
        <v>0</v>
      </c>
      <c r="IF92" s="159">
        <f>SUM(IE89:IE92)</f>
        <v>483.46128205128207</v>
      </c>
      <c r="IG92" s="528"/>
      <c r="IH92" s="145"/>
      <c r="II92" s="174"/>
      <c r="IJ92" s="167" t="s">
        <v>85</v>
      </c>
      <c r="IK92" s="138">
        <v>0</v>
      </c>
      <c r="IL92" s="170"/>
      <c r="IM92" s="140">
        <f t="shared" si="277"/>
        <v>0</v>
      </c>
      <c r="IN92" s="159">
        <f>SUM(IM89:IM92)</f>
        <v>511.38153846153847</v>
      </c>
      <c r="IO92" s="528"/>
      <c r="IP92" s="145"/>
      <c r="IQ92" s="174"/>
      <c r="IR92" s="167" t="s">
        <v>85</v>
      </c>
      <c r="IS92" s="138">
        <v>0</v>
      </c>
      <c r="IT92" s="170"/>
      <c r="IU92" s="140">
        <f t="shared" si="278"/>
        <v>0</v>
      </c>
      <c r="IV92" s="159">
        <f>SUM(IU89:IU92)</f>
        <v>1858.9012820512821</v>
      </c>
      <c r="IW92" s="528"/>
      <c r="IX92" s="145"/>
      <c r="IY92" s="174"/>
      <c r="IZ92" s="167" t="s">
        <v>85</v>
      </c>
      <c r="JA92" s="138">
        <v>0</v>
      </c>
      <c r="JB92" s="170"/>
      <c r="JC92" s="140">
        <f t="shared" si="279"/>
        <v>0</v>
      </c>
      <c r="JD92" s="159">
        <f>SUM(JC89:JC92)</f>
        <v>1138.8525641025642</v>
      </c>
      <c r="JE92" s="528"/>
      <c r="JF92" s="145"/>
      <c r="JG92" s="174"/>
      <c r="JH92" s="167" t="s">
        <v>85</v>
      </c>
      <c r="JI92" s="138">
        <v>0</v>
      </c>
      <c r="JJ92" s="170"/>
      <c r="JK92" s="140">
        <f t="shared" si="280"/>
        <v>0</v>
      </c>
      <c r="JL92" s="159">
        <f>SUM(JK89:JK92)</f>
        <v>1025.7020512820513</v>
      </c>
      <c r="JM92" s="528"/>
      <c r="JN92" s="145"/>
      <c r="JO92" s="174"/>
      <c r="JP92" s="167" t="s">
        <v>85</v>
      </c>
      <c r="JQ92" s="138">
        <v>0</v>
      </c>
      <c r="JR92" s="170"/>
      <c r="JS92" s="140">
        <f t="shared" si="281"/>
        <v>0</v>
      </c>
      <c r="JT92" s="159">
        <f>SUM(JS89:JS92)</f>
        <v>1634.0697435897437</v>
      </c>
      <c r="JU92" s="528"/>
      <c r="JV92" s="145"/>
      <c r="JW92" s="174"/>
      <c r="JX92" s="167" t="s">
        <v>85</v>
      </c>
      <c r="JY92" s="138">
        <v>0</v>
      </c>
      <c r="JZ92" s="170"/>
      <c r="KA92" s="140">
        <f t="shared" si="282"/>
        <v>0</v>
      </c>
      <c r="KB92" s="159">
        <f>SUM(KA89:KA92)</f>
        <v>1153.5474358974359</v>
      </c>
      <c r="KC92" s="528"/>
      <c r="KD92" s="145"/>
      <c r="KE92" s="174"/>
      <c r="KF92" s="167" t="s">
        <v>85</v>
      </c>
      <c r="KG92" s="138">
        <v>0</v>
      </c>
      <c r="KH92" s="170"/>
      <c r="KI92" s="140">
        <f t="shared" si="283"/>
        <v>0</v>
      </c>
      <c r="KJ92" s="159">
        <f>SUM(KI89:KI92)</f>
        <v>445.25461538461542</v>
      </c>
      <c r="KK92" s="528"/>
      <c r="KL92" s="145"/>
      <c r="KM92" s="174"/>
      <c r="KN92" s="167" t="s">
        <v>85</v>
      </c>
      <c r="KO92" s="138">
        <v>0</v>
      </c>
      <c r="KP92" s="170"/>
      <c r="KQ92" s="140">
        <f t="shared" si="284"/>
        <v>0</v>
      </c>
      <c r="KR92" s="159">
        <f>SUM(KQ89:KQ92)</f>
        <v>0</v>
      </c>
      <c r="KS92" s="528"/>
      <c r="KT92" s="145"/>
      <c r="KU92" s="174"/>
      <c r="KV92" s="167" t="s">
        <v>85</v>
      </c>
      <c r="KW92" s="138">
        <v>0</v>
      </c>
      <c r="KX92" s="170"/>
      <c r="KY92" s="140">
        <f t="shared" si="285"/>
        <v>0</v>
      </c>
      <c r="KZ92" s="159">
        <f>SUM(KY89:KY92)</f>
        <v>0</v>
      </c>
      <c r="LA92" s="528"/>
      <c r="LB92" s="145"/>
      <c r="LC92" s="174"/>
      <c r="LD92" s="167" t="s">
        <v>85</v>
      </c>
      <c r="LE92" s="138">
        <v>0</v>
      </c>
      <c r="LF92" s="170"/>
      <c r="LG92" s="140">
        <f t="shared" si="286"/>
        <v>0</v>
      </c>
      <c r="LH92" s="159">
        <f>SUM(LG89:LG92)</f>
        <v>2.9389743589743591</v>
      </c>
      <c r="LI92" s="528"/>
      <c r="LJ92" s="145"/>
      <c r="LK92" s="146"/>
      <c r="LL92" s="167" t="s">
        <v>85</v>
      </c>
      <c r="LM92" s="175">
        <v>0</v>
      </c>
      <c r="LN92" s="139"/>
      <c r="LO92" s="140">
        <f t="shared" si="287"/>
        <v>0</v>
      </c>
      <c r="LP92" s="159">
        <f>SUM(LO89:LO92)</f>
        <v>180.74692307692308</v>
      </c>
      <c r="LQ92" s="528"/>
      <c r="LR92" s="145"/>
      <c r="LS92" s="146"/>
      <c r="LT92" s="167" t="s">
        <v>85</v>
      </c>
      <c r="LU92" s="175"/>
      <c r="LV92" s="139"/>
      <c r="LW92" s="140">
        <f t="shared" si="288"/>
        <v>0</v>
      </c>
      <c r="LX92" s="159">
        <f>SUM(LW89:LW92)</f>
        <v>887.57025641025643</v>
      </c>
      <c r="LY92" s="528"/>
      <c r="LZ92" s="145"/>
      <c r="MA92" s="146"/>
      <c r="MB92" s="167" t="s">
        <v>85</v>
      </c>
      <c r="MC92" s="175"/>
      <c r="MD92" s="139"/>
      <c r="ME92" s="140">
        <f t="shared" si="289"/>
        <v>0</v>
      </c>
      <c r="MF92" s="159">
        <f>SUM(ME89:ME92)</f>
        <v>1731.0558974358976</v>
      </c>
      <c r="MG92" s="528"/>
      <c r="MH92" s="145"/>
      <c r="MI92" s="146"/>
      <c r="MJ92" s="167" t="s">
        <v>85</v>
      </c>
      <c r="MK92" s="175"/>
      <c r="ML92" s="139"/>
      <c r="MM92" s="140">
        <f t="shared" si="290"/>
        <v>0</v>
      </c>
      <c r="MN92" s="159">
        <f>SUM(MM89:MM92)</f>
        <v>1804.5302564102565</v>
      </c>
      <c r="MO92" s="528"/>
      <c r="MP92" s="145"/>
      <c r="MQ92" s="146"/>
      <c r="MR92" s="167" t="s">
        <v>85</v>
      </c>
      <c r="MS92" s="175"/>
      <c r="MT92" s="139"/>
      <c r="MU92" s="140">
        <f t="shared" si="291"/>
        <v>0</v>
      </c>
      <c r="MV92" s="159">
        <f>SUM(MU89:MU92)</f>
        <v>4730.2792307692307</v>
      </c>
      <c r="MW92" s="528"/>
      <c r="MX92" s="145"/>
      <c r="MY92" s="146"/>
      <c r="MZ92" s="157" t="s">
        <v>78</v>
      </c>
      <c r="NA92" s="175">
        <v>64</v>
      </c>
      <c r="NB92" s="139">
        <v>1.3166666666666667</v>
      </c>
      <c r="NC92" s="140">
        <f t="shared" si="292"/>
        <v>84.266666666666666</v>
      </c>
      <c r="ND92" s="158"/>
      <c r="NE92" s="528"/>
      <c r="NF92" s="145"/>
      <c r="NG92" s="146"/>
      <c r="NH92" s="157" t="s">
        <v>78</v>
      </c>
      <c r="NI92" s="175">
        <v>538</v>
      </c>
      <c r="NJ92" s="139">
        <v>1.3166666666666667</v>
      </c>
      <c r="NK92" s="140">
        <f t="shared" si="293"/>
        <v>708.36666666666667</v>
      </c>
      <c r="NL92" s="158"/>
      <c r="NM92" s="528"/>
      <c r="NN92" s="145"/>
      <c r="NO92" s="146"/>
      <c r="NP92" s="157" t="s">
        <v>78</v>
      </c>
      <c r="NQ92" s="175">
        <v>60</v>
      </c>
      <c r="NR92" s="139">
        <v>1.3166666666666667</v>
      </c>
      <c r="NS92" s="140">
        <f t="shared" si="294"/>
        <v>79</v>
      </c>
      <c r="NT92" s="158"/>
      <c r="NU92" s="528"/>
      <c r="NV92" s="145"/>
      <c r="NW92" s="146"/>
      <c r="NX92" s="157" t="s">
        <v>78</v>
      </c>
      <c r="NY92" s="175">
        <v>40</v>
      </c>
      <c r="NZ92" s="139">
        <v>1.3166666666666667</v>
      </c>
      <c r="OA92" s="140">
        <f t="shared" si="295"/>
        <v>52.666666666666664</v>
      </c>
      <c r="OB92" s="158"/>
      <c r="OC92" s="528"/>
      <c r="OD92" s="145"/>
      <c r="OE92" s="146"/>
      <c r="OF92" s="157" t="s">
        <v>78</v>
      </c>
      <c r="OG92" s="175">
        <v>36</v>
      </c>
      <c r="OH92" s="139">
        <v>1.3166666666666667</v>
      </c>
      <c r="OI92" s="140">
        <f t="shared" si="296"/>
        <v>47.4</v>
      </c>
      <c r="OJ92" s="158"/>
      <c r="OK92" s="528"/>
      <c r="OL92" s="145"/>
      <c r="OM92" s="146"/>
      <c r="ON92" s="157" t="s">
        <v>78</v>
      </c>
      <c r="OO92" s="175">
        <v>12</v>
      </c>
      <c r="OP92" s="139">
        <v>1.3166666666666667</v>
      </c>
      <c r="OQ92" s="140">
        <f t="shared" si="297"/>
        <v>15.8</v>
      </c>
      <c r="OR92" s="158"/>
      <c r="OS92" s="528"/>
      <c r="OT92" s="145"/>
      <c r="OU92" s="146"/>
      <c r="OV92" s="157" t="s">
        <v>78</v>
      </c>
      <c r="OW92" s="175"/>
      <c r="OX92" s="139">
        <v>1.3166666666666667</v>
      </c>
      <c r="OY92" s="140">
        <f t="shared" si="298"/>
        <v>0</v>
      </c>
      <c r="OZ92" s="158"/>
      <c r="PA92" s="528"/>
      <c r="PB92" s="145"/>
      <c r="PC92" s="146"/>
      <c r="PD92" s="157" t="s">
        <v>78</v>
      </c>
      <c r="PE92" s="175">
        <v>1</v>
      </c>
      <c r="PF92" s="139">
        <v>1.3166666666666667</v>
      </c>
      <c r="PG92" s="140">
        <f t="shared" si="299"/>
        <v>1.3166666666666667</v>
      </c>
      <c r="PH92" s="158"/>
      <c r="PI92" s="528"/>
      <c r="PJ92" s="145"/>
      <c r="PK92" s="146"/>
      <c r="PL92" s="157" t="s">
        <v>78</v>
      </c>
      <c r="PM92" s="175">
        <v>4</v>
      </c>
      <c r="PN92" s="139">
        <v>1.3166666666666667</v>
      </c>
      <c r="PO92" s="140">
        <f t="shared" si="300"/>
        <v>5.2666666666666666</v>
      </c>
      <c r="PP92" s="158"/>
      <c r="PQ92" s="528"/>
      <c r="PR92" s="145"/>
      <c r="PS92" s="146"/>
      <c r="PT92" s="157" t="s">
        <v>78</v>
      </c>
      <c r="PU92" s="175">
        <v>5</v>
      </c>
      <c r="PV92" s="139">
        <v>1.3166666666666667</v>
      </c>
      <c r="PW92" s="140">
        <f t="shared" si="301"/>
        <v>6.583333333333333</v>
      </c>
      <c r="PX92" s="158"/>
      <c r="PY92" s="528"/>
      <c r="PZ92" s="145"/>
      <c r="QA92" s="146"/>
      <c r="QB92" s="157" t="s">
        <v>78</v>
      </c>
      <c r="QC92" s="175">
        <v>11</v>
      </c>
      <c r="QD92" s="139">
        <v>1.3166666666666667</v>
      </c>
      <c r="QE92" s="140">
        <f t="shared" si="302"/>
        <v>14.483333333333333</v>
      </c>
      <c r="QF92" s="158"/>
      <c r="QG92" s="528"/>
      <c r="QH92" s="145"/>
      <c r="QI92" s="146"/>
      <c r="QJ92" s="157" t="s">
        <v>78</v>
      </c>
      <c r="QK92" s="175">
        <v>1</v>
      </c>
      <c r="QL92" s="139">
        <v>1.3166666666666667</v>
      </c>
      <c r="QM92" s="140">
        <f t="shared" si="303"/>
        <v>1.3166666666666667</v>
      </c>
      <c r="QN92" s="158"/>
      <c r="QO92" s="528"/>
      <c r="QP92" s="145"/>
      <c r="QQ92" s="146"/>
      <c r="QR92" s="157" t="s">
        <v>78</v>
      </c>
      <c r="QS92" s="175">
        <v>10</v>
      </c>
      <c r="QT92" s="139">
        <v>1.3166666666666667</v>
      </c>
      <c r="QU92" s="140">
        <f t="shared" si="304"/>
        <v>13.166666666666666</v>
      </c>
      <c r="QV92" s="158"/>
      <c r="QW92" s="528"/>
      <c r="QX92" s="145"/>
      <c r="QY92" s="146"/>
      <c r="QZ92" s="157" t="s">
        <v>78</v>
      </c>
      <c r="RA92" s="175"/>
      <c r="RB92" s="139">
        <v>1.3166666666666667</v>
      </c>
      <c r="RC92" s="140">
        <f t="shared" si="305"/>
        <v>0</v>
      </c>
      <c r="RD92" s="158"/>
      <c r="RE92" s="528"/>
      <c r="RF92" s="145"/>
      <c r="RG92" s="146"/>
      <c r="RH92" s="157" t="s">
        <v>78</v>
      </c>
      <c r="RI92" s="175"/>
      <c r="RJ92" s="139">
        <v>1.3166666666666667</v>
      </c>
      <c r="RK92" s="140">
        <f t="shared" si="306"/>
        <v>0</v>
      </c>
      <c r="RL92" s="158"/>
      <c r="RM92" s="528"/>
      <c r="RN92" s="145"/>
      <c r="RO92" s="146"/>
      <c r="RP92" s="157" t="s">
        <v>78</v>
      </c>
      <c r="RQ92" s="175">
        <v>99</v>
      </c>
      <c r="RR92" s="139">
        <v>1.3166666666666667</v>
      </c>
      <c r="RS92" s="140">
        <f t="shared" si="307"/>
        <v>130.35</v>
      </c>
      <c r="RT92" s="158"/>
      <c r="RU92" s="528"/>
      <c r="RV92" s="145"/>
      <c r="RW92" s="146"/>
      <c r="RX92" s="157" t="s">
        <v>78</v>
      </c>
      <c r="RY92" s="175">
        <v>34</v>
      </c>
      <c r="RZ92" s="139">
        <v>1.3166666666666667</v>
      </c>
      <c r="SA92" s="140">
        <f t="shared" si="308"/>
        <v>44.766666666666666</v>
      </c>
      <c r="SB92" s="158"/>
      <c r="SC92" s="528"/>
      <c r="SD92" s="145"/>
      <c r="SE92" s="146"/>
      <c r="SF92" s="157" t="s">
        <v>78</v>
      </c>
      <c r="SG92" s="175">
        <v>29</v>
      </c>
      <c r="SH92" s="139">
        <v>1.3166666666666667</v>
      </c>
      <c r="SI92" s="140">
        <f t="shared" si="309"/>
        <v>38.18333333333333</v>
      </c>
      <c r="SJ92" s="158"/>
      <c r="SK92" s="528"/>
      <c r="SL92" s="145"/>
      <c r="SM92" s="146"/>
      <c r="SN92" s="157" t="s">
        <v>78</v>
      </c>
      <c r="SO92" s="175">
        <v>18</v>
      </c>
      <c r="SP92" s="139">
        <v>1.3166666666666667</v>
      </c>
      <c r="SQ92" s="140">
        <f t="shared" si="310"/>
        <v>23.7</v>
      </c>
      <c r="SR92" s="158"/>
      <c r="SS92" s="528"/>
      <c r="ST92" s="145"/>
      <c r="SU92" s="146"/>
      <c r="SV92" s="157" t="s">
        <v>78</v>
      </c>
      <c r="SW92" s="175">
        <v>13</v>
      </c>
      <c r="SX92" s="139">
        <v>1.3166666666666667</v>
      </c>
      <c r="SY92" s="140">
        <f t="shared" si="311"/>
        <v>17.116666666666667</v>
      </c>
      <c r="SZ92" s="158"/>
      <c r="TA92" s="528"/>
      <c r="TB92" s="145"/>
      <c r="TC92" s="146"/>
      <c r="TD92" s="157" t="s">
        <v>78</v>
      </c>
      <c r="TE92" s="175">
        <v>18</v>
      </c>
      <c r="TF92" s="139">
        <v>1.3166666666666667</v>
      </c>
      <c r="TG92" s="140">
        <f t="shared" si="312"/>
        <v>23.7</v>
      </c>
      <c r="TH92" s="158"/>
      <c r="TI92" s="528"/>
    </row>
    <row r="93" spans="2:529">
      <c r="B93" s="155" t="s">
        <v>86</v>
      </c>
      <c r="C93" s="144">
        <v>3</v>
      </c>
      <c r="D93" s="157" t="s">
        <v>14</v>
      </c>
      <c r="E93" s="138">
        <v>0</v>
      </c>
      <c r="F93" s="172">
        <v>0.84733333333333338</v>
      </c>
      <c r="G93" s="140">
        <f t="shared" si="247"/>
        <v>0</v>
      </c>
      <c r="H93" s="149"/>
      <c r="I93" s="528"/>
      <c r="J93" s="155" t="s">
        <v>86</v>
      </c>
      <c r="K93" s="144"/>
      <c r="L93" s="157" t="s">
        <v>14</v>
      </c>
      <c r="M93" s="138">
        <v>0</v>
      </c>
      <c r="N93" s="172">
        <v>0.84733333333333338</v>
      </c>
      <c r="O93" s="140">
        <f t="shared" si="248"/>
        <v>0</v>
      </c>
      <c r="P93" s="149"/>
      <c r="Q93" s="528"/>
      <c r="R93" s="155" t="s">
        <v>86</v>
      </c>
      <c r="S93" s="144">
        <v>6</v>
      </c>
      <c r="T93" s="157" t="s">
        <v>14</v>
      </c>
      <c r="U93" s="138">
        <v>181</v>
      </c>
      <c r="V93" s="172">
        <v>0.84733333333333338</v>
      </c>
      <c r="W93" s="140">
        <f t="shared" si="249"/>
        <v>153.36733333333333</v>
      </c>
      <c r="X93" s="149"/>
      <c r="Y93" s="528"/>
      <c r="Z93" s="155" t="s">
        <v>86</v>
      </c>
      <c r="AA93" s="144"/>
      <c r="AB93" s="157" t="s">
        <v>14</v>
      </c>
      <c r="AC93" s="138">
        <v>0</v>
      </c>
      <c r="AD93" s="172">
        <v>0.84733333333333338</v>
      </c>
      <c r="AE93" s="140">
        <f t="shared" si="250"/>
        <v>0</v>
      </c>
      <c r="AF93" s="149"/>
      <c r="AG93" s="528"/>
      <c r="AH93" s="155" t="s">
        <v>86</v>
      </c>
      <c r="AI93" s="144"/>
      <c r="AJ93" s="157" t="s">
        <v>14</v>
      </c>
      <c r="AK93" s="138">
        <v>0</v>
      </c>
      <c r="AL93" s="172">
        <v>0.84733333333333338</v>
      </c>
      <c r="AM93" s="140">
        <f t="shared" si="251"/>
        <v>0</v>
      </c>
      <c r="AN93" s="149"/>
      <c r="AO93" s="528"/>
      <c r="AP93" s="155" t="s">
        <v>86</v>
      </c>
      <c r="AQ93" s="144"/>
      <c r="AR93" s="157" t="s">
        <v>14</v>
      </c>
      <c r="AS93" s="138">
        <v>0</v>
      </c>
      <c r="AT93" s="172">
        <v>0.84733333333333338</v>
      </c>
      <c r="AU93" s="140">
        <f t="shared" si="252"/>
        <v>0</v>
      </c>
      <c r="AV93" s="149"/>
      <c r="AW93" s="528"/>
      <c r="AX93" s="155" t="s">
        <v>86</v>
      </c>
      <c r="AY93" s="144"/>
      <c r="AZ93" s="157" t="s">
        <v>14</v>
      </c>
      <c r="BA93" s="138"/>
      <c r="BB93" s="172">
        <v>0.84733333333333338</v>
      </c>
      <c r="BC93" s="140">
        <f t="shared" si="253"/>
        <v>0</v>
      </c>
      <c r="BD93" s="149"/>
      <c r="BE93" s="528"/>
      <c r="BF93" s="155" t="s">
        <v>86</v>
      </c>
      <c r="BG93" s="144">
        <v>10</v>
      </c>
      <c r="BH93" s="157" t="s">
        <v>14</v>
      </c>
      <c r="BI93" s="138">
        <v>403</v>
      </c>
      <c r="BJ93" s="172">
        <v>0.84733333333333338</v>
      </c>
      <c r="BK93" s="140">
        <f t="shared" si="254"/>
        <v>341.47533333333337</v>
      </c>
      <c r="BL93" s="149"/>
      <c r="BM93" s="528"/>
      <c r="BN93" s="155" t="s">
        <v>86</v>
      </c>
      <c r="BO93" s="144">
        <v>9</v>
      </c>
      <c r="BP93" s="157" t="s">
        <v>14</v>
      </c>
      <c r="BQ93" s="138">
        <v>622</v>
      </c>
      <c r="BR93" s="172">
        <v>0.84733333333333338</v>
      </c>
      <c r="BS93" s="140">
        <f t="shared" si="255"/>
        <v>527.04133333333334</v>
      </c>
      <c r="BT93" s="149"/>
      <c r="BU93" s="528"/>
      <c r="BV93" s="572" t="s">
        <v>86</v>
      </c>
      <c r="BW93" s="565"/>
      <c r="BX93" s="574" t="s">
        <v>14</v>
      </c>
      <c r="BY93" s="560"/>
      <c r="BZ93" s="587">
        <v>0.84733333333333338</v>
      </c>
      <c r="CA93" s="562">
        <f t="shared" si="256"/>
        <v>0</v>
      </c>
      <c r="CB93" s="568"/>
      <c r="CC93" s="528"/>
      <c r="CD93" s="572" t="s">
        <v>86</v>
      </c>
      <c r="CE93" s="565"/>
      <c r="CF93" s="574" t="s">
        <v>14</v>
      </c>
      <c r="CG93" s="560"/>
      <c r="CH93" s="587">
        <v>0.84733333333333338</v>
      </c>
      <c r="CI93" s="562">
        <f t="shared" si="257"/>
        <v>0</v>
      </c>
      <c r="CJ93" s="568"/>
      <c r="CK93" s="528"/>
      <c r="CL93" s="155" t="s">
        <v>86</v>
      </c>
      <c r="CM93" s="144"/>
      <c r="CN93" s="157" t="s">
        <v>14</v>
      </c>
      <c r="CO93" s="138"/>
      <c r="CP93" s="172">
        <v>0.84733333333333338</v>
      </c>
      <c r="CQ93" s="140">
        <f t="shared" si="258"/>
        <v>0</v>
      </c>
      <c r="CR93" s="149"/>
      <c r="CS93" s="528"/>
      <c r="CT93" s="155" t="s">
        <v>86</v>
      </c>
      <c r="CU93" s="144"/>
      <c r="CV93" s="157" t="s">
        <v>14</v>
      </c>
      <c r="CW93" s="138">
        <v>0</v>
      </c>
      <c r="CX93" s="172">
        <v>0.84733333333333338</v>
      </c>
      <c r="CY93" s="140">
        <f t="shared" si="259"/>
        <v>0</v>
      </c>
      <c r="CZ93" s="149"/>
      <c r="DA93" s="528"/>
      <c r="DB93" s="155" t="s">
        <v>86</v>
      </c>
      <c r="DC93" s="144"/>
      <c r="DD93" s="157" t="s">
        <v>14</v>
      </c>
      <c r="DE93" s="138"/>
      <c r="DF93" s="172">
        <v>0.84733333333333338</v>
      </c>
      <c r="DG93" s="140">
        <f t="shared" si="260"/>
        <v>0</v>
      </c>
      <c r="DH93" s="149"/>
      <c r="DI93" s="528"/>
      <c r="DJ93" s="155" t="s">
        <v>86</v>
      </c>
      <c r="DK93" s="144"/>
      <c r="DL93" s="157" t="s">
        <v>14</v>
      </c>
      <c r="DM93" s="138">
        <v>0</v>
      </c>
      <c r="DN93" s="172">
        <v>0.84733333333333338</v>
      </c>
      <c r="DO93" s="140">
        <f t="shared" si="261"/>
        <v>0</v>
      </c>
      <c r="DP93" s="149"/>
      <c r="DQ93" s="528"/>
      <c r="DR93" s="155" t="s">
        <v>86</v>
      </c>
      <c r="DS93" s="144">
        <v>0</v>
      </c>
      <c r="DT93" s="157" t="s">
        <v>14</v>
      </c>
      <c r="DU93" s="138">
        <v>0</v>
      </c>
      <c r="DV93" s="172">
        <v>0.84733333333333338</v>
      </c>
      <c r="DW93" s="140">
        <f t="shared" si="262"/>
        <v>0</v>
      </c>
      <c r="DX93" s="149"/>
      <c r="DY93" s="528"/>
      <c r="DZ93" s="155" t="s">
        <v>86</v>
      </c>
      <c r="EA93" s="144">
        <v>0</v>
      </c>
      <c r="EB93" s="157" t="s">
        <v>14</v>
      </c>
      <c r="EC93" s="138">
        <v>0</v>
      </c>
      <c r="ED93" s="172">
        <v>0.84733333333333338</v>
      </c>
      <c r="EE93" s="140">
        <f t="shared" si="263"/>
        <v>0</v>
      </c>
      <c r="EF93" s="149"/>
      <c r="EG93" s="528"/>
      <c r="EH93" s="155" t="s">
        <v>86</v>
      </c>
      <c r="EI93" s="144">
        <v>0</v>
      </c>
      <c r="EJ93" s="157" t="s">
        <v>14</v>
      </c>
      <c r="EK93" s="138">
        <v>0</v>
      </c>
      <c r="EL93" s="172">
        <v>0.84733333333333338</v>
      </c>
      <c r="EM93" s="140">
        <f t="shared" si="264"/>
        <v>0</v>
      </c>
      <c r="EN93" s="149"/>
      <c r="EO93" s="528"/>
      <c r="EP93" s="155" t="s">
        <v>86</v>
      </c>
      <c r="EQ93" s="144">
        <v>0</v>
      </c>
      <c r="ER93" s="157" t="s">
        <v>14</v>
      </c>
      <c r="ES93" s="138">
        <v>0</v>
      </c>
      <c r="ET93" s="172">
        <v>0.84733333333333338</v>
      </c>
      <c r="EU93" s="140">
        <f t="shared" si="265"/>
        <v>0</v>
      </c>
      <c r="EV93" s="149"/>
      <c r="EW93" s="528"/>
      <c r="EX93" s="155" t="s">
        <v>86</v>
      </c>
      <c r="EY93" s="144"/>
      <c r="EZ93" s="157" t="s">
        <v>14</v>
      </c>
      <c r="FA93" s="138"/>
      <c r="FB93" s="172">
        <v>0.84733333333333338</v>
      </c>
      <c r="FC93" s="140">
        <f t="shared" si="266"/>
        <v>0</v>
      </c>
      <c r="FD93" s="149"/>
      <c r="FE93" s="528"/>
      <c r="FF93" s="155" t="s">
        <v>86</v>
      </c>
      <c r="FG93" s="144"/>
      <c r="FH93" s="157" t="s">
        <v>14</v>
      </c>
      <c r="FI93" s="138"/>
      <c r="FJ93" s="172">
        <v>0.84733333333333338</v>
      </c>
      <c r="FK93" s="140">
        <f t="shared" si="267"/>
        <v>0</v>
      </c>
      <c r="FL93" s="149"/>
      <c r="FM93" s="528"/>
      <c r="FN93" s="155" t="s">
        <v>86</v>
      </c>
      <c r="FO93" s="144"/>
      <c r="FP93" s="157" t="s">
        <v>14</v>
      </c>
      <c r="FQ93" s="138"/>
      <c r="FR93" s="172">
        <v>0.84733333333333338</v>
      </c>
      <c r="FS93" s="140">
        <f t="shared" si="268"/>
        <v>0</v>
      </c>
      <c r="FT93" s="149"/>
      <c r="FU93" s="528"/>
      <c r="FV93" s="155" t="s">
        <v>86</v>
      </c>
      <c r="FW93" s="144"/>
      <c r="FX93" s="157" t="s">
        <v>14</v>
      </c>
      <c r="FY93" s="138"/>
      <c r="FZ93" s="172">
        <v>0.84733333333333338</v>
      </c>
      <c r="GA93" s="140">
        <f t="shared" si="269"/>
        <v>0</v>
      </c>
      <c r="GB93" s="149"/>
      <c r="GC93" s="528"/>
      <c r="GD93" s="155" t="s">
        <v>86</v>
      </c>
      <c r="GE93" s="144"/>
      <c r="GF93" s="157" t="s">
        <v>14</v>
      </c>
      <c r="GG93" s="138"/>
      <c r="GH93" s="172">
        <v>0.84733333333333338</v>
      </c>
      <c r="GI93" s="140">
        <f t="shared" si="270"/>
        <v>0</v>
      </c>
      <c r="GJ93" s="149"/>
      <c r="GK93" s="528"/>
      <c r="GL93" s="155" t="s">
        <v>86</v>
      </c>
      <c r="GM93" s="144">
        <v>5</v>
      </c>
      <c r="GN93" s="157" t="s">
        <v>14</v>
      </c>
      <c r="GO93" s="138">
        <f>'[1]Jan_18_Vol weekly-Data-Entry'!$AI$226</f>
        <v>0</v>
      </c>
      <c r="GP93" s="172">
        <v>0.84733333333333338</v>
      </c>
      <c r="GQ93" s="140">
        <f t="shared" si="271"/>
        <v>0</v>
      </c>
      <c r="GR93" s="149"/>
      <c r="GS93" s="528"/>
      <c r="GT93" s="155" t="s">
        <v>86</v>
      </c>
      <c r="GU93" s="144">
        <v>0</v>
      </c>
      <c r="GV93" s="157" t="s">
        <v>14</v>
      </c>
      <c r="GW93" s="138">
        <v>0</v>
      </c>
      <c r="GX93" s="172">
        <v>0.84733333333333338</v>
      </c>
      <c r="GY93" s="140">
        <f t="shared" si="272"/>
        <v>0</v>
      </c>
      <c r="GZ93" s="149"/>
      <c r="HA93" s="528"/>
      <c r="HB93" s="155" t="s">
        <v>86</v>
      </c>
      <c r="HC93" s="144">
        <v>0</v>
      </c>
      <c r="HD93" s="157" t="s">
        <v>14</v>
      </c>
      <c r="HE93" s="138">
        <v>0</v>
      </c>
      <c r="HF93" s="172">
        <v>0.84733333333333338</v>
      </c>
      <c r="HG93" s="140">
        <f t="shared" si="273"/>
        <v>0</v>
      </c>
      <c r="HH93" s="149"/>
      <c r="HI93" s="528"/>
      <c r="HJ93" s="155" t="s">
        <v>86</v>
      </c>
      <c r="HK93" s="144">
        <v>0</v>
      </c>
      <c r="HL93" s="157" t="s">
        <v>14</v>
      </c>
      <c r="HM93" s="138">
        <v>0</v>
      </c>
      <c r="HN93" s="172">
        <v>0.84733333333333338</v>
      </c>
      <c r="HO93" s="140">
        <f t="shared" si="274"/>
        <v>0</v>
      </c>
      <c r="HP93" s="149"/>
      <c r="HQ93" s="528"/>
      <c r="HR93" s="155" t="s">
        <v>86</v>
      </c>
      <c r="HS93" s="144">
        <v>0</v>
      </c>
      <c r="HT93" s="157" t="s">
        <v>14</v>
      </c>
      <c r="HU93" s="138">
        <v>0</v>
      </c>
      <c r="HV93" s="172">
        <v>0.84733333333333338</v>
      </c>
      <c r="HW93" s="140">
        <f t="shared" si="275"/>
        <v>0</v>
      </c>
      <c r="HX93" s="149"/>
      <c r="HY93" s="528"/>
      <c r="HZ93" s="155" t="s">
        <v>86</v>
      </c>
      <c r="IA93" s="144">
        <v>0</v>
      </c>
      <c r="IB93" s="157" t="s">
        <v>14</v>
      </c>
      <c r="IC93" s="138">
        <v>0</v>
      </c>
      <c r="ID93" s="172">
        <v>0.84733333333333338</v>
      </c>
      <c r="IE93" s="140">
        <f t="shared" si="276"/>
        <v>0</v>
      </c>
      <c r="IF93" s="149"/>
      <c r="IG93" s="528"/>
      <c r="IH93" s="155" t="s">
        <v>86</v>
      </c>
      <c r="II93" s="144">
        <v>0</v>
      </c>
      <c r="IJ93" s="157" t="s">
        <v>14</v>
      </c>
      <c r="IK93" s="138">
        <v>0</v>
      </c>
      <c r="IL93" s="172">
        <v>0.84733333333333338</v>
      </c>
      <c r="IM93" s="140">
        <f t="shared" si="277"/>
        <v>0</v>
      </c>
      <c r="IN93" s="149"/>
      <c r="IO93" s="528"/>
      <c r="IP93" s="155" t="s">
        <v>86</v>
      </c>
      <c r="IQ93" s="144">
        <v>6</v>
      </c>
      <c r="IR93" s="157" t="s">
        <v>14</v>
      </c>
      <c r="IS93" s="138">
        <v>146</v>
      </c>
      <c r="IT93" s="172">
        <v>0.84733333333333338</v>
      </c>
      <c r="IU93" s="140">
        <f t="shared" si="278"/>
        <v>123.71066666666667</v>
      </c>
      <c r="IV93" s="149"/>
      <c r="IW93" s="528"/>
      <c r="IX93" s="155" t="s">
        <v>86</v>
      </c>
      <c r="IY93" s="144">
        <v>9</v>
      </c>
      <c r="IZ93" s="157" t="s">
        <v>14</v>
      </c>
      <c r="JA93" s="138">
        <v>191</v>
      </c>
      <c r="JB93" s="172">
        <v>0.84733333333333338</v>
      </c>
      <c r="JC93" s="140">
        <f t="shared" si="279"/>
        <v>161.84066666666666</v>
      </c>
      <c r="JD93" s="149"/>
      <c r="JE93" s="528"/>
      <c r="JF93" s="155" t="s">
        <v>86</v>
      </c>
      <c r="JG93" s="144">
        <v>6</v>
      </c>
      <c r="JH93" s="157" t="s">
        <v>14</v>
      </c>
      <c r="JI93" s="138">
        <v>196</v>
      </c>
      <c r="JJ93" s="172">
        <v>0.84733333333333338</v>
      </c>
      <c r="JK93" s="140">
        <f t="shared" si="280"/>
        <v>166.07733333333334</v>
      </c>
      <c r="JL93" s="149"/>
      <c r="JM93" s="528"/>
      <c r="JN93" s="155" t="s">
        <v>86</v>
      </c>
      <c r="JO93" s="144">
        <v>12</v>
      </c>
      <c r="JP93" s="157" t="s">
        <v>14</v>
      </c>
      <c r="JQ93" s="138">
        <v>269</v>
      </c>
      <c r="JR93" s="172">
        <v>0.84733333333333338</v>
      </c>
      <c r="JS93" s="140">
        <f t="shared" si="281"/>
        <v>227.93266666666668</v>
      </c>
      <c r="JT93" s="149"/>
      <c r="JU93" s="528"/>
      <c r="JV93" s="155" t="s">
        <v>86</v>
      </c>
      <c r="JW93" s="144">
        <v>9</v>
      </c>
      <c r="JX93" s="157" t="s">
        <v>14</v>
      </c>
      <c r="JY93" s="138">
        <v>143</v>
      </c>
      <c r="JZ93" s="172">
        <v>0.84733333333333338</v>
      </c>
      <c r="KA93" s="140">
        <f t="shared" si="282"/>
        <v>121.16866666666667</v>
      </c>
      <c r="KB93" s="149"/>
      <c r="KC93" s="528"/>
      <c r="KD93" s="155" t="s">
        <v>86</v>
      </c>
      <c r="KE93" s="144">
        <v>6</v>
      </c>
      <c r="KF93" s="157" t="s">
        <v>14</v>
      </c>
      <c r="KG93" s="138">
        <v>270</v>
      </c>
      <c r="KH93" s="172">
        <v>0.84733333333333338</v>
      </c>
      <c r="KI93" s="140">
        <f t="shared" si="283"/>
        <v>228.78</v>
      </c>
      <c r="KJ93" s="149"/>
      <c r="KK93" s="528"/>
      <c r="KL93" s="155" t="s">
        <v>86</v>
      </c>
      <c r="KM93" s="144">
        <v>0</v>
      </c>
      <c r="KN93" s="157" t="s">
        <v>14</v>
      </c>
      <c r="KO93" s="138">
        <v>0</v>
      </c>
      <c r="KP93" s="172">
        <v>0.84733333333333338</v>
      </c>
      <c r="KQ93" s="140">
        <f t="shared" si="284"/>
        <v>0</v>
      </c>
      <c r="KR93" s="149"/>
      <c r="KS93" s="528"/>
      <c r="KT93" s="155" t="s">
        <v>86</v>
      </c>
      <c r="KU93" s="144">
        <v>0</v>
      </c>
      <c r="KV93" s="157" t="s">
        <v>14</v>
      </c>
      <c r="KW93" s="138">
        <v>0</v>
      </c>
      <c r="KX93" s="172">
        <v>0.84733333333333338</v>
      </c>
      <c r="KY93" s="140">
        <f t="shared" si="285"/>
        <v>0</v>
      </c>
      <c r="KZ93" s="149"/>
      <c r="LA93" s="528"/>
      <c r="LB93" s="155" t="s">
        <v>86</v>
      </c>
      <c r="LC93" s="144">
        <v>0</v>
      </c>
      <c r="LD93" s="157" t="s">
        <v>14</v>
      </c>
      <c r="LE93" s="138">
        <v>0</v>
      </c>
      <c r="LF93" s="172">
        <v>0.84733333333333338</v>
      </c>
      <c r="LG93" s="140">
        <f t="shared" si="286"/>
        <v>0</v>
      </c>
      <c r="LH93" s="149"/>
      <c r="LI93" s="528"/>
      <c r="LJ93" s="155" t="s">
        <v>86</v>
      </c>
      <c r="LK93" s="144">
        <v>0</v>
      </c>
      <c r="LL93" s="157" t="s">
        <v>14</v>
      </c>
      <c r="LM93" s="175">
        <v>0</v>
      </c>
      <c r="LN93" s="164">
        <v>0.84733333333333338</v>
      </c>
      <c r="LO93" s="140">
        <f t="shared" si="287"/>
        <v>0</v>
      </c>
      <c r="LP93" s="149"/>
      <c r="LQ93" s="528"/>
      <c r="LR93" s="155" t="s">
        <v>86</v>
      </c>
      <c r="LS93" s="144">
        <v>0</v>
      </c>
      <c r="LT93" s="157" t="s">
        <v>14</v>
      </c>
      <c r="LU93" s="175">
        <v>0</v>
      </c>
      <c r="LV93" s="164">
        <v>0.84733333333333338</v>
      </c>
      <c r="LW93" s="140">
        <f t="shared" si="288"/>
        <v>0</v>
      </c>
      <c r="LX93" s="149"/>
      <c r="LY93" s="528"/>
      <c r="LZ93" s="155" t="s">
        <v>86</v>
      </c>
      <c r="MA93" s="144">
        <v>2</v>
      </c>
      <c r="MB93" s="157" t="s">
        <v>14</v>
      </c>
      <c r="MC93" s="175">
        <v>10</v>
      </c>
      <c r="MD93" s="164">
        <v>0.84733333333333338</v>
      </c>
      <c r="ME93" s="140">
        <f t="shared" si="289"/>
        <v>8.4733333333333345</v>
      </c>
      <c r="MF93" s="149"/>
      <c r="MG93" s="528"/>
      <c r="MH93" s="155" t="s">
        <v>86</v>
      </c>
      <c r="MI93" s="144">
        <v>7</v>
      </c>
      <c r="MJ93" s="157" t="s">
        <v>14</v>
      </c>
      <c r="MK93" s="175">
        <v>57</v>
      </c>
      <c r="ML93" s="164">
        <v>0.84733333333333338</v>
      </c>
      <c r="MM93" s="140">
        <f t="shared" si="290"/>
        <v>48.298000000000002</v>
      </c>
      <c r="MN93" s="149"/>
      <c r="MO93" s="528"/>
      <c r="MP93" s="155" t="s">
        <v>86</v>
      </c>
      <c r="MQ93" s="144">
        <v>2</v>
      </c>
      <c r="MR93" s="157" t="s">
        <v>14</v>
      </c>
      <c r="MS93" s="175">
        <v>33</v>
      </c>
      <c r="MT93" s="164">
        <v>0.84733333333333338</v>
      </c>
      <c r="MU93" s="140">
        <f t="shared" si="291"/>
        <v>27.962000000000003</v>
      </c>
      <c r="MV93" s="149"/>
      <c r="MW93" s="528"/>
      <c r="MX93" s="151"/>
      <c r="MY93" s="161"/>
      <c r="MZ93" s="157" t="s">
        <v>79</v>
      </c>
      <c r="NA93" s="175">
        <v>138</v>
      </c>
      <c r="NB93" s="139">
        <v>2.0930769230769233</v>
      </c>
      <c r="NC93" s="140">
        <f t="shared" si="292"/>
        <v>288.84461538461539</v>
      </c>
      <c r="ND93" s="159">
        <f>SUM(NC90:NC93)</f>
        <v>2357.7270871360279</v>
      </c>
      <c r="NE93" s="528"/>
      <c r="NF93" s="151"/>
      <c r="NG93" s="161"/>
      <c r="NH93" s="157" t="s">
        <v>79</v>
      </c>
      <c r="NI93" s="175">
        <v>398</v>
      </c>
      <c r="NJ93" s="139">
        <v>2.0930769230769233</v>
      </c>
      <c r="NK93" s="140">
        <f t="shared" si="293"/>
        <v>833.04461538461544</v>
      </c>
      <c r="NL93" s="159">
        <f>SUM(NK90:NK93)</f>
        <v>10654.69138092134</v>
      </c>
      <c r="NM93" s="528"/>
      <c r="NN93" s="151"/>
      <c r="NO93" s="161"/>
      <c r="NP93" s="157" t="s">
        <v>79</v>
      </c>
      <c r="NQ93" s="175">
        <v>110</v>
      </c>
      <c r="NR93" s="139">
        <v>2.0930769230769233</v>
      </c>
      <c r="NS93" s="140">
        <f t="shared" si="294"/>
        <v>230.23846153846156</v>
      </c>
      <c r="NT93" s="159">
        <f>SUM(NS90:NS93)</f>
        <v>2272.7083909169928</v>
      </c>
      <c r="NU93" s="528"/>
      <c r="NV93" s="151"/>
      <c r="NW93" s="161"/>
      <c r="NX93" s="157" t="s">
        <v>79</v>
      </c>
      <c r="NY93" s="175">
        <v>85</v>
      </c>
      <c r="NZ93" s="139">
        <v>2.0930769230769233</v>
      </c>
      <c r="OA93" s="140">
        <f t="shared" si="295"/>
        <v>177.91153846153847</v>
      </c>
      <c r="OB93" s="159">
        <f>SUM(OA90:OA93)</f>
        <v>970.67288026944811</v>
      </c>
      <c r="OC93" s="528"/>
      <c r="OD93" s="151"/>
      <c r="OE93" s="161"/>
      <c r="OF93" s="157" t="s">
        <v>79</v>
      </c>
      <c r="OG93" s="175">
        <v>226</v>
      </c>
      <c r="OH93" s="139">
        <v>2.0930769230769233</v>
      </c>
      <c r="OI93" s="140">
        <f t="shared" si="296"/>
        <v>473.03538461538466</v>
      </c>
      <c r="OJ93" s="159">
        <f>SUM(OI90:OI93)</f>
        <v>1602.595370491091</v>
      </c>
      <c r="OK93" s="528"/>
      <c r="OL93" s="151"/>
      <c r="OM93" s="161"/>
      <c r="ON93" s="157" t="s">
        <v>79</v>
      </c>
      <c r="OO93" s="175">
        <v>76</v>
      </c>
      <c r="OP93" s="139">
        <v>2.0930769230769233</v>
      </c>
      <c r="OQ93" s="140">
        <f t="shared" si="297"/>
        <v>159.07384615384618</v>
      </c>
      <c r="OR93" s="159">
        <f>SUM(OQ90:OQ93)</f>
        <v>1115.0080128205129</v>
      </c>
      <c r="OS93" s="528"/>
      <c r="OT93" s="151"/>
      <c r="OU93" s="161"/>
      <c r="OV93" s="157" t="s">
        <v>79</v>
      </c>
      <c r="OW93" s="175"/>
      <c r="OX93" s="139">
        <v>2.0930769230769233</v>
      </c>
      <c r="OY93" s="140">
        <f t="shared" si="298"/>
        <v>0</v>
      </c>
      <c r="OZ93" s="159">
        <f>SUM(OY90:OY93)</f>
        <v>0</v>
      </c>
      <c r="PA93" s="528"/>
      <c r="PB93" s="151"/>
      <c r="PC93" s="161"/>
      <c r="PD93" s="157" t="s">
        <v>79</v>
      </c>
      <c r="PE93" s="175">
        <v>10</v>
      </c>
      <c r="PF93" s="139">
        <v>2.0930769230769233</v>
      </c>
      <c r="PG93" s="140">
        <f t="shared" si="299"/>
        <v>20.930769230769233</v>
      </c>
      <c r="PH93" s="159">
        <f>SUM(PG90:PG93)</f>
        <v>73.862351151673195</v>
      </c>
      <c r="PI93" s="528"/>
      <c r="PJ93" s="151"/>
      <c r="PK93" s="161"/>
      <c r="PL93" s="157" t="s">
        <v>79</v>
      </c>
      <c r="PM93" s="175">
        <v>44</v>
      </c>
      <c r="PN93" s="139">
        <v>2.0930769230769233</v>
      </c>
      <c r="PO93" s="140">
        <f t="shared" si="300"/>
        <v>92.095384615384631</v>
      </c>
      <c r="PP93" s="159">
        <f>SUM(PO90:PO93)</f>
        <v>188.09075184702306</v>
      </c>
      <c r="PQ93" s="528"/>
      <c r="PR93" s="151"/>
      <c r="PS93" s="161"/>
      <c r="PT93" s="157" t="s">
        <v>79</v>
      </c>
      <c r="PU93" s="175"/>
      <c r="PV93" s="139">
        <v>2.0930769230769233</v>
      </c>
      <c r="PW93" s="140">
        <f t="shared" si="301"/>
        <v>0</v>
      </c>
      <c r="PX93" s="159">
        <f>SUM(PW90:PW93)</f>
        <v>74.709307909604519</v>
      </c>
      <c r="PY93" s="528"/>
      <c r="PZ93" s="151"/>
      <c r="QA93" s="161"/>
      <c r="QB93" s="157" t="s">
        <v>79</v>
      </c>
      <c r="QC93" s="175">
        <v>26</v>
      </c>
      <c r="QD93" s="139">
        <v>2.0930769230769233</v>
      </c>
      <c r="QE93" s="140">
        <f t="shared" si="302"/>
        <v>54.42</v>
      </c>
      <c r="QF93" s="159">
        <f>SUM(QE90:QE93)</f>
        <v>305.82132768361583</v>
      </c>
      <c r="QG93" s="528"/>
      <c r="QH93" s="151"/>
      <c r="QI93" s="161"/>
      <c r="QJ93" s="157" t="s">
        <v>79</v>
      </c>
      <c r="QK93" s="175">
        <v>41</v>
      </c>
      <c r="QL93" s="139">
        <v>2.0930769230769233</v>
      </c>
      <c r="QM93" s="140">
        <f t="shared" si="303"/>
        <v>85.816153846153853</v>
      </c>
      <c r="QN93" s="159">
        <f>SUM(QM90:QM93)</f>
        <v>168.72402107779226</v>
      </c>
      <c r="QO93" s="528"/>
      <c r="QP93" s="151"/>
      <c r="QQ93" s="161"/>
      <c r="QR93" s="157" t="s">
        <v>79</v>
      </c>
      <c r="QS93" s="175">
        <v>33</v>
      </c>
      <c r="QT93" s="139">
        <v>2.0930769230769233</v>
      </c>
      <c r="QU93" s="140">
        <f t="shared" si="304"/>
        <v>69.071538461538466</v>
      </c>
      <c r="QV93" s="159">
        <f>SUM(QU90:QU93)</f>
        <v>316.11036614515433</v>
      </c>
      <c r="QW93" s="528"/>
      <c r="QX93" s="151"/>
      <c r="QY93" s="161"/>
      <c r="QZ93" s="157" t="s">
        <v>79</v>
      </c>
      <c r="RA93" s="175"/>
      <c r="RB93" s="139">
        <v>2.0930769230769233</v>
      </c>
      <c r="RC93" s="140">
        <f t="shared" si="305"/>
        <v>0</v>
      </c>
      <c r="RD93" s="159">
        <f>SUM(RC90:RC93)</f>
        <v>0</v>
      </c>
      <c r="RE93" s="528"/>
      <c r="RF93" s="151"/>
      <c r="RG93" s="161"/>
      <c r="RH93" s="157" t="s">
        <v>79</v>
      </c>
      <c r="RI93" s="175"/>
      <c r="RJ93" s="139">
        <v>2.0930769230769233</v>
      </c>
      <c r="RK93" s="140">
        <f t="shared" si="306"/>
        <v>0</v>
      </c>
      <c r="RL93" s="159">
        <f>SUM(RK90:RK93)</f>
        <v>0</v>
      </c>
      <c r="RM93" s="528"/>
      <c r="RN93" s="151"/>
      <c r="RO93" s="161"/>
      <c r="RP93" s="157" t="s">
        <v>79</v>
      </c>
      <c r="RQ93" s="175">
        <v>89</v>
      </c>
      <c r="RR93" s="139">
        <v>2.0930769230769233</v>
      </c>
      <c r="RS93" s="140">
        <f t="shared" si="307"/>
        <v>186.28384615384618</v>
      </c>
      <c r="RT93" s="159">
        <f>SUM(RS90:RS93)</f>
        <v>2220.1512049109083</v>
      </c>
      <c r="RU93" s="528"/>
      <c r="RV93" s="151"/>
      <c r="RW93" s="161"/>
      <c r="RX93" s="157" t="s">
        <v>79</v>
      </c>
      <c r="RY93" s="175">
        <v>54</v>
      </c>
      <c r="RZ93" s="139">
        <v>2.0930769230769233</v>
      </c>
      <c r="SA93" s="140">
        <f t="shared" si="308"/>
        <v>113.02615384615386</v>
      </c>
      <c r="SB93" s="159">
        <f>SUM(SA90:SA93)</f>
        <v>1629.1517611907868</v>
      </c>
      <c r="SC93" s="528"/>
      <c r="SD93" s="151"/>
      <c r="SE93" s="161"/>
      <c r="SF93" s="157" t="s">
        <v>79</v>
      </c>
      <c r="SG93" s="175">
        <v>76</v>
      </c>
      <c r="SH93" s="139">
        <v>2.0930769230769233</v>
      </c>
      <c r="SI93" s="140">
        <f t="shared" si="309"/>
        <v>159.07384615384618</v>
      </c>
      <c r="SJ93" s="159">
        <f>SUM(SI90:SI93)</f>
        <v>1434.9082105606262</v>
      </c>
      <c r="SK93" s="528"/>
      <c r="SL93" s="151"/>
      <c r="SM93" s="161"/>
      <c r="SN93" s="157" t="s">
        <v>79</v>
      </c>
      <c r="SO93" s="175">
        <v>42</v>
      </c>
      <c r="SP93" s="139">
        <v>2.0930769230769233</v>
      </c>
      <c r="SQ93" s="140">
        <f t="shared" si="310"/>
        <v>87.909230769230774</v>
      </c>
      <c r="SR93" s="159">
        <f>SUM(SQ90:SQ93)</f>
        <v>926.72139178618011</v>
      </c>
      <c r="SS93" s="528"/>
      <c r="ST93" s="151"/>
      <c r="SU93" s="161"/>
      <c r="SV93" s="157" t="s">
        <v>79</v>
      </c>
      <c r="SW93" s="175">
        <v>83</v>
      </c>
      <c r="SX93" s="139">
        <v>2.0930769230769233</v>
      </c>
      <c r="SY93" s="140">
        <f t="shared" si="311"/>
        <v>173.72538461538463</v>
      </c>
      <c r="SZ93" s="159">
        <f>SUM(SY90:SY93)</f>
        <v>1277.3297631464582</v>
      </c>
      <c r="TA93" s="528"/>
      <c r="TB93" s="151"/>
      <c r="TC93" s="161"/>
      <c r="TD93" s="157" t="s">
        <v>79</v>
      </c>
      <c r="TE93" s="175">
        <v>63</v>
      </c>
      <c r="TF93" s="139">
        <v>2.0930769230769233</v>
      </c>
      <c r="TG93" s="140">
        <f t="shared" si="312"/>
        <v>131.86384615384617</v>
      </c>
      <c r="TH93" s="159">
        <f>SUM(TG90:TG93)</f>
        <v>1127.2739873967842</v>
      </c>
      <c r="TI93" s="528"/>
    </row>
    <row r="94" spans="2:529">
      <c r="B94" s="145"/>
      <c r="C94" s="146"/>
      <c r="D94" s="151" t="s">
        <v>20</v>
      </c>
      <c r="E94" s="138">
        <v>0</v>
      </c>
      <c r="F94" s="172"/>
      <c r="G94" s="140">
        <f t="shared" si="247"/>
        <v>0</v>
      </c>
      <c r="H94" s="158"/>
      <c r="I94" s="528"/>
      <c r="J94" s="145"/>
      <c r="K94" s="146">
        <v>22</v>
      </c>
      <c r="L94" s="151" t="s">
        <v>20</v>
      </c>
      <c r="M94" s="138">
        <v>0</v>
      </c>
      <c r="N94" s="172"/>
      <c r="O94" s="140">
        <f t="shared" si="248"/>
        <v>0</v>
      </c>
      <c r="P94" s="158"/>
      <c r="Q94" s="528"/>
      <c r="R94" s="145"/>
      <c r="S94" s="146">
        <v>22</v>
      </c>
      <c r="T94" s="151" t="s">
        <v>20</v>
      </c>
      <c r="U94" s="138">
        <v>0</v>
      </c>
      <c r="V94" s="172"/>
      <c r="W94" s="140">
        <f t="shared" si="249"/>
        <v>0</v>
      </c>
      <c r="X94" s="158"/>
      <c r="Y94" s="528"/>
      <c r="Z94" s="145"/>
      <c r="AA94" s="146">
        <v>22</v>
      </c>
      <c r="AB94" s="151" t="s">
        <v>20</v>
      </c>
      <c r="AC94" s="138">
        <v>0</v>
      </c>
      <c r="AD94" s="172"/>
      <c r="AE94" s="140">
        <f t="shared" si="250"/>
        <v>0</v>
      </c>
      <c r="AF94" s="158"/>
      <c r="AG94" s="528"/>
      <c r="AH94" s="145"/>
      <c r="AI94" s="146">
        <v>22</v>
      </c>
      <c r="AJ94" s="151" t="s">
        <v>20</v>
      </c>
      <c r="AK94" s="138">
        <v>0</v>
      </c>
      <c r="AL94" s="172"/>
      <c r="AM94" s="140">
        <f t="shared" si="251"/>
        <v>0</v>
      </c>
      <c r="AN94" s="158"/>
      <c r="AO94" s="528"/>
      <c r="AP94" s="145"/>
      <c r="AQ94" s="146">
        <v>22</v>
      </c>
      <c r="AR94" s="151" t="s">
        <v>20</v>
      </c>
      <c r="AS94" s="138">
        <v>0</v>
      </c>
      <c r="AT94" s="172"/>
      <c r="AU94" s="140">
        <f t="shared" si="252"/>
        <v>0</v>
      </c>
      <c r="AV94" s="158"/>
      <c r="AW94" s="528"/>
      <c r="AX94" s="145"/>
      <c r="AY94" s="146">
        <v>22</v>
      </c>
      <c r="AZ94" s="151" t="s">
        <v>20</v>
      </c>
      <c r="BA94" s="138"/>
      <c r="BB94" s="172"/>
      <c r="BC94" s="140">
        <f t="shared" si="253"/>
        <v>0</v>
      </c>
      <c r="BD94" s="158"/>
      <c r="BE94" s="528"/>
      <c r="BF94" s="145"/>
      <c r="BG94" s="146">
        <v>22</v>
      </c>
      <c r="BH94" s="151" t="s">
        <v>20</v>
      </c>
      <c r="BI94" s="138"/>
      <c r="BJ94" s="172"/>
      <c r="BK94" s="140">
        <f t="shared" si="254"/>
        <v>0</v>
      </c>
      <c r="BL94" s="158"/>
      <c r="BM94" s="528"/>
      <c r="BN94" s="145"/>
      <c r="BO94" s="146">
        <v>22</v>
      </c>
      <c r="BP94" s="151" t="s">
        <v>20</v>
      </c>
      <c r="BQ94" s="138"/>
      <c r="BR94" s="172"/>
      <c r="BS94" s="140">
        <f t="shared" si="255"/>
        <v>0</v>
      </c>
      <c r="BT94" s="158"/>
      <c r="BU94" s="528"/>
      <c r="BV94" s="536"/>
      <c r="BW94" s="537"/>
      <c r="BX94" s="543" t="s">
        <v>20</v>
      </c>
      <c r="BY94" s="560"/>
      <c r="BZ94" s="587"/>
      <c r="CA94" s="562">
        <f t="shared" si="256"/>
        <v>0</v>
      </c>
      <c r="CB94" s="540"/>
      <c r="CC94" s="528"/>
      <c r="CD94" s="536"/>
      <c r="CE94" s="537"/>
      <c r="CF94" s="543" t="s">
        <v>20</v>
      </c>
      <c r="CG94" s="560"/>
      <c r="CH94" s="587"/>
      <c r="CI94" s="562">
        <f t="shared" si="257"/>
        <v>0</v>
      </c>
      <c r="CJ94" s="540"/>
      <c r="CK94" s="528"/>
      <c r="CL94" s="145"/>
      <c r="CM94" s="146">
        <v>22</v>
      </c>
      <c r="CN94" s="151" t="s">
        <v>20</v>
      </c>
      <c r="CO94" s="138"/>
      <c r="CP94" s="172"/>
      <c r="CQ94" s="140">
        <f t="shared" si="258"/>
        <v>0</v>
      </c>
      <c r="CR94" s="158"/>
      <c r="CS94" s="528"/>
      <c r="CT94" s="145"/>
      <c r="CU94" s="146">
        <v>22</v>
      </c>
      <c r="CV94" s="151" t="s">
        <v>20</v>
      </c>
      <c r="CW94" s="138">
        <v>0</v>
      </c>
      <c r="CX94" s="172"/>
      <c r="CY94" s="140">
        <f t="shared" si="259"/>
        <v>0</v>
      </c>
      <c r="CZ94" s="158"/>
      <c r="DA94" s="528"/>
      <c r="DB94" s="145"/>
      <c r="DC94" s="146"/>
      <c r="DD94" s="151" t="s">
        <v>20</v>
      </c>
      <c r="DE94" s="138"/>
      <c r="DF94" s="172"/>
      <c r="DG94" s="140">
        <f t="shared" si="260"/>
        <v>0</v>
      </c>
      <c r="DH94" s="158"/>
      <c r="DI94" s="528"/>
      <c r="DJ94" s="145"/>
      <c r="DK94" s="146"/>
      <c r="DL94" s="151" t="s">
        <v>20</v>
      </c>
      <c r="DM94" s="138">
        <v>0</v>
      </c>
      <c r="DN94" s="172"/>
      <c r="DO94" s="140">
        <f t="shared" si="261"/>
        <v>0</v>
      </c>
      <c r="DP94" s="158"/>
      <c r="DQ94" s="528"/>
      <c r="DR94" s="145"/>
      <c r="DS94" s="146"/>
      <c r="DT94" s="151" t="s">
        <v>20</v>
      </c>
      <c r="DU94" s="138"/>
      <c r="DV94" s="172"/>
      <c r="DW94" s="140">
        <f t="shared" si="262"/>
        <v>0</v>
      </c>
      <c r="DX94" s="158"/>
      <c r="DY94" s="528"/>
      <c r="DZ94" s="145"/>
      <c r="EA94" s="146"/>
      <c r="EB94" s="151" t="s">
        <v>20</v>
      </c>
      <c r="EC94" s="138"/>
      <c r="ED94" s="172"/>
      <c r="EE94" s="140">
        <f t="shared" si="263"/>
        <v>0</v>
      </c>
      <c r="EF94" s="158"/>
      <c r="EG94" s="528"/>
      <c r="EH94" s="145"/>
      <c r="EI94" s="146"/>
      <c r="EJ94" s="151" t="s">
        <v>20</v>
      </c>
      <c r="EK94" s="138"/>
      <c r="EL94" s="172"/>
      <c r="EM94" s="140">
        <f t="shared" si="264"/>
        <v>0</v>
      </c>
      <c r="EN94" s="158"/>
      <c r="EO94" s="528"/>
      <c r="EP94" s="145"/>
      <c r="EQ94" s="146"/>
      <c r="ER94" s="151" t="s">
        <v>20</v>
      </c>
      <c r="ES94" s="138"/>
      <c r="ET94" s="172"/>
      <c r="EU94" s="140">
        <f t="shared" si="265"/>
        <v>0</v>
      </c>
      <c r="EV94" s="158"/>
      <c r="EW94" s="528"/>
      <c r="EX94" s="145"/>
      <c r="EY94" s="146"/>
      <c r="EZ94" s="151" t="s">
        <v>20</v>
      </c>
      <c r="FA94" s="138"/>
      <c r="FB94" s="172"/>
      <c r="FC94" s="140">
        <f t="shared" si="266"/>
        <v>0</v>
      </c>
      <c r="FD94" s="158"/>
      <c r="FE94" s="528"/>
      <c r="FF94" s="145"/>
      <c r="FG94" s="146"/>
      <c r="FH94" s="151" t="s">
        <v>20</v>
      </c>
      <c r="FI94" s="138"/>
      <c r="FJ94" s="172"/>
      <c r="FK94" s="140">
        <f t="shared" si="267"/>
        <v>0</v>
      </c>
      <c r="FL94" s="158"/>
      <c r="FM94" s="528"/>
      <c r="FN94" s="145"/>
      <c r="FO94" s="146"/>
      <c r="FP94" s="151" t="s">
        <v>20</v>
      </c>
      <c r="FQ94" s="138"/>
      <c r="FR94" s="172"/>
      <c r="FS94" s="140">
        <f t="shared" si="268"/>
        <v>0</v>
      </c>
      <c r="FT94" s="158"/>
      <c r="FU94" s="528"/>
      <c r="FV94" s="145"/>
      <c r="FW94" s="146"/>
      <c r="FX94" s="151" t="s">
        <v>20</v>
      </c>
      <c r="FY94" s="138"/>
      <c r="FZ94" s="172"/>
      <c r="GA94" s="140">
        <f t="shared" si="269"/>
        <v>0</v>
      </c>
      <c r="GB94" s="158"/>
      <c r="GC94" s="528"/>
      <c r="GD94" s="145"/>
      <c r="GE94" s="146"/>
      <c r="GF94" s="151" t="s">
        <v>20</v>
      </c>
      <c r="GG94" s="138"/>
      <c r="GH94" s="172"/>
      <c r="GI94" s="140">
        <f t="shared" si="270"/>
        <v>0</v>
      </c>
      <c r="GJ94" s="158"/>
      <c r="GK94" s="528"/>
      <c r="GL94" s="145"/>
      <c r="GM94" s="146"/>
      <c r="GN94" s="151" t="s">
        <v>20</v>
      </c>
      <c r="GO94" s="138">
        <f>'[1]Jan_18_Vol weekly-Data-Entry'!$AJ$226</f>
        <v>0</v>
      </c>
      <c r="GP94" s="172"/>
      <c r="GQ94" s="140">
        <f t="shared" si="271"/>
        <v>0</v>
      </c>
      <c r="GR94" s="158"/>
      <c r="GS94" s="528"/>
      <c r="GT94" s="145"/>
      <c r="GU94" s="146"/>
      <c r="GV94" s="151" t="s">
        <v>20</v>
      </c>
      <c r="GW94" s="138">
        <v>0</v>
      </c>
      <c r="GX94" s="172"/>
      <c r="GY94" s="140">
        <f t="shared" si="272"/>
        <v>0</v>
      </c>
      <c r="GZ94" s="158"/>
      <c r="HA94" s="528"/>
      <c r="HB94" s="145"/>
      <c r="HC94" s="146"/>
      <c r="HD94" s="151" t="s">
        <v>20</v>
      </c>
      <c r="HE94" s="138">
        <v>0</v>
      </c>
      <c r="HF94" s="172"/>
      <c r="HG94" s="140">
        <f t="shared" si="273"/>
        <v>0</v>
      </c>
      <c r="HH94" s="158"/>
      <c r="HI94" s="528"/>
      <c r="HJ94" s="145"/>
      <c r="HK94" s="146"/>
      <c r="HL94" s="151" t="s">
        <v>20</v>
      </c>
      <c r="HM94" s="138">
        <v>0</v>
      </c>
      <c r="HN94" s="172"/>
      <c r="HO94" s="140">
        <f t="shared" si="274"/>
        <v>0</v>
      </c>
      <c r="HP94" s="158"/>
      <c r="HQ94" s="528"/>
      <c r="HR94" s="145"/>
      <c r="HS94" s="146"/>
      <c r="HT94" s="151" t="s">
        <v>20</v>
      </c>
      <c r="HU94" s="138">
        <v>0</v>
      </c>
      <c r="HV94" s="172"/>
      <c r="HW94" s="140">
        <f t="shared" si="275"/>
        <v>0</v>
      </c>
      <c r="HX94" s="158"/>
      <c r="HY94" s="528"/>
      <c r="HZ94" s="145"/>
      <c r="IA94" s="146"/>
      <c r="IB94" s="151" t="s">
        <v>20</v>
      </c>
      <c r="IC94" s="138">
        <v>0</v>
      </c>
      <c r="ID94" s="172"/>
      <c r="IE94" s="140">
        <f t="shared" si="276"/>
        <v>0</v>
      </c>
      <c r="IF94" s="158"/>
      <c r="IG94" s="528"/>
      <c r="IH94" s="145"/>
      <c r="II94" s="146"/>
      <c r="IJ94" s="151" t="s">
        <v>20</v>
      </c>
      <c r="IK94" s="138">
        <v>0</v>
      </c>
      <c r="IL94" s="172"/>
      <c r="IM94" s="140">
        <f t="shared" si="277"/>
        <v>0</v>
      </c>
      <c r="IN94" s="158"/>
      <c r="IO94" s="528"/>
      <c r="IP94" s="145"/>
      <c r="IQ94" s="146"/>
      <c r="IR94" s="151" t="s">
        <v>20</v>
      </c>
      <c r="IS94" s="138">
        <v>0</v>
      </c>
      <c r="IT94" s="172"/>
      <c r="IU94" s="140">
        <f t="shared" si="278"/>
        <v>0</v>
      </c>
      <c r="IV94" s="158"/>
      <c r="IW94" s="528"/>
      <c r="IX94" s="145"/>
      <c r="IY94" s="146"/>
      <c r="IZ94" s="151" t="s">
        <v>20</v>
      </c>
      <c r="JA94" s="138">
        <v>0</v>
      </c>
      <c r="JB94" s="172"/>
      <c r="JC94" s="140">
        <f t="shared" si="279"/>
        <v>0</v>
      </c>
      <c r="JD94" s="158"/>
      <c r="JE94" s="528"/>
      <c r="JF94" s="145"/>
      <c r="JG94" s="146"/>
      <c r="JH94" s="151" t="s">
        <v>20</v>
      </c>
      <c r="JI94" s="138">
        <v>0</v>
      </c>
      <c r="JJ94" s="172"/>
      <c r="JK94" s="140">
        <f t="shared" si="280"/>
        <v>0</v>
      </c>
      <c r="JL94" s="158"/>
      <c r="JM94" s="528"/>
      <c r="JN94" s="145"/>
      <c r="JO94" s="146"/>
      <c r="JP94" s="151" t="s">
        <v>20</v>
      </c>
      <c r="JQ94" s="138">
        <v>0</v>
      </c>
      <c r="JR94" s="172"/>
      <c r="JS94" s="140">
        <f t="shared" si="281"/>
        <v>0</v>
      </c>
      <c r="JT94" s="158"/>
      <c r="JU94" s="528"/>
      <c r="JV94" s="145"/>
      <c r="JW94" s="146"/>
      <c r="JX94" s="151" t="s">
        <v>20</v>
      </c>
      <c r="JY94" s="138">
        <v>0</v>
      </c>
      <c r="JZ94" s="172"/>
      <c r="KA94" s="140">
        <f t="shared" si="282"/>
        <v>0</v>
      </c>
      <c r="KB94" s="158"/>
      <c r="KC94" s="528"/>
      <c r="KD94" s="145"/>
      <c r="KE94" s="146"/>
      <c r="KF94" s="151" t="s">
        <v>20</v>
      </c>
      <c r="KG94" s="138">
        <v>0</v>
      </c>
      <c r="KH94" s="172"/>
      <c r="KI94" s="140">
        <f t="shared" si="283"/>
        <v>0</v>
      </c>
      <c r="KJ94" s="158"/>
      <c r="KK94" s="528"/>
      <c r="KL94" s="145"/>
      <c r="KM94" s="146"/>
      <c r="KN94" s="151" t="s">
        <v>20</v>
      </c>
      <c r="KO94" s="138">
        <v>0</v>
      </c>
      <c r="KP94" s="172"/>
      <c r="KQ94" s="140">
        <f t="shared" si="284"/>
        <v>0</v>
      </c>
      <c r="KR94" s="158"/>
      <c r="KS94" s="528"/>
      <c r="KT94" s="145"/>
      <c r="KU94" s="146"/>
      <c r="KV94" s="151" t="s">
        <v>20</v>
      </c>
      <c r="KW94" s="138">
        <v>0</v>
      </c>
      <c r="KX94" s="172"/>
      <c r="KY94" s="140">
        <f t="shared" si="285"/>
        <v>0</v>
      </c>
      <c r="KZ94" s="158"/>
      <c r="LA94" s="528"/>
      <c r="LB94" s="145"/>
      <c r="LC94" s="146"/>
      <c r="LD94" s="151" t="s">
        <v>20</v>
      </c>
      <c r="LE94" s="138">
        <v>0</v>
      </c>
      <c r="LF94" s="172"/>
      <c r="LG94" s="140">
        <f t="shared" si="286"/>
        <v>0</v>
      </c>
      <c r="LH94" s="158"/>
      <c r="LI94" s="528"/>
      <c r="LJ94" s="145"/>
      <c r="LK94" s="146"/>
      <c r="LL94" s="151" t="s">
        <v>20</v>
      </c>
      <c r="LM94" s="175">
        <v>0</v>
      </c>
      <c r="LN94" s="164"/>
      <c r="LO94" s="140">
        <f t="shared" si="287"/>
        <v>0</v>
      </c>
      <c r="LP94" s="158"/>
      <c r="LQ94" s="528"/>
      <c r="LR94" s="145"/>
      <c r="LS94" s="146"/>
      <c r="LT94" s="151" t="s">
        <v>20</v>
      </c>
      <c r="LU94" s="175"/>
      <c r="LV94" s="164"/>
      <c r="LW94" s="140">
        <f t="shared" si="288"/>
        <v>0</v>
      </c>
      <c r="LX94" s="158"/>
      <c r="LY94" s="528"/>
      <c r="LZ94" s="145"/>
      <c r="MA94" s="146"/>
      <c r="MB94" s="151" t="s">
        <v>20</v>
      </c>
      <c r="MC94" s="175"/>
      <c r="MD94" s="164"/>
      <c r="ME94" s="140">
        <f t="shared" si="289"/>
        <v>0</v>
      </c>
      <c r="MF94" s="158"/>
      <c r="MG94" s="528"/>
      <c r="MH94" s="145"/>
      <c r="MI94" s="146"/>
      <c r="MJ94" s="151" t="s">
        <v>20</v>
      </c>
      <c r="MK94" s="175"/>
      <c r="ML94" s="164"/>
      <c r="MM94" s="140">
        <f t="shared" si="290"/>
        <v>0</v>
      </c>
      <c r="MN94" s="158"/>
      <c r="MO94" s="528"/>
      <c r="MP94" s="145"/>
      <c r="MQ94" s="146"/>
      <c r="MR94" s="151" t="s">
        <v>20</v>
      </c>
      <c r="MS94" s="175"/>
      <c r="MT94" s="164"/>
      <c r="MU94" s="140">
        <f t="shared" si="291"/>
        <v>0</v>
      </c>
      <c r="MV94" s="158"/>
      <c r="MW94" s="528"/>
      <c r="MX94" s="143" t="s">
        <v>80</v>
      </c>
      <c r="MY94" s="144">
        <v>78</v>
      </c>
      <c r="MZ94" s="160" t="s">
        <v>76</v>
      </c>
      <c r="NA94" s="175">
        <v>27</v>
      </c>
      <c r="NB94" s="139">
        <v>4.3755555555555548</v>
      </c>
      <c r="NC94" s="140">
        <f t="shared" si="292"/>
        <v>118.13999999999997</v>
      </c>
      <c r="ND94" s="158"/>
      <c r="NE94" s="528"/>
      <c r="NF94" s="143" t="s">
        <v>80</v>
      </c>
      <c r="NG94" s="144">
        <v>59</v>
      </c>
      <c r="NH94" s="160" t="s">
        <v>76</v>
      </c>
      <c r="NI94" s="175">
        <v>1</v>
      </c>
      <c r="NJ94" s="139">
        <v>4.3755555555555548</v>
      </c>
      <c r="NK94" s="140">
        <f t="shared" si="293"/>
        <v>4.3755555555555548</v>
      </c>
      <c r="NL94" s="158"/>
      <c r="NM94" s="528"/>
      <c r="NN94" s="143" t="s">
        <v>80</v>
      </c>
      <c r="NO94" s="144">
        <v>71</v>
      </c>
      <c r="NP94" s="160" t="s">
        <v>76</v>
      </c>
      <c r="NQ94" s="175">
        <v>72</v>
      </c>
      <c r="NR94" s="139">
        <v>4.3755555555555548</v>
      </c>
      <c r="NS94" s="140">
        <f t="shared" si="294"/>
        <v>315.03999999999996</v>
      </c>
      <c r="NT94" s="158"/>
      <c r="NU94" s="528"/>
      <c r="NV94" s="143" t="s">
        <v>80</v>
      </c>
      <c r="NW94" s="144">
        <v>66</v>
      </c>
      <c r="NX94" s="160" t="s">
        <v>76</v>
      </c>
      <c r="NY94" s="175">
        <v>9</v>
      </c>
      <c r="NZ94" s="139">
        <v>4.3755555555555548</v>
      </c>
      <c r="OA94" s="140">
        <f t="shared" si="295"/>
        <v>39.379999999999995</v>
      </c>
      <c r="OB94" s="158"/>
      <c r="OC94" s="528"/>
      <c r="OD94" s="143" t="s">
        <v>80</v>
      </c>
      <c r="OE94" s="144">
        <v>58</v>
      </c>
      <c r="OF94" s="160" t="s">
        <v>76</v>
      </c>
      <c r="OG94" s="175">
        <v>22</v>
      </c>
      <c r="OH94" s="139">
        <v>4.3755555555555548</v>
      </c>
      <c r="OI94" s="140">
        <f t="shared" si="296"/>
        <v>96.262222222222206</v>
      </c>
      <c r="OJ94" s="158"/>
      <c r="OK94" s="528"/>
      <c r="OL94" s="143" t="s">
        <v>80</v>
      </c>
      <c r="OM94" s="144">
        <v>59</v>
      </c>
      <c r="ON94" s="160" t="s">
        <v>76</v>
      </c>
      <c r="OO94" s="175">
        <v>32</v>
      </c>
      <c r="OP94" s="139">
        <v>4.3755555555555548</v>
      </c>
      <c r="OQ94" s="140">
        <f t="shared" si="297"/>
        <v>140.01777777777775</v>
      </c>
      <c r="OR94" s="158"/>
      <c r="OS94" s="528"/>
      <c r="OT94" s="143" t="s">
        <v>80</v>
      </c>
      <c r="OU94" s="144"/>
      <c r="OV94" s="160" t="s">
        <v>76</v>
      </c>
      <c r="OW94" s="175"/>
      <c r="OX94" s="139">
        <v>4.3755555555555548</v>
      </c>
      <c r="OY94" s="140">
        <f t="shared" si="298"/>
        <v>0</v>
      </c>
      <c r="OZ94" s="158"/>
      <c r="PA94" s="528"/>
      <c r="PB94" s="143" t="s">
        <v>80</v>
      </c>
      <c r="PC94" s="144">
        <v>3</v>
      </c>
      <c r="PD94" s="160" t="s">
        <v>76</v>
      </c>
      <c r="PE94" s="175"/>
      <c r="PF94" s="139">
        <v>4.3755555555555548</v>
      </c>
      <c r="PG94" s="140">
        <f t="shared" si="299"/>
        <v>0</v>
      </c>
      <c r="PH94" s="158"/>
      <c r="PI94" s="528"/>
      <c r="PJ94" s="143" t="s">
        <v>80</v>
      </c>
      <c r="PK94" s="144">
        <v>5</v>
      </c>
      <c r="PL94" s="160" t="s">
        <v>76</v>
      </c>
      <c r="PM94" s="175">
        <v>7</v>
      </c>
      <c r="PN94" s="139">
        <v>4.3755555555555548</v>
      </c>
      <c r="PO94" s="140">
        <f t="shared" si="300"/>
        <v>30.628888888888884</v>
      </c>
      <c r="PP94" s="158"/>
      <c r="PQ94" s="528"/>
      <c r="PR94" s="143" t="s">
        <v>80</v>
      </c>
      <c r="PS94" s="144">
        <v>2</v>
      </c>
      <c r="PT94" s="160" t="s">
        <v>76</v>
      </c>
      <c r="PU94" s="175">
        <v>4</v>
      </c>
      <c r="PV94" s="139">
        <v>4.3755555555555548</v>
      </c>
      <c r="PW94" s="140">
        <f t="shared" si="301"/>
        <v>17.502222222222219</v>
      </c>
      <c r="PX94" s="158"/>
      <c r="PY94" s="528"/>
      <c r="PZ94" s="143" t="s">
        <v>80</v>
      </c>
      <c r="QA94" s="144">
        <v>14</v>
      </c>
      <c r="QB94" s="160" t="s">
        <v>76</v>
      </c>
      <c r="QC94" s="175">
        <v>1</v>
      </c>
      <c r="QD94" s="139">
        <v>4.3755555555555548</v>
      </c>
      <c r="QE94" s="140">
        <f t="shared" si="302"/>
        <v>4.3755555555555548</v>
      </c>
      <c r="QF94" s="158"/>
      <c r="QG94" s="528"/>
      <c r="QH94" s="143" t="s">
        <v>80</v>
      </c>
      <c r="QI94" s="144">
        <v>10</v>
      </c>
      <c r="QJ94" s="160" t="s">
        <v>76</v>
      </c>
      <c r="QK94" s="175"/>
      <c r="QL94" s="139">
        <v>4.3755555555555548</v>
      </c>
      <c r="QM94" s="140">
        <f t="shared" si="303"/>
        <v>0</v>
      </c>
      <c r="QN94" s="158"/>
      <c r="QO94" s="528"/>
      <c r="QP94" s="143" t="s">
        <v>80</v>
      </c>
      <c r="QQ94" s="144">
        <v>24</v>
      </c>
      <c r="QR94" s="160" t="s">
        <v>76</v>
      </c>
      <c r="QS94" s="175">
        <v>1</v>
      </c>
      <c r="QT94" s="139">
        <v>4.3755555555555548</v>
      </c>
      <c r="QU94" s="140">
        <f t="shared" si="304"/>
        <v>4.3755555555555548</v>
      </c>
      <c r="QV94" s="158"/>
      <c r="QW94" s="528"/>
      <c r="QX94" s="143" t="s">
        <v>80</v>
      </c>
      <c r="QY94" s="144"/>
      <c r="QZ94" s="160" t="s">
        <v>76</v>
      </c>
      <c r="RA94" s="175"/>
      <c r="RB94" s="139">
        <v>4.3755555555555548</v>
      </c>
      <c r="RC94" s="140">
        <f t="shared" si="305"/>
        <v>0</v>
      </c>
      <c r="RD94" s="158"/>
      <c r="RE94" s="528"/>
      <c r="RF94" s="143" t="s">
        <v>80</v>
      </c>
      <c r="RG94" s="144"/>
      <c r="RH94" s="160" t="s">
        <v>76</v>
      </c>
      <c r="RI94" s="175"/>
      <c r="RJ94" s="139">
        <v>4.3755555555555548</v>
      </c>
      <c r="RK94" s="140">
        <f t="shared" si="306"/>
        <v>0</v>
      </c>
      <c r="RL94" s="158"/>
      <c r="RM94" s="528"/>
      <c r="RN94" s="143" t="s">
        <v>80</v>
      </c>
      <c r="RO94" s="144">
        <v>53</v>
      </c>
      <c r="RP94" s="160" t="s">
        <v>76</v>
      </c>
      <c r="RQ94" s="175"/>
      <c r="RR94" s="139">
        <v>4.3755555555555548</v>
      </c>
      <c r="RS94" s="140">
        <f t="shared" si="307"/>
        <v>0</v>
      </c>
      <c r="RT94" s="158"/>
      <c r="RU94" s="528"/>
      <c r="RV94" s="143" t="s">
        <v>80</v>
      </c>
      <c r="RW94" s="144">
        <v>64</v>
      </c>
      <c r="RX94" s="160" t="s">
        <v>76</v>
      </c>
      <c r="RY94" s="175">
        <v>68</v>
      </c>
      <c r="RZ94" s="139">
        <v>4.3755555555555548</v>
      </c>
      <c r="SA94" s="140">
        <f t="shared" si="308"/>
        <v>297.53777777777771</v>
      </c>
      <c r="SB94" s="158"/>
      <c r="SC94" s="528"/>
      <c r="SD94" s="143" t="s">
        <v>80</v>
      </c>
      <c r="SE94" s="144">
        <v>47</v>
      </c>
      <c r="SF94" s="160" t="s">
        <v>76</v>
      </c>
      <c r="SG94" s="175"/>
      <c r="SH94" s="139">
        <v>4.3755555555555548</v>
      </c>
      <c r="SI94" s="140">
        <f t="shared" si="309"/>
        <v>0</v>
      </c>
      <c r="SJ94" s="158"/>
      <c r="SK94" s="528"/>
      <c r="SL94" s="143" t="s">
        <v>80</v>
      </c>
      <c r="SM94" s="144">
        <v>46</v>
      </c>
      <c r="SN94" s="160" t="s">
        <v>76</v>
      </c>
      <c r="SO94" s="175">
        <v>17</v>
      </c>
      <c r="SP94" s="139">
        <v>4.3755555555555548</v>
      </c>
      <c r="SQ94" s="140">
        <f t="shared" si="310"/>
        <v>74.384444444444426</v>
      </c>
      <c r="SR94" s="158"/>
      <c r="SS94" s="528"/>
      <c r="ST94" s="143" t="s">
        <v>80</v>
      </c>
      <c r="SU94" s="144">
        <v>42</v>
      </c>
      <c r="SV94" s="160" t="s">
        <v>76</v>
      </c>
      <c r="SW94" s="175">
        <v>5</v>
      </c>
      <c r="SX94" s="139">
        <v>4.3755555555555548</v>
      </c>
      <c r="SY94" s="140">
        <f t="shared" si="311"/>
        <v>21.877777777777773</v>
      </c>
      <c r="SZ94" s="158"/>
      <c r="TA94" s="528"/>
      <c r="TB94" s="143" t="s">
        <v>80</v>
      </c>
      <c r="TC94" s="144">
        <v>47</v>
      </c>
      <c r="TD94" s="160" t="s">
        <v>76</v>
      </c>
      <c r="TE94" s="175">
        <v>11</v>
      </c>
      <c r="TF94" s="139">
        <v>4.3755555555555548</v>
      </c>
      <c r="TG94" s="140">
        <f t="shared" si="312"/>
        <v>48.131111111111103</v>
      </c>
      <c r="TH94" s="158"/>
      <c r="TI94" s="528"/>
    </row>
    <row r="95" spans="2:529">
      <c r="B95" s="145"/>
      <c r="C95" s="146"/>
      <c r="D95" s="157" t="s">
        <v>84</v>
      </c>
      <c r="E95" s="138">
        <v>0</v>
      </c>
      <c r="F95" s="172"/>
      <c r="G95" s="140">
        <f t="shared" si="247"/>
        <v>0</v>
      </c>
      <c r="H95" s="154"/>
      <c r="I95" s="528"/>
      <c r="J95" s="145"/>
      <c r="K95" s="146">
        <v>8</v>
      </c>
      <c r="L95" s="157" t="s">
        <v>84</v>
      </c>
      <c r="M95" s="138">
        <v>0</v>
      </c>
      <c r="N95" s="172"/>
      <c r="O95" s="140">
        <f t="shared" si="248"/>
        <v>0</v>
      </c>
      <c r="P95" s="154"/>
      <c r="Q95" s="528"/>
      <c r="R95" s="145"/>
      <c r="S95" s="146">
        <v>8</v>
      </c>
      <c r="T95" s="157" t="s">
        <v>84</v>
      </c>
      <c r="U95" s="138">
        <v>0</v>
      </c>
      <c r="V95" s="172"/>
      <c r="W95" s="140">
        <f t="shared" si="249"/>
        <v>0</v>
      </c>
      <c r="X95" s="154"/>
      <c r="Y95" s="528"/>
      <c r="Z95" s="145"/>
      <c r="AA95" s="146">
        <v>8</v>
      </c>
      <c r="AB95" s="157" t="s">
        <v>84</v>
      </c>
      <c r="AC95" s="138">
        <v>0</v>
      </c>
      <c r="AD95" s="172"/>
      <c r="AE95" s="140">
        <f t="shared" si="250"/>
        <v>0</v>
      </c>
      <c r="AF95" s="154"/>
      <c r="AG95" s="528"/>
      <c r="AH95" s="145"/>
      <c r="AI95" s="146">
        <v>8</v>
      </c>
      <c r="AJ95" s="157" t="s">
        <v>84</v>
      </c>
      <c r="AK95" s="138">
        <v>0</v>
      </c>
      <c r="AL95" s="172"/>
      <c r="AM95" s="140">
        <f t="shared" si="251"/>
        <v>0</v>
      </c>
      <c r="AN95" s="154"/>
      <c r="AO95" s="528"/>
      <c r="AP95" s="145"/>
      <c r="AQ95" s="146">
        <v>8</v>
      </c>
      <c r="AR95" s="157" t="s">
        <v>84</v>
      </c>
      <c r="AS95" s="138">
        <v>0</v>
      </c>
      <c r="AT95" s="172"/>
      <c r="AU95" s="140">
        <f t="shared" si="252"/>
        <v>0</v>
      </c>
      <c r="AV95" s="154"/>
      <c r="AW95" s="528"/>
      <c r="AX95" s="145"/>
      <c r="AY95" s="146">
        <v>8</v>
      </c>
      <c r="AZ95" s="157" t="s">
        <v>84</v>
      </c>
      <c r="BA95" s="138"/>
      <c r="BB95" s="172"/>
      <c r="BC95" s="140">
        <f t="shared" si="253"/>
        <v>0</v>
      </c>
      <c r="BD95" s="154"/>
      <c r="BE95" s="528"/>
      <c r="BF95" s="145"/>
      <c r="BG95" s="146">
        <v>8</v>
      </c>
      <c r="BH95" s="157" t="s">
        <v>84</v>
      </c>
      <c r="BI95" s="138"/>
      <c r="BJ95" s="172"/>
      <c r="BK95" s="140">
        <f t="shared" si="254"/>
        <v>0</v>
      </c>
      <c r="BL95" s="154"/>
      <c r="BM95" s="528"/>
      <c r="BN95" s="145"/>
      <c r="BO95" s="146">
        <v>8</v>
      </c>
      <c r="BP95" s="157" t="s">
        <v>84</v>
      </c>
      <c r="BQ95" s="138"/>
      <c r="BR95" s="172"/>
      <c r="BS95" s="140">
        <f t="shared" si="255"/>
        <v>0</v>
      </c>
      <c r="BT95" s="154"/>
      <c r="BU95" s="528"/>
      <c r="BV95" s="536"/>
      <c r="BW95" s="537"/>
      <c r="BX95" s="574" t="s">
        <v>84</v>
      </c>
      <c r="BY95" s="560"/>
      <c r="BZ95" s="587"/>
      <c r="CA95" s="562">
        <f t="shared" si="256"/>
        <v>0</v>
      </c>
      <c r="CB95" s="571"/>
      <c r="CC95" s="528"/>
      <c r="CD95" s="536"/>
      <c r="CE95" s="537"/>
      <c r="CF95" s="574" t="s">
        <v>84</v>
      </c>
      <c r="CG95" s="560"/>
      <c r="CH95" s="587"/>
      <c r="CI95" s="562">
        <f t="shared" si="257"/>
        <v>0</v>
      </c>
      <c r="CJ95" s="571"/>
      <c r="CK95" s="528"/>
      <c r="CL95" s="145"/>
      <c r="CM95" s="146">
        <v>8</v>
      </c>
      <c r="CN95" s="157" t="s">
        <v>84</v>
      </c>
      <c r="CO95" s="138"/>
      <c r="CP95" s="172"/>
      <c r="CQ95" s="140">
        <f t="shared" si="258"/>
        <v>0</v>
      </c>
      <c r="CR95" s="154"/>
      <c r="CS95" s="528"/>
      <c r="CT95" s="145"/>
      <c r="CU95" s="146">
        <v>8</v>
      </c>
      <c r="CV95" s="157" t="s">
        <v>84</v>
      </c>
      <c r="CW95" s="138">
        <v>0</v>
      </c>
      <c r="CX95" s="172"/>
      <c r="CY95" s="140">
        <f t="shared" si="259"/>
        <v>0</v>
      </c>
      <c r="CZ95" s="154"/>
      <c r="DA95" s="528"/>
      <c r="DB95" s="145"/>
      <c r="DC95" s="146"/>
      <c r="DD95" s="157" t="s">
        <v>84</v>
      </c>
      <c r="DE95" s="138"/>
      <c r="DF95" s="172"/>
      <c r="DG95" s="140">
        <f t="shared" si="260"/>
        <v>0</v>
      </c>
      <c r="DH95" s="154"/>
      <c r="DI95" s="528"/>
      <c r="DJ95" s="145"/>
      <c r="DK95" s="146"/>
      <c r="DL95" s="157" t="s">
        <v>84</v>
      </c>
      <c r="DM95" s="138">
        <v>0</v>
      </c>
      <c r="DN95" s="172"/>
      <c r="DO95" s="140">
        <f t="shared" si="261"/>
        <v>0</v>
      </c>
      <c r="DP95" s="154"/>
      <c r="DQ95" s="528"/>
      <c r="DR95" s="145"/>
      <c r="DS95" s="146"/>
      <c r="DT95" s="157" t="s">
        <v>84</v>
      </c>
      <c r="DU95" s="138"/>
      <c r="DV95" s="172"/>
      <c r="DW95" s="140">
        <f t="shared" si="262"/>
        <v>0</v>
      </c>
      <c r="DX95" s="154"/>
      <c r="DY95" s="528"/>
      <c r="DZ95" s="145"/>
      <c r="EA95" s="146"/>
      <c r="EB95" s="157" t="s">
        <v>84</v>
      </c>
      <c r="EC95" s="138"/>
      <c r="ED95" s="172"/>
      <c r="EE95" s="140">
        <f t="shared" si="263"/>
        <v>0</v>
      </c>
      <c r="EF95" s="154"/>
      <c r="EG95" s="528"/>
      <c r="EH95" s="145"/>
      <c r="EI95" s="146"/>
      <c r="EJ95" s="157" t="s">
        <v>84</v>
      </c>
      <c r="EK95" s="138"/>
      <c r="EL95" s="172"/>
      <c r="EM95" s="140">
        <f t="shared" si="264"/>
        <v>0</v>
      </c>
      <c r="EN95" s="154"/>
      <c r="EO95" s="528"/>
      <c r="EP95" s="145"/>
      <c r="EQ95" s="146"/>
      <c r="ER95" s="157" t="s">
        <v>84</v>
      </c>
      <c r="ES95" s="138"/>
      <c r="ET95" s="172"/>
      <c r="EU95" s="140">
        <f t="shared" si="265"/>
        <v>0</v>
      </c>
      <c r="EV95" s="154"/>
      <c r="EW95" s="528"/>
      <c r="EX95" s="145"/>
      <c r="EY95" s="146"/>
      <c r="EZ95" s="157" t="s">
        <v>84</v>
      </c>
      <c r="FA95" s="138"/>
      <c r="FB95" s="172"/>
      <c r="FC95" s="140">
        <f t="shared" si="266"/>
        <v>0</v>
      </c>
      <c r="FD95" s="154"/>
      <c r="FE95" s="528"/>
      <c r="FF95" s="145"/>
      <c r="FG95" s="146"/>
      <c r="FH95" s="157" t="s">
        <v>84</v>
      </c>
      <c r="FI95" s="138"/>
      <c r="FJ95" s="172"/>
      <c r="FK95" s="140">
        <f t="shared" si="267"/>
        <v>0</v>
      </c>
      <c r="FL95" s="154"/>
      <c r="FM95" s="528"/>
      <c r="FN95" s="145"/>
      <c r="FO95" s="146"/>
      <c r="FP95" s="157" t="s">
        <v>84</v>
      </c>
      <c r="FQ95" s="138"/>
      <c r="FR95" s="172"/>
      <c r="FS95" s="140">
        <f t="shared" si="268"/>
        <v>0</v>
      </c>
      <c r="FT95" s="154"/>
      <c r="FU95" s="528"/>
      <c r="FV95" s="145"/>
      <c r="FW95" s="146"/>
      <c r="FX95" s="157" t="s">
        <v>84</v>
      </c>
      <c r="FY95" s="138"/>
      <c r="FZ95" s="172"/>
      <c r="GA95" s="140">
        <f t="shared" si="269"/>
        <v>0</v>
      </c>
      <c r="GB95" s="154"/>
      <c r="GC95" s="528"/>
      <c r="GD95" s="145"/>
      <c r="GE95" s="146"/>
      <c r="GF95" s="157" t="s">
        <v>84</v>
      </c>
      <c r="GG95" s="138"/>
      <c r="GH95" s="172"/>
      <c r="GI95" s="140">
        <f t="shared" si="270"/>
        <v>0</v>
      </c>
      <c r="GJ95" s="154"/>
      <c r="GK95" s="528"/>
      <c r="GL95" s="145"/>
      <c r="GM95" s="146"/>
      <c r="GN95" s="157" t="s">
        <v>84</v>
      </c>
      <c r="GO95" s="138">
        <f>'[1]Jan_18_Vol weekly-Data-Entry'!$AK$226</f>
        <v>0</v>
      </c>
      <c r="GP95" s="172"/>
      <c r="GQ95" s="140">
        <f t="shared" si="271"/>
        <v>0</v>
      </c>
      <c r="GR95" s="154"/>
      <c r="GS95" s="528"/>
      <c r="GT95" s="145"/>
      <c r="GU95" s="146"/>
      <c r="GV95" s="157" t="s">
        <v>84</v>
      </c>
      <c r="GW95" s="138">
        <v>0</v>
      </c>
      <c r="GX95" s="172"/>
      <c r="GY95" s="140">
        <f t="shared" si="272"/>
        <v>0</v>
      </c>
      <c r="GZ95" s="154"/>
      <c r="HA95" s="528"/>
      <c r="HB95" s="145"/>
      <c r="HC95" s="146"/>
      <c r="HD95" s="157" t="s">
        <v>84</v>
      </c>
      <c r="HE95" s="138">
        <v>0</v>
      </c>
      <c r="HF95" s="172"/>
      <c r="HG95" s="140">
        <f t="shared" si="273"/>
        <v>0</v>
      </c>
      <c r="HH95" s="154"/>
      <c r="HI95" s="528"/>
      <c r="HJ95" s="145"/>
      <c r="HK95" s="146"/>
      <c r="HL95" s="157" t="s">
        <v>84</v>
      </c>
      <c r="HM95" s="138">
        <v>0</v>
      </c>
      <c r="HN95" s="172"/>
      <c r="HO95" s="140">
        <f t="shared" si="274"/>
        <v>0</v>
      </c>
      <c r="HP95" s="154"/>
      <c r="HQ95" s="528"/>
      <c r="HR95" s="145"/>
      <c r="HS95" s="146"/>
      <c r="HT95" s="157" t="s">
        <v>84</v>
      </c>
      <c r="HU95" s="138">
        <v>0</v>
      </c>
      <c r="HV95" s="172"/>
      <c r="HW95" s="140">
        <f t="shared" si="275"/>
        <v>0</v>
      </c>
      <c r="HX95" s="154"/>
      <c r="HY95" s="528"/>
      <c r="HZ95" s="145"/>
      <c r="IA95" s="146"/>
      <c r="IB95" s="157" t="s">
        <v>84</v>
      </c>
      <c r="IC95" s="138">
        <v>0</v>
      </c>
      <c r="ID95" s="172"/>
      <c r="IE95" s="140">
        <f t="shared" si="276"/>
        <v>0</v>
      </c>
      <c r="IF95" s="154"/>
      <c r="IG95" s="528"/>
      <c r="IH95" s="145"/>
      <c r="II95" s="146"/>
      <c r="IJ95" s="157" t="s">
        <v>84</v>
      </c>
      <c r="IK95" s="138">
        <v>0</v>
      </c>
      <c r="IL95" s="172"/>
      <c r="IM95" s="140">
        <f t="shared" si="277"/>
        <v>0</v>
      </c>
      <c r="IN95" s="154"/>
      <c r="IO95" s="528"/>
      <c r="IP95" s="145"/>
      <c r="IQ95" s="146"/>
      <c r="IR95" s="157" t="s">
        <v>84</v>
      </c>
      <c r="IS95" s="138">
        <v>0</v>
      </c>
      <c r="IT95" s="172"/>
      <c r="IU95" s="140">
        <f t="shared" si="278"/>
        <v>0</v>
      </c>
      <c r="IV95" s="154"/>
      <c r="IW95" s="528"/>
      <c r="IX95" s="145"/>
      <c r="IY95" s="146"/>
      <c r="IZ95" s="157" t="s">
        <v>84</v>
      </c>
      <c r="JA95" s="138">
        <v>0</v>
      </c>
      <c r="JB95" s="172"/>
      <c r="JC95" s="140">
        <f t="shared" si="279"/>
        <v>0</v>
      </c>
      <c r="JD95" s="154"/>
      <c r="JE95" s="528"/>
      <c r="JF95" s="145"/>
      <c r="JG95" s="146"/>
      <c r="JH95" s="157" t="s">
        <v>84</v>
      </c>
      <c r="JI95" s="138">
        <v>0</v>
      </c>
      <c r="JJ95" s="172"/>
      <c r="JK95" s="140">
        <f t="shared" si="280"/>
        <v>0</v>
      </c>
      <c r="JL95" s="154"/>
      <c r="JM95" s="528"/>
      <c r="JN95" s="145"/>
      <c r="JO95" s="146"/>
      <c r="JP95" s="157" t="s">
        <v>84</v>
      </c>
      <c r="JQ95" s="138">
        <v>0</v>
      </c>
      <c r="JR95" s="172"/>
      <c r="JS95" s="140">
        <f t="shared" si="281"/>
        <v>0</v>
      </c>
      <c r="JT95" s="154"/>
      <c r="JU95" s="528"/>
      <c r="JV95" s="145"/>
      <c r="JW95" s="146"/>
      <c r="JX95" s="157" t="s">
        <v>84</v>
      </c>
      <c r="JY95" s="138">
        <v>0</v>
      </c>
      <c r="JZ95" s="172"/>
      <c r="KA95" s="140">
        <f t="shared" si="282"/>
        <v>0</v>
      </c>
      <c r="KB95" s="154"/>
      <c r="KC95" s="528"/>
      <c r="KD95" s="145"/>
      <c r="KE95" s="146"/>
      <c r="KF95" s="157" t="s">
        <v>84</v>
      </c>
      <c r="KG95" s="138">
        <v>0</v>
      </c>
      <c r="KH95" s="172"/>
      <c r="KI95" s="140">
        <f t="shared" si="283"/>
        <v>0</v>
      </c>
      <c r="KJ95" s="154"/>
      <c r="KK95" s="528"/>
      <c r="KL95" s="145"/>
      <c r="KM95" s="146"/>
      <c r="KN95" s="157" t="s">
        <v>84</v>
      </c>
      <c r="KO95" s="138">
        <v>0</v>
      </c>
      <c r="KP95" s="172"/>
      <c r="KQ95" s="140">
        <f t="shared" si="284"/>
        <v>0</v>
      </c>
      <c r="KR95" s="154"/>
      <c r="KS95" s="528"/>
      <c r="KT95" s="145"/>
      <c r="KU95" s="146"/>
      <c r="KV95" s="157" t="s">
        <v>84</v>
      </c>
      <c r="KW95" s="138">
        <v>0</v>
      </c>
      <c r="KX95" s="172"/>
      <c r="KY95" s="140">
        <f t="shared" si="285"/>
        <v>0</v>
      </c>
      <c r="KZ95" s="154"/>
      <c r="LA95" s="528"/>
      <c r="LB95" s="145"/>
      <c r="LC95" s="146"/>
      <c r="LD95" s="157" t="s">
        <v>84</v>
      </c>
      <c r="LE95" s="138">
        <v>0</v>
      </c>
      <c r="LF95" s="172"/>
      <c r="LG95" s="140">
        <f t="shared" si="286"/>
        <v>0</v>
      </c>
      <c r="LH95" s="154"/>
      <c r="LI95" s="528"/>
      <c r="LJ95" s="145"/>
      <c r="LK95" s="146"/>
      <c r="LL95" s="157" t="s">
        <v>84</v>
      </c>
      <c r="LM95" s="175">
        <v>0</v>
      </c>
      <c r="LN95" s="164"/>
      <c r="LO95" s="140">
        <f t="shared" si="287"/>
        <v>0</v>
      </c>
      <c r="LP95" s="154"/>
      <c r="LQ95" s="528"/>
      <c r="LR95" s="145"/>
      <c r="LS95" s="146"/>
      <c r="LT95" s="157" t="s">
        <v>84</v>
      </c>
      <c r="LU95" s="175"/>
      <c r="LV95" s="164"/>
      <c r="LW95" s="140">
        <f t="shared" si="288"/>
        <v>0</v>
      </c>
      <c r="LX95" s="154"/>
      <c r="LY95" s="528"/>
      <c r="LZ95" s="145"/>
      <c r="MA95" s="146"/>
      <c r="MB95" s="157" t="s">
        <v>84</v>
      </c>
      <c r="MC95" s="175"/>
      <c r="MD95" s="164"/>
      <c r="ME95" s="140">
        <f t="shared" si="289"/>
        <v>0</v>
      </c>
      <c r="MF95" s="154"/>
      <c r="MG95" s="528"/>
      <c r="MH95" s="145"/>
      <c r="MI95" s="146"/>
      <c r="MJ95" s="157" t="s">
        <v>84</v>
      </c>
      <c r="MK95" s="175"/>
      <c r="ML95" s="164"/>
      <c r="MM95" s="140">
        <f t="shared" si="290"/>
        <v>0</v>
      </c>
      <c r="MN95" s="154"/>
      <c r="MO95" s="528"/>
      <c r="MP95" s="145"/>
      <c r="MQ95" s="146"/>
      <c r="MR95" s="157" t="s">
        <v>84</v>
      </c>
      <c r="MS95" s="175"/>
      <c r="MT95" s="164"/>
      <c r="MU95" s="140">
        <f t="shared" si="291"/>
        <v>0</v>
      </c>
      <c r="MV95" s="154"/>
      <c r="MW95" s="528"/>
      <c r="MX95" s="145"/>
      <c r="MY95" s="146"/>
      <c r="MZ95" s="157" t="s">
        <v>77</v>
      </c>
      <c r="NA95" s="175">
        <v>106</v>
      </c>
      <c r="NB95" s="139">
        <v>4.104857142857143</v>
      </c>
      <c r="NC95" s="140">
        <f t="shared" si="292"/>
        <v>435.11485714285715</v>
      </c>
      <c r="ND95" s="158"/>
      <c r="NE95" s="528"/>
      <c r="NF95" s="145"/>
      <c r="NG95" s="146"/>
      <c r="NH95" s="157" t="s">
        <v>77</v>
      </c>
      <c r="NI95" s="175">
        <v>63</v>
      </c>
      <c r="NJ95" s="139">
        <v>4.104857142857143</v>
      </c>
      <c r="NK95" s="140">
        <f t="shared" si="293"/>
        <v>258.60599999999999</v>
      </c>
      <c r="NL95" s="158"/>
      <c r="NM95" s="528"/>
      <c r="NN95" s="145"/>
      <c r="NO95" s="146"/>
      <c r="NP95" s="157" t="s">
        <v>77</v>
      </c>
      <c r="NQ95" s="175">
        <v>293</v>
      </c>
      <c r="NR95" s="139">
        <v>4.104857142857143</v>
      </c>
      <c r="NS95" s="140">
        <f t="shared" si="294"/>
        <v>1202.7231428571429</v>
      </c>
      <c r="NT95" s="158"/>
      <c r="NU95" s="528"/>
      <c r="NV95" s="145"/>
      <c r="NW95" s="146"/>
      <c r="NX95" s="157" t="s">
        <v>77</v>
      </c>
      <c r="NY95" s="175">
        <v>231</v>
      </c>
      <c r="NZ95" s="139">
        <v>4.104857142857143</v>
      </c>
      <c r="OA95" s="140">
        <f t="shared" si="295"/>
        <v>948.22199999999998</v>
      </c>
      <c r="OB95" s="158"/>
      <c r="OC95" s="528"/>
      <c r="OD95" s="145"/>
      <c r="OE95" s="146"/>
      <c r="OF95" s="157" t="s">
        <v>77</v>
      </c>
      <c r="OG95" s="175">
        <v>234</v>
      </c>
      <c r="OH95" s="139">
        <v>4.104857142857143</v>
      </c>
      <c r="OI95" s="140">
        <f t="shared" si="296"/>
        <v>960.53657142857151</v>
      </c>
      <c r="OJ95" s="158"/>
      <c r="OK95" s="528"/>
      <c r="OL95" s="145"/>
      <c r="OM95" s="146"/>
      <c r="ON95" s="157" t="s">
        <v>77</v>
      </c>
      <c r="OO95" s="175">
        <v>68</v>
      </c>
      <c r="OP95" s="139">
        <v>4.104857142857143</v>
      </c>
      <c r="OQ95" s="140">
        <f t="shared" si="297"/>
        <v>279.13028571428572</v>
      </c>
      <c r="OR95" s="158"/>
      <c r="OS95" s="528"/>
      <c r="OT95" s="145"/>
      <c r="OU95" s="146"/>
      <c r="OV95" s="157" t="s">
        <v>77</v>
      </c>
      <c r="OW95" s="175"/>
      <c r="OX95" s="139">
        <v>4.104857142857143</v>
      </c>
      <c r="OY95" s="140">
        <f t="shared" si="298"/>
        <v>0</v>
      </c>
      <c r="OZ95" s="158"/>
      <c r="PA95" s="528"/>
      <c r="PB95" s="145"/>
      <c r="PC95" s="146"/>
      <c r="PD95" s="157" t="s">
        <v>370</v>
      </c>
      <c r="PE95" s="175">
        <v>7</v>
      </c>
      <c r="PF95" s="139">
        <v>4.104857142857143</v>
      </c>
      <c r="PG95" s="140">
        <f t="shared" si="299"/>
        <v>28.734000000000002</v>
      </c>
      <c r="PH95" s="158"/>
      <c r="PI95" s="528"/>
      <c r="PJ95" s="145"/>
      <c r="PK95" s="146"/>
      <c r="PL95" s="157" t="s">
        <v>77</v>
      </c>
      <c r="PM95" s="175">
        <v>1</v>
      </c>
      <c r="PN95" s="139">
        <v>4.104857142857143</v>
      </c>
      <c r="PO95" s="140">
        <f t="shared" si="300"/>
        <v>4.104857142857143</v>
      </c>
      <c r="PP95" s="158"/>
      <c r="PQ95" s="528"/>
      <c r="PR95" s="145"/>
      <c r="PS95" s="146"/>
      <c r="PT95" s="157" t="s">
        <v>77</v>
      </c>
      <c r="PU95" s="175">
        <v>1</v>
      </c>
      <c r="PV95" s="139">
        <v>4.104857142857143</v>
      </c>
      <c r="PW95" s="140">
        <f t="shared" si="301"/>
        <v>4.104857142857143</v>
      </c>
      <c r="PX95" s="158"/>
      <c r="PY95" s="528"/>
      <c r="PZ95" s="145"/>
      <c r="QA95" s="146"/>
      <c r="QB95" s="157" t="s">
        <v>77</v>
      </c>
      <c r="QC95" s="175">
        <v>10</v>
      </c>
      <c r="QD95" s="139">
        <v>4.104857142857143</v>
      </c>
      <c r="QE95" s="140">
        <f t="shared" si="302"/>
        <v>41.048571428571428</v>
      </c>
      <c r="QF95" s="158"/>
      <c r="QG95" s="528"/>
      <c r="QH95" s="145"/>
      <c r="QI95" s="146"/>
      <c r="QJ95" s="157" t="s">
        <v>77</v>
      </c>
      <c r="QK95" s="175">
        <v>13</v>
      </c>
      <c r="QL95" s="139">
        <v>4.104857142857143</v>
      </c>
      <c r="QM95" s="140">
        <f t="shared" si="303"/>
        <v>53.363142857142861</v>
      </c>
      <c r="QN95" s="158"/>
      <c r="QO95" s="528"/>
      <c r="QP95" s="145"/>
      <c r="QQ95" s="146"/>
      <c r="QR95" s="157" t="s">
        <v>77</v>
      </c>
      <c r="QS95" s="175">
        <v>87</v>
      </c>
      <c r="QT95" s="139">
        <v>4.104857142857143</v>
      </c>
      <c r="QU95" s="140">
        <f t="shared" si="304"/>
        <v>357.12257142857146</v>
      </c>
      <c r="QV95" s="158"/>
      <c r="QW95" s="528"/>
      <c r="QX95" s="145"/>
      <c r="QY95" s="146"/>
      <c r="QZ95" s="157" t="s">
        <v>77</v>
      </c>
      <c r="RA95" s="175"/>
      <c r="RB95" s="139">
        <v>4.104857142857143</v>
      </c>
      <c r="RC95" s="140">
        <f t="shared" si="305"/>
        <v>0</v>
      </c>
      <c r="RD95" s="158"/>
      <c r="RE95" s="528"/>
      <c r="RF95" s="145"/>
      <c r="RG95" s="146"/>
      <c r="RH95" s="157" t="s">
        <v>77</v>
      </c>
      <c r="RI95" s="175"/>
      <c r="RJ95" s="139">
        <v>4.104857142857143</v>
      </c>
      <c r="RK95" s="140">
        <f t="shared" si="306"/>
        <v>0</v>
      </c>
      <c r="RL95" s="158"/>
      <c r="RM95" s="528"/>
      <c r="RN95" s="145"/>
      <c r="RO95" s="146"/>
      <c r="RP95" s="157" t="s">
        <v>77</v>
      </c>
      <c r="RQ95" s="175">
        <v>70</v>
      </c>
      <c r="RR95" s="139">
        <v>4.104857142857143</v>
      </c>
      <c r="RS95" s="140">
        <f t="shared" si="307"/>
        <v>287.34000000000003</v>
      </c>
      <c r="RT95" s="158"/>
      <c r="RU95" s="528"/>
      <c r="RV95" s="145"/>
      <c r="RW95" s="146"/>
      <c r="RX95" s="157" t="s">
        <v>77</v>
      </c>
      <c r="RY95" s="175">
        <v>147</v>
      </c>
      <c r="RZ95" s="139">
        <v>4.104857142857143</v>
      </c>
      <c r="SA95" s="140">
        <f t="shared" si="308"/>
        <v>603.41399999999999</v>
      </c>
      <c r="SB95" s="158"/>
      <c r="SC95" s="528"/>
      <c r="SD95" s="145"/>
      <c r="SE95" s="146"/>
      <c r="SF95" s="157" t="s">
        <v>77</v>
      </c>
      <c r="SG95" s="175">
        <v>50</v>
      </c>
      <c r="SH95" s="139">
        <v>4.104857142857143</v>
      </c>
      <c r="SI95" s="140">
        <f t="shared" si="309"/>
        <v>205.24285714285716</v>
      </c>
      <c r="SJ95" s="158"/>
      <c r="SK95" s="528"/>
      <c r="SL95" s="145"/>
      <c r="SM95" s="146"/>
      <c r="SN95" s="157" t="s">
        <v>77</v>
      </c>
      <c r="SO95" s="175">
        <v>155</v>
      </c>
      <c r="SP95" s="139">
        <v>4.104857142857143</v>
      </c>
      <c r="SQ95" s="140">
        <f t="shared" si="310"/>
        <v>636.25285714285712</v>
      </c>
      <c r="SR95" s="158"/>
      <c r="SS95" s="528"/>
      <c r="ST95" s="145"/>
      <c r="SU95" s="146"/>
      <c r="SV95" s="157" t="s">
        <v>77</v>
      </c>
      <c r="SW95" s="175">
        <v>98</v>
      </c>
      <c r="SX95" s="139">
        <v>4.104857142857143</v>
      </c>
      <c r="SY95" s="140">
        <f t="shared" si="311"/>
        <v>402.27600000000001</v>
      </c>
      <c r="SZ95" s="158"/>
      <c r="TA95" s="528"/>
      <c r="TB95" s="145"/>
      <c r="TC95" s="146"/>
      <c r="TD95" s="157" t="s">
        <v>77</v>
      </c>
      <c r="TE95" s="175">
        <v>161</v>
      </c>
      <c r="TF95" s="139">
        <v>4.104857142857143</v>
      </c>
      <c r="TG95" s="140">
        <f t="shared" si="312"/>
        <v>660.88200000000006</v>
      </c>
      <c r="TH95" s="158"/>
      <c r="TI95" s="528"/>
    </row>
    <row r="96" spans="2:529">
      <c r="B96" s="151"/>
      <c r="C96" s="152"/>
      <c r="D96" s="145" t="s">
        <v>85</v>
      </c>
      <c r="E96" s="138">
        <v>0</v>
      </c>
      <c r="F96" s="172"/>
      <c r="G96" s="140">
        <f t="shared" si="247"/>
        <v>0</v>
      </c>
      <c r="H96" s="168">
        <f>SUM(G93:G96)</f>
        <v>0</v>
      </c>
      <c r="I96" s="528"/>
      <c r="J96" s="151"/>
      <c r="K96" s="152">
        <v>12</v>
      </c>
      <c r="L96" s="145" t="s">
        <v>85</v>
      </c>
      <c r="M96" s="138">
        <v>0</v>
      </c>
      <c r="N96" s="172"/>
      <c r="O96" s="140">
        <f t="shared" si="248"/>
        <v>0</v>
      </c>
      <c r="P96" s="168">
        <f>SUM(O93:O96)</f>
        <v>0</v>
      </c>
      <c r="Q96" s="528"/>
      <c r="R96" s="151"/>
      <c r="S96" s="152">
        <v>12</v>
      </c>
      <c r="T96" s="145" t="s">
        <v>85</v>
      </c>
      <c r="U96" s="138">
        <v>0</v>
      </c>
      <c r="V96" s="172"/>
      <c r="W96" s="140">
        <f t="shared" si="249"/>
        <v>0</v>
      </c>
      <c r="X96" s="168">
        <f>SUM(W93:W96)</f>
        <v>153.36733333333333</v>
      </c>
      <c r="Y96" s="528"/>
      <c r="Z96" s="151"/>
      <c r="AA96" s="152">
        <v>12</v>
      </c>
      <c r="AB96" s="145" t="s">
        <v>85</v>
      </c>
      <c r="AC96" s="138">
        <v>0</v>
      </c>
      <c r="AD96" s="172"/>
      <c r="AE96" s="140">
        <f t="shared" si="250"/>
        <v>0</v>
      </c>
      <c r="AF96" s="168">
        <f>SUM(AE93:AE96)</f>
        <v>0</v>
      </c>
      <c r="AG96" s="528"/>
      <c r="AH96" s="151"/>
      <c r="AI96" s="152">
        <v>12</v>
      </c>
      <c r="AJ96" s="145" t="s">
        <v>85</v>
      </c>
      <c r="AK96" s="138">
        <v>0</v>
      </c>
      <c r="AL96" s="172"/>
      <c r="AM96" s="140">
        <f t="shared" si="251"/>
        <v>0</v>
      </c>
      <c r="AN96" s="168">
        <f>SUM(AM93:AM96)</f>
        <v>0</v>
      </c>
      <c r="AO96" s="528"/>
      <c r="AP96" s="151"/>
      <c r="AQ96" s="152">
        <v>12</v>
      </c>
      <c r="AR96" s="145" t="s">
        <v>85</v>
      </c>
      <c r="AS96" s="138">
        <v>0</v>
      </c>
      <c r="AT96" s="172"/>
      <c r="AU96" s="140">
        <f t="shared" si="252"/>
        <v>0</v>
      </c>
      <c r="AV96" s="168">
        <f>SUM(AU93:AU96)</f>
        <v>0</v>
      </c>
      <c r="AW96" s="528"/>
      <c r="AX96" s="151"/>
      <c r="AY96" s="152">
        <v>12</v>
      </c>
      <c r="AZ96" s="145" t="s">
        <v>85</v>
      </c>
      <c r="BA96" s="138"/>
      <c r="BB96" s="172"/>
      <c r="BC96" s="140">
        <f t="shared" si="253"/>
        <v>0</v>
      </c>
      <c r="BD96" s="168">
        <f>SUM(BC93:BC96)</f>
        <v>0</v>
      </c>
      <c r="BE96" s="528"/>
      <c r="BF96" s="151"/>
      <c r="BG96" s="152">
        <v>12</v>
      </c>
      <c r="BH96" s="145" t="s">
        <v>85</v>
      </c>
      <c r="BI96" s="138"/>
      <c r="BJ96" s="172"/>
      <c r="BK96" s="140">
        <f t="shared" si="254"/>
        <v>0</v>
      </c>
      <c r="BL96" s="168">
        <f>SUM(BK93:BK96)</f>
        <v>341.47533333333337</v>
      </c>
      <c r="BM96" s="528"/>
      <c r="BN96" s="151"/>
      <c r="BO96" s="152">
        <v>12</v>
      </c>
      <c r="BP96" s="145" t="s">
        <v>85</v>
      </c>
      <c r="BQ96" s="138"/>
      <c r="BR96" s="172"/>
      <c r="BS96" s="140">
        <f t="shared" si="255"/>
        <v>0</v>
      </c>
      <c r="BT96" s="168">
        <f>SUM(BS93:BS96)</f>
        <v>527.04133333333334</v>
      </c>
      <c r="BU96" s="528"/>
      <c r="BV96" s="543"/>
      <c r="BW96" s="544"/>
      <c r="BX96" s="536" t="s">
        <v>85</v>
      </c>
      <c r="BY96" s="560"/>
      <c r="BZ96" s="587"/>
      <c r="CA96" s="562">
        <f t="shared" si="256"/>
        <v>0</v>
      </c>
      <c r="CB96" s="548">
        <f>SUM(CA93:CA96)</f>
        <v>0</v>
      </c>
      <c r="CC96" s="528"/>
      <c r="CD96" s="543"/>
      <c r="CE96" s="544"/>
      <c r="CF96" s="536" t="s">
        <v>85</v>
      </c>
      <c r="CG96" s="560"/>
      <c r="CH96" s="587"/>
      <c r="CI96" s="562">
        <f t="shared" si="257"/>
        <v>0</v>
      </c>
      <c r="CJ96" s="548">
        <f>SUM(CI93:CI96)</f>
        <v>0</v>
      </c>
      <c r="CK96" s="528"/>
      <c r="CL96" s="151"/>
      <c r="CM96" s="152">
        <v>12</v>
      </c>
      <c r="CN96" s="145" t="s">
        <v>85</v>
      </c>
      <c r="CO96" s="138"/>
      <c r="CP96" s="172"/>
      <c r="CQ96" s="140">
        <f t="shared" si="258"/>
        <v>0</v>
      </c>
      <c r="CR96" s="168">
        <f>SUM(CQ93:CQ96)</f>
        <v>0</v>
      </c>
      <c r="CS96" s="528"/>
      <c r="CT96" s="151"/>
      <c r="CU96" s="152">
        <v>12</v>
      </c>
      <c r="CV96" s="145" t="s">
        <v>85</v>
      </c>
      <c r="CW96" s="138">
        <v>0</v>
      </c>
      <c r="CX96" s="172"/>
      <c r="CY96" s="140">
        <f t="shared" si="259"/>
        <v>0</v>
      </c>
      <c r="CZ96" s="168">
        <f>SUM(CY93:CY96)</f>
        <v>0</v>
      </c>
      <c r="DA96" s="528"/>
      <c r="DB96" s="151"/>
      <c r="DC96" s="152"/>
      <c r="DD96" s="145" t="s">
        <v>85</v>
      </c>
      <c r="DE96" s="138"/>
      <c r="DF96" s="172"/>
      <c r="DG96" s="140">
        <f t="shared" si="260"/>
        <v>0</v>
      </c>
      <c r="DH96" s="168">
        <f>SUM(DG93:DG96)</f>
        <v>0</v>
      </c>
      <c r="DI96" s="528"/>
      <c r="DJ96" s="151"/>
      <c r="DK96" s="152"/>
      <c r="DL96" s="145" t="s">
        <v>85</v>
      </c>
      <c r="DM96" s="138">
        <v>0</v>
      </c>
      <c r="DN96" s="172"/>
      <c r="DO96" s="140">
        <f t="shared" si="261"/>
        <v>0</v>
      </c>
      <c r="DP96" s="168">
        <f>SUM(DO93:DO96)</f>
        <v>0</v>
      </c>
      <c r="DQ96" s="528"/>
      <c r="DR96" s="151"/>
      <c r="DS96" s="152"/>
      <c r="DT96" s="145" t="s">
        <v>85</v>
      </c>
      <c r="DU96" s="138"/>
      <c r="DV96" s="172"/>
      <c r="DW96" s="140">
        <f t="shared" si="262"/>
        <v>0</v>
      </c>
      <c r="DX96" s="168">
        <f>SUM(DW93:DW96)</f>
        <v>0</v>
      </c>
      <c r="DY96" s="528"/>
      <c r="DZ96" s="151"/>
      <c r="EA96" s="152"/>
      <c r="EB96" s="145" t="s">
        <v>85</v>
      </c>
      <c r="EC96" s="138"/>
      <c r="ED96" s="172"/>
      <c r="EE96" s="140">
        <f t="shared" si="263"/>
        <v>0</v>
      </c>
      <c r="EF96" s="168">
        <f>SUM(EE93:EE96)</f>
        <v>0</v>
      </c>
      <c r="EG96" s="528"/>
      <c r="EH96" s="151"/>
      <c r="EI96" s="152"/>
      <c r="EJ96" s="145" t="s">
        <v>85</v>
      </c>
      <c r="EK96" s="138"/>
      <c r="EL96" s="172"/>
      <c r="EM96" s="140">
        <f t="shared" si="264"/>
        <v>0</v>
      </c>
      <c r="EN96" s="168">
        <f>SUM(EM93:EM96)</f>
        <v>0</v>
      </c>
      <c r="EO96" s="528"/>
      <c r="EP96" s="151"/>
      <c r="EQ96" s="152"/>
      <c r="ER96" s="145" t="s">
        <v>85</v>
      </c>
      <c r="ES96" s="138"/>
      <c r="ET96" s="172"/>
      <c r="EU96" s="140">
        <f t="shared" si="265"/>
        <v>0</v>
      </c>
      <c r="EV96" s="168">
        <f>SUM(EU93:EU96)</f>
        <v>0</v>
      </c>
      <c r="EW96" s="528"/>
      <c r="EX96" s="151"/>
      <c r="EY96" s="152"/>
      <c r="EZ96" s="145" t="s">
        <v>85</v>
      </c>
      <c r="FA96" s="138"/>
      <c r="FB96" s="172"/>
      <c r="FC96" s="140">
        <f t="shared" si="266"/>
        <v>0</v>
      </c>
      <c r="FD96" s="168">
        <f>SUM(FC93:FC96)</f>
        <v>0</v>
      </c>
      <c r="FE96" s="528"/>
      <c r="FF96" s="151"/>
      <c r="FG96" s="152"/>
      <c r="FH96" s="145" t="s">
        <v>85</v>
      </c>
      <c r="FI96" s="138"/>
      <c r="FJ96" s="172"/>
      <c r="FK96" s="140">
        <f t="shared" si="267"/>
        <v>0</v>
      </c>
      <c r="FL96" s="168">
        <f>SUM(FK93:FK96)</f>
        <v>0</v>
      </c>
      <c r="FM96" s="528"/>
      <c r="FN96" s="151"/>
      <c r="FO96" s="152"/>
      <c r="FP96" s="145" t="s">
        <v>85</v>
      </c>
      <c r="FQ96" s="138"/>
      <c r="FR96" s="172"/>
      <c r="FS96" s="140">
        <f t="shared" si="268"/>
        <v>0</v>
      </c>
      <c r="FT96" s="168">
        <f>SUM(FS93:FS96)</f>
        <v>0</v>
      </c>
      <c r="FU96" s="528"/>
      <c r="FV96" s="151"/>
      <c r="FW96" s="152"/>
      <c r="FX96" s="145" t="s">
        <v>85</v>
      </c>
      <c r="FY96" s="138"/>
      <c r="FZ96" s="172"/>
      <c r="GA96" s="140">
        <f t="shared" si="269"/>
        <v>0</v>
      </c>
      <c r="GB96" s="168">
        <f>SUM(GA93:GA96)</f>
        <v>0</v>
      </c>
      <c r="GC96" s="528"/>
      <c r="GD96" s="151"/>
      <c r="GE96" s="152"/>
      <c r="GF96" s="145" t="s">
        <v>85</v>
      </c>
      <c r="GG96" s="138"/>
      <c r="GH96" s="172"/>
      <c r="GI96" s="140">
        <f t="shared" si="270"/>
        <v>0</v>
      </c>
      <c r="GJ96" s="168">
        <f>SUM(GI93:GI96)</f>
        <v>0</v>
      </c>
      <c r="GK96" s="528"/>
      <c r="GL96" s="151"/>
      <c r="GM96" s="152"/>
      <c r="GN96" s="145" t="s">
        <v>85</v>
      </c>
      <c r="GO96" s="138">
        <f>'[1]Jan_18_Vol weekly-Data-Entry'!$AL$226</f>
        <v>0</v>
      </c>
      <c r="GP96" s="172"/>
      <c r="GQ96" s="140">
        <f t="shared" si="271"/>
        <v>0</v>
      </c>
      <c r="GR96" s="168">
        <f>SUM(GQ93:GQ96)</f>
        <v>0</v>
      </c>
      <c r="GS96" s="528"/>
      <c r="GT96" s="151"/>
      <c r="GU96" s="152"/>
      <c r="GV96" s="145" t="s">
        <v>85</v>
      </c>
      <c r="GW96" s="138">
        <v>0</v>
      </c>
      <c r="GX96" s="172"/>
      <c r="GY96" s="140">
        <f t="shared" si="272"/>
        <v>0</v>
      </c>
      <c r="GZ96" s="168">
        <f>SUM(GY93:GY96)</f>
        <v>0</v>
      </c>
      <c r="HA96" s="528"/>
      <c r="HB96" s="151"/>
      <c r="HC96" s="152"/>
      <c r="HD96" s="145" t="s">
        <v>85</v>
      </c>
      <c r="HE96" s="138">
        <v>0</v>
      </c>
      <c r="HF96" s="172"/>
      <c r="HG96" s="140">
        <f t="shared" si="273"/>
        <v>0</v>
      </c>
      <c r="HH96" s="168">
        <f>SUM(HG93:HG96)</f>
        <v>0</v>
      </c>
      <c r="HI96" s="528"/>
      <c r="HJ96" s="151"/>
      <c r="HK96" s="152"/>
      <c r="HL96" s="145" t="s">
        <v>85</v>
      </c>
      <c r="HM96" s="138">
        <v>0</v>
      </c>
      <c r="HN96" s="172"/>
      <c r="HO96" s="140">
        <f t="shared" si="274"/>
        <v>0</v>
      </c>
      <c r="HP96" s="168">
        <f>SUM(HO93:HO96)</f>
        <v>0</v>
      </c>
      <c r="HQ96" s="528"/>
      <c r="HR96" s="151"/>
      <c r="HS96" s="152"/>
      <c r="HT96" s="145" t="s">
        <v>85</v>
      </c>
      <c r="HU96" s="138">
        <v>0</v>
      </c>
      <c r="HV96" s="172"/>
      <c r="HW96" s="140">
        <f t="shared" si="275"/>
        <v>0</v>
      </c>
      <c r="HX96" s="168">
        <f>SUM(HW93:HW96)</f>
        <v>0</v>
      </c>
      <c r="HY96" s="528"/>
      <c r="HZ96" s="151"/>
      <c r="IA96" s="152"/>
      <c r="IB96" s="145" t="s">
        <v>85</v>
      </c>
      <c r="IC96" s="138">
        <v>0</v>
      </c>
      <c r="ID96" s="172"/>
      <c r="IE96" s="140">
        <f t="shared" si="276"/>
        <v>0</v>
      </c>
      <c r="IF96" s="168">
        <f>SUM(IE93:IE96)</f>
        <v>0</v>
      </c>
      <c r="IG96" s="528"/>
      <c r="IH96" s="151"/>
      <c r="II96" s="152"/>
      <c r="IJ96" s="145" t="s">
        <v>85</v>
      </c>
      <c r="IK96" s="138">
        <v>0</v>
      </c>
      <c r="IL96" s="172"/>
      <c r="IM96" s="140">
        <f t="shared" si="277"/>
        <v>0</v>
      </c>
      <c r="IN96" s="168">
        <f>SUM(IM93:IM96)</f>
        <v>0</v>
      </c>
      <c r="IO96" s="528"/>
      <c r="IP96" s="151"/>
      <c r="IQ96" s="152"/>
      <c r="IR96" s="145" t="s">
        <v>85</v>
      </c>
      <c r="IS96" s="138">
        <v>0</v>
      </c>
      <c r="IT96" s="172"/>
      <c r="IU96" s="140">
        <f t="shared" si="278"/>
        <v>0</v>
      </c>
      <c r="IV96" s="168">
        <f>SUM(IU93:IU96)</f>
        <v>123.71066666666667</v>
      </c>
      <c r="IW96" s="528"/>
      <c r="IX96" s="151"/>
      <c r="IY96" s="152"/>
      <c r="IZ96" s="145" t="s">
        <v>85</v>
      </c>
      <c r="JA96" s="138">
        <v>0</v>
      </c>
      <c r="JB96" s="172"/>
      <c r="JC96" s="140">
        <f t="shared" si="279"/>
        <v>0</v>
      </c>
      <c r="JD96" s="168">
        <f>SUM(JC93:JC96)</f>
        <v>161.84066666666666</v>
      </c>
      <c r="JE96" s="528"/>
      <c r="JF96" s="151"/>
      <c r="JG96" s="152"/>
      <c r="JH96" s="145" t="s">
        <v>85</v>
      </c>
      <c r="JI96" s="138">
        <v>0</v>
      </c>
      <c r="JJ96" s="172"/>
      <c r="JK96" s="140">
        <f t="shared" si="280"/>
        <v>0</v>
      </c>
      <c r="JL96" s="168">
        <f>SUM(JK93:JK96)</f>
        <v>166.07733333333334</v>
      </c>
      <c r="JM96" s="528"/>
      <c r="JN96" s="151"/>
      <c r="JO96" s="152"/>
      <c r="JP96" s="145" t="s">
        <v>85</v>
      </c>
      <c r="JQ96" s="138">
        <v>0</v>
      </c>
      <c r="JR96" s="172"/>
      <c r="JS96" s="140">
        <f t="shared" si="281"/>
        <v>0</v>
      </c>
      <c r="JT96" s="168">
        <f>SUM(JS93:JS96)</f>
        <v>227.93266666666668</v>
      </c>
      <c r="JU96" s="528"/>
      <c r="JV96" s="151"/>
      <c r="JW96" s="152"/>
      <c r="JX96" s="145" t="s">
        <v>85</v>
      </c>
      <c r="JY96" s="138">
        <v>0</v>
      </c>
      <c r="JZ96" s="172"/>
      <c r="KA96" s="140">
        <f t="shared" si="282"/>
        <v>0</v>
      </c>
      <c r="KB96" s="168">
        <f>SUM(KA93:KA96)</f>
        <v>121.16866666666667</v>
      </c>
      <c r="KC96" s="528"/>
      <c r="KD96" s="151"/>
      <c r="KE96" s="152"/>
      <c r="KF96" s="145" t="s">
        <v>85</v>
      </c>
      <c r="KG96" s="138">
        <v>0</v>
      </c>
      <c r="KH96" s="172"/>
      <c r="KI96" s="140">
        <f t="shared" si="283"/>
        <v>0</v>
      </c>
      <c r="KJ96" s="168">
        <f>SUM(KI93:KI96)</f>
        <v>228.78</v>
      </c>
      <c r="KK96" s="528"/>
      <c r="KL96" s="151"/>
      <c r="KM96" s="152"/>
      <c r="KN96" s="145" t="s">
        <v>85</v>
      </c>
      <c r="KO96" s="138">
        <v>0</v>
      </c>
      <c r="KP96" s="172"/>
      <c r="KQ96" s="140">
        <f t="shared" si="284"/>
        <v>0</v>
      </c>
      <c r="KR96" s="168">
        <f>SUM(KQ93:KQ96)</f>
        <v>0</v>
      </c>
      <c r="KS96" s="528"/>
      <c r="KT96" s="151"/>
      <c r="KU96" s="152"/>
      <c r="KV96" s="145" t="s">
        <v>85</v>
      </c>
      <c r="KW96" s="138">
        <v>0</v>
      </c>
      <c r="KX96" s="172"/>
      <c r="KY96" s="140">
        <f t="shared" si="285"/>
        <v>0</v>
      </c>
      <c r="KZ96" s="168">
        <f>SUM(KY93:KY96)</f>
        <v>0</v>
      </c>
      <c r="LA96" s="528"/>
      <c r="LB96" s="151"/>
      <c r="LC96" s="152"/>
      <c r="LD96" s="145" t="s">
        <v>85</v>
      </c>
      <c r="LE96" s="138">
        <v>0</v>
      </c>
      <c r="LF96" s="172"/>
      <c r="LG96" s="140">
        <f t="shared" si="286"/>
        <v>0</v>
      </c>
      <c r="LH96" s="168">
        <f>SUM(LG93:LG96)</f>
        <v>0</v>
      </c>
      <c r="LI96" s="528"/>
      <c r="LJ96" s="151"/>
      <c r="LK96" s="152"/>
      <c r="LL96" s="145" t="s">
        <v>85</v>
      </c>
      <c r="LM96" s="175">
        <v>0</v>
      </c>
      <c r="LN96" s="164"/>
      <c r="LO96" s="140">
        <f t="shared" si="287"/>
        <v>0</v>
      </c>
      <c r="LP96" s="168">
        <f>SUM(LO93:LO96)</f>
        <v>0</v>
      </c>
      <c r="LQ96" s="528"/>
      <c r="LR96" s="151"/>
      <c r="LS96" s="152"/>
      <c r="LT96" s="145" t="s">
        <v>85</v>
      </c>
      <c r="LU96" s="175"/>
      <c r="LV96" s="164"/>
      <c r="LW96" s="140">
        <f t="shared" si="288"/>
        <v>0</v>
      </c>
      <c r="LX96" s="168">
        <f>SUM(LW93:LW96)</f>
        <v>0</v>
      </c>
      <c r="LY96" s="528"/>
      <c r="LZ96" s="151"/>
      <c r="MA96" s="152"/>
      <c r="MB96" s="145" t="s">
        <v>85</v>
      </c>
      <c r="MC96" s="175"/>
      <c r="MD96" s="164"/>
      <c r="ME96" s="140">
        <f t="shared" si="289"/>
        <v>0</v>
      </c>
      <c r="MF96" s="168">
        <f>SUM(ME93:ME96)</f>
        <v>8.4733333333333345</v>
      </c>
      <c r="MG96" s="528"/>
      <c r="MH96" s="151"/>
      <c r="MI96" s="152"/>
      <c r="MJ96" s="145" t="s">
        <v>85</v>
      </c>
      <c r="MK96" s="175"/>
      <c r="ML96" s="164"/>
      <c r="MM96" s="140">
        <f t="shared" si="290"/>
        <v>0</v>
      </c>
      <c r="MN96" s="168">
        <f>SUM(MM93:MM96)</f>
        <v>48.298000000000002</v>
      </c>
      <c r="MO96" s="528"/>
      <c r="MP96" s="151"/>
      <c r="MQ96" s="152"/>
      <c r="MR96" s="145" t="s">
        <v>85</v>
      </c>
      <c r="MS96" s="175"/>
      <c r="MT96" s="164"/>
      <c r="MU96" s="140">
        <f t="shared" si="291"/>
        <v>0</v>
      </c>
      <c r="MV96" s="168">
        <f>SUM(MU93:MU96)</f>
        <v>27.962000000000003</v>
      </c>
      <c r="MW96" s="528"/>
      <c r="MX96" s="145"/>
      <c r="MY96" s="146"/>
      <c r="MZ96" s="157" t="s">
        <v>78</v>
      </c>
      <c r="NA96" s="175">
        <v>47</v>
      </c>
      <c r="NB96" s="139">
        <v>2.5133333333333332</v>
      </c>
      <c r="NC96" s="140">
        <f t="shared" si="292"/>
        <v>118.12666666666667</v>
      </c>
      <c r="ND96" s="158"/>
      <c r="NE96" s="528"/>
      <c r="NF96" s="145"/>
      <c r="NG96" s="146"/>
      <c r="NH96" s="157" t="s">
        <v>78</v>
      </c>
      <c r="NI96" s="175">
        <v>1</v>
      </c>
      <c r="NJ96" s="139">
        <v>2.5133333333333332</v>
      </c>
      <c r="NK96" s="140">
        <f t="shared" si="293"/>
        <v>2.5133333333333332</v>
      </c>
      <c r="NL96" s="158"/>
      <c r="NM96" s="528"/>
      <c r="NN96" s="145"/>
      <c r="NO96" s="146"/>
      <c r="NP96" s="157" t="s">
        <v>78</v>
      </c>
      <c r="NQ96" s="175">
        <v>28</v>
      </c>
      <c r="NR96" s="139">
        <v>2.5133333333333332</v>
      </c>
      <c r="NS96" s="140">
        <f t="shared" si="294"/>
        <v>70.373333333333335</v>
      </c>
      <c r="NT96" s="158"/>
      <c r="NU96" s="528"/>
      <c r="NV96" s="145"/>
      <c r="NW96" s="146"/>
      <c r="NX96" s="157" t="s">
        <v>78</v>
      </c>
      <c r="NY96" s="175">
        <v>30</v>
      </c>
      <c r="NZ96" s="139">
        <v>2.5133333333333332</v>
      </c>
      <c r="OA96" s="140">
        <f t="shared" si="295"/>
        <v>75.399999999999991</v>
      </c>
      <c r="OB96" s="158"/>
      <c r="OC96" s="528"/>
      <c r="OD96" s="145"/>
      <c r="OE96" s="146"/>
      <c r="OF96" s="157" t="s">
        <v>78</v>
      </c>
      <c r="OG96" s="175">
        <v>60</v>
      </c>
      <c r="OH96" s="139">
        <v>2.5133333333333332</v>
      </c>
      <c r="OI96" s="140">
        <f t="shared" si="296"/>
        <v>150.79999999999998</v>
      </c>
      <c r="OJ96" s="158"/>
      <c r="OK96" s="528"/>
      <c r="OL96" s="145"/>
      <c r="OM96" s="146"/>
      <c r="ON96" s="157" t="s">
        <v>78</v>
      </c>
      <c r="OO96" s="175">
        <v>8</v>
      </c>
      <c r="OP96" s="139">
        <v>2.5133333333333332</v>
      </c>
      <c r="OQ96" s="140">
        <f t="shared" si="297"/>
        <v>20.106666666666666</v>
      </c>
      <c r="OR96" s="158"/>
      <c r="OS96" s="528"/>
      <c r="OT96" s="145"/>
      <c r="OU96" s="146"/>
      <c r="OV96" s="157" t="s">
        <v>78</v>
      </c>
      <c r="OW96" s="175"/>
      <c r="OX96" s="139">
        <v>2.5133333333333332</v>
      </c>
      <c r="OY96" s="140">
        <f t="shared" si="298"/>
        <v>0</v>
      </c>
      <c r="OZ96" s="158"/>
      <c r="PA96" s="528"/>
      <c r="PB96" s="145"/>
      <c r="PC96" s="146"/>
      <c r="PD96" s="157" t="s">
        <v>78</v>
      </c>
      <c r="PE96" s="175"/>
      <c r="PF96" s="139">
        <v>2.5133333333333332</v>
      </c>
      <c r="PG96" s="140">
        <f t="shared" si="299"/>
        <v>0</v>
      </c>
      <c r="PH96" s="158"/>
      <c r="PI96" s="528"/>
      <c r="PJ96" s="145"/>
      <c r="PK96" s="146"/>
      <c r="PL96" s="157" t="s">
        <v>78</v>
      </c>
      <c r="PM96" s="175">
        <v>1</v>
      </c>
      <c r="PN96" s="139">
        <v>2.5133333333333332</v>
      </c>
      <c r="PO96" s="140">
        <f t="shared" si="300"/>
        <v>2.5133333333333332</v>
      </c>
      <c r="PP96" s="158"/>
      <c r="PQ96" s="528"/>
      <c r="PR96" s="145"/>
      <c r="PS96" s="146"/>
      <c r="PT96" s="157" t="s">
        <v>78</v>
      </c>
      <c r="PU96" s="175"/>
      <c r="PV96" s="139">
        <v>2.5133333333333332</v>
      </c>
      <c r="PW96" s="140">
        <f t="shared" si="301"/>
        <v>0</v>
      </c>
      <c r="PX96" s="158"/>
      <c r="PY96" s="528"/>
      <c r="PZ96" s="145"/>
      <c r="QA96" s="146"/>
      <c r="QB96" s="157" t="s">
        <v>78</v>
      </c>
      <c r="QC96" s="175"/>
      <c r="QD96" s="139">
        <v>2.5133333333333332</v>
      </c>
      <c r="QE96" s="140">
        <f t="shared" si="302"/>
        <v>0</v>
      </c>
      <c r="QF96" s="158"/>
      <c r="QG96" s="528"/>
      <c r="QH96" s="145"/>
      <c r="QI96" s="146"/>
      <c r="QJ96" s="157" t="s">
        <v>78</v>
      </c>
      <c r="QK96" s="175"/>
      <c r="QL96" s="139">
        <v>2.5133333333333332</v>
      </c>
      <c r="QM96" s="140">
        <f t="shared" si="303"/>
        <v>0</v>
      </c>
      <c r="QN96" s="158"/>
      <c r="QO96" s="528"/>
      <c r="QP96" s="145"/>
      <c r="QQ96" s="146"/>
      <c r="QR96" s="157" t="s">
        <v>78</v>
      </c>
      <c r="QS96" s="175">
        <v>1</v>
      </c>
      <c r="QT96" s="139">
        <v>2.5133333333333332</v>
      </c>
      <c r="QU96" s="140">
        <f t="shared" si="304"/>
        <v>2.5133333333333332</v>
      </c>
      <c r="QV96" s="158"/>
      <c r="QW96" s="528"/>
      <c r="QX96" s="145"/>
      <c r="QY96" s="146"/>
      <c r="QZ96" s="157" t="s">
        <v>78</v>
      </c>
      <c r="RA96" s="175"/>
      <c r="RB96" s="139">
        <v>2.5133333333333332</v>
      </c>
      <c r="RC96" s="140">
        <f t="shared" si="305"/>
        <v>0</v>
      </c>
      <c r="RD96" s="158"/>
      <c r="RE96" s="528"/>
      <c r="RF96" s="145"/>
      <c r="RG96" s="146"/>
      <c r="RH96" s="157" t="s">
        <v>78</v>
      </c>
      <c r="RI96" s="175"/>
      <c r="RJ96" s="139">
        <v>2.5133333333333332</v>
      </c>
      <c r="RK96" s="140">
        <f t="shared" si="306"/>
        <v>0</v>
      </c>
      <c r="RL96" s="158"/>
      <c r="RM96" s="528"/>
      <c r="RN96" s="145"/>
      <c r="RO96" s="146"/>
      <c r="RP96" s="157" t="s">
        <v>78</v>
      </c>
      <c r="RQ96" s="175">
        <v>7</v>
      </c>
      <c r="RR96" s="139">
        <v>2.5133333333333332</v>
      </c>
      <c r="RS96" s="140">
        <f t="shared" si="307"/>
        <v>17.593333333333334</v>
      </c>
      <c r="RT96" s="158"/>
      <c r="RU96" s="528"/>
      <c r="RV96" s="145"/>
      <c r="RW96" s="146"/>
      <c r="RX96" s="157" t="s">
        <v>78</v>
      </c>
      <c r="RY96" s="175">
        <v>4</v>
      </c>
      <c r="RZ96" s="139">
        <v>2.5133333333333332</v>
      </c>
      <c r="SA96" s="140">
        <f t="shared" si="308"/>
        <v>10.053333333333333</v>
      </c>
      <c r="SB96" s="158"/>
      <c r="SC96" s="528"/>
      <c r="SD96" s="145"/>
      <c r="SE96" s="146"/>
      <c r="SF96" s="157" t="s">
        <v>78</v>
      </c>
      <c r="SG96" s="175">
        <v>13</v>
      </c>
      <c r="SH96" s="139">
        <v>2.5133333333333332</v>
      </c>
      <c r="SI96" s="140">
        <f t="shared" si="309"/>
        <v>32.673333333333332</v>
      </c>
      <c r="SJ96" s="158"/>
      <c r="SK96" s="528"/>
      <c r="SL96" s="145"/>
      <c r="SM96" s="146"/>
      <c r="SN96" s="157" t="s">
        <v>78</v>
      </c>
      <c r="SO96" s="175">
        <v>2</v>
      </c>
      <c r="SP96" s="139">
        <v>2.5133333333333332</v>
      </c>
      <c r="SQ96" s="140">
        <f t="shared" si="310"/>
        <v>5.0266666666666664</v>
      </c>
      <c r="SR96" s="158"/>
      <c r="SS96" s="528"/>
      <c r="ST96" s="145"/>
      <c r="SU96" s="146"/>
      <c r="SV96" s="157" t="s">
        <v>78</v>
      </c>
      <c r="SW96" s="175">
        <v>47</v>
      </c>
      <c r="SX96" s="139">
        <v>2.5133333333333332</v>
      </c>
      <c r="SY96" s="140">
        <f t="shared" si="311"/>
        <v>118.12666666666667</v>
      </c>
      <c r="SZ96" s="158"/>
      <c r="TA96" s="528"/>
      <c r="TB96" s="145"/>
      <c r="TC96" s="146"/>
      <c r="TD96" s="157" t="s">
        <v>78</v>
      </c>
      <c r="TE96" s="175">
        <v>21</v>
      </c>
      <c r="TF96" s="139">
        <v>2.5133333333333332</v>
      </c>
      <c r="TG96" s="140">
        <f t="shared" si="312"/>
        <v>52.779999999999994</v>
      </c>
      <c r="TH96" s="158"/>
      <c r="TI96" s="528"/>
    </row>
    <row r="97" spans="2:529">
      <c r="B97" s="143" t="s">
        <v>87</v>
      </c>
      <c r="C97" s="163">
        <v>2</v>
      </c>
      <c r="D97" s="157" t="s">
        <v>14</v>
      </c>
      <c r="E97" s="138">
        <v>18</v>
      </c>
      <c r="F97" s="172">
        <v>0.75312500000000004</v>
      </c>
      <c r="G97" s="140">
        <f t="shared" si="247"/>
        <v>13.55625</v>
      </c>
      <c r="H97" s="168">
        <f>E97*F97</f>
        <v>13.55625</v>
      </c>
      <c r="I97" s="528"/>
      <c r="J97" s="143" t="s">
        <v>87</v>
      </c>
      <c r="K97" s="163"/>
      <c r="L97" s="157" t="s">
        <v>14</v>
      </c>
      <c r="M97" s="138">
        <v>0</v>
      </c>
      <c r="N97" s="172">
        <v>0.75312500000000004</v>
      </c>
      <c r="O97" s="140">
        <f t="shared" si="248"/>
        <v>0</v>
      </c>
      <c r="P97" s="168">
        <f>M97*N97</f>
        <v>0</v>
      </c>
      <c r="Q97" s="528"/>
      <c r="R97" s="143" t="s">
        <v>87</v>
      </c>
      <c r="S97" s="163">
        <v>2</v>
      </c>
      <c r="T97" s="157" t="s">
        <v>14</v>
      </c>
      <c r="U97" s="138">
        <v>10</v>
      </c>
      <c r="V97" s="172">
        <v>0.75312500000000004</v>
      </c>
      <c r="W97" s="140">
        <f t="shared" si="249"/>
        <v>7.53125</v>
      </c>
      <c r="X97" s="168">
        <f>U97*V97</f>
        <v>7.53125</v>
      </c>
      <c r="Y97" s="528"/>
      <c r="Z97" s="143" t="s">
        <v>87</v>
      </c>
      <c r="AA97" s="163"/>
      <c r="AB97" s="157" t="s">
        <v>14</v>
      </c>
      <c r="AC97" s="138">
        <v>0</v>
      </c>
      <c r="AD97" s="172">
        <v>0.75312500000000004</v>
      </c>
      <c r="AE97" s="140">
        <f t="shared" si="250"/>
        <v>0</v>
      </c>
      <c r="AF97" s="168">
        <f>AC97*AD97</f>
        <v>0</v>
      </c>
      <c r="AG97" s="528"/>
      <c r="AH97" s="143" t="s">
        <v>87</v>
      </c>
      <c r="AI97" s="163"/>
      <c r="AJ97" s="157" t="s">
        <v>14</v>
      </c>
      <c r="AK97" s="138">
        <v>0</v>
      </c>
      <c r="AL97" s="172">
        <v>0.75312500000000004</v>
      </c>
      <c r="AM97" s="140">
        <f t="shared" si="251"/>
        <v>0</v>
      </c>
      <c r="AN97" s="168">
        <f>AK97*AL97</f>
        <v>0</v>
      </c>
      <c r="AO97" s="528"/>
      <c r="AP97" s="143" t="s">
        <v>87</v>
      </c>
      <c r="AQ97" s="163"/>
      <c r="AR97" s="157" t="s">
        <v>14</v>
      </c>
      <c r="AS97" s="138">
        <v>0</v>
      </c>
      <c r="AT97" s="172">
        <v>0.75312500000000004</v>
      </c>
      <c r="AU97" s="140">
        <f t="shared" si="252"/>
        <v>0</v>
      </c>
      <c r="AV97" s="168">
        <f>AS97*AT97</f>
        <v>0</v>
      </c>
      <c r="AW97" s="528"/>
      <c r="AX97" s="143" t="s">
        <v>87</v>
      </c>
      <c r="AY97" s="163"/>
      <c r="AZ97" s="157" t="s">
        <v>14</v>
      </c>
      <c r="BA97" s="138"/>
      <c r="BB97" s="172">
        <v>0.75312500000000004</v>
      </c>
      <c r="BC97" s="140">
        <f t="shared" si="253"/>
        <v>0</v>
      </c>
      <c r="BD97" s="168">
        <f>BA97*BB97</f>
        <v>0</v>
      </c>
      <c r="BE97" s="528"/>
      <c r="BF97" s="143" t="s">
        <v>87</v>
      </c>
      <c r="BG97" s="163">
        <v>4</v>
      </c>
      <c r="BH97" s="157" t="s">
        <v>14</v>
      </c>
      <c r="BI97" s="138">
        <v>138</v>
      </c>
      <c r="BJ97" s="172">
        <v>0.75312500000000004</v>
      </c>
      <c r="BK97" s="140">
        <f t="shared" si="254"/>
        <v>103.93125000000001</v>
      </c>
      <c r="BL97" s="168">
        <f>BI97*BJ97</f>
        <v>103.93125000000001</v>
      </c>
      <c r="BM97" s="528"/>
      <c r="BN97" s="143" t="s">
        <v>87</v>
      </c>
      <c r="BO97" s="163">
        <v>7</v>
      </c>
      <c r="BP97" s="157" t="s">
        <v>14</v>
      </c>
      <c r="BQ97" s="138">
        <v>1227</v>
      </c>
      <c r="BR97" s="172">
        <v>0.75312500000000004</v>
      </c>
      <c r="BS97" s="140">
        <f t="shared" si="255"/>
        <v>924.08437500000002</v>
      </c>
      <c r="BT97" s="168">
        <f>BQ97*BR97</f>
        <v>924.08437500000002</v>
      </c>
      <c r="BU97" s="528"/>
      <c r="BV97" s="564" t="s">
        <v>87</v>
      </c>
      <c r="BW97" s="579"/>
      <c r="BX97" s="574" t="s">
        <v>14</v>
      </c>
      <c r="BY97" s="560"/>
      <c r="BZ97" s="587">
        <v>0.75312500000000004</v>
      </c>
      <c r="CA97" s="562">
        <f t="shared" si="256"/>
        <v>0</v>
      </c>
      <c r="CB97" s="548">
        <f>BY97*BZ97</f>
        <v>0</v>
      </c>
      <c r="CC97" s="528"/>
      <c r="CD97" s="564" t="s">
        <v>87</v>
      </c>
      <c r="CE97" s="579"/>
      <c r="CF97" s="574" t="s">
        <v>14</v>
      </c>
      <c r="CG97" s="560"/>
      <c r="CH97" s="587">
        <v>0.75312500000000004</v>
      </c>
      <c r="CI97" s="562">
        <f t="shared" si="257"/>
        <v>0</v>
      </c>
      <c r="CJ97" s="548">
        <f>CG97*CH97</f>
        <v>0</v>
      </c>
      <c r="CK97" s="528"/>
      <c r="CL97" s="143" t="s">
        <v>87</v>
      </c>
      <c r="CM97" s="163"/>
      <c r="CN97" s="157" t="s">
        <v>14</v>
      </c>
      <c r="CO97" s="138"/>
      <c r="CP97" s="172">
        <v>0.75312500000000004</v>
      </c>
      <c r="CQ97" s="140">
        <f t="shared" si="258"/>
        <v>0</v>
      </c>
      <c r="CR97" s="168">
        <f>CO97*CP97</f>
        <v>0</v>
      </c>
      <c r="CS97" s="528"/>
      <c r="CT97" s="143" t="s">
        <v>87</v>
      </c>
      <c r="CU97" s="163">
        <v>1</v>
      </c>
      <c r="CV97" s="157" t="s">
        <v>14</v>
      </c>
      <c r="CW97" s="138">
        <v>25</v>
      </c>
      <c r="CX97" s="172">
        <v>0.75312500000000004</v>
      </c>
      <c r="CY97" s="140">
        <f t="shared" si="259"/>
        <v>18.828125</v>
      </c>
      <c r="CZ97" s="168">
        <f>CW97*CX97</f>
        <v>18.828125</v>
      </c>
      <c r="DA97" s="528"/>
      <c r="DB97" s="143" t="s">
        <v>87</v>
      </c>
      <c r="DC97" s="163"/>
      <c r="DD97" s="157" t="s">
        <v>14</v>
      </c>
      <c r="DE97" s="138"/>
      <c r="DF97" s="172">
        <v>0.75312500000000004</v>
      </c>
      <c r="DG97" s="140">
        <f t="shared" si="260"/>
        <v>0</v>
      </c>
      <c r="DH97" s="168">
        <f>DE97*DF97</f>
        <v>0</v>
      </c>
      <c r="DI97" s="528"/>
      <c r="DJ97" s="143" t="s">
        <v>87</v>
      </c>
      <c r="DK97" s="163"/>
      <c r="DL97" s="157" t="s">
        <v>14</v>
      </c>
      <c r="DM97" s="138">
        <v>0</v>
      </c>
      <c r="DN97" s="172">
        <v>0.75312500000000004</v>
      </c>
      <c r="DO97" s="140">
        <f t="shared" si="261"/>
        <v>0</v>
      </c>
      <c r="DP97" s="168">
        <f>DM97*DN97</f>
        <v>0</v>
      </c>
      <c r="DQ97" s="528"/>
      <c r="DR97" s="143" t="s">
        <v>87</v>
      </c>
      <c r="DS97" s="163">
        <v>0</v>
      </c>
      <c r="DT97" s="157" t="s">
        <v>14</v>
      </c>
      <c r="DU97" s="138">
        <v>0</v>
      </c>
      <c r="DV97" s="172">
        <v>0.75312500000000004</v>
      </c>
      <c r="DW97" s="140">
        <f t="shared" si="262"/>
        <v>0</v>
      </c>
      <c r="DX97" s="168">
        <f>DU97*DV97</f>
        <v>0</v>
      </c>
      <c r="DY97" s="528"/>
      <c r="DZ97" s="143" t="s">
        <v>87</v>
      </c>
      <c r="EA97" s="163">
        <v>6</v>
      </c>
      <c r="EB97" s="157" t="s">
        <v>14</v>
      </c>
      <c r="EC97" s="138">
        <v>28</v>
      </c>
      <c r="ED97" s="172">
        <v>0.75312500000000004</v>
      </c>
      <c r="EE97" s="140">
        <f t="shared" si="263"/>
        <v>21.087500000000002</v>
      </c>
      <c r="EF97" s="168">
        <f>EC97*ED97</f>
        <v>21.087500000000002</v>
      </c>
      <c r="EG97" s="528"/>
      <c r="EH97" s="143" t="s">
        <v>87</v>
      </c>
      <c r="EI97" s="163">
        <v>1</v>
      </c>
      <c r="EJ97" s="157" t="s">
        <v>14</v>
      </c>
      <c r="EK97" s="138">
        <v>36</v>
      </c>
      <c r="EL97" s="172">
        <v>0.75312500000000004</v>
      </c>
      <c r="EM97" s="140">
        <f t="shared" si="264"/>
        <v>27.112500000000001</v>
      </c>
      <c r="EN97" s="168">
        <f>EK97*EL97</f>
        <v>27.112500000000001</v>
      </c>
      <c r="EO97" s="528"/>
      <c r="EP97" s="143" t="s">
        <v>87</v>
      </c>
      <c r="EQ97" s="163">
        <v>28</v>
      </c>
      <c r="ER97" s="157" t="s">
        <v>14</v>
      </c>
      <c r="ES97" s="138">
        <v>841</v>
      </c>
      <c r="ET97" s="172">
        <v>0.75312500000000004</v>
      </c>
      <c r="EU97" s="140">
        <f t="shared" si="265"/>
        <v>633.37812500000007</v>
      </c>
      <c r="EV97" s="168">
        <f>ES97*ET97</f>
        <v>633.37812500000007</v>
      </c>
      <c r="EW97" s="528"/>
      <c r="EX97" s="143" t="s">
        <v>87</v>
      </c>
      <c r="EY97" s="163"/>
      <c r="EZ97" s="157" t="s">
        <v>14</v>
      </c>
      <c r="FA97" s="138"/>
      <c r="FB97" s="172">
        <v>0.75312500000000004</v>
      </c>
      <c r="FC97" s="140">
        <f t="shared" si="266"/>
        <v>0</v>
      </c>
      <c r="FD97" s="168">
        <f>FA97*FB97</f>
        <v>0</v>
      </c>
      <c r="FE97" s="528"/>
      <c r="FF97" s="143" t="s">
        <v>87</v>
      </c>
      <c r="FG97" s="163"/>
      <c r="FH97" s="157" t="s">
        <v>14</v>
      </c>
      <c r="FI97" s="138"/>
      <c r="FJ97" s="172">
        <v>0.75312500000000004</v>
      </c>
      <c r="FK97" s="140">
        <f t="shared" si="267"/>
        <v>0</v>
      </c>
      <c r="FL97" s="168">
        <f>FI97*FJ97</f>
        <v>0</v>
      </c>
      <c r="FM97" s="528"/>
      <c r="FN97" s="143" t="s">
        <v>87</v>
      </c>
      <c r="FO97" s="163"/>
      <c r="FP97" s="157" t="s">
        <v>14</v>
      </c>
      <c r="FQ97" s="138"/>
      <c r="FR97" s="172">
        <v>0.75312500000000004</v>
      </c>
      <c r="FS97" s="140">
        <f t="shared" si="268"/>
        <v>0</v>
      </c>
      <c r="FT97" s="168">
        <f>FQ97*FR97</f>
        <v>0</v>
      </c>
      <c r="FU97" s="528"/>
      <c r="FV97" s="143" t="s">
        <v>87</v>
      </c>
      <c r="FW97" s="163"/>
      <c r="FX97" s="157" t="s">
        <v>14</v>
      </c>
      <c r="FY97" s="138"/>
      <c r="FZ97" s="172">
        <v>0.75312500000000004</v>
      </c>
      <c r="GA97" s="140">
        <f t="shared" si="269"/>
        <v>0</v>
      </c>
      <c r="GB97" s="168">
        <f>FY97*FZ97</f>
        <v>0</v>
      </c>
      <c r="GC97" s="528"/>
      <c r="GD97" s="143" t="s">
        <v>87</v>
      </c>
      <c r="GE97" s="163"/>
      <c r="GF97" s="157" t="s">
        <v>14</v>
      </c>
      <c r="GG97" s="138"/>
      <c r="GH97" s="172">
        <v>0.75312500000000004</v>
      </c>
      <c r="GI97" s="140">
        <f t="shared" si="270"/>
        <v>0</v>
      </c>
      <c r="GJ97" s="168">
        <f>GG97*GH97</f>
        <v>0</v>
      </c>
      <c r="GK97" s="528"/>
      <c r="GL97" s="143" t="s">
        <v>87</v>
      </c>
      <c r="GM97" s="163">
        <v>1</v>
      </c>
      <c r="GN97" s="157" t="s">
        <v>14</v>
      </c>
      <c r="GO97" s="138">
        <f>'[1]Jan_18_Vol weekly-Data-Entry'!$AM$226</f>
        <v>0</v>
      </c>
      <c r="GP97" s="172">
        <v>0.75312500000000004</v>
      </c>
      <c r="GQ97" s="140">
        <f t="shared" si="271"/>
        <v>0</v>
      </c>
      <c r="GR97" s="168">
        <f>GO97*GP97</f>
        <v>0</v>
      </c>
      <c r="GS97" s="528"/>
      <c r="GT97" s="143" t="s">
        <v>87</v>
      </c>
      <c r="GU97" s="163">
        <v>0</v>
      </c>
      <c r="GV97" s="157" t="s">
        <v>14</v>
      </c>
      <c r="GW97" s="138">
        <v>0</v>
      </c>
      <c r="GX97" s="172">
        <v>0.75312500000000004</v>
      </c>
      <c r="GY97" s="140">
        <f t="shared" si="272"/>
        <v>0</v>
      </c>
      <c r="GZ97" s="168">
        <f>GW97*GX97</f>
        <v>0</v>
      </c>
      <c r="HA97" s="528"/>
      <c r="HB97" s="143" t="s">
        <v>87</v>
      </c>
      <c r="HC97" s="163">
        <v>0</v>
      </c>
      <c r="HD97" s="157" t="s">
        <v>14</v>
      </c>
      <c r="HE97" s="138">
        <v>0</v>
      </c>
      <c r="HF97" s="172">
        <v>0.75312500000000004</v>
      </c>
      <c r="HG97" s="140">
        <f t="shared" si="273"/>
        <v>0</v>
      </c>
      <c r="HH97" s="168">
        <f>HE97*HF97</f>
        <v>0</v>
      </c>
      <c r="HI97" s="528"/>
      <c r="HJ97" s="143" t="s">
        <v>87</v>
      </c>
      <c r="HK97" s="163">
        <v>0</v>
      </c>
      <c r="HL97" s="157" t="s">
        <v>14</v>
      </c>
      <c r="HM97" s="138">
        <v>0</v>
      </c>
      <c r="HN97" s="172">
        <v>0.75312500000000004</v>
      </c>
      <c r="HO97" s="140">
        <f t="shared" si="274"/>
        <v>0</v>
      </c>
      <c r="HP97" s="168">
        <f>HM97*HN97</f>
        <v>0</v>
      </c>
      <c r="HQ97" s="528"/>
      <c r="HR97" s="143" t="s">
        <v>87</v>
      </c>
      <c r="HS97" s="163">
        <v>0</v>
      </c>
      <c r="HT97" s="157" t="s">
        <v>14</v>
      </c>
      <c r="HU97" s="138">
        <v>0</v>
      </c>
      <c r="HV97" s="172">
        <v>0.75312500000000004</v>
      </c>
      <c r="HW97" s="140">
        <f t="shared" si="275"/>
        <v>0</v>
      </c>
      <c r="HX97" s="168">
        <f>HU97*HV97</f>
        <v>0</v>
      </c>
      <c r="HY97" s="528"/>
      <c r="HZ97" s="143" t="s">
        <v>87</v>
      </c>
      <c r="IA97" s="163">
        <v>2</v>
      </c>
      <c r="IB97" s="157" t="s">
        <v>14</v>
      </c>
      <c r="IC97" s="138">
        <v>6</v>
      </c>
      <c r="ID97" s="172">
        <v>0.75312500000000004</v>
      </c>
      <c r="IE97" s="140">
        <f t="shared" si="276"/>
        <v>4.5187500000000007</v>
      </c>
      <c r="IF97" s="168">
        <f>IC97*ID97</f>
        <v>4.5187500000000007</v>
      </c>
      <c r="IG97" s="528"/>
      <c r="IH97" s="143" t="s">
        <v>87</v>
      </c>
      <c r="II97" s="163">
        <v>2</v>
      </c>
      <c r="IJ97" s="157" t="s">
        <v>14</v>
      </c>
      <c r="IK97" s="138">
        <v>17</v>
      </c>
      <c r="IL97" s="172">
        <v>0.75312500000000004</v>
      </c>
      <c r="IM97" s="140">
        <f t="shared" si="277"/>
        <v>12.803125000000001</v>
      </c>
      <c r="IN97" s="168">
        <f>IK97*IL97</f>
        <v>12.803125000000001</v>
      </c>
      <c r="IO97" s="528"/>
      <c r="IP97" s="143" t="s">
        <v>87</v>
      </c>
      <c r="IQ97" s="163">
        <v>17</v>
      </c>
      <c r="IR97" s="157" t="s">
        <v>14</v>
      </c>
      <c r="IS97" s="138">
        <v>342</v>
      </c>
      <c r="IT97" s="172">
        <v>0.75312500000000004</v>
      </c>
      <c r="IU97" s="140">
        <f t="shared" si="278"/>
        <v>257.56875000000002</v>
      </c>
      <c r="IV97" s="168">
        <f>IS97*IT97</f>
        <v>257.56875000000002</v>
      </c>
      <c r="IW97" s="528"/>
      <c r="IX97" s="143" t="s">
        <v>87</v>
      </c>
      <c r="IY97" s="163">
        <v>4</v>
      </c>
      <c r="IZ97" s="157" t="s">
        <v>14</v>
      </c>
      <c r="JA97" s="138">
        <v>28</v>
      </c>
      <c r="JB97" s="172">
        <v>0.75312500000000004</v>
      </c>
      <c r="JC97" s="140">
        <f t="shared" si="279"/>
        <v>21.087500000000002</v>
      </c>
      <c r="JD97" s="168">
        <f>JA97*JB97</f>
        <v>21.087500000000002</v>
      </c>
      <c r="JE97" s="528"/>
      <c r="JF97" s="143" t="s">
        <v>87</v>
      </c>
      <c r="JG97" s="163">
        <v>3</v>
      </c>
      <c r="JH97" s="157" t="s">
        <v>14</v>
      </c>
      <c r="JI97" s="138">
        <v>16</v>
      </c>
      <c r="JJ97" s="172">
        <v>0.75312500000000004</v>
      </c>
      <c r="JK97" s="140">
        <f t="shared" si="280"/>
        <v>12.05</v>
      </c>
      <c r="JL97" s="168">
        <f>JI97*JJ97</f>
        <v>12.05</v>
      </c>
      <c r="JM97" s="528"/>
      <c r="JN97" s="143" t="s">
        <v>87</v>
      </c>
      <c r="JO97" s="163">
        <v>6</v>
      </c>
      <c r="JP97" s="157" t="s">
        <v>14</v>
      </c>
      <c r="JQ97" s="138">
        <v>348</v>
      </c>
      <c r="JR97" s="172">
        <v>0.75312500000000004</v>
      </c>
      <c r="JS97" s="140">
        <f t="shared" si="281"/>
        <v>262.08750000000003</v>
      </c>
      <c r="JT97" s="168">
        <f>JQ97*JR97</f>
        <v>262.08750000000003</v>
      </c>
      <c r="JU97" s="528"/>
      <c r="JV97" s="143" t="s">
        <v>87</v>
      </c>
      <c r="JW97" s="163">
        <v>25</v>
      </c>
      <c r="JX97" s="157" t="s">
        <v>14</v>
      </c>
      <c r="JY97" s="138">
        <v>323</v>
      </c>
      <c r="JZ97" s="172">
        <v>0.75312500000000004</v>
      </c>
      <c r="KA97" s="140">
        <f t="shared" si="282"/>
        <v>243.25937500000001</v>
      </c>
      <c r="KB97" s="168">
        <f>JY97*JZ97</f>
        <v>243.25937500000001</v>
      </c>
      <c r="KC97" s="528"/>
      <c r="KD97" s="143" t="s">
        <v>87</v>
      </c>
      <c r="KE97" s="163">
        <v>3</v>
      </c>
      <c r="KF97" s="157" t="s">
        <v>14</v>
      </c>
      <c r="KG97" s="138">
        <v>37</v>
      </c>
      <c r="KH97" s="172">
        <v>0.75312500000000004</v>
      </c>
      <c r="KI97" s="140">
        <f t="shared" si="283"/>
        <v>27.865625000000001</v>
      </c>
      <c r="KJ97" s="168">
        <f>KG97*KH97</f>
        <v>27.865625000000001</v>
      </c>
      <c r="KK97" s="528"/>
      <c r="KL97" s="143" t="s">
        <v>87</v>
      </c>
      <c r="KM97" s="163">
        <v>0</v>
      </c>
      <c r="KN97" s="157" t="s">
        <v>14</v>
      </c>
      <c r="KO97" s="138">
        <v>0</v>
      </c>
      <c r="KP97" s="172">
        <v>0.75312500000000004</v>
      </c>
      <c r="KQ97" s="140">
        <f t="shared" si="284"/>
        <v>0</v>
      </c>
      <c r="KR97" s="168">
        <f>KO97*KP97</f>
        <v>0</v>
      </c>
      <c r="KS97" s="528"/>
      <c r="KT97" s="143" t="s">
        <v>87</v>
      </c>
      <c r="KU97" s="163">
        <v>0</v>
      </c>
      <c r="KV97" s="157" t="s">
        <v>14</v>
      </c>
      <c r="KW97" s="138">
        <v>0</v>
      </c>
      <c r="KX97" s="172">
        <v>0.75312500000000004</v>
      </c>
      <c r="KY97" s="140">
        <f t="shared" si="285"/>
        <v>0</v>
      </c>
      <c r="KZ97" s="168">
        <f>KW97*KX97</f>
        <v>0</v>
      </c>
      <c r="LA97" s="528"/>
      <c r="LB97" s="143" t="s">
        <v>87</v>
      </c>
      <c r="LC97" s="163">
        <v>0</v>
      </c>
      <c r="LD97" s="157" t="s">
        <v>14</v>
      </c>
      <c r="LE97" s="138">
        <v>0</v>
      </c>
      <c r="LF97" s="172">
        <v>0.75312500000000004</v>
      </c>
      <c r="LG97" s="140">
        <f t="shared" si="286"/>
        <v>0</v>
      </c>
      <c r="LH97" s="168">
        <f>LE97*LF97</f>
        <v>0</v>
      </c>
      <c r="LI97" s="528"/>
      <c r="LJ97" s="143" t="s">
        <v>87</v>
      </c>
      <c r="LK97" s="163">
        <v>0</v>
      </c>
      <c r="LL97" s="157" t="s">
        <v>14</v>
      </c>
      <c r="LM97" s="175">
        <v>0</v>
      </c>
      <c r="LN97" s="164">
        <v>0.75312500000000004</v>
      </c>
      <c r="LO97" s="140">
        <f t="shared" si="287"/>
        <v>0</v>
      </c>
      <c r="LP97" s="168">
        <f>LM97*LN97</f>
        <v>0</v>
      </c>
      <c r="LQ97" s="528"/>
      <c r="LR97" s="143" t="s">
        <v>87</v>
      </c>
      <c r="LS97" s="163">
        <v>3</v>
      </c>
      <c r="LT97" s="157" t="s">
        <v>14</v>
      </c>
      <c r="LU97" s="175">
        <v>12</v>
      </c>
      <c r="LV97" s="164">
        <v>0.75312500000000004</v>
      </c>
      <c r="LW97" s="140">
        <f t="shared" si="288"/>
        <v>9.0375000000000014</v>
      </c>
      <c r="LX97" s="168">
        <f>LU97*LV97</f>
        <v>9.0375000000000014</v>
      </c>
      <c r="LY97" s="528"/>
      <c r="LZ97" s="143" t="s">
        <v>87</v>
      </c>
      <c r="MA97" s="163">
        <v>4</v>
      </c>
      <c r="MB97" s="157" t="s">
        <v>14</v>
      </c>
      <c r="MC97" s="175">
        <v>26</v>
      </c>
      <c r="MD97" s="164">
        <v>0.75312500000000004</v>
      </c>
      <c r="ME97" s="140">
        <f t="shared" si="289"/>
        <v>19.581250000000001</v>
      </c>
      <c r="MF97" s="168">
        <f>MC97*MD97</f>
        <v>19.581250000000001</v>
      </c>
      <c r="MG97" s="528"/>
      <c r="MH97" s="143" t="s">
        <v>87</v>
      </c>
      <c r="MI97" s="163">
        <v>6</v>
      </c>
      <c r="MJ97" s="157" t="s">
        <v>14</v>
      </c>
      <c r="MK97" s="175">
        <v>68</v>
      </c>
      <c r="ML97" s="164">
        <v>0.75312500000000004</v>
      </c>
      <c r="MM97" s="140">
        <f t="shared" si="290"/>
        <v>51.212500000000006</v>
      </c>
      <c r="MN97" s="168">
        <f>MK97*ML97</f>
        <v>51.212500000000006</v>
      </c>
      <c r="MO97" s="528"/>
      <c r="MP97" s="143" t="s">
        <v>87</v>
      </c>
      <c r="MQ97" s="163">
        <v>1</v>
      </c>
      <c r="MR97" s="157" t="s">
        <v>14</v>
      </c>
      <c r="MS97" s="175">
        <v>2</v>
      </c>
      <c r="MT97" s="164">
        <v>0.75312500000000004</v>
      </c>
      <c r="MU97" s="140">
        <f t="shared" si="291"/>
        <v>1.5062500000000001</v>
      </c>
      <c r="MV97" s="168">
        <f>MS97*MT97</f>
        <v>1.5062500000000001</v>
      </c>
      <c r="MW97" s="528"/>
      <c r="MX97" s="145"/>
      <c r="MY97" s="146"/>
      <c r="MZ97" s="157" t="s">
        <v>79</v>
      </c>
      <c r="NA97" s="175">
        <v>999</v>
      </c>
      <c r="NB97" s="139">
        <v>1.4800000000000002</v>
      </c>
      <c r="NC97" s="140">
        <f t="shared" si="292"/>
        <v>1478.5200000000002</v>
      </c>
      <c r="ND97" s="159">
        <f>SUM(NC94:NC97)</f>
        <v>2149.901523809524</v>
      </c>
      <c r="NE97" s="528"/>
      <c r="NF97" s="145"/>
      <c r="NG97" s="146"/>
      <c r="NH97" s="157" t="s">
        <v>79</v>
      </c>
      <c r="NI97" s="175">
        <v>1062</v>
      </c>
      <c r="NJ97" s="139">
        <v>1.4800000000000002</v>
      </c>
      <c r="NK97" s="140">
        <f t="shared" si="293"/>
        <v>1571.7600000000002</v>
      </c>
      <c r="NL97" s="159">
        <f>SUM(NK94:NK97)</f>
        <v>1837.2548888888891</v>
      </c>
      <c r="NM97" s="528"/>
      <c r="NN97" s="145"/>
      <c r="NO97" s="146"/>
      <c r="NP97" s="157" t="s">
        <v>79</v>
      </c>
      <c r="NQ97" s="175">
        <v>874</v>
      </c>
      <c r="NR97" s="139">
        <v>1.4800000000000002</v>
      </c>
      <c r="NS97" s="140">
        <f t="shared" si="294"/>
        <v>1293.5200000000002</v>
      </c>
      <c r="NT97" s="159">
        <f>SUM(NS94:NS97)</f>
        <v>2881.6564761904765</v>
      </c>
      <c r="NU97" s="528"/>
      <c r="NV97" s="145"/>
      <c r="NW97" s="146"/>
      <c r="NX97" s="157" t="s">
        <v>79</v>
      </c>
      <c r="NY97" s="175">
        <v>558</v>
      </c>
      <c r="NZ97" s="139">
        <v>1.4800000000000002</v>
      </c>
      <c r="OA97" s="140">
        <f t="shared" si="295"/>
        <v>825.84000000000015</v>
      </c>
      <c r="OB97" s="159">
        <f>SUM(OA94:OA97)</f>
        <v>1888.8420000000001</v>
      </c>
      <c r="OC97" s="528"/>
      <c r="OD97" s="145"/>
      <c r="OE97" s="146"/>
      <c r="OF97" s="157" t="s">
        <v>79</v>
      </c>
      <c r="OG97" s="175">
        <v>555</v>
      </c>
      <c r="OH97" s="139">
        <v>1.4800000000000002</v>
      </c>
      <c r="OI97" s="140">
        <f t="shared" si="296"/>
        <v>821.40000000000009</v>
      </c>
      <c r="OJ97" s="159">
        <f>SUM(OI94:OI97)</f>
        <v>2028.9987936507937</v>
      </c>
      <c r="OK97" s="528"/>
      <c r="OL97" s="145"/>
      <c r="OM97" s="146"/>
      <c r="ON97" s="157" t="s">
        <v>79</v>
      </c>
      <c r="OO97" s="175">
        <v>576</v>
      </c>
      <c r="OP97" s="139">
        <v>1.4800000000000002</v>
      </c>
      <c r="OQ97" s="140">
        <f t="shared" si="297"/>
        <v>852.48000000000013</v>
      </c>
      <c r="OR97" s="159">
        <f>SUM(OQ94:OQ97)</f>
        <v>1291.7347301587301</v>
      </c>
      <c r="OS97" s="528"/>
      <c r="OT97" s="145"/>
      <c r="OU97" s="146"/>
      <c r="OV97" s="157" t="s">
        <v>79</v>
      </c>
      <c r="OW97" s="175"/>
      <c r="OX97" s="139">
        <v>1.4800000000000002</v>
      </c>
      <c r="OY97" s="140">
        <f t="shared" si="298"/>
        <v>0</v>
      </c>
      <c r="OZ97" s="159">
        <f>SUM(OY94:OY97)</f>
        <v>0</v>
      </c>
      <c r="PA97" s="528"/>
      <c r="PB97" s="145"/>
      <c r="PC97" s="146"/>
      <c r="PD97" s="157" t="s">
        <v>79</v>
      </c>
      <c r="PE97" s="175">
        <v>58</v>
      </c>
      <c r="PF97" s="139">
        <v>1.4800000000000002</v>
      </c>
      <c r="PG97" s="140">
        <f t="shared" si="299"/>
        <v>85.840000000000018</v>
      </c>
      <c r="PH97" s="159">
        <f>SUM(PG94:PG97)</f>
        <v>114.57400000000001</v>
      </c>
      <c r="PI97" s="528"/>
      <c r="PJ97" s="145"/>
      <c r="PK97" s="146"/>
      <c r="PL97" s="157" t="s">
        <v>79</v>
      </c>
      <c r="PM97" s="175">
        <v>19</v>
      </c>
      <c r="PN97" s="139">
        <v>1.4800000000000002</v>
      </c>
      <c r="PO97" s="140">
        <f t="shared" si="300"/>
        <v>28.120000000000005</v>
      </c>
      <c r="PP97" s="159">
        <f>SUM(PO94:PO97)</f>
        <v>65.367079365079377</v>
      </c>
      <c r="PQ97" s="528"/>
      <c r="PR97" s="145"/>
      <c r="PS97" s="146"/>
      <c r="PT97" s="157" t="s">
        <v>79</v>
      </c>
      <c r="PU97" s="175"/>
      <c r="PV97" s="139">
        <v>1.4800000000000002</v>
      </c>
      <c r="PW97" s="140">
        <f t="shared" si="301"/>
        <v>0</v>
      </c>
      <c r="PX97" s="159">
        <f>SUM(PW94:PW97)</f>
        <v>21.607079365079361</v>
      </c>
      <c r="PY97" s="528"/>
      <c r="PZ97" s="145"/>
      <c r="QA97" s="146"/>
      <c r="QB97" s="157" t="s">
        <v>79</v>
      </c>
      <c r="QC97" s="175">
        <v>149</v>
      </c>
      <c r="QD97" s="139">
        <v>1.4800000000000002</v>
      </c>
      <c r="QE97" s="140">
        <f t="shared" si="302"/>
        <v>220.52000000000004</v>
      </c>
      <c r="QF97" s="159">
        <f>SUM(QE94:QE97)</f>
        <v>265.94412698412702</v>
      </c>
      <c r="QG97" s="528"/>
      <c r="QH97" s="145"/>
      <c r="QI97" s="146"/>
      <c r="QJ97" s="157" t="s">
        <v>79</v>
      </c>
      <c r="QK97" s="175">
        <v>78</v>
      </c>
      <c r="QL97" s="139">
        <v>1.4800000000000002</v>
      </c>
      <c r="QM97" s="140">
        <f t="shared" si="303"/>
        <v>115.44000000000001</v>
      </c>
      <c r="QN97" s="159">
        <f>SUM(QM94:QM97)</f>
        <v>168.80314285714286</v>
      </c>
      <c r="QO97" s="528"/>
      <c r="QP97" s="145"/>
      <c r="QQ97" s="146"/>
      <c r="QR97" s="157" t="s">
        <v>79</v>
      </c>
      <c r="QS97" s="175">
        <v>213</v>
      </c>
      <c r="QT97" s="139">
        <v>1.4800000000000002</v>
      </c>
      <c r="QU97" s="140">
        <f t="shared" si="304"/>
        <v>315.24000000000007</v>
      </c>
      <c r="QV97" s="159">
        <f>SUM(QU94:QU97)</f>
        <v>679.25146031746044</v>
      </c>
      <c r="QW97" s="528"/>
      <c r="QX97" s="145"/>
      <c r="QY97" s="146"/>
      <c r="QZ97" s="157" t="s">
        <v>79</v>
      </c>
      <c r="RA97" s="175"/>
      <c r="RB97" s="139">
        <v>1.4800000000000002</v>
      </c>
      <c r="RC97" s="140">
        <f t="shared" si="305"/>
        <v>0</v>
      </c>
      <c r="RD97" s="159">
        <f>SUM(RC94:RC97)</f>
        <v>0</v>
      </c>
      <c r="RE97" s="528"/>
      <c r="RF97" s="145"/>
      <c r="RG97" s="146"/>
      <c r="RH97" s="157" t="s">
        <v>79</v>
      </c>
      <c r="RI97" s="175"/>
      <c r="RJ97" s="139">
        <v>1.4800000000000002</v>
      </c>
      <c r="RK97" s="140">
        <f t="shared" si="306"/>
        <v>0</v>
      </c>
      <c r="RL97" s="159">
        <f>SUM(RK94:RK97)</f>
        <v>0</v>
      </c>
      <c r="RM97" s="528"/>
      <c r="RN97" s="145"/>
      <c r="RO97" s="146"/>
      <c r="RP97" s="157" t="s">
        <v>79</v>
      </c>
      <c r="RQ97" s="175">
        <v>512</v>
      </c>
      <c r="RR97" s="139">
        <v>1.4800000000000002</v>
      </c>
      <c r="RS97" s="140">
        <f t="shared" si="307"/>
        <v>757.7600000000001</v>
      </c>
      <c r="RT97" s="159">
        <f>SUM(RS94:RS97)</f>
        <v>1062.6933333333336</v>
      </c>
      <c r="RU97" s="528"/>
      <c r="RV97" s="145"/>
      <c r="RW97" s="146"/>
      <c r="RX97" s="157" t="s">
        <v>79</v>
      </c>
      <c r="RY97" s="175">
        <v>454</v>
      </c>
      <c r="RZ97" s="139">
        <v>1.4800000000000002</v>
      </c>
      <c r="SA97" s="140">
        <f t="shared" si="308"/>
        <v>671.92000000000007</v>
      </c>
      <c r="SB97" s="159">
        <f>SUM(SA94:SA97)</f>
        <v>1582.9251111111112</v>
      </c>
      <c r="SC97" s="528"/>
      <c r="SD97" s="145"/>
      <c r="SE97" s="146"/>
      <c r="SF97" s="157" t="s">
        <v>79</v>
      </c>
      <c r="SG97" s="175">
        <v>275</v>
      </c>
      <c r="SH97" s="139">
        <v>1.4800000000000002</v>
      </c>
      <c r="SI97" s="140">
        <f t="shared" si="309"/>
        <v>407.00000000000006</v>
      </c>
      <c r="SJ97" s="159">
        <f>SUM(SI94:SI97)</f>
        <v>644.91619047619054</v>
      </c>
      <c r="SK97" s="528"/>
      <c r="SL97" s="145"/>
      <c r="SM97" s="146"/>
      <c r="SN97" s="157" t="s">
        <v>79</v>
      </c>
      <c r="SO97" s="175">
        <v>358</v>
      </c>
      <c r="SP97" s="139">
        <v>1.4800000000000002</v>
      </c>
      <c r="SQ97" s="140">
        <f t="shared" si="310"/>
        <v>529.84</v>
      </c>
      <c r="SR97" s="159">
        <f>SUM(SQ94:SQ97)</f>
        <v>1245.5039682539682</v>
      </c>
      <c r="SS97" s="528"/>
      <c r="ST97" s="145"/>
      <c r="SU97" s="146"/>
      <c r="SV97" s="157" t="s">
        <v>79</v>
      </c>
      <c r="SW97" s="175">
        <v>415</v>
      </c>
      <c r="SX97" s="139">
        <v>1.4800000000000002</v>
      </c>
      <c r="SY97" s="140">
        <f t="shared" si="311"/>
        <v>614.20000000000005</v>
      </c>
      <c r="SZ97" s="159">
        <f>SUM(SY94:SY97)</f>
        <v>1156.4804444444444</v>
      </c>
      <c r="TA97" s="528"/>
      <c r="TB97" s="145"/>
      <c r="TC97" s="146"/>
      <c r="TD97" s="157" t="s">
        <v>79</v>
      </c>
      <c r="TE97" s="175">
        <v>467</v>
      </c>
      <c r="TF97" s="139">
        <v>1.4800000000000002</v>
      </c>
      <c r="TG97" s="140">
        <f t="shared" si="312"/>
        <v>691.16000000000008</v>
      </c>
      <c r="TH97" s="159">
        <f>SUM(TG94:TG97)</f>
        <v>1452.9531111111112</v>
      </c>
      <c r="TI97" s="528"/>
    </row>
    <row r="98" spans="2:529">
      <c r="B98" s="143" t="s">
        <v>88</v>
      </c>
      <c r="C98" s="163">
        <v>10</v>
      </c>
      <c r="D98" s="157" t="s">
        <v>36</v>
      </c>
      <c r="E98" s="138">
        <v>37</v>
      </c>
      <c r="F98" s="172">
        <v>1.5175000000000001</v>
      </c>
      <c r="G98" s="140">
        <f t="shared" si="247"/>
        <v>56.147500000000001</v>
      </c>
      <c r="H98" s="149"/>
      <c r="I98" s="528"/>
      <c r="J98" s="143" t="s">
        <v>88</v>
      </c>
      <c r="K98" s="163">
        <v>1</v>
      </c>
      <c r="L98" s="157" t="s">
        <v>36</v>
      </c>
      <c r="M98" s="138">
        <v>7</v>
      </c>
      <c r="N98" s="172">
        <v>1.5175000000000001</v>
      </c>
      <c r="O98" s="140">
        <f t="shared" si="248"/>
        <v>10.6225</v>
      </c>
      <c r="P98" s="149"/>
      <c r="Q98" s="528"/>
      <c r="R98" s="143" t="s">
        <v>88</v>
      </c>
      <c r="S98" s="163">
        <v>77</v>
      </c>
      <c r="T98" s="157" t="s">
        <v>36</v>
      </c>
      <c r="U98" s="138">
        <v>691</v>
      </c>
      <c r="V98" s="172">
        <v>1.5175000000000001</v>
      </c>
      <c r="W98" s="140">
        <f t="shared" si="249"/>
        <v>1048.5925</v>
      </c>
      <c r="X98" s="149"/>
      <c r="Y98" s="528"/>
      <c r="Z98" s="143" t="s">
        <v>88</v>
      </c>
      <c r="AA98" s="163">
        <v>14</v>
      </c>
      <c r="AB98" s="157" t="s">
        <v>36</v>
      </c>
      <c r="AC98" s="138">
        <v>460</v>
      </c>
      <c r="AD98" s="172">
        <v>1.5175000000000001</v>
      </c>
      <c r="AE98" s="140">
        <f t="shared" si="250"/>
        <v>698.05000000000007</v>
      </c>
      <c r="AF98" s="149"/>
      <c r="AG98" s="528"/>
      <c r="AH98" s="143" t="s">
        <v>88</v>
      </c>
      <c r="AI98" s="163">
        <v>53</v>
      </c>
      <c r="AJ98" s="157" t="s">
        <v>36</v>
      </c>
      <c r="AK98" s="138">
        <v>1745</v>
      </c>
      <c r="AL98" s="172">
        <v>1.5175000000000001</v>
      </c>
      <c r="AM98" s="140">
        <f t="shared" si="251"/>
        <v>2648.0374999999999</v>
      </c>
      <c r="AN98" s="149"/>
      <c r="AO98" s="528"/>
      <c r="AP98" s="143" t="s">
        <v>88</v>
      </c>
      <c r="AQ98" s="163">
        <v>32</v>
      </c>
      <c r="AR98" s="157" t="s">
        <v>36</v>
      </c>
      <c r="AS98" s="138">
        <v>981</v>
      </c>
      <c r="AT98" s="172">
        <v>1.5175000000000001</v>
      </c>
      <c r="AU98" s="140">
        <f t="shared" si="252"/>
        <v>1488.6675</v>
      </c>
      <c r="AV98" s="149"/>
      <c r="AW98" s="528"/>
      <c r="AX98" s="143" t="s">
        <v>88</v>
      </c>
      <c r="AY98" s="163"/>
      <c r="AZ98" s="157" t="s">
        <v>36</v>
      </c>
      <c r="BA98" s="138"/>
      <c r="BB98" s="172">
        <v>1.5175000000000001</v>
      </c>
      <c r="BC98" s="140">
        <f t="shared" si="253"/>
        <v>0</v>
      </c>
      <c r="BD98" s="149"/>
      <c r="BE98" s="528"/>
      <c r="BF98" s="143" t="s">
        <v>88</v>
      </c>
      <c r="BG98" s="163">
        <v>18</v>
      </c>
      <c r="BH98" s="157" t="s">
        <v>36</v>
      </c>
      <c r="BI98" s="138">
        <v>310</v>
      </c>
      <c r="BJ98" s="172">
        <v>1.5175000000000001</v>
      </c>
      <c r="BK98" s="140">
        <f t="shared" si="254"/>
        <v>470.42500000000001</v>
      </c>
      <c r="BL98" s="149"/>
      <c r="BM98" s="528"/>
      <c r="BN98" s="143" t="s">
        <v>88</v>
      </c>
      <c r="BO98" s="163">
        <v>15</v>
      </c>
      <c r="BP98" s="157" t="s">
        <v>36</v>
      </c>
      <c r="BQ98" s="138">
        <v>288</v>
      </c>
      <c r="BR98" s="172">
        <v>1.5175000000000001</v>
      </c>
      <c r="BS98" s="140">
        <f t="shared" si="255"/>
        <v>437.04</v>
      </c>
      <c r="BT98" s="149"/>
      <c r="BU98" s="528"/>
      <c r="BV98" s="564" t="s">
        <v>88</v>
      </c>
      <c r="BW98" s="579"/>
      <c r="BX98" s="574" t="s">
        <v>36</v>
      </c>
      <c r="BY98" s="560"/>
      <c r="BZ98" s="587">
        <v>1.5175000000000001</v>
      </c>
      <c r="CA98" s="562">
        <f t="shared" si="256"/>
        <v>0</v>
      </c>
      <c r="CB98" s="568"/>
      <c r="CC98" s="528"/>
      <c r="CD98" s="564" t="s">
        <v>88</v>
      </c>
      <c r="CE98" s="579"/>
      <c r="CF98" s="574" t="s">
        <v>36</v>
      </c>
      <c r="CG98" s="560"/>
      <c r="CH98" s="587">
        <v>1.5175000000000001</v>
      </c>
      <c r="CI98" s="562">
        <f t="shared" si="257"/>
        <v>0</v>
      </c>
      <c r="CJ98" s="568"/>
      <c r="CK98" s="528"/>
      <c r="CL98" s="143" t="s">
        <v>88</v>
      </c>
      <c r="CM98" s="163"/>
      <c r="CN98" s="157" t="s">
        <v>36</v>
      </c>
      <c r="CO98" s="138"/>
      <c r="CP98" s="172">
        <v>1.5175000000000001</v>
      </c>
      <c r="CQ98" s="140">
        <f t="shared" si="258"/>
        <v>0</v>
      </c>
      <c r="CR98" s="149"/>
      <c r="CS98" s="528"/>
      <c r="CT98" s="143" t="s">
        <v>88</v>
      </c>
      <c r="CU98" s="163">
        <v>15</v>
      </c>
      <c r="CV98" s="157" t="s">
        <v>36</v>
      </c>
      <c r="CW98" s="138">
        <v>412</v>
      </c>
      <c r="CX98" s="172">
        <v>1.5175000000000001</v>
      </c>
      <c r="CY98" s="140">
        <f t="shared" si="259"/>
        <v>625.21</v>
      </c>
      <c r="CZ98" s="149"/>
      <c r="DA98" s="528"/>
      <c r="DB98" s="143" t="s">
        <v>88</v>
      </c>
      <c r="DC98" s="163"/>
      <c r="DD98" s="157" t="s">
        <v>36</v>
      </c>
      <c r="DE98" s="138"/>
      <c r="DF98" s="172">
        <v>1.5175000000000001</v>
      </c>
      <c r="DG98" s="140">
        <f t="shared" si="260"/>
        <v>0</v>
      </c>
      <c r="DH98" s="149"/>
      <c r="DI98" s="528"/>
      <c r="DJ98" s="143" t="s">
        <v>88</v>
      </c>
      <c r="DK98" s="163">
        <v>11</v>
      </c>
      <c r="DL98" s="157" t="s">
        <v>36</v>
      </c>
      <c r="DM98" s="138">
        <v>95</v>
      </c>
      <c r="DN98" s="172">
        <v>1.5175000000000001</v>
      </c>
      <c r="DO98" s="140">
        <f t="shared" si="261"/>
        <v>144.16249999999999</v>
      </c>
      <c r="DP98" s="149"/>
      <c r="DQ98" s="528"/>
      <c r="DR98" s="143" t="s">
        <v>88</v>
      </c>
      <c r="DS98" s="163">
        <v>14</v>
      </c>
      <c r="DT98" s="157" t="s">
        <v>36</v>
      </c>
      <c r="DU98" s="138">
        <v>125</v>
      </c>
      <c r="DV98" s="172">
        <v>1.5175000000000001</v>
      </c>
      <c r="DW98" s="140">
        <f t="shared" si="262"/>
        <v>189.6875</v>
      </c>
      <c r="DX98" s="149"/>
      <c r="DY98" s="528"/>
      <c r="DZ98" s="143" t="s">
        <v>88</v>
      </c>
      <c r="EA98" s="163">
        <v>18</v>
      </c>
      <c r="EB98" s="157" t="s">
        <v>36</v>
      </c>
      <c r="EC98" s="138">
        <v>187</v>
      </c>
      <c r="ED98" s="172">
        <v>1.5175000000000001</v>
      </c>
      <c r="EE98" s="140">
        <f t="shared" si="263"/>
        <v>283.77250000000004</v>
      </c>
      <c r="EF98" s="149"/>
      <c r="EG98" s="528"/>
      <c r="EH98" s="143" t="s">
        <v>88</v>
      </c>
      <c r="EI98" s="163">
        <v>28</v>
      </c>
      <c r="EJ98" s="157" t="s">
        <v>36</v>
      </c>
      <c r="EK98" s="138">
        <v>573</v>
      </c>
      <c r="EL98" s="172">
        <v>1.5175000000000001</v>
      </c>
      <c r="EM98" s="140">
        <f t="shared" si="264"/>
        <v>869.52750000000003</v>
      </c>
      <c r="EN98" s="149"/>
      <c r="EO98" s="528"/>
      <c r="EP98" s="143" t="s">
        <v>88</v>
      </c>
      <c r="EQ98" s="163">
        <v>29</v>
      </c>
      <c r="ER98" s="157" t="s">
        <v>36</v>
      </c>
      <c r="ES98" s="138">
        <v>403</v>
      </c>
      <c r="ET98" s="172">
        <v>1.5175000000000001</v>
      </c>
      <c r="EU98" s="140">
        <f t="shared" si="265"/>
        <v>611.55250000000001</v>
      </c>
      <c r="EV98" s="149"/>
      <c r="EW98" s="528"/>
      <c r="EX98" s="143" t="s">
        <v>88</v>
      </c>
      <c r="EY98" s="163"/>
      <c r="EZ98" s="157" t="s">
        <v>36</v>
      </c>
      <c r="FA98" s="138"/>
      <c r="FB98" s="172">
        <v>1.5175000000000001</v>
      </c>
      <c r="FC98" s="140">
        <f t="shared" si="266"/>
        <v>0</v>
      </c>
      <c r="FD98" s="149"/>
      <c r="FE98" s="528"/>
      <c r="FF98" s="143" t="s">
        <v>88</v>
      </c>
      <c r="FG98" s="163"/>
      <c r="FH98" s="157" t="s">
        <v>36</v>
      </c>
      <c r="FI98" s="138"/>
      <c r="FJ98" s="172">
        <v>1.5175000000000001</v>
      </c>
      <c r="FK98" s="140">
        <f t="shared" si="267"/>
        <v>0</v>
      </c>
      <c r="FL98" s="149"/>
      <c r="FM98" s="528"/>
      <c r="FN98" s="143" t="s">
        <v>88</v>
      </c>
      <c r="FO98" s="163"/>
      <c r="FP98" s="157" t="s">
        <v>36</v>
      </c>
      <c r="FQ98" s="138"/>
      <c r="FR98" s="172">
        <v>1.5175000000000001</v>
      </c>
      <c r="FS98" s="140">
        <f t="shared" si="268"/>
        <v>0</v>
      </c>
      <c r="FT98" s="149"/>
      <c r="FU98" s="528"/>
      <c r="FV98" s="143" t="s">
        <v>88</v>
      </c>
      <c r="FW98" s="163"/>
      <c r="FX98" s="157" t="s">
        <v>36</v>
      </c>
      <c r="FY98" s="138"/>
      <c r="FZ98" s="172">
        <v>1.5175000000000001</v>
      </c>
      <c r="GA98" s="140">
        <f t="shared" si="269"/>
        <v>0</v>
      </c>
      <c r="GB98" s="149"/>
      <c r="GC98" s="528"/>
      <c r="GD98" s="143" t="s">
        <v>88</v>
      </c>
      <c r="GE98" s="163"/>
      <c r="GF98" s="157" t="s">
        <v>36</v>
      </c>
      <c r="GG98" s="138"/>
      <c r="GH98" s="172">
        <v>1.5175000000000001</v>
      </c>
      <c r="GI98" s="140">
        <f t="shared" si="270"/>
        <v>0</v>
      </c>
      <c r="GJ98" s="149"/>
      <c r="GK98" s="528"/>
      <c r="GL98" s="143" t="s">
        <v>88</v>
      </c>
      <c r="GM98" s="163">
        <v>14</v>
      </c>
      <c r="GN98" s="157" t="s">
        <v>36</v>
      </c>
      <c r="GO98" s="138">
        <f>'[1]Jan_18_Vol weekly-Data-Entry'!$AN$226</f>
        <v>0</v>
      </c>
      <c r="GP98" s="172">
        <v>1.5175000000000001</v>
      </c>
      <c r="GQ98" s="140">
        <f t="shared" si="271"/>
        <v>0</v>
      </c>
      <c r="GR98" s="149"/>
      <c r="GS98" s="528"/>
      <c r="GT98" s="143" t="s">
        <v>88</v>
      </c>
      <c r="GU98" s="163">
        <v>31</v>
      </c>
      <c r="GV98" s="157" t="s">
        <v>36</v>
      </c>
      <c r="GW98" s="138">
        <v>670</v>
      </c>
      <c r="GX98" s="172">
        <v>1.5175000000000001</v>
      </c>
      <c r="GY98" s="140">
        <f t="shared" si="272"/>
        <v>1016.725</v>
      </c>
      <c r="GZ98" s="149"/>
      <c r="HA98" s="528"/>
      <c r="HB98" s="143" t="s">
        <v>88</v>
      </c>
      <c r="HC98" s="163">
        <v>35</v>
      </c>
      <c r="HD98" s="157" t="s">
        <v>36</v>
      </c>
      <c r="HE98" s="138">
        <v>691</v>
      </c>
      <c r="HF98" s="172">
        <v>1.5175000000000001</v>
      </c>
      <c r="HG98" s="140">
        <f t="shared" si="273"/>
        <v>1048.5925</v>
      </c>
      <c r="HH98" s="149"/>
      <c r="HI98" s="528"/>
      <c r="HJ98" s="143" t="s">
        <v>88</v>
      </c>
      <c r="HK98" s="163">
        <v>26</v>
      </c>
      <c r="HL98" s="157" t="s">
        <v>36</v>
      </c>
      <c r="HM98" s="138">
        <v>298</v>
      </c>
      <c r="HN98" s="172">
        <v>1.5175000000000001</v>
      </c>
      <c r="HO98" s="140">
        <f t="shared" si="274"/>
        <v>452.21500000000003</v>
      </c>
      <c r="HP98" s="149"/>
      <c r="HQ98" s="528"/>
      <c r="HR98" s="143" t="s">
        <v>88</v>
      </c>
      <c r="HS98" s="163">
        <v>33</v>
      </c>
      <c r="HT98" s="157" t="s">
        <v>36</v>
      </c>
      <c r="HU98" s="138">
        <v>538</v>
      </c>
      <c r="HV98" s="172">
        <v>1.5175000000000001</v>
      </c>
      <c r="HW98" s="140">
        <f t="shared" si="275"/>
        <v>816.41500000000008</v>
      </c>
      <c r="HX98" s="149"/>
      <c r="HY98" s="528"/>
      <c r="HZ98" s="143" t="s">
        <v>88</v>
      </c>
      <c r="IA98" s="163">
        <v>3</v>
      </c>
      <c r="IB98" s="157" t="s">
        <v>36</v>
      </c>
      <c r="IC98" s="138">
        <v>17</v>
      </c>
      <c r="ID98" s="172">
        <v>1.5175000000000001</v>
      </c>
      <c r="IE98" s="140">
        <f t="shared" si="276"/>
        <v>25.797499999999999</v>
      </c>
      <c r="IF98" s="149"/>
      <c r="IG98" s="528"/>
      <c r="IH98" s="143" t="s">
        <v>88</v>
      </c>
      <c r="II98" s="163">
        <v>36</v>
      </c>
      <c r="IJ98" s="157" t="s">
        <v>36</v>
      </c>
      <c r="IK98" s="138">
        <v>478</v>
      </c>
      <c r="IL98" s="172">
        <v>1.5175000000000001</v>
      </c>
      <c r="IM98" s="140">
        <f t="shared" si="277"/>
        <v>725.36500000000001</v>
      </c>
      <c r="IN98" s="149"/>
      <c r="IO98" s="528"/>
      <c r="IP98" s="143" t="s">
        <v>88</v>
      </c>
      <c r="IQ98" s="163">
        <v>57</v>
      </c>
      <c r="IR98" s="157" t="s">
        <v>36</v>
      </c>
      <c r="IS98" s="138">
        <v>737</v>
      </c>
      <c r="IT98" s="172">
        <v>1.5175000000000001</v>
      </c>
      <c r="IU98" s="140">
        <f t="shared" si="278"/>
        <v>1118.3975</v>
      </c>
      <c r="IV98" s="149"/>
      <c r="IW98" s="528"/>
      <c r="IX98" s="143" t="s">
        <v>88</v>
      </c>
      <c r="IY98" s="163">
        <v>24</v>
      </c>
      <c r="IZ98" s="157" t="s">
        <v>36</v>
      </c>
      <c r="JA98" s="138">
        <v>174</v>
      </c>
      <c r="JB98" s="172">
        <v>1.5175000000000001</v>
      </c>
      <c r="JC98" s="140">
        <f t="shared" si="279"/>
        <v>264.04500000000002</v>
      </c>
      <c r="JD98" s="149"/>
      <c r="JE98" s="528"/>
      <c r="JF98" s="143" t="s">
        <v>88</v>
      </c>
      <c r="JG98" s="163">
        <v>7</v>
      </c>
      <c r="JH98" s="157" t="s">
        <v>36</v>
      </c>
      <c r="JI98" s="138">
        <v>178</v>
      </c>
      <c r="JJ98" s="172">
        <v>1.5175000000000001</v>
      </c>
      <c r="JK98" s="140">
        <f t="shared" si="280"/>
        <v>270.11500000000001</v>
      </c>
      <c r="JL98" s="149"/>
      <c r="JM98" s="528"/>
      <c r="JN98" s="143" t="s">
        <v>88</v>
      </c>
      <c r="JO98" s="163">
        <v>11</v>
      </c>
      <c r="JP98" s="157" t="s">
        <v>36</v>
      </c>
      <c r="JQ98" s="138">
        <v>152</v>
      </c>
      <c r="JR98" s="172">
        <v>1.5175000000000001</v>
      </c>
      <c r="JS98" s="140">
        <f t="shared" si="281"/>
        <v>230.66000000000003</v>
      </c>
      <c r="JT98" s="149"/>
      <c r="JU98" s="528"/>
      <c r="JV98" s="143" t="s">
        <v>88</v>
      </c>
      <c r="JW98" s="163">
        <v>19</v>
      </c>
      <c r="JX98" s="157" t="s">
        <v>36</v>
      </c>
      <c r="JY98" s="138">
        <v>328</v>
      </c>
      <c r="JZ98" s="172">
        <v>1.5175000000000001</v>
      </c>
      <c r="KA98" s="140">
        <f t="shared" si="282"/>
        <v>497.74</v>
      </c>
      <c r="KB98" s="149"/>
      <c r="KC98" s="528"/>
      <c r="KD98" s="143" t="s">
        <v>88</v>
      </c>
      <c r="KE98" s="163">
        <v>13</v>
      </c>
      <c r="KF98" s="157" t="s">
        <v>36</v>
      </c>
      <c r="KG98" s="138">
        <v>482</v>
      </c>
      <c r="KH98" s="172">
        <v>1.5175000000000001</v>
      </c>
      <c r="KI98" s="140">
        <f t="shared" si="283"/>
        <v>731.43500000000006</v>
      </c>
      <c r="KJ98" s="149"/>
      <c r="KK98" s="528"/>
      <c r="KL98" s="143" t="s">
        <v>88</v>
      </c>
      <c r="KM98" s="163">
        <v>1</v>
      </c>
      <c r="KN98" s="157" t="s">
        <v>36</v>
      </c>
      <c r="KO98" s="138">
        <v>7</v>
      </c>
      <c r="KP98" s="172">
        <v>1.5175000000000001</v>
      </c>
      <c r="KQ98" s="140">
        <f t="shared" si="284"/>
        <v>10.6225</v>
      </c>
      <c r="KR98" s="149"/>
      <c r="KS98" s="528"/>
      <c r="KT98" s="143" t="s">
        <v>88</v>
      </c>
      <c r="KU98" s="163">
        <v>12</v>
      </c>
      <c r="KV98" s="157" t="s">
        <v>36</v>
      </c>
      <c r="KW98" s="138">
        <v>99</v>
      </c>
      <c r="KX98" s="172">
        <v>1.5175000000000001</v>
      </c>
      <c r="KY98" s="140">
        <f t="shared" si="285"/>
        <v>150.23250000000002</v>
      </c>
      <c r="KZ98" s="149"/>
      <c r="LA98" s="528"/>
      <c r="LB98" s="143" t="s">
        <v>88</v>
      </c>
      <c r="LC98" s="163">
        <v>8</v>
      </c>
      <c r="LD98" s="157" t="s">
        <v>36</v>
      </c>
      <c r="LE98" s="138">
        <v>57</v>
      </c>
      <c r="LF98" s="172">
        <v>1.5175000000000001</v>
      </c>
      <c r="LG98" s="140">
        <f t="shared" si="286"/>
        <v>86.497500000000002</v>
      </c>
      <c r="LH98" s="149"/>
      <c r="LI98" s="528"/>
      <c r="LJ98" s="143" t="s">
        <v>88</v>
      </c>
      <c r="LK98" s="163">
        <v>17</v>
      </c>
      <c r="LL98" s="157" t="s">
        <v>36</v>
      </c>
      <c r="LM98" s="175">
        <v>317</v>
      </c>
      <c r="LN98" s="164">
        <v>1.5175000000000001</v>
      </c>
      <c r="LO98" s="140">
        <f t="shared" si="287"/>
        <v>481.04750000000001</v>
      </c>
      <c r="LP98" s="149"/>
      <c r="LQ98" s="528"/>
      <c r="LR98" s="143" t="s">
        <v>88</v>
      </c>
      <c r="LS98" s="163">
        <v>51</v>
      </c>
      <c r="LT98" s="157" t="s">
        <v>36</v>
      </c>
      <c r="LU98" s="175">
        <v>712</v>
      </c>
      <c r="LV98" s="164">
        <v>1.5175000000000001</v>
      </c>
      <c r="LW98" s="140">
        <f t="shared" si="288"/>
        <v>1080.46</v>
      </c>
      <c r="LX98" s="149"/>
      <c r="LY98" s="528"/>
      <c r="LZ98" s="143" t="s">
        <v>88</v>
      </c>
      <c r="MA98" s="163">
        <v>44</v>
      </c>
      <c r="MB98" s="157" t="s">
        <v>36</v>
      </c>
      <c r="MC98" s="175">
        <v>721</v>
      </c>
      <c r="MD98" s="164">
        <v>1.5175000000000001</v>
      </c>
      <c r="ME98" s="140">
        <f t="shared" si="289"/>
        <v>1094.1175000000001</v>
      </c>
      <c r="MF98" s="149"/>
      <c r="MG98" s="528"/>
      <c r="MH98" s="143" t="s">
        <v>88</v>
      </c>
      <c r="MI98" s="163">
        <v>46</v>
      </c>
      <c r="MJ98" s="157" t="s">
        <v>36</v>
      </c>
      <c r="MK98" s="175">
        <v>694</v>
      </c>
      <c r="ML98" s="164">
        <v>1.5175000000000001</v>
      </c>
      <c r="MM98" s="140">
        <f t="shared" si="290"/>
        <v>1053.145</v>
      </c>
      <c r="MN98" s="149"/>
      <c r="MO98" s="528"/>
      <c r="MP98" s="143" t="s">
        <v>88</v>
      </c>
      <c r="MQ98" s="163">
        <v>39</v>
      </c>
      <c r="MR98" s="157" t="s">
        <v>36</v>
      </c>
      <c r="MS98" s="175">
        <v>409</v>
      </c>
      <c r="MT98" s="164">
        <v>1.5175000000000001</v>
      </c>
      <c r="MU98" s="140">
        <f t="shared" si="291"/>
        <v>620.65750000000003</v>
      </c>
      <c r="MV98" s="149"/>
      <c r="MW98" s="528"/>
      <c r="MX98" s="162" t="s">
        <v>81</v>
      </c>
      <c r="MY98" s="163">
        <v>77</v>
      </c>
      <c r="MZ98" s="157" t="s">
        <v>14</v>
      </c>
      <c r="NA98" s="175">
        <v>1023</v>
      </c>
      <c r="NB98" s="164">
        <v>1.7113846153846155</v>
      </c>
      <c r="NC98" s="140">
        <f t="shared" si="292"/>
        <v>1750.7464615384617</v>
      </c>
      <c r="ND98" s="159">
        <f>NA98*NB98</f>
        <v>1750.7464615384617</v>
      </c>
      <c r="NE98" s="528"/>
      <c r="NF98" s="162" t="s">
        <v>81</v>
      </c>
      <c r="NG98" s="163">
        <v>49</v>
      </c>
      <c r="NH98" s="157" t="s">
        <v>14</v>
      </c>
      <c r="NI98" s="175">
        <v>616</v>
      </c>
      <c r="NJ98" s="164">
        <v>1.7113846153846155</v>
      </c>
      <c r="NK98" s="140">
        <f t="shared" si="293"/>
        <v>1054.2129230769231</v>
      </c>
      <c r="NL98" s="159">
        <f>NI98*NJ98</f>
        <v>1054.2129230769231</v>
      </c>
      <c r="NM98" s="528"/>
      <c r="NN98" s="162" t="s">
        <v>81</v>
      </c>
      <c r="NO98" s="163">
        <v>51</v>
      </c>
      <c r="NP98" s="157" t="s">
        <v>14</v>
      </c>
      <c r="NQ98" s="175">
        <v>694</v>
      </c>
      <c r="NR98" s="164">
        <v>1.7113846153846155</v>
      </c>
      <c r="NS98" s="140">
        <f t="shared" si="294"/>
        <v>1187.7009230769231</v>
      </c>
      <c r="NT98" s="159">
        <f>NQ98*NR98</f>
        <v>1187.7009230769231</v>
      </c>
      <c r="NU98" s="528"/>
      <c r="NV98" s="162" t="s">
        <v>81</v>
      </c>
      <c r="NW98" s="163">
        <v>37</v>
      </c>
      <c r="NX98" s="157" t="s">
        <v>14</v>
      </c>
      <c r="NY98" s="175">
        <v>523</v>
      </c>
      <c r="NZ98" s="164">
        <v>1.7113846153846155</v>
      </c>
      <c r="OA98" s="140">
        <f t="shared" si="295"/>
        <v>895.05415384615389</v>
      </c>
      <c r="OB98" s="159">
        <f>NY98*NZ98</f>
        <v>895.05415384615389</v>
      </c>
      <c r="OC98" s="528"/>
      <c r="OD98" s="162" t="s">
        <v>81</v>
      </c>
      <c r="OE98" s="163">
        <v>35</v>
      </c>
      <c r="OF98" s="157" t="s">
        <v>14</v>
      </c>
      <c r="OG98" s="175">
        <v>330</v>
      </c>
      <c r="OH98" s="164">
        <v>1.7113846153846155</v>
      </c>
      <c r="OI98" s="140">
        <f t="shared" si="296"/>
        <v>564.75692307692316</v>
      </c>
      <c r="OJ98" s="159">
        <f>OG98*OH98</f>
        <v>564.75692307692316</v>
      </c>
      <c r="OK98" s="528"/>
      <c r="OL98" s="162" t="s">
        <v>81</v>
      </c>
      <c r="OM98" s="163">
        <v>46</v>
      </c>
      <c r="ON98" s="157" t="s">
        <v>14</v>
      </c>
      <c r="OO98" s="175">
        <v>406</v>
      </c>
      <c r="OP98" s="164">
        <v>1.7113846153846155</v>
      </c>
      <c r="OQ98" s="140">
        <f t="shared" si="297"/>
        <v>694.82215384615392</v>
      </c>
      <c r="OR98" s="159">
        <f>OO98*OP98</f>
        <v>694.82215384615392</v>
      </c>
      <c r="OS98" s="528"/>
      <c r="OT98" s="162" t="s">
        <v>81</v>
      </c>
      <c r="OU98" s="163"/>
      <c r="OV98" s="157" t="s">
        <v>14</v>
      </c>
      <c r="OW98" s="175"/>
      <c r="OX98" s="164">
        <v>1.7113846153846155</v>
      </c>
      <c r="OY98" s="140">
        <f t="shared" si="298"/>
        <v>0</v>
      </c>
      <c r="OZ98" s="159">
        <f>OW98*OX98</f>
        <v>0</v>
      </c>
      <c r="PA98" s="528"/>
      <c r="PB98" s="162" t="s">
        <v>81</v>
      </c>
      <c r="PC98" s="163">
        <v>2</v>
      </c>
      <c r="PD98" s="157" t="s">
        <v>14</v>
      </c>
      <c r="PE98" s="175">
        <v>5</v>
      </c>
      <c r="PF98" s="164">
        <v>1.7113846153846199</v>
      </c>
      <c r="PG98" s="140">
        <f t="shared" si="299"/>
        <v>8.5569230769231002</v>
      </c>
      <c r="PH98" s="159">
        <f>PE98*PF98</f>
        <v>8.5569230769231002</v>
      </c>
      <c r="PI98" s="528"/>
      <c r="PJ98" s="162" t="s">
        <v>81</v>
      </c>
      <c r="PK98" s="163">
        <v>4</v>
      </c>
      <c r="PL98" s="157" t="s">
        <v>14</v>
      </c>
      <c r="PM98" s="175">
        <v>10</v>
      </c>
      <c r="PN98" s="164">
        <v>1.7113846153846155</v>
      </c>
      <c r="PO98" s="140">
        <f t="shared" si="300"/>
        <v>17.113846153846154</v>
      </c>
      <c r="PP98" s="159">
        <f>PM98*PN98</f>
        <v>17.113846153846154</v>
      </c>
      <c r="PQ98" s="528"/>
      <c r="PR98" s="162" t="s">
        <v>81</v>
      </c>
      <c r="PS98" s="163">
        <v>5</v>
      </c>
      <c r="PT98" s="157" t="s">
        <v>14</v>
      </c>
      <c r="PU98" s="175">
        <v>51</v>
      </c>
      <c r="PV98" s="164">
        <v>1.7113846153846155</v>
      </c>
      <c r="PW98" s="140">
        <f t="shared" si="301"/>
        <v>87.280615384615388</v>
      </c>
      <c r="PX98" s="159">
        <f>PU98*PV98</f>
        <v>87.280615384615388</v>
      </c>
      <c r="PY98" s="528"/>
      <c r="PZ98" s="162" t="s">
        <v>81</v>
      </c>
      <c r="QA98" s="163">
        <v>17</v>
      </c>
      <c r="QB98" s="157" t="s">
        <v>14</v>
      </c>
      <c r="QC98" s="175">
        <v>80</v>
      </c>
      <c r="QD98" s="164">
        <v>1.7113846153846155</v>
      </c>
      <c r="QE98" s="140">
        <f t="shared" si="302"/>
        <v>136.91076923076923</v>
      </c>
      <c r="QF98" s="159">
        <f>QC98*QD98</f>
        <v>136.91076923076923</v>
      </c>
      <c r="QG98" s="528"/>
      <c r="QH98" s="162" t="s">
        <v>81</v>
      </c>
      <c r="QI98" s="163">
        <v>19</v>
      </c>
      <c r="QJ98" s="157" t="s">
        <v>14</v>
      </c>
      <c r="QK98" s="175">
        <v>148</v>
      </c>
      <c r="QL98" s="164">
        <v>1.7113846153846155</v>
      </c>
      <c r="QM98" s="140">
        <f t="shared" si="303"/>
        <v>253.28492307692309</v>
      </c>
      <c r="QN98" s="159">
        <f>QK98*QL98</f>
        <v>253.28492307692309</v>
      </c>
      <c r="QO98" s="528"/>
      <c r="QP98" s="162" t="s">
        <v>81</v>
      </c>
      <c r="QQ98" s="163">
        <v>27</v>
      </c>
      <c r="QR98" s="157" t="s">
        <v>14</v>
      </c>
      <c r="QS98" s="175">
        <v>305</v>
      </c>
      <c r="QT98" s="164">
        <v>1.7113846153846155</v>
      </c>
      <c r="QU98" s="140">
        <f t="shared" si="304"/>
        <v>521.97230769230771</v>
      </c>
      <c r="QV98" s="159">
        <f>QS98*QT98</f>
        <v>521.97230769230771</v>
      </c>
      <c r="QW98" s="528"/>
      <c r="QX98" s="162" t="s">
        <v>81</v>
      </c>
      <c r="QY98" s="163"/>
      <c r="QZ98" s="157" t="s">
        <v>14</v>
      </c>
      <c r="RA98" s="175"/>
      <c r="RB98" s="164">
        <v>1.7113846153846155</v>
      </c>
      <c r="RC98" s="140">
        <f t="shared" si="305"/>
        <v>0</v>
      </c>
      <c r="RD98" s="159">
        <f>RA98*RB98</f>
        <v>0</v>
      </c>
      <c r="RE98" s="528"/>
      <c r="RF98" s="162" t="s">
        <v>81</v>
      </c>
      <c r="RG98" s="163"/>
      <c r="RH98" s="157" t="s">
        <v>14</v>
      </c>
      <c r="RI98" s="175"/>
      <c r="RJ98" s="164">
        <v>1.7113846153846155</v>
      </c>
      <c r="RK98" s="140">
        <f t="shared" si="306"/>
        <v>0</v>
      </c>
      <c r="RL98" s="159">
        <f>RI98*RJ98</f>
        <v>0</v>
      </c>
      <c r="RM98" s="528"/>
      <c r="RN98" s="162" t="s">
        <v>81</v>
      </c>
      <c r="RO98" s="163">
        <v>12</v>
      </c>
      <c r="RP98" s="157" t="s">
        <v>14</v>
      </c>
      <c r="RQ98" s="175">
        <v>115</v>
      </c>
      <c r="RR98" s="164">
        <v>1.7113846153846155</v>
      </c>
      <c r="RS98" s="140">
        <f t="shared" si="307"/>
        <v>196.80923076923079</v>
      </c>
      <c r="RT98" s="159">
        <f>RQ98*RR98</f>
        <v>196.80923076923079</v>
      </c>
      <c r="RU98" s="528"/>
      <c r="RV98" s="162" t="s">
        <v>81</v>
      </c>
      <c r="RW98" s="163">
        <v>39</v>
      </c>
      <c r="RX98" s="157" t="s">
        <v>14</v>
      </c>
      <c r="RY98" s="175">
        <v>393</v>
      </c>
      <c r="RZ98" s="164">
        <v>1.7113846153846155</v>
      </c>
      <c r="SA98" s="140">
        <f t="shared" si="308"/>
        <v>672.57415384615388</v>
      </c>
      <c r="SB98" s="159">
        <f>RY98*RZ98</f>
        <v>672.57415384615388</v>
      </c>
      <c r="SC98" s="528"/>
      <c r="SD98" s="162" t="s">
        <v>81</v>
      </c>
      <c r="SE98" s="163">
        <v>31</v>
      </c>
      <c r="SF98" s="157" t="s">
        <v>14</v>
      </c>
      <c r="SG98" s="175">
        <v>309</v>
      </c>
      <c r="SH98" s="164">
        <v>1.7113846153846155</v>
      </c>
      <c r="SI98" s="140">
        <f t="shared" si="309"/>
        <v>528.81784615384618</v>
      </c>
      <c r="SJ98" s="159">
        <f>SG98*SH98</f>
        <v>528.81784615384618</v>
      </c>
      <c r="SK98" s="528"/>
      <c r="SL98" s="162" t="s">
        <v>81</v>
      </c>
      <c r="SM98" s="163">
        <v>34</v>
      </c>
      <c r="SN98" s="157" t="s">
        <v>14</v>
      </c>
      <c r="SO98" s="175">
        <v>246</v>
      </c>
      <c r="SP98" s="164">
        <v>1.7113846153846155</v>
      </c>
      <c r="SQ98" s="140">
        <f t="shared" si="310"/>
        <v>421.0006153846154</v>
      </c>
      <c r="SR98" s="159">
        <f>SO98*SP98</f>
        <v>421.0006153846154</v>
      </c>
      <c r="SS98" s="528"/>
      <c r="ST98" s="162" t="s">
        <v>81</v>
      </c>
      <c r="SU98" s="163">
        <v>32</v>
      </c>
      <c r="SV98" s="157" t="s">
        <v>14</v>
      </c>
      <c r="SW98" s="175">
        <v>500</v>
      </c>
      <c r="SX98" s="164">
        <v>1.7113846153846155</v>
      </c>
      <c r="SY98" s="140">
        <f t="shared" si="311"/>
        <v>855.69230769230774</v>
      </c>
      <c r="SZ98" s="159">
        <f>SW98*SX98</f>
        <v>855.69230769230774</v>
      </c>
      <c r="TA98" s="528"/>
      <c r="TB98" s="162" t="s">
        <v>81</v>
      </c>
      <c r="TC98" s="163">
        <v>28</v>
      </c>
      <c r="TD98" s="157" t="s">
        <v>14</v>
      </c>
      <c r="TE98" s="175">
        <v>245</v>
      </c>
      <c r="TF98" s="164">
        <v>1.7113846153846155</v>
      </c>
      <c r="TG98" s="140">
        <f t="shared" si="312"/>
        <v>419.28923076923081</v>
      </c>
      <c r="TH98" s="159">
        <f>TE98*TF98</f>
        <v>419.28923076923081</v>
      </c>
      <c r="TI98" s="528"/>
    </row>
    <row r="99" spans="2:529">
      <c r="B99" s="143"/>
      <c r="C99" s="146"/>
      <c r="D99" s="151" t="s">
        <v>20</v>
      </c>
      <c r="E99" s="138">
        <v>0</v>
      </c>
      <c r="F99" s="172"/>
      <c r="G99" s="140">
        <f t="shared" si="247"/>
        <v>0</v>
      </c>
      <c r="H99" s="150"/>
      <c r="I99" s="528"/>
      <c r="J99" s="143"/>
      <c r="K99" s="146">
        <v>8</v>
      </c>
      <c r="L99" s="151" t="s">
        <v>20</v>
      </c>
      <c r="M99" s="138">
        <v>0</v>
      </c>
      <c r="N99" s="172"/>
      <c r="O99" s="140">
        <f t="shared" si="248"/>
        <v>0</v>
      </c>
      <c r="P99" s="150"/>
      <c r="Q99" s="528"/>
      <c r="R99" s="143"/>
      <c r="S99" s="146">
        <v>8</v>
      </c>
      <c r="T99" s="151" t="s">
        <v>20</v>
      </c>
      <c r="U99" s="138">
        <v>0</v>
      </c>
      <c r="V99" s="172"/>
      <c r="W99" s="140">
        <f t="shared" si="249"/>
        <v>0</v>
      </c>
      <c r="X99" s="150"/>
      <c r="Y99" s="528"/>
      <c r="Z99" s="143"/>
      <c r="AA99" s="146">
        <v>8</v>
      </c>
      <c r="AB99" s="151" t="s">
        <v>20</v>
      </c>
      <c r="AC99" s="138"/>
      <c r="AD99" s="172"/>
      <c r="AE99" s="140">
        <f t="shared" si="250"/>
        <v>0</v>
      </c>
      <c r="AF99" s="150"/>
      <c r="AG99" s="528"/>
      <c r="AH99" s="143"/>
      <c r="AI99" s="146">
        <v>8</v>
      </c>
      <c r="AJ99" s="151" t="s">
        <v>20</v>
      </c>
      <c r="AK99" s="138"/>
      <c r="AL99" s="172"/>
      <c r="AM99" s="140">
        <f t="shared" si="251"/>
        <v>0</v>
      </c>
      <c r="AN99" s="150"/>
      <c r="AO99" s="528"/>
      <c r="AP99" s="143"/>
      <c r="AQ99" s="146">
        <v>8</v>
      </c>
      <c r="AR99" s="151" t="s">
        <v>20</v>
      </c>
      <c r="AS99" s="138"/>
      <c r="AT99" s="172"/>
      <c r="AU99" s="140">
        <f t="shared" si="252"/>
        <v>0</v>
      </c>
      <c r="AV99" s="150"/>
      <c r="AW99" s="528"/>
      <c r="AX99" s="143"/>
      <c r="AY99" s="146">
        <v>8</v>
      </c>
      <c r="AZ99" s="151" t="s">
        <v>20</v>
      </c>
      <c r="BA99" s="138"/>
      <c r="BB99" s="172"/>
      <c r="BC99" s="140">
        <f t="shared" si="253"/>
        <v>0</v>
      </c>
      <c r="BD99" s="150"/>
      <c r="BE99" s="528"/>
      <c r="BF99" s="143"/>
      <c r="BG99" s="146">
        <v>8</v>
      </c>
      <c r="BH99" s="151" t="s">
        <v>20</v>
      </c>
      <c r="BI99" s="138"/>
      <c r="BJ99" s="172"/>
      <c r="BK99" s="140">
        <f t="shared" si="254"/>
        <v>0</v>
      </c>
      <c r="BL99" s="150"/>
      <c r="BM99" s="528"/>
      <c r="BN99" s="143"/>
      <c r="BO99" s="146">
        <v>8</v>
      </c>
      <c r="BP99" s="151" t="s">
        <v>20</v>
      </c>
      <c r="BQ99" s="138"/>
      <c r="BR99" s="172"/>
      <c r="BS99" s="140">
        <f t="shared" si="255"/>
        <v>0</v>
      </c>
      <c r="BT99" s="150"/>
      <c r="BU99" s="528"/>
      <c r="BV99" s="564"/>
      <c r="BW99" s="537"/>
      <c r="BX99" s="543" t="s">
        <v>20</v>
      </c>
      <c r="BY99" s="560"/>
      <c r="BZ99" s="587"/>
      <c r="CA99" s="562">
        <f t="shared" si="256"/>
        <v>0</v>
      </c>
      <c r="CB99" s="569"/>
      <c r="CC99" s="528"/>
      <c r="CD99" s="564"/>
      <c r="CE99" s="537"/>
      <c r="CF99" s="543" t="s">
        <v>20</v>
      </c>
      <c r="CG99" s="560"/>
      <c r="CH99" s="587"/>
      <c r="CI99" s="562">
        <f t="shared" si="257"/>
        <v>0</v>
      </c>
      <c r="CJ99" s="569"/>
      <c r="CK99" s="528"/>
      <c r="CL99" s="143"/>
      <c r="CM99" s="146">
        <v>8</v>
      </c>
      <c r="CN99" s="151" t="s">
        <v>20</v>
      </c>
      <c r="CO99" s="138"/>
      <c r="CP99" s="172"/>
      <c r="CQ99" s="140">
        <f t="shared" si="258"/>
        <v>0</v>
      </c>
      <c r="CR99" s="150"/>
      <c r="CS99" s="528"/>
      <c r="CT99" s="143"/>
      <c r="CU99" s="146">
        <v>8</v>
      </c>
      <c r="CV99" s="151" t="s">
        <v>20</v>
      </c>
      <c r="CW99" s="138"/>
      <c r="CX99" s="172"/>
      <c r="CY99" s="140">
        <f t="shared" si="259"/>
        <v>0</v>
      </c>
      <c r="CZ99" s="150"/>
      <c r="DA99" s="528"/>
      <c r="DB99" s="143"/>
      <c r="DC99" s="146"/>
      <c r="DD99" s="151" t="s">
        <v>20</v>
      </c>
      <c r="DE99" s="138"/>
      <c r="DF99" s="172"/>
      <c r="DG99" s="140">
        <f t="shared" si="260"/>
        <v>0</v>
      </c>
      <c r="DH99" s="150"/>
      <c r="DI99" s="528"/>
      <c r="DJ99" s="143"/>
      <c r="DK99" s="146"/>
      <c r="DL99" s="151" t="s">
        <v>20</v>
      </c>
      <c r="DM99" s="138">
        <v>0</v>
      </c>
      <c r="DN99" s="172"/>
      <c r="DO99" s="140">
        <f t="shared" si="261"/>
        <v>0</v>
      </c>
      <c r="DP99" s="150"/>
      <c r="DQ99" s="528"/>
      <c r="DR99" s="143"/>
      <c r="DS99" s="146"/>
      <c r="DT99" s="151" t="s">
        <v>20</v>
      </c>
      <c r="DU99" s="138"/>
      <c r="DV99" s="172"/>
      <c r="DW99" s="140">
        <f t="shared" si="262"/>
        <v>0</v>
      </c>
      <c r="DX99" s="150"/>
      <c r="DY99" s="528"/>
      <c r="DZ99" s="143"/>
      <c r="EA99" s="146"/>
      <c r="EB99" s="151" t="s">
        <v>20</v>
      </c>
      <c r="EC99" s="138"/>
      <c r="ED99" s="172"/>
      <c r="EE99" s="140">
        <f t="shared" si="263"/>
        <v>0</v>
      </c>
      <c r="EF99" s="150"/>
      <c r="EG99" s="528"/>
      <c r="EH99" s="143"/>
      <c r="EI99" s="146"/>
      <c r="EJ99" s="151" t="s">
        <v>20</v>
      </c>
      <c r="EK99" s="138"/>
      <c r="EL99" s="172"/>
      <c r="EM99" s="140">
        <f t="shared" si="264"/>
        <v>0</v>
      </c>
      <c r="EN99" s="150"/>
      <c r="EO99" s="528"/>
      <c r="EP99" s="143"/>
      <c r="EQ99" s="146"/>
      <c r="ER99" s="151" t="s">
        <v>20</v>
      </c>
      <c r="ES99" s="138"/>
      <c r="ET99" s="172"/>
      <c r="EU99" s="140">
        <f t="shared" si="265"/>
        <v>0</v>
      </c>
      <c r="EV99" s="150"/>
      <c r="EW99" s="528"/>
      <c r="EX99" s="143"/>
      <c r="EY99" s="146"/>
      <c r="EZ99" s="151" t="s">
        <v>20</v>
      </c>
      <c r="FA99" s="138"/>
      <c r="FB99" s="172"/>
      <c r="FC99" s="140">
        <f t="shared" si="266"/>
        <v>0</v>
      </c>
      <c r="FD99" s="150"/>
      <c r="FE99" s="528"/>
      <c r="FF99" s="143"/>
      <c r="FG99" s="146"/>
      <c r="FH99" s="151" t="s">
        <v>20</v>
      </c>
      <c r="FI99" s="138"/>
      <c r="FJ99" s="172"/>
      <c r="FK99" s="140">
        <f t="shared" si="267"/>
        <v>0</v>
      </c>
      <c r="FL99" s="150"/>
      <c r="FM99" s="528"/>
      <c r="FN99" s="143"/>
      <c r="FO99" s="146"/>
      <c r="FP99" s="151" t="s">
        <v>20</v>
      </c>
      <c r="FQ99" s="138"/>
      <c r="FR99" s="172"/>
      <c r="FS99" s="140">
        <f t="shared" si="268"/>
        <v>0</v>
      </c>
      <c r="FT99" s="150"/>
      <c r="FU99" s="528"/>
      <c r="FV99" s="143"/>
      <c r="FW99" s="146"/>
      <c r="FX99" s="151" t="s">
        <v>20</v>
      </c>
      <c r="FY99" s="138"/>
      <c r="FZ99" s="172"/>
      <c r="GA99" s="140">
        <f t="shared" si="269"/>
        <v>0</v>
      </c>
      <c r="GB99" s="150"/>
      <c r="GC99" s="528"/>
      <c r="GD99" s="143"/>
      <c r="GE99" s="146"/>
      <c r="GF99" s="151" t="s">
        <v>20</v>
      </c>
      <c r="GG99" s="138"/>
      <c r="GH99" s="172"/>
      <c r="GI99" s="140">
        <f t="shared" si="270"/>
        <v>0</v>
      </c>
      <c r="GJ99" s="150"/>
      <c r="GK99" s="528"/>
      <c r="GL99" s="143"/>
      <c r="GM99" s="146"/>
      <c r="GN99" s="151" t="s">
        <v>20</v>
      </c>
      <c r="GO99" s="138">
        <f>'[1]Jan_18_Vol weekly-Data-Entry'!$AO$226</f>
        <v>0</v>
      </c>
      <c r="GP99" s="172"/>
      <c r="GQ99" s="140">
        <f t="shared" si="271"/>
        <v>0</v>
      </c>
      <c r="GR99" s="150"/>
      <c r="GS99" s="528"/>
      <c r="GT99" s="143"/>
      <c r="GU99" s="146"/>
      <c r="GV99" s="151" t="s">
        <v>20</v>
      </c>
      <c r="GW99" s="138">
        <v>0</v>
      </c>
      <c r="GX99" s="172"/>
      <c r="GY99" s="140">
        <f t="shared" si="272"/>
        <v>0</v>
      </c>
      <c r="GZ99" s="150"/>
      <c r="HA99" s="528"/>
      <c r="HB99" s="143"/>
      <c r="HC99" s="146"/>
      <c r="HD99" s="151" t="s">
        <v>20</v>
      </c>
      <c r="HE99" s="138">
        <v>0</v>
      </c>
      <c r="HF99" s="172"/>
      <c r="HG99" s="140">
        <f t="shared" si="273"/>
        <v>0</v>
      </c>
      <c r="HH99" s="150"/>
      <c r="HI99" s="528"/>
      <c r="HJ99" s="143"/>
      <c r="HK99" s="146"/>
      <c r="HL99" s="151" t="s">
        <v>20</v>
      </c>
      <c r="HM99" s="138">
        <v>0</v>
      </c>
      <c r="HN99" s="172"/>
      <c r="HO99" s="140">
        <f t="shared" si="274"/>
        <v>0</v>
      </c>
      <c r="HP99" s="150"/>
      <c r="HQ99" s="528"/>
      <c r="HR99" s="143"/>
      <c r="HS99" s="146"/>
      <c r="HT99" s="151" t="s">
        <v>20</v>
      </c>
      <c r="HU99" s="138">
        <v>0</v>
      </c>
      <c r="HV99" s="172"/>
      <c r="HW99" s="140">
        <f t="shared" si="275"/>
        <v>0</v>
      </c>
      <c r="HX99" s="150"/>
      <c r="HY99" s="528"/>
      <c r="HZ99" s="143"/>
      <c r="IA99" s="146"/>
      <c r="IB99" s="151" t="s">
        <v>20</v>
      </c>
      <c r="IC99" s="138">
        <v>0</v>
      </c>
      <c r="ID99" s="172"/>
      <c r="IE99" s="140">
        <f t="shared" si="276"/>
        <v>0</v>
      </c>
      <c r="IF99" s="150"/>
      <c r="IG99" s="528"/>
      <c r="IH99" s="143"/>
      <c r="II99" s="146"/>
      <c r="IJ99" s="151" t="s">
        <v>20</v>
      </c>
      <c r="IK99" s="138">
        <v>0</v>
      </c>
      <c r="IL99" s="172"/>
      <c r="IM99" s="140">
        <f t="shared" si="277"/>
        <v>0</v>
      </c>
      <c r="IN99" s="150"/>
      <c r="IO99" s="528"/>
      <c r="IP99" s="143"/>
      <c r="IQ99" s="146"/>
      <c r="IR99" s="151" t="s">
        <v>20</v>
      </c>
      <c r="IS99" s="138">
        <v>0</v>
      </c>
      <c r="IT99" s="172"/>
      <c r="IU99" s="140">
        <f t="shared" si="278"/>
        <v>0</v>
      </c>
      <c r="IV99" s="150"/>
      <c r="IW99" s="528"/>
      <c r="IX99" s="143"/>
      <c r="IY99" s="146"/>
      <c r="IZ99" s="151" t="s">
        <v>20</v>
      </c>
      <c r="JA99" s="138">
        <v>0</v>
      </c>
      <c r="JB99" s="172"/>
      <c r="JC99" s="140">
        <f t="shared" si="279"/>
        <v>0</v>
      </c>
      <c r="JD99" s="150"/>
      <c r="JE99" s="528"/>
      <c r="JF99" s="143"/>
      <c r="JG99" s="146"/>
      <c r="JH99" s="151" t="s">
        <v>20</v>
      </c>
      <c r="JI99" s="138">
        <v>0</v>
      </c>
      <c r="JJ99" s="172"/>
      <c r="JK99" s="140">
        <f t="shared" si="280"/>
        <v>0</v>
      </c>
      <c r="JL99" s="150"/>
      <c r="JM99" s="528"/>
      <c r="JN99" s="143"/>
      <c r="JO99" s="146"/>
      <c r="JP99" s="151" t="s">
        <v>20</v>
      </c>
      <c r="JQ99" s="138">
        <v>0</v>
      </c>
      <c r="JR99" s="172"/>
      <c r="JS99" s="140">
        <f t="shared" si="281"/>
        <v>0</v>
      </c>
      <c r="JT99" s="150"/>
      <c r="JU99" s="528"/>
      <c r="JV99" s="143"/>
      <c r="JW99" s="146"/>
      <c r="JX99" s="151" t="s">
        <v>20</v>
      </c>
      <c r="JY99" s="138">
        <v>0</v>
      </c>
      <c r="JZ99" s="172"/>
      <c r="KA99" s="140">
        <f t="shared" si="282"/>
        <v>0</v>
      </c>
      <c r="KB99" s="150"/>
      <c r="KC99" s="528"/>
      <c r="KD99" s="143"/>
      <c r="KE99" s="146"/>
      <c r="KF99" s="151" t="s">
        <v>20</v>
      </c>
      <c r="KG99" s="138">
        <v>0</v>
      </c>
      <c r="KH99" s="172"/>
      <c r="KI99" s="140">
        <f t="shared" si="283"/>
        <v>0</v>
      </c>
      <c r="KJ99" s="150"/>
      <c r="KK99" s="528"/>
      <c r="KL99" s="143"/>
      <c r="KM99" s="146"/>
      <c r="KN99" s="151" t="s">
        <v>20</v>
      </c>
      <c r="KO99" s="138">
        <v>0</v>
      </c>
      <c r="KP99" s="172"/>
      <c r="KQ99" s="140">
        <f t="shared" si="284"/>
        <v>0</v>
      </c>
      <c r="KR99" s="150"/>
      <c r="KS99" s="528"/>
      <c r="KT99" s="143"/>
      <c r="KU99" s="146"/>
      <c r="KV99" s="151" t="s">
        <v>20</v>
      </c>
      <c r="KW99" s="138">
        <v>0</v>
      </c>
      <c r="KX99" s="172"/>
      <c r="KY99" s="140">
        <f t="shared" si="285"/>
        <v>0</v>
      </c>
      <c r="KZ99" s="150"/>
      <c r="LA99" s="528"/>
      <c r="LB99" s="143"/>
      <c r="LC99" s="146"/>
      <c r="LD99" s="151" t="s">
        <v>20</v>
      </c>
      <c r="LE99" s="138">
        <v>0</v>
      </c>
      <c r="LF99" s="172"/>
      <c r="LG99" s="140">
        <f t="shared" si="286"/>
        <v>0</v>
      </c>
      <c r="LH99" s="150"/>
      <c r="LI99" s="528"/>
      <c r="LJ99" s="143"/>
      <c r="LK99" s="146"/>
      <c r="LL99" s="151" t="s">
        <v>20</v>
      </c>
      <c r="LM99" s="175">
        <v>0</v>
      </c>
      <c r="LN99" s="164"/>
      <c r="LO99" s="140">
        <f t="shared" si="287"/>
        <v>0</v>
      </c>
      <c r="LP99" s="150"/>
      <c r="LQ99" s="528"/>
      <c r="LR99" s="143"/>
      <c r="LS99" s="146"/>
      <c r="LT99" s="151" t="s">
        <v>20</v>
      </c>
      <c r="LU99" s="175"/>
      <c r="LV99" s="164"/>
      <c r="LW99" s="140">
        <f t="shared" si="288"/>
        <v>0</v>
      </c>
      <c r="LX99" s="150"/>
      <c r="LY99" s="528"/>
      <c r="LZ99" s="143"/>
      <c r="MA99" s="146"/>
      <c r="MB99" s="151" t="s">
        <v>20</v>
      </c>
      <c r="MC99" s="175"/>
      <c r="MD99" s="164"/>
      <c r="ME99" s="140">
        <f t="shared" si="289"/>
        <v>0</v>
      </c>
      <c r="MF99" s="150"/>
      <c r="MG99" s="528"/>
      <c r="MH99" s="143"/>
      <c r="MI99" s="146"/>
      <c r="MJ99" s="151" t="s">
        <v>20</v>
      </c>
      <c r="MK99" s="175"/>
      <c r="ML99" s="164"/>
      <c r="MM99" s="140">
        <f t="shared" si="290"/>
        <v>0</v>
      </c>
      <c r="MN99" s="150"/>
      <c r="MO99" s="528"/>
      <c r="MP99" s="143"/>
      <c r="MQ99" s="146"/>
      <c r="MR99" s="151" t="s">
        <v>20</v>
      </c>
      <c r="MS99" s="175"/>
      <c r="MT99" s="164"/>
      <c r="MU99" s="140">
        <f t="shared" si="291"/>
        <v>0</v>
      </c>
      <c r="MV99" s="150"/>
      <c r="MW99" s="528"/>
      <c r="MX99" s="162" t="s">
        <v>82</v>
      </c>
      <c r="MY99" s="144">
        <v>2</v>
      </c>
      <c r="MZ99" s="157" t="s">
        <v>14</v>
      </c>
      <c r="NA99" s="175">
        <v>143</v>
      </c>
      <c r="NB99" s="164">
        <v>6.525348837209302</v>
      </c>
      <c r="NC99" s="140">
        <f t="shared" si="292"/>
        <v>933.12488372093014</v>
      </c>
      <c r="ND99" s="159">
        <f>NA99*NB99</f>
        <v>933.12488372093014</v>
      </c>
      <c r="NE99" s="528"/>
      <c r="NF99" s="162" t="s">
        <v>82</v>
      </c>
      <c r="NG99" s="144">
        <v>9</v>
      </c>
      <c r="NH99" s="157" t="s">
        <v>14</v>
      </c>
      <c r="NI99" s="175">
        <v>360</v>
      </c>
      <c r="NJ99" s="164">
        <v>6.525348837209302</v>
      </c>
      <c r="NK99" s="140">
        <f t="shared" si="293"/>
        <v>2349.1255813953489</v>
      </c>
      <c r="NL99" s="159">
        <f>NI99*NJ99</f>
        <v>2349.1255813953489</v>
      </c>
      <c r="NM99" s="528"/>
      <c r="NN99" s="162" t="s">
        <v>82</v>
      </c>
      <c r="NO99" s="144">
        <v>4</v>
      </c>
      <c r="NP99" s="157" t="s">
        <v>14</v>
      </c>
      <c r="NQ99" s="175">
        <v>740</v>
      </c>
      <c r="NR99" s="164">
        <v>6.525348837209302</v>
      </c>
      <c r="NS99" s="140">
        <f t="shared" si="294"/>
        <v>4828.7581395348834</v>
      </c>
      <c r="NT99" s="159">
        <f>NQ99*NR99</f>
        <v>4828.7581395348834</v>
      </c>
      <c r="NU99" s="528"/>
      <c r="NV99" s="162" t="s">
        <v>82</v>
      </c>
      <c r="NW99" s="144">
        <v>6</v>
      </c>
      <c r="NX99" s="157" t="s">
        <v>14</v>
      </c>
      <c r="NY99" s="175">
        <v>1349</v>
      </c>
      <c r="NZ99" s="164">
        <v>6.525348837209302</v>
      </c>
      <c r="OA99" s="140">
        <f t="shared" si="295"/>
        <v>8802.6955813953482</v>
      </c>
      <c r="OB99" s="159">
        <f>NY99*NZ99</f>
        <v>8802.6955813953482</v>
      </c>
      <c r="OC99" s="528"/>
      <c r="OD99" s="162" t="s">
        <v>82</v>
      </c>
      <c r="OE99" s="144">
        <v>11</v>
      </c>
      <c r="OF99" s="157" t="s">
        <v>14</v>
      </c>
      <c r="OG99" s="175">
        <v>1470</v>
      </c>
      <c r="OH99" s="164">
        <v>6.525348837209302</v>
      </c>
      <c r="OI99" s="140">
        <f t="shared" si="296"/>
        <v>9592.2627906976741</v>
      </c>
      <c r="OJ99" s="159">
        <f>OG99*OH99</f>
        <v>9592.2627906976741</v>
      </c>
      <c r="OK99" s="528"/>
      <c r="OL99" s="162" t="s">
        <v>82</v>
      </c>
      <c r="OM99" s="144">
        <v>2</v>
      </c>
      <c r="ON99" s="157" t="s">
        <v>14</v>
      </c>
      <c r="OO99" s="175">
        <v>500</v>
      </c>
      <c r="OP99" s="164">
        <v>6.525348837209302</v>
      </c>
      <c r="OQ99" s="140">
        <f t="shared" si="297"/>
        <v>3262.6744186046512</v>
      </c>
      <c r="OR99" s="159">
        <f>OO99*OP99</f>
        <v>3262.6744186046512</v>
      </c>
      <c r="OS99" s="528"/>
      <c r="OT99" s="162" t="s">
        <v>82</v>
      </c>
      <c r="OU99" s="144"/>
      <c r="OV99" s="157" t="s">
        <v>14</v>
      </c>
      <c r="OW99" s="175"/>
      <c r="OX99" s="164">
        <v>6.525348837209302</v>
      </c>
      <c r="OY99" s="140">
        <f t="shared" si="298"/>
        <v>0</v>
      </c>
      <c r="OZ99" s="159">
        <f>OW99*OX99</f>
        <v>0</v>
      </c>
      <c r="PA99" s="528"/>
      <c r="PB99" s="162" t="s">
        <v>82</v>
      </c>
      <c r="PC99" s="144"/>
      <c r="PD99" s="157" t="s">
        <v>14</v>
      </c>
      <c r="PE99" s="175"/>
      <c r="PF99" s="164">
        <v>6.525348837209302</v>
      </c>
      <c r="PG99" s="140">
        <f t="shared" si="299"/>
        <v>0</v>
      </c>
      <c r="PH99" s="159">
        <f>PE99*PF99</f>
        <v>0</v>
      </c>
      <c r="PI99" s="528"/>
      <c r="PJ99" s="162" t="s">
        <v>82</v>
      </c>
      <c r="PK99" s="144"/>
      <c r="PL99" s="157" t="s">
        <v>14</v>
      </c>
      <c r="PM99" s="175"/>
      <c r="PN99" s="164">
        <v>6.525348837209302</v>
      </c>
      <c r="PO99" s="140">
        <f t="shared" si="300"/>
        <v>0</v>
      </c>
      <c r="PP99" s="159">
        <f>PM99*PN99</f>
        <v>0</v>
      </c>
      <c r="PQ99" s="528"/>
      <c r="PR99" s="162" t="s">
        <v>82</v>
      </c>
      <c r="PS99" s="144"/>
      <c r="PT99" s="157" t="s">
        <v>14</v>
      </c>
      <c r="PU99" s="175"/>
      <c r="PV99" s="164">
        <v>6.525348837209302</v>
      </c>
      <c r="PW99" s="140">
        <f t="shared" si="301"/>
        <v>0</v>
      </c>
      <c r="PX99" s="159">
        <f>PU99*PV99</f>
        <v>0</v>
      </c>
      <c r="PY99" s="528"/>
      <c r="PZ99" s="162" t="s">
        <v>82</v>
      </c>
      <c r="QA99" s="144">
        <v>1</v>
      </c>
      <c r="QB99" s="157" t="s">
        <v>14</v>
      </c>
      <c r="QC99" s="175">
        <v>4</v>
      </c>
      <c r="QD99" s="164">
        <v>6.525348837209302</v>
      </c>
      <c r="QE99" s="140">
        <f t="shared" si="302"/>
        <v>26.101395348837208</v>
      </c>
      <c r="QF99" s="159">
        <f>QC99*QD99</f>
        <v>26.101395348837208</v>
      </c>
      <c r="QG99" s="528"/>
      <c r="QH99" s="162" t="s">
        <v>82</v>
      </c>
      <c r="QI99" s="144"/>
      <c r="QJ99" s="157" t="s">
        <v>14</v>
      </c>
      <c r="QK99" s="175"/>
      <c r="QL99" s="164">
        <v>6.525348837209302</v>
      </c>
      <c r="QM99" s="140">
        <f t="shared" si="303"/>
        <v>0</v>
      </c>
      <c r="QN99" s="159">
        <f>QK99*QL99</f>
        <v>0</v>
      </c>
      <c r="QO99" s="528"/>
      <c r="QP99" s="162" t="s">
        <v>82</v>
      </c>
      <c r="QQ99" s="144">
        <v>2</v>
      </c>
      <c r="QR99" s="157" t="s">
        <v>14</v>
      </c>
      <c r="QS99" s="175">
        <v>17</v>
      </c>
      <c r="QT99" s="164">
        <v>6.525348837209302</v>
      </c>
      <c r="QU99" s="140">
        <f t="shared" si="304"/>
        <v>110.93093023255814</v>
      </c>
      <c r="QV99" s="159">
        <f>QS99*QT99</f>
        <v>110.93093023255814</v>
      </c>
      <c r="QW99" s="528"/>
      <c r="QX99" s="162" t="s">
        <v>82</v>
      </c>
      <c r="QY99" s="144"/>
      <c r="QZ99" s="157" t="s">
        <v>14</v>
      </c>
      <c r="RA99" s="175"/>
      <c r="RB99" s="164">
        <v>6.525348837209302</v>
      </c>
      <c r="RC99" s="140">
        <f t="shared" si="305"/>
        <v>0</v>
      </c>
      <c r="RD99" s="159">
        <f>RA99*RB99</f>
        <v>0</v>
      </c>
      <c r="RE99" s="528"/>
      <c r="RF99" s="162" t="s">
        <v>82</v>
      </c>
      <c r="RG99" s="144"/>
      <c r="RH99" s="157" t="s">
        <v>14</v>
      </c>
      <c r="RI99" s="175"/>
      <c r="RJ99" s="164">
        <v>6.525348837209302</v>
      </c>
      <c r="RK99" s="140">
        <f t="shared" si="306"/>
        <v>0</v>
      </c>
      <c r="RL99" s="159">
        <f>RI99*RJ99</f>
        <v>0</v>
      </c>
      <c r="RM99" s="528"/>
      <c r="RN99" s="162" t="s">
        <v>82</v>
      </c>
      <c r="RO99" s="144">
        <v>3</v>
      </c>
      <c r="RP99" s="157" t="s">
        <v>14</v>
      </c>
      <c r="RQ99" s="175">
        <v>174</v>
      </c>
      <c r="RR99" s="164">
        <v>6.525348837209302</v>
      </c>
      <c r="RS99" s="140">
        <f t="shared" si="307"/>
        <v>1135.4106976744185</v>
      </c>
      <c r="RT99" s="159">
        <f>RQ99*RR99</f>
        <v>1135.4106976744185</v>
      </c>
      <c r="RU99" s="528"/>
      <c r="RV99" s="162" t="s">
        <v>82</v>
      </c>
      <c r="RW99" s="144"/>
      <c r="RX99" s="157" t="s">
        <v>14</v>
      </c>
      <c r="RY99" s="175"/>
      <c r="RZ99" s="164">
        <v>6.525348837209302</v>
      </c>
      <c r="SA99" s="140">
        <f t="shared" si="308"/>
        <v>0</v>
      </c>
      <c r="SB99" s="159">
        <f>RY99*RZ99</f>
        <v>0</v>
      </c>
      <c r="SC99" s="528"/>
      <c r="SD99" s="162" t="s">
        <v>82</v>
      </c>
      <c r="SE99" s="144"/>
      <c r="SF99" s="157" t="s">
        <v>14</v>
      </c>
      <c r="SG99" s="175"/>
      <c r="SH99" s="164">
        <v>6.525348837209302</v>
      </c>
      <c r="SI99" s="140">
        <f t="shared" si="309"/>
        <v>0</v>
      </c>
      <c r="SJ99" s="159">
        <f>SG99*SH99</f>
        <v>0</v>
      </c>
      <c r="SK99" s="528"/>
      <c r="SL99" s="162" t="s">
        <v>82</v>
      </c>
      <c r="SM99" s="144"/>
      <c r="SN99" s="157" t="s">
        <v>14</v>
      </c>
      <c r="SO99" s="175"/>
      <c r="SP99" s="164">
        <v>6.525348837209302</v>
      </c>
      <c r="SQ99" s="140">
        <f t="shared" si="310"/>
        <v>0</v>
      </c>
      <c r="SR99" s="159">
        <f>SO99*SP99</f>
        <v>0</v>
      </c>
      <c r="SS99" s="528"/>
      <c r="ST99" s="162" t="s">
        <v>82</v>
      </c>
      <c r="SU99" s="144"/>
      <c r="SV99" s="157" t="s">
        <v>14</v>
      </c>
      <c r="SW99" s="175"/>
      <c r="SX99" s="164">
        <v>6.525348837209302</v>
      </c>
      <c r="SY99" s="140">
        <f t="shared" si="311"/>
        <v>0</v>
      </c>
      <c r="SZ99" s="159">
        <f>SW99*SX99</f>
        <v>0</v>
      </c>
      <c r="TA99" s="528"/>
      <c r="TB99" s="162" t="s">
        <v>82</v>
      </c>
      <c r="TC99" s="144"/>
      <c r="TD99" s="157" t="s">
        <v>14</v>
      </c>
      <c r="TE99" s="175"/>
      <c r="TF99" s="164">
        <v>6.525348837209302</v>
      </c>
      <c r="TG99" s="140">
        <f t="shared" si="312"/>
        <v>0</v>
      </c>
      <c r="TH99" s="159">
        <f>TE99*TF99</f>
        <v>0</v>
      </c>
      <c r="TI99" s="528"/>
    </row>
    <row r="100" spans="2:529">
      <c r="B100" s="145"/>
      <c r="C100" s="146"/>
      <c r="D100" s="157" t="s">
        <v>84</v>
      </c>
      <c r="E100" s="138">
        <v>0</v>
      </c>
      <c r="F100" s="172"/>
      <c r="G100" s="140">
        <f t="shared" si="247"/>
        <v>0</v>
      </c>
      <c r="H100" s="154"/>
      <c r="I100" s="528"/>
      <c r="J100" s="145"/>
      <c r="K100" s="146">
        <v>5</v>
      </c>
      <c r="L100" s="157" t="s">
        <v>84</v>
      </c>
      <c r="M100" s="138">
        <v>0</v>
      </c>
      <c r="N100" s="172"/>
      <c r="O100" s="140">
        <f t="shared" si="248"/>
        <v>0</v>
      </c>
      <c r="P100" s="154"/>
      <c r="Q100" s="528"/>
      <c r="R100" s="145"/>
      <c r="S100" s="146">
        <v>5</v>
      </c>
      <c r="T100" s="157" t="s">
        <v>84</v>
      </c>
      <c r="U100" s="138">
        <v>0</v>
      </c>
      <c r="V100" s="172"/>
      <c r="W100" s="140">
        <f t="shared" si="249"/>
        <v>0</v>
      </c>
      <c r="X100" s="154"/>
      <c r="Y100" s="528"/>
      <c r="Z100" s="145"/>
      <c r="AA100" s="146">
        <v>5</v>
      </c>
      <c r="AB100" s="157" t="s">
        <v>84</v>
      </c>
      <c r="AC100" s="138">
        <v>0</v>
      </c>
      <c r="AD100" s="172"/>
      <c r="AE100" s="140">
        <f t="shared" si="250"/>
        <v>0</v>
      </c>
      <c r="AF100" s="154"/>
      <c r="AG100" s="528"/>
      <c r="AH100" s="145"/>
      <c r="AI100" s="146">
        <v>5</v>
      </c>
      <c r="AJ100" s="157" t="s">
        <v>84</v>
      </c>
      <c r="AK100" s="138">
        <v>0</v>
      </c>
      <c r="AL100" s="172"/>
      <c r="AM100" s="140">
        <f t="shared" si="251"/>
        <v>0</v>
      </c>
      <c r="AN100" s="154"/>
      <c r="AO100" s="528"/>
      <c r="AP100" s="145"/>
      <c r="AQ100" s="146">
        <v>5</v>
      </c>
      <c r="AR100" s="157" t="s">
        <v>84</v>
      </c>
      <c r="AS100" s="138">
        <v>0</v>
      </c>
      <c r="AT100" s="172"/>
      <c r="AU100" s="140">
        <f t="shared" si="252"/>
        <v>0</v>
      </c>
      <c r="AV100" s="154"/>
      <c r="AW100" s="528"/>
      <c r="AX100" s="145"/>
      <c r="AY100" s="146">
        <v>5</v>
      </c>
      <c r="AZ100" s="157" t="s">
        <v>84</v>
      </c>
      <c r="BA100" s="138"/>
      <c r="BB100" s="172"/>
      <c r="BC100" s="140">
        <f t="shared" si="253"/>
        <v>0</v>
      </c>
      <c r="BD100" s="154"/>
      <c r="BE100" s="528"/>
      <c r="BF100" s="145"/>
      <c r="BG100" s="146">
        <v>5</v>
      </c>
      <c r="BH100" s="157" t="s">
        <v>84</v>
      </c>
      <c r="BI100" s="138">
        <v>0</v>
      </c>
      <c r="BJ100" s="172"/>
      <c r="BK100" s="140">
        <f t="shared" si="254"/>
        <v>0</v>
      </c>
      <c r="BL100" s="154"/>
      <c r="BM100" s="528"/>
      <c r="BN100" s="145"/>
      <c r="BO100" s="146">
        <v>5</v>
      </c>
      <c r="BP100" s="157" t="s">
        <v>84</v>
      </c>
      <c r="BQ100" s="138">
        <v>0</v>
      </c>
      <c r="BR100" s="172"/>
      <c r="BS100" s="140">
        <f t="shared" si="255"/>
        <v>0</v>
      </c>
      <c r="BT100" s="154"/>
      <c r="BU100" s="528"/>
      <c r="BV100" s="536"/>
      <c r="BW100" s="537"/>
      <c r="BX100" s="574" t="s">
        <v>84</v>
      </c>
      <c r="BY100" s="560"/>
      <c r="BZ100" s="587"/>
      <c r="CA100" s="562">
        <f t="shared" si="256"/>
        <v>0</v>
      </c>
      <c r="CB100" s="571"/>
      <c r="CC100" s="528"/>
      <c r="CD100" s="536"/>
      <c r="CE100" s="537"/>
      <c r="CF100" s="574" t="s">
        <v>84</v>
      </c>
      <c r="CG100" s="560"/>
      <c r="CH100" s="587"/>
      <c r="CI100" s="562">
        <f t="shared" si="257"/>
        <v>0</v>
      </c>
      <c r="CJ100" s="571"/>
      <c r="CK100" s="528"/>
      <c r="CL100" s="145"/>
      <c r="CM100" s="146">
        <v>5</v>
      </c>
      <c r="CN100" s="157" t="s">
        <v>84</v>
      </c>
      <c r="CO100" s="138"/>
      <c r="CP100" s="172"/>
      <c r="CQ100" s="140">
        <f t="shared" si="258"/>
        <v>0</v>
      </c>
      <c r="CR100" s="154"/>
      <c r="CS100" s="528"/>
      <c r="CT100" s="145"/>
      <c r="CU100" s="146">
        <v>5</v>
      </c>
      <c r="CV100" s="157" t="s">
        <v>84</v>
      </c>
      <c r="CW100" s="138">
        <v>0</v>
      </c>
      <c r="CX100" s="172"/>
      <c r="CY100" s="140">
        <f t="shared" si="259"/>
        <v>0</v>
      </c>
      <c r="CZ100" s="154"/>
      <c r="DA100" s="528"/>
      <c r="DB100" s="145"/>
      <c r="DC100" s="146"/>
      <c r="DD100" s="157" t="s">
        <v>84</v>
      </c>
      <c r="DE100" s="138"/>
      <c r="DF100" s="172"/>
      <c r="DG100" s="140">
        <f t="shared" si="260"/>
        <v>0</v>
      </c>
      <c r="DH100" s="154"/>
      <c r="DI100" s="528"/>
      <c r="DJ100" s="145"/>
      <c r="DK100" s="146"/>
      <c r="DL100" s="157" t="s">
        <v>84</v>
      </c>
      <c r="DM100" s="138">
        <v>0</v>
      </c>
      <c r="DN100" s="172"/>
      <c r="DO100" s="140">
        <f t="shared" si="261"/>
        <v>0</v>
      </c>
      <c r="DP100" s="154"/>
      <c r="DQ100" s="528"/>
      <c r="DR100" s="145"/>
      <c r="DS100" s="146"/>
      <c r="DT100" s="157" t="s">
        <v>84</v>
      </c>
      <c r="DU100" s="138"/>
      <c r="DV100" s="172"/>
      <c r="DW100" s="140">
        <f t="shared" si="262"/>
        <v>0</v>
      </c>
      <c r="DX100" s="154"/>
      <c r="DY100" s="528"/>
      <c r="DZ100" s="145"/>
      <c r="EA100" s="146"/>
      <c r="EB100" s="157" t="s">
        <v>84</v>
      </c>
      <c r="EC100" s="138"/>
      <c r="ED100" s="172"/>
      <c r="EE100" s="140">
        <f t="shared" si="263"/>
        <v>0</v>
      </c>
      <c r="EF100" s="154"/>
      <c r="EG100" s="528"/>
      <c r="EH100" s="145"/>
      <c r="EI100" s="146"/>
      <c r="EJ100" s="157" t="s">
        <v>84</v>
      </c>
      <c r="EK100" s="138"/>
      <c r="EL100" s="172"/>
      <c r="EM100" s="140">
        <f t="shared" si="264"/>
        <v>0</v>
      </c>
      <c r="EN100" s="154"/>
      <c r="EO100" s="528"/>
      <c r="EP100" s="145"/>
      <c r="EQ100" s="146"/>
      <c r="ER100" s="157" t="s">
        <v>84</v>
      </c>
      <c r="ES100" s="138"/>
      <c r="ET100" s="172"/>
      <c r="EU100" s="140">
        <f t="shared" si="265"/>
        <v>0</v>
      </c>
      <c r="EV100" s="154"/>
      <c r="EW100" s="528"/>
      <c r="EX100" s="145"/>
      <c r="EY100" s="146"/>
      <c r="EZ100" s="157" t="s">
        <v>84</v>
      </c>
      <c r="FA100" s="138"/>
      <c r="FB100" s="172"/>
      <c r="FC100" s="140">
        <f t="shared" si="266"/>
        <v>0</v>
      </c>
      <c r="FD100" s="154"/>
      <c r="FE100" s="528"/>
      <c r="FF100" s="145"/>
      <c r="FG100" s="146"/>
      <c r="FH100" s="157" t="s">
        <v>84</v>
      </c>
      <c r="FI100" s="138"/>
      <c r="FJ100" s="172"/>
      <c r="FK100" s="140">
        <f t="shared" si="267"/>
        <v>0</v>
      </c>
      <c r="FL100" s="154"/>
      <c r="FM100" s="528"/>
      <c r="FN100" s="145"/>
      <c r="FO100" s="146"/>
      <c r="FP100" s="157" t="s">
        <v>84</v>
      </c>
      <c r="FQ100" s="138"/>
      <c r="FR100" s="172"/>
      <c r="FS100" s="140">
        <f t="shared" si="268"/>
        <v>0</v>
      </c>
      <c r="FT100" s="154"/>
      <c r="FU100" s="528"/>
      <c r="FV100" s="145"/>
      <c r="FW100" s="146"/>
      <c r="FX100" s="157" t="s">
        <v>84</v>
      </c>
      <c r="FY100" s="138"/>
      <c r="FZ100" s="172"/>
      <c r="GA100" s="140">
        <f t="shared" si="269"/>
        <v>0</v>
      </c>
      <c r="GB100" s="154"/>
      <c r="GC100" s="528"/>
      <c r="GD100" s="145"/>
      <c r="GE100" s="146"/>
      <c r="GF100" s="157" t="s">
        <v>84</v>
      </c>
      <c r="GG100" s="138"/>
      <c r="GH100" s="172"/>
      <c r="GI100" s="140">
        <f t="shared" si="270"/>
        <v>0</v>
      </c>
      <c r="GJ100" s="154"/>
      <c r="GK100" s="528"/>
      <c r="GL100" s="145"/>
      <c r="GM100" s="146"/>
      <c r="GN100" s="157" t="s">
        <v>84</v>
      </c>
      <c r="GO100" s="138">
        <f>'[1]Jan_18_Vol weekly-Data-Entry'!$AP$226</f>
        <v>0</v>
      </c>
      <c r="GP100" s="172"/>
      <c r="GQ100" s="140">
        <f t="shared" si="271"/>
        <v>0</v>
      </c>
      <c r="GR100" s="154"/>
      <c r="GS100" s="528"/>
      <c r="GT100" s="145"/>
      <c r="GU100" s="146"/>
      <c r="GV100" s="157" t="s">
        <v>84</v>
      </c>
      <c r="GW100" s="138">
        <v>0</v>
      </c>
      <c r="GX100" s="172"/>
      <c r="GY100" s="140">
        <f t="shared" si="272"/>
        <v>0</v>
      </c>
      <c r="GZ100" s="154"/>
      <c r="HA100" s="528"/>
      <c r="HB100" s="145"/>
      <c r="HC100" s="146"/>
      <c r="HD100" s="157" t="s">
        <v>84</v>
      </c>
      <c r="HE100" s="138">
        <v>0</v>
      </c>
      <c r="HF100" s="172"/>
      <c r="HG100" s="140">
        <f t="shared" si="273"/>
        <v>0</v>
      </c>
      <c r="HH100" s="154"/>
      <c r="HI100" s="528"/>
      <c r="HJ100" s="145"/>
      <c r="HK100" s="146"/>
      <c r="HL100" s="157" t="s">
        <v>84</v>
      </c>
      <c r="HM100" s="138">
        <v>0</v>
      </c>
      <c r="HN100" s="172"/>
      <c r="HO100" s="140">
        <f t="shared" si="274"/>
        <v>0</v>
      </c>
      <c r="HP100" s="154"/>
      <c r="HQ100" s="528"/>
      <c r="HR100" s="145"/>
      <c r="HS100" s="146"/>
      <c r="HT100" s="157" t="s">
        <v>84</v>
      </c>
      <c r="HU100" s="138">
        <v>0</v>
      </c>
      <c r="HV100" s="172"/>
      <c r="HW100" s="140">
        <f t="shared" si="275"/>
        <v>0</v>
      </c>
      <c r="HX100" s="154"/>
      <c r="HY100" s="528"/>
      <c r="HZ100" s="145"/>
      <c r="IA100" s="146"/>
      <c r="IB100" s="157" t="s">
        <v>84</v>
      </c>
      <c r="IC100" s="138">
        <v>0</v>
      </c>
      <c r="ID100" s="172"/>
      <c r="IE100" s="140">
        <f t="shared" si="276"/>
        <v>0</v>
      </c>
      <c r="IF100" s="154"/>
      <c r="IG100" s="528"/>
      <c r="IH100" s="145"/>
      <c r="II100" s="146"/>
      <c r="IJ100" s="157" t="s">
        <v>84</v>
      </c>
      <c r="IK100" s="138">
        <v>0</v>
      </c>
      <c r="IL100" s="172"/>
      <c r="IM100" s="140">
        <f t="shared" si="277"/>
        <v>0</v>
      </c>
      <c r="IN100" s="154"/>
      <c r="IO100" s="528"/>
      <c r="IP100" s="145"/>
      <c r="IQ100" s="146"/>
      <c r="IR100" s="157" t="s">
        <v>84</v>
      </c>
      <c r="IS100" s="138">
        <v>0</v>
      </c>
      <c r="IT100" s="172"/>
      <c r="IU100" s="140">
        <f t="shared" si="278"/>
        <v>0</v>
      </c>
      <c r="IV100" s="154"/>
      <c r="IW100" s="528"/>
      <c r="IX100" s="145"/>
      <c r="IY100" s="146"/>
      <c r="IZ100" s="157" t="s">
        <v>84</v>
      </c>
      <c r="JA100" s="138">
        <v>0</v>
      </c>
      <c r="JB100" s="172"/>
      <c r="JC100" s="140">
        <f t="shared" si="279"/>
        <v>0</v>
      </c>
      <c r="JD100" s="154"/>
      <c r="JE100" s="528"/>
      <c r="JF100" s="145"/>
      <c r="JG100" s="146"/>
      <c r="JH100" s="157" t="s">
        <v>84</v>
      </c>
      <c r="JI100" s="138">
        <v>0</v>
      </c>
      <c r="JJ100" s="172"/>
      <c r="JK100" s="140">
        <f t="shared" si="280"/>
        <v>0</v>
      </c>
      <c r="JL100" s="154"/>
      <c r="JM100" s="528"/>
      <c r="JN100" s="145"/>
      <c r="JO100" s="146"/>
      <c r="JP100" s="157" t="s">
        <v>84</v>
      </c>
      <c r="JQ100" s="138">
        <v>0</v>
      </c>
      <c r="JR100" s="172"/>
      <c r="JS100" s="140">
        <f t="shared" si="281"/>
        <v>0</v>
      </c>
      <c r="JT100" s="154"/>
      <c r="JU100" s="528"/>
      <c r="JV100" s="145"/>
      <c r="JW100" s="146"/>
      <c r="JX100" s="157" t="s">
        <v>84</v>
      </c>
      <c r="JY100" s="138">
        <v>0</v>
      </c>
      <c r="JZ100" s="172"/>
      <c r="KA100" s="140">
        <f t="shared" si="282"/>
        <v>0</v>
      </c>
      <c r="KB100" s="154"/>
      <c r="KC100" s="528"/>
      <c r="KD100" s="145"/>
      <c r="KE100" s="146"/>
      <c r="KF100" s="157" t="s">
        <v>84</v>
      </c>
      <c r="KG100" s="138">
        <v>0</v>
      </c>
      <c r="KH100" s="172"/>
      <c r="KI100" s="140">
        <f t="shared" si="283"/>
        <v>0</v>
      </c>
      <c r="KJ100" s="154"/>
      <c r="KK100" s="528"/>
      <c r="KL100" s="145"/>
      <c r="KM100" s="146"/>
      <c r="KN100" s="157" t="s">
        <v>84</v>
      </c>
      <c r="KO100" s="138">
        <v>0</v>
      </c>
      <c r="KP100" s="172"/>
      <c r="KQ100" s="140">
        <f t="shared" si="284"/>
        <v>0</v>
      </c>
      <c r="KR100" s="154"/>
      <c r="KS100" s="528"/>
      <c r="KT100" s="145"/>
      <c r="KU100" s="146"/>
      <c r="KV100" s="157" t="s">
        <v>84</v>
      </c>
      <c r="KW100" s="138">
        <v>0</v>
      </c>
      <c r="KX100" s="172"/>
      <c r="KY100" s="140">
        <f t="shared" si="285"/>
        <v>0</v>
      </c>
      <c r="KZ100" s="154"/>
      <c r="LA100" s="528"/>
      <c r="LB100" s="145"/>
      <c r="LC100" s="146"/>
      <c r="LD100" s="157" t="s">
        <v>84</v>
      </c>
      <c r="LE100" s="138">
        <v>0</v>
      </c>
      <c r="LF100" s="172"/>
      <c r="LG100" s="140">
        <f t="shared" si="286"/>
        <v>0</v>
      </c>
      <c r="LH100" s="154"/>
      <c r="LI100" s="528"/>
      <c r="LJ100" s="145"/>
      <c r="LK100" s="146"/>
      <c r="LL100" s="157" t="s">
        <v>84</v>
      </c>
      <c r="LM100" s="175">
        <v>0</v>
      </c>
      <c r="LN100" s="164"/>
      <c r="LO100" s="140">
        <f t="shared" si="287"/>
        <v>0</v>
      </c>
      <c r="LP100" s="154"/>
      <c r="LQ100" s="528"/>
      <c r="LR100" s="145"/>
      <c r="LS100" s="146"/>
      <c r="LT100" s="157" t="s">
        <v>84</v>
      </c>
      <c r="LU100" s="175"/>
      <c r="LV100" s="164"/>
      <c r="LW100" s="140">
        <f t="shared" si="288"/>
        <v>0</v>
      </c>
      <c r="LX100" s="154"/>
      <c r="LY100" s="528"/>
      <c r="LZ100" s="145"/>
      <c r="MA100" s="146"/>
      <c r="MB100" s="157" t="s">
        <v>84</v>
      </c>
      <c r="MC100" s="175"/>
      <c r="MD100" s="164"/>
      <c r="ME100" s="140">
        <f t="shared" si="289"/>
        <v>0</v>
      </c>
      <c r="MF100" s="154"/>
      <c r="MG100" s="528"/>
      <c r="MH100" s="145"/>
      <c r="MI100" s="146"/>
      <c r="MJ100" s="157" t="s">
        <v>84</v>
      </c>
      <c r="MK100" s="175"/>
      <c r="ML100" s="164"/>
      <c r="MM100" s="140">
        <f t="shared" si="290"/>
        <v>0</v>
      </c>
      <c r="MN100" s="154"/>
      <c r="MO100" s="528"/>
      <c r="MP100" s="145"/>
      <c r="MQ100" s="146"/>
      <c r="MR100" s="157" t="s">
        <v>84</v>
      </c>
      <c r="MS100" s="175"/>
      <c r="MT100" s="164"/>
      <c r="MU100" s="140">
        <f t="shared" si="291"/>
        <v>0</v>
      </c>
      <c r="MV100" s="154"/>
      <c r="MW100" s="528"/>
      <c r="MX100" s="680" t="s">
        <v>354</v>
      </c>
      <c r="MY100" s="681"/>
      <c r="MZ100" s="682" t="s">
        <v>14</v>
      </c>
      <c r="NA100" s="683"/>
      <c r="NB100" s="684"/>
      <c r="NC100" s="685">
        <f t="shared" si="292"/>
        <v>0</v>
      </c>
      <c r="ND100" s="685">
        <f>NB100*NC100</f>
        <v>0</v>
      </c>
      <c r="NE100" s="528"/>
      <c r="NF100" s="680" t="s">
        <v>354</v>
      </c>
      <c r="NG100" s="681"/>
      <c r="NH100" s="682" t="s">
        <v>14</v>
      </c>
      <c r="NI100" s="683"/>
      <c r="NJ100" s="684"/>
      <c r="NK100" s="685">
        <f t="shared" si="293"/>
        <v>0</v>
      </c>
      <c r="NL100" s="685">
        <f>NJ100*NK100</f>
        <v>0</v>
      </c>
      <c r="NM100" s="528"/>
      <c r="NN100" s="680" t="s">
        <v>354</v>
      </c>
      <c r="NO100" s="681"/>
      <c r="NP100" s="682" t="s">
        <v>14</v>
      </c>
      <c r="NQ100" s="683"/>
      <c r="NR100" s="684"/>
      <c r="NS100" s="685">
        <f t="shared" si="294"/>
        <v>0</v>
      </c>
      <c r="NT100" s="685">
        <f>NR100*NS100</f>
        <v>0</v>
      </c>
      <c r="NU100" s="528"/>
      <c r="NV100" s="680" t="s">
        <v>354</v>
      </c>
      <c r="NW100" s="681"/>
      <c r="NX100" s="682" t="s">
        <v>14</v>
      </c>
      <c r="NY100" s="683"/>
      <c r="NZ100" s="684"/>
      <c r="OA100" s="685">
        <f t="shared" si="295"/>
        <v>0</v>
      </c>
      <c r="OB100" s="685">
        <f>NZ100*OA100</f>
        <v>0</v>
      </c>
      <c r="OC100" s="528"/>
      <c r="OD100" s="680" t="s">
        <v>354</v>
      </c>
      <c r="OE100" s="681"/>
      <c r="OF100" s="682" t="s">
        <v>14</v>
      </c>
      <c r="OG100" s="683"/>
      <c r="OH100" s="684"/>
      <c r="OI100" s="685">
        <f t="shared" si="296"/>
        <v>0</v>
      </c>
      <c r="OJ100" s="685">
        <f>OH100*OI100</f>
        <v>0</v>
      </c>
      <c r="OK100" s="528"/>
      <c r="OL100" s="680" t="s">
        <v>354</v>
      </c>
      <c r="OM100" s="681"/>
      <c r="ON100" s="682" t="s">
        <v>14</v>
      </c>
      <c r="OO100" s="683"/>
      <c r="OP100" s="684"/>
      <c r="OQ100" s="685">
        <f t="shared" si="297"/>
        <v>0</v>
      </c>
      <c r="OR100" s="685">
        <f>OP100*OQ100</f>
        <v>0</v>
      </c>
      <c r="OS100" s="528"/>
      <c r="OT100" s="680" t="s">
        <v>354</v>
      </c>
      <c r="OU100" s="681"/>
      <c r="OV100" s="682" t="s">
        <v>14</v>
      </c>
      <c r="OW100" s="683"/>
      <c r="OX100" s="684"/>
      <c r="OY100" s="685">
        <f t="shared" si="298"/>
        <v>0</v>
      </c>
      <c r="OZ100" s="685">
        <f>OX100*OY100</f>
        <v>0</v>
      </c>
      <c r="PA100" s="528"/>
      <c r="PB100" s="680" t="s">
        <v>354</v>
      </c>
      <c r="PC100" s="681"/>
      <c r="PD100" s="682" t="s">
        <v>14</v>
      </c>
      <c r="PE100" s="683"/>
      <c r="PF100" s="684"/>
      <c r="PG100" s="685">
        <f t="shared" si="299"/>
        <v>0</v>
      </c>
      <c r="PH100" s="685">
        <f>PF100*PG100</f>
        <v>0</v>
      </c>
      <c r="PI100" s="528"/>
      <c r="PJ100" s="680" t="s">
        <v>354</v>
      </c>
      <c r="PK100" s="681"/>
      <c r="PL100" s="682" t="s">
        <v>14</v>
      </c>
      <c r="PM100" s="683"/>
      <c r="PN100" s="684"/>
      <c r="PO100" s="685">
        <f t="shared" si="300"/>
        <v>0</v>
      </c>
      <c r="PP100" s="685">
        <f>PN100*PO100</f>
        <v>0</v>
      </c>
      <c r="PQ100" s="528"/>
      <c r="PR100" s="680" t="s">
        <v>354</v>
      </c>
      <c r="PS100" s="681"/>
      <c r="PT100" s="682" t="s">
        <v>14</v>
      </c>
      <c r="PU100" s="683"/>
      <c r="PV100" s="684"/>
      <c r="PW100" s="685">
        <f t="shared" si="301"/>
        <v>0</v>
      </c>
      <c r="PX100" s="685">
        <f>PV100*PW100</f>
        <v>0</v>
      </c>
      <c r="PY100" s="528"/>
      <c r="PZ100" s="680" t="s">
        <v>354</v>
      </c>
      <c r="QA100" s="681"/>
      <c r="QB100" s="682" t="s">
        <v>14</v>
      </c>
      <c r="QC100" s="683"/>
      <c r="QD100" s="684"/>
      <c r="QE100" s="685">
        <f t="shared" si="302"/>
        <v>0</v>
      </c>
      <c r="QF100" s="685">
        <f>QD100*QE100</f>
        <v>0</v>
      </c>
      <c r="QG100" s="528"/>
      <c r="QH100" s="680" t="s">
        <v>354</v>
      </c>
      <c r="QI100" s="681"/>
      <c r="QJ100" s="682" t="s">
        <v>14</v>
      </c>
      <c r="QK100" s="683"/>
      <c r="QL100" s="684"/>
      <c r="QM100" s="685">
        <f t="shared" si="303"/>
        <v>0</v>
      </c>
      <c r="QN100" s="685">
        <f>QL100*QM100</f>
        <v>0</v>
      </c>
      <c r="QO100" s="528"/>
      <c r="QP100" s="680" t="s">
        <v>354</v>
      </c>
      <c r="QQ100" s="681"/>
      <c r="QR100" s="682" t="s">
        <v>14</v>
      </c>
      <c r="QS100" s="683"/>
      <c r="QT100" s="684"/>
      <c r="QU100" s="685">
        <f t="shared" si="304"/>
        <v>0</v>
      </c>
      <c r="QV100" s="685">
        <f>QT100*QU100</f>
        <v>0</v>
      </c>
      <c r="QW100" s="528"/>
      <c r="QX100" s="680" t="s">
        <v>354</v>
      </c>
      <c r="QY100" s="681"/>
      <c r="QZ100" s="682" t="s">
        <v>14</v>
      </c>
      <c r="RA100" s="683"/>
      <c r="RB100" s="684"/>
      <c r="RC100" s="685">
        <f t="shared" si="305"/>
        <v>0</v>
      </c>
      <c r="RD100" s="685">
        <f>RB100*RC100</f>
        <v>0</v>
      </c>
      <c r="RE100" s="528"/>
      <c r="RF100" s="680" t="s">
        <v>354</v>
      </c>
      <c r="RG100" s="681"/>
      <c r="RH100" s="682" t="s">
        <v>14</v>
      </c>
      <c r="RI100" s="683"/>
      <c r="RJ100" s="684"/>
      <c r="RK100" s="685">
        <f t="shared" si="306"/>
        <v>0</v>
      </c>
      <c r="RL100" s="685">
        <f>RJ100*RK100</f>
        <v>0</v>
      </c>
      <c r="RM100" s="528"/>
      <c r="RN100" s="680" t="s">
        <v>354</v>
      </c>
      <c r="RO100" s="681"/>
      <c r="RP100" s="682" t="s">
        <v>14</v>
      </c>
      <c r="RQ100" s="683"/>
      <c r="RR100" s="684"/>
      <c r="RS100" s="685">
        <f t="shared" si="307"/>
        <v>0</v>
      </c>
      <c r="RT100" s="685">
        <f>RR100*RS100</f>
        <v>0</v>
      </c>
      <c r="RU100" s="528"/>
      <c r="RV100" s="680" t="s">
        <v>354</v>
      </c>
      <c r="RW100" s="681"/>
      <c r="RX100" s="682" t="s">
        <v>14</v>
      </c>
      <c r="RY100" s="683"/>
      <c r="RZ100" s="684"/>
      <c r="SA100" s="685">
        <f t="shared" si="308"/>
        <v>0</v>
      </c>
      <c r="SB100" s="685">
        <f>RZ100*SA100</f>
        <v>0</v>
      </c>
      <c r="SC100" s="528"/>
      <c r="SD100" s="680" t="s">
        <v>354</v>
      </c>
      <c r="SE100" s="681"/>
      <c r="SF100" s="682" t="s">
        <v>14</v>
      </c>
      <c r="SG100" s="683"/>
      <c r="SH100" s="684"/>
      <c r="SI100" s="685">
        <f t="shared" si="309"/>
        <v>0</v>
      </c>
      <c r="SJ100" s="685">
        <f>SH100*SI100</f>
        <v>0</v>
      </c>
      <c r="SK100" s="528"/>
      <c r="SL100" s="680" t="s">
        <v>354</v>
      </c>
      <c r="SM100" s="681"/>
      <c r="SN100" s="682" t="s">
        <v>14</v>
      </c>
      <c r="SO100" s="683"/>
      <c r="SP100" s="684"/>
      <c r="SQ100" s="685">
        <f t="shared" si="310"/>
        <v>0</v>
      </c>
      <c r="SR100" s="685">
        <f>SP100*SQ100</f>
        <v>0</v>
      </c>
      <c r="SS100" s="528"/>
      <c r="ST100" s="680" t="s">
        <v>354</v>
      </c>
      <c r="SU100" s="681"/>
      <c r="SV100" s="682" t="s">
        <v>14</v>
      </c>
      <c r="SW100" s="683"/>
      <c r="SX100" s="684"/>
      <c r="SY100" s="685">
        <f t="shared" si="311"/>
        <v>0</v>
      </c>
      <c r="SZ100" s="685">
        <f>SX100*SY100</f>
        <v>0</v>
      </c>
      <c r="TA100" s="528"/>
      <c r="TB100" s="680" t="s">
        <v>354</v>
      </c>
      <c r="TC100" s="681"/>
      <c r="TD100" s="682" t="s">
        <v>14</v>
      </c>
      <c r="TE100" s="683"/>
      <c r="TF100" s="684"/>
      <c r="TG100" s="685">
        <f t="shared" si="312"/>
        <v>0</v>
      </c>
      <c r="TH100" s="685">
        <f>TF100*TG100</f>
        <v>0</v>
      </c>
      <c r="TI100" s="528"/>
    </row>
    <row r="101" spans="2:529">
      <c r="B101" s="151"/>
      <c r="C101" s="161"/>
      <c r="D101" s="145" t="s">
        <v>85</v>
      </c>
      <c r="E101" s="138">
        <v>0</v>
      </c>
      <c r="F101" s="172"/>
      <c r="G101" s="140">
        <f t="shared" si="247"/>
        <v>0</v>
      </c>
      <c r="H101" s="154">
        <f>SUM(G98:G101)</f>
        <v>56.147500000000001</v>
      </c>
      <c r="I101" s="528"/>
      <c r="J101" s="151"/>
      <c r="K101" s="161">
        <v>10</v>
      </c>
      <c r="L101" s="145" t="s">
        <v>85</v>
      </c>
      <c r="M101" s="138">
        <v>0</v>
      </c>
      <c r="N101" s="172"/>
      <c r="O101" s="140">
        <f t="shared" si="248"/>
        <v>0</v>
      </c>
      <c r="P101" s="154">
        <f>SUM(O98:O101)</f>
        <v>10.6225</v>
      </c>
      <c r="Q101" s="528"/>
      <c r="R101" s="151"/>
      <c r="S101" s="161">
        <v>10</v>
      </c>
      <c r="T101" s="145" t="s">
        <v>85</v>
      </c>
      <c r="U101" s="138">
        <v>0</v>
      </c>
      <c r="V101" s="172"/>
      <c r="W101" s="140">
        <f t="shared" si="249"/>
        <v>0</v>
      </c>
      <c r="X101" s="154">
        <f>SUM(W98:W101)</f>
        <v>1048.5925</v>
      </c>
      <c r="Y101" s="528"/>
      <c r="Z101" s="151"/>
      <c r="AA101" s="161">
        <v>10</v>
      </c>
      <c r="AB101" s="145" t="s">
        <v>85</v>
      </c>
      <c r="AC101" s="138">
        <v>0</v>
      </c>
      <c r="AD101" s="172"/>
      <c r="AE101" s="140">
        <f t="shared" si="250"/>
        <v>0</v>
      </c>
      <c r="AF101" s="154">
        <f>SUM(AE98:AE101)</f>
        <v>698.05000000000007</v>
      </c>
      <c r="AG101" s="528"/>
      <c r="AH101" s="151"/>
      <c r="AI101" s="161">
        <v>10</v>
      </c>
      <c r="AJ101" s="145" t="s">
        <v>85</v>
      </c>
      <c r="AK101" s="138">
        <v>0</v>
      </c>
      <c r="AL101" s="172"/>
      <c r="AM101" s="140">
        <f t="shared" si="251"/>
        <v>0</v>
      </c>
      <c r="AN101" s="154">
        <f>SUM(AM98:AM101)</f>
        <v>2648.0374999999999</v>
      </c>
      <c r="AO101" s="528"/>
      <c r="AP101" s="151"/>
      <c r="AQ101" s="161">
        <v>10</v>
      </c>
      <c r="AR101" s="145" t="s">
        <v>85</v>
      </c>
      <c r="AS101" s="138"/>
      <c r="AT101" s="172"/>
      <c r="AU101" s="140">
        <f t="shared" si="252"/>
        <v>0</v>
      </c>
      <c r="AV101" s="154">
        <f>SUM(AU98:AU101)</f>
        <v>1488.6675</v>
      </c>
      <c r="AW101" s="528"/>
      <c r="AX101" s="151"/>
      <c r="AY101" s="161">
        <v>10</v>
      </c>
      <c r="AZ101" s="145" t="s">
        <v>85</v>
      </c>
      <c r="BA101" s="138"/>
      <c r="BB101" s="172"/>
      <c r="BC101" s="140">
        <f t="shared" si="253"/>
        <v>0</v>
      </c>
      <c r="BD101" s="154">
        <f>SUM(BC98:BC101)</f>
        <v>0</v>
      </c>
      <c r="BE101" s="528"/>
      <c r="BF101" s="151"/>
      <c r="BG101" s="161">
        <v>10</v>
      </c>
      <c r="BH101" s="145" t="s">
        <v>85</v>
      </c>
      <c r="BI101" s="138">
        <v>0</v>
      </c>
      <c r="BJ101" s="172"/>
      <c r="BK101" s="140">
        <f t="shared" si="254"/>
        <v>0</v>
      </c>
      <c r="BL101" s="154">
        <f>SUM(BK98:BK101)</f>
        <v>470.42500000000001</v>
      </c>
      <c r="BM101" s="528"/>
      <c r="BN101" s="151"/>
      <c r="BO101" s="161">
        <v>10</v>
      </c>
      <c r="BP101" s="145" t="s">
        <v>85</v>
      </c>
      <c r="BQ101" s="138"/>
      <c r="BR101" s="172"/>
      <c r="BS101" s="140">
        <f t="shared" si="255"/>
        <v>0</v>
      </c>
      <c r="BT101" s="154">
        <f>SUM(BS98:BS101)</f>
        <v>437.04</v>
      </c>
      <c r="BU101" s="528"/>
      <c r="BV101" s="543"/>
      <c r="BW101" s="577"/>
      <c r="BX101" s="536" t="s">
        <v>85</v>
      </c>
      <c r="BY101" s="560"/>
      <c r="BZ101" s="587"/>
      <c r="CA101" s="562">
        <f t="shared" si="256"/>
        <v>0</v>
      </c>
      <c r="CB101" s="571">
        <f>SUM(CA98:CA101)</f>
        <v>0</v>
      </c>
      <c r="CC101" s="528"/>
      <c r="CD101" s="543"/>
      <c r="CE101" s="577"/>
      <c r="CF101" s="536" t="s">
        <v>85</v>
      </c>
      <c r="CG101" s="560"/>
      <c r="CH101" s="587"/>
      <c r="CI101" s="562">
        <f t="shared" si="257"/>
        <v>0</v>
      </c>
      <c r="CJ101" s="571">
        <f>SUM(CI98:CI101)</f>
        <v>0</v>
      </c>
      <c r="CK101" s="528"/>
      <c r="CL101" s="151"/>
      <c r="CM101" s="161">
        <v>10</v>
      </c>
      <c r="CN101" s="145" t="s">
        <v>85</v>
      </c>
      <c r="CO101" s="138"/>
      <c r="CP101" s="172"/>
      <c r="CQ101" s="140">
        <f t="shared" si="258"/>
        <v>0</v>
      </c>
      <c r="CR101" s="154">
        <f>SUM(CQ98:CQ101)</f>
        <v>0</v>
      </c>
      <c r="CS101" s="528"/>
      <c r="CT101" s="151"/>
      <c r="CU101" s="161">
        <v>10</v>
      </c>
      <c r="CV101" s="145" t="s">
        <v>85</v>
      </c>
      <c r="CW101" s="138">
        <v>0</v>
      </c>
      <c r="CX101" s="172"/>
      <c r="CY101" s="140">
        <f t="shared" si="259"/>
        <v>0</v>
      </c>
      <c r="CZ101" s="154">
        <f>SUM(CY98:CY101)</f>
        <v>625.21</v>
      </c>
      <c r="DA101" s="528"/>
      <c r="DB101" s="151"/>
      <c r="DC101" s="161"/>
      <c r="DD101" s="145" t="s">
        <v>85</v>
      </c>
      <c r="DE101" s="138"/>
      <c r="DF101" s="172"/>
      <c r="DG101" s="140">
        <f t="shared" si="260"/>
        <v>0</v>
      </c>
      <c r="DH101" s="154">
        <f>SUM(DG98:DG101)</f>
        <v>0</v>
      </c>
      <c r="DI101" s="528"/>
      <c r="DJ101" s="151"/>
      <c r="DK101" s="161"/>
      <c r="DL101" s="145" t="s">
        <v>85</v>
      </c>
      <c r="DM101" s="138">
        <v>0</v>
      </c>
      <c r="DN101" s="172"/>
      <c r="DO101" s="140">
        <f t="shared" si="261"/>
        <v>0</v>
      </c>
      <c r="DP101" s="154">
        <f>SUM(DO98:DO101)</f>
        <v>144.16249999999999</v>
      </c>
      <c r="DQ101" s="528"/>
      <c r="DR101" s="151"/>
      <c r="DS101" s="161"/>
      <c r="DT101" s="145" t="s">
        <v>85</v>
      </c>
      <c r="DU101" s="138"/>
      <c r="DV101" s="172"/>
      <c r="DW101" s="140">
        <f t="shared" si="262"/>
        <v>0</v>
      </c>
      <c r="DX101" s="154">
        <f>SUM(DW98:DW101)</f>
        <v>189.6875</v>
      </c>
      <c r="DY101" s="528"/>
      <c r="DZ101" s="151"/>
      <c r="EA101" s="161"/>
      <c r="EB101" s="145" t="s">
        <v>85</v>
      </c>
      <c r="EC101" s="138"/>
      <c r="ED101" s="172"/>
      <c r="EE101" s="140">
        <f t="shared" si="263"/>
        <v>0</v>
      </c>
      <c r="EF101" s="154">
        <f>SUM(EE98:EE101)</f>
        <v>283.77250000000004</v>
      </c>
      <c r="EG101" s="528"/>
      <c r="EH101" s="151"/>
      <c r="EI101" s="161"/>
      <c r="EJ101" s="145" t="s">
        <v>85</v>
      </c>
      <c r="EK101" s="138"/>
      <c r="EL101" s="172"/>
      <c r="EM101" s="140">
        <f t="shared" si="264"/>
        <v>0</v>
      </c>
      <c r="EN101" s="154">
        <f>SUM(EM98:EM101)</f>
        <v>869.52750000000003</v>
      </c>
      <c r="EO101" s="528"/>
      <c r="EP101" s="151"/>
      <c r="EQ101" s="161"/>
      <c r="ER101" s="145" t="s">
        <v>85</v>
      </c>
      <c r="ES101" s="138"/>
      <c r="ET101" s="172"/>
      <c r="EU101" s="140">
        <f t="shared" si="265"/>
        <v>0</v>
      </c>
      <c r="EV101" s="154">
        <f>SUM(EU98:EU101)</f>
        <v>611.55250000000001</v>
      </c>
      <c r="EW101" s="528"/>
      <c r="EX101" s="151"/>
      <c r="EY101" s="161"/>
      <c r="EZ101" s="145" t="s">
        <v>85</v>
      </c>
      <c r="FA101" s="138"/>
      <c r="FB101" s="172"/>
      <c r="FC101" s="140">
        <f t="shared" si="266"/>
        <v>0</v>
      </c>
      <c r="FD101" s="154">
        <f>SUM(FC98:FC101)</f>
        <v>0</v>
      </c>
      <c r="FE101" s="528"/>
      <c r="FF101" s="151"/>
      <c r="FG101" s="161"/>
      <c r="FH101" s="145" t="s">
        <v>85</v>
      </c>
      <c r="FI101" s="138"/>
      <c r="FJ101" s="172"/>
      <c r="FK101" s="140">
        <f t="shared" si="267"/>
        <v>0</v>
      </c>
      <c r="FL101" s="154">
        <f>SUM(FK98:FK101)</f>
        <v>0</v>
      </c>
      <c r="FM101" s="528"/>
      <c r="FN101" s="151"/>
      <c r="FO101" s="161"/>
      <c r="FP101" s="145" t="s">
        <v>85</v>
      </c>
      <c r="FQ101" s="138"/>
      <c r="FR101" s="172"/>
      <c r="FS101" s="140">
        <f t="shared" si="268"/>
        <v>0</v>
      </c>
      <c r="FT101" s="154">
        <f>SUM(FS98:FS101)</f>
        <v>0</v>
      </c>
      <c r="FU101" s="528"/>
      <c r="FV101" s="151"/>
      <c r="FW101" s="161"/>
      <c r="FX101" s="145" t="s">
        <v>85</v>
      </c>
      <c r="FY101" s="138"/>
      <c r="FZ101" s="172"/>
      <c r="GA101" s="140">
        <f t="shared" si="269"/>
        <v>0</v>
      </c>
      <c r="GB101" s="154">
        <f>SUM(GA98:GA101)</f>
        <v>0</v>
      </c>
      <c r="GC101" s="528"/>
      <c r="GD101" s="151"/>
      <c r="GE101" s="161"/>
      <c r="GF101" s="145" t="s">
        <v>85</v>
      </c>
      <c r="GG101" s="138"/>
      <c r="GH101" s="172"/>
      <c r="GI101" s="140">
        <f t="shared" si="270"/>
        <v>0</v>
      </c>
      <c r="GJ101" s="154">
        <f>SUM(GI98:GI101)</f>
        <v>0</v>
      </c>
      <c r="GK101" s="528"/>
      <c r="GL101" s="151"/>
      <c r="GM101" s="161"/>
      <c r="GN101" s="145" t="s">
        <v>85</v>
      </c>
      <c r="GO101" s="138">
        <f>'[1]Jan_18_Vol weekly-Data-Entry'!$AQ$226</f>
        <v>0</v>
      </c>
      <c r="GP101" s="172"/>
      <c r="GQ101" s="140">
        <f t="shared" si="271"/>
        <v>0</v>
      </c>
      <c r="GR101" s="154">
        <f>SUM(GQ98:GQ101)</f>
        <v>0</v>
      </c>
      <c r="GS101" s="528"/>
      <c r="GT101" s="151"/>
      <c r="GU101" s="161"/>
      <c r="GV101" s="145" t="s">
        <v>85</v>
      </c>
      <c r="GW101" s="138">
        <v>0</v>
      </c>
      <c r="GX101" s="172"/>
      <c r="GY101" s="140">
        <f t="shared" si="272"/>
        <v>0</v>
      </c>
      <c r="GZ101" s="154">
        <f>SUM(GY98:GY101)</f>
        <v>1016.725</v>
      </c>
      <c r="HA101" s="528"/>
      <c r="HB101" s="151"/>
      <c r="HC101" s="161"/>
      <c r="HD101" s="145" t="s">
        <v>85</v>
      </c>
      <c r="HE101" s="138">
        <v>0</v>
      </c>
      <c r="HF101" s="172"/>
      <c r="HG101" s="140">
        <f t="shared" si="273"/>
        <v>0</v>
      </c>
      <c r="HH101" s="154">
        <f>SUM(HG98:HG101)</f>
        <v>1048.5925</v>
      </c>
      <c r="HI101" s="528"/>
      <c r="HJ101" s="151"/>
      <c r="HK101" s="161"/>
      <c r="HL101" s="145" t="s">
        <v>85</v>
      </c>
      <c r="HM101" s="138">
        <v>0</v>
      </c>
      <c r="HN101" s="172"/>
      <c r="HO101" s="140">
        <f t="shared" si="274"/>
        <v>0</v>
      </c>
      <c r="HP101" s="154">
        <f>SUM(HO98:HO101)</f>
        <v>452.21500000000003</v>
      </c>
      <c r="HQ101" s="528"/>
      <c r="HR101" s="151"/>
      <c r="HS101" s="161"/>
      <c r="HT101" s="145" t="s">
        <v>85</v>
      </c>
      <c r="HU101" s="138">
        <v>0</v>
      </c>
      <c r="HV101" s="172"/>
      <c r="HW101" s="140">
        <f t="shared" si="275"/>
        <v>0</v>
      </c>
      <c r="HX101" s="154">
        <f>SUM(HW98:HW101)</f>
        <v>816.41500000000008</v>
      </c>
      <c r="HY101" s="528"/>
      <c r="HZ101" s="151"/>
      <c r="IA101" s="161"/>
      <c r="IB101" s="145" t="s">
        <v>85</v>
      </c>
      <c r="IC101" s="138">
        <v>0</v>
      </c>
      <c r="ID101" s="172"/>
      <c r="IE101" s="140">
        <f t="shared" si="276"/>
        <v>0</v>
      </c>
      <c r="IF101" s="154">
        <f>SUM(IE98:IE101)</f>
        <v>25.797499999999999</v>
      </c>
      <c r="IG101" s="528"/>
      <c r="IH101" s="151"/>
      <c r="II101" s="161"/>
      <c r="IJ101" s="145" t="s">
        <v>85</v>
      </c>
      <c r="IK101" s="138">
        <v>0</v>
      </c>
      <c r="IL101" s="172"/>
      <c r="IM101" s="140">
        <f t="shared" si="277"/>
        <v>0</v>
      </c>
      <c r="IN101" s="154">
        <f>SUM(IM98:IM101)</f>
        <v>725.36500000000001</v>
      </c>
      <c r="IO101" s="528"/>
      <c r="IP101" s="151"/>
      <c r="IQ101" s="161"/>
      <c r="IR101" s="145" t="s">
        <v>85</v>
      </c>
      <c r="IS101" s="138">
        <v>0</v>
      </c>
      <c r="IT101" s="172"/>
      <c r="IU101" s="140">
        <f t="shared" si="278"/>
        <v>0</v>
      </c>
      <c r="IV101" s="154">
        <f>SUM(IU98:IU101)</f>
        <v>1118.3975</v>
      </c>
      <c r="IW101" s="528"/>
      <c r="IX101" s="151"/>
      <c r="IY101" s="161"/>
      <c r="IZ101" s="145" t="s">
        <v>85</v>
      </c>
      <c r="JA101" s="138">
        <v>0</v>
      </c>
      <c r="JB101" s="172"/>
      <c r="JC101" s="140">
        <f t="shared" si="279"/>
        <v>0</v>
      </c>
      <c r="JD101" s="154">
        <f>SUM(JC98:JC101)</f>
        <v>264.04500000000002</v>
      </c>
      <c r="JE101" s="528"/>
      <c r="JF101" s="151"/>
      <c r="JG101" s="161"/>
      <c r="JH101" s="145" t="s">
        <v>85</v>
      </c>
      <c r="JI101" s="138">
        <v>0</v>
      </c>
      <c r="JJ101" s="172"/>
      <c r="JK101" s="140">
        <f t="shared" si="280"/>
        <v>0</v>
      </c>
      <c r="JL101" s="154">
        <f>SUM(JK98:JK101)</f>
        <v>270.11500000000001</v>
      </c>
      <c r="JM101" s="528"/>
      <c r="JN101" s="151"/>
      <c r="JO101" s="161"/>
      <c r="JP101" s="145" t="s">
        <v>85</v>
      </c>
      <c r="JQ101" s="138">
        <v>0</v>
      </c>
      <c r="JR101" s="172"/>
      <c r="JS101" s="140">
        <f t="shared" si="281"/>
        <v>0</v>
      </c>
      <c r="JT101" s="154">
        <f>SUM(JS98:JS101)</f>
        <v>230.66000000000003</v>
      </c>
      <c r="JU101" s="528"/>
      <c r="JV101" s="151"/>
      <c r="JW101" s="161"/>
      <c r="JX101" s="145" t="s">
        <v>85</v>
      </c>
      <c r="JY101" s="138">
        <v>0</v>
      </c>
      <c r="JZ101" s="172"/>
      <c r="KA101" s="140">
        <f t="shared" si="282"/>
        <v>0</v>
      </c>
      <c r="KB101" s="154">
        <f>SUM(KA98:KA101)</f>
        <v>497.74</v>
      </c>
      <c r="KC101" s="528"/>
      <c r="KD101" s="151"/>
      <c r="KE101" s="161"/>
      <c r="KF101" s="145" t="s">
        <v>85</v>
      </c>
      <c r="KG101" s="138">
        <v>0</v>
      </c>
      <c r="KH101" s="172"/>
      <c r="KI101" s="140">
        <f t="shared" si="283"/>
        <v>0</v>
      </c>
      <c r="KJ101" s="154">
        <f>SUM(KI98:KI101)</f>
        <v>731.43500000000006</v>
      </c>
      <c r="KK101" s="528"/>
      <c r="KL101" s="151"/>
      <c r="KM101" s="161"/>
      <c r="KN101" s="145" t="s">
        <v>85</v>
      </c>
      <c r="KO101" s="138">
        <v>0</v>
      </c>
      <c r="KP101" s="172"/>
      <c r="KQ101" s="140">
        <f t="shared" si="284"/>
        <v>0</v>
      </c>
      <c r="KR101" s="154">
        <f>SUM(KQ98:KQ101)</f>
        <v>10.6225</v>
      </c>
      <c r="KS101" s="528"/>
      <c r="KT101" s="151"/>
      <c r="KU101" s="161"/>
      <c r="KV101" s="145" t="s">
        <v>85</v>
      </c>
      <c r="KW101" s="138">
        <v>0</v>
      </c>
      <c r="KX101" s="172"/>
      <c r="KY101" s="140">
        <f t="shared" si="285"/>
        <v>0</v>
      </c>
      <c r="KZ101" s="154">
        <f>SUM(KY98:KY101)</f>
        <v>150.23250000000002</v>
      </c>
      <c r="LA101" s="528"/>
      <c r="LB101" s="151"/>
      <c r="LC101" s="161"/>
      <c r="LD101" s="145" t="s">
        <v>85</v>
      </c>
      <c r="LE101" s="138">
        <v>0</v>
      </c>
      <c r="LF101" s="172"/>
      <c r="LG101" s="140">
        <f t="shared" si="286"/>
        <v>0</v>
      </c>
      <c r="LH101" s="154">
        <f>SUM(LG98:LG101)</f>
        <v>86.497500000000002</v>
      </c>
      <c r="LI101" s="528"/>
      <c r="LJ101" s="151"/>
      <c r="LK101" s="161"/>
      <c r="LL101" s="145" t="s">
        <v>85</v>
      </c>
      <c r="LM101" s="175">
        <v>0</v>
      </c>
      <c r="LN101" s="164"/>
      <c r="LO101" s="140">
        <f t="shared" si="287"/>
        <v>0</v>
      </c>
      <c r="LP101" s="154">
        <f>SUM(LO98:LO101)</f>
        <v>481.04750000000001</v>
      </c>
      <c r="LQ101" s="528"/>
      <c r="LR101" s="151"/>
      <c r="LS101" s="161"/>
      <c r="LT101" s="145" t="s">
        <v>85</v>
      </c>
      <c r="LU101" s="175"/>
      <c r="LV101" s="164"/>
      <c r="LW101" s="140">
        <f t="shared" si="288"/>
        <v>0</v>
      </c>
      <c r="LX101" s="154">
        <f>SUM(LW98:LW101)</f>
        <v>1080.46</v>
      </c>
      <c r="LY101" s="528"/>
      <c r="LZ101" s="151"/>
      <c r="MA101" s="161"/>
      <c r="MB101" s="145" t="s">
        <v>85</v>
      </c>
      <c r="MC101" s="175"/>
      <c r="MD101" s="164"/>
      <c r="ME101" s="140">
        <f t="shared" si="289"/>
        <v>0</v>
      </c>
      <c r="MF101" s="154">
        <f>SUM(ME98:ME101)</f>
        <v>1094.1175000000001</v>
      </c>
      <c r="MG101" s="528"/>
      <c r="MH101" s="151"/>
      <c r="MI101" s="161"/>
      <c r="MJ101" s="145" t="s">
        <v>85</v>
      </c>
      <c r="MK101" s="175"/>
      <c r="ML101" s="164"/>
      <c r="MM101" s="140">
        <f t="shared" si="290"/>
        <v>0</v>
      </c>
      <c r="MN101" s="154">
        <f>SUM(MM98:MM101)</f>
        <v>1053.145</v>
      </c>
      <c r="MO101" s="528"/>
      <c r="MP101" s="151"/>
      <c r="MQ101" s="161"/>
      <c r="MR101" s="145" t="s">
        <v>85</v>
      </c>
      <c r="MS101" s="175"/>
      <c r="MT101" s="164"/>
      <c r="MU101" s="140">
        <f t="shared" si="291"/>
        <v>0</v>
      </c>
      <c r="MV101" s="154">
        <f>SUM(MU98:MU101)</f>
        <v>620.65750000000003</v>
      </c>
      <c r="MW101" s="528"/>
      <c r="MX101" s="686" t="s">
        <v>355</v>
      </c>
      <c r="MY101" s="687"/>
      <c r="MZ101" s="688" t="s">
        <v>14</v>
      </c>
      <c r="NA101" s="683"/>
      <c r="NB101" s="689"/>
      <c r="NC101" s="685">
        <f t="shared" si="292"/>
        <v>0</v>
      </c>
      <c r="ND101" s="685">
        <f>NB101*NC101</f>
        <v>0</v>
      </c>
      <c r="NE101" s="528"/>
      <c r="NF101" s="686" t="s">
        <v>355</v>
      </c>
      <c r="NG101" s="687"/>
      <c r="NH101" s="688" t="s">
        <v>14</v>
      </c>
      <c r="NI101" s="683"/>
      <c r="NJ101" s="689"/>
      <c r="NK101" s="685">
        <f t="shared" si="293"/>
        <v>0</v>
      </c>
      <c r="NL101" s="685">
        <f>NJ101*NK101</f>
        <v>0</v>
      </c>
      <c r="NM101" s="528"/>
      <c r="NN101" s="686" t="s">
        <v>355</v>
      </c>
      <c r="NO101" s="687"/>
      <c r="NP101" s="688" t="s">
        <v>14</v>
      </c>
      <c r="NQ101" s="683"/>
      <c r="NR101" s="689"/>
      <c r="NS101" s="685">
        <f t="shared" si="294"/>
        <v>0</v>
      </c>
      <c r="NT101" s="685">
        <f>NR101*NS101</f>
        <v>0</v>
      </c>
      <c r="NU101" s="528"/>
      <c r="NV101" s="686" t="s">
        <v>355</v>
      </c>
      <c r="NW101" s="687"/>
      <c r="NX101" s="688" t="s">
        <v>14</v>
      </c>
      <c r="NY101" s="683"/>
      <c r="NZ101" s="689"/>
      <c r="OA101" s="685">
        <f t="shared" si="295"/>
        <v>0</v>
      </c>
      <c r="OB101" s="685">
        <f>NZ101*OA101</f>
        <v>0</v>
      </c>
      <c r="OC101" s="528"/>
      <c r="OD101" s="686" t="s">
        <v>355</v>
      </c>
      <c r="OE101" s="687"/>
      <c r="OF101" s="688" t="s">
        <v>14</v>
      </c>
      <c r="OG101" s="683"/>
      <c r="OH101" s="689"/>
      <c r="OI101" s="685">
        <f t="shared" si="296"/>
        <v>0</v>
      </c>
      <c r="OJ101" s="685">
        <f>OH101*OI101</f>
        <v>0</v>
      </c>
      <c r="OK101" s="528"/>
      <c r="OL101" s="686" t="s">
        <v>355</v>
      </c>
      <c r="OM101" s="687"/>
      <c r="ON101" s="688" t="s">
        <v>14</v>
      </c>
      <c r="OO101" s="683"/>
      <c r="OP101" s="689"/>
      <c r="OQ101" s="685">
        <f t="shared" si="297"/>
        <v>0</v>
      </c>
      <c r="OR101" s="685">
        <f>OP101*OQ101</f>
        <v>0</v>
      </c>
      <c r="OS101" s="528"/>
      <c r="OT101" s="686" t="s">
        <v>355</v>
      </c>
      <c r="OU101" s="687"/>
      <c r="OV101" s="688" t="s">
        <v>14</v>
      </c>
      <c r="OW101" s="683"/>
      <c r="OX101" s="689"/>
      <c r="OY101" s="685">
        <f t="shared" si="298"/>
        <v>0</v>
      </c>
      <c r="OZ101" s="685">
        <f>OX101*OY101</f>
        <v>0</v>
      </c>
      <c r="PA101" s="528"/>
      <c r="PB101" s="686" t="s">
        <v>355</v>
      </c>
      <c r="PC101" s="687"/>
      <c r="PD101" s="688" t="s">
        <v>14</v>
      </c>
      <c r="PE101" s="683"/>
      <c r="PF101" s="689"/>
      <c r="PG101" s="685">
        <f t="shared" si="299"/>
        <v>0</v>
      </c>
      <c r="PH101" s="685">
        <f>PF101*PG101</f>
        <v>0</v>
      </c>
      <c r="PI101" s="528"/>
      <c r="PJ101" s="686" t="s">
        <v>355</v>
      </c>
      <c r="PK101" s="687"/>
      <c r="PL101" s="688" t="s">
        <v>14</v>
      </c>
      <c r="PM101" s="683"/>
      <c r="PN101" s="689"/>
      <c r="PO101" s="685">
        <f t="shared" si="300"/>
        <v>0</v>
      </c>
      <c r="PP101" s="685">
        <f>PN101*PO101</f>
        <v>0</v>
      </c>
      <c r="PQ101" s="528"/>
      <c r="PR101" s="686" t="s">
        <v>355</v>
      </c>
      <c r="PS101" s="687"/>
      <c r="PT101" s="688" t="s">
        <v>14</v>
      </c>
      <c r="PU101" s="683"/>
      <c r="PV101" s="689"/>
      <c r="PW101" s="685">
        <f t="shared" si="301"/>
        <v>0</v>
      </c>
      <c r="PX101" s="685">
        <f>PV101*PW101</f>
        <v>0</v>
      </c>
      <c r="PY101" s="528"/>
      <c r="PZ101" s="686" t="s">
        <v>355</v>
      </c>
      <c r="QA101" s="687"/>
      <c r="QB101" s="688" t="s">
        <v>14</v>
      </c>
      <c r="QC101" s="683"/>
      <c r="QD101" s="689"/>
      <c r="QE101" s="685">
        <f t="shared" si="302"/>
        <v>0</v>
      </c>
      <c r="QF101" s="685">
        <f>QD101*QE101</f>
        <v>0</v>
      </c>
      <c r="QG101" s="528"/>
      <c r="QH101" s="686" t="s">
        <v>355</v>
      </c>
      <c r="QI101" s="687"/>
      <c r="QJ101" s="688" t="s">
        <v>14</v>
      </c>
      <c r="QK101" s="683"/>
      <c r="QL101" s="689"/>
      <c r="QM101" s="685">
        <f t="shared" si="303"/>
        <v>0</v>
      </c>
      <c r="QN101" s="685">
        <f>QL101*QM101</f>
        <v>0</v>
      </c>
      <c r="QO101" s="528"/>
      <c r="QP101" s="686" t="s">
        <v>355</v>
      </c>
      <c r="QQ101" s="687"/>
      <c r="QR101" s="688" t="s">
        <v>14</v>
      </c>
      <c r="QS101" s="683"/>
      <c r="QT101" s="689"/>
      <c r="QU101" s="685">
        <f t="shared" si="304"/>
        <v>0</v>
      </c>
      <c r="QV101" s="685">
        <f>QT101*QU101</f>
        <v>0</v>
      </c>
      <c r="QW101" s="528"/>
      <c r="QX101" s="686" t="s">
        <v>355</v>
      </c>
      <c r="QY101" s="687"/>
      <c r="QZ101" s="688" t="s">
        <v>14</v>
      </c>
      <c r="RA101" s="683"/>
      <c r="RB101" s="689"/>
      <c r="RC101" s="685">
        <f t="shared" si="305"/>
        <v>0</v>
      </c>
      <c r="RD101" s="685">
        <f>RB101*RC101</f>
        <v>0</v>
      </c>
      <c r="RE101" s="528"/>
      <c r="RF101" s="686" t="s">
        <v>355</v>
      </c>
      <c r="RG101" s="687"/>
      <c r="RH101" s="688" t="s">
        <v>14</v>
      </c>
      <c r="RI101" s="683"/>
      <c r="RJ101" s="689"/>
      <c r="RK101" s="685">
        <f t="shared" si="306"/>
        <v>0</v>
      </c>
      <c r="RL101" s="685">
        <f>RJ101*RK101</f>
        <v>0</v>
      </c>
      <c r="RM101" s="528"/>
      <c r="RN101" s="686" t="s">
        <v>355</v>
      </c>
      <c r="RO101" s="687"/>
      <c r="RP101" s="688" t="s">
        <v>14</v>
      </c>
      <c r="RQ101" s="683"/>
      <c r="RR101" s="689"/>
      <c r="RS101" s="685">
        <f t="shared" si="307"/>
        <v>0</v>
      </c>
      <c r="RT101" s="685">
        <f>RR101*RS101</f>
        <v>0</v>
      </c>
      <c r="RU101" s="528"/>
      <c r="RV101" s="686" t="s">
        <v>355</v>
      </c>
      <c r="RW101" s="687"/>
      <c r="RX101" s="688" t="s">
        <v>14</v>
      </c>
      <c r="RY101" s="683"/>
      <c r="RZ101" s="689"/>
      <c r="SA101" s="685">
        <f t="shared" si="308"/>
        <v>0</v>
      </c>
      <c r="SB101" s="685">
        <f>RZ101*SA101</f>
        <v>0</v>
      </c>
      <c r="SC101" s="528"/>
      <c r="SD101" s="686" t="s">
        <v>355</v>
      </c>
      <c r="SE101" s="687"/>
      <c r="SF101" s="688" t="s">
        <v>14</v>
      </c>
      <c r="SG101" s="683"/>
      <c r="SH101" s="689"/>
      <c r="SI101" s="685">
        <f t="shared" si="309"/>
        <v>0</v>
      </c>
      <c r="SJ101" s="685">
        <f>SH101*SI101</f>
        <v>0</v>
      </c>
      <c r="SK101" s="528"/>
      <c r="SL101" s="686" t="s">
        <v>355</v>
      </c>
      <c r="SM101" s="687"/>
      <c r="SN101" s="688" t="s">
        <v>14</v>
      </c>
      <c r="SO101" s="683"/>
      <c r="SP101" s="689"/>
      <c r="SQ101" s="685">
        <f t="shared" si="310"/>
        <v>0</v>
      </c>
      <c r="SR101" s="685">
        <f>SP101*SQ101</f>
        <v>0</v>
      </c>
      <c r="SS101" s="528"/>
      <c r="ST101" s="686" t="s">
        <v>355</v>
      </c>
      <c r="SU101" s="687"/>
      <c r="SV101" s="688" t="s">
        <v>14</v>
      </c>
      <c r="SW101" s="683"/>
      <c r="SX101" s="689"/>
      <c r="SY101" s="685">
        <f t="shared" si="311"/>
        <v>0</v>
      </c>
      <c r="SZ101" s="685">
        <f>SX101*SY101</f>
        <v>0</v>
      </c>
      <c r="TA101" s="528"/>
      <c r="TB101" s="686" t="s">
        <v>355</v>
      </c>
      <c r="TC101" s="687"/>
      <c r="TD101" s="688" t="s">
        <v>14</v>
      </c>
      <c r="TE101" s="683"/>
      <c r="TF101" s="689"/>
      <c r="TG101" s="685">
        <f t="shared" si="312"/>
        <v>0</v>
      </c>
      <c r="TH101" s="685">
        <f>TF101*TG101</f>
        <v>0</v>
      </c>
      <c r="TI101" s="528"/>
    </row>
    <row r="102" spans="2:529">
      <c r="B102" s="143" t="s">
        <v>89</v>
      </c>
      <c r="C102" s="163">
        <v>39</v>
      </c>
      <c r="D102" s="157" t="s">
        <v>14</v>
      </c>
      <c r="E102" s="138">
        <v>672</v>
      </c>
      <c r="F102" s="172">
        <v>0.5929113924050633</v>
      </c>
      <c r="G102" s="140">
        <f t="shared" si="247"/>
        <v>398.43645569620253</v>
      </c>
      <c r="H102" s="149"/>
      <c r="I102" s="528"/>
      <c r="J102" s="143" t="s">
        <v>89</v>
      </c>
      <c r="K102" s="163">
        <v>4</v>
      </c>
      <c r="L102" s="157" t="s">
        <v>14</v>
      </c>
      <c r="M102" s="138">
        <v>175</v>
      </c>
      <c r="N102" s="172">
        <v>0.5929113924050633</v>
      </c>
      <c r="O102" s="140">
        <f t="shared" si="248"/>
        <v>103.75949367088607</v>
      </c>
      <c r="P102" s="149"/>
      <c r="Q102" s="528"/>
      <c r="R102" s="143" t="s">
        <v>89</v>
      </c>
      <c r="S102" s="163">
        <v>48</v>
      </c>
      <c r="T102" s="157" t="s">
        <v>14</v>
      </c>
      <c r="U102" s="138">
        <v>3374</v>
      </c>
      <c r="V102" s="172">
        <v>0.5929113924050633</v>
      </c>
      <c r="W102" s="140">
        <f t="shared" si="249"/>
        <v>2000.4830379746836</v>
      </c>
      <c r="X102" s="149"/>
      <c r="Y102" s="528"/>
      <c r="Z102" s="143" t="s">
        <v>89</v>
      </c>
      <c r="AA102" s="163">
        <v>2</v>
      </c>
      <c r="AB102" s="157" t="s">
        <v>14</v>
      </c>
      <c r="AC102" s="138">
        <v>125</v>
      </c>
      <c r="AD102" s="172">
        <v>0.5929113924050633</v>
      </c>
      <c r="AE102" s="140">
        <f t="shared" si="250"/>
        <v>74.113924050632917</v>
      </c>
      <c r="AF102" s="149"/>
      <c r="AG102" s="528"/>
      <c r="AH102" s="143" t="s">
        <v>89</v>
      </c>
      <c r="AI102" s="163">
        <v>22</v>
      </c>
      <c r="AJ102" s="157" t="s">
        <v>14</v>
      </c>
      <c r="AK102" s="138">
        <v>1565</v>
      </c>
      <c r="AL102" s="172">
        <v>0.5929113924050633</v>
      </c>
      <c r="AM102" s="140">
        <f t="shared" si="251"/>
        <v>927.90632911392402</v>
      </c>
      <c r="AN102" s="149"/>
      <c r="AO102" s="528"/>
      <c r="AP102" s="143" t="s">
        <v>89</v>
      </c>
      <c r="AQ102" s="163">
        <v>20</v>
      </c>
      <c r="AR102" s="157" t="s">
        <v>14</v>
      </c>
      <c r="AS102" s="138">
        <v>1396</v>
      </c>
      <c r="AT102" s="172">
        <v>0.5929113924050633</v>
      </c>
      <c r="AU102" s="140">
        <f t="shared" si="252"/>
        <v>827.70430379746836</v>
      </c>
      <c r="AV102" s="149"/>
      <c r="AW102" s="528"/>
      <c r="AX102" s="143" t="s">
        <v>89</v>
      </c>
      <c r="AY102" s="163"/>
      <c r="AZ102" s="157" t="s">
        <v>14</v>
      </c>
      <c r="BA102" s="138"/>
      <c r="BB102" s="172">
        <v>0.5929113924050633</v>
      </c>
      <c r="BC102" s="140">
        <f t="shared" si="253"/>
        <v>0</v>
      </c>
      <c r="BD102" s="149"/>
      <c r="BE102" s="528"/>
      <c r="BF102" s="143" t="s">
        <v>89</v>
      </c>
      <c r="BG102" s="163">
        <v>10</v>
      </c>
      <c r="BH102" s="157" t="s">
        <v>14</v>
      </c>
      <c r="BI102" s="138">
        <v>284</v>
      </c>
      <c r="BJ102" s="172">
        <v>0.5929113924050633</v>
      </c>
      <c r="BK102" s="140">
        <f t="shared" si="254"/>
        <v>168.38683544303797</v>
      </c>
      <c r="BL102" s="149"/>
      <c r="BM102" s="528"/>
      <c r="BN102" s="143" t="s">
        <v>89</v>
      </c>
      <c r="BO102" s="163">
        <v>8</v>
      </c>
      <c r="BP102" s="157" t="s">
        <v>14</v>
      </c>
      <c r="BQ102" s="138">
        <v>560</v>
      </c>
      <c r="BR102" s="172">
        <v>0.5929113924050633</v>
      </c>
      <c r="BS102" s="140">
        <f t="shared" si="255"/>
        <v>332.03037974683542</v>
      </c>
      <c r="BT102" s="149"/>
      <c r="BU102" s="528"/>
      <c r="BV102" s="564" t="s">
        <v>89</v>
      </c>
      <c r="BW102" s="579"/>
      <c r="BX102" s="574" t="s">
        <v>14</v>
      </c>
      <c r="BY102" s="560"/>
      <c r="BZ102" s="587">
        <v>0.5929113924050633</v>
      </c>
      <c r="CA102" s="562">
        <f t="shared" si="256"/>
        <v>0</v>
      </c>
      <c r="CB102" s="568"/>
      <c r="CC102" s="528"/>
      <c r="CD102" s="564" t="s">
        <v>89</v>
      </c>
      <c r="CE102" s="579"/>
      <c r="CF102" s="574" t="s">
        <v>14</v>
      </c>
      <c r="CG102" s="560"/>
      <c r="CH102" s="587">
        <v>0.5929113924050633</v>
      </c>
      <c r="CI102" s="562">
        <f t="shared" si="257"/>
        <v>0</v>
      </c>
      <c r="CJ102" s="568"/>
      <c r="CK102" s="528"/>
      <c r="CL102" s="143" t="s">
        <v>89</v>
      </c>
      <c r="CM102" s="163"/>
      <c r="CN102" s="157" t="s">
        <v>14</v>
      </c>
      <c r="CO102" s="138"/>
      <c r="CP102" s="172">
        <v>0.5929113924050633</v>
      </c>
      <c r="CQ102" s="140">
        <f t="shared" si="258"/>
        <v>0</v>
      </c>
      <c r="CR102" s="149"/>
      <c r="CS102" s="528"/>
      <c r="CT102" s="143" t="s">
        <v>89</v>
      </c>
      <c r="CU102" s="163">
        <v>10</v>
      </c>
      <c r="CV102" s="157" t="s">
        <v>14</v>
      </c>
      <c r="CW102" s="138">
        <v>284</v>
      </c>
      <c r="CX102" s="172">
        <v>0.5929113924050633</v>
      </c>
      <c r="CY102" s="140">
        <f t="shared" si="259"/>
        <v>168.38683544303797</v>
      </c>
      <c r="CZ102" s="149"/>
      <c r="DA102" s="528"/>
      <c r="DB102" s="143" t="s">
        <v>89</v>
      </c>
      <c r="DC102" s="163"/>
      <c r="DD102" s="157" t="s">
        <v>14</v>
      </c>
      <c r="DE102" s="138"/>
      <c r="DF102" s="172">
        <v>0.5929113924050633</v>
      </c>
      <c r="DG102" s="140">
        <f t="shared" si="260"/>
        <v>0</v>
      </c>
      <c r="DH102" s="149"/>
      <c r="DI102" s="528"/>
      <c r="DJ102" s="143" t="s">
        <v>89</v>
      </c>
      <c r="DK102" s="163">
        <v>21</v>
      </c>
      <c r="DL102" s="157" t="s">
        <v>14</v>
      </c>
      <c r="DM102" s="138">
        <v>624</v>
      </c>
      <c r="DN102" s="172">
        <v>0.5929113924050633</v>
      </c>
      <c r="DO102" s="140">
        <f t="shared" si="261"/>
        <v>369.97670886075952</v>
      </c>
      <c r="DP102" s="149"/>
      <c r="DQ102" s="528"/>
      <c r="DR102" s="143" t="s">
        <v>89</v>
      </c>
      <c r="DS102" s="163">
        <v>5</v>
      </c>
      <c r="DT102" s="157" t="s">
        <v>14</v>
      </c>
      <c r="DU102" s="138">
        <v>182</v>
      </c>
      <c r="DV102" s="172">
        <v>0.5929113924050633</v>
      </c>
      <c r="DW102" s="140">
        <f t="shared" si="262"/>
        <v>107.90987341772151</v>
      </c>
      <c r="DX102" s="149"/>
      <c r="DY102" s="528"/>
      <c r="DZ102" s="143" t="s">
        <v>89</v>
      </c>
      <c r="EA102" s="163">
        <v>16</v>
      </c>
      <c r="EB102" s="157" t="s">
        <v>14</v>
      </c>
      <c r="EC102" s="138">
        <v>742</v>
      </c>
      <c r="ED102" s="172">
        <v>0.5929113924050633</v>
      </c>
      <c r="EE102" s="140">
        <f t="shared" si="263"/>
        <v>439.94025316455696</v>
      </c>
      <c r="EF102" s="149"/>
      <c r="EG102" s="528"/>
      <c r="EH102" s="143" t="s">
        <v>89</v>
      </c>
      <c r="EI102" s="163">
        <v>21</v>
      </c>
      <c r="EJ102" s="157" t="s">
        <v>14</v>
      </c>
      <c r="EK102" s="138">
        <v>2175</v>
      </c>
      <c r="EL102" s="172">
        <v>0.5929113924050633</v>
      </c>
      <c r="EM102" s="140">
        <f t="shared" si="264"/>
        <v>1289.5822784810127</v>
      </c>
      <c r="EN102" s="149"/>
      <c r="EO102" s="528"/>
      <c r="EP102" s="143" t="s">
        <v>89</v>
      </c>
      <c r="EQ102" s="163">
        <v>13</v>
      </c>
      <c r="ER102" s="157" t="s">
        <v>14</v>
      </c>
      <c r="ES102" s="138">
        <v>812</v>
      </c>
      <c r="ET102" s="172">
        <v>0.5929113924050633</v>
      </c>
      <c r="EU102" s="140">
        <f t="shared" si="265"/>
        <v>481.4440506329114</v>
      </c>
      <c r="EV102" s="149"/>
      <c r="EW102" s="528"/>
      <c r="EX102" s="143" t="s">
        <v>89</v>
      </c>
      <c r="EY102" s="163"/>
      <c r="EZ102" s="157" t="s">
        <v>14</v>
      </c>
      <c r="FA102" s="138"/>
      <c r="FB102" s="172">
        <v>0.5929113924050633</v>
      </c>
      <c r="FC102" s="140">
        <f t="shared" si="266"/>
        <v>0</v>
      </c>
      <c r="FD102" s="149"/>
      <c r="FE102" s="528"/>
      <c r="FF102" s="143" t="s">
        <v>89</v>
      </c>
      <c r="FG102" s="163"/>
      <c r="FH102" s="157" t="s">
        <v>14</v>
      </c>
      <c r="FI102" s="138"/>
      <c r="FJ102" s="172">
        <v>0.5929113924050633</v>
      </c>
      <c r="FK102" s="140">
        <f t="shared" si="267"/>
        <v>0</v>
      </c>
      <c r="FL102" s="149"/>
      <c r="FM102" s="528"/>
      <c r="FN102" s="143" t="s">
        <v>89</v>
      </c>
      <c r="FO102" s="163"/>
      <c r="FP102" s="157" t="s">
        <v>14</v>
      </c>
      <c r="FQ102" s="138"/>
      <c r="FR102" s="172">
        <v>0.5929113924050633</v>
      </c>
      <c r="FS102" s="140">
        <f t="shared" si="268"/>
        <v>0</v>
      </c>
      <c r="FT102" s="149"/>
      <c r="FU102" s="528"/>
      <c r="FV102" s="143" t="s">
        <v>89</v>
      </c>
      <c r="FW102" s="163"/>
      <c r="FX102" s="157" t="s">
        <v>14</v>
      </c>
      <c r="FY102" s="138"/>
      <c r="FZ102" s="172">
        <v>0.5929113924050633</v>
      </c>
      <c r="GA102" s="140">
        <f t="shared" si="269"/>
        <v>0</v>
      </c>
      <c r="GB102" s="149"/>
      <c r="GC102" s="528"/>
      <c r="GD102" s="143" t="s">
        <v>89</v>
      </c>
      <c r="GE102" s="163"/>
      <c r="GF102" s="157" t="s">
        <v>14</v>
      </c>
      <c r="GG102" s="138"/>
      <c r="GH102" s="172">
        <v>0.5929113924050633</v>
      </c>
      <c r="GI102" s="140">
        <f t="shared" si="270"/>
        <v>0</v>
      </c>
      <c r="GJ102" s="149"/>
      <c r="GK102" s="528"/>
      <c r="GL102" s="143" t="s">
        <v>89</v>
      </c>
      <c r="GM102" s="163">
        <v>8</v>
      </c>
      <c r="GN102" s="157" t="s">
        <v>14</v>
      </c>
      <c r="GO102" s="138">
        <f>'[1]Jan_18_Vol weekly-Data-Entry'!$AR$226</f>
        <v>0</v>
      </c>
      <c r="GP102" s="172">
        <v>0.5929113924050633</v>
      </c>
      <c r="GQ102" s="140">
        <f t="shared" si="271"/>
        <v>0</v>
      </c>
      <c r="GR102" s="149"/>
      <c r="GS102" s="528"/>
      <c r="GT102" s="143" t="s">
        <v>89</v>
      </c>
      <c r="GU102" s="163">
        <v>19</v>
      </c>
      <c r="GV102" s="157" t="s">
        <v>14</v>
      </c>
      <c r="GW102" s="138">
        <v>1385</v>
      </c>
      <c r="GX102" s="172">
        <v>0.5929113924050633</v>
      </c>
      <c r="GY102" s="140">
        <f t="shared" si="272"/>
        <v>821.18227848101264</v>
      </c>
      <c r="GZ102" s="149"/>
      <c r="HA102" s="528"/>
      <c r="HB102" s="143" t="s">
        <v>89</v>
      </c>
      <c r="HC102" s="163">
        <v>29</v>
      </c>
      <c r="HD102" s="157" t="s">
        <v>14</v>
      </c>
      <c r="HE102" s="138">
        <v>2806</v>
      </c>
      <c r="HF102" s="172">
        <v>0.5929113924050633</v>
      </c>
      <c r="HG102" s="140">
        <f t="shared" si="273"/>
        <v>1663.7093670886077</v>
      </c>
      <c r="HH102" s="149"/>
      <c r="HI102" s="528"/>
      <c r="HJ102" s="143" t="s">
        <v>89</v>
      </c>
      <c r="HK102" s="163">
        <v>30</v>
      </c>
      <c r="HL102" s="157" t="s">
        <v>14</v>
      </c>
      <c r="HM102" s="138">
        <v>1166</v>
      </c>
      <c r="HN102" s="172">
        <v>0.5929113924050633</v>
      </c>
      <c r="HO102" s="140">
        <f t="shared" si="274"/>
        <v>691.33468354430386</v>
      </c>
      <c r="HP102" s="149"/>
      <c r="HQ102" s="528"/>
      <c r="HR102" s="143" t="s">
        <v>89</v>
      </c>
      <c r="HS102" s="163">
        <v>23</v>
      </c>
      <c r="HT102" s="157" t="s">
        <v>14</v>
      </c>
      <c r="HU102" s="138">
        <v>596</v>
      </c>
      <c r="HV102" s="172">
        <v>0.5929113924050633</v>
      </c>
      <c r="HW102" s="140">
        <f t="shared" si="275"/>
        <v>353.37518987341775</v>
      </c>
      <c r="HX102" s="149"/>
      <c r="HY102" s="528"/>
      <c r="HZ102" s="143" t="s">
        <v>89</v>
      </c>
      <c r="IA102" s="163">
        <v>5</v>
      </c>
      <c r="IB102" s="157" t="s">
        <v>14</v>
      </c>
      <c r="IC102" s="138">
        <v>45</v>
      </c>
      <c r="ID102" s="172">
        <v>0.5929113924050633</v>
      </c>
      <c r="IE102" s="140">
        <f t="shared" si="276"/>
        <v>26.68101265822785</v>
      </c>
      <c r="IF102" s="149"/>
      <c r="IG102" s="528"/>
      <c r="IH102" s="143" t="s">
        <v>89</v>
      </c>
      <c r="II102" s="163">
        <v>26</v>
      </c>
      <c r="IJ102" s="157" t="s">
        <v>14</v>
      </c>
      <c r="IK102" s="138">
        <v>786</v>
      </c>
      <c r="IL102" s="172">
        <v>0.5929113924050633</v>
      </c>
      <c r="IM102" s="140">
        <f t="shared" si="277"/>
        <v>466.02835443037975</v>
      </c>
      <c r="IN102" s="149"/>
      <c r="IO102" s="528"/>
      <c r="IP102" s="143" t="s">
        <v>89</v>
      </c>
      <c r="IQ102" s="163">
        <v>20</v>
      </c>
      <c r="IR102" s="157" t="s">
        <v>14</v>
      </c>
      <c r="IS102" s="138">
        <v>428</v>
      </c>
      <c r="IT102" s="172">
        <v>0.5929113924050633</v>
      </c>
      <c r="IU102" s="140">
        <f t="shared" si="278"/>
        <v>253.76607594936709</v>
      </c>
      <c r="IV102" s="149"/>
      <c r="IW102" s="528"/>
      <c r="IX102" s="143" t="s">
        <v>89</v>
      </c>
      <c r="IY102" s="163">
        <v>19</v>
      </c>
      <c r="IZ102" s="157" t="s">
        <v>14</v>
      </c>
      <c r="JA102" s="138">
        <v>632</v>
      </c>
      <c r="JB102" s="172">
        <v>0.5929113924050633</v>
      </c>
      <c r="JC102" s="140">
        <f t="shared" si="279"/>
        <v>374.72</v>
      </c>
      <c r="JD102" s="149"/>
      <c r="JE102" s="528"/>
      <c r="JF102" s="143" t="s">
        <v>89</v>
      </c>
      <c r="JG102" s="163">
        <v>8</v>
      </c>
      <c r="JH102" s="157" t="s">
        <v>14</v>
      </c>
      <c r="JI102" s="138">
        <v>542</v>
      </c>
      <c r="JJ102" s="172">
        <v>0.5929113924050633</v>
      </c>
      <c r="JK102" s="140">
        <f t="shared" si="280"/>
        <v>321.35797468354428</v>
      </c>
      <c r="JL102" s="149"/>
      <c r="JM102" s="528"/>
      <c r="JN102" s="143" t="s">
        <v>89</v>
      </c>
      <c r="JO102" s="163">
        <v>23</v>
      </c>
      <c r="JP102" s="157" t="s">
        <v>14</v>
      </c>
      <c r="JQ102" s="138">
        <v>859</v>
      </c>
      <c r="JR102" s="172">
        <v>0.5929113924050633</v>
      </c>
      <c r="JS102" s="140">
        <f t="shared" si="281"/>
        <v>509.31088607594938</v>
      </c>
      <c r="JT102" s="149"/>
      <c r="JU102" s="528"/>
      <c r="JV102" s="143" t="s">
        <v>89</v>
      </c>
      <c r="JW102" s="163">
        <v>22</v>
      </c>
      <c r="JX102" s="157" t="s">
        <v>14</v>
      </c>
      <c r="JY102" s="138">
        <v>514</v>
      </c>
      <c r="JZ102" s="172">
        <v>0.5929113924050633</v>
      </c>
      <c r="KA102" s="140">
        <f t="shared" si="282"/>
        <v>304.75645569620252</v>
      </c>
      <c r="KB102" s="149"/>
      <c r="KC102" s="528"/>
      <c r="KD102" s="143" t="s">
        <v>89</v>
      </c>
      <c r="KE102" s="163">
        <v>5</v>
      </c>
      <c r="KF102" s="157" t="s">
        <v>14</v>
      </c>
      <c r="KG102" s="138">
        <v>122</v>
      </c>
      <c r="KH102" s="172">
        <v>0.5929113924050633</v>
      </c>
      <c r="KI102" s="140">
        <f t="shared" si="283"/>
        <v>72.335189873417718</v>
      </c>
      <c r="KJ102" s="149"/>
      <c r="KK102" s="528"/>
      <c r="KL102" s="143" t="s">
        <v>89</v>
      </c>
      <c r="KM102" s="163">
        <v>4</v>
      </c>
      <c r="KN102" s="157" t="s">
        <v>14</v>
      </c>
      <c r="KO102" s="138">
        <v>210</v>
      </c>
      <c r="KP102" s="172">
        <v>0.5929113924050633</v>
      </c>
      <c r="KQ102" s="140">
        <f t="shared" si="284"/>
        <v>124.51139240506329</v>
      </c>
      <c r="KR102" s="149"/>
      <c r="KS102" s="528"/>
      <c r="KT102" s="143" t="s">
        <v>89</v>
      </c>
      <c r="KU102" s="163">
        <v>22</v>
      </c>
      <c r="KV102" s="157" t="s">
        <v>14</v>
      </c>
      <c r="KW102" s="138">
        <v>499</v>
      </c>
      <c r="KX102" s="172">
        <v>0.5929113924050633</v>
      </c>
      <c r="KY102" s="140">
        <f t="shared" si="285"/>
        <v>295.86278481012658</v>
      </c>
      <c r="KZ102" s="149"/>
      <c r="LA102" s="528"/>
      <c r="LB102" s="143" t="s">
        <v>89</v>
      </c>
      <c r="LC102" s="163">
        <v>10</v>
      </c>
      <c r="LD102" s="157" t="s">
        <v>14</v>
      </c>
      <c r="LE102" s="138">
        <v>258</v>
      </c>
      <c r="LF102" s="172">
        <v>0.5929113924050633</v>
      </c>
      <c r="LG102" s="140">
        <f t="shared" si="286"/>
        <v>152.97113924050632</v>
      </c>
      <c r="LH102" s="149"/>
      <c r="LI102" s="528"/>
      <c r="LJ102" s="143" t="s">
        <v>89</v>
      </c>
      <c r="LK102" s="163">
        <v>26</v>
      </c>
      <c r="LL102" s="157" t="s">
        <v>14</v>
      </c>
      <c r="LM102" s="175">
        <v>619</v>
      </c>
      <c r="LN102" s="164">
        <v>0.5929113924050633</v>
      </c>
      <c r="LO102" s="140">
        <f>LN102*LM102</f>
        <v>367.0121518987342</v>
      </c>
      <c r="LP102" s="149"/>
      <c r="LQ102" s="528"/>
      <c r="LR102" s="143" t="s">
        <v>89</v>
      </c>
      <c r="LS102" s="163">
        <v>32</v>
      </c>
      <c r="LT102" s="157" t="s">
        <v>14</v>
      </c>
      <c r="LU102" s="175">
        <v>973</v>
      </c>
      <c r="LV102" s="164">
        <v>0.5929113924050633</v>
      </c>
      <c r="LW102" s="140">
        <f>LV102*LU102</f>
        <v>576.9027848101266</v>
      </c>
      <c r="LX102" s="149"/>
      <c r="LY102" s="528"/>
      <c r="LZ102" s="143" t="s">
        <v>89</v>
      </c>
      <c r="MA102" s="163">
        <v>18</v>
      </c>
      <c r="MB102" s="157" t="s">
        <v>14</v>
      </c>
      <c r="MC102" s="175">
        <v>2060</v>
      </c>
      <c r="MD102" s="164">
        <v>0.5929113924050633</v>
      </c>
      <c r="ME102" s="140">
        <f>MD102*MC102</f>
        <v>1221.3974683544304</v>
      </c>
      <c r="MF102" s="149"/>
      <c r="MG102" s="528"/>
      <c r="MH102" s="143" t="s">
        <v>89</v>
      </c>
      <c r="MI102" s="163">
        <v>51</v>
      </c>
      <c r="MJ102" s="157" t="s">
        <v>14</v>
      </c>
      <c r="MK102" s="175">
        <v>1916</v>
      </c>
      <c r="ML102" s="164">
        <v>0.5929113924050633</v>
      </c>
      <c r="MM102" s="140">
        <f>ML102*MK102</f>
        <v>1136.0182278481013</v>
      </c>
      <c r="MN102" s="149"/>
      <c r="MO102" s="528"/>
      <c r="MP102" s="143" t="s">
        <v>89</v>
      </c>
      <c r="MQ102" s="163">
        <v>28</v>
      </c>
      <c r="MR102" s="157" t="s">
        <v>14</v>
      </c>
      <c r="MS102" s="175">
        <v>895</v>
      </c>
      <c r="MT102" s="164">
        <v>0.5929113924050633</v>
      </c>
      <c r="MU102" s="140">
        <f>MT102*MS102</f>
        <v>530.65569620253166</v>
      </c>
      <c r="MV102" s="149"/>
      <c r="MW102" s="528"/>
      <c r="MX102" s="686" t="s">
        <v>356</v>
      </c>
      <c r="MY102" s="687"/>
      <c r="MZ102" s="690" t="s">
        <v>14</v>
      </c>
      <c r="NA102" s="683"/>
      <c r="NB102" s="689"/>
      <c r="NC102" s="685">
        <f t="shared" si="292"/>
        <v>0</v>
      </c>
      <c r="ND102" s="685">
        <f>NB102*NC102</f>
        <v>0</v>
      </c>
      <c r="NE102" s="528"/>
      <c r="NF102" s="686" t="s">
        <v>356</v>
      </c>
      <c r="NG102" s="687"/>
      <c r="NH102" s="690" t="s">
        <v>14</v>
      </c>
      <c r="NI102" s="683"/>
      <c r="NJ102" s="689"/>
      <c r="NK102" s="685">
        <f t="shared" si="293"/>
        <v>0</v>
      </c>
      <c r="NL102" s="685">
        <f>NJ102*NK102</f>
        <v>0</v>
      </c>
      <c r="NM102" s="528"/>
      <c r="NN102" s="686" t="s">
        <v>356</v>
      </c>
      <c r="NO102" s="687"/>
      <c r="NP102" s="690" t="s">
        <v>14</v>
      </c>
      <c r="NQ102" s="683"/>
      <c r="NR102" s="689"/>
      <c r="NS102" s="685">
        <f t="shared" si="294"/>
        <v>0</v>
      </c>
      <c r="NT102" s="685">
        <f>NR102*NS102</f>
        <v>0</v>
      </c>
      <c r="NU102" s="528"/>
      <c r="NV102" s="686" t="s">
        <v>356</v>
      </c>
      <c r="NW102" s="687"/>
      <c r="NX102" s="690" t="s">
        <v>14</v>
      </c>
      <c r="NY102" s="683"/>
      <c r="NZ102" s="689"/>
      <c r="OA102" s="685">
        <f t="shared" si="295"/>
        <v>0</v>
      </c>
      <c r="OB102" s="685">
        <f>NZ102*OA102</f>
        <v>0</v>
      </c>
      <c r="OC102" s="528"/>
      <c r="OD102" s="686" t="s">
        <v>356</v>
      </c>
      <c r="OE102" s="687"/>
      <c r="OF102" s="690" t="s">
        <v>14</v>
      </c>
      <c r="OG102" s="683"/>
      <c r="OH102" s="689"/>
      <c r="OI102" s="685">
        <f t="shared" si="296"/>
        <v>0</v>
      </c>
      <c r="OJ102" s="685">
        <f>OH102*OI102</f>
        <v>0</v>
      </c>
      <c r="OK102" s="528"/>
      <c r="OL102" s="686" t="s">
        <v>356</v>
      </c>
      <c r="OM102" s="687"/>
      <c r="ON102" s="690" t="s">
        <v>14</v>
      </c>
      <c r="OO102" s="683"/>
      <c r="OP102" s="689"/>
      <c r="OQ102" s="685">
        <f t="shared" si="297"/>
        <v>0</v>
      </c>
      <c r="OR102" s="685">
        <f>OP102*OQ102</f>
        <v>0</v>
      </c>
      <c r="OS102" s="528"/>
      <c r="OT102" s="686" t="s">
        <v>356</v>
      </c>
      <c r="OU102" s="687"/>
      <c r="OV102" s="690" t="s">
        <v>14</v>
      </c>
      <c r="OW102" s="683"/>
      <c r="OX102" s="689"/>
      <c r="OY102" s="685">
        <f t="shared" si="298"/>
        <v>0</v>
      </c>
      <c r="OZ102" s="685">
        <f>OX102*OY102</f>
        <v>0</v>
      </c>
      <c r="PA102" s="528"/>
      <c r="PB102" s="686" t="s">
        <v>356</v>
      </c>
      <c r="PC102" s="687"/>
      <c r="PD102" s="690" t="s">
        <v>14</v>
      </c>
      <c r="PE102" s="683"/>
      <c r="PF102" s="689"/>
      <c r="PG102" s="685">
        <f t="shared" si="299"/>
        <v>0</v>
      </c>
      <c r="PH102" s="685">
        <f>PF102*PG102</f>
        <v>0</v>
      </c>
      <c r="PI102" s="528"/>
      <c r="PJ102" s="686" t="s">
        <v>356</v>
      </c>
      <c r="PK102" s="687"/>
      <c r="PL102" s="690" t="s">
        <v>14</v>
      </c>
      <c r="PM102" s="683"/>
      <c r="PN102" s="689"/>
      <c r="PO102" s="685">
        <f t="shared" si="300"/>
        <v>0</v>
      </c>
      <c r="PP102" s="685">
        <f>PN102*PO102</f>
        <v>0</v>
      </c>
      <c r="PQ102" s="528"/>
      <c r="PR102" s="686" t="s">
        <v>356</v>
      </c>
      <c r="PS102" s="687"/>
      <c r="PT102" s="690" t="s">
        <v>14</v>
      </c>
      <c r="PU102" s="683"/>
      <c r="PV102" s="689"/>
      <c r="PW102" s="685">
        <f t="shared" si="301"/>
        <v>0</v>
      </c>
      <c r="PX102" s="685">
        <f>PV102*PW102</f>
        <v>0</v>
      </c>
      <c r="PY102" s="528"/>
      <c r="PZ102" s="686" t="s">
        <v>356</v>
      </c>
      <c r="QA102" s="687"/>
      <c r="QB102" s="690" t="s">
        <v>14</v>
      </c>
      <c r="QC102" s="683"/>
      <c r="QD102" s="689"/>
      <c r="QE102" s="685">
        <f t="shared" si="302"/>
        <v>0</v>
      </c>
      <c r="QF102" s="685">
        <f>QD102*QE102</f>
        <v>0</v>
      </c>
      <c r="QG102" s="528"/>
      <c r="QH102" s="686" t="s">
        <v>356</v>
      </c>
      <c r="QI102" s="687"/>
      <c r="QJ102" s="690" t="s">
        <v>14</v>
      </c>
      <c r="QK102" s="683"/>
      <c r="QL102" s="689"/>
      <c r="QM102" s="685">
        <f t="shared" si="303"/>
        <v>0</v>
      </c>
      <c r="QN102" s="685">
        <f>QL102*QM102</f>
        <v>0</v>
      </c>
      <c r="QO102" s="528"/>
      <c r="QP102" s="686" t="s">
        <v>356</v>
      </c>
      <c r="QQ102" s="687"/>
      <c r="QR102" s="690" t="s">
        <v>14</v>
      </c>
      <c r="QS102" s="683"/>
      <c r="QT102" s="689"/>
      <c r="QU102" s="685">
        <f t="shared" si="304"/>
        <v>0</v>
      </c>
      <c r="QV102" s="685">
        <f>QT102*QU102</f>
        <v>0</v>
      </c>
      <c r="QW102" s="528"/>
      <c r="QX102" s="686" t="s">
        <v>356</v>
      </c>
      <c r="QY102" s="687"/>
      <c r="QZ102" s="690" t="s">
        <v>14</v>
      </c>
      <c r="RA102" s="683"/>
      <c r="RB102" s="689"/>
      <c r="RC102" s="685">
        <f t="shared" si="305"/>
        <v>0</v>
      </c>
      <c r="RD102" s="685">
        <f>RB102*RC102</f>
        <v>0</v>
      </c>
      <c r="RE102" s="528"/>
      <c r="RF102" s="686" t="s">
        <v>356</v>
      </c>
      <c r="RG102" s="687"/>
      <c r="RH102" s="690" t="s">
        <v>14</v>
      </c>
      <c r="RI102" s="683"/>
      <c r="RJ102" s="689"/>
      <c r="RK102" s="685">
        <f t="shared" si="306"/>
        <v>0</v>
      </c>
      <c r="RL102" s="685">
        <f>RJ102*RK102</f>
        <v>0</v>
      </c>
      <c r="RM102" s="528"/>
      <c r="RN102" s="686" t="s">
        <v>356</v>
      </c>
      <c r="RO102" s="687"/>
      <c r="RP102" s="690" t="s">
        <v>14</v>
      </c>
      <c r="RQ102" s="683"/>
      <c r="RR102" s="689"/>
      <c r="RS102" s="685">
        <f t="shared" si="307"/>
        <v>0</v>
      </c>
      <c r="RT102" s="685">
        <f>RR102*RS102</f>
        <v>0</v>
      </c>
      <c r="RU102" s="528"/>
      <c r="RV102" s="686" t="s">
        <v>356</v>
      </c>
      <c r="RW102" s="687"/>
      <c r="RX102" s="690" t="s">
        <v>14</v>
      </c>
      <c r="RY102" s="683"/>
      <c r="RZ102" s="689"/>
      <c r="SA102" s="685">
        <f t="shared" si="308"/>
        <v>0</v>
      </c>
      <c r="SB102" s="685">
        <f>RZ102*SA102</f>
        <v>0</v>
      </c>
      <c r="SC102" s="528"/>
      <c r="SD102" s="686" t="s">
        <v>356</v>
      </c>
      <c r="SE102" s="687"/>
      <c r="SF102" s="690" t="s">
        <v>14</v>
      </c>
      <c r="SG102" s="683"/>
      <c r="SH102" s="689"/>
      <c r="SI102" s="685">
        <f t="shared" si="309"/>
        <v>0</v>
      </c>
      <c r="SJ102" s="685">
        <f>SH102*SI102</f>
        <v>0</v>
      </c>
      <c r="SK102" s="528"/>
      <c r="SL102" s="686" t="s">
        <v>356</v>
      </c>
      <c r="SM102" s="687"/>
      <c r="SN102" s="690" t="s">
        <v>14</v>
      </c>
      <c r="SO102" s="683"/>
      <c r="SP102" s="689"/>
      <c r="SQ102" s="685">
        <f t="shared" si="310"/>
        <v>0</v>
      </c>
      <c r="SR102" s="685">
        <f>SP102*SQ102</f>
        <v>0</v>
      </c>
      <c r="SS102" s="528"/>
      <c r="ST102" s="686" t="s">
        <v>356</v>
      </c>
      <c r="SU102" s="687"/>
      <c r="SV102" s="690" t="s">
        <v>14</v>
      </c>
      <c r="SW102" s="683"/>
      <c r="SX102" s="689"/>
      <c r="SY102" s="685">
        <f t="shared" si="311"/>
        <v>0</v>
      </c>
      <c r="SZ102" s="685">
        <f>SX102*SY102</f>
        <v>0</v>
      </c>
      <c r="TA102" s="528"/>
      <c r="TB102" s="686" t="s">
        <v>356</v>
      </c>
      <c r="TC102" s="687"/>
      <c r="TD102" s="690" t="s">
        <v>14</v>
      </c>
      <c r="TE102" s="683"/>
      <c r="TF102" s="689"/>
      <c r="TG102" s="685">
        <f t="shared" si="312"/>
        <v>0</v>
      </c>
      <c r="TH102" s="685">
        <f>TF102*TG102</f>
        <v>0</v>
      </c>
      <c r="TI102" s="528"/>
    </row>
    <row r="103" spans="2:529">
      <c r="B103" s="143"/>
      <c r="C103" s="146"/>
      <c r="D103" s="157" t="s">
        <v>11</v>
      </c>
      <c r="E103" s="138"/>
      <c r="F103" s="172"/>
      <c r="G103" s="140">
        <f t="shared" si="247"/>
        <v>0</v>
      </c>
      <c r="H103" s="150"/>
      <c r="I103" s="528"/>
      <c r="J103" s="143"/>
      <c r="K103" s="146">
        <v>4</v>
      </c>
      <c r="L103" s="157" t="s">
        <v>11</v>
      </c>
      <c r="M103" s="138">
        <v>0</v>
      </c>
      <c r="N103" s="172"/>
      <c r="O103" s="140">
        <f t="shared" si="248"/>
        <v>0</v>
      </c>
      <c r="P103" s="150"/>
      <c r="Q103" s="528"/>
      <c r="R103" s="143"/>
      <c r="S103" s="146">
        <v>4</v>
      </c>
      <c r="T103" s="157" t="s">
        <v>11</v>
      </c>
      <c r="U103" s="138"/>
      <c r="V103" s="172"/>
      <c r="W103" s="140">
        <f t="shared" si="249"/>
        <v>0</v>
      </c>
      <c r="X103" s="150"/>
      <c r="Y103" s="528"/>
      <c r="Z103" s="143"/>
      <c r="AA103" s="146">
        <v>4</v>
      </c>
      <c r="AB103" s="157" t="s">
        <v>11</v>
      </c>
      <c r="AC103" s="138">
        <v>0</v>
      </c>
      <c r="AD103" s="172"/>
      <c r="AE103" s="140">
        <f t="shared" si="250"/>
        <v>0</v>
      </c>
      <c r="AF103" s="150"/>
      <c r="AG103" s="528"/>
      <c r="AH103" s="143"/>
      <c r="AI103" s="146">
        <v>4</v>
      </c>
      <c r="AJ103" s="157" t="s">
        <v>11</v>
      </c>
      <c r="AK103" s="138"/>
      <c r="AL103" s="172"/>
      <c r="AM103" s="140">
        <f t="shared" si="251"/>
        <v>0</v>
      </c>
      <c r="AN103" s="150"/>
      <c r="AO103" s="528"/>
      <c r="AP103" s="143"/>
      <c r="AQ103" s="146">
        <v>4</v>
      </c>
      <c r="AR103" s="157" t="s">
        <v>11</v>
      </c>
      <c r="AS103" s="138"/>
      <c r="AT103" s="172"/>
      <c r="AU103" s="140">
        <f t="shared" si="252"/>
        <v>0</v>
      </c>
      <c r="AV103" s="150"/>
      <c r="AW103" s="528"/>
      <c r="AX103" s="143"/>
      <c r="AY103" s="146">
        <v>4</v>
      </c>
      <c r="AZ103" s="157" t="s">
        <v>11</v>
      </c>
      <c r="BA103" s="138"/>
      <c r="BB103" s="172"/>
      <c r="BC103" s="140">
        <f t="shared" si="253"/>
        <v>0</v>
      </c>
      <c r="BD103" s="150"/>
      <c r="BE103" s="528"/>
      <c r="BF103" s="143"/>
      <c r="BG103" s="146">
        <v>4</v>
      </c>
      <c r="BH103" s="157" t="s">
        <v>11</v>
      </c>
      <c r="BI103" s="138"/>
      <c r="BJ103" s="172"/>
      <c r="BK103" s="140">
        <f t="shared" si="254"/>
        <v>0</v>
      </c>
      <c r="BL103" s="150"/>
      <c r="BM103" s="528"/>
      <c r="BN103" s="143"/>
      <c r="BO103" s="146">
        <v>4</v>
      </c>
      <c r="BP103" s="157" t="s">
        <v>11</v>
      </c>
      <c r="BQ103" s="138">
        <v>0</v>
      </c>
      <c r="BR103" s="172"/>
      <c r="BS103" s="140">
        <f t="shared" si="255"/>
        <v>0</v>
      </c>
      <c r="BT103" s="150"/>
      <c r="BU103" s="528"/>
      <c r="BV103" s="564"/>
      <c r="BW103" s="537"/>
      <c r="BX103" s="574" t="s">
        <v>11</v>
      </c>
      <c r="BY103" s="560"/>
      <c r="BZ103" s="587"/>
      <c r="CA103" s="562">
        <f t="shared" si="256"/>
        <v>0</v>
      </c>
      <c r="CB103" s="569"/>
      <c r="CC103" s="528"/>
      <c r="CD103" s="564"/>
      <c r="CE103" s="537"/>
      <c r="CF103" s="574" t="s">
        <v>11</v>
      </c>
      <c r="CG103" s="560"/>
      <c r="CH103" s="587"/>
      <c r="CI103" s="562">
        <f t="shared" si="257"/>
        <v>0</v>
      </c>
      <c r="CJ103" s="569"/>
      <c r="CK103" s="528"/>
      <c r="CL103" s="143"/>
      <c r="CM103" s="146">
        <v>4</v>
      </c>
      <c r="CN103" s="157" t="s">
        <v>11</v>
      </c>
      <c r="CO103" s="138"/>
      <c r="CP103" s="172"/>
      <c r="CQ103" s="140">
        <f t="shared" si="258"/>
        <v>0</v>
      </c>
      <c r="CR103" s="150"/>
      <c r="CS103" s="528"/>
      <c r="CT103" s="143"/>
      <c r="CU103" s="146">
        <v>4</v>
      </c>
      <c r="CV103" s="157" t="s">
        <v>11</v>
      </c>
      <c r="CW103" s="138"/>
      <c r="CX103" s="172"/>
      <c r="CY103" s="140">
        <f t="shared" si="259"/>
        <v>0</v>
      </c>
      <c r="CZ103" s="150"/>
      <c r="DA103" s="528"/>
      <c r="DB103" s="143"/>
      <c r="DC103" s="146"/>
      <c r="DD103" s="157" t="s">
        <v>11</v>
      </c>
      <c r="DE103" s="138"/>
      <c r="DF103" s="172"/>
      <c r="DG103" s="140">
        <f t="shared" si="260"/>
        <v>0</v>
      </c>
      <c r="DH103" s="150"/>
      <c r="DI103" s="528"/>
      <c r="DJ103" s="143"/>
      <c r="DK103" s="146"/>
      <c r="DL103" s="157" t="s">
        <v>11</v>
      </c>
      <c r="DM103" s="138"/>
      <c r="DN103" s="172"/>
      <c r="DO103" s="140">
        <f t="shared" si="261"/>
        <v>0</v>
      </c>
      <c r="DP103" s="150"/>
      <c r="DQ103" s="528"/>
      <c r="DR103" s="143"/>
      <c r="DS103" s="146"/>
      <c r="DT103" s="157" t="s">
        <v>11</v>
      </c>
      <c r="DU103" s="138"/>
      <c r="DV103" s="172"/>
      <c r="DW103" s="140">
        <f t="shared" si="262"/>
        <v>0</v>
      </c>
      <c r="DX103" s="150"/>
      <c r="DY103" s="528"/>
      <c r="DZ103" s="143"/>
      <c r="EA103" s="146"/>
      <c r="EB103" s="157" t="s">
        <v>11</v>
      </c>
      <c r="EC103" s="138"/>
      <c r="ED103" s="172"/>
      <c r="EE103" s="140">
        <f t="shared" si="263"/>
        <v>0</v>
      </c>
      <c r="EF103" s="150"/>
      <c r="EG103" s="528"/>
      <c r="EH103" s="143"/>
      <c r="EI103" s="146"/>
      <c r="EJ103" s="157" t="s">
        <v>11</v>
      </c>
      <c r="EK103" s="138"/>
      <c r="EL103" s="172"/>
      <c r="EM103" s="140">
        <f t="shared" si="264"/>
        <v>0</v>
      </c>
      <c r="EN103" s="150"/>
      <c r="EO103" s="528"/>
      <c r="EP103" s="143"/>
      <c r="EQ103" s="146"/>
      <c r="ER103" s="157" t="s">
        <v>11</v>
      </c>
      <c r="ES103" s="138"/>
      <c r="ET103" s="172"/>
      <c r="EU103" s="140">
        <f t="shared" si="265"/>
        <v>0</v>
      </c>
      <c r="EV103" s="150"/>
      <c r="EW103" s="528"/>
      <c r="EX103" s="143"/>
      <c r="EY103" s="146"/>
      <c r="EZ103" s="157" t="s">
        <v>11</v>
      </c>
      <c r="FA103" s="138"/>
      <c r="FB103" s="172"/>
      <c r="FC103" s="140">
        <f t="shared" si="266"/>
        <v>0</v>
      </c>
      <c r="FD103" s="150"/>
      <c r="FE103" s="528"/>
      <c r="FF103" s="143"/>
      <c r="FG103" s="146"/>
      <c r="FH103" s="157" t="s">
        <v>11</v>
      </c>
      <c r="FI103" s="138"/>
      <c r="FJ103" s="172"/>
      <c r="FK103" s="140">
        <f t="shared" si="267"/>
        <v>0</v>
      </c>
      <c r="FL103" s="150"/>
      <c r="FM103" s="528"/>
      <c r="FN103" s="143"/>
      <c r="FO103" s="146"/>
      <c r="FP103" s="157" t="s">
        <v>11</v>
      </c>
      <c r="FQ103" s="138"/>
      <c r="FR103" s="172"/>
      <c r="FS103" s="140">
        <f t="shared" si="268"/>
        <v>0</v>
      </c>
      <c r="FT103" s="150"/>
      <c r="FU103" s="528"/>
      <c r="FV103" s="143"/>
      <c r="FW103" s="146"/>
      <c r="FX103" s="157" t="s">
        <v>11</v>
      </c>
      <c r="FY103" s="138"/>
      <c r="FZ103" s="172"/>
      <c r="GA103" s="140">
        <f t="shared" si="269"/>
        <v>0</v>
      </c>
      <c r="GB103" s="150"/>
      <c r="GC103" s="528"/>
      <c r="GD103" s="143"/>
      <c r="GE103" s="146"/>
      <c r="GF103" s="157" t="s">
        <v>11</v>
      </c>
      <c r="GG103" s="138"/>
      <c r="GH103" s="172"/>
      <c r="GI103" s="140">
        <f t="shared" si="270"/>
        <v>0</v>
      </c>
      <c r="GJ103" s="150"/>
      <c r="GK103" s="528"/>
      <c r="GL103" s="143"/>
      <c r="GM103" s="146"/>
      <c r="GN103" s="157" t="s">
        <v>11</v>
      </c>
      <c r="GO103" s="138">
        <f>'[1]Jan_18_Vol weekly-Data-Entry'!$AS$226</f>
        <v>0</v>
      </c>
      <c r="GP103" s="172"/>
      <c r="GQ103" s="140">
        <f t="shared" si="271"/>
        <v>0</v>
      </c>
      <c r="GR103" s="150"/>
      <c r="GS103" s="528"/>
      <c r="GT103" s="143"/>
      <c r="GU103" s="146"/>
      <c r="GV103" s="157" t="s">
        <v>11</v>
      </c>
      <c r="GW103" s="138">
        <v>0</v>
      </c>
      <c r="GX103" s="172"/>
      <c r="GY103" s="140">
        <f t="shared" si="272"/>
        <v>0</v>
      </c>
      <c r="GZ103" s="150"/>
      <c r="HA103" s="528"/>
      <c r="HB103" s="143"/>
      <c r="HC103" s="146"/>
      <c r="HD103" s="157" t="s">
        <v>11</v>
      </c>
      <c r="HE103" s="138">
        <v>0</v>
      </c>
      <c r="HF103" s="172"/>
      <c r="HG103" s="140">
        <f t="shared" si="273"/>
        <v>0</v>
      </c>
      <c r="HH103" s="150"/>
      <c r="HI103" s="528"/>
      <c r="HJ103" s="143"/>
      <c r="HK103" s="146"/>
      <c r="HL103" s="157" t="s">
        <v>11</v>
      </c>
      <c r="HM103" s="138">
        <v>0</v>
      </c>
      <c r="HN103" s="172"/>
      <c r="HO103" s="140">
        <f t="shared" si="274"/>
        <v>0</v>
      </c>
      <c r="HP103" s="150"/>
      <c r="HQ103" s="528"/>
      <c r="HR103" s="143"/>
      <c r="HS103" s="146"/>
      <c r="HT103" s="157" t="s">
        <v>11</v>
      </c>
      <c r="HU103" s="138">
        <v>0</v>
      </c>
      <c r="HV103" s="172"/>
      <c r="HW103" s="140">
        <f t="shared" si="275"/>
        <v>0</v>
      </c>
      <c r="HX103" s="150"/>
      <c r="HY103" s="528"/>
      <c r="HZ103" s="143"/>
      <c r="IA103" s="146"/>
      <c r="IB103" s="157" t="s">
        <v>11</v>
      </c>
      <c r="IC103" s="138">
        <v>0</v>
      </c>
      <c r="ID103" s="172"/>
      <c r="IE103" s="140">
        <f t="shared" si="276"/>
        <v>0</v>
      </c>
      <c r="IF103" s="150"/>
      <c r="IG103" s="528"/>
      <c r="IH103" s="143"/>
      <c r="II103" s="146"/>
      <c r="IJ103" s="157" t="s">
        <v>11</v>
      </c>
      <c r="IK103" s="138">
        <v>1</v>
      </c>
      <c r="IL103" s="172"/>
      <c r="IM103" s="140">
        <f t="shared" si="277"/>
        <v>0</v>
      </c>
      <c r="IN103" s="150"/>
      <c r="IO103" s="528"/>
      <c r="IP103" s="143"/>
      <c r="IQ103" s="146"/>
      <c r="IR103" s="157" t="s">
        <v>11</v>
      </c>
      <c r="IS103" s="138">
        <v>0</v>
      </c>
      <c r="IT103" s="172"/>
      <c r="IU103" s="140">
        <f t="shared" si="278"/>
        <v>0</v>
      </c>
      <c r="IV103" s="150"/>
      <c r="IW103" s="528"/>
      <c r="IX103" s="143"/>
      <c r="IY103" s="146"/>
      <c r="IZ103" s="157" t="s">
        <v>11</v>
      </c>
      <c r="JA103" s="138">
        <v>0</v>
      </c>
      <c r="JB103" s="172"/>
      <c r="JC103" s="140">
        <f t="shared" si="279"/>
        <v>0</v>
      </c>
      <c r="JD103" s="150"/>
      <c r="JE103" s="528"/>
      <c r="JF103" s="143"/>
      <c r="JG103" s="146"/>
      <c r="JH103" s="157" t="s">
        <v>11</v>
      </c>
      <c r="JI103" s="138">
        <v>0</v>
      </c>
      <c r="JJ103" s="172"/>
      <c r="JK103" s="140">
        <f t="shared" si="280"/>
        <v>0</v>
      </c>
      <c r="JL103" s="150"/>
      <c r="JM103" s="528"/>
      <c r="JN103" s="143"/>
      <c r="JO103" s="146"/>
      <c r="JP103" s="157" t="s">
        <v>11</v>
      </c>
      <c r="JQ103" s="138">
        <v>0</v>
      </c>
      <c r="JR103" s="172"/>
      <c r="JS103" s="140">
        <f t="shared" si="281"/>
        <v>0</v>
      </c>
      <c r="JT103" s="150"/>
      <c r="JU103" s="528"/>
      <c r="JV103" s="143"/>
      <c r="JW103" s="146"/>
      <c r="JX103" s="157" t="s">
        <v>11</v>
      </c>
      <c r="JY103" s="138">
        <v>0</v>
      </c>
      <c r="JZ103" s="172"/>
      <c r="KA103" s="140">
        <f t="shared" si="282"/>
        <v>0</v>
      </c>
      <c r="KB103" s="150"/>
      <c r="KC103" s="528"/>
      <c r="KD103" s="143"/>
      <c r="KE103" s="146"/>
      <c r="KF103" s="157" t="s">
        <v>11</v>
      </c>
      <c r="KG103" s="138">
        <v>0</v>
      </c>
      <c r="KH103" s="172"/>
      <c r="KI103" s="140">
        <f t="shared" si="283"/>
        <v>0</v>
      </c>
      <c r="KJ103" s="150"/>
      <c r="KK103" s="528"/>
      <c r="KL103" s="143"/>
      <c r="KM103" s="146"/>
      <c r="KN103" s="157" t="s">
        <v>11</v>
      </c>
      <c r="KO103" s="138">
        <v>0</v>
      </c>
      <c r="KP103" s="172"/>
      <c r="KQ103" s="140">
        <f t="shared" si="284"/>
        <v>0</v>
      </c>
      <c r="KR103" s="150"/>
      <c r="KS103" s="528"/>
      <c r="KT103" s="143"/>
      <c r="KU103" s="146"/>
      <c r="KV103" s="157" t="s">
        <v>11</v>
      </c>
      <c r="KW103" s="138">
        <v>0</v>
      </c>
      <c r="KX103" s="172"/>
      <c r="KY103" s="140">
        <f t="shared" si="285"/>
        <v>0</v>
      </c>
      <c r="KZ103" s="150"/>
      <c r="LA103" s="528"/>
      <c r="LB103" s="143"/>
      <c r="LC103" s="146"/>
      <c r="LD103" s="157" t="s">
        <v>11</v>
      </c>
      <c r="LE103" s="138">
        <v>25</v>
      </c>
      <c r="LF103" s="172"/>
      <c r="LG103" s="140">
        <f t="shared" si="286"/>
        <v>0</v>
      </c>
      <c r="LH103" s="150"/>
      <c r="LI103" s="528"/>
      <c r="LJ103" s="143"/>
      <c r="LK103" s="146"/>
      <c r="LL103" s="157" t="s">
        <v>11</v>
      </c>
      <c r="LM103" s="175">
        <v>0</v>
      </c>
      <c r="LN103" s="164"/>
      <c r="LO103" s="140">
        <f t="shared" ref="LO103:LO118" si="313">LM103*LN103</f>
        <v>0</v>
      </c>
      <c r="LP103" s="150"/>
      <c r="LQ103" s="528"/>
      <c r="LR103" s="143"/>
      <c r="LS103" s="146"/>
      <c r="LT103" s="157" t="s">
        <v>11</v>
      </c>
      <c r="LU103" s="175"/>
      <c r="LV103" s="164"/>
      <c r="LW103" s="140">
        <f t="shared" ref="LW103:LW118" si="314">LU103*LV103</f>
        <v>0</v>
      </c>
      <c r="LX103" s="150"/>
      <c r="LY103" s="528"/>
      <c r="LZ103" s="143"/>
      <c r="MA103" s="146"/>
      <c r="MB103" s="157" t="s">
        <v>11</v>
      </c>
      <c r="MC103" s="175"/>
      <c r="MD103" s="164"/>
      <c r="ME103" s="140">
        <f t="shared" ref="ME103:ME118" si="315">MC103*MD103</f>
        <v>0</v>
      </c>
      <c r="MF103" s="150"/>
      <c r="MG103" s="528"/>
      <c r="MH103" s="143"/>
      <c r="MI103" s="146"/>
      <c r="MJ103" s="157" t="s">
        <v>11</v>
      </c>
      <c r="MK103" s="175"/>
      <c r="ML103" s="164"/>
      <c r="MM103" s="140">
        <f t="shared" ref="MM103:MM118" si="316">MK103*ML103</f>
        <v>0</v>
      </c>
      <c r="MN103" s="150"/>
      <c r="MO103" s="528"/>
      <c r="MP103" s="143"/>
      <c r="MQ103" s="146"/>
      <c r="MR103" s="157" t="s">
        <v>11</v>
      </c>
      <c r="MS103" s="175"/>
      <c r="MT103" s="164"/>
      <c r="MU103" s="140">
        <f t="shared" ref="MU103:MU118" si="317">MS103*MT103</f>
        <v>0</v>
      </c>
      <c r="MV103" s="150"/>
      <c r="MW103" s="528"/>
      <c r="MX103" s="686" t="s">
        <v>357</v>
      </c>
      <c r="MY103" s="687"/>
      <c r="MZ103" s="691" t="s">
        <v>14</v>
      </c>
      <c r="NA103" s="683"/>
      <c r="NB103" s="692"/>
      <c r="NC103" s="685">
        <f t="shared" si="292"/>
        <v>0</v>
      </c>
      <c r="ND103" s="685">
        <f>NB103*NC103</f>
        <v>0</v>
      </c>
      <c r="NE103" s="528"/>
      <c r="NF103" s="686" t="s">
        <v>357</v>
      </c>
      <c r="NG103" s="687"/>
      <c r="NH103" s="691" t="s">
        <v>14</v>
      </c>
      <c r="NI103" s="683"/>
      <c r="NJ103" s="692"/>
      <c r="NK103" s="685">
        <f t="shared" si="293"/>
        <v>0</v>
      </c>
      <c r="NL103" s="685">
        <f>NJ103*NK103</f>
        <v>0</v>
      </c>
      <c r="NM103" s="528"/>
      <c r="NN103" s="686" t="s">
        <v>357</v>
      </c>
      <c r="NO103" s="687"/>
      <c r="NP103" s="691" t="s">
        <v>14</v>
      </c>
      <c r="NQ103" s="683"/>
      <c r="NR103" s="692"/>
      <c r="NS103" s="685">
        <f t="shared" si="294"/>
        <v>0</v>
      </c>
      <c r="NT103" s="685">
        <f>NR103*NS103</f>
        <v>0</v>
      </c>
      <c r="NU103" s="528"/>
      <c r="NV103" s="686" t="s">
        <v>357</v>
      </c>
      <c r="NW103" s="687"/>
      <c r="NX103" s="691" t="s">
        <v>14</v>
      </c>
      <c r="NY103" s="683"/>
      <c r="NZ103" s="692"/>
      <c r="OA103" s="685">
        <f t="shared" si="295"/>
        <v>0</v>
      </c>
      <c r="OB103" s="685">
        <f>NZ103*OA103</f>
        <v>0</v>
      </c>
      <c r="OC103" s="528"/>
      <c r="OD103" s="686" t="s">
        <v>357</v>
      </c>
      <c r="OE103" s="687"/>
      <c r="OF103" s="691" t="s">
        <v>14</v>
      </c>
      <c r="OG103" s="683"/>
      <c r="OH103" s="692"/>
      <c r="OI103" s="685">
        <f t="shared" si="296"/>
        <v>0</v>
      </c>
      <c r="OJ103" s="685">
        <f>OH103*OI103</f>
        <v>0</v>
      </c>
      <c r="OK103" s="528"/>
      <c r="OL103" s="686" t="s">
        <v>357</v>
      </c>
      <c r="OM103" s="687"/>
      <c r="ON103" s="691" t="s">
        <v>14</v>
      </c>
      <c r="OO103" s="683"/>
      <c r="OP103" s="692"/>
      <c r="OQ103" s="685">
        <f t="shared" si="297"/>
        <v>0</v>
      </c>
      <c r="OR103" s="685">
        <f>OP103*OQ103</f>
        <v>0</v>
      </c>
      <c r="OS103" s="528"/>
      <c r="OT103" s="686" t="s">
        <v>357</v>
      </c>
      <c r="OU103" s="687"/>
      <c r="OV103" s="691" t="s">
        <v>14</v>
      </c>
      <c r="OW103" s="683"/>
      <c r="OX103" s="692"/>
      <c r="OY103" s="685">
        <f t="shared" si="298"/>
        <v>0</v>
      </c>
      <c r="OZ103" s="685">
        <f>OX103*OY103</f>
        <v>0</v>
      </c>
      <c r="PA103" s="528"/>
      <c r="PB103" s="686" t="s">
        <v>357</v>
      </c>
      <c r="PC103" s="687"/>
      <c r="PD103" s="691" t="s">
        <v>14</v>
      </c>
      <c r="PE103" s="683"/>
      <c r="PF103" s="692"/>
      <c r="PG103" s="685">
        <f t="shared" si="299"/>
        <v>0</v>
      </c>
      <c r="PH103" s="685">
        <f>PF103*PG103</f>
        <v>0</v>
      </c>
      <c r="PI103" s="528"/>
      <c r="PJ103" s="686" t="s">
        <v>357</v>
      </c>
      <c r="PK103" s="687"/>
      <c r="PL103" s="691" t="s">
        <v>14</v>
      </c>
      <c r="PM103" s="683"/>
      <c r="PN103" s="692"/>
      <c r="PO103" s="685">
        <f t="shared" si="300"/>
        <v>0</v>
      </c>
      <c r="PP103" s="685">
        <f>PN103*PO103</f>
        <v>0</v>
      </c>
      <c r="PQ103" s="528"/>
      <c r="PR103" s="686" t="s">
        <v>357</v>
      </c>
      <c r="PS103" s="687"/>
      <c r="PT103" s="691" t="s">
        <v>14</v>
      </c>
      <c r="PU103" s="683"/>
      <c r="PV103" s="692"/>
      <c r="PW103" s="685">
        <f t="shared" si="301"/>
        <v>0</v>
      </c>
      <c r="PX103" s="685">
        <f>PV103*PW103</f>
        <v>0</v>
      </c>
      <c r="PY103" s="528"/>
      <c r="PZ103" s="686" t="s">
        <v>357</v>
      </c>
      <c r="QA103" s="687"/>
      <c r="QB103" s="691" t="s">
        <v>14</v>
      </c>
      <c r="QC103" s="683"/>
      <c r="QD103" s="692"/>
      <c r="QE103" s="685">
        <f t="shared" si="302"/>
        <v>0</v>
      </c>
      <c r="QF103" s="685">
        <f>QD103*QE103</f>
        <v>0</v>
      </c>
      <c r="QG103" s="528"/>
      <c r="QH103" s="686" t="s">
        <v>357</v>
      </c>
      <c r="QI103" s="687"/>
      <c r="QJ103" s="691" t="s">
        <v>14</v>
      </c>
      <c r="QK103" s="683"/>
      <c r="QL103" s="692"/>
      <c r="QM103" s="685">
        <f t="shared" si="303"/>
        <v>0</v>
      </c>
      <c r="QN103" s="685">
        <f>QL103*QM103</f>
        <v>0</v>
      </c>
      <c r="QO103" s="528"/>
      <c r="QP103" s="686" t="s">
        <v>357</v>
      </c>
      <c r="QQ103" s="687"/>
      <c r="QR103" s="691" t="s">
        <v>14</v>
      </c>
      <c r="QS103" s="683"/>
      <c r="QT103" s="692"/>
      <c r="QU103" s="685">
        <f t="shared" si="304"/>
        <v>0</v>
      </c>
      <c r="QV103" s="685">
        <f>QT103*QU103</f>
        <v>0</v>
      </c>
      <c r="QW103" s="528"/>
      <c r="QX103" s="686" t="s">
        <v>357</v>
      </c>
      <c r="QY103" s="687"/>
      <c r="QZ103" s="691" t="s">
        <v>14</v>
      </c>
      <c r="RA103" s="683"/>
      <c r="RB103" s="692"/>
      <c r="RC103" s="685">
        <f t="shared" si="305"/>
        <v>0</v>
      </c>
      <c r="RD103" s="685">
        <f>RB103*RC103</f>
        <v>0</v>
      </c>
      <c r="RE103" s="528"/>
      <c r="RF103" s="686" t="s">
        <v>357</v>
      </c>
      <c r="RG103" s="687"/>
      <c r="RH103" s="691" t="s">
        <v>14</v>
      </c>
      <c r="RI103" s="683"/>
      <c r="RJ103" s="692"/>
      <c r="RK103" s="685">
        <f t="shared" si="306"/>
        <v>0</v>
      </c>
      <c r="RL103" s="685">
        <f>RJ103*RK103</f>
        <v>0</v>
      </c>
      <c r="RM103" s="528"/>
      <c r="RN103" s="686" t="s">
        <v>357</v>
      </c>
      <c r="RO103" s="687"/>
      <c r="RP103" s="691" t="s">
        <v>14</v>
      </c>
      <c r="RQ103" s="683"/>
      <c r="RR103" s="692"/>
      <c r="RS103" s="685">
        <f t="shared" si="307"/>
        <v>0</v>
      </c>
      <c r="RT103" s="685">
        <f>RR103*RS103</f>
        <v>0</v>
      </c>
      <c r="RU103" s="528"/>
      <c r="RV103" s="686" t="s">
        <v>357</v>
      </c>
      <c r="RW103" s="687"/>
      <c r="RX103" s="691" t="s">
        <v>14</v>
      </c>
      <c r="RY103" s="683"/>
      <c r="RZ103" s="692"/>
      <c r="SA103" s="685">
        <f t="shared" si="308"/>
        <v>0</v>
      </c>
      <c r="SB103" s="685">
        <f>RZ103*SA103</f>
        <v>0</v>
      </c>
      <c r="SC103" s="528"/>
      <c r="SD103" s="686" t="s">
        <v>357</v>
      </c>
      <c r="SE103" s="687"/>
      <c r="SF103" s="691" t="s">
        <v>14</v>
      </c>
      <c r="SG103" s="683"/>
      <c r="SH103" s="692"/>
      <c r="SI103" s="685">
        <f t="shared" si="309"/>
        <v>0</v>
      </c>
      <c r="SJ103" s="685">
        <f>SH103*SI103</f>
        <v>0</v>
      </c>
      <c r="SK103" s="528"/>
      <c r="SL103" s="686" t="s">
        <v>357</v>
      </c>
      <c r="SM103" s="687"/>
      <c r="SN103" s="691" t="s">
        <v>14</v>
      </c>
      <c r="SO103" s="683"/>
      <c r="SP103" s="692"/>
      <c r="SQ103" s="685">
        <f t="shared" si="310"/>
        <v>0</v>
      </c>
      <c r="SR103" s="685">
        <f>SP103*SQ103</f>
        <v>0</v>
      </c>
      <c r="SS103" s="528"/>
      <c r="ST103" s="686" t="s">
        <v>357</v>
      </c>
      <c r="SU103" s="687"/>
      <c r="SV103" s="691" t="s">
        <v>14</v>
      </c>
      <c r="SW103" s="683"/>
      <c r="SX103" s="692"/>
      <c r="SY103" s="685">
        <f t="shared" si="311"/>
        <v>0</v>
      </c>
      <c r="SZ103" s="685">
        <f>SX103*SY103</f>
        <v>0</v>
      </c>
      <c r="TA103" s="528"/>
      <c r="TB103" s="686" t="s">
        <v>357</v>
      </c>
      <c r="TC103" s="687"/>
      <c r="TD103" s="691" t="s">
        <v>14</v>
      </c>
      <c r="TE103" s="683"/>
      <c r="TF103" s="692"/>
      <c r="TG103" s="685">
        <f t="shared" si="312"/>
        <v>0</v>
      </c>
      <c r="TH103" s="685">
        <f>TF103*TG103</f>
        <v>0</v>
      </c>
      <c r="TI103" s="528"/>
    </row>
    <row r="104" spans="2:529">
      <c r="B104" s="143"/>
      <c r="C104" s="146"/>
      <c r="D104" s="157" t="s">
        <v>90</v>
      </c>
      <c r="E104" s="138">
        <v>0</v>
      </c>
      <c r="F104" s="172"/>
      <c r="G104" s="140">
        <f t="shared" si="247"/>
        <v>0</v>
      </c>
      <c r="H104" s="150"/>
      <c r="I104" s="528"/>
      <c r="J104" s="143"/>
      <c r="K104" s="146">
        <v>50</v>
      </c>
      <c r="L104" s="157" t="s">
        <v>90</v>
      </c>
      <c r="M104" s="138">
        <v>0</v>
      </c>
      <c r="N104" s="172"/>
      <c r="O104" s="140">
        <f t="shared" si="248"/>
        <v>0</v>
      </c>
      <c r="P104" s="150"/>
      <c r="Q104" s="528"/>
      <c r="R104" s="143"/>
      <c r="S104" s="146">
        <v>50</v>
      </c>
      <c r="T104" s="157" t="s">
        <v>90</v>
      </c>
      <c r="U104" s="138">
        <v>0</v>
      </c>
      <c r="V104" s="172"/>
      <c r="W104" s="140">
        <f t="shared" si="249"/>
        <v>0</v>
      </c>
      <c r="X104" s="150"/>
      <c r="Y104" s="528"/>
      <c r="Z104" s="143"/>
      <c r="AA104" s="146">
        <v>50</v>
      </c>
      <c r="AB104" s="157" t="s">
        <v>90</v>
      </c>
      <c r="AC104" s="138">
        <v>0</v>
      </c>
      <c r="AD104" s="172"/>
      <c r="AE104" s="140">
        <f t="shared" si="250"/>
        <v>0</v>
      </c>
      <c r="AF104" s="150"/>
      <c r="AG104" s="528"/>
      <c r="AH104" s="143"/>
      <c r="AI104" s="146">
        <v>50</v>
      </c>
      <c r="AJ104" s="157" t="s">
        <v>90</v>
      </c>
      <c r="AK104" s="138"/>
      <c r="AL104" s="172"/>
      <c r="AM104" s="140">
        <f t="shared" si="251"/>
        <v>0</v>
      </c>
      <c r="AN104" s="150"/>
      <c r="AO104" s="528"/>
      <c r="AP104" s="143"/>
      <c r="AQ104" s="146">
        <v>50</v>
      </c>
      <c r="AR104" s="157" t="s">
        <v>90</v>
      </c>
      <c r="AS104" s="138"/>
      <c r="AT104" s="172"/>
      <c r="AU104" s="140">
        <f t="shared" si="252"/>
        <v>0</v>
      </c>
      <c r="AV104" s="150"/>
      <c r="AW104" s="528"/>
      <c r="AX104" s="143"/>
      <c r="AY104" s="146">
        <v>50</v>
      </c>
      <c r="AZ104" s="157" t="s">
        <v>90</v>
      </c>
      <c r="BA104" s="138"/>
      <c r="BB104" s="172"/>
      <c r="BC104" s="140">
        <f t="shared" si="253"/>
        <v>0</v>
      </c>
      <c r="BD104" s="150"/>
      <c r="BE104" s="528"/>
      <c r="BF104" s="143"/>
      <c r="BG104" s="146">
        <v>50</v>
      </c>
      <c r="BH104" s="157" t="s">
        <v>90</v>
      </c>
      <c r="BI104" s="138">
        <v>0</v>
      </c>
      <c r="BJ104" s="172"/>
      <c r="BK104" s="140">
        <f t="shared" si="254"/>
        <v>0</v>
      </c>
      <c r="BL104" s="150"/>
      <c r="BM104" s="528"/>
      <c r="BN104" s="143"/>
      <c r="BO104" s="146">
        <v>50</v>
      </c>
      <c r="BP104" s="157" t="s">
        <v>90</v>
      </c>
      <c r="BQ104" s="138">
        <v>0</v>
      </c>
      <c r="BR104" s="172"/>
      <c r="BS104" s="140">
        <f t="shared" si="255"/>
        <v>0</v>
      </c>
      <c r="BT104" s="150"/>
      <c r="BU104" s="528"/>
      <c r="BV104" s="564"/>
      <c r="BW104" s="537"/>
      <c r="BX104" s="574" t="s">
        <v>90</v>
      </c>
      <c r="BY104" s="560"/>
      <c r="BZ104" s="587"/>
      <c r="CA104" s="562">
        <f t="shared" si="256"/>
        <v>0</v>
      </c>
      <c r="CB104" s="569"/>
      <c r="CC104" s="528"/>
      <c r="CD104" s="564"/>
      <c r="CE104" s="537"/>
      <c r="CF104" s="574" t="s">
        <v>90</v>
      </c>
      <c r="CG104" s="560"/>
      <c r="CH104" s="587"/>
      <c r="CI104" s="562">
        <f t="shared" si="257"/>
        <v>0</v>
      </c>
      <c r="CJ104" s="569"/>
      <c r="CK104" s="528"/>
      <c r="CL104" s="143"/>
      <c r="CM104" s="146">
        <v>50</v>
      </c>
      <c r="CN104" s="157" t="s">
        <v>90</v>
      </c>
      <c r="CO104" s="138"/>
      <c r="CP104" s="172"/>
      <c r="CQ104" s="140">
        <f t="shared" si="258"/>
        <v>0</v>
      </c>
      <c r="CR104" s="150"/>
      <c r="CS104" s="528"/>
      <c r="CT104" s="143"/>
      <c r="CU104" s="146">
        <v>50</v>
      </c>
      <c r="CV104" s="157" t="s">
        <v>90</v>
      </c>
      <c r="CW104" s="138">
        <v>0</v>
      </c>
      <c r="CX104" s="172"/>
      <c r="CY104" s="140">
        <f t="shared" si="259"/>
        <v>0</v>
      </c>
      <c r="CZ104" s="150"/>
      <c r="DA104" s="528"/>
      <c r="DB104" s="143"/>
      <c r="DC104" s="146"/>
      <c r="DD104" s="157" t="s">
        <v>90</v>
      </c>
      <c r="DE104" s="138"/>
      <c r="DF104" s="172"/>
      <c r="DG104" s="140">
        <f t="shared" si="260"/>
        <v>0</v>
      </c>
      <c r="DH104" s="150"/>
      <c r="DI104" s="528"/>
      <c r="DJ104" s="143"/>
      <c r="DK104" s="146"/>
      <c r="DL104" s="157" t="s">
        <v>90</v>
      </c>
      <c r="DM104" s="138"/>
      <c r="DN104" s="172"/>
      <c r="DO104" s="140">
        <f t="shared" si="261"/>
        <v>0</v>
      </c>
      <c r="DP104" s="150"/>
      <c r="DQ104" s="528"/>
      <c r="DR104" s="143"/>
      <c r="DS104" s="146"/>
      <c r="DT104" s="157" t="s">
        <v>90</v>
      </c>
      <c r="DU104" s="138"/>
      <c r="DV104" s="172"/>
      <c r="DW104" s="140">
        <f t="shared" si="262"/>
        <v>0</v>
      </c>
      <c r="DX104" s="150"/>
      <c r="DY104" s="528"/>
      <c r="DZ104" s="143"/>
      <c r="EA104" s="146"/>
      <c r="EB104" s="157" t="s">
        <v>90</v>
      </c>
      <c r="EC104" s="138"/>
      <c r="ED104" s="172"/>
      <c r="EE104" s="140">
        <f t="shared" si="263"/>
        <v>0</v>
      </c>
      <c r="EF104" s="150"/>
      <c r="EG104" s="528"/>
      <c r="EH104" s="143"/>
      <c r="EI104" s="146"/>
      <c r="EJ104" s="157" t="s">
        <v>90</v>
      </c>
      <c r="EK104" s="138"/>
      <c r="EL104" s="172"/>
      <c r="EM104" s="140">
        <f t="shared" si="264"/>
        <v>0</v>
      </c>
      <c r="EN104" s="150"/>
      <c r="EO104" s="528"/>
      <c r="EP104" s="143"/>
      <c r="EQ104" s="146"/>
      <c r="ER104" s="157" t="s">
        <v>90</v>
      </c>
      <c r="ES104" s="138"/>
      <c r="ET104" s="172"/>
      <c r="EU104" s="140">
        <f t="shared" si="265"/>
        <v>0</v>
      </c>
      <c r="EV104" s="150"/>
      <c r="EW104" s="528"/>
      <c r="EX104" s="143"/>
      <c r="EY104" s="146"/>
      <c r="EZ104" s="157" t="s">
        <v>90</v>
      </c>
      <c r="FA104" s="138"/>
      <c r="FB104" s="172"/>
      <c r="FC104" s="140">
        <f t="shared" si="266"/>
        <v>0</v>
      </c>
      <c r="FD104" s="150"/>
      <c r="FE104" s="528"/>
      <c r="FF104" s="143"/>
      <c r="FG104" s="146"/>
      <c r="FH104" s="157" t="s">
        <v>90</v>
      </c>
      <c r="FI104" s="138"/>
      <c r="FJ104" s="172"/>
      <c r="FK104" s="140">
        <f t="shared" si="267"/>
        <v>0</v>
      </c>
      <c r="FL104" s="150"/>
      <c r="FM104" s="528"/>
      <c r="FN104" s="143"/>
      <c r="FO104" s="146"/>
      <c r="FP104" s="157" t="s">
        <v>90</v>
      </c>
      <c r="FQ104" s="138"/>
      <c r="FR104" s="172"/>
      <c r="FS104" s="140">
        <f t="shared" si="268"/>
        <v>0</v>
      </c>
      <c r="FT104" s="150"/>
      <c r="FU104" s="528"/>
      <c r="FV104" s="143"/>
      <c r="FW104" s="146"/>
      <c r="FX104" s="157" t="s">
        <v>90</v>
      </c>
      <c r="FY104" s="138"/>
      <c r="FZ104" s="172"/>
      <c r="GA104" s="140">
        <f t="shared" si="269"/>
        <v>0</v>
      </c>
      <c r="GB104" s="150"/>
      <c r="GC104" s="528"/>
      <c r="GD104" s="143"/>
      <c r="GE104" s="146"/>
      <c r="GF104" s="157" t="s">
        <v>90</v>
      </c>
      <c r="GG104" s="138"/>
      <c r="GH104" s="172"/>
      <c r="GI104" s="140">
        <f t="shared" si="270"/>
        <v>0</v>
      </c>
      <c r="GJ104" s="150"/>
      <c r="GK104" s="528"/>
      <c r="GL104" s="143"/>
      <c r="GM104" s="146"/>
      <c r="GN104" s="157" t="s">
        <v>90</v>
      </c>
      <c r="GO104" s="138">
        <f>'[1]Jan_18_Vol weekly-Data-Entry'!$AT$226</f>
        <v>0</v>
      </c>
      <c r="GP104" s="172"/>
      <c r="GQ104" s="140">
        <f t="shared" si="271"/>
        <v>0</v>
      </c>
      <c r="GR104" s="150"/>
      <c r="GS104" s="528"/>
      <c r="GT104" s="143"/>
      <c r="GU104" s="146"/>
      <c r="GV104" s="157" t="s">
        <v>90</v>
      </c>
      <c r="GW104" s="138">
        <v>0</v>
      </c>
      <c r="GX104" s="172"/>
      <c r="GY104" s="140">
        <f t="shared" si="272"/>
        <v>0</v>
      </c>
      <c r="GZ104" s="150"/>
      <c r="HA104" s="528"/>
      <c r="HB104" s="143"/>
      <c r="HC104" s="146"/>
      <c r="HD104" s="157" t="s">
        <v>90</v>
      </c>
      <c r="HE104" s="138">
        <v>0</v>
      </c>
      <c r="HF104" s="172"/>
      <c r="HG104" s="140">
        <f t="shared" si="273"/>
        <v>0</v>
      </c>
      <c r="HH104" s="150"/>
      <c r="HI104" s="528"/>
      <c r="HJ104" s="143"/>
      <c r="HK104" s="146"/>
      <c r="HL104" s="157" t="s">
        <v>90</v>
      </c>
      <c r="HM104" s="138">
        <v>0</v>
      </c>
      <c r="HN104" s="172"/>
      <c r="HO104" s="140">
        <f t="shared" si="274"/>
        <v>0</v>
      </c>
      <c r="HP104" s="150"/>
      <c r="HQ104" s="528"/>
      <c r="HR104" s="143"/>
      <c r="HS104" s="146"/>
      <c r="HT104" s="157" t="s">
        <v>90</v>
      </c>
      <c r="HU104" s="138">
        <v>0</v>
      </c>
      <c r="HV104" s="172"/>
      <c r="HW104" s="140">
        <f t="shared" si="275"/>
        <v>0</v>
      </c>
      <c r="HX104" s="150"/>
      <c r="HY104" s="528"/>
      <c r="HZ104" s="143"/>
      <c r="IA104" s="146"/>
      <c r="IB104" s="157" t="s">
        <v>90</v>
      </c>
      <c r="IC104" s="138">
        <v>0</v>
      </c>
      <c r="ID104" s="172"/>
      <c r="IE104" s="140">
        <f t="shared" si="276"/>
        <v>0</v>
      </c>
      <c r="IF104" s="150"/>
      <c r="IG104" s="528"/>
      <c r="IH104" s="143"/>
      <c r="II104" s="146"/>
      <c r="IJ104" s="157" t="s">
        <v>90</v>
      </c>
      <c r="IK104" s="138">
        <v>0</v>
      </c>
      <c r="IL104" s="172"/>
      <c r="IM104" s="140">
        <f t="shared" si="277"/>
        <v>0</v>
      </c>
      <c r="IN104" s="150"/>
      <c r="IO104" s="528"/>
      <c r="IP104" s="143"/>
      <c r="IQ104" s="146"/>
      <c r="IR104" s="157" t="s">
        <v>90</v>
      </c>
      <c r="IS104" s="138">
        <v>0</v>
      </c>
      <c r="IT104" s="172"/>
      <c r="IU104" s="140">
        <f t="shared" si="278"/>
        <v>0</v>
      </c>
      <c r="IV104" s="150"/>
      <c r="IW104" s="528"/>
      <c r="IX104" s="143"/>
      <c r="IY104" s="146"/>
      <c r="IZ104" s="157" t="s">
        <v>90</v>
      </c>
      <c r="JA104" s="138">
        <v>0</v>
      </c>
      <c r="JB104" s="172"/>
      <c r="JC104" s="140">
        <f t="shared" si="279"/>
        <v>0</v>
      </c>
      <c r="JD104" s="150"/>
      <c r="JE104" s="528"/>
      <c r="JF104" s="143"/>
      <c r="JG104" s="146"/>
      <c r="JH104" s="157" t="s">
        <v>90</v>
      </c>
      <c r="JI104" s="138">
        <v>0</v>
      </c>
      <c r="JJ104" s="172"/>
      <c r="JK104" s="140">
        <f t="shared" si="280"/>
        <v>0</v>
      </c>
      <c r="JL104" s="150"/>
      <c r="JM104" s="528"/>
      <c r="JN104" s="143"/>
      <c r="JO104" s="146"/>
      <c r="JP104" s="157" t="s">
        <v>90</v>
      </c>
      <c r="JQ104" s="138">
        <v>0</v>
      </c>
      <c r="JR104" s="172"/>
      <c r="JS104" s="140">
        <f t="shared" si="281"/>
        <v>0</v>
      </c>
      <c r="JT104" s="150"/>
      <c r="JU104" s="528"/>
      <c r="JV104" s="143"/>
      <c r="JW104" s="146"/>
      <c r="JX104" s="157" t="s">
        <v>90</v>
      </c>
      <c r="JY104" s="138">
        <v>0</v>
      </c>
      <c r="JZ104" s="172"/>
      <c r="KA104" s="140">
        <f t="shared" si="282"/>
        <v>0</v>
      </c>
      <c r="KB104" s="150"/>
      <c r="KC104" s="528"/>
      <c r="KD104" s="143"/>
      <c r="KE104" s="146"/>
      <c r="KF104" s="157" t="s">
        <v>90</v>
      </c>
      <c r="KG104" s="138">
        <v>0</v>
      </c>
      <c r="KH104" s="172"/>
      <c r="KI104" s="140">
        <f t="shared" si="283"/>
        <v>0</v>
      </c>
      <c r="KJ104" s="150"/>
      <c r="KK104" s="528"/>
      <c r="KL104" s="143"/>
      <c r="KM104" s="146"/>
      <c r="KN104" s="157" t="s">
        <v>90</v>
      </c>
      <c r="KO104" s="138">
        <v>0</v>
      </c>
      <c r="KP104" s="172"/>
      <c r="KQ104" s="140">
        <f t="shared" si="284"/>
        <v>0</v>
      </c>
      <c r="KR104" s="150"/>
      <c r="KS104" s="528"/>
      <c r="KT104" s="143"/>
      <c r="KU104" s="146"/>
      <c r="KV104" s="157" t="s">
        <v>90</v>
      </c>
      <c r="KW104" s="138">
        <v>0</v>
      </c>
      <c r="KX104" s="172"/>
      <c r="KY104" s="140">
        <f t="shared" si="285"/>
        <v>0</v>
      </c>
      <c r="KZ104" s="150"/>
      <c r="LA104" s="528"/>
      <c r="LB104" s="143"/>
      <c r="LC104" s="146"/>
      <c r="LD104" s="157" t="s">
        <v>90</v>
      </c>
      <c r="LE104" s="138">
        <v>0</v>
      </c>
      <c r="LF104" s="172"/>
      <c r="LG104" s="140">
        <f t="shared" si="286"/>
        <v>0</v>
      </c>
      <c r="LH104" s="150"/>
      <c r="LI104" s="528"/>
      <c r="LJ104" s="143"/>
      <c r="LK104" s="146"/>
      <c r="LL104" s="157" t="s">
        <v>90</v>
      </c>
      <c r="LM104" s="175">
        <v>0</v>
      </c>
      <c r="LN104" s="164"/>
      <c r="LO104" s="140">
        <f t="shared" si="313"/>
        <v>0</v>
      </c>
      <c r="LP104" s="150"/>
      <c r="LQ104" s="528"/>
      <c r="LR104" s="143"/>
      <c r="LS104" s="146"/>
      <c r="LT104" s="157" t="s">
        <v>90</v>
      </c>
      <c r="LU104" s="175"/>
      <c r="LV104" s="164"/>
      <c r="LW104" s="140">
        <f t="shared" si="314"/>
        <v>0</v>
      </c>
      <c r="LX104" s="150"/>
      <c r="LY104" s="528"/>
      <c r="LZ104" s="143"/>
      <c r="MA104" s="146"/>
      <c r="MB104" s="157" t="s">
        <v>90</v>
      </c>
      <c r="MC104" s="175"/>
      <c r="MD104" s="164"/>
      <c r="ME104" s="140">
        <f t="shared" si="315"/>
        <v>0</v>
      </c>
      <c r="MF104" s="150"/>
      <c r="MG104" s="528"/>
      <c r="MH104" s="143"/>
      <c r="MI104" s="146"/>
      <c r="MJ104" s="157" t="s">
        <v>90</v>
      </c>
      <c r="MK104" s="175"/>
      <c r="ML104" s="164"/>
      <c r="MM104" s="140">
        <f t="shared" si="316"/>
        <v>0</v>
      </c>
      <c r="MN104" s="150"/>
      <c r="MO104" s="528"/>
      <c r="MP104" s="143"/>
      <c r="MQ104" s="146"/>
      <c r="MR104" s="157" t="s">
        <v>90</v>
      </c>
      <c r="MS104" s="175"/>
      <c r="MT104" s="164"/>
      <c r="MU104" s="140">
        <f t="shared" si="317"/>
        <v>0</v>
      </c>
      <c r="MV104" s="150"/>
      <c r="MW104" s="528"/>
      <c r="MX104" s="155" t="s">
        <v>358</v>
      </c>
      <c r="MY104" s="144">
        <v>46</v>
      </c>
      <c r="MZ104" s="157" t="s">
        <v>14</v>
      </c>
      <c r="NA104" s="175">
        <v>2671</v>
      </c>
      <c r="NB104" s="164">
        <v>1.4694871794871796</v>
      </c>
      <c r="NC104" s="140">
        <f t="shared" si="292"/>
        <v>3925.0002564102565</v>
      </c>
      <c r="ND104" s="149"/>
      <c r="NE104" s="528"/>
      <c r="NF104" s="155" t="s">
        <v>358</v>
      </c>
      <c r="NG104" s="144">
        <v>25</v>
      </c>
      <c r="NH104" s="157" t="s">
        <v>14</v>
      </c>
      <c r="NI104" s="175">
        <v>1539</v>
      </c>
      <c r="NJ104" s="164">
        <v>1.4694871794871796</v>
      </c>
      <c r="NK104" s="140">
        <f t="shared" si="293"/>
        <v>2261.5407692307695</v>
      </c>
      <c r="NL104" s="149"/>
      <c r="NM104" s="528"/>
      <c r="NN104" s="155" t="s">
        <v>358</v>
      </c>
      <c r="NO104" s="144">
        <v>14</v>
      </c>
      <c r="NP104" s="157" t="s">
        <v>14</v>
      </c>
      <c r="NQ104" s="175">
        <v>360</v>
      </c>
      <c r="NR104" s="164">
        <v>1.4694871794871796</v>
      </c>
      <c r="NS104" s="140">
        <f t="shared" si="294"/>
        <v>529.01538461538462</v>
      </c>
      <c r="NT104" s="149"/>
      <c r="NU104" s="528"/>
      <c r="NV104" s="155" t="s">
        <v>358</v>
      </c>
      <c r="NW104" s="144">
        <v>2</v>
      </c>
      <c r="NX104" s="157" t="s">
        <v>14</v>
      </c>
      <c r="NY104" s="175">
        <v>151</v>
      </c>
      <c r="NZ104" s="164">
        <v>1.4694871794871796</v>
      </c>
      <c r="OA104" s="140">
        <f t="shared" si="295"/>
        <v>221.89256410256411</v>
      </c>
      <c r="OB104" s="149"/>
      <c r="OC104" s="528"/>
      <c r="OD104" s="155" t="s">
        <v>358</v>
      </c>
      <c r="OE104" s="144"/>
      <c r="OF104" s="157" t="s">
        <v>14</v>
      </c>
      <c r="OG104" s="175">
        <v>4</v>
      </c>
      <c r="OH104" s="164">
        <v>1.4694871794871796</v>
      </c>
      <c r="OI104" s="140">
        <f t="shared" si="296"/>
        <v>5.8779487179487182</v>
      </c>
      <c r="OJ104" s="149"/>
      <c r="OK104" s="528"/>
      <c r="OL104" s="155" t="s">
        <v>358</v>
      </c>
      <c r="OM104" s="144"/>
      <c r="ON104" s="157" t="s">
        <v>14</v>
      </c>
      <c r="OO104" s="175"/>
      <c r="OP104" s="164">
        <v>1.4694871794871796</v>
      </c>
      <c r="OQ104" s="140">
        <f t="shared" si="297"/>
        <v>0</v>
      </c>
      <c r="OR104" s="149"/>
      <c r="OS104" s="528"/>
      <c r="OT104" s="155" t="s">
        <v>358</v>
      </c>
      <c r="OU104" s="144"/>
      <c r="OV104" s="157" t="s">
        <v>14</v>
      </c>
      <c r="OW104" s="175"/>
      <c r="OX104" s="164">
        <v>1.4694871794871796</v>
      </c>
      <c r="OY104" s="140">
        <f t="shared" si="298"/>
        <v>0</v>
      </c>
      <c r="OZ104" s="149"/>
      <c r="PA104" s="528"/>
      <c r="PB104" s="155" t="s">
        <v>358</v>
      </c>
      <c r="PC104" s="144"/>
      <c r="PD104" s="157" t="s">
        <v>14</v>
      </c>
      <c r="PE104" s="175"/>
      <c r="PF104" s="164">
        <v>1.4694871794871796</v>
      </c>
      <c r="PG104" s="140">
        <f t="shared" si="299"/>
        <v>0</v>
      </c>
      <c r="PH104" s="149"/>
      <c r="PI104" s="528"/>
      <c r="PJ104" s="155" t="s">
        <v>358</v>
      </c>
      <c r="PK104" s="144">
        <v>5</v>
      </c>
      <c r="PL104" s="157" t="s">
        <v>14</v>
      </c>
      <c r="PM104" s="175">
        <v>94</v>
      </c>
      <c r="PN104" s="164">
        <v>1.4694871794871796</v>
      </c>
      <c r="PO104" s="140">
        <f t="shared" si="300"/>
        <v>138.13179487179488</v>
      </c>
      <c r="PP104" s="149"/>
      <c r="PQ104" s="528"/>
      <c r="PR104" s="155" t="s">
        <v>358</v>
      </c>
      <c r="PS104" s="144">
        <v>5</v>
      </c>
      <c r="PT104" s="157" t="s">
        <v>14</v>
      </c>
      <c r="PU104" s="175">
        <v>68</v>
      </c>
      <c r="PV104" s="164">
        <v>1.4694871794871796</v>
      </c>
      <c r="PW104" s="140">
        <f t="shared" si="301"/>
        <v>99.925128205128203</v>
      </c>
      <c r="PX104" s="149"/>
      <c r="PY104" s="528"/>
      <c r="PZ104" s="155" t="s">
        <v>358</v>
      </c>
      <c r="QA104" s="144">
        <v>26</v>
      </c>
      <c r="QB104" s="157" t="s">
        <v>14</v>
      </c>
      <c r="QC104" s="175">
        <v>690</v>
      </c>
      <c r="QD104" s="164">
        <v>1.4694871794871796</v>
      </c>
      <c r="QE104" s="140">
        <f t="shared" si="302"/>
        <v>1013.9461538461538</v>
      </c>
      <c r="QF104" s="149"/>
      <c r="QG104" s="528"/>
      <c r="QH104" s="155" t="s">
        <v>358</v>
      </c>
      <c r="QI104" s="144">
        <v>13</v>
      </c>
      <c r="QJ104" s="157" t="s">
        <v>14</v>
      </c>
      <c r="QK104" s="175">
        <v>369</v>
      </c>
      <c r="QL104" s="164">
        <v>1.4694871794871796</v>
      </c>
      <c r="QM104" s="140">
        <f t="shared" si="303"/>
        <v>542.24076923076927</v>
      </c>
      <c r="QN104" s="149"/>
      <c r="QO104" s="528"/>
      <c r="QP104" s="155" t="s">
        <v>358</v>
      </c>
      <c r="QQ104" s="144">
        <v>14</v>
      </c>
      <c r="QR104" s="157" t="s">
        <v>14</v>
      </c>
      <c r="QS104" s="175">
        <v>426</v>
      </c>
      <c r="QT104" s="164">
        <v>1.4694871794871796</v>
      </c>
      <c r="QU104" s="140">
        <f t="shared" si="304"/>
        <v>626.00153846153853</v>
      </c>
      <c r="QV104" s="149"/>
      <c r="QW104" s="528"/>
      <c r="QX104" s="155" t="s">
        <v>358</v>
      </c>
      <c r="QY104" s="144"/>
      <c r="QZ104" s="157" t="s">
        <v>14</v>
      </c>
      <c r="RA104" s="175"/>
      <c r="RB104" s="164">
        <v>1.4694871794871796</v>
      </c>
      <c r="RC104" s="140">
        <f t="shared" si="305"/>
        <v>0</v>
      </c>
      <c r="RD104" s="149"/>
      <c r="RE104" s="528"/>
      <c r="RF104" s="155" t="s">
        <v>358</v>
      </c>
      <c r="RG104" s="144"/>
      <c r="RH104" s="157" t="s">
        <v>14</v>
      </c>
      <c r="RI104" s="175"/>
      <c r="RJ104" s="164">
        <v>1.4694871794871796</v>
      </c>
      <c r="RK104" s="140">
        <f t="shared" si="306"/>
        <v>0</v>
      </c>
      <c r="RL104" s="149"/>
      <c r="RM104" s="528"/>
      <c r="RN104" s="155" t="s">
        <v>358</v>
      </c>
      <c r="RO104" s="144">
        <v>1</v>
      </c>
      <c r="RP104" s="157" t="s">
        <v>14</v>
      </c>
      <c r="RQ104" s="175">
        <v>3</v>
      </c>
      <c r="RR104" s="164">
        <v>1.4694871794871796</v>
      </c>
      <c r="RS104" s="140">
        <f t="shared" si="307"/>
        <v>4.4084615384615384</v>
      </c>
      <c r="RT104" s="149"/>
      <c r="RU104" s="528"/>
      <c r="RV104" s="155" t="s">
        <v>358</v>
      </c>
      <c r="RW104" s="144"/>
      <c r="RX104" s="157" t="s">
        <v>14</v>
      </c>
      <c r="RY104" s="175"/>
      <c r="RZ104" s="164">
        <v>1.4694871794871796</v>
      </c>
      <c r="SA104" s="140">
        <f t="shared" si="308"/>
        <v>0</v>
      </c>
      <c r="SB104" s="149"/>
      <c r="SC104" s="528"/>
      <c r="SD104" s="155" t="s">
        <v>358</v>
      </c>
      <c r="SE104" s="144"/>
      <c r="SF104" s="157" t="s">
        <v>14</v>
      </c>
      <c r="SG104" s="175"/>
      <c r="SH104" s="164">
        <v>1.4694871794871796</v>
      </c>
      <c r="SI104" s="140">
        <f t="shared" si="309"/>
        <v>0</v>
      </c>
      <c r="SJ104" s="149"/>
      <c r="SK104" s="528"/>
      <c r="SL104" s="155" t="s">
        <v>358</v>
      </c>
      <c r="SM104" s="144"/>
      <c r="SN104" s="157" t="s">
        <v>14</v>
      </c>
      <c r="SO104" s="175"/>
      <c r="SP104" s="164">
        <v>1.4694871794871796</v>
      </c>
      <c r="SQ104" s="140">
        <f t="shared" si="310"/>
        <v>0</v>
      </c>
      <c r="SR104" s="149"/>
      <c r="SS104" s="528"/>
      <c r="ST104" s="155" t="s">
        <v>358</v>
      </c>
      <c r="SU104" s="144">
        <v>1</v>
      </c>
      <c r="SV104" s="157" t="s">
        <v>14</v>
      </c>
      <c r="SW104" s="175">
        <v>17</v>
      </c>
      <c r="SX104" s="164">
        <v>1.4694871794871796</v>
      </c>
      <c r="SY104" s="140">
        <f t="shared" si="311"/>
        <v>24.981282051282051</v>
      </c>
      <c r="SZ104" s="149"/>
      <c r="TA104" s="528"/>
      <c r="TB104" s="155" t="s">
        <v>358</v>
      </c>
      <c r="TC104" s="144">
        <v>5</v>
      </c>
      <c r="TD104" s="157" t="s">
        <v>14</v>
      </c>
      <c r="TE104" s="175">
        <v>76</v>
      </c>
      <c r="TF104" s="164">
        <v>1.4694871794871796</v>
      </c>
      <c r="TG104" s="140">
        <f t="shared" si="312"/>
        <v>111.68102564102564</v>
      </c>
      <c r="TH104" s="149"/>
      <c r="TI104" s="528"/>
    </row>
    <row r="105" spans="2:529">
      <c r="B105" s="143"/>
      <c r="C105" s="146"/>
      <c r="D105" s="157" t="s">
        <v>84</v>
      </c>
      <c r="E105" s="138">
        <v>0</v>
      </c>
      <c r="F105" s="172"/>
      <c r="G105" s="140">
        <f t="shared" si="247"/>
        <v>0</v>
      </c>
      <c r="H105" s="154"/>
      <c r="I105" s="528"/>
      <c r="J105" s="143"/>
      <c r="K105" s="146">
        <v>25</v>
      </c>
      <c r="L105" s="157" t="s">
        <v>84</v>
      </c>
      <c r="M105" s="138"/>
      <c r="N105" s="172"/>
      <c r="O105" s="140">
        <f t="shared" si="248"/>
        <v>0</v>
      </c>
      <c r="P105" s="154"/>
      <c r="Q105" s="528"/>
      <c r="R105" s="143"/>
      <c r="S105" s="146">
        <v>25</v>
      </c>
      <c r="T105" s="157" t="s">
        <v>84</v>
      </c>
      <c r="U105" s="138">
        <v>0</v>
      </c>
      <c r="V105" s="172"/>
      <c r="W105" s="140">
        <f t="shared" si="249"/>
        <v>0</v>
      </c>
      <c r="X105" s="154"/>
      <c r="Y105" s="528"/>
      <c r="Z105" s="143"/>
      <c r="AA105" s="146">
        <v>25</v>
      </c>
      <c r="AB105" s="157" t="s">
        <v>84</v>
      </c>
      <c r="AC105" s="138"/>
      <c r="AD105" s="172"/>
      <c r="AE105" s="140">
        <f t="shared" si="250"/>
        <v>0</v>
      </c>
      <c r="AF105" s="154"/>
      <c r="AG105" s="528"/>
      <c r="AH105" s="143"/>
      <c r="AI105" s="146">
        <v>25</v>
      </c>
      <c r="AJ105" s="157" t="s">
        <v>84</v>
      </c>
      <c r="AK105" s="138"/>
      <c r="AL105" s="172"/>
      <c r="AM105" s="140">
        <f t="shared" si="251"/>
        <v>0</v>
      </c>
      <c r="AN105" s="154"/>
      <c r="AO105" s="528"/>
      <c r="AP105" s="143"/>
      <c r="AQ105" s="146">
        <v>25</v>
      </c>
      <c r="AR105" s="157" t="s">
        <v>84</v>
      </c>
      <c r="AS105" s="138"/>
      <c r="AT105" s="172"/>
      <c r="AU105" s="140">
        <f t="shared" si="252"/>
        <v>0</v>
      </c>
      <c r="AV105" s="154"/>
      <c r="AW105" s="528"/>
      <c r="AX105" s="143"/>
      <c r="AY105" s="146">
        <v>25</v>
      </c>
      <c r="AZ105" s="157" t="s">
        <v>84</v>
      </c>
      <c r="BA105" s="138"/>
      <c r="BB105" s="172"/>
      <c r="BC105" s="140">
        <f t="shared" si="253"/>
        <v>0</v>
      </c>
      <c r="BD105" s="154"/>
      <c r="BE105" s="528"/>
      <c r="BF105" s="143"/>
      <c r="BG105" s="146">
        <v>25</v>
      </c>
      <c r="BH105" s="157" t="s">
        <v>84</v>
      </c>
      <c r="BI105" s="138"/>
      <c r="BJ105" s="172"/>
      <c r="BK105" s="140">
        <f t="shared" si="254"/>
        <v>0</v>
      </c>
      <c r="BL105" s="154"/>
      <c r="BM105" s="528"/>
      <c r="BN105" s="143"/>
      <c r="BO105" s="146">
        <v>25</v>
      </c>
      <c r="BP105" s="157" t="s">
        <v>84</v>
      </c>
      <c r="BQ105" s="138"/>
      <c r="BR105" s="172"/>
      <c r="BS105" s="140">
        <f t="shared" si="255"/>
        <v>0</v>
      </c>
      <c r="BT105" s="154"/>
      <c r="BU105" s="528"/>
      <c r="BV105" s="564"/>
      <c r="BW105" s="537"/>
      <c r="BX105" s="574" t="s">
        <v>84</v>
      </c>
      <c r="BY105" s="560"/>
      <c r="BZ105" s="587"/>
      <c r="CA105" s="562">
        <f t="shared" si="256"/>
        <v>0</v>
      </c>
      <c r="CB105" s="571"/>
      <c r="CC105" s="528"/>
      <c r="CD105" s="564"/>
      <c r="CE105" s="537"/>
      <c r="CF105" s="574" t="s">
        <v>84</v>
      </c>
      <c r="CG105" s="560"/>
      <c r="CH105" s="587"/>
      <c r="CI105" s="562">
        <f t="shared" si="257"/>
        <v>0</v>
      </c>
      <c r="CJ105" s="571"/>
      <c r="CK105" s="528"/>
      <c r="CL105" s="143"/>
      <c r="CM105" s="146">
        <v>25</v>
      </c>
      <c r="CN105" s="157" t="s">
        <v>84</v>
      </c>
      <c r="CO105" s="138"/>
      <c r="CP105" s="172"/>
      <c r="CQ105" s="140">
        <f t="shared" si="258"/>
        <v>0</v>
      </c>
      <c r="CR105" s="154"/>
      <c r="CS105" s="528"/>
      <c r="CT105" s="143"/>
      <c r="CU105" s="146">
        <v>25</v>
      </c>
      <c r="CV105" s="157" t="s">
        <v>84</v>
      </c>
      <c r="CW105" s="138"/>
      <c r="CX105" s="172"/>
      <c r="CY105" s="140">
        <f t="shared" si="259"/>
        <v>0</v>
      </c>
      <c r="CZ105" s="154"/>
      <c r="DA105" s="528"/>
      <c r="DB105" s="143"/>
      <c r="DC105" s="146"/>
      <c r="DD105" s="157" t="s">
        <v>84</v>
      </c>
      <c r="DE105" s="138"/>
      <c r="DF105" s="172"/>
      <c r="DG105" s="140">
        <f t="shared" si="260"/>
        <v>0</v>
      </c>
      <c r="DH105" s="154"/>
      <c r="DI105" s="528"/>
      <c r="DJ105" s="143"/>
      <c r="DK105" s="146"/>
      <c r="DL105" s="157" t="s">
        <v>84</v>
      </c>
      <c r="DM105" s="138">
        <v>0</v>
      </c>
      <c r="DN105" s="172"/>
      <c r="DO105" s="140">
        <f t="shared" si="261"/>
        <v>0</v>
      </c>
      <c r="DP105" s="154"/>
      <c r="DQ105" s="528"/>
      <c r="DR105" s="143"/>
      <c r="DS105" s="146"/>
      <c r="DT105" s="157" t="s">
        <v>84</v>
      </c>
      <c r="DU105" s="138"/>
      <c r="DV105" s="172"/>
      <c r="DW105" s="140">
        <f t="shared" si="262"/>
        <v>0</v>
      </c>
      <c r="DX105" s="154"/>
      <c r="DY105" s="528"/>
      <c r="DZ105" s="143"/>
      <c r="EA105" s="146"/>
      <c r="EB105" s="157" t="s">
        <v>84</v>
      </c>
      <c r="EC105" s="138"/>
      <c r="ED105" s="172"/>
      <c r="EE105" s="140">
        <f t="shared" si="263"/>
        <v>0</v>
      </c>
      <c r="EF105" s="154"/>
      <c r="EG105" s="528"/>
      <c r="EH105" s="143"/>
      <c r="EI105" s="146"/>
      <c r="EJ105" s="157" t="s">
        <v>84</v>
      </c>
      <c r="EK105" s="138"/>
      <c r="EL105" s="172"/>
      <c r="EM105" s="140">
        <f t="shared" si="264"/>
        <v>0</v>
      </c>
      <c r="EN105" s="154"/>
      <c r="EO105" s="528"/>
      <c r="EP105" s="143"/>
      <c r="EQ105" s="146"/>
      <c r="ER105" s="157" t="s">
        <v>84</v>
      </c>
      <c r="ES105" s="138"/>
      <c r="ET105" s="172"/>
      <c r="EU105" s="140">
        <f t="shared" si="265"/>
        <v>0</v>
      </c>
      <c r="EV105" s="154"/>
      <c r="EW105" s="528"/>
      <c r="EX105" s="143"/>
      <c r="EY105" s="146"/>
      <c r="EZ105" s="157" t="s">
        <v>84</v>
      </c>
      <c r="FA105" s="138"/>
      <c r="FB105" s="172"/>
      <c r="FC105" s="140">
        <f t="shared" si="266"/>
        <v>0</v>
      </c>
      <c r="FD105" s="154"/>
      <c r="FE105" s="528"/>
      <c r="FF105" s="143"/>
      <c r="FG105" s="146"/>
      <c r="FH105" s="157" t="s">
        <v>84</v>
      </c>
      <c r="FI105" s="138"/>
      <c r="FJ105" s="172"/>
      <c r="FK105" s="140">
        <f t="shared" si="267"/>
        <v>0</v>
      </c>
      <c r="FL105" s="154"/>
      <c r="FM105" s="528"/>
      <c r="FN105" s="143"/>
      <c r="FO105" s="146"/>
      <c r="FP105" s="157" t="s">
        <v>84</v>
      </c>
      <c r="FQ105" s="138"/>
      <c r="FR105" s="172"/>
      <c r="FS105" s="140">
        <f t="shared" si="268"/>
        <v>0</v>
      </c>
      <c r="FT105" s="154"/>
      <c r="FU105" s="528"/>
      <c r="FV105" s="143"/>
      <c r="FW105" s="146"/>
      <c r="FX105" s="157" t="s">
        <v>84</v>
      </c>
      <c r="FY105" s="138"/>
      <c r="FZ105" s="172"/>
      <c r="GA105" s="140">
        <f t="shared" si="269"/>
        <v>0</v>
      </c>
      <c r="GB105" s="154"/>
      <c r="GC105" s="528"/>
      <c r="GD105" s="143"/>
      <c r="GE105" s="146"/>
      <c r="GF105" s="157" t="s">
        <v>84</v>
      </c>
      <c r="GG105" s="138"/>
      <c r="GH105" s="172"/>
      <c r="GI105" s="140">
        <f t="shared" si="270"/>
        <v>0</v>
      </c>
      <c r="GJ105" s="154"/>
      <c r="GK105" s="528"/>
      <c r="GL105" s="143"/>
      <c r="GM105" s="146"/>
      <c r="GN105" s="157" t="s">
        <v>84</v>
      </c>
      <c r="GO105" s="138">
        <f>'[1]Jan_18_Vol weekly-Data-Entry'!$AU$226</f>
        <v>0</v>
      </c>
      <c r="GP105" s="172"/>
      <c r="GQ105" s="140">
        <f t="shared" si="271"/>
        <v>0</v>
      </c>
      <c r="GR105" s="154"/>
      <c r="GS105" s="528"/>
      <c r="GT105" s="143"/>
      <c r="GU105" s="146"/>
      <c r="GV105" s="157" t="s">
        <v>84</v>
      </c>
      <c r="GW105" s="138">
        <v>0</v>
      </c>
      <c r="GX105" s="172"/>
      <c r="GY105" s="140">
        <f t="shared" si="272"/>
        <v>0</v>
      </c>
      <c r="GZ105" s="154"/>
      <c r="HA105" s="528"/>
      <c r="HB105" s="143"/>
      <c r="HC105" s="146"/>
      <c r="HD105" s="157" t="s">
        <v>84</v>
      </c>
      <c r="HE105" s="138">
        <v>0</v>
      </c>
      <c r="HF105" s="172"/>
      <c r="HG105" s="140">
        <f t="shared" si="273"/>
        <v>0</v>
      </c>
      <c r="HH105" s="154"/>
      <c r="HI105" s="528"/>
      <c r="HJ105" s="143"/>
      <c r="HK105" s="146"/>
      <c r="HL105" s="157" t="s">
        <v>84</v>
      </c>
      <c r="HM105" s="138">
        <v>0</v>
      </c>
      <c r="HN105" s="172"/>
      <c r="HO105" s="140">
        <f t="shared" si="274"/>
        <v>0</v>
      </c>
      <c r="HP105" s="154"/>
      <c r="HQ105" s="528"/>
      <c r="HR105" s="143"/>
      <c r="HS105" s="146"/>
      <c r="HT105" s="157" t="s">
        <v>84</v>
      </c>
      <c r="HU105" s="138">
        <v>0</v>
      </c>
      <c r="HV105" s="172"/>
      <c r="HW105" s="140">
        <f t="shared" si="275"/>
        <v>0</v>
      </c>
      <c r="HX105" s="154"/>
      <c r="HY105" s="528"/>
      <c r="HZ105" s="143"/>
      <c r="IA105" s="146"/>
      <c r="IB105" s="157" t="s">
        <v>84</v>
      </c>
      <c r="IC105" s="138">
        <v>0</v>
      </c>
      <c r="ID105" s="172"/>
      <c r="IE105" s="140">
        <f t="shared" si="276"/>
        <v>0</v>
      </c>
      <c r="IF105" s="154"/>
      <c r="IG105" s="528"/>
      <c r="IH105" s="143"/>
      <c r="II105" s="146"/>
      <c r="IJ105" s="157" t="s">
        <v>84</v>
      </c>
      <c r="IK105" s="138">
        <v>0</v>
      </c>
      <c r="IL105" s="172"/>
      <c r="IM105" s="140">
        <f t="shared" si="277"/>
        <v>0</v>
      </c>
      <c r="IN105" s="154"/>
      <c r="IO105" s="528"/>
      <c r="IP105" s="143"/>
      <c r="IQ105" s="146"/>
      <c r="IR105" s="157" t="s">
        <v>84</v>
      </c>
      <c r="IS105" s="138">
        <v>2</v>
      </c>
      <c r="IT105" s="172"/>
      <c r="IU105" s="140">
        <f t="shared" si="278"/>
        <v>0</v>
      </c>
      <c r="IV105" s="154"/>
      <c r="IW105" s="528"/>
      <c r="IX105" s="143"/>
      <c r="IY105" s="146"/>
      <c r="IZ105" s="157" t="s">
        <v>84</v>
      </c>
      <c r="JA105" s="138">
        <v>0</v>
      </c>
      <c r="JB105" s="172"/>
      <c r="JC105" s="140">
        <f t="shared" si="279"/>
        <v>0</v>
      </c>
      <c r="JD105" s="154"/>
      <c r="JE105" s="528"/>
      <c r="JF105" s="143"/>
      <c r="JG105" s="146"/>
      <c r="JH105" s="157" t="s">
        <v>84</v>
      </c>
      <c r="JI105" s="138">
        <v>0</v>
      </c>
      <c r="JJ105" s="172"/>
      <c r="JK105" s="140">
        <f t="shared" si="280"/>
        <v>0</v>
      </c>
      <c r="JL105" s="154"/>
      <c r="JM105" s="528"/>
      <c r="JN105" s="143"/>
      <c r="JO105" s="146"/>
      <c r="JP105" s="157" t="s">
        <v>84</v>
      </c>
      <c r="JQ105" s="138">
        <v>0</v>
      </c>
      <c r="JR105" s="172"/>
      <c r="JS105" s="140">
        <f t="shared" si="281"/>
        <v>0</v>
      </c>
      <c r="JT105" s="154"/>
      <c r="JU105" s="528"/>
      <c r="JV105" s="143"/>
      <c r="JW105" s="146"/>
      <c r="JX105" s="157" t="s">
        <v>84</v>
      </c>
      <c r="JY105" s="138">
        <v>0</v>
      </c>
      <c r="JZ105" s="172"/>
      <c r="KA105" s="140">
        <f t="shared" si="282"/>
        <v>0</v>
      </c>
      <c r="KB105" s="154"/>
      <c r="KC105" s="528"/>
      <c r="KD105" s="143"/>
      <c r="KE105" s="146"/>
      <c r="KF105" s="157" t="s">
        <v>84</v>
      </c>
      <c r="KG105" s="138">
        <v>0</v>
      </c>
      <c r="KH105" s="172"/>
      <c r="KI105" s="140">
        <f t="shared" si="283"/>
        <v>0</v>
      </c>
      <c r="KJ105" s="154"/>
      <c r="KK105" s="528"/>
      <c r="KL105" s="143"/>
      <c r="KM105" s="146"/>
      <c r="KN105" s="157" t="s">
        <v>84</v>
      </c>
      <c r="KO105" s="138">
        <v>0</v>
      </c>
      <c r="KP105" s="172"/>
      <c r="KQ105" s="140">
        <f t="shared" si="284"/>
        <v>0</v>
      </c>
      <c r="KR105" s="154"/>
      <c r="KS105" s="528"/>
      <c r="KT105" s="143"/>
      <c r="KU105" s="146"/>
      <c r="KV105" s="157" t="s">
        <v>84</v>
      </c>
      <c r="KW105" s="138">
        <v>0</v>
      </c>
      <c r="KX105" s="172"/>
      <c r="KY105" s="140">
        <f t="shared" si="285"/>
        <v>0</v>
      </c>
      <c r="KZ105" s="154"/>
      <c r="LA105" s="528"/>
      <c r="LB105" s="143"/>
      <c r="LC105" s="146"/>
      <c r="LD105" s="157" t="s">
        <v>84</v>
      </c>
      <c r="LE105" s="138">
        <v>0</v>
      </c>
      <c r="LF105" s="172"/>
      <c r="LG105" s="140">
        <f t="shared" si="286"/>
        <v>0</v>
      </c>
      <c r="LH105" s="154"/>
      <c r="LI105" s="528"/>
      <c r="LJ105" s="143"/>
      <c r="LK105" s="146"/>
      <c r="LL105" s="157" t="s">
        <v>84</v>
      </c>
      <c r="LM105" s="175">
        <v>0</v>
      </c>
      <c r="LN105" s="164"/>
      <c r="LO105" s="140">
        <f t="shared" si="313"/>
        <v>0</v>
      </c>
      <c r="LP105" s="154"/>
      <c r="LQ105" s="528"/>
      <c r="LR105" s="143"/>
      <c r="LS105" s="146"/>
      <c r="LT105" s="157" t="s">
        <v>84</v>
      </c>
      <c r="LU105" s="175"/>
      <c r="LV105" s="164"/>
      <c r="LW105" s="140">
        <f t="shared" si="314"/>
        <v>0</v>
      </c>
      <c r="LX105" s="154"/>
      <c r="LY105" s="528"/>
      <c r="LZ105" s="143"/>
      <c r="MA105" s="146"/>
      <c r="MB105" s="157" t="s">
        <v>84</v>
      </c>
      <c r="MC105" s="175"/>
      <c r="MD105" s="164"/>
      <c r="ME105" s="140">
        <f t="shared" si="315"/>
        <v>0</v>
      </c>
      <c r="MF105" s="154"/>
      <c r="MG105" s="528"/>
      <c r="MH105" s="143"/>
      <c r="MI105" s="146"/>
      <c r="MJ105" s="157" t="s">
        <v>84</v>
      </c>
      <c r="MK105" s="175"/>
      <c r="ML105" s="164"/>
      <c r="MM105" s="140">
        <f t="shared" si="316"/>
        <v>0</v>
      </c>
      <c r="MN105" s="154"/>
      <c r="MO105" s="528"/>
      <c r="MP105" s="143"/>
      <c r="MQ105" s="146"/>
      <c r="MR105" s="157" t="s">
        <v>84</v>
      </c>
      <c r="MS105" s="175"/>
      <c r="MT105" s="164"/>
      <c r="MU105" s="140">
        <f t="shared" si="317"/>
        <v>0</v>
      </c>
      <c r="MV105" s="154"/>
      <c r="MW105" s="528"/>
      <c r="MX105" s="145"/>
      <c r="MY105" s="146"/>
      <c r="MZ105" s="151" t="s">
        <v>20</v>
      </c>
      <c r="NA105" s="175"/>
      <c r="NB105" s="164"/>
      <c r="NC105" s="140">
        <f t="shared" si="292"/>
        <v>0</v>
      </c>
      <c r="ND105" s="158"/>
      <c r="NE105" s="528"/>
      <c r="NF105" s="145"/>
      <c r="NG105" s="146"/>
      <c r="NH105" s="151" t="s">
        <v>20</v>
      </c>
      <c r="NI105" s="175"/>
      <c r="NJ105" s="164"/>
      <c r="NK105" s="140">
        <f t="shared" si="293"/>
        <v>0</v>
      </c>
      <c r="NL105" s="158"/>
      <c r="NM105" s="528"/>
      <c r="NN105" s="145"/>
      <c r="NO105" s="146"/>
      <c r="NP105" s="151" t="s">
        <v>20</v>
      </c>
      <c r="NQ105" s="175"/>
      <c r="NR105" s="164"/>
      <c r="NS105" s="140">
        <f t="shared" si="294"/>
        <v>0</v>
      </c>
      <c r="NT105" s="158"/>
      <c r="NU105" s="528"/>
      <c r="NV105" s="145"/>
      <c r="NW105" s="146"/>
      <c r="NX105" s="151" t="s">
        <v>20</v>
      </c>
      <c r="NY105" s="175"/>
      <c r="NZ105" s="164"/>
      <c r="OA105" s="140">
        <f t="shared" si="295"/>
        <v>0</v>
      </c>
      <c r="OB105" s="158"/>
      <c r="OC105" s="528"/>
      <c r="OD105" s="145"/>
      <c r="OE105" s="146"/>
      <c r="OF105" s="151" t="s">
        <v>20</v>
      </c>
      <c r="OG105" s="175"/>
      <c r="OH105" s="164"/>
      <c r="OI105" s="140">
        <f t="shared" si="296"/>
        <v>0</v>
      </c>
      <c r="OJ105" s="158"/>
      <c r="OK105" s="528"/>
      <c r="OL105" s="145"/>
      <c r="OM105" s="146"/>
      <c r="ON105" s="151" t="s">
        <v>20</v>
      </c>
      <c r="OO105" s="175"/>
      <c r="OP105" s="164"/>
      <c r="OQ105" s="140">
        <f t="shared" si="297"/>
        <v>0</v>
      </c>
      <c r="OR105" s="158"/>
      <c r="OS105" s="528"/>
      <c r="OT105" s="145"/>
      <c r="OU105" s="146"/>
      <c r="OV105" s="151" t="s">
        <v>20</v>
      </c>
      <c r="OW105" s="175"/>
      <c r="OX105" s="164"/>
      <c r="OY105" s="140">
        <f t="shared" si="298"/>
        <v>0</v>
      </c>
      <c r="OZ105" s="158"/>
      <c r="PA105" s="528"/>
      <c r="PB105" s="145"/>
      <c r="PC105" s="146"/>
      <c r="PD105" s="151" t="s">
        <v>20</v>
      </c>
      <c r="PE105" s="175"/>
      <c r="PF105" s="164"/>
      <c r="PG105" s="140">
        <f t="shared" si="299"/>
        <v>0</v>
      </c>
      <c r="PH105" s="158"/>
      <c r="PI105" s="528"/>
      <c r="PJ105" s="145"/>
      <c r="PK105" s="146"/>
      <c r="PL105" s="151" t="s">
        <v>20</v>
      </c>
      <c r="PM105" s="175"/>
      <c r="PN105" s="164"/>
      <c r="PO105" s="140">
        <f t="shared" si="300"/>
        <v>0</v>
      </c>
      <c r="PP105" s="158"/>
      <c r="PQ105" s="528"/>
      <c r="PR105" s="145"/>
      <c r="PS105" s="146"/>
      <c r="PT105" s="151" t="s">
        <v>20</v>
      </c>
      <c r="PU105" s="175"/>
      <c r="PV105" s="164"/>
      <c r="PW105" s="140">
        <f t="shared" si="301"/>
        <v>0</v>
      </c>
      <c r="PX105" s="158"/>
      <c r="PY105" s="528"/>
      <c r="PZ105" s="145"/>
      <c r="QA105" s="146"/>
      <c r="QB105" s="151" t="s">
        <v>20</v>
      </c>
      <c r="QC105" s="175"/>
      <c r="QD105" s="164"/>
      <c r="QE105" s="140">
        <f t="shared" si="302"/>
        <v>0</v>
      </c>
      <c r="QF105" s="158"/>
      <c r="QG105" s="528"/>
      <c r="QH105" s="145"/>
      <c r="QI105" s="146"/>
      <c r="QJ105" s="151" t="s">
        <v>20</v>
      </c>
      <c r="QK105" s="175"/>
      <c r="QL105" s="164"/>
      <c r="QM105" s="140">
        <f t="shared" si="303"/>
        <v>0</v>
      </c>
      <c r="QN105" s="158"/>
      <c r="QO105" s="528"/>
      <c r="QP105" s="145"/>
      <c r="QQ105" s="146"/>
      <c r="QR105" s="151" t="s">
        <v>20</v>
      </c>
      <c r="QS105" s="175">
        <v>2</v>
      </c>
      <c r="QT105" s="164"/>
      <c r="QU105" s="140">
        <f t="shared" si="304"/>
        <v>0</v>
      </c>
      <c r="QV105" s="158"/>
      <c r="QW105" s="528"/>
      <c r="QX105" s="145"/>
      <c r="QY105" s="146"/>
      <c r="QZ105" s="151" t="s">
        <v>20</v>
      </c>
      <c r="RA105" s="175"/>
      <c r="RB105" s="164"/>
      <c r="RC105" s="140">
        <f t="shared" si="305"/>
        <v>0</v>
      </c>
      <c r="RD105" s="158"/>
      <c r="RE105" s="528"/>
      <c r="RF105" s="145"/>
      <c r="RG105" s="146"/>
      <c r="RH105" s="151" t="s">
        <v>20</v>
      </c>
      <c r="RI105" s="175"/>
      <c r="RJ105" s="164"/>
      <c r="RK105" s="140">
        <f t="shared" si="306"/>
        <v>0</v>
      </c>
      <c r="RL105" s="158"/>
      <c r="RM105" s="528"/>
      <c r="RN105" s="145"/>
      <c r="RO105" s="146"/>
      <c r="RP105" s="151" t="s">
        <v>20</v>
      </c>
      <c r="RQ105" s="175"/>
      <c r="RR105" s="164"/>
      <c r="RS105" s="140">
        <f t="shared" si="307"/>
        <v>0</v>
      </c>
      <c r="RT105" s="158"/>
      <c r="RU105" s="528"/>
      <c r="RV105" s="145"/>
      <c r="RW105" s="146"/>
      <c r="RX105" s="151" t="s">
        <v>20</v>
      </c>
      <c r="RY105" s="175"/>
      <c r="RZ105" s="164"/>
      <c r="SA105" s="140">
        <f t="shared" si="308"/>
        <v>0</v>
      </c>
      <c r="SB105" s="158"/>
      <c r="SC105" s="528"/>
      <c r="SD105" s="145"/>
      <c r="SE105" s="146"/>
      <c r="SF105" s="151" t="s">
        <v>20</v>
      </c>
      <c r="SG105" s="175"/>
      <c r="SH105" s="164"/>
      <c r="SI105" s="140">
        <f t="shared" si="309"/>
        <v>0</v>
      </c>
      <c r="SJ105" s="158"/>
      <c r="SK105" s="528"/>
      <c r="SL105" s="145"/>
      <c r="SM105" s="146"/>
      <c r="SN105" s="151" t="s">
        <v>20</v>
      </c>
      <c r="SO105" s="175"/>
      <c r="SP105" s="164"/>
      <c r="SQ105" s="140">
        <f t="shared" si="310"/>
        <v>0</v>
      </c>
      <c r="SR105" s="158"/>
      <c r="SS105" s="528"/>
      <c r="ST105" s="145"/>
      <c r="SU105" s="146"/>
      <c r="SV105" s="151" t="s">
        <v>20</v>
      </c>
      <c r="SW105" s="175"/>
      <c r="SX105" s="164"/>
      <c r="SY105" s="140">
        <f t="shared" si="311"/>
        <v>0</v>
      </c>
      <c r="SZ105" s="158"/>
      <c r="TA105" s="528"/>
      <c r="TB105" s="145"/>
      <c r="TC105" s="146"/>
      <c r="TD105" s="151" t="s">
        <v>20</v>
      </c>
      <c r="TE105" s="175"/>
      <c r="TF105" s="164"/>
      <c r="TG105" s="140">
        <f t="shared" si="312"/>
        <v>0</v>
      </c>
      <c r="TH105" s="158"/>
      <c r="TI105" s="528"/>
    </row>
    <row r="106" spans="2:529">
      <c r="B106" s="151"/>
      <c r="C106" s="152"/>
      <c r="D106" s="145" t="s">
        <v>85</v>
      </c>
      <c r="E106" s="138">
        <v>0</v>
      </c>
      <c r="F106" s="172"/>
      <c r="G106" s="140">
        <f t="shared" si="247"/>
        <v>0</v>
      </c>
      <c r="H106" s="159">
        <f>SUM(G102:G106)</f>
        <v>398.43645569620253</v>
      </c>
      <c r="I106" s="528"/>
      <c r="J106" s="151"/>
      <c r="K106" s="152">
        <v>50</v>
      </c>
      <c r="L106" s="145" t="s">
        <v>85</v>
      </c>
      <c r="M106" s="138">
        <v>0</v>
      </c>
      <c r="N106" s="172"/>
      <c r="O106" s="140">
        <f t="shared" si="248"/>
        <v>0</v>
      </c>
      <c r="P106" s="159">
        <f>SUM(O102:O106)</f>
        <v>103.75949367088607</v>
      </c>
      <c r="Q106" s="528"/>
      <c r="R106" s="151"/>
      <c r="S106" s="152">
        <v>50</v>
      </c>
      <c r="T106" s="145" t="s">
        <v>85</v>
      </c>
      <c r="U106" s="138">
        <v>0</v>
      </c>
      <c r="V106" s="172"/>
      <c r="W106" s="140">
        <f t="shared" si="249"/>
        <v>0</v>
      </c>
      <c r="X106" s="159">
        <f>SUM(W102:W106)</f>
        <v>2000.4830379746836</v>
      </c>
      <c r="Y106" s="528"/>
      <c r="Z106" s="151"/>
      <c r="AA106" s="152">
        <v>50</v>
      </c>
      <c r="AB106" s="145" t="s">
        <v>85</v>
      </c>
      <c r="AC106" s="138">
        <v>0</v>
      </c>
      <c r="AD106" s="172"/>
      <c r="AE106" s="140">
        <f t="shared" si="250"/>
        <v>0</v>
      </c>
      <c r="AF106" s="159">
        <f>SUM(AE102:AE106)</f>
        <v>74.113924050632917</v>
      </c>
      <c r="AG106" s="528"/>
      <c r="AH106" s="151"/>
      <c r="AI106" s="152">
        <v>50</v>
      </c>
      <c r="AJ106" s="145" t="s">
        <v>85</v>
      </c>
      <c r="AK106" s="138"/>
      <c r="AL106" s="172"/>
      <c r="AM106" s="140">
        <f t="shared" si="251"/>
        <v>0</v>
      </c>
      <c r="AN106" s="159">
        <f>SUM(AM102:AM106)</f>
        <v>927.90632911392402</v>
      </c>
      <c r="AO106" s="528"/>
      <c r="AP106" s="151"/>
      <c r="AQ106" s="152">
        <v>50</v>
      </c>
      <c r="AR106" s="145" t="s">
        <v>85</v>
      </c>
      <c r="AS106" s="138"/>
      <c r="AT106" s="172"/>
      <c r="AU106" s="140">
        <f t="shared" si="252"/>
        <v>0</v>
      </c>
      <c r="AV106" s="159">
        <f>SUM(AU102:AU106)</f>
        <v>827.70430379746836</v>
      </c>
      <c r="AW106" s="528"/>
      <c r="AX106" s="151"/>
      <c r="AY106" s="152">
        <v>50</v>
      </c>
      <c r="AZ106" s="145" t="s">
        <v>85</v>
      </c>
      <c r="BA106" s="138"/>
      <c r="BB106" s="172"/>
      <c r="BC106" s="140">
        <f t="shared" si="253"/>
        <v>0</v>
      </c>
      <c r="BD106" s="159">
        <f>SUM(BC102:BC106)</f>
        <v>0</v>
      </c>
      <c r="BE106" s="528"/>
      <c r="BF106" s="151"/>
      <c r="BG106" s="152">
        <v>50</v>
      </c>
      <c r="BH106" s="145" t="s">
        <v>85</v>
      </c>
      <c r="BI106" s="138"/>
      <c r="BJ106" s="172"/>
      <c r="BK106" s="140">
        <f t="shared" si="254"/>
        <v>0</v>
      </c>
      <c r="BL106" s="159">
        <f>SUM(BK102:BK106)</f>
        <v>168.38683544303797</v>
      </c>
      <c r="BM106" s="528"/>
      <c r="BN106" s="151"/>
      <c r="BO106" s="152">
        <v>50</v>
      </c>
      <c r="BP106" s="145" t="s">
        <v>85</v>
      </c>
      <c r="BQ106" s="138"/>
      <c r="BR106" s="172"/>
      <c r="BS106" s="140">
        <f t="shared" si="255"/>
        <v>0</v>
      </c>
      <c r="BT106" s="159">
        <f>SUM(BS102:BS106)</f>
        <v>332.03037974683542</v>
      </c>
      <c r="BU106" s="528"/>
      <c r="BV106" s="543"/>
      <c r="BW106" s="544"/>
      <c r="BX106" s="536" t="s">
        <v>85</v>
      </c>
      <c r="BY106" s="560"/>
      <c r="BZ106" s="587"/>
      <c r="CA106" s="562">
        <f t="shared" si="256"/>
        <v>0</v>
      </c>
      <c r="CB106" s="575">
        <f>SUM(CA102:CA106)</f>
        <v>0</v>
      </c>
      <c r="CC106" s="528"/>
      <c r="CD106" s="543"/>
      <c r="CE106" s="544"/>
      <c r="CF106" s="536" t="s">
        <v>85</v>
      </c>
      <c r="CG106" s="560"/>
      <c r="CH106" s="587"/>
      <c r="CI106" s="562">
        <f t="shared" si="257"/>
        <v>0</v>
      </c>
      <c r="CJ106" s="575">
        <f>SUM(CI102:CI106)</f>
        <v>0</v>
      </c>
      <c r="CK106" s="528"/>
      <c r="CL106" s="151"/>
      <c r="CM106" s="152">
        <v>50</v>
      </c>
      <c r="CN106" s="145" t="s">
        <v>85</v>
      </c>
      <c r="CO106" s="138"/>
      <c r="CP106" s="172"/>
      <c r="CQ106" s="140">
        <f t="shared" si="258"/>
        <v>0</v>
      </c>
      <c r="CR106" s="159">
        <f>SUM(CQ102:CQ106)</f>
        <v>0</v>
      </c>
      <c r="CS106" s="528"/>
      <c r="CT106" s="151"/>
      <c r="CU106" s="152">
        <v>50</v>
      </c>
      <c r="CV106" s="145" t="s">
        <v>85</v>
      </c>
      <c r="CW106" s="138"/>
      <c r="CX106" s="172"/>
      <c r="CY106" s="140">
        <f t="shared" si="259"/>
        <v>0</v>
      </c>
      <c r="CZ106" s="159">
        <f>SUM(CY102:CY106)</f>
        <v>168.38683544303797</v>
      </c>
      <c r="DA106" s="528"/>
      <c r="DB106" s="151"/>
      <c r="DC106" s="152"/>
      <c r="DD106" s="145" t="s">
        <v>85</v>
      </c>
      <c r="DE106" s="138"/>
      <c r="DF106" s="172"/>
      <c r="DG106" s="140">
        <f t="shared" si="260"/>
        <v>0</v>
      </c>
      <c r="DH106" s="159">
        <f>SUM(DG102:DG106)</f>
        <v>0</v>
      </c>
      <c r="DI106" s="528"/>
      <c r="DJ106" s="151"/>
      <c r="DK106" s="152"/>
      <c r="DL106" s="145" t="s">
        <v>85</v>
      </c>
      <c r="DM106" s="138">
        <v>0</v>
      </c>
      <c r="DN106" s="172"/>
      <c r="DO106" s="140">
        <f t="shared" si="261"/>
        <v>0</v>
      </c>
      <c r="DP106" s="159">
        <f>SUM(DO102:DO106)</f>
        <v>369.97670886075952</v>
      </c>
      <c r="DQ106" s="528"/>
      <c r="DR106" s="151"/>
      <c r="DS106" s="152"/>
      <c r="DT106" s="145" t="s">
        <v>85</v>
      </c>
      <c r="DU106" s="138"/>
      <c r="DV106" s="172"/>
      <c r="DW106" s="140">
        <f t="shared" si="262"/>
        <v>0</v>
      </c>
      <c r="DX106" s="159">
        <f>SUM(DW102:DW106)</f>
        <v>107.90987341772151</v>
      </c>
      <c r="DY106" s="528"/>
      <c r="DZ106" s="151"/>
      <c r="EA106" s="152"/>
      <c r="EB106" s="145" t="s">
        <v>85</v>
      </c>
      <c r="EC106" s="138"/>
      <c r="ED106" s="172"/>
      <c r="EE106" s="140">
        <f t="shared" si="263"/>
        <v>0</v>
      </c>
      <c r="EF106" s="159">
        <f>SUM(EE102:EE106)</f>
        <v>439.94025316455696</v>
      </c>
      <c r="EG106" s="528"/>
      <c r="EH106" s="151"/>
      <c r="EI106" s="152"/>
      <c r="EJ106" s="145" t="s">
        <v>85</v>
      </c>
      <c r="EK106" s="138"/>
      <c r="EL106" s="172"/>
      <c r="EM106" s="140">
        <f t="shared" si="264"/>
        <v>0</v>
      </c>
      <c r="EN106" s="159">
        <f>SUM(EM102:EM106)</f>
        <v>1289.5822784810127</v>
      </c>
      <c r="EO106" s="528"/>
      <c r="EP106" s="151"/>
      <c r="EQ106" s="152"/>
      <c r="ER106" s="145" t="s">
        <v>85</v>
      </c>
      <c r="ES106" s="138"/>
      <c r="ET106" s="172"/>
      <c r="EU106" s="140">
        <f t="shared" si="265"/>
        <v>0</v>
      </c>
      <c r="EV106" s="159">
        <f>SUM(EU102:EU106)</f>
        <v>481.4440506329114</v>
      </c>
      <c r="EW106" s="528"/>
      <c r="EX106" s="151"/>
      <c r="EY106" s="152"/>
      <c r="EZ106" s="145" t="s">
        <v>85</v>
      </c>
      <c r="FA106" s="138"/>
      <c r="FB106" s="172"/>
      <c r="FC106" s="140">
        <f t="shared" si="266"/>
        <v>0</v>
      </c>
      <c r="FD106" s="159">
        <f>SUM(FC102:FC106)</f>
        <v>0</v>
      </c>
      <c r="FE106" s="528"/>
      <c r="FF106" s="151"/>
      <c r="FG106" s="152"/>
      <c r="FH106" s="145" t="s">
        <v>85</v>
      </c>
      <c r="FI106" s="138"/>
      <c r="FJ106" s="172"/>
      <c r="FK106" s="140">
        <f t="shared" si="267"/>
        <v>0</v>
      </c>
      <c r="FL106" s="159">
        <f>SUM(FK102:FK106)</f>
        <v>0</v>
      </c>
      <c r="FM106" s="528"/>
      <c r="FN106" s="151"/>
      <c r="FO106" s="152"/>
      <c r="FP106" s="145" t="s">
        <v>85</v>
      </c>
      <c r="FQ106" s="138"/>
      <c r="FR106" s="172"/>
      <c r="FS106" s="140">
        <f t="shared" si="268"/>
        <v>0</v>
      </c>
      <c r="FT106" s="159">
        <f>SUM(FS102:FS106)</f>
        <v>0</v>
      </c>
      <c r="FU106" s="528"/>
      <c r="FV106" s="151"/>
      <c r="FW106" s="152"/>
      <c r="FX106" s="145" t="s">
        <v>85</v>
      </c>
      <c r="FY106" s="138"/>
      <c r="FZ106" s="172"/>
      <c r="GA106" s="140">
        <f t="shared" si="269"/>
        <v>0</v>
      </c>
      <c r="GB106" s="159">
        <f>SUM(GA102:GA106)</f>
        <v>0</v>
      </c>
      <c r="GC106" s="528"/>
      <c r="GD106" s="151"/>
      <c r="GE106" s="152"/>
      <c r="GF106" s="145" t="s">
        <v>85</v>
      </c>
      <c r="GG106" s="138"/>
      <c r="GH106" s="172"/>
      <c r="GI106" s="140">
        <f t="shared" si="270"/>
        <v>0</v>
      </c>
      <c r="GJ106" s="159">
        <f>SUM(GI102:GI106)</f>
        <v>0</v>
      </c>
      <c r="GK106" s="528"/>
      <c r="GL106" s="151"/>
      <c r="GM106" s="152"/>
      <c r="GN106" s="145" t="s">
        <v>85</v>
      </c>
      <c r="GO106" s="138">
        <f>'[1]Jan_18_Vol weekly-Data-Entry'!$AV$226</f>
        <v>0</v>
      </c>
      <c r="GP106" s="172"/>
      <c r="GQ106" s="140">
        <f t="shared" si="271"/>
        <v>0</v>
      </c>
      <c r="GR106" s="159">
        <f>SUM(GQ102:GQ106)</f>
        <v>0</v>
      </c>
      <c r="GS106" s="528"/>
      <c r="GT106" s="151"/>
      <c r="GU106" s="152"/>
      <c r="GV106" s="145" t="s">
        <v>85</v>
      </c>
      <c r="GW106" s="138">
        <v>0</v>
      </c>
      <c r="GX106" s="172"/>
      <c r="GY106" s="140">
        <f t="shared" si="272"/>
        <v>0</v>
      </c>
      <c r="GZ106" s="159">
        <f>SUM(GY102:GY106)</f>
        <v>821.18227848101264</v>
      </c>
      <c r="HA106" s="528"/>
      <c r="HB106" s="151"/>
      <c r="HC106" s="152"/>
      <c r="HD106" s="145" t="s">
        <v>85</v>
      </c>
      <c r="HE106" s="138">
        <v>0</v>
      </c>
      <c r="HF106" s="172"/>
      <c r="HG106" s="140">
        <f t="shared" si="273"/>
        <v>0</v>
      </c>
      <c r="HH106" s="159">
        <f>SUM(HG102:HG106)</f>
        <v>1663.7093670886077</v>
      </c>
      <c r="HI106" s="528"/>
      <c r="HJ106" s="151"/>
      <c r="HK106" s="152"/>
      <c r="HL106" s="145" t="s">
        <v>85</v>
      </c>
      <c r="HM106" s="138">
        <v>0</v>
      </c>
      <c r="HN106" s="172"/>
      <c r="HO106" s="140">
        <f t="shared" si="274"/>
        <v>0</v>
      </c>
      <c r="HP106" s="159">
        <f>SUM(HO102:HO106)</f>
        <v>691.33468354430386</v>
      </c>
      <c r="HQ106" s="528"/>
      <c r="HR106" s="151"/>
      <c r="HS106" s="152"/>
      <c r="HT106" s="145" t="s">
        <v>85</v>
      </c>
      <c r="HU106" s="138">
        <v>0</v>
      </c>
      <c r="HV106" s="172"/>
      <c r="HW106" s="140">
        <f t="shared" si="275"/>
        <v>0</v>
      </c>
      <c r="HX106" s="159">
        <f>SUM(HW102:HW106)</f>
        <v>353.37518987341775</v>
      </c>
      <c r="HY106" s="528"/>
      <c r="HZ106" s="151"/>
      <c r="IA106" s="152"/>
      <c r="IB106" s="145" t="s">
        <v>85</v>
      </c>
      <c r="IC106" s="138">
        <v>0</v>
      </c>
      <c r="ID106" s="172"/>
      <c r="IE106" s="140">
        <f t="shared" si="276"/>
        <v>0</v>
      </c>
      <c r="IF106" s="159">
        <f>SUM(IE102:IE106)</f>
        <v>26.68101265822785</v>
      </c>
      <c r="IG106" s="528"/>
      <c r="IH106" s="151"/>
      <c r="II106" s="152"/>
      <c r="IJ106" s="145" t="s">
        <v>85</v>
      </c>
      <c r="IK106" s="138">
        <v>2</v>
      </c>
      <c r="IL106" s="172"/>
      <c r="IM106" s="140">
        <f t="shared" si="277"/>
        <v>0</v>
      </c>
      <c r="IN106" s="159">
        <f>SUM(IM102:IM106)</f>
        <v>466.02835443037975</v>
      </c>
      <c r="IO106" s="528"/>
      <c r="IP106" s="151"/>
      <c r="IQ106" s="152"/>
      <c r="IR106" s="145" t="s">
        <v>85</v>
      </c>
      <c r="IS106" s="138">
        <v>0</v>
      </c>
      <c r="IT106" s="172"/>
      <c r="IU106" s="140">
        <f t="shared" si="278"/>
        <v>0</v>
      </c>
      <c r="IV106" s="159">
        <f>SUM(IU102:IU106)</f>
        <v>253.76607594936709</v>
      </c>
      <c r="IW106" s="528"/>
      <c r="IX106" s="151"/>
      <c r="IY106" s="152"/>
      <c r="IZ106" s="145" t="s">
        <v>85</v>
      </c>
      <c r="JA106" s="138">
        <v>0</v>
      </c>
      <c r="JB106" s="172"/>
      <c r="JC106" s="140">
        <f t="shared" si="279"/>
        <v>0</v>
      </c>
      <c r="JD106" s="159">
        <f>SUM(JC102:JC106)</f>
        <v>374.72</v>
      </c>
      <c r="JE106" s="528"/>
      <c r="JF106" s="151"/>
      <c r="JG106" s="152"/>
      <c r="JH106" s="145" t="s">
        <v>85</v>
      </c>
      <c r="JI106" s="138">
        <v>0</v>
      </c>
      <c r="JJ106" s="172"/>
      <c r="JK106" s="140">
        <f t="shared" si="280"/>
        <v>0</v>
      </c>
      <c r="JL106" s="159">
        <f>SUM(JK102:JK106)</f>
        <v>321.35797468354428</v>
      </c>
      <c r="JM106" s="528"/>
      <c r="JN106" s="151"/>
      <c r="JO106" s="152"/>
      <c r="JP106" s="145" t="s">
        <v>85</v>
      </c>
      <c r="JQ106" s="138">
        <v>0</v>
      </c>
      <c r="JR106" s="172"/>
      <c r="JS106" s="140">
        <f t="shared" si="281"/>
        <v>0</v>
      </c>
      <c r="JT106" s="159">
        <f>SUM(JS102:JS106)</f>
        <v>509.31088607594938</v>
      </c>
      <c r="JU106" s="528"/>
      <c r="JV106" s="151"/>
      <c r="JW106" s="152"/>
      <c r="JX106" s="145" t="s">
        <v>85</v>
      </c>
      <c r="JY106" s="138">
        <v>0</v>
      </c>
      <c r="JZ106" s="172"/>
      <c r="KA106" s="140">
        <f t="shared" si="282"/>
        <v>0</v>
      </c>
      <c r="KB106" s="159">
        <f>SUM(KA102:KA106)</f>
        <v>304.75645569620252</v>
      </c>
      <c r="KC106" s="528"/>
      <c r="KD106" s="151"/>
      <c r="KE106" s="152"/>
      <c r="KF106" s="145" t="s">
        <v>85</v>
      </c>
      <c r="KG106" s="138">
        <v>0</v>
      </c>
      <c r="KH106" s="172"/>
      <c r="KI106" s="140">
        <f t="shared" si="283"/>
        <v>0</v>
      </c>
      <c r="KJ106" s="159">
        <f>SUM(KI102:KI106)</f>
        <v>72.335189873417718</v>
      </c>
      <c r="KK106" s="528"/>
      <c r="KL106" s="151"/>
      <c r="KM106" s="152"/>
      <c r="KN106" s="145" t="s">
        <v>85</v>
      </c>
      <c r="KO106" s="138">
        <v>0</v>
      </c>
      <c r="KP106" s="172"/>
      <c r="KQ106" s="140">
        <f t="shared" si="284"/>
        <v>0</v>
      </c>
      <c r="KR106" s="159">
        <f>SUM(KQ102:KQ106)</f>
        <v>124.51139240506329</v>
      </c>
      <c r="KS106" s="528"/>
      <c r="KT106" s="151"/>
      <c r="KU106" s="152"/>
      <c r="KV106" s="145" t="s">
        <v>85</v>
      </c>
      <c r="KW106" s="138">
        <v>0</v>
      </c>
      <c r="KX106" s="172"/>
      <c r="KY106" s="140">
        <f t="shared" si="285"/>
        <v>0</v>
      </c>
      <c r="KZ106" s="159">
        <f>SUM(KY102:KY106)</f>
        <v>295.86278481012658</v>
      </c>
      <c r="LA106" s="528"/>
      <c r="LB106" s="151"/>
      <c r="LC106" s="152"/>
      <c r="LD106" s="145" t="s">
        <v>85</v>
      </c>
      <c r="LE106" s="138">
        <v>0</v>
      </c>
      <c r="LF106" s="172"/>
      <c r="LG106" s="140">
        <f t="shared" si="286"/>
        <v>0</v>
      </c>
      <c r="LH106" s="159">
        <f>SUM(LG102:LG106)</f>
        <v>152.97113924050632</v>
      </c>
      <c r="LI106" s="528"/>
      <c r="LJ106" s="143"/>
      <c r="LK106" s="146"/>
      <c r="LL106" s="145" t="s">
        <v>85</v>
      </c>
      <c r="LM106" s="175">
        <v>0</v>
      </c>
      <c r="LN106" s="164"/>
      <c r="LO106" s="140">
        <f t="shared" si="313"/>
        <v>0</v>
      </c>
      <c r="LP106" s="159">
        <f>SUM(LO102:LO106)</f>
        <v>367.0121518987342</v>
      </c>
      <c r="LQ106" s="528"/>
      <c r="LR106" s="143"/>
      <c r="LS106" s="146"/>
      <c r="LT106" s="145" t="s">
        <v>85</v>
      </c>
      <c r="LU106" s="175"/>
      <c r="LV106" s="164"/>
      <c r="LW106" s="140">
        <f t="shared" si="314"/>
        <v>0</v>
      </c>
      <c r="LX106" s="159">
        <f>SUM(LW102:LW106)</f>
        <v>576.9027848101266</v>
      </c>
      <c r="LY106" s="528"/>
      <c r="LZ106" s="143"/>
      <c r="MA106" s="146"/>
      <c r="MB106" s="145" t="s">
        <v>85</v>
      </c>
      <c r="MC106" s="175"/>
      <c r="MD106" s="164"/>
      <c r="ME106" s="140">
        <f t="shared" si="315"/>
        <v>0</v>
      </c>
      <c r="MF106" s="159">
        <f>SUM(ME102:ME106)</f>
        <v>1221.3974683544304</v>
      </c>
      <c r="MG106" s="528"/>
      <c r="MH106" s="143"/>
      <c r="MI106" s="146"/>
      <c r="MJ106" s="145" t="s">
        <v>85</v>
      </c>
      <c r="MK106" s="175"/>
      <c r="ML106" s="164"/>
      <c r="MM106" s="140">
        <f t="shared" si="316"/>
        <v>0</v>
      </c>
      <c r="MN106" s="159">
        <f>SUM(MM102:MM106)</f>
        <v>1136.0182278481013</v>
      </c>
      <c r="MO106" s="528"/>
      <c r="MP106" s="143"/>
      <c r="MQ106" s="146"/>
      <c r="MR106" s="145" t="s">
        <v>85</v>
      </c>
      <c r="MS106" s="175"/>
      <c r="MT106" s="164"/>
      <c r="MU106" s="140">
        <f t="shared" si="317"/>
        <v>0</v>
      </c>
      <c r="MV106" s="159">
        <f>SUM(MU102:MU106)</f>
        <v>530.65569620253166</v>
      </c>
      <c r="MW106" s="528"/>
      <c r="MX106" s="145"/>
      <c r="MY106" s="146"/>
      <c r="MZ106" s="157" t="s">
        <v>84</v>
      </c>
      <c r="NA106" s="175"/>
      <c r="NB106" s="164"/>
      <c r="NC106" s="140">
        <f t="shared" si="292"/>
        <v>0</v>
      </c>
      <c r="ND106" s="150"/>
      <c r="NE106" s="528"/>
      <c r="NF106" s="145"/>
      <c r="NG106" s="146"/>
      <c r="NH106" s="157" t="s">
        <v>84</v>
      </c>
      <c r="NI106" s="175"/>
      <c r="NJ106" s="164"/>
      <c r="NK106" s="140">
        <f t="shared" si="293"/>
        <v>0</v>
      </c>
      <c r="NL106" s="150"/>
      <c r="NM106" s="528"/>
      <c r="NN106" s="145"/>
      <c r="NO106" s="146"/>
      <c r="NP106" s="157" t="s">
        <v>84</v>
      </c>
      <c r="NQ106" s="175"/>
      <c r="NR106" s="164"/>
      <c r="NS106" s="140">
        <f t="shared" si="294"/>
        <v>0</v>
      </c>
      <c r="NT106" s="150"/>
      <c r="NU106" s="528"/>
      <c r="NV106" s="145"/>
      <c r="NW106" s="146"/>
      <c r="NX106" s="157" t="s">
        <v>84</v>
      </c>
      <c r="NY106" s="175"/>
      <c r="NZ106" s="164"/>
      <c r="OA106" s="140">
        <f t="shared" si="295"/>
        <v>0</v>
      </c>
      <c r="OB106" s="150"/>
      <c r="OC106" s="528"/>
      <c r="OD106" s="145"/>
      <c r="OE106" s="146"/>
      <c r="OF106" s="157" t="s">
        <v>84</v>
      </c>
      <c r="OG106" s="175"/>
      <c r="OH106" s="164"/>
      <c r="OI106" s="140">
        <f t="shared" si="296"/>
        <v>0</v>
      </c>
      <c r="OJ106" s="150"/>
      <c r="OK106" s="528"/>
      <c r="OL106" s="145"/>
      <c r="OM106" s="146"/>
      <c r="ON106" s="157" t="s">
        <v>84</v>
      </c>
      <c r="OO106" s="175"/>
      <c r="OP106" s="164"/>
      <c r="OQ106" s="140">
        <f t="shared" si="297"/>
        <v>0</v>
      </c>
      <c r="OR106" s="150"/>
      <c r="OS106" s="528"/>
      <c r="OT106" s="145"/>
      <c r="OU106" s="146"/>
      <c r="OV106" s="157" t="s">
        <v>84</v>
      </c>
      <c r="OW106" s="175"/>
      <c r="OX106" s="164"/>
      <c r="OY106" s="140">
        <f t="shared" si="298"/>
        <v>0</v>
      </c>
      <c r="OZ106" s="150"/>
      <c r="PA106" s="528"/>
      <c r="PB106" s="145"/>
      <c r="PC106" s="146"/>
      <c r="PD106" s="157" t="s">
        <v>84</v>
      </c>
      <c r="PE106" s="175"/>
      <c r="PF106" s="164"/>
      <c r="PG106" s="140">
        <f t="shared" si="299"/>
        <v>0</v>
      </c>
      <c r="PH106" s="150"/>
      <c r="PI106" s="528"/>
      <c r="PJ106" s="145"/>
      <c r="PK106" s="146"/>
      <c r="PL106" s="157" t="s">
        <v>84</v>
      </c>
      <c r="PM106" s="175"/>
      <c r="PN106" s="164"/>
      <c r="PO106" s="140">
        <f t="shared" si="300"/>
        <v>0</v>
      </c>
      <c r="PP106" s="150"/>
      <c r="PQ106" s="528"/>
      <c r="PR106" s="145"/>
      <c r="PS106" s="146"/>
      <c r="PT106" s="157" t="s">
        <v>84</v>
      </c>
      <c r="PU106" s="175"/>
      <c r="PV106" s="164"/>
      <c r="PW106" s="140">
        <f t="shared" si="301"/>
        <v>0</v>
      </c>
      <c r="PX106" s="150"/>
      <c r="PY106" s="528"/>
      <c r="PZ106" s="145"/>
      <c r="QA106" s="146"/>
      <c r="QB106" s="157" t="s">
        <v>84</v>
      </c>
      <c r="QC106" s="175"/>
      <c r="QD106" s="164"/>
      <c r="QE106" s="140">
        <f t="shared" si="302"/>
        <v>0</v>
      </c>
      <c r="QF106" s="150"/>
      <c r="QG106" s="528"/>
      <c r="QH106" s="145"/>
      <c r="QI106" s="146"/>
      <c r="QJ106" s="157" t="s">
        <v>84</v>
      </c>
      <c r="QK106" s="175"/>
      <c r="QL106" s="164"/>
      <c r="QM106" s="140">
        <f t="shared" si="303"/>
        <v>0</v>
      </c>
      <c r="QN106" s="150"/>
      <c r="QO106" s="528"/>
      <c r="QP106" s="145"/>
      <c r="QQ106" s="146"/>
      <c r="QR106" s="157" t="s">
        <v>84</v>
      </c>
      <c r="QS106" s="175"/>
      <c r="QT106" s="164"/>
      <c r="QU106" s="140">
        <f t="shared" si="304"/>
        <v>0</v>
      </c>
      <c r="QV106" s="150"/>
      <c r="QW106" s="528"/>
      <c r="QX106" s="145"/>
      <c r="QY106" s="146"/>
      <c r="QZ106" s="157" t="s">
        <v>84</v>
      </c>
      <c r="RA106" s="175"/>
      <c r="RB106" s="164"/>
      <c r="RC106" s="140">
        <f t="shared" si="305"/>
        <v>0</v>
      </c>
      <c r="RD106" s="150"/>
      <c r="RE106" s="528"/>
      <c r="RF106" s="145"/>
      <c r="RG106" s="146"/>
      <c r="RH106" s="157" t="s">
        <v>84</v>
      </c>
      <c r="RI106" s="175"/>
      <c r="RJ106" s="164"/>
      <c r="RK106" s="140">
        <f t="shared" si="306"/>
        <v>0</v>
      </c>
      <c r="RL106" s="150"/>
      <c r="RM106" s="528"/>
      <c r="RN106" s="145"/>
      <c r="RO106" s="146"/>
      <c r="RP106" s="157" t="s">
        <v>84</v>
      </c>
      <c r="RQ106" s="175"/>
      <c r="RR106" s="164"/>
      <c r="RS106" s="140">
        <f t="shared" si="307"/>
        <v>0</v>
      </c>
      <c r="RT106" s="150"/>
      <c r="RU106" s="528"/>
      <c r="RV106" s="145"/>
      <c r="RW106" s="146"/>
      <c r="RX106" s="157" t="s">
        <v>84</v>
      </c>
      <c r="RY106" s="175"/>
      <c r="RZ106" s="164"/>
      <c r="SA106" s="140">
        <f t="shared" si="308"/>
        <v>0</v>
      </c>
      <c r="SB106" s="150"/>
      <c r="SC106" s="528"/>
      <c r="SD106" s="145"/>
      <c r="SE106" s="146"/>
      <c r="SF106" s="157" t="s">
        <v>84</v>
      </c>
      <c r="SG106" s="175"/>
      <c r="SH106" s="164"/>
      <c r="SI106" s="140">
        <f t="shared" si="309"/>
        <v>0</v>
      </c>
      <c r="SJ106" s="150"/>
      <c r="SK106" s="528"/>
      <c r="SL106" s="145"/>
      <c r="SM106" s="146"/>
      <c r="SN106" s="157" t="s">
        <v>84</v>
      </c>
      <c r="SO106" s="175"/>
      <c r="SP106" s="164"/>
      <c r="SQ106" s="140">
        <f t="shared" si="310"/>
        <v>0</v>
      </c>
      <c r="SR106" s="150"/>
      <c r="SS106" s="528"/>
      <c r="ST106" s="145"/>
      <c r="SU106" s="146"/>
      <c r="SV106" s="157" t="s">
        <v>84</v>
      </c>
      <c r="SW106" s="175"/>
      <c r="SX106" s="164"/>
      <c r="SY106" s="140">
        <f t="shared" si="311"/>
        <v>0</v>
      </c>
      <c r="SZ106" s="150"/>
      <c r="TA106" s="528"/>
      <c r="TB106" s="145"/>
      <c r="TC106" s="146"/>
      <c r="TD106" s="157" t="s">
        <v>84</v>
      </c>
      <c r="TE106" s="175"/>
      <c r="TF106" s="164"/>
      <c r="TG106" s="140">
        <f t="shared" si="312"/>
        <v>0</v>
      </c>
      <c r="TH106" s="150"/>
      <c r="TI106" s="528"/>
    </row>
    <row r="107" spans="2:529">
      <c r="B107" s="143" t="s">
        <v>91</v>
      </c>
      <c r="C107" s="163"/>
      <c r="D107" s="157" t="s">
        <v>14</v>
      </c>
      <c r="E107" s="138">
        <v>0</v>
      </c>
      <c r="F107" s="170">
        <v>2.7548275862068965</v>
      </c>
      <c r="G107" s="140">
        <f t="shared" si="247"/>
        <v>0</v>
      </c>
      <c r="H107" s="159">
        <f>E107*F107</f>
        <v>0</v>
      </c>
      <c r="I107" s="528"/>
      <c r="J107" s="143" t="s">
        <v>91</v>
      </c>
      <c r="K107" s="163">
        <v>1</v>
      </c>
      <c r="L107" s="157" t="s">
        <v>14</v>
      </c>
      <c r="M107" s="138">
        <v>1</v>
      </c>
      <c r="N107" s="170">
        <v>2.7548275862068965</v>
      </c>
      <c r="O107" s="140">
        <f t="shared" si="248"/>
        <v>2.7548275862068965</v>
      </c>
      <c r="P107" s="159">
        <f>M107*N107</f>
        <v>2.7548275862068965</v>
      </c>
      <c r="Q107" s="528"/>
      <c r="R107" s="143" t="s">
        <v>91</v>
      </c>
      <c r="S107" s="163">
        <v>11</v>
      </c>
      <c r="T107" s="157" t="s">
        <v>14</v>
      </c>
      <c r="U107" s="138">
        <v>63</v>
      </c>
      <c r="V107" s="170">
        <v>2.7548275862068965</v>
      </c>
      <c r="W107" s="140">
        <f t="shared" si="249"/>
        <v>173.55413793103449</v>
      </c>
      <c r="X107" s="159">
        <f>U107*V107</f>
        <v>173.55413793103449</v>
      </c>
      <c r="Y107" s="528"/>
      <c r="Z107" s="143" t="s">
        <v>91</v>
      </c>
      <c r="AA107" s="163"/>
      <c r="AB107" s="157" t="s">
        <v>14</v>
      </c>
      <c r="AC107" s="138">
        <v>0</v>
      </c>
      <c r="AD107" s="170">
        <v>2.7548275862068965</v>
      </c>
      <c r="AE107" s="140">
        <f t="shared" si="250"/>
        <v>0</v>
      </c>
      <c r="AF107" s="159">
        <f>AC107*AD107</f>
        <v>0</v>
      </c>
      <c r="AG107" s="528"/>
      <c r="AH107" s="143" t="s">
        <v>91</v>
      </c>
      <c r="AI107" s="163">
        <v>5</v>
      </c>
      <c r="AJ107" s="157" t="s">
        <v>14</v>
      </c>
      <c r="AK107" s="138">
        <v>45</v>
      </c>
      <c r="AL107" s="170">
        <v>2.7548275862068965</v>
      </c>
      <c r="AM107" s="140">
        <f t="shared" si="251"/>
        <v>123.96724137931034</v>
      </c>
      <c r="AN107" s="159">
        <f>AK107*AL107</f>
        <v>123.96724137931034</v>
      </c>
      <c r="AO107" s="528"/>
      <c r="AP107" s="143" t="s">
        <v>91</v>
      </c>
      <c r="AQ107" s="163">
        <v>4</v>
      </c>
      <c r="AR107" s="157" t="s">
        <v>14</v>
      </c>
      <c r="AS107" s="138">
        <v>13</v>
      </c>
      <c r="AT107" s="170">
        <v>2.7548275862068965</v>
      </c>
      <c r="AU107" s="140">
        <f t="shared" si="252"/>
        <v>35.812758620689657</v>
      </c>
      <c r="AV107" s="159">
        <f>AS107*AT107</f>
        <v>35.812758620689657</v>
      </c>
      <c r="AW107" s="528"/>
      <c r="AX107" s="143" t="s">
        <v>91</v>
      </c>
      <c r="AY107" s="163"/>
      <c r="AZ107" s="157" t="s">
        <v>14</v>
      </c>
      <c r="BA107" s="138"/>
      <c r="BB107" s="170">
        <v>2.7548275862068965</v>
      </c>
      <c r="BC107" s="140">
        <f t="shared" si="253"/>
        <v>0</v>
      </c>
      <c r="BD107" s="159">
        <f>BA107*BB107</f>
        <v>0</v>
      </c>
      <c r="BE107" s="528"/>
      <c r="BF107" s="143" t="s">
        <v>91</v>
      </c>
      <c r="BG107" s="163">
        <v>1</v>
      </c>
      <c r="BH107" s="157" t="s">
        <v>14</v>
      </c>
      <c r="BI107" s="138">
        <v>14</v>
      </c>
      <c r="BJ107" s="170">
        <v>2.7548275862068965</v>
      </c>
      <c r="BK107" s="140">
        <f t="shared" si="254"/>
        <v>38.56758620689655</v>
      </c>
      <c r="BL107" s="159">
        <f>BI107*BJ107</f>
        <v>38.56758620689655</v>
      </c>
      <c r="BM107" s="528"/>
      <c r="BN107" s="143" t="s">
        <v>91</v>
      </c>
      <c r="BO107" s="163"/>
      <c r="BP107" s="157" t="s">
        <v>14</v>
      </c>
      <c r="BQ107" s="138">
        <v>0</v>
      </c>
      <c r="BR107" s="170">
        <v>2.7548275862068965</v>
      </c>
      <c r="BS107" s="140">
        <f t="shared" si="255"/>
        <v>0</v>
      </c>
      <c r="BT107" s="159">
        <f>BQ107*BR107</f>
        <v>0</v>
      </c>
      <c r="BU107" s="528"/>
      <c r="BV107" s="564" t="s">
        <v>91</v>
      </c>
      <c r="BW107" s="579"/>
      <c r="BX107" s="574" t="s">
        <v>14</v>
      </c>
      <c r="BY107" s="560"/>
      <c r="BZ107" s="585">
        <v>2.7548275862068965</v>
      </c>
      <c r="CA107" s="562">
        <f t="shared" si="256"/>
        <v>0</v>
      </c>
      <c r="CB107" s="575">
        <f>BY107*BZ107</f>
        <v>0</v>
      </c>
      <c r="CC107" s="528"/>
      <c r="CD107" s="564" t="s">
        <v>91</v>
      </c>
      <c r="CE107" s="579"/>
      <c r="CF107" s="574" t="s">
        <v>14</v>
      </c>
      <c r="CG107" s="560"/>
      <c r="CH107" s="585">
        <v>2.7548275862068965</v>
      </c>
      <c r="CI107" s="562">
        <f t="shared" si="257"/>
        <v>0</v>
      </c>
      <c r="CJ107" s="575">
        <f>CG107*CH107</f>
        <v>0</v>
      </c>
      <c r="CK107" s="528"/>
      <c r="CL107" s="143" t="s">
        <v>91</v>
      </c>
      <c r="CM107" s="163"/>
      <c r="CN107" s="157" t="s">
        <v>14</v>
      </c>
      <c r="CO107" s="138"/>
      <c r="CP107" s="170">
        <v>2.7548275862068965</v>
      </c>
      <c r="CQ107" s="140">
        <f t="shared" si="258"/>
        <v>0</v>
      </c>
      <c r="CR107" s="159">
        <f>CO107*CP107</f>
        <v>0</v>
      </c>
      <c r="CS107" s="528"/>
      <c r="CT107" s="143" t="s">
        <v>91</v>
      </c>
      <c r="CU107" s="163">
        <v>1</v>
      </c>
      <c r="CV107" s="157" t="s">
        <v>14</v>
      </c>
      <c r="CW107" s="138">
        <v>14</v>
      </c>
      <c r="CX107" s="170">
        <v>2.7548275862068965</v>
      </c>
      <c r="CY107" s="140">
        <f t="shared" si="259"/>
        <v>38.56758620689655</v>
      </c>
      <c r="CZ107" s="159">
        <f>CW107*CX107</f>
        <v>38.56758620689655</v>
      </c>
      <c r="DA107" s="528"/>
      <c r="DB107" s="143" t="s">
        <v>91</v>
      </c>
      <c r="DC107" s="163"/>
      <c r="DD107" s="157" t="s">
        <v>14</v>
      </c>
      <c r="DE107" s="138"/>
      <c r="DF107" s="170">
        <v>2.7548275862068965</v>
      </c>
      <c r="DG107" s="140">
        <f t="shared" si="260"/>
        <v>0</v>
      </c>
      <c r="DH107" s="159">
        <f>DE107*DF107</f>
        <v>0</v>
      </c>
      <c r="DI107" s="528"/>
      <c r="DJ107" s="143" t="s">
        <v>91</v>
      </c>
      <c r="DK107" s="163">
        <v>9</v>
      </c>
      <c r="DL107" s="157" t="s">
        <v>14</v>
      </c>
      <c r="DM107" s="138">
        <v>81</v>
      </c>
      <c r="DN107" s="170">
        <v>2.7548275862068965</v>
      </c>
      <c r="DO107" s="140">
        <f t="shared" si="261"/>
        <v>223.14103448275861</v>
      </c>
      <c r="DP107" s="159">
        <f>DM107*DN107</f>
        <v>223.14103448275861</v>
      </c>
      <c r="DQ107" s="528"/>
      <c r="DR107" s="143" t="s">
        <v>91</v>
      </c>
      <c r="DS107" s="163">
        <v>13</v>
      </c>
      <c r="DT107" s="157" t="s">
        <v>14</v>
      </c>
      <c r="DU107" s="138">
        <v>125</v>
      </c>
      <c r="DV107" s="170">
        <v>2.7548275862068965</v>
      </c>
      <c r="DW107" s="140">
        <f t="shared" si="262"/>
        <v>344.35344827586204</v>
      </c>
      <c r="DX107" s="159">
        <f>DU107*DV107</f>
        <v>344.35344827586204</v>
      </c>
      <c r="DY107" s="528"/>
      <c r="DZ107" s="143" t="s">
        <v>91</v>
      </c>
      <c r="EA107" s="163">
        <v>3</v>
      </c>
      <c r="EB107" s="157" t="s">
        <v>14</v>
      </c>
      <c r="EC107" s="138">
        <v>8</v>
      </c>
      <c r="ED107" s="170">
        <v>2.7548275862068965</v>
      </c>
      <c r="EE107" s="140">
        <f t="shared" si="263"/>
        <v>22.038620689655172</v>
      </c>
      <c r="EF107" s="159">
        <f>EC107*ED107</f>
        <v>22.038620689655172</v>
      </c>
      <c r="EG107" s="528"/>
      <c r="EH107" s="143" t="s">
        <v>91</v>
      </c>
      <c r="EI107" s="163">
        <v>0</v>
      </c>
      <c r="EJ107" s="157" t="s">
        <v>14</v>
      </c>
      <c r="EK107" s="138">
        <v>0</v>
      </c>
      <c r="EL107" s="170">
        <v>2.7548275862068965</v>
      </c>
      <c r="EM107" s="140">
        <f t="shared" si="264"/>
        <v>0</v>
      </c>
      <c r="EN107" s="159">
        <f>EK107*EL107</f>
        <v>0</v>
      </c>
      <c r="EO107" s="528"/>
      <c r="EP107" s="143" t="s">
        <v>91</v>
      </c>
      <c r="EQ107" s="163">
        <v>11</v>
      </c>
      <c r="ER107" s="157" t="s">
        <v>14</v>
      </c>
      <c r="ES107" s="138">
        <v>209</v>
      </c>
      <c r="ET107" s="170">
        <v>2.7548275862068965</v>
      </c>
      <c r="EU107" s="140">
        <f t="shared" si="265"/>
        <v>575.75896551724134</v>
      </c>
      <c r="EV107" s="159">
        <f>ES107*ET107</f>
        <v>575.75896551724134</v>
      </c>
      <c r="EW107" s="528"/>
      <c r="EX107" s="143" t="s">
        <v>91</v>
      </c>
      <c r="EY107" s="163"/>
      <c r="EZ107" s="157" t="s">
        <v>14</v>
      </c>
      <c r="FA107" s="138"/>
      <c r="FB107" s="170">
        <v>2.7548275862068965</v>
      </c>
      <c r="FC107" s="140">
        <f t="shared" si="266"/>
        <v>0</v>
      </c>
      <c r="FD107" s="159">
        <f>FA107*FB107</f>
        <v>0</v>
      </c>
      <c r="FE107" s="528"/>
      <c r="FF107" s="143" t="s">
        <v>91</v>
      </c>
      <c r="FG107" s="163"/>
      <c r="FH107" s="157" t="s">
        <v>14</v>
      </c>
      <c r="FI107" s="138"/>
      <c r="FJ107" s="170">
        <v>2.7548275862068965</v>
      </c>
      <c r="FK107" s="140">
        <f t="shared" si="267"/>
        <v>0</v>
      </c>
      <c r="FL107" s="159">
        <f>FI107*FJ107</f>
        <v>0</v>
      </c>
      <c r="FM107" s="528"/>
      <c r="FN107" s="143" t="s">
        <v>91</v>
      </c>
      <c r="FO107" s="163"/>
      <c r="FP107" s="157" t="s">
        <v>14</v>
      </c>
      <c r="FQ107" s="138"/>
      <c r="FR107" s="170">
        <v>2.7548275862068965</v>
      </c>
      <c r="FS107" s="140">
        <f t="shared" si="268"/>
        <v>0</v>
      </c>
      <c r="FT107" s="159">
        <f>FQ107*FR107</f>
        <v>0</v>
      </c>
      <c r="FU107" s="528"/>
      <c r="FV107" s="143" t="s">
        <v>91</v>
      </c>
      <c r="FW107" s="163"/>
      <c r="FX107" s="157" t="s">
        <v>14</v>
      </c>
      <c r="FY107" s="138"/>
      <c r="FZ107" s="170">
        <v>2.7548275862068965</v>
      </c>
      <c r="GA107" s="140">
        <f t="shared" si="269"/>
        <v>0</v>
      </c>
      <c r="GB107" s="159">
        <f>FY107*FZ107</f>
        <v>0</v>
      </c>
      <c r="GC107" s="528"/>
      <c r="GD107" s="143" t="s">
        <v>91</v>
      </c>
      <c r="GE107" s="163"/>
      <c r="GF107" s="157" t="s">
        <v>14</v>
      </c>
      <c r="GG107" s="138"/>
      <c r="GH107" s="170">
        <v>2.7548275862068965</v>
      </c>
      <c r="GI107" s="140">
        <f t="shared" si="270"/>
        <v>0</v>
      </c>
      <c r="GJ107" s="159">
        <f>GG107*GH107</f>
        <v>0</v>
      </c>
      <c r="GK107" s="528"/>
      <c r="GL107" s="143" t="s">
        <v>91</v>
      </c>
      <c r="GM107" s="163">
        <v>1</v>
      </c>
      <c r="GN107" s="157" t="s">
        <v>14</v>
      </c>
      <c r="GO107" s="138">
        <f>'[1]Jan_18_Vol weekly-Data-Entry'!$AW$226</f>
        <v>0</v>
      </c>
      <c r="GP107" s="170">
        <v>2.7548275862068965</v>
      </c>
      <c r="GQ107" s="140">
        <f t="shared" si="271"/>
        <v>0</v>
      </c>
      <c r="GR107" s="159">
        <f>GO107*GP107</f>
        <v>0</v>
      </c>
      <c r="GS107" s="528"/>
      <c r="GT107" s="143" t="s">
        <v>91</v>
      </c>
      <c r="GU107" s="163">
        <v>4</v>
      </c>
      <c r="GV107" s="157" t="s">
        <v>14</v>
      </c>
      <c r="GW107" s="138">
        <v>13</v>
      </c>
      <c r="GX107" s="170">
        <v>2.7548275862068965</v>
      </c>
      <c r="GY107" s="140">
        <f t="shared" si="272"/>
        <v>35.812758620689657</v>
      </c>
      <c r="GZ107" s="159">
        <f>GW107*GX107</f>
        <v>35.812758620689657</v>
      </c>
      <c r="HA107" s="528"/>
      <c r="HB107" s="143" t="s">
        <v>91</v>
      </c>
      <c r="HC107" s="163">
        <v>7</v>
      </c>
      <c r="HD107" s="157" t="s">
        <v>14</v>
      </c>
      <c r="HE107" s="138">
        <v>63</v>
      </c>
      <c r="HF107" s="170">
        <v>2.7548275862068965</v>
      </c>
      <c r="HG107" s="140">
        <f t="shared" si="273"/>
        <v>173.55413793103449</v>
      </c>
      <c r="HH107" s="159">
        <f>HE107*HF107</f>
        <v>173.55413793103449</v>
      </c>
      <c r="HI107" s="528"/>
      <c r="HJ107" s="143" t="s">
        <v>91</v>
      </c>
      <c r="HK107" s="163">
        <v>7</v>
      </c>
      <c r="HL107" s="157" t="s">
        <v>14</v>
      </c>
      <c r="HM107" s="138">
        <v>16</v>
      </c>
      <c r="HN107" s="170">
        <v>2.7548275862068965</v>
      </c>
      <c r="HO107" s="140">
        <f t="shared" si="274"/>
        <v>44.077241379310344</v>
      </c>
      <c r="HP107" s="159">
        <f>HM107*HN107</f>
        <v>44.077241379310344</v>
      </c>
      <c r="HQ107" s="528"/>
      <c r="HR107" s="143" t="s">
        <v>91</v>
      </c>
      <c r="HS107" s="163">
        <v>27</v>
      </c>
      <c r="HT107" s="157" t="s">
        <v>14</v>
      </c>
      <c r="HU107" s="138">
        <v>279</v>
      </c>
      <c r="HV107" s="170">
        <v>2.7548275862068965</v>
      </c>
      <c r="HW107" s="140">
        <f t="shared" si="275"/>
        <v>768.59689655172417</v>
      </c>
      <c r="HX107" s="159">
        <f>HU107*HV107</f>
        <v>768.59689655172417</v>
      </c>
      <c r="HY107" s="528"/>
      <c r="HZ107" s="143" t="s">
        <v>91</v>
      </c>
      <c r="IA107" s="163">
        <v>0</v>
      </c>
      <c r="IB107" s="157" t="s">
        <v>14</v>
      </c>
      <c r="IC107" s="138">
        <v>0</v>
      </c>
      <c r="ID107" s="170">
        <v>2.7548275862068965</v>
      </c>
      <c r="IE107" s="140">
        <f t="shared" si="276"/>
        <v>0</v>
      </c>
      <c r="IF107" s="159">
        <f>IC107*ID107</f>
        <v>0</v>
      </c>
      <c r="IG107" s="528"/>
      <c r="IH107" s="143" t="s">
        <v>91</v>
      </c>
      <c r="II107" s="163">
        <v>16</v>
      </c>
      <c r="IJ107" s="157" t="s">
        <v>14</v>
      </c>
      <c r="IK107" s="138">
        <v>160</v>
      </c>
      <c r="IL107" s="170">
        <v>2.7548275862068965</v>
      </c>
      <c r="IM107" s="140">
        <f t="shared" si="277"/>
        <v>440.77241379310345</v>
      </c>
      <c r="IN107" s="159">
        <f>IK107*IL107</f>
        <v>440.77241379310345</v>
      </c>
      <c r="IO107" s="528"/>
      <c r="IP107" s="143" t="s">
        <v>91</v>
      </c>
      <c r="IQ107" s="163">
        <v>33</v>
      </c>
      <c r="IR107" s="157" t="s">
        <v>14</v>
      </c>
      <c r="IS107" s="138">
        <v>395</v>
      </c>
      <c r="IT107" s="170">
        <v>2.7548275862068965</v>
      </c>
      <c r="IU107" s="140">
        <f t="shared" si="278"/>
        <v>1088.156896551724</v>
      </c>
      <c r="IV107" s="159">
        <f>IS107*IT107</f>
        <v>1088.156896551724</v>
      </c>
      <c r="IW107" s="528"/>
      <c r="IX107" s="143" t="s">
        <v>91</v>
      </c>
      <c r="IY107" s="163">
        <v>12</v>
      </c>
      <c r="IZ107" s="157" t="s">
        <v>14</v>
      </c>
      <c r="JA107" s="138">
        <v>70</v>
      </c>
      <c r="JB107" s="170">
        <v>2.7548275862068965</v>
      </c>
      <c r="JC107" s="140">
        <f t="shared" si="279"/>
        <v>192.83793103448275</v>
      </c>
      <c r="JD107" s="159">
        <f>JA107*JB107</f>
        <v>192.83793103448275</v>
      </c>
      <c r="JE107" s="528"/>
      <c r="JF107" s="143" t="s">
        <v>91</v>
      </c>
      <c r="JG107" s="163">
        <v>7</v>
      </c>
      <c r="JH107" s="157" t="s">
        <v>14</v>
      </c>
      <c r="JI107" s="138">
        <v>102</v>
      </c>
      <c r="JJ107" s="170">
        <v>2.7548275862068965</v>
      </c>
      <c r="JK107" s="140">
        <f t="shared" si="280"/>
        <v>280.99241379310342</v>
      </c>
      <c r="JL107" s="159">
        <f>JI107*JJ107</f>
        <v>280.99241379310342</v>
      </c>
      <c r="JM107" s="528"/>
      <c r="JN107" s="143" t="s">
        <v>91</v>
      </c>
      <c r="JO107" s="163">
        <v>6</v>
      </c>
      <c r="JP107" s="157" t="s">
        <v>14</v>
      </c>
      <c r="JQ107" s="138">
        <v>103</v>
      </c>
      <c r="JR107" s="170">
        <v>2.7548275862068965</v>
      </c>
      <c r="JS107" s="140">
        <f t="shared" si="281"/>
        <v>283.74724137931037</v>
      </c>
      <c r="JT107" s="159">
        <f>JQ107*JR107</f>
        <v>283.74724137931037</v>
      </c>
      <c r="JU107" s="528"/>
      <c r="JV107" s="143" t="s">
        <v>91</v>
      </c>
      <c r="JW107" s="163">
        <v>55</v>
      </c>
      <c r="JX107" s="157" t="s">
        <v>14</v>
      </c>
      <c r="JY107" s="138">
        <v>435</v>
      </c>
      <c r="JZ107" s="170">
        <v>2.7548275862068965</v>
      </c>
      <c r="KA107" s="140">
        <f t="shared" si="282"/>
        <v>1198.3499999999999</v>
      </c>
      <c r="KB107" s="159">
        <f>JY107*JZ107</f>
        <v>1198.3499999999999</v>
      </c>
      <c r="KC107" s="528"/>
      <c r="KD107" s="143" t="s">
        <v>91</v>
      </c>
      <c r="KE107" s="163">
        <v>7</v>
      </c>
      <c r="KF107" s="157" t="s">
        <v>14</v>
      </c>
      <c r="KG107" s="138">
        <v>214</v>
      </c>
      <c r="KH107" s="170">
        <v>2.7548275862068965</v>
      </c>
      <c r="KI107" s="140">
        <f t="shared" si="283"/>
        <v>589.53310344827582</v>
      </c>
      <c r="KJ107" s="159">
        <f>KG107*KH107</f>
        <v>589.53310344827582</v>
      </c>
      <c r="KK107" s="528"/>
      <c r="KL107" s="143" t="s">
        <v>91</v>
      </c>
      <c r="KM107" s="163">
        <v>0</v>
      </c>
      <c r="KN107" s="157" t="s">
        <v>14</v>
      </c>
      <c r="KO107" s="138">
        <v>0</v>
      </c>
      <c r="KP107" s="170">
        <v>2.7548275862068965</v>
      </c>
      <c r="KQ107" s="140">
        <f t="shared" si="284"/>
        <v>0</v>
      </c>
      <c r="KR107" s="159">
        <f>KO107*KP107</f>
        <v>0</v>
      </c>
      <c r="KS107" s="528"/>
      <c r="KT107" s="143" t="s">
        <v>91</v>
      </c>
      <c r="KU107" s="163">
        <v>0</v>
      </c>
      <c r="KV107" s="157" t="s">
        <v>14</v>
      </c>
      <c r="KW107" s="138">
        <v>0</v>
      </c>
      <c r="KX107" s="170">
        <v>2.7548275862068965</v>
      </c>
      <c r="KY107" s="140">
        <f t="shared" si="285"/>
        <v>0</v>
      </c>
      <c r="KZ107" s="159">
        <f>KW107*KX107</f>
        <v>0</v>
      </c>
      <c r="LA107" s="528"/>
      <c r="LB107" s="143" t="s">
        <v>91</v>
      </c>
      <c r="LC107" s="163">
        <v>10</v>
      </c>
      <c r="LD107" s="157" t="s">
        <v>14</v>
      </c>
      <c r="LE107" s="138">
        <v>69</v>
      </c>
      <c r="LF107" s="170">
        <v>2.7548275862068965</v>
      </c>
      <c r="LG107" s="140">
        <f t="shared" si="286"/>
        <v>190.08310344827586</v>
      </c>
      <c r="LH107" s="159">
        <f>LE107*LF107</f>
        <v>190.08310344827586</v>
      </c>
      <c r="LI107" s="528"/>
      <c r="LJ107" s="143" t="s">
        <v>91</v>
      </c>
      <c r="LK107" s="176">
        <v>13</v>
      </c>
      <c r="LL107" s="157" t="s">
        <v>14</v>
      </c>
      <c r="LM107" s="175">
        <v>55</v>
      </c>
      <c r="LN107" s="139">
        <v>2.7548275862068965</v>
      </c>
      <c r="LO107" s="140">
        <f t="shared" si="313"/>
        <v>151.51551724137931</v>
      </c>
      <c r="LP107" s="159">
        <f>LM107*LN107</f>
        <v>151.51551724137931</v>
      </c>
      <c r="LQ107" s="528"/>
      <c r="LR107" s="143" t="s">
        <v>91</v>
      </c>
      <c r="LS107" s="176">
        <v>12</v>
      </c>
      <c r="LT107" s="157" t="s">
        <v>14</v>
      </c>
      <c r="LU107" s="175">
        <v>97</v>
      </c>
      <c r="LV107" s="139">
        <v>2.7548275862068965</v>
      </c>
      <c r="LW107" s="140">
        <f t="shared" si="314"/>
        <v>267.21827586206894</v>
      </c>
      <c r="LX107" s="159">
        <f>LU107*LV107</f>
        <v>267.21827586206894</v>
      </c>
      <c r="LY107" s="528"/>
      <c r="LZ107" s="143" t="s">
        <v>91</v>
      </c>
      <c r="MA107" s="176">
        <v>17</v>
      </c>
      <c r="MB107" s="157" t="s">
        <v>14</v>
      </c>
      <c r="MC107" s="175">
        <v>234</v>
      </c>
      <c r="MD107" s="139">
        <v>2.7548275862068965</v>
      </c>
      <c r="ME107" s="140">
        <f t="shared" si="315"/>
        <v>644.62965517241378</v>
      </c>
      <c r="MF107" s="159">
        <f>MC107*MD107</f>
        <v>644.62965517241378</v>
      </c>
      <c r="MG107" s="528"/>
      <c r="MH107" s="143" t="s">
        <v>91</v>
      </c>
      <c r="MI107" s="176">
        <v>25</v>
      </c>
      <c r="MJ107" s="157" t="s">
        <v>14</v>
      </c>
      <c r="MK107" s="175">
        <v>359</v>
      </c>
      <c r="ML107" s="139">
        <v>2.7548275862068965</v>
      </c>
      <c r="MM107" s="140">
        <f t="shared" si="316"/>
        <v>988.98310344827587</v>
      </c>
      <c r="MN107" s="159">
        <f>MK107*ML107</f>
        <v>988.98310344827587</v>
      </c>
      <c r="MO107" s="528"/>
      <c r="MP107" s="143" t="s">
        <v>91</v>
      </c>
      <c r="MQ107" s="176">
        <v>19</v>
      </c>
      <c r="MR107" s="157" t="s">
        <v>14</v>
      </c>
      <c r="MS107" s="175">
        <v>136</v>
      </c>
      <c r="MT107" s="139">
        <v>2.7548275862068965</v>
      </c>
      <c r="MU107" s="140">
        <f t="shared" si="317"/>
        <v>374.6565517241379</v>
      </c>
      <c r="MV107" s="159">
        <f>MS107*MT107</f>
        <v>374.6565517241379</v>
      </c>
      <c r="MW107" s="528"/>
      <c r="MX107" s="151"/>
      <c r="MY107" s="152"/>
      <c r="MZ107" s="145" t="s">
        <v>85</v>
      </c>
      <c r="NA107" s="175"/>
      <c r="NB107" s="164"/>
      <c r="NC107" s="674">
        <f t="shared" si="292"/>
        <v>0</v>
      </c>
      <c r="ND107" s="159">
        <f>SUM(NC104:NC107)</f>
        <v>3925.0002564102565</v>
      </c>
      <c r="NE107" s="528"/>
      <c r="NF107" s="151"/>
      <c r="NG107" s="152"/>
      <c r="NH107" s="145" t="s">
        <v>85</v>
      </c>
      <c r="NI107" s="175"/>
      <c r="NJ107" s="164"/>
      <c r="NK107" s="674">
        <f t="shared" si="293"/>
        <v>0</v>
      </c>
      <c r="NL107" s="159">
        <f>SUM(NK104:NK107)</f>
        <v>2261.5407692307695</v>
      </c>
      <c r="NM107" s="528"/>
      <c r="NN107" s="151"/>
      <c r="NO107" s="152"/>
      <c r="NP107" s="145" t="s">
        <v>85</v>
      </c>
      <c r="NQ107" s="175"/>
      <c r="NR107" s="164"/>
      <c r="NS107" s="674">
        <f t="shared" si="294"/>
        <v>0</v>
      </c>
      <c r="NT107" s="159">
        <f>SUM(NS104:NS107)</f>
        <v>529.01538461538462</v>
      </c>
      <c r="NU107" s="528"/>
      <c r="NV107" s="151"/>
      <c r="NW107" s="152"/>
      <c r="NX107" s="145" t="s">
        <v>85</v>
      </c>
      <c r="NY107" s="175"/>
      <c r="NZ107" s="164"/>
      <c r="OA107" s="674">
        <f t="shared" si="295"/>
        <v>0</v>
      </c>
      <c r="OB107" s="159">
        <f>SUM(OA104:OA107)</f>
        <v>221.89256410256411</v>
      </c>
      <c r="OC107" s="528"/>
      <c r="OD107" s="151"/>
      <c r="OE107" s="152"/>
      <c r="OF107" s="145" t="s">
        <v>85</v>
      </c>
      <c r="OG107" s="175"/>
      <c r="OH107" s="164"/>
      <c r="OI107" s="674">
        <f t="shared" si="296"/>
        <v>0</v>
      </c>
      <c r="OJ107" s="159">
        <f>SUM(OI104:OI107)</f>
        <v>5.8779487179487182</v>
      </c>
      <c r="OK107" s="528"/>
      <c r="OL107" s="151"/>
      <c r="OM107" s="152"/>
      <c r="ON107" s="145" t="s">
        <v>85</v>
      </c>
      <c r="OO107" s="175"/>
      <c r="OP107" s="164"/>
      <c r="OQ107" s="674">
        <f t="shared" si="297"/>
        <v>0</v>
      </c>
      <c r="OR107" s="159">
        <f>SUM(OQ104:OQ107)</f>
        <v>0</v>
      </c>
      <c r="OS107" s="528"/>
      <c r="OT107" s="151"/>
      <c r="OU107" s="152"/>
      <c r="OV107" s="145" t="s">
        <v>85</v>
      </c>
      <c r="OW107" s="175"/>
      <c r="OX107" s="164"/>
      <c r="OY107" s="674">
        <f t="shared" si="298"/>
        <v>0</v>
      </c>
      <c r="OZ107" s="159">
        <f>SUM(OY104:OY107)</f>
        <v>0</v>
      </c>
      <c r="PA107" s="528"/>
      <c r="PB107" s="151"/>
      <c r="PC107" s="152"/>
      <c r="PD107" s="145" t="s">
        <v>85</v>
      </c>
      <c r="PE107" s="175"/>
      <c r="PF107" s="164"/>
      <c r="PG107" s="674">
        <f t="shared" si="299"/>
        <v>0</v>
      </c>
      <c r="PH107" s="159">
        <f>SUM(PG104:PG107)</f>
        <v>0</v>
      </c>
      <c r="PI107" s="528"/>
      <c r="PJ107" s="151"/>
      <c r="PK107" s="152"/>
      <c r="PL107" s="145" t="s">
        <v>85</v>
      </c>
      <c r="PM107" s="175"/>
      <c r="PN107" s="164"/>
      <c r="PO107" s="674">
        <f t="shared" si="300"/>
        <v>0</v>
      </c>
      <c r="PP107" s="159">
        <f>SUM(PO104:PO107)</f>
        <v>138.13179487179488</v>
      </c>
      <c r="PQ107" s="528"/>
      <c r="PR107" s="151"/>
      <c r="PS107" s="152"/>
      <c r="PT107" s="145" t="s">
        <v>85</v>
      </c>
      <c r="PU107" s="175"/>
      <c r="PV107" s="164"/>
      <c r="PW107" s="674">
        <f t="shared" si="301"/>
        <v>0</v>
      </c>
      <c r="PX107" s="159">
        <f>SUM(PW104:PW107)</f>
        <v>99.925128205128203</v>
      </c>
      <c r="PY107" s="528"/>
      <c r="PZ107" s="151"/>
      <c r="QA107" s="152"/>
      <c r="QB107" s="145" t="s">
        <v>85</v>
      </c>
      <c r="QC107" s="175"/>
      <c r="QD107" s="164"/>
      <c r="QE107" s="674">
        <f t="shared" si="302"/>
        <v>0</v>
      </c>
      <c r="QF107" s="159">
        <f>SUM(QE104:QE107)</f>
        <v>1013.9461538461538</v>
      </c>
      <c r="QG107" s="528"/>
      <c r="QH107" s="151"/>
      <c r="QI107" s="152"/>
      <c r="QJ107" s="145" t="s">
        <v>85</v>
      </c>
      <c r="QK107" s="175"/>
      <c r="QL107" s="164"/>
      <c r="QM107" s="674">
        <f t="shared" si="303"/>
        <v>0</v>
      </c>
      <c r="QN107" s="159">
        <f>SUM(QM104:QM107)</f>
        <v>542.24076923076927</v>
      </c>
      <c r="QO107" s="528"/>
      <c r="QP107" s="151"/>
      <c r="QQ107" s="152"/>
      <c r="QR107" s="145" t="s">
        <v>85</v>
      </c>
      <c r="QS107" s="175"/>
      <c r="QT107" s="164"/>
      <c r="QU107" s="674">
        <f t="shared" si="304"/>
        <v>0</v>
      </c>
      <c r="QV107" s="159">
        <f>SUM(QU104:QU107)</f>
        <v>626.00153846153853</v>
      </c>
      <c r="QW107" s="528"/>
      <c r="QX107" s="151"/>
      <c r="QY107" s="152"/>
      <c r="QZ107" s="145" t="s">
        <v>85</v>
      </c>
      <c r="RA107" s="175"/>
      <c r="RB107" s="164"/>
      <c r="RC107" s="674">
        <f t="shared" si="305"/>
        <v>0</v>
      </c>
      <c r="RD107" s="159">
        <f>SUM(RC104:RC107)</f>
        <v>0</v>
      </c>
      <c r="RE107" s="528"/>
      <c r="RF107" s="151"/>
      <c r="RG107" s="152"/>
      <c r="RH107" s="145" t="s">
        <v>85</v>
      </c>
      <c r="RI107" s="175"/>
      <c r="RJ107" s="164"/>
      <c r="RK107" s="674">
        <f t="shared" si="306"/>
        <v>0</v>
      </c>
      <c r="RL107" s="159">
        <f>SUM(RK104:RK107)</f>
        <v>0</v>
      </c>
      <c r="RM107" s="528"/>
      <c r="RN107" s="151"/>
      <c r="RO107" s="152"/>
      <c r="RP107" s="145" t="s">
        <v>85</v>
      </c>
      <c r="RQ107" s="175"/>
      <c r="RR107" s="164"/>
      <c r="RS107" s="674">
        <f t="shared" si="307"/>
        <v>0</v>
      </c>
      <c r="RT107" s="159">
        <f>SUM(RS104:RS107)</f>
        <v>4.4084615384615384</v>
      </c>
      <c r="RU107" s="528"/>
      <c r="RV107" s="151"/>
      <c r="RW107" s="152"/>
      <c r="RX107" s="145" t="s">
        <v>85</v>
      </c>
      <c r="RY107" s="175"/>
      <c r="RZ107" s="164"/>
      <c r="SA107" s="674">
        <f t="shared" si="308"/>
        <v>0</v>
      </c>
      <c r="SB107" s="159">
        <f>SUM(SA104:SA107)</f>
        <v>0</v>
      </c>
      <c r="SC107" s="528"/>
      <c r="SD107" s="151"/>
      <c r="SE107" s="152"/>
      <c r="SF107" s="145" t="s">
        <v>85</v>
      </c>
      <c r="SG107" s="175"/>
      <c r="SH107" s="164"/>
      <c r="SI107" s="674">
        <f t="shared" si="309"/>
        <v>0</v>
      </c>
      <c r="SJ107" s="159">
        <f>SUM(SI104:SI107)</f>
        <v>0</v>
      </c>
      <c r="SK107" s="528"/>
      <c r="SL107" s="151"/>
      <c r="SM107" s="152"/>
      <c r="SN107" s="145" t="s">
        <v>85</v>
      </c>
      <c r="SO107" s="175"/>
      <c r="SP107" s="164"/>
      <c r="SQ107" s="674">
        <f t="shared" si="310"/>
        <v>0</v>
      </c>
      <c r="SR107" s="159">
        <f>SUM(SQ104:SQ107)</f>
        <v>0</v>
      </c>
      <c r="SS107" s="528"/>
      <c r="ST107" s="151"/>
      <c r="SU107" s="152"/>
      <c r="SV107" s="145" t="s">
        <v>85</v>
      </c>
      <c r="SW107" s="175"/>
      <c r="SX107" s="164"/>
      <c r="SY107" s="674">
        <f t="shared" si="311"/>
        <v>0</v>
      </c>
      <c r="SZ107" s="159">
        <f>SUM(SY104:SY107)</f>
        <v>24.981282051282051</v>
      </c>
      <c r="TA107" s="528"/>
      <c r="TB107" s="151"/>
      <c r="TC107" s="152"/>
      <c r="TD107" s="145" t="s">
        <v>85</v>
      </c>
      <c r="TE107" s="175"/>
      <c r="TF107" s="164"/>
      <c r="TG107" s="674">
        <f t="shared" si="312"/>
        <v>0</v>
      </c>
      <c r="TH107" s="159">
        <f>SUM(TG104:TG107)</f>
        <v>111.68102564102564</v>
      </c>
      <c r="TI107" s="528"/>
    </row>
    <row r="108" spans="2:529">
      <c r="B108" s="143" t="s">
        <v>236</v>
      </c>
      <c r="C108" s="163">
        <v>31</v>
      </c>
      <c r="D108" s="157" t="s">
        <v>36</v>
      </c>
      <c r="E108" s="138">
        <v>407</v>
      </c>
      <c r="F108" s="172">
        <v>0.83900000000000008</v>
      </c>
      <c r="G108" s="140">
        <f t="shared" si="247"/>
        <v>341.47300000000001</v>
      </c>
      <c r="H108" s="149"/>
      <c r="I108" s="528"/>
      <c r="J108" s="143" t="s">
        <v>236</v>
      </c>
      <c r="K108" s="163">
        <v>8</v>
      </c>
      <c r="L108" s="157" t="s">
        <v>36</v>
      </c>
      <c r="M108" s="138">
        <v>127</v>
      </c>
      <c r="N108" s="172">
        <v>0.83900000000000008</v>
      </c>
      <c r="O108" s="140">
        <f t="shared" si="248"/>
        <v>106.55300000000001</v>
      </c>
      <c r="P108" s="149"/>
      <c r="Q108" s="528"/>
      <c r="R108" s="143" t="s">
        <v>236</v>
      </c>
      <c r="S108" s="163">
        <v>19</v>
      </c>
      <c r="T108" s="157" t="s">
        <v>36</v>
      </c>
      <c r="U108" s="138">
        <v>182</v>
      </c>
      <c r="V108" s="172">
        <v>0.83900000000000008</v>
      </c>
      <c r="W108" s="140">
        <f t="shared" si="249"/>
        <v>152.69800000000001</v>
      </c>
      <c r="X108" s="149"/>
      <c r="Y108" s="528"/>
      <c r="Z108" s="143" t="s">
        <v>236</v>
      </c>
      <c r="AA108" s="163">
        <v>13</v>
      </c>
      <c r="AB108" s="157" t="s">
        <v>36</v>
      </c>
      <c r="AC108" s="138">
        <v>235</v>
      </c>
      <c r="AD108" s="172">
        <v>0.83900000000000008</v>
      </c>
      <c r="AE108" s="140">
        <f t="shared" si="250"/>
        <v>197.16500000000002</v>
      </c>
      <c r="AF108" s="149"/>
      <c r="AG108" s="528"/>
      <c r="AH108" s="143" t="s">
        <v>236</v>
      </c>
      <c r="AI108" s="163">
        <v>22</v>
      </c>
      <c r="AJ108" s="157" t="s">
        <v>36</v>
      </c>
      <c r="AK108" s="138">
        <v>463</v>
      </c>
      <c r="AL108" s="172">
        <v>0.83900000000000008</v>
      </c>
      <c r="AM108" s="140">
        <f t="shared" si="251"/>
        <v>388.45700000000005</v>
      </c>
      <c r="AN108" s="149"/>
      <c r="AO108" s="528"/>
      <c r="AP108" s="143" t="s">
        <v>236</v>
      </c>
      <c r="AQ108" s="163">
        <v>16</v>
      </c>
      <c r="AR108" s="157" t="s">
        <v>36</v>
      </c>
      <c r="AS108" s="138">
        <v>280</v>
      </c>
      <c r="AT108" s="172">
        <v>0.83900000000000008</v>
      </c>
      <c r="AU108" s="140">
        <f t="shared" si="252"/>
        <v>234.92000000000002</v>
      </c>
      <c r="AV108" s="149"/>
      <c r="AW108" s="528"/>
      <c r="AX108" s="143" t="s">
        <v>236</v>
      </c>
      <c r="AY108" s="163"/>
      <c r="AZ108" s="157" t="s">
        <v>36</v>
      </c>
      <c r="BA108" s="138"/>
      <c r="BB108" s="172">
        <v>0.83900000000000008</v>
      </c>
      <c r="BC108" s="140">
        <f t="shared" si="253"/>
        <v>0</v>
      </c>
      <c r="BD108" s="149"/>
      <c r="BE108" s="528"/>
      <c r="BF108" s="143" t="s">
        <v>236</v>
      </c>
      <c r="BG108" s="163">
        <v>17</v>
      </c>
      <c r="BH108" s="157" t="s">
        <v>36</v>
      </c>
      <c r="BI108" s="138">
        <v>569</v>
      </c>
      <c r="BJ108" s="172">
        <v>0.83900000000000008</v>
      </c>
      <c r="BK108" s="140">
        <f t="shared" si="254"/>
        <v>477.39100000000002</v>
      </c>
      <c r="BL108" s="149"/>
      <c r="BM108" s="528"/>
      <c r="BN108" s="143" t="s">
        <v>236</v>
      </c>
      <c r="BO108" s="163">
        <v>11</v>
      </c>
      <c r="BP108" s="157" t="s">
        <v>36</v>
      </c>
      <c r="BQ108" s="138">
        <v>257</v>
      </c>
      <c r="BR108" s="172">
        <v>0.83900000000000008</v>
      </c>
      <c r="BS108" s="140">
        <f t="shared" si="255"/>
        <v>215.62300000000002</v>
      </c>
      <c r="BT108" s="149"/>
      <c r="BU108" s="528"/>
      <c r="BV108" s="564" t="s">
        <v>236</v>
      </c>
      <c r="BW108" s="579"/>
      <c r="BX108" s="574" t="s">
        <v>36</v>
      </c>
      <c r="BY108" s="560"/>
      <c r="BZ108" s="587">
        <v>0.83900000000000008</v>
      </c>
      <c r="CA108" s="562">
        <f t="shared" si="256"/>
        <v>0</v>
      </c>
      <c r="CB108" s="568"/>
      <c r="CC108" s="528"/>
      <c r="CD108" s="564" t="s">
        <v>236</v>
      </c>
      <c r="CE108" s="579"/>
      <c r="CF108" s="574" t="s">
        <v>36</v>
      </c>
      <c r="CG108" s="560"/>
      <c r="CH108" s="587">
        <v>0.83900000000000008</v>
      </c>
      <c r="CI108" s="562">
        <f t="shared" si="257"/>
        <v>0</v>
      </c>
      <c r="CJ108" s="568"/>
      <c r="CK108" s="528"/>
      <c r="CL108" s="143" t="s">
        <v>236</v>
      </c>
      <c r="CM108" s="163"/>
      <c r="CN108" s="157" t="s">
        <v>36</v>
      </c>
      <c r="CO108" s="138"/>
      <c r="CP108" s="172">
        <v>0.83900000000000008</v>
      </c>
      <c r="CQ108" s="140">
        <f t="shared" si="258"/>
        <v>0</v>
      </c>
      <c r="CR108" s="149"/>
      <c r="CS108" s="528"/>
      <c r="CT108" s="143" t="s">
        <v>236</v>
      </c>
      <c r="CU108" s="163">
        <v>17</v>
      </c>
      <c r="CV108" s="157" t="s">
        <v>36</v>
      </c>
      <c r="CW108" s="138">
        <v>569</v>
      </c>
      <c r="CX108" s="172">
        <v>0.83900000000000008</v>
      </c>
      <c r="CY108" s="140">
        <f t="shared" si="259"/>
        <v>477.39100000000002</v>
      </c>
      <c r="CZ108" s="149"/>
      <c r="DA108" s="528"/>
      <c r="DB108" s="143" t="s">
        <v>236</v>
      </c>
      <c r="DC108" s="163"/>
      <c r="DD108" s="157" t="s">
        <v>36</v>
      </c>
      <c r="DE108" s="138"/>
      <c r="DF108" s="172">
        <v>0.83900000000000008</v>
      </c>
      <c r="DG108" s="140">
        <f t="shared" si="260"/>
        <v>0</v>
      </c>
      <c r="DH108" s="149"/>
      <c r="DI108" s="528"/>
      <c r="DJ108" s="143" t="s">
        <v>236</v>
      </c>
      <c r="DK108" s="163">
        <v>39</v>
      </c>
      <c r="DL108" s="157" t="s">
        <v>36</v>
      </c>
      <c r="DM108" s="138">
        <v>527</v>
      </c>
      <c r="DN108" s="172">
        <v>0.83900000000000008</v>
      </c>
      <c r="DO108" s="140">
        <f t="shared" si="261"/>
        <v>442.15300000000002</v>
      </c>
      <c r="DP108" s="149"/>
      <c r="DQ108" s="528"/>
      <c r="DR108" s="143" t="s">
        <v>236</v>
      </c>
      <c r="DS108" s="163">
        <v>50</v>
      </c>
      <c r="DT108" s="157" t="s">
        <v>36</v>
      </c>
      <c r="DU108" s="138">
        <v>663</v>
      </c>
      <c r="DV108" s="172">
        <v>0.83900000000000008</v>
      </c>
      <c r="DW108" s="140">
        <f t="shared" si="262"/>
        <v>556.25700000000006</v>
      </c>
      <c r="DX108" s="149"/>
      <c r="DY108" s="528"/>
      <c r="DZ108" s="143" t="s">
        <v>236</v>
      </c>
      <c r="EA108" s="163">
        <v>41</v>
      </c>
      <c r="EB108" s="157" t="s">
        <v>36</v>
      </c>
      <c r="EC108" s="138">
        <v>368</v>
      </c>
      <c r="ED108" s="172">
        <v>0.83900000000000008</v>
      </c>
      <c r="EE108" s="140">
        <f t="shared" si="263"/>
        <v>308.75200000000001</v>
      </c>
      <c r="EF108" s="149"/>
      <c r="EG108" s="528"/>
      <c r="EH108" s="143" t="s">
        <v>236</v>
      </c>
      <c r="EI108" s="163">
        <v>23</v>
      </c>
      <c r="EJ108" s="157" t="s">
        <v>36</v>
      </c>
      <c r="EK108" s="138">
        <v>236</v>
      </c>
      <c r="EL108" s="172">
        <v>0.83900000000000008</v>
      </c>
      <c r="EM108" s="140">
        <f t="shared" si="264"/>
        <v>198.00400000000002</v>
      </c>
      <c r="EN108" s="149"/>
      <c r="EO108" s="528"/>
      <c r="EP108" s="143" t="s">
        <v>236</v>
      </c>
      <c r="EQ108" s="163">
        <v>13</v>
      </c>
      <c r="ER108" s="157" t="s">
        <v>36</v>
      </c>
      <c r="ES108" s="138">
        <v>192</v>
      </c>
      <c r="ET108" s="172">
        <v>0.83900000000000008</v>
      </c>
      <c r="EU108" s="140">
        <f t="shared" si="265"/>
        <v>161.08800000000002</v>
      </c>
      <c r="EV108" s="149"/>
      <c r="EW108" s="528"/>
      <c r="EX108" s="143" t="s">
        <v>236</v>
      </c>
      <c r="EY108" s="163"/>
      <c r="EZ108" s="157" t="s">
        <v>36</v>
      </c>
      <c r="FA108" s="138"/>
      <c r="FB108" s="172">
        <v>0.83900000000000008</v>
      </c>
      <c r="FC108" s="140">
        <f t="shared" si="266"/>
        <v>0</v>
      </c>
      <c r="FD108" s="149"/>
      <c r="FE108" s="528"/>
      <c r="FF108" s="143" t="s">
        <v>236</v>
      </c>
      <c r="FG108" s="163"/>
      <c r="FH108" s="157" t="s">
        <v>36</v>
      </c>
      <c r="FI108" s="138"/>
      <c r="FJ108" s="172">
        <v>0.83900000000000008</v>
      </c>
      <c r="FK108" s="140">
        <f t="shared" si="267"/>
        <v>0</v>
      </c>
      <c r="FL108" s="149"/>
      <c r="FM108" s="528"/>
      <c r="FN108" s="143" t="s">
        <v>236</v>
      </c>
      <c r="FO108" s="163"/>
      <c r="FP108" s="157" t="s">
        <v>36</v>
      </c>
      <c r="FQ108" s="138"/>
      <c r="FR108" s="172">
        <v>0.83900000000000008</v>
      </c>
      <c r="FS108" s="140">
        <f t="shared" si="268"/>
        <v>0</v>
      </c>
      <c r="FT108" s="149"/>
      <c r="FU108" s="528"/>
      <c r="FV108" s="143" t="s">
        <v>236</v>
      </c>
      <c r="FW108" s="163"/>
      <c r="FX108" s="157" t="s">
        <v>36</v>
      </c>
      <c r="FY108" s="138"/>
      <c r="FZ108" s="172">
        <v>0.83900000000000008</v>
      </c>
      <c r="GA108" s="140">
        <f t="shared" si="269"/>
        <v>0</v>
      </c>
      <c r="GB108" s="149"/>
      <c r="GC108" s="528"/>
      <c r="GD108" s="143" t="s">
        <v>236</v>
      </c>
      <c r="GE108" s="163"/>
      <c r="GF108" s="157" t="s">
        <v>36</v>
      </c>
      <c r="GG108" s="138"/>
      <c r="GH108" s="172">
        <v>0.83900000000000008</v>
      </c>
      <c r="GI108" s="140">
        <f t="shared" si="270"/>
        <v>0</v>
      </c>
      <c r="GJ108" s="149"/>
      <c r="GK108" s="528"/>
      <c r="GL108" s="143" t="s">
        <v>118</v>
      </c>
      <c r="GM108" s="163">
        <v>15</v>
      </c>
      <c r="GN108" s="157" t="s">
        <v>36</v>
      </c>
      <c r="GO108" s="138">
        <f>'[1]Jan_18_Vol weekly-Data-Entry'!$AX$226</f>
        <v>0</v>
      </c>
      <c r="GP108" s="172">
        <v>0.83900000000000008</v>
      </c>
      <c r="GQ108" s="140">
        <f t="shared" si="271"/>
        <v>0</v>
      </c>
      <c r="GR108" s="149"/>
      <c r="GS108" s="528"/>
      <c r="GT108" s="143" t="s">
        <v>118</v>
      </c>
      <c r="GU108" s="163">
        <v>14</v>
      </c>
      <c r="GV108" s="157" t="s">
        <v>36</v>
      </c>
      <c r="GW108" s="138">
        <v>266</v>
      </c>
      <c r="GX108" s="172">
        <v>0.83900000000000008</v>
      </c>
      <c r="GY108" s="140">
        <f t="shared" si="272"/>
        <v>223.17400000000004</v>
      </c>
      <c r="GZ108" s="149"/>
      <c r="HA108" s="528"/>
      <c r="HB108" s="143" t="s">
        <v>118</v>
      </c>
      <c r="HC108" s="163">
        <v>15</v>
      </c>
      <c r="HD108" s="157" t="s">
        <v>36</v>
      </c>
      <c r="HE108" s="138">
        <v>182</v>
      </c>
      <c r="HF108" s="172">
        <v>0.83900000000000008</v>
      </c>
      <c r="HG108" s="140">
        <f t="shared" si="273"/>
        <v>152.69800000000001</v>
      </c>
      <c r="HH108" s="149"/>
      <c r="HI108" s="528"/>
      <c r="HJ108" s="143" t="s">
        <v>118</v>
      </c>
      <c r="HK108" s="163">
        <v>39</v>
      </c>
      <c r="HL108" s="157" t="s">
        <v>36</v>
      </c>
      <c r="HM108" s="138">
        <v>418</v>
      </c>
      <c r="HN108" s="172">
        <v>0.83900000000000008</v>
      </c>
      <c r="HO108" s="140">
        <f t="shared" si="274"/>
        <v>350.70200000000006</v>
      </c>
      <c r="HP108" s="149"/>
      <c r="HQ108" s="528"/>
      <c r="HR108" s="143" t="s">
        <v>118</v>
      </c>
      <c r="HS108" s="163">
        <v>34</v>
      </c>
      <c r="HT108" s="157" t="s">
        <v>36</v>
      </c>
      <c r="HU108" s="138">
        <v>386</v>
      </c>
      <c r="HV108" s="172">
        <v>0.83900000000000008</v>
      </c>
      <c r="HW108" s="140">
        <f t="shared" si="275"/>
        <v>323.85400000000004</v>
      </c>
      <c r="HX108" s="149"/>
      <c r="HY108" s="528"/>
      <c r="HZ108" s="143" t="s">
        <v>118</v>
      </c>
      <c r="IA108" s="163">
        <v>5</v>
      </c>
      <c r="IB108" s="157" t="s">
        <v>36</v>
      </c>
      <c r="IC108" s="138">
        <v>44</v>
      </c>
      <c r="ID108" s="172">
        <v>0.83900000000000008</v>
      </c>
      <c r="IE108" s="140">
        <f t="shared" si="276"/>
        <v>36.916000000000004</v>
      </c>
      <c r="IF108" s="149"/>
      <c r="IG108" s="528"/>
      <c r="IH108" s="143" t="s">
        <v>118</v>
      </c>
      <c r="II108" s="163">
        <v>20</v>
      </c>
      <c r="IJ108" s="157" t="s">
        <v>36</v>
      </c>
      <c r="IK108" s="138">
        <v>147</v>
      </c>
      <c r="IL108" s="172">
        <v>0.83900000000000008</v>
      </c>
      <c r="IM108" s="140">
        <f t="shared" si="277"/>
        <v>123.33300000000001</v>
      </c>
      <c r="IN108" s="149"/>
      <c r="IO108" s="528"/>
      <c r="IP108" s="143" t="s">
        <v>118</v>
      </c>
      <c r="IQ108" s="163">
        <v>23</v>
      </c>
      <c r="IR108" s="157" t="s">
        <v>36</v>
      </c>
      <c r="IS108" s="138">
        <v>122</v>
      </c>
      <c r="IT108" s="172">
        <v>0.83900000000000008</v>
      </c>
      <c r="IU108" s="140">
        <f t="shared" si="278"/>
        <v>102.358</v>
      </c>
      <c r="IV108" s="149"/>
      <c r="IW108" s="528"/>
      <c r="IX108" s="143" t="s">
        <v>118</v>
      </c>
      <c r="IY108" s="163">
        <v>28</v>
      </c>
      <c r="IZ108" s="157" t="s">
        <v>36</v>
      </c>
      <c r="JA108" s="138">
        <v>354</v>
      </c>
      <c r="JB108" s="172">
        <v>0.83900000000000008</v>
      </c>
      <c r="JC108" s="140">
        <f t="shared" si="279"/>
        <v>297.00600000000003</v>
      </c>
      <c r="JD108" s="149"/>
      <c r="JE108" s="528"/>
      <c r="JF108" s="143" t="s">
        <v>118</v>
      </c>
      <c r="JG108" s="163">
        <v>4</v>
      </c>
      <c r="JH108" s="157" t="s">
        <v>36</v>
      </c>
      <c r="JI108" s="138">
        <v>270</v>
      </c>
      <c r="JJ108" s="172">
        <v>0.83900000000000008</v>
      </c>
      <c r="JK108" s="140">
        <f t="shared" si="280"/>
        <v>226.53000000000003</v>
      </c>
      <c r="JL108" s="149"/>
      <c r="JM108" s="528"/>
      <c r="JN108" s="143" t="s">
        <v>118</v>
      </c>
      <c r="JO108" s="163">
        <v>5</v>
      </c>
      <c r="JP108" s="157" t="s">
        <v>36</v>
      </c>
      <c r="JQ108" s="138">
        <v>229</v>
      </c>
      <c r="JR108" s="172">
        <v>0.83900000000000008</v>
      </c>
      <c r="JS108" s="140">
        <f t="shared" si="281"/>
        <v>192.13100000000003</v>
      </c>
      <c r="JT108" s="149"/>
      <c r="JU108" s="528"/>
      <c r="JV108" s="143" t="s">
        <v>118</v>
      </c>
      <c r="JW108" s="163">
        <v>17</v>
      </c>
      <c r="JX108" s="157" t="s">
        <v>36</v>
      </c>
      <c r="JY108" s="138">
        <v>141</v>
      </c>
      <c r="JZ108" s="172">
        <v>0.83900000000000008</v>
      </c>
      <c r="KA108" s="140">
        <f t="shared" si="282"/>
        <v>118.29900000000001</v>
      </c>
      <c r="KB108" s="149"/>
      <c r="KC108" s="528"/>
      <c r="KD108" s="143" t="s">
        <v>118</v>
      </c>
      <c r="KE108" s="163">
        <v>1</v>
      </c>
      <c r="KF108" s="157" t="s">
        <v>36</v>
      </c>
      <c r="KG108" s="138">
        <v>23</v>
      </c>
      <c r="KH108" s="172">
        <v>0.83900000000000008</v>
      </c>
      <c r="KI108" s="140">
        <f t="shared" si="283"/>
        <v>19.297000000000001</v>
      </c>
      <c r="KJ108" s="149"/>
      <c r="KK108" s="528"/>
      <c r="KL108" s="143" t="s">
        <v>118</v>
      </c>
      <c r="KM108" s="163">
        <v>7</v>
      </c>
      <c r="KN108" s="157" t="s">
        <v>36</v>
      </c>
      <c r="KO108" s="138">
        <v>151</v>
      </c>
      <c r="KP108" s="172">
        <v>0.83900000000000008</v>
      </c>
      <c r="KQ108" s="140">
        <f t="shared" si="284"/>
        <v>126.68900000000001</v>
      </c>
      <c r="KR108" s="149"/>
      <c r="KS108" s="528"/>
      <c r="KT108" s="143" t="s">
        <v>118</v>
      </c>
      <c r="KU108" s="163">
        <v>26</v>
      </c>
      <c r="KV108" s="157" t="s">
        <v>36</v>
      </c>
      <c r="KW108" s="138">
        <v>214</v>
      </c>
      <c r="KX108" s="172">
        <v>0.83900000000000008</v>
      </c>
      <c r="KY108" s="140">
        <f t="shared" si="285"/>
        <v>179.54600000000002</v>
      </c>
      <c r="KZ108" s="149"/>
      <c r="LA108" s="528"/>
      <c r="LB108" s="143" t="s">
        <v>118</v>
      </c>
      <c r="LC108" s="163">
        <v>43</v>
      </c>
      <c r="LD108" s="157" t="s">
        <v>36</v>
      </c>
      <c r="LE108" s="138">
        <v>549</v>
      </c>
      <c r="LF108" s="172">
        <v>0.83900000000000008</v>
      </c>
      <c r="LG108" s="140">
        <f t="shared" si="286"/>
        <v>460.61100000000005</v>
      </c>
      <c r="LH108" s="149"/>
      <c r="LI108" s="528"/>
      <c r="LJ108" s="143" t="s">
        <v>118</v>
      </c>
      <c r="LK108" s="163">
        <v>21</v>
      </c>
      <c r="LL108" s="157" t="s">
        <v>36</v>
      </c>
      <c r="LM108" s="175">
        <v>287</v>
      </c>
      <c r="LN108" s="164">
        <v>0.83900000000000008</v>
      </c>
      <c r="LO108" s="140">
        <f t="shared" si="313"/>
        <v>240.79300000000003</v>
      </c>
      <c r="LP108" s="149"/>
      <c r="LQ108" s="528"/>
      <c r="LR108" s="143" t="s">
        <v>118</v>
      </c>
      <c r="LS108" s="163">
        <v>25</v>
      </c>
      <c r="LT108" s="157" t="s">
        <v>36</v>
      </c>
      <c r="LU108" s="175">
        <v>226</v>
      </c>
      <c r="LV108" s="164">
        <v>0.83900000000000008</v>
      </c>
      <c r="LW108" s="140">
        <f t="shared" si="314"/>
        <v>189.614</v>
      </c>
      <c r="LX108" s="149"/>
      <c r="LY108" s="528"/>
      <c r="LZ108" s="143" t="s">
        <v>118</v>
      </c>
      <c r="MA108" s="163">
        <v>12</v>
      </c>
      <c r="MB108" s="157" t="s">
        <v>36</v>
      </c>
      <c r="MC108" s="175">
        <v>131</v>
      </c>
      <c r="MD108" s="164">
        <v>0.83900000000000008</v>
      </c>
      <c r="ME108" s="140">
        <f t="shared" si="315"/>
        <v>109.90900000000001</v>
      </c>
      <c r="MF108" s="149"/>
      <c r="MG108" s="528"/>
      <c r="MH108" s="143" t="s">
        <v>118</v>
      </c>
      <c r="MI108" s="163">
        <v>15</v>
      </c>
      <c r="MJ108" s="157" t="s">
        <v>36</v>
      </c>
      <c r="MK108" s="175">
        <v>112</v>
      </c>
      <c r="ML108" s="164">
        <v>0.83900000000000008</v>
      </c>
      <c r="MM108" s="140">
        <f t="shared" si="316"/>
        <v>93.968000000000004</v>
      </c>
      <c r="MN108" s="149"/>
      <c r="MO108" s="528"/>
      <c r="MP108" s="143" t="s">
        <v>118</v>
      </c>
      <c r="MQ108" s="163">
        <v>29</v>
      </c>
      <c r="MR108" s="157" t="s">
        <v>36</v>
      </c>
      <c r="MS108" s="175">
        <v>283</v>
      </c>
      <c r="MT108" s="164">
        <v>0.83900000000000008</v>
      </c>
      <c r="MU108" s="140">
        <f t="shared" si="317"/>
        <v>237.43700000000001</v>
      </c>
      <c r="MV108" s="149"/>
      <c r="MW108" s="528"/>
      <c r="MX108" s="143" t="s">
        <v>359</v>
      </c>
      <c r="MY108" s="144">
        <v>11</v>
      </c>
      <c r="MZ108" s="157" t="s">
        <v>14</v>
      </c>
      <c r="NA108" s="175">
        <v>324</v>
      </c>
      <c r="NB108" s="164">
        <v>0.84733333333333338</v>
      </c>
      <c r="NC108" s="674">
        <f t="shared" si="292"/>
        <v>274.536</v>
      </c>
      <c r="ND108" s="150"/>
      <c r="NE108" s="528"/>
      <c r="NF108" s="143" t="s">
        <v>359</v>
      </c>
      <c r="NG108" s="144">
        <v>7</v>
      </c>
      <c r="NH108" s="157" t="s">
        <v>14</v>
      </c>
      <c r="NI108" s="175">
        <v>108</v>
      </c>
      <c r="NJ108" s="164">
        <v>0.84733333333333338</v>
      </c>
      <c r="NK108" s="674">
        <f t="shared" si="293"/>
        <v>91.512</v>
      </c>
      <c r="NL108" s="150"/>
      <c r="NM108" s="528"/>
      <c r="NN108" s="143" t="s">
        <v>359</v>
      </c>
      <c r="NO108" s="144">
        <v>3</v>
      </c>
      <c r="NP108" s="157" t="s">
        <v>14</v>
      </c>
      <c r="NQ108" s="175">
        <v>19</v>
      </c>
      <c r="NR108" s="164">
        <v>0.84733333333333338</v>
      </c>
      <c r="NS108" s="674">
        <f t="shared" si="294"/>
        <v>16.099333333333334</v>
      </c>
      <c r="NT108" s="150"/>
      <c r="NU108" s="528"/>
      <c r="NV108" s="143" t="s">
        <v>359</v>
      </c>
      <c r="NW108" s="144"/>
      <c r="NX108" s="157" t="s">
        <v>14</v>
      </c>
      <c r="NY108" s="175"/>
      <c r="NZ108" s="164">
        <v>0.84733333333333338</v>
      </c>
      <c r="OA108" s="674">
        <f t="shared" si="295"/>
        <v>0</v>
      </c>
      <c r="OB108" s="150"/>
      <c r="OC108" s="528"/>
      <c r="OD108" s="143" t="s">
        <v>359</v>
      </c>
      <c r="OE108" s="144"/>
      <c r="OF108" s="157" t="s">
        <v>14</v>
      </c>
      <c r="OG108" s="175"/>
      <c r="OH108" s="164">
        <v>0.84733333333333338</v>
      </c>
      <c r="OI108" s="674">
        <f t="shared" si="296"/>
        <v>0</v>
      </c>
      <c r="OJ108" s="150"/>
      <c r="OK108" s="528"/>
      <c r="OL108" s="143" t="s">
        <v>359</v>
      </c>
      <c r="OM108" s="144"/>
      <c r="ON108" s="157" t="s">
        <v>14</v>
      </c>
      <c r="OO108" s="175"/>
      <c r="OP108" s="164">
        <v>0.84733333333333338</v>
      </c>
      <c r="OQ108" s="674">
        <f t="shared" si="297"/>
        <v>0</v>
      </c>
      <c r="OR108" s="150"/>
      <c r="OS108" s="528"/>
      <c r="OT108" s="143" t="s">
        <v>359</v>
      </c>
      <c r="OU108" s="144"/>
      <c r="OV108" s="157" t="s">
        <v>14</v>
      </c>
      <c r="OW108" s="175"/>
      <c r="OX108" s="164">
        <v>0.84733333333333338</v>
      </c>
      <c r="OY108" s="674">
        <f t="shared" si="298"/>
        <v>0</v>
      </c>
      <c r="OZ108" s="150"/>
      <c r="PA108" s="528"/>
      <c r="PB108" s="143" t="s">
        <v>359</v>
      </c>
      <c r="PC108" s="144"/>
      <c r="PD108" s="157" t="s">
        <v>14</v>
      </c>
      <c r="PE108" s="175"/>
      <c r="PF108" s="164">
        <v>0.84733333333333338</v>
      </c>
      <c r="PG108" s="674">
        <f t="shared" si="299"/>
        <v>0</v>
      </c>
      <c r="PH108" s="150"/>
      <c r="PI108" s="528"/>
      <c r="PJ108" s="143" t="s">
        <v>359</v>
      </c>
      <c r="PK108" s="144"/>
      <c r="PL108" s="157" t="s">
        <v>14</v>
      </c>
      <c r="PM108" s="175"/>
      <c r="PN108" s="164">
        <v>0.84733333333333338</v>
      </c>
      <c r="PO108" s="674">
        <f t="shared" si="300"/>
        <v>0</v>
      </c>
      <c r="PP108" s="150"/>
      <c r="PQ108" s="528"/>
      <c r="PR108" s="143" t="s">
        <v>359</v>
      </c>
      <c r="PS108" s="144">
        <v>4</v>
      </c>
      <c r="PT108" s="157" t="s">
        <v>14</v>
      </c>
      <c r="PU108" s="175">
        <v>109</v>
      </c>
      <c r="PV108" s="164">
        <v>0.84733333333333338</v>
      </c>
      <c r="PW108" s="674">
        <f t="shared" si="301"/>
        <v>92.359333333333339</v>
      </c>
      <c r="PX108" s="150"/>
      <c r="PY108" s="528"/>
      <c r="PZ108" s="143" t="s">
        <v>359</v>
      </c>
      <c r="QA108" s="144">
        <v>3</v>
      </c>
      <c r="QB108" s="157" t="s">
        <v>14</v>
      </c>
      <c r="QC108" s="175">
        <v>29</v>
      </c>
      <c r="QD108" s="164">
        <v>0.84733333333333338</v>
      </c>
      <c r="QE108" s="674">
        <f t="shared" si="302"/>
        <v>24.572666666666667</v>
      </c>
      <c r="QF108" s="150"/>
      <c r="QG108" s="528"/>
      <c r="QH108" s="143" t="s">
        <v>359</v>
      </c>
      <c r="QI108" s="144">
        <v>7</v>
      </c>
      <c r="QJ108" s="157" t="s">
        <v>14</v>
      </c>
      <c r="QK108" s="175">
        <v>111</v>
      </c>
      <c r="QL108" s="164">
        <v>0.84733333333333338</v>
      </c>
      <c r="QM108" s="674">
        <f t="shared" si="303"/>
        <v>94.054000000000002</v>
      </c>
      <c r="QN108" s="150"/>
      <c r="QO108" s="528"/>
      <c r="QP108" s="143" t="s">
        <v>359</v>
      </c>
      <c r="QQ108" s="144">
        <v>5</v>
      </c>
      <c r="QR108" s="157" t="s">
        <v>14</v>
      </c>
      <c r="QS108" s="175">
        <v>84</v>
      </c>
      <c r="QT108" s="164">
        <v>0.84733333333333338</v>
      </c>
      <c r="QU108" s="674">
        <f t="shared" si="304"/>
        <v>71.176000000000002</v>
      </c>
      <c r="QV108" s="150"/>
      <c r="QW108" s="528"/>
      <c r="QX108" s="143" t="s">
        <v>359</v>
      </c>
      <c r="QY108" s="144"/>
      <c r="QZ108" s="157" t="s">
        <v>14</v>
      </c>
      <c r="RA108" s="175"/>
      <c r="RB108" s="164">
        <v>0.84733333333333338</v>
      </c>
      <c r="RC108" s="674">
        <f t="shared" si="305"/>
        <v>0</v>
      </c>
      <c r="RD108" s="150"/>
      <c r="RE108" s="528"/>
      <c r="RF108" s="143" t="s">
        <v>359</v>
      </c>
      <c r="RG108" s="144"/>
      <c r="RH108" s="157" t="s">
        <v>14</v>
      </c>
      <c r="RI108" s="175"/>
      <c r="RJ108" s="164">
        <v>0.84733333333333338</v>
      </c>
      <c r="RK108" s="674">
        <f t="shared" si="306"/>
        <v>0</v>
      </c>
      <c r="RL108" s="150"/>
      <c r="RM108" s="528"/>
      <c r="RN108" s="143" t="s">
        <v>359</v>
      </c>
      <c r="RO108" s="144"/>
      <c r="RP108" s="157" t="s">
        <v>14</v>
      </c>
      <c r="RQ108" s="175"/>
      <c r="RR108" s="164">
        <v>0.84733333333333338</v>
      </c>
      <c r="RS108" s="674">
        <f t="shared" si="307"/>
        <v>0</v>
      </c>
      <c r="RT108" s="150"/>
      <c r="RU108" s="528"/>
      <c r="RV108" s="143" t="s">
        <v>359</v>
      </c>
      <c r="RW108" s="144"/>
      <c r="RX108" s="157" t="s">
        <v>14</v>
      </c>
      <c r="RY108" s="175"/>
      <c r="RZ108" s="164">
        <v>0.84733333333333338</v>
      </c>
      <c r="SA108" s="674">
        <f t="shared" si="308"/>
        <v>0</v>
      </c>
      <c r="SB108" s="150"/>
      <c r="SC108" s="528"/>
      <c r="SD108" s="143" t="s">
        <v>359</v>
      </c>
      <c r="SE108" s="144"/>
      <c r="SF108" s="157" t="s">
        <v>14</v>
      </c>
      <c r="SG108" s="175"/>
      <c r="SH108" s="164">
        <v>0.84733333333333338</v>
      </c>
      <c r="SI108" s="674">
        <f t="shared" si="309"/>
        <v>0</v>
      </c>
      <c r="SJ108" s="150"/>
      <c r="SK108" s="528"/>
      <c r="SL108" s="143" t="s">
        <v>359</v>
      </c>
      <c r="SM108" s="144"/>
      <c r="SN108" s="157" t="s">
        <v>14</v>
      </c>
      <c r="SO108" s="175"/>
      <c r="SP108" s="164">
        <v>0.84733333333333338</v>
      </c>
      <c r="SQ108" s="674">
        <f t="shared" si="310"/>
        <v>0</v>
      </c>
      <c r="SR108" s="150"/>
      <c r="SS108" s="528"/>
      <c r="ST108" s="143" t="s">
        <v>359</v>
      </c>
      <c r="SU108" s="144"/>
      <c r="SV108" s="157" t="s">
        <v>14</v>
      </c>
      <c r="SW108" s="175"/>
      <c r="SX108" s="164">
        <v>0.84733333333333338</v>
      </c>
      <c r="SY108" s="674">
        <f t="shared" si="311"/>
        <v>0</v>
      </c>
      <c r="SZ108" s="150"/>
      <c r="TA108" s="528"/>
      <c r="TB108" s="143" t="s">
        <v>359</v>
      </c>
      <c r="TC108" s="144"/>
      <c r="TD108" s="157" t="s">
        <v>14</v>
      </c>
      <c r="TE108" s="175"/>
      <c r="TF108" s="164">
        <v>0.84733333333333338</v>
      </c>
      <c r="TG108" s="674">
        <f t="shared" si="312"/>
        <v>0</v>
      </c>
      <c r="TH108" s="150"/>
      <c r="TI108" s="528"/>
    </row>
    <row r="109" spans="2:529">
      <c r="B109" s="145"/>
      <c r="C109" s="146"/>
      <c r="D109" s="151" t="s">
        <v>20</v>
      </c>
      <c r="E109" s="138">
        <v>0</v>
      </c>
      <c r="F109" s="170"/>
      <c r="G109" s="140">
        <f t="shared" si="247"/>
        <v>0</v>
      </c>
      <c r="H109" s="150"/>
      <c r="I109" s="528"/>
      <c r="J109" s="145"/>
      <c r="K109" s="146">
        <v>10</v>
      </c>
      <c r="L109" s="151" t="s">
        <v>20</v>
      </c>
      <c r="M109" s="138"/>
      <c r="N109" s="170"/>
      <c r="O109" s="140">
        <f t="shared" si="248"/>
        <v>0</v>
      </c>
      <c r="P109" s="150"/>
      <c r="Q109" s="528"/>
      <c r="R109" s="145"/>
      <c r="S109" s="146">
        <v>10</v>
      </c>
      <c r="T109" s="151" t="s">
        <v>20</v>
      </c>
      <c r="U109" s="138">
        <v>0</v>
      </c>
      <c r="V109" s="170"/>
      <c r="W109" s="140">
        <f t="shared" si="249"/>
        <v>0</v>
      </c>
      <c r="X109" s="150"/>
      <c r="Y109" s="528"/>
      <c r="Z109" s="145"/>
      <c r="AA109" s="146">
        <v>10</v>
      </c>
      <c r="AB109" s="151" t="s">
        <v>20</v>
      </c>
      <c r="AC109" s="138"/>
      <c r="AD109" s="170"/>
      <c r="AE109" s="140">
        <f t="shared" si="250"/>
        <v>0</v>
      </c>
      <c r="AF109" s="150"/>
      <c r="AG109" s="528"/>
      <c r="AH109" s="145"/>
      <c r="AI109" s="146">
        <v>10</v>
      </c>
      <c r="AJ109" s="151" t="s">
        <v>20</v>
      </c>
      <c r="AK109" s="138"/>
      <c r="AL109" s="170"/>
      <c r="AM109" s="140">
        <f t="shared" si="251"/>
        <v>0</v>
      </c>
      <c r="AN109" s="150"/>
      <c r="AO109" s="528"/>
      <c r="AP109" s="145"/>
      <c r="AQ109" s="146">
        <v>10</v>
      </c>
      <c r="AR109" s="151" t="s">
        <v>20</v>
      </c>
      <c r="AS109" s="138"/>
      <c r="AT109" s="170"/>
      <c r="AU109" s="140">
        <f t="shared" si="252"/>
        <v>0</v>
      </c>
      <c r="AV109" s="150"/>
      <c r="AW109" s="528"/>
      <c r="AX109" s="145"/>
      <c r="AY109" s="146">
        <v>10</v>
      </c>
      <c r="AZ109" s="151" t="s">
        <v>20</v>
      </c>
      <c r="BA109" s="138"/>
      <c r="BB109" s="170"/>
      <c r="BC109" s="140">
        <f t="shared" si="253"/>
        <v>0</v>
      </c>
      <c r="BD109" s="150"/>
      <c r="BE109" s="528"/>
      <c r="BF109" s="145"/>
      <c r="BG109" s="146">
        <v>10</v>
      </c>
      <c r="BH109" s="151" t="s">
        <v>20</v>
      </c>
      <c r="BI109" s="138"/>
      <c r="BJ109" s="170"/>
      <c r="BK109" s="140">
        <f t="shared" si="254"/>
        <v>0</v>
      </c>
      <c r="BL109" s="150"/>
      <c r="BM109" s="528"/>
      <c r="BN109" s="145"/>
      <c r="BO109" s="146">
        <v>10</v>
      </c>
      <c r="BP109" s="151" t="s">
        <v>20</v>
      </c>
      <c r="BQ109" s="138"/>
      <c r="BR109" s="170"/>
      <c r="BS109" s="140">
        <f t="shared" si="255"/>
        <v>0</v>
      </c>
      <c r="BT109" s="150"/>
      <c r="BU109" s="528"/>
      <c r="BV109" s="536"/>
      <c r="BW109" s="537"/>
      <c r="BX109" s="543" t="s">
        <v>20</v>
      </c>
      <c r="BY109" s="560"/>
      <c r="BZ109" s="585"/>
      <c r="CA109" s="562">
        <f t="shared" si="256"/>
        <v>0</v>
      </c>
      <c r="CB109" s="569"/>
      <c r="CC109" s="528"/>
      <c r="CD109" s="536"/>
      <c r="CE109" s="537"/>
      <c r="CF109" s="543" t="s">
        <v>20</v>
      </c>
      <c r="CG109" s="560"/>
      <c r="CH109" s="585"/>
      <c r="CI109" s="562">
        <f t="shared" si="257"/>
        <v>0</v>
      </c>
      <c r="CJ109" s="569"/>
      <c r="CK109" s="528"/>
      <c r="CL109" s="145"/>
      <c r="CM109" s="146">
        <v>10</v>
      </c>
      <c r="CN109" s="151" t="s">
        <v>20</v>
      </c>
      <c r="CO109" s="138"/>
      <c r="CP109" s="170"/>
      <c r="CQ109" s="140">
        <f t="shared" si="258"/>
        <v>0</v>
      </c>
      <c r="CR109" s="150"/>
      <c r="CS109" s="528"/>
      <c r="CT109" s="145"/>
      <c r="CU109" s="146">
        <v>10</v>
      </c>
      <c r="CV109" s="151" t="s">
        <v>20</v>
      </c>
      <c r="CW109" s="138"/>
      <c r="CX109" s="170"/>
      <c r="CY109" s="140">
        <f t="shared" si="259"/>
        <v>0</v>
      </c>
      <c r="CZ109" s="150"/>
      <c r="DA109" s="528"/>
      <c r="DB109" s="145"/>
      <c r="DC109" s="146"/>
      <c r="DD109" s="151" t="s">
        <v>20</v>
      </c>
      <c r="DE109" s="138"/>
      <c r="DF109" s="170"/>
      <c r="DG109" s="140">
        <f t="shared" si="260"/>
        <v>0</v>
      </c>
      <c r="DH109" s="150"/>
      <c r="DI109" s="528"/>
      <c r="DJ109" s="145"/>
      <c r="DK109" s="146"/>
      <c r="DL109" s="151" t="s">
        <v>20</v>
      </c>
      <c r="DM109" s="138"/>
      <c r="DN109" s="170"/>
      <c r="DO109" s="140">
        <f t="shared" si="261"/>
        <v>0</v>
      </c>
      <c r="DP109" s="150"/>
      <c r="DQ109" s="528"/>
      <c r="DR109" s="145"/>
      <c r="DS109" s="146"/>
      <c r="DT109" s="151" t="s">
        <v>20</v>
      </c>
      <c r="DU109" s="138"/>
      <c r="DV109" s="170"/>
      <c r="DW109" s="140">
        <f t="shared" si="262"/>
        <v>0</v>
      </c>
      <c r="DX109" s="150"/>
      <c r="DY109" s="528"/>
      <c r="DZ109" s="145"/>
      <c r="EA109" s="146"/>
      <c r="EB109" s="151" t="s">
        <v>20</v>
      </c>
      <c r="EC109" s="138"/>
      <c r="ED109" s="170"/>
      <c r="EE109" s="140">
        <f t="shared" si="263"/>
        <v>0</v>
      </c>
      <c r="EF109" s="150"/>
      <c r="EG109" s="528"/>
      <c r="EH109" s="145"/>
      <c r="EI109" s="146"/>
      <c r="EJ109" s="151" t="s">
        <v>20</v>
      </c>
      <c r="EK109" s="138"/>
      <c r="EL109" s="170"/>
      <c r="EM109" s="140">
        <f t="shared" si="264"/>
        <v>0</v>
      </c>
      <c r="EN109" s="150"/>
      <c r="EO109" s="528"/>
      <c r="EP109" s="145"/>
      <c r="EQ109" s="146"/>
      <c r="ER109" s="151" t="s">
        <v>20</v>
      </c>
      <c r="ES109" s="138"/>
      <c r="ET109" s="170"/>
      <c r="EU109" s="140">
        <f t="shared" si="265"/>
        <v>0</v>
      </c>
      <c r="EV109" s="150"/>
      <c r="EW109" s="528"/>
      <c r="EX109" s="145"/>
      <c r="EY109" s="146"/>
      <c r="EZ109" s="151" t="s">
        <v>20</v>
      </c>
      <c r="FA109" s="138"/>
      <c r="FB109" s="170"/>
      <c r="FC109" s="140">
        <f t="shared" si="266"/>
        <v>0</v>
      </c>
      <c r="FD109" s="150"/>
      <c r="FE109" s="528"/>
      <c r="FF109" s="145"/>
      <c r="FG109" s="146"/>
      <c r="FH109" s="151" t="s">
        <v>20</v>
      </c>
      <c r="FI109" s="138"/>
      <c r="FJ109" s="170"/>
      <c r="FK109" s="140">
        <f t="shared" si="267"/>
        <v>0</v>
      </c>
      <c r="FL109" s="150"/>
      <c r="FM109" s="528"/>
      <c r="FN109" s="145"/>
      <c r="FO109" s="146"/>
      <c r="FP109" s="151" t="s">
        <v>20</v>
      </c>
      <c r="FQ109" s="138"/>
      <c r="FR109" s="170"/>
      <c r="FS109" s="140">
        <f t="shared" si="268"/>
        <v>0</v>
      </c>
      <c r="FT109" s="150"/>
      <c r="FU109" s="528"/>
      <c r="FV109" s="145"/>
      <c r="FW109" s="146"/>
      <c r="FX109" s="151" t="s">
        <v>20</v>
      </c>
      <c r="FY109" s="138"/>
      <c r="FZ109" s="170"/>
      <c r="GA109" s="140">
        <f t="shared" si="269"/>
        <v>0</v>
      </c>
      <c r="GB109" s="150"/>
      <c r="GC109" s="528"/>
      <c r="GD109" s="145"/>
      <c r="GE109" s="146"/>
      <c r="GF109" s="151" t="s">
        <v>20</v>
      </c>
      <c r="GG109" s="138"/>
      <c r="GH109" s="170"/>
      <c r="GI109" s="140">
        <f t="shared" si="270"/>
        <v>0</v>
      </c>
      <c r="GJ109" s="150"/>
      <c r="GK109" s="528"/>
      <c r="GL109" s="145"/>
      <c r="GM109" s="146"/>
      <c r="GN109" s="151" t="s">
        <v>20</v>
      </c>
      <c r="GO109" s="138">
        <f>'[1]Jan_18_Vol weekly-Data-Entry'!$AY$226</f>
        <v>0</v>
      </c>
      <c r="GP109" s="170"/>
      <c r="GQ109" s="140">
        <f t="shared" si="271"/>
        <v>0</v>
      </c>
      <c r="GR109" s="150"/>
      <c r="GS109" s="528"/>
      <c r="GT109" s="145"/>
      <c r="GU109" s="146"/>
      <c r="GV109" s="151" t="s">
        <v>20</v>
      </c>
      <c r="GW109" s="138">
        <v>0</v>
      </c>
      <c r="GX109" s="170"/>
      <c r="GY109" s="140">
        <f t="shared" si="272"/>
        <v>0</v>
      </c>
      <c r="GZ109" s="150"/>
      <c r="HA109" s="528"/>
      <c r="HB109" s="145"/>
      <c r="HC109" s="146"/>
      <c r="HD109" s="151" t="s">
        <v>20</v>
      </c>
      <c r="HE109" s="138">
        <v>0</v>
      </c>
      <c r="HF109" s="170"/>
      <c r="HG109" s="140">
        <f t="shared" si="273"/>
        <v>0</v>
      </c>
      <c r="HH109" s="150"/>
      <c r="HI109" s="528"/>
      <c r="HJ109" s="145"/>
      <c r="HK109" s="146"/>
      <c r="HL109" s="151" t="s">
        <v>20</v>
      </c>
      <c r="HM109" s="138">
        <v>0</v>
      </c>
      <c r="HN109" s="170"/>
      <c r="HO109" s="140">
        <f t="shared" si="274"/>
        <v>0</v>
      </c>
      <c r="HP109" s="150"/>
      <c r="HQ109" s="528"/>
      <c r="HR109" s="145"/>
      <c r="HS109" s="146"/>
      <c r="HT109" s="151" t="s">
        <v>20</v>
      </c>
      <c r="HU109" s="138">
        <v>0</v>
      </c>
      <c r="HV109" s="170"/>
      <c r="HW109" s="140">
        <f t="shared" si="275"/>
        <v>0</v>
      </c>
      <c r="HX109" s="150"/>
      <c r="HY109" s="528"/>
      <c r="HZ109" s="145"/>
      <c r="IA109" s="146"/>
      <c r="IB109" s="151" t="s">
        <v>20</v>
      </c>
      <c r="IC109" s="138">
        <v>0</v>
      </c>
      <c r="ID109" s="170"/>
      <c r="IE109" s="140">
        <f t="shared" si="276"/>
        <v>0</v>
      </c>
      <c r="IF109" s="150"/>
      <c r="IG109" s="528"/>
      <c r="IH109" s="145"/>
      <c r="II109" s="146"/>
      <c r="IJ109" s="151" t="s">
        <v>20</v>
      </c>
      <c r="IK109" s="138">
        <v>0</v>
      </c>
      <c r="IL109" s="170"/>
      <c r="IM109" s="140">
        <f t="shared" si="277"/>
        <v>0</v>
      </c>
      <c r="IN109" s="150"/>
      <c r="IO109" s="528"/>
      <c r="IP109" s="145"/>
      <c r="IQ109" s="146"/>
      <c r="IR109" s="151" t="s">
        <v>20</v>
      </c>
      <c r="IS109" s="138">
        <v>0</v>
      </c>
      <c r="IT109" s="170"/>
      <c r="IU109" s="140">
        <f t="shared" si="278"/>
        <v>0</v>
      </c>
      <c r="IV109" s="150"/>
      <c r="IW109" s="528"/>
      <c r="IX109" s="145"/>
      <c r="IY109" s="146"/>
      <c r="IZ109" s="151" t="s">
        <v>20</v>
      </c>
      <c r="JA109" s="138">
        <v>0</v>
      </c>
      <c r="JB109" s="170"/>
      <c r="JC109" s="140">
        <f t="shared" si="279"/>
        <v>0</v>
      </c>
      <c r="JD109" s="150"/>
      <c r="JE109" s="528"/>
      <c r="JF109" s="145"/>
      <c r="JG109" s="146"/>
      <c r="JH109" s="151" t="s">
        <v>20</v>
      </c>
      <c r="JI109" s="138">
        <v>0</v>
      </c>
      <c r="JJ109" s="170"/>
      <c r="JK109" s="140">
        <f t="shared" si="280"/>
        <v>0</v>
      </c>
      <c r="JL109" s="150"/>
      <c r="JM109" s="528"/>
      <c r="JN109" s="145"/>
      <c r="JO109" s="146"/>
      <c r="JP109" s="151" t="s">
        <v>20</v>
      </c>
      <c r="JQ109" s="138">
        <v>0</v>
      </c>
      <c r="JR109" s="170"/>
      <c r="JS109" s="140">
        <f t="shared" si="281"/>
        <v>0</v>
      </c>
      <c r="JT109" s="150"/>
      <c r="JU109" s="528"/>
      <c r="JV109" s="145"/>
      <c r="JW109" s="146"/>
      <c r="JX109" s="151" t="s">
        <v>20</v>
      </c>
      <c r="JY109" s="138">
        <v>0</v>
      </c>
      <c r="JZ109" s="170"/>
      <c r="KA109" s="140">
        <f t="shared" si="282"/>
        <v>0</v>
      </c>
      <c r="KB109" s="150"/>
      <c r="KC109" s="528"/>
      <c r="KD109" s="145"/>
      <c r="KE109" s="146"/>
      <c r="KF109" s="151" t="s">
        <v>20</v>
      </c>
      <c r="KG109" s="138">
        <v>0</v>
      </c>
      <c r="KH109" s="170"/>
      <c r="KI109" s="140">
        <f t="shared" si="283"/>
        <v>0</v>
      </c>
      <c r="KJ109" s="150"/>
      <c r="KK109" s="528"/>
      <c r="KL109" s="145"/>
      <c r="KM109" s="146"/>
      <c r="KN109" s="151" t="s">
        <v>20</v>
      </c>
      <c r="KO109" s="138">
        <v>0</v>
      </c>
      <c r="KP109" s="170"/>
      <c r="KQ109" s="140">
        <f t="shared" si="284"/>
        <v>0</v>
      </c>
      <c r="KR109" s="150"/>
      <c r="KS109" s="528"/>
      <c r="KT109" s="145"/>
      <c r="KU109" s="146"/>
      <c r="KV109" s="151" t="s">
        <v>20</v>
      </c>
      <c r="KW109" s="138">
        <v>0</v>
      </c>
      <c r="KX109" s="170"/>
      <c r="KY109" s="140">
        <f t="shared" si="285"/>
        <v>0</v>
      </c>
      <c r="KZ109" s="150"/>
      <c r="LA109" s="528"/>
      <c r="LB109" s="145"/>
      <c r="LC109" s="146"/>
      <c r="LD109" s="151" t="s">
        <v>20</v>
      </c>
      <c r="LE109" s="138">
        <v>0</v>
      </c>
      <c r="LF109" s="170"/>
      <c r="LG109" s="140">
        <f t="shared" si="286"/>
        <v>0</v>
      </c>
      <c r="LH109" s="150"/>
      <c r="LI109" s="528"/>
      <c r="LJ109" s="145"/>
      <c r="LK109" s="146"/>
      <c r="LL109" s="151" t="s">
        <v>20</v>
      </c>
      <c r="LM109" s="175">
        <v>0</v>
      </c>
      <c r="LN109" s="139"/>
      <c r="LO109" s="140">
        <f t="shared" si="313"/>
        <v>0</v>
      </c>
      <c r="LP109" s="150"/>
      <c r="LQ109" s="528"/>
      <c r="LR109" s="145"/>
      <c r="LS109" s="146"/>
      <c r="LT109" s="151" t="s">
        <v>20</v>
      </c>
      <c r="LU109" s="175"/>
      <c r="LV109" s="139"/>
      <c r="LW109" s="140">
        <f t="shared" si="314"/>
        <v>0</v>
      </c>
      <c r="LX109" s="150"/>
      <c r="LY109" s="528"/>
      <c r="LZ109" s="145"/>
      <c r="MA109" s="146"/>
      <c r="MB109" s="151" t="s">
        <v>20</v>
      </c>
      <c r="MC109" s="175"/>
      <c r="MD109" s="139"/>
      <c r="ME109" s="140">
        <f t="shared" si="315"/>
        <v>0</v>
      </c>
      <c r="MF109" s="150"/>
      <c r="MG109" s="528"/>
      <c r="MH109" s="145"/>
      <c r="MI109" s="146"/>
      <c r="MJ109" s="151" t="s">
        <v>20</v>
      </c>
      <c r="MK109" s="175"/>
      <c r="ML109" s="139"/>
      <c r="MM109" s="140">
        <f t="shared" si="316"/>
        <v>0</v>
      </c>
      <c r="MN109" s="150"/>
      <c r="MO109" s="528"/>
      <c r="MP109" s="145"/>
      <c r="MQ109" s="146"/>
      <c r="MR109" s="151" t="s">
        <v>20</v>
      </c>
      <c r="MS109" s="175"/>
      <c r="MT109" s="139"/>
      <c r="MU109" s="140">
        <f t="shared" si="317"/>
        <v>0</v>
      </c>
      <c r="MV109" s="150"/>
      <c r="MW109" s="528"/>
      <c r="MX109" s="143"/>
      <c r="MY109" s="146"/>
      <c r="MZ109" s="364" t="s">
        <v>20</v>
      </c>
      <c r="NA109" s="175"/>
      <c r="NB109" s="164"/>
      <c r="NC109" s="140">
        <f t="shared" si="292"/>
        <v>0</v>
      </c>
      <c r="ND109" s="150"/>
      <c r="NE109" s="528"/>
      <c r="NF109" s="143"/>
      <c r="NG109" s="146"/>
      <c r="NH109" s="364" t="s">
        <v>20</v>
      </c>
      <c r="NI109" s="175"/>
      <c r="NJ109" s="164"/>
      <c r="NK109" s="140">
        <f t="shared" si="293"/>
        <v>0</v>
      </c>
      <c r="NL109" s="150"/>
      <c r="NM109" s="528"/>
      <c r="NN109" s="143"/>
      <c r="NO109" s="146"/>
      <c r="NP109" s="364" t="s">
        <v>20</v>
      </c>
      <c r="NQ109" s="175"/>
      <c r="NR109" s="164"/>
      <c r="NS109" s="140">
        <f t="shared" si="294"/>
        <v>0</v>
      </c>
      <c r="NT109" s="150"/>
      <c r="NU109" s="528"/>
      <c r="NV109" s="143"/>
      <c r="NW109" s="146"/>
      <c r="NX109" s="364" t="s">
        <v>20</v>
      </c>
      <c r="NY109" s="175"/>
      <c r="NZ109" s="164"/>
      <c r="OA109" s="140">
        <f t="shared" si="295"/>
        <v>0</v>
      </c>
      <c r="OB109" s="150"/>
      <c r="OC109" s="528"/>
      <c r="OD109" s="143"/>
      <c r="OE109" s="146"/>
      <c r="OF109" s="364" t="s">
        <v>20</v>
      </c>
      <c r="OG109" s="175"/>
      <c r="OH109" s="164"/>
      <c r="OI109" s="140">
        <f t="shared" si="296"/>
        <v>0</v>
      </c>
      <c r="OJ109" s="150"/>
      <c r="OK109" s="528"/>
      <c r="OL109" s="143"/>
      <c r="OM109" s="146"/>
      <c r="ON109" s="364" t="s">
        <v>20</v>
      </c>
      <c r="OO109" s="175"/>
      <c r="OP109" s="164"/>
      <c r="OQ109" s="140">
        <f t="shared" si="297"/>
        <v>0</v>
      </c>
      <c r="OR109" s="150"/>
      <c r="OS109" s="528"/>
      <c r="OT109" s="143"/>
      <c r="OU109" s="146"/>
      <c r="OV109" s="364" t="s">
        <v>20</v>
      </c>
      <c r="OW109" s="175"/>
      <c r="OX109" s="164"/>
      <c r="OY109" s="140">
        <f t="shared" si="298"/>
        <v>0</v>
      </c>
      <c r="OZ109" s="150"/>
      <c r="PA109" s="528"/>
      <c r="PB109" s="143"/>
      <c r="PC109" s="146"/>
      <c r="PD109" s="364" t="s">
        <v>20</v>
      </c>
      <c r="PE109" s="175"/>
      <c r="PF109" s="164"/>
      <c r="PG109" s="140">
        <f t="shared" si="299"/>
        <v>0</v>
      </c>
      <c r="PH109" s="150"/>
      <c r="PI109" s="528"/>
      <c r="PJ109" s="143"/>
      <c r="PK109" s="146"/>
      <c r="PL109" s="364" t="s">
        <v>20</v>
      </c>
      <c r="PM109" s="175"/>
      <c r="PN109" s="164"/>
      <c r="PO109" s="140">
        <f t="shared" si="300"/>
        <v>0</v>
      </c>
      <c r="PP109" s="150"/>
      <c r="PQ109" s="528"/>
      <c r="PR109" s="143"/>
      <c r="PS109" s="146"/>
      <c r="PT109" s="364" t="s">
        <v>20</v>
      </c>
      <c r="PU109" s="175"/>
      <c r="PV109" s="164"/>
      <c r="PW109" s="140">
        <f t="shared" si="301"/>
        <v>0</v>
      </c>
      <c r="PX109" s="150"/>
      <c r="PY109" s="528"/>
      <c r="PZ109" s="143"/>
      <c r="QA109" s="146"/>
      <c r="QB109" s="364" t="s">
        <v>20</v>
      </c>
      <c r="QC109" s="175"/>
      <c r="QD109" s="164"/>
      <c r="QE109" s="140">
        <f t="shared" si="302"/>
        <v>0</v>
      </c>
      <c r="QF109" s="150"/>
      <c r="QG109" s="528"/>
      <c r="QH109" s="143"/>
      <c r="QI109" s="146"/>
      <c r="QJ109" s="364" t="s">
        <v>20</v>
      </c>
      <c r="QK109" s="175"/>
      <c r="QL109" s="164"/>
      <c r="QM109" s="140">
        <f t="shared" si="303"/>
        <v>0</v>
      </c>
      <c r="QN109" s="150"/>
      <c r="QO109" s="528"/>
      <c r="QP109" s="143"/>
      <c r="QQ109" s="146"/>
      <c r="QR109" s="364" t="s">
        <v>20</v>
      </c>
      <c r="QS109" s="175">
        <v>2</v>
      </c>
      <c r="QT109" s="164"/>
      <c r="QU109" s="140">
        <f t="shared" si="304"/>
        <v>0</v>
      </c>
      <c r="QV109" s="150"/>
      <c r="QW109" s="528"/>
      <c r="QX109" s="143"/>
      <c r="QY109" s="146"/>
      <c r="QZ109" s="364" t="s">
        <v>20</v>
      </c>
      <c r="RA109" s="175"/>
      <c r="RB109" s="164"/>
      <c r="RC109" s="140">
        <f t="shared" si="305"/>
        <v>0</v>
      </c>
      <c r="RD109" s="150"/>
      <c r="RE109" s="528"/>
      <c r="RF109" s="143"/>
      <c r="RG109" s="146"/>
      <c r="RH109" s="364" t="s">
        <v>20</v>
      </c>
      <c r="RI109" s="175"/>
      <c r="RJ109" s="164"/>
      <c r="RK109" s="140">
        <f t="shared" si="306"/>
        <v>0</v>
      </c>
      <c r="RL109" s="150"/>
      <c r="RM109" s="528"/>
      <c r="RN109" s="143"/>
      <c r="RO109" s="146"/>
      <c r="RP109" s="364" t="s">
        <v>20</v>
      </c>
      <c r="RQ109" s="175"/>
      <c r="RR109" s="164"/>
      <c r="RS109" s="140">
        <f t="shared" si="307"/>
        <v>0</v>
      </c>
      <c r="RT109" s="150"/>
      <c r="RU109" s="528"/>
      <c r="RV109" s="143"/>
      <c r="RW109" s="146"/>
      <c r="RX109" s="364" t="s">
        <v>20</v>
      </c>
      <c r="RY109" s="175"/>
      <c r="RZ109" s="164"/>
      <c r="SA109" s="140">
        <f t="shared" si="308"/>
        <v>0</v>
      </c>
      <c r="SB109" s="150"/>
      <c r="SC109" s="528"/>
      <c r="SD109" s="143"/>
      <c r="SE109" s="146"/>
      <c r="SF109" s="364" t="s">
        <v>20</v>
      </c>
      <c r="SG109" s="175"/>
      <c r="SH109" s="164"/>
      <c r="SI109" s="140">
        <f t="shared" si="309"/>
        <v>0</v>
      </c>
      <c r="SJ109" s="150"/>
      <c r="SK109" s="528"/>
      <c r="SL109" s="143"/>
      <c r="SM109" s="146"/>
      <c r="SN109" s="364" t="s">
        <v>20</v>
      </c>
      <c r="SO109" s="175"/>
      <c r="SP109" s="164"/>
      <c r="SQ109" s="140">
        <f t="shared" si="310"/>
        <v>0</v>
      </c>
      <c r="SR109" s="150"/>
      <c r="SS109" s="528"/>
      <c r="ST109" s="143"/>
      <c r="SU109" s="146"/>
      <c r="SV109" s="364" t="s">
        <v>20</v>
      </c>
      <c r="SW109" s="175"/>
      <c r="SX109" s="164"/>
      <c r="SY109" s="140">
        <f t="shared" si="311"/>
        <v>0</v>
      </c>
      <c r="SZ109" s="150"/>
      <c r="TA109" s="528"/>
      <c r="TB109" s="143"/>
      <c r="TC109" s="146"/>
      <c r="TD109" s="364" t="s">
        <v>20</v>
      </c>
      <c r="TE109" s="175"/>
      <c r="TF109" s="164"/>
      <c r="TG109" s="140">
        <f t="shared" si="312"/>
        <v>0</v>
      </c>
      <c r="TH109" s="150"/>
      <c r="TI109" s="528"/>
    </row>
    <row r="110" spans="2:529">
      <c r="B110" s="145"/>
      <c r="C110" s="146"/>
      <c r="D110" s="157" t="s">
        <v>84</v>
      </c>
      <c r="E110" s="138">
        <v>0</v>
      </c>
      <c r="F110" s="170"/>
      <c r="G110" s="140">
        <f t="shared" si="247"/>
        <v>0</v>
      </c>
      <c r="H110" s="150"/>
      <c r="I110" s="528"/>
      <c r="J110" s="145"/>
      <c r="K110" s="146">
        <v>8</v>
      </c>
      <c r="L110" s="157" t="s">
        <v>84</v>
      </c>
      <c r="M110" s="138"/>
      <c r="N110" s="170"/>
      <c r="O110" s="140">
        <f t="shared" si="248"/>
        <v>0</v>
      </c>
      <c r="P110" s="150"/>
      <c r="Q110" s="528"/>
      <c r="R110" s="145"/>
      <c r="S110" s="146">
        <v>8</v>
      </c>
      <c r="T110" s="157" t="s">
        <v>84</v>
      </c>
      <c r="U110" s="138">
        <v>0</v>
      </c>
      <c r="V110" s="170"/>
      <c r="W110" s="140">
        <f t="shared" si="249"/>
        <v>0</v>
      </c>
      <c r="X110" s="150"/>
      <c r="Y110" s="528"/>
      <c r="Z110" s="145"/>
      <c r="AA110" s="146">
        <v>8</v>
      </c>
      <c r="AB110" s="157" t="s">
        <v>84</v>
      </c>
      <c r="AC110" s="138"/>
      <c r="AD110" s="170"/>
      <c r="AE110" s="140">
        <f t="shared" si="250"/>
        <v>0</v>
      </c>
      <c r="AF110" s="150"/>
      <c r="AG110" s="528"/>
      <c r="AH110" s="145"/>
      <c r="AI110" s="146">
        <v>8</v>
      </c>
      <c r="AJ110" s="157" t="s">
        <v>84</v>
      </c>
      <c r="AK110" s="138">
        <v>0</v>
      </c>
      <c r="AL110" s="170"/>
      <c r="AM110" s="140">
        <f t="shared" si="251"/>
        <v>0</v>
      </c>
      <c r="AN110" s="150"/>
      <c r="AO110" s="528"/>
      <c r="AP110" s="145"/>
      <c r="AQ110" s="146">
        <v>8</v>
      </c>
      <c r="AR110" s="157" t="s">
        <v>84</v>
      </c>
      <c r="AS110" s="138"/>
      <c r="AT110" s="170"/>
      <c r="AU110" s="140">
        <f t="shared" si="252"/>
        <v>0</v>
      </c>
      <c r="AV110" s="150"/>
      <c r="AW110" s="528"/>
      <c r="AX110" s="145"/>
      <c r="AY110" s="146">
        <v>8</v>
      </c>
      <c r="AZ110" s="157" t="s">
        <v>84</v>
      </c>
      <c r="BA110" s="138"/>
      <c r="BB110" s="170"/>
      <c r="BC110" s="140">
        <f t="shared" si="253"/>
        <v>0</v>
      </c>
      <c r="BD110" s="150"/>
      <c r="BE110" s="528"/>
      <c r="BF110" s="145"/>
      <c r="BG110" s="146">
        <v>8</v>
      </c>
      <c r="BH110" s="157" t="s">
        <v>84</v>
      </c>
      <c r="BI110" s="138">
        <v>0</v>
      </c>
      <c r="BJ110" s="170"/>
      <c r="BK110" s="140">
        <f t="shared" si="254"/>
        <v>0</v>
      </c>
      <c r="BL110" s="150"/>
      <c r="BM110" s="528"/>
      <c r="BN110" s="145"/>
      <c r="BO110" s="146">
        <v>8</v>
      </c>
      <c r="BP110" s="157" t="s">
        <v>84</v>
      </c>
      <c r="BQ110" s="138">
        <v>0</v>
      </c>
      <c r="BR110" s="170"/>
      <c r="BS110" s="140">
        <f t="shared" si="255"/>
        <v>0</v>
      </c>
      <c r="BT110" s="150"/>
      <c r="BU110" s="528"/>
      <c r="BV110" s="536"/>
      <c r="BW110" s="537"/>
      <c r="BX110" s="574" t="s">
        <v>84</v>
      </c>
      <c r="BY110" s="560"/>
      <c r="BZ110" s="585"/>
      <c r="CA110" s="562">
        <f t="shared" si="256"/>
        <v>0</v>
      </c>
      <c r="CB110" s="569"/>
      <c r="CC110" s="528"/>
      <c r="CD110" s="536"/>
      <c r="CE110" s="537"/>
      <c r="CF110" s="574" t="s">
        <v>84</v>
      </c>
      <c r="CG110" s="560"/>
      <c r="CH110" s="585"/>
      <c r="CI110" s="562">
        <f t="shared" si="257"/>
        <v>0</v>
      </c>
      <c r="CJ110" s="569"/>
      <c r="CK110" s="528"/>
      <c r="CL110" s="145"/>
      <c r="CM110" s="146">
        <v>8</v>
      </c>
      <c r="CN110" s="157" t="s">
        <v>84</v>
      </c>
      <c r="CO110" s="138"/>
      <c r="CP110" s="170"/>
      <c r="CQ110" s="140">
        <f t="shared" si="258"/>
        <v>0</v>
      </c>
      <c r="CR110" s="150"/>
      <c r="CS110" s="528"/>
      <c r="CT110" s="145"/>
      <c r="CU110" s="146">
        <v>8</v>
      </c>
      <c r="CV110" s="157" t="s">
        <v>84</v>
      </c>
      <c r="CW110" s="138">
        <v>0</v>
      </c>
      <c r="CX110" s="170"/>
      <c r="CY110" s="140">
        <f t="shared" si="259"/>
        <v>0</v>
      </c>
      <c r="CZ110" s="150"/>
      <c r="DA110" s="528"/>
      <c r="DB110" s="145"/>
      <c r="DC110" s="146"/>
      <c r="DD110" s="157" t="s">
        <v>84</v>
      </c>
      <c r="DE110" s="138"/>
      <c r="DF110" s="170"/>
      <c r="DG110" s="140">
        <f t="shared" si="260"/>
        <v>0</v>
      </c>
      <c r="DH110" s="150"/>
      <c r="DI110" s="528"/>
      <c r="DJ110" s="145"/>
      <c r="DK110" s="146"/>
      <c r="DL110" s="157" t="s">
        <v>84</v>
      </c>
      <c r="DM110" s="138">
        <v>0</v>
      </c>
      <c r="DN110" s="170"/>
      <c r="DO110" s="140">
        <f t="shared" si="261"/>
        <v>0</v>
      </c>
      <c r="DP110" s="150"/>
      <c r="DQ110" s="528"/>
      <c r="DR110" s="145"/>
      <c r="DS110" s="146"/>
      <c r="DT110" s="157" t="s">
        <v>84</v>
      </c>
      <c r="DU110" s="138"/>
      <c r="DV110" s="170"/>
      <c r="DW110" s="140">
        <f t="shared" si="262"/>
        <v>0</v>
      </c>
      <c r="DX110" s="150"/>
      <c r="DY110" s="528"/>
      <c r="DZ110" s="145"/>
      <c r="EA110" s="146"/>
      <c r="EB110" s="157" t="s">
        <v>84</v>
      </c>
      <c r="EC110" s="138"/>
      <c r="ED110" s="170"/>
      <c r="EE110" s="140">
        <f t="shared" si="263"/>
        <v>0</v>
      </c>
      <c r="EF110" s="150"/>
      <c r="EG110" s="528"/>
      <c r="EH110" s="145"/>
      <c r="EI110" s="146"/>
      <c r="EJ110" s="157" t="s">
        <v>84</v>
      </c>
      <c r="EK110" s="138"/>
      <c r="EL110" s="170"/>
      <c r="EM110" s="140">
        <f t="shared" si="264"/>
        <v>0</v>
      </c>
      <c r="EN110" s="150"/>
      <c r="EO110" s="528"/>
      <c r="EP110" s="145"/>
      <c r="EQ110" s="146"/>
      <c r="ER110" s="157" t="s">
        <v>84</v>
      </c>
      <c r="ES110" s="138"/>
      <c r="ET110" s="170"/>
      <c r="EU110" s="140">
        <f t="shared" si="265"/>
        <v>0</v>
      </c>
      <c r="EV110" s="150"/>
      <c r="EW110" s="528"/>
      <c r="EX110" s="145"/>
      <c r="EY110" s="146"/>
      <c r="EZ110" s="157" t="s">
        <v>84</v>
      </c>
      <c r="FA110" s="138"/>
      <c r="FB110" s="170"/>
      <c r="FC110" s="140">
        <f t="shared" si="266"/>
        <v>0</v>
      </c>
      <c r="FD110" s="150"/>
      <c r="FE110" s="528"/>
      <c r="FF110" s="145"/>
      <c r="FG110" s="146"/>
      <c r="FH110" s="157" t="s">
        <v>84</v>
      </c>
      <c r="FI110" s="138"/>
      <c r="FJ110" s="170"/>
      <c r="FK110" s="140">
        <f t="shared" si="267"/>
        <v>0</v>
      </c>
      <c r="FL110" s="150"/>
      <c r="FM110" s="528"/>
      <c r="FN110" s="145"/>
      <c r="FO110" s="146"/>
      <c r="FP110" s="157" t="s">
        <v>84</v>
      </c>
      <c r="FQ110" s="138"/>
      <c r="FR110" s="170"/>
      <c r="FS110" s="140">
        <f t="shared" si="268"/>
        <v>0</v>
      </c>
      <c r="FT110" s="150"/>
      <c r="FU110" s="528"/>
      <c r="FV110" s="145"/>
      <c r="FW110" s="146"/>
      <c r="FX110" s="157" t="s">
        <v>84</v>
      </c>
      <c r="FY110" s="138"/>
      <c r="FZ110" s="170"/>
      <c r="GA110" s="140">
        <f t="shared" si="269"/>
        <v>0</v>
      </c>
      <c r="GB110" s="150"/>
      <c r="GC110" s="528"/>
      <c r="GD110" s="145"/>
      <c r="GE110" s="146"/>
      <c r="GF110" s="157" t="s">
        <v>84</v>
      </c>
      <c r="GG110" s="138"/>
      <c r="GH110" s="170"/>
      <c r="GI110" s="140">
        <f t="shared" si="270"/>
        <v>0</v>
      </c>
      <c r="GJ110" s="150"/>
      <c r="GK110" s="528"/>
      <c r="GL110" s="145"/>
      <c r="GM110" s="146"/>
      <c r="GN110" s="157" t="s">
        <v>84</v>
      </c>
      <c r="GO110" s="138">
        <f>'[1]Jan_18_Vol weekly-Data-Entry'!$AZ$226</f>
        <v>0</v>
      </c>
      <c r="GP110" s="170"/>
      <c r="GQ110" s="140">
        <f t="shared" si="271"/>
        <v>0</v>
      </c>
      <c r="GR110" s="150"/>
      <c r="GS110" s="528"/>
      <c r="GT110" s="145"/>
      <c r="GU110" s="146"/>
      <c r="GV110" s="157" t="s">
        <v>84</v>
      </c>
      <c r="GW110" s="138">
        <v>0</v>
      </c>
      <c r="GX110" s="170"/>
      <c r="GY110" s="140">
        <f t="shared" si="272"/>
        <v>0</v>
      </c>
      <c r="GZ110" s="150"/>
      <c r="HA110" s="528"/>
      <c r="HB110" s="145"/>
      <c r="HC110" s="146"/>
      <c r="HD110" s="157" t="s">
        <v>84</v>
      </c>
      <c r="HE110" s="138">
        <v>0</v>
      </c>
      <c r="HF110" s="170"/>
      <c r="HG110" s="140">
        <f t="shared" si="273"/>
        <v>0</v>
      </c>
      <c r="HH110" s="150"/>
      <c r="HI110" s="528"/>
      <c r="HJ110" s="145"/>
      <c r="HK110" s="146"/>
      <c r="HL110" s="157" t="s">
        <v>84</v>
      </c>
      <c r="HM110" s="138">
        <v>0</v>
      </c>
      <c r="HN110" s="170"/>
      <c r="HO110" s="140">
        <f t="shared" si="274"/>
        <v>0</v>
      </c>
      <c r="HP110" s="150"/>
      <c r="HQ110" s="528"/>
      <c r="HR110" s="145"/>
      <c r="HS110" s="146"/>
      <c r="HT110" s="157" t="s">
        <v>84</v>
      </c>
      <c r="HU110" s="138">
        <v>0</v>
      </c>
      <c r="HV110" s="170"/>
      <c r="HW110" s="140">
        <f t="shared" si="275"/>
        <v>0</v>
      </c>
      <c r="HX110" s="150"/>
      <c r="HY110" s="528"/>
      <c r="HZ110" s="145"/>
      <c r="IA110" s="146"/>
      <c r="IB110" s="157" t="s">
        <v>84</v>
      </c>
      <c r="IC110" s="138">
        <v>0</v>
      </c>
      <c r="ID110" s="170"/>
      <c r="IE110" s="140">
        <f t="shared" si="276"/>
        <v>0</v>
      </c>
      <c r="IF110" s="150"/>
      <c r="IG110" s="528"/>
      <c r="IH110" s="145"/>
      <c r="II110" s="146"/>
      <c r="IJ110" s="157" t="s">
        <v>84</v>
      </c>
      <c r="IK110" s="138">
        <v>0</v>
      </c>
      <c r="IL110" s="170"/>
      <c r="IM110" s="140">
        <f t="shared" si="277"/>
        <v>0</v>
      </c>
      <c r="IN110" s="150"/>
      <c r="IO110" s="528"/>
      <c r="IP110" s="145"/>
      <c r="IQ110" s="146"/>
      <c r="IR110" s="157" t="s">
        <v>84</v>
      </c>
      <c r="IS110" s="138">
        <v>0</v>
      </c>
      <c r="IT110" s="170"/>
      <c r="IU110" s="140">
        <f t="shared" si="278"/>
        <v>0</v>
      </c>
      <c r="IV110" s="150"/>
      <c r="IW110" s="528"/>
      <c r="IX110" s="145"/>
      <c r="IY110" s="146"/>
      <c r="IZ110" s="157" t="s">
        <v>84</v>
      </c>
      <c r="JA110" s="138">
        <v>0</v>
      </c>
      <c r="JB110" s="170"/>
      <c r="JC110" s="140">
        <f t="shared" si="279"/>
        <v>0</v>
      </c>
      <c r="JD110" s="150"/>
      <c r="JE110" s="528"/>
      <c r="JF110" s="145"/>
      <c r="JG110" s="146"/>
      <c r="JH110" s="157" t="s">
        <v>84</v>
      </c>
      <c r="JI110" s="138">
        <v>0</v>
      </c>
      <c r="JJ110" s="170"/>
      <c r="JK110" s="140">
        <f t="shared" si="280"/>
        <v>0</v>
      </c>
      <c r="JL110" s="150"/>
      <c r="JM110" s="528"/>
      <c r="JN110" s="145"/>
      <c r="JO110" s="146"/>
      <c r="JP110" s="157" t="s">
        <v>84</v>
      </c>
      <c r="JQ110" s="138">
        <v>0</v>
      </c>
      <c r="JR110" s="170"/>
      <c r="JS110" s="140">
        <f t="shared" si="281"/>
        <v>0</v>
      </c>
      <c r="JT110" s="150"/>
      <c r="JU110" s="528"/>
      <c r="JV110" s="145"/>
      <c r="JW110" s="146"/>
      <c r="JX110" s="157" t="s">
        <v>84</v>
      </c>
      <c r="JY110" s="138">
        <v>0</v>
      </c>
      <c r="JZ110" s="170"/>
      <c r="KA110" s="140">
        <f t="shared" si="282"/>
        <v>0</v>
      </c>
      <c r="KB110" s="150"/>
      <c r="KC110" s="528"/>
      <c r="KD110" s="145"/>
      <c r="KE110" s="146"/>
      <c r="KF110" s="157" t="s">
        <v>84</v>
      </c>
      <c r="KG110" s="138">
        <v>0</v>
      </c>
      <c r="KH110" s="170"/>
      <c r="KI110" s="140">
        <f t="shared" si="283"/>
        <v>0</v>
      </c>
      <c r="KJ110" s="150"/>
      <c r="KK110" s="528"/>
      <c r="KL110" s="145"/>
      <c r="KM110" s="146"/>
      <c r="KN110" s="157" t="s">
        <v>84</v>
      </c>
      <c r="KO110" s="138">
        <v>0</v>
      </c>
      <c r="KP110" s="170"/>
      <c r="KQ110" s="140">
        <f t="shared" si="284"/>
        <v>0</v>
      </c>
      <c r="KR110" s="150"/>
      <c r="KS110" s="528"/>
      <c r="KT110" s="145"/>
      <c r="KU110" s="146"/>
      <c r="KV110" s="157" t="s">
        <v>84</v>
      </c>
      <c r="KW110" s="138">
        <v>0</v>
      </c>
      <c r="KX110" s="170"/>
      <c r="KY110" s="140">
        <f t="shared" si="285"/>
        <v>0</v>
      </c>
      <c r="KZ110" s="150"/>
      <c r="LA110" s="528"/>
      <c r="LB110" s="145"/>
      <c r="LC110" s="146"/>
      <c r="LD110" s="157" t="s">
        <v>84</v>
      </c>
      <c r="LE110" s="138">
        <v>0</v>
      </c>
      <c r="LF110" s="170"/>
      <c r="LG110" s="140">
        <f t="shared" si="286"/>
        <v>0</v>
      </c>
      <c r="LH110" s="150"/>
      <c r="LI110" s="528"/>
      <c r="LJ110" s="145"/>
      <c r="LK110" s="146"/>
      <c r="LL110" s="157" t="s">
        <v>84</v>
      </c>
      <c r="LM110" s="175">
        <v>0</v>
      </c>
      <c r="LN110" s="139"/>
      <c r="LO110" s="140">
        <f t="shared" si="313"/>
        <v>0</v>
      </c>
      <c r="LP110" s="150"/>
      <c r="LQ110" s="528"/>
      <c r="LR110" s="145"/>
      <c r="LS110" s="146"/>
      <c r="LT110" s="157" t="s">
        <v>84</v>
      </c>
      <c r="LU110" s="175"/>
      <c r="LV110" s="139"/>
      <c r="LW110" s="140">
        <f t="shared" si="314"/>
        <v>0</v>
      </c>
      <c r="LX110" s="150"/>
      <c r="LY110" s="528"/>
      <c r="LZ110" s="145"/>
      <c r="MA110" s="146"/>
      <c r="MB110" s="157" t="s">
        <v>84</v>
      </c>
      <c r="MC110" s="175"/>
      <c r="MD110" s="139"/>
      <c r="ME110" s="140">
        <f t="shared" si="315"/>
        <v>0</v>
      </c>
      <c r="MF110" s="150"/>
      <c r="MG110" s="528"/>
      <c r="MH110" s="145"/>
      <c r="MI110" s="146"/>
      <c r="MJ110" s="157" t="s">
        <v>84</v>
      </c>
      <c r="MK110" s="175"/>
      <c r="ML110" s="139"/>
      <c r="MM110" s="140">
        <f t="shared" si="316"/>
        <v>0</v>
      </c>
      <c r="MN110" s="150"/>
      <c r="MO110" s="528"/>
      <c r="MP110" s="145"/>
      <c r="MQ110" s="146"/>
      <c r="MR110" s="157" t="s">
        <v>84</v>
      </c>
      <c r="MS110" s="175"/>
      <c r="MT110" s="139"/>
      <c r="MU110" s="140">
        <f t="shared" si="317"/>
        <v>0</v>
      </c>
      <c r="MV110" s="150"/>
      <c r="MW110" s="528"/>
      <c r="MX110" s="143"/>
      <c r="MY110" s="146"/>
      <c r="MZ110" s="157" t="s">
        <v>84</v>
      </c>
      <c r="NA110" s="175"/>
      <c r="NB110" s="164"/>
      <c r="NC110" s="140">
        <f t="shared" si="292"/>
        <v>0</v>
      </c>
      <c r="ND110" s="150"/>
      <c r="NE110" s="528"/>
      <c r="NF110" s="143"/>
      <c r="NG110" s="146"/>
      <c r="NH110" s="157" t="s">
        <v>84</v>
      </c>
      <c r="NI110" s="175"/>
      <c r="NJ110" s="164"/>
      <c r="NK110" s="140">
        <f t="shared" si="293"/>
        <v>0</v>
      </c>
      <c r="NL110" s="150"/>
      <c r="NM110" s="528"/>
      <c r="NN110" s="143"/>
      <c r="NO110" s="146"/>
      <c r="NP110" s="157" t="s">
        <v>84</v>
      </c>
      <c r="NQ110" s="175"/>
      <c r="NR110" s="164"/>
      <c r="NS110" s="140">
        <f t="shared" si="294"/>
        <v>0</v>
      </c>
      <c r="NT110" s="150"/>
      <c r="NU110" s="528"/>
      <c r="NV110" s="143"/>
      <c r="NW110" s="146"/>
      <c r="NX110" s="157" t="s">
        <v>84</v>
      </c>
      <c r="NY110" s="175"/>
      <c r="NZ110" s="164"/>
      <c r="OA110" s="140">
        <f t="shared" si="295"/>
        <v>0</v>
      </c>
      <c r="OB110" s="150"/>
      <c r="OC110" s="528"/>
      <c r="OD110" s="143"/>
      <c r="OE110" s="146"/>
      <c r="OF110" s="157" t="s">
        <v>84</v>
      </c>
      <c r="OG110" s="175"/>
      <c r="OH110" s="164"/>
      <c r="OI110" s="140">
        <f t="shared" si="296"/>
        <v>0</v>
      </c>
      <c r="OJ110" s="150"/>
      <c r="OK110" s="528"/>
      <c r="OL110" s="143"/>
      <c r="OM110" s="146"/>
      <c r="ON110" s="157" t="s">
        <v>84</v>
      </c>
      <c r="OO110" s="175"/>
      <c r="OP110" s="164"/>
      <c r="OQ110" s="140">
        <f t="shared" si="297"/>
        <v>0</v>
      </c>
      <c r="OR110" s="150"/>
      <c r="OS110" s="528"/>
      <c r="OT110" s="143"/>
      <c r="OU110" s="146"/>
      <c r="OV110" s="157" t="s">
        <v>84</v>
      </c>
      <c r="OW110" s="175"/>
      <c r="OX110" s="164"/>
      <c r="OY110" s="140">
        <f t="shared" si="298"/>
        <v>0</v>
      </c>
      <c r="OZ110" s="150"/>
      <c r="PA110" s="528"/>
      <c r="PB110" s="143"/>
      <c r="PC110" s="146"/>
      <c r="PD110" s="157" t="s">
        <v>84</v>
      </c>
      <c r="PE110" s="175"/>
      <c r="PF110" s="164"/>
      <c r="PG110" s="140">
        <f t="shared" si="299"/>
        <v>0</v>
      </c>
      <c r="PH110" s="150"/>
      <c r="PI110" s="528"/>
      <c r="PJ110" s="143"/>
      <c r="PK110" s="146"/>
      <c r="PL110" s="157" t="s">
        <v>84</v>
      </c>
      <c r="PM110" s="175"/>
      <c r="PN110" s="164"/>
      <c r="PO110" s="140">
        <f t="shared" si="300"/>
        <v>0</v>
      </c>
      <c r="PP110" s="150"/>
      <c r="PQ110" s="528"/>
      <c r="PR110" s="143"/>
      <c r="PS110" s="146"/>
      <c r="PT110" s="157" t="s">
        <v>84</v>
      </c>
      <c r="PU110" s="175"/>
      <c r="PV110" s="164"/>
      <c r="PW110" s="140">
        <f t="shared" si="301"/>
        <v>0</v>
      </c>
      <c r="PX110" s="150"/>
      <c r="PY110" s="528"/>
      <c r="PZ110" s="143"/>
      <c r="QA110" s="146"/>
      <c r="QB110" s="157" t="s">
        <v>84</v>
      </c>
      <c r="QC110" s="175"/>
      <c r="QD110" s="164"/>
      <c r="QE110" s="140">
        <f t="shared" si="302"/>
        <v>0</v>
      </c>
      <c r="QF110" s="150"/>
      <c r="QG110" s="528"/>
      <c r="QH110" s="143"/>
      <c r="QI110" s="146"/>
      <c r="QJ110" s="157" t="s">
        <v>84</v>
      </c>
      <c r="QK110" s="175"/>
      <c r="QL110" s="164"/>
      <c r="QM110" s="140">
        <f t="shared" si="303"/>
        <v>0</v>
      </c>
      <c r="QN110" s="150"/>
      <c r="QO110" s="528"/>
      <c r="QP110" s="143"/>
      <c r="QQ110" s="146"/>
      <c r="QR110" s="157" t="s">
        <v>84</v>
      </c>
      <c r="QS110" s="175"/>
      <c r="QT110" s="164"/>
      <c r="QU110" s="140">
        <f t="shared" si="304"/>
        <v>0</v>
      </c>
      <c r="QV110" s="150"/>
      <c r="QW110" s="528"/>
      <c r="QX110" s="143"/>
      <c r="QY110" s="146"/>
      <c r="QZ110" s="157" t="s">
        <v>84</v>
      </c>
      <c r="RA110" s="175"/>
      <c r="RB110" s="164"/>
      <c r="RC110" s="140">
        <f t="shared" si="305"/>
        <v>0</v>
      </c>
      <c r="RD110" s="150"/>
      <c r="RE110" s="528"/>
      <c r="RF110" s="143"/>
      <c r="RG110" s="146"/>
      <c r="RH110" s="157" t="s">
        <v>84</v>
      </c>
      <c r="RI110" s="175"/>
      <c r="RJ110" s="164"/>
      <c r="RK110" s="140">
        <f t="shared" si="306"/>
        <v>0</v>
      </c>
      <c r="RL110" s="150"/>
      <c r="RM110" s="528"/>
      <c r="RN110" s="143"/>
      <c r="RO110" s="146"/>
      <c r="RP110" s="157" t="s">
        <v>84</v>
      </c>
      <c r="RQ110" s="175"/>
      <c r="RR110" s="164"/>
      <c r="RS110" s="140">
        <f t="shared" si="307"/>
        <v>0</v>
      </c>
      <c r="RT110" s="150"/>
      <c r="RU110" s="528"/>
      <c r="RV110" s="143"/>
      <c r="RW110" s="146"/>
      <c r="RX110" s="157" t="s">
        <v>84</v>
      </c>
      <c r="RY110" s="175"/>
      <c r="RZ110" s="164"/>
      <c r="SA110" s="140">
        <f t="shared" si="308"/>
        <v>0</v>
      </c>
      <c r="SB110" s="150"/>
      <c r="SC110" s="528"/>
      <c r="SD110" s="143"/>
      <c r="SE110" s="146"/>
      <c r="SF110" s="157" t="s">
        <v>84</v>
      </c>
      <c r="SG110" s="175"/>
      <c r="SH110" s="164"/>
      <c r="SI110" s="140">
        <f t="shared" si="309"/>
        <v>0</v>
      </c>
      <c r="SJ110" s="150"/>
      <c r="SK110" s="528"/>
      <c r="SL110" s="143"/>
      <c r="SM110" s="146"/>
      <c r="SN110" s="157" t="s">
        <v>84</v>
      </c>
      <c r="SO110" s="175"/>
      <c r="SP110" s="164"/>
      <c r="SQ110" s="140">
        <f t="shared" si="310"/>
        <v>0</v>
      </c>
      <c r="SR110" s="150"/>
      <c r="SS110" s="528"/>
      <c r="ST110" s="143"/>
      <c r="SU110" s="146"/>
      <c r="SV110" s="157" t="s">
        <v>84</v>
      </c>
      <c r="SW110" s="175"/>
      <c r="SX110" s="164"/>
      <c r="SY110" s="140">
        <f t="shared" si="311"/>
        <v>0</v>
      </c>
      <c r="SZ110" s="150"/>
      <c r="TA110" s="528"/>
      <c r="TB110" s="143"/>
      <c r="TC110" s="146"/>
      <c r="TD110" s="157" t="s">
        <v>84</v>
      </c>
      <c r="TE110" s="175"/>
      <c r="TF110" s="164"/>
      <c r="TG110" s="140">
        <f t="shared" si="312"/>
        <v>0</v>
      </c>
      <c r="TH110" s="150"/>
      <c r="TI110" s="528"/>
    </row>
    <row r="111" spans="2:529">
      <c r="B111" s="151"/>
      <c r="C111" s="161"/>
      <c r="D111" s="145" t="s">
        <v>85</v>
      </c>
      <c r="E111" s="138">
        <v>0</v>
      </c>
      <c r="F111" s="170"/>
      <c r="G111" s="140">
        <f t="shared" si="247"/>
        <v>0</v>
      </c>
      <c r="H111" s="159">
        <f>SUM(G108:G111)</f>
        <v>341.47300000000001</v>
      </c>
      <c r="I111" s="528"/>
      <c r="J111" s="151"/>
      <c r="K111" s="161">
        <v>12</v>
      </c>
      <c r="L111" s="145" t="s">
        <v>85</v>
      </c>
      <c r="M111" s="138">
        <v>0</v>
      </c>
      <c r="N111" s="170"/>
      <c r="O111" s="140">
        <f t="shared" si="248"/>
        <v>0</v>
      </c>
      <c r="P111" s="159">
        <f>SUM(O108:O111)</f>
        <v>106.55300000000001</v>
      </c>
      <c r="Q111" s="528"/>
      <c r="R111" s="151"/>
      <c r="S111" s="161">
        <v>12</v>
      </c>
      <c r="T111" s="145" t="s">
        <v>85</v>
      </c>
      <c r="U111" s="138">
        <v>0</v>
      </c>
      <c r="V111" s="170"/>
      <c r="W111" s="140">
        <f t="shared" si="249"/>
        <v>0</v>
      </c>
      <c r="X111" s="159">
        <f>SUM(W108:W111)</f>
        <v>152.69800000000001</v>
      </c>
      <c r="Y111" s="528"/>
      <c r="Z111" s="151"/>
      <c r="AA111" s="161">
        <v>12</v>
      </c>
      <c r="AB111" s="145" t="s">
        <v>85</v>
      </c>
      <c r="AC111" s="138"/>
      <c r="AD111" s="170"/>
      <c r="AE111" s="140">
        <f t="shared" si="250"/>
        <v>0</v>
      </c>
      <c r="AF111" s="159">
        <f>SUM(AE108:AE111)</f>
        <v>197.16500000000002</v>
      </c>
      <c r="AG111" s="528"/>
      <c r="AH111" s="151"/>
      <c r="AI111" s="161">
        <v>12</v>
      </c>
      <c r="AJ111" s="145" t="s">
        <v>85</v>
      </c>
      <c r="AK111" s="138"/>
      <c r="AL111" s="170"/>
      <c r="AM111" s="140">
        <f t="shared" si="251"/>
        <v>0</v>
      </c>
      <c r="AN111" s="159">
        <f>SUM(AM108:AM111)</f>
        <v>388.45700000000005</v>
      </c>
      <c r="AO111" s="528"/>
      <c r="AP111" s="151"/>
      <c r="AQ111" s="161">
        <v>12</v>
      </c>
      <c r="AR111" s="145" t="s">
        <v>85</v>
      </c>
      <c r="AS111" s="138"/>
      <c r="AT111" s="170"/>
      <c r="AU111" s="140">
        <f t="shared" si="252"/>
        <v>0</v>
      </c>
      <c r="AV111" s="159">
        <f>SUM(AU108:AU111)</f>
        <v>234.92000000000002</v>
      </c>
      <c r="AW111" s="528"/>
      <c r="AX111" s="151"/>
      <c r="AY111" s="161">
        <v>12</v>
      </c>
      <c r="AZ111" s="145" t="s">
        <v>85</v>
      </c>
      <c r="BA111" s="138"/>
      <c r="BB111" s="170"/>
      <c r="BC111" s="140">
        <f t="shared" si="253"/>
        <v>0</v>
      </c>
      <c r="BD111" s="159">
        <f>SUM(BC108:BC111)</f>
        <v>0</v>
      </c>
      <c r="BE111" s="528"/>
      <c r="BF111" s="151"/>
      <c r="BG111" s="161">
        <v>12</v>
      </c>
      <c r="BH111" s="145" t="s">
        <v>85</v>
      </c>
      <c r="BI111" s="138">
        <v>0</v>
      </c>
      <c r="BJ111" s="170"/>
      <c r="BK111" s="140">
        <f t="shared" si="254"/>
        <v>0</v>
      </c>
      <c r="BL111" s="159">
        <f>SUM(BK108:BK111)</f>
        <v>477.39100000000002</v>
      </c>
      <c r="BM111" s="528"/>
      <c r="BN111" s="151"/>
      <c r="BO111" s="161">
        <v>12</v>
      </c>
      <c r="BP111" s="145" t="s">
        <v>85</v>
      </c>
      <c r="BQ111" s="138"/>
      <c r="BR111" s="170"/>
      <c r="BS111" s="140">
        <f t="shared" si="255"/>
        <v>0</v>
      </c>
      <c r="BT111" s="159">
        <f>SUM(BS108:BS111)</f>
        <v>215.62300000000002</v>
      </c>
      <c r="BU111" s="528"/>
      <c r="BV111" s="543"/>
      <c r="BW111" s="577"/>
      <c r="BX111" s="536" t="s">
        <v>85</v>
      </c>
      <c r="BY111" s="560"/>
      <c r="BZ111" s="585"/>
      <c r="CA111" s="562">
        <f t="shared" si="256"/>
        <v>0</v>
      </c>
      <c r="CB111" s="575">
        <f>SUM(CA108:CA111)</f>
        <v>0</v>
      </c>
      <c r="CC111" s="528"/>
      <c r="CD111" s="543"/>
      <c r="CE111" s="577"/>
      <c r="CF111" s="536" t="s">
        <v>85</v>
      </c>
      <c r="CG111" s="560"/>
      <c r="CH111" s="585"/>
      <c r="CI111" s="562">
        <f t="shared" si="257"/>
        <v>0</v>
      </c>
      <c r="CJ111" s="575">
        <f>SUM(CI108:CI111)</f>
        <v>0</v>
      </c>
      <c r="CK111" s="528"/>
      <c r="CL111" s="151"/>
      <c r="CM111" s="161">
        <v>12</v>
      </c>
      <c r="CN111" s="145" t="s">
        <v>85</v>
      </c>
      <c r="CO111" s="138"/>
      <c r="CP111" s="170"/>
      <c r="CQ111" s="140">
        <f t="shared" si="258"/>
        <v>0</v>
      </c>
      <c r="CR111" s="159">
        <f>SUM(CQ108:CQ111)</f>
        <v>0</v>
      </c>
      <c r="CS111" s="528"/>
      <c r="CT111" s="151"/>
      <c r="CU111" s="161">
        <v>12</v>
      </c>
      <c r="CV111" s="145" t="s">
        <v>85</v>
      </c>
      <c r="CW111" s="138">
        <v>0</v>
      </c>
      <c r="CX111" s="170"/>
      <c r="CY111" s="140">
        <f t="shared" si="259"/>
        <v>0</v>
      </c>
      <c r="CZ111" s="159">
        <f>SUM(CY108:CY111)</f>
        <v>477.39100000000002</v>
      </c>
      <c r="DA111" s="528"/>
      <c r="DB111" s="151"/>
      <c r="DC111" s="161"/>
      <c r="DD111" s="145" t="s">
        <v>85</v>
      </c>
      <c r="DE111" s="138"/>
      <c r="DF111" s="170"/>
      <c r="DG111" s="140">
        <f t="shared" si="260"/>
        <v>0</v>
      </c>
      <c r="DH111" s="159">
        <f>SUM(DG108:DG111)</f>
        <v>0</v>
      </c>
      <c r="DI111" s="528"/>
      <c r="DJ111" s="151"/>
      <c r="DK111" s="161"/>
      <c r="DL111" s="145" t="s">
        <v>85</v>
      </c>
      <c r="DM111" s="138">
        <v>0</v>
      </c>
      <c r="DN111" s="170"/>
      <c r="DO111" s="140">
        <f t="shared" si="261"/>
        <v>0</v>
      </c>
      <c r="DP111" s="159">
        <f>SUM(DO108:DO111)</f>
        <v>442.15300000000002</v>
      </c>
      <c r="DQ111" s="528"/>
      <c r="DR111" s="151"/>
      <c r="DS111" s="161"/>
      <c r="DT111" s="145" t="s">
        <v>85</v>
      </c>
      <c r="DU111" s="138"/>
      <c r="DV111" s="170"/>
      <c r="DW111" s="140">
        <f t="shared" si="262"/>
        <v>0</v>
      </c>
      <c r="DX111" s="159">
        <f>SUM(DW108:DW111)</f>
        <v>556.25700000000006</v>
      </c>
      <c r="DY111" s="528"/>
      <c r="DZ111" s="151"/>
      <c r="EA111" s="161"/>
      <c r="EB111" s="145" t="s">
        <v>85</v>
      </c>
      <c r="EC111" s="138"/>
      <c r="ED111" s="170"/>
      <c r="EE111" s="140">
        <f t="shared" si="263"/>
        <v>0</v>
      </c>
      <c r="EF111" s="159">
        <f>SUM(EE108:EE111)</f>
        <v>308.75200000000001</v>
      </c>
      <c r="EG111" s="528"/>
      <c r="EH111" s="151"/>
      <c r="EI111" s="161"/>
      <c r="EJ111" s="145" t="s">
        <v>85</v>
      </c>
      <c r="EK111" s="138"/>
      <c r="EL111" s="170"/>
      <c r="EM111" s="140">
        <f t="shared" si="264"/>
        <v>0</v>
      </c>
      <c r="EN111" s="159">
        <f>SUM(EM108:EM111)</f>
        <v>198.00400000000002</v>
      </c>
      <c r="EO111" s="528"/>
      <c r="EP111" s="151"/>
      <c r="EQ111" s="161"/>
      <c r="ER111" s="145" t="s">
        <v>85</v>
      </c>
      <c r="ES111" s="138"/>
      <c r="ET111" s="170"/>
      <c r="EU111" s="140">
        <f t="shared" si="265"/>
        <v>0</v>
      </c>
      <c r="EV111" s="159">
        <f>SUM(EU108:EU111)</f>
        <v>161.08800000000002</v>
      </c>
      <c r="EW111" s="528"/>
      <c r="EX111" s="151"/>
      <c r="EY111" s="161"/>
      <c r="EZ111" s="145" t="s">
        <v>85</v>
      </c>
      <c r="FA111" s="138"/>
      <c r="FB111" s="170"/>
      <c r="FC111" s="140">
        <f t="shared" si="266"/>
        <v>0</v>
      </c>
      <c r="FD111" s="159">
        <f>SUM(FC108:FC111)</f>
        <v>0</v>
      </c>
      <c r="FE111" s="528"/>
      <c r="FF111" s="151"/>
      <c r="FG111" s="161"/>
      <c r="FH111" s="145" t="s">
        <v>85</v>
      </c>
      <c r="FI111" s="138"/>
      <c r="FJ111" s="170"/>
      <c r="FK111" s="140">
        <f t="shared" si="267"/>
        <v>0</v>
      </c>
      <c r="FL111" s="159">
        <f>SUM(FK108:FK111)</f>
        <v>0</v>
      </c>
      <c r="FM111" s="528"/>
      <c r="FN111" s="151"/>
      <c r="FO111" s="161"/>
      <c r="FP111" s="145" t="s">
        <v>85</v>
      </c>
      <c r="FQ111" s="138"/>
      <c r="FR111" s="170"/>
      <c r="FS111" s="140">
        <f t="shared" si="268"/>
        <v>0</v>
      </c>
      <c r="FT111" s="159">
        <f>SUM(FS108:FS111)</f>
        <v>0</v>
      </c>
      <c r="FU111" s="528"/>
      <c r="FV111" s="151"/>
      <c r="FW111" s="161"/>
      <c r="FX111" s="145" t="s">
        <v>85</v>
      </c>
      <c r="FY111" s="138"/>
      <c r="FZ111" s="170"/>
      <c r="GA111" s="140">
        <f t="shared" si="269"/>
        <v>0</v>
      </c>
      <c r="GB111" s="159">
        <f>SUM(GA108:GA111)</f>
        <v>0</v>
      </c>
      <c r="GC111" s="528"/>
      <c r="GD111" s="151"/>
      <c r="GE111" s="161"/>
      <c r="GF111" s="145" t="s">
        <v>85</v>
      </c>
      <c r="GG111" s="138"/>
      <c r="GH111" s="170"/>
      <c r="GI111" s="140">
        <f t="shared" si="270"/>
        <v>0</v>
      </c>
      <c r="GJ111" s="159">
        <f>SUM(GI108:GI111)</f>
        <v>0</v>
      </c>
      <c r="GK111" s="528"/>
      <c r="GL111" s="151"/>
      <c r="GM111" s="161"/>
      <c r="GN111" s="145" t="s">
        <v>85</v>
      </c>
      <c r="GO111" s="138">
        <f>'[1]Jan_18_Vol weekly-Data-Entry'!$BA$226</f>
        <v>0</v>
      </c>
      <c r="GP111" s="170"/>
      <c r="GQ111" s="140">
        <f t="shared" si="271"/>
        <v>0</v>
      </c>
      <c r="GR111" s="159">
        <f>SUM(GQ108:GQ111)</f>
        <v>0</v>
      </c>
      <c r="GS111" s="528"/>
      <c r="GT111" s="151"/>
      <c r="GU111" s="161"/>
      <c r="GV111" s="145" t="s">
        <v>85</v>
      </c>
      <c r="GW111" s="138">
        <v>0</v>
      </c>
      <c r="GX111" s="170"/>
      <c r="GY111" s="140">
        <f t="shared" si="272"/>
        <v>0</v>
      </c>
      <c r="GZ111" s="159">
        <f>SUM(GY108:GY111)</f>
        <v>223.17400000000004</v>
      </c>
      <c r="HA111" s="528"/>
      <c r="HB111" s="151"/>
      <c r="HC111" s="161"/>
      <c r="HD111" s="145" t="s">
        <v>85</v>
      </c>
      <c r="HE111" s="138">
        <v>0</v>
      </c>
      <c r="HF111" s="170"/>
      <c r="HG111" s="140">
        <f t="shared" si="273"/>
        <v>0</v>
      </c>
      <c r="HH111" s="159">
        <f>SUM(HG108:HG111)</f>
        <v>152.69800000000001</v>
      </c>
      <c r="HI111" s="528"/>
      <c r="HJ111" s="151"/>
      <c r="HK111" s="161"/>
      <c r="HL111" s="145" t="s">
        <v>85</v>
      </c>
      <c r="HM111" s="138">
        <v>0</v>
      </c>
      <c r="HN111" s="170"/>
      <c r="HO111" s="140">
        <f t="shared" si="274"/>
        <v>0</v>
      </c>
      <c r="HP111" s="159">
        <f>SUM(HO108:HO111)</f>
        <v>350.70200000000006</v>
      </c>
      <c r="HQ111" s="528"/>
      <c r="HR111" s="151"/>
      <c r="HS111" s="161"/>
      <c r="HT111" s="145" t="s">
        <v>85</v>
      </c>
      <c r="HU111" s="138">
        <v>0</v>
      </c>
      <c r="HV111" s="170"/>
      <c r="HW111" s="140">
        <f t="shared" si="275"/>
        <v>0</v>
      </c>
      <c r="HX111" s="159">
        <f>SUM(HW108:HW111)</f>
        <v>323.85400000000004</v>
      </c>
      <c r="HY111" s="528"/>
      <c r="HZ111" s="151"/>
      <c r="IA111" s="161"/>
      <c r="IB111" s="145" t="s">
        <v>85</v>
      </c>
      <c r="IC111" s="138">
        <v>0</v>
      </c>
      <c r="ID111" s="170"/>
      <c r="IE111" s="140">
        <f t="shared" si="276"/>
        <v>0</v>
      </c>
      <c r="IF111" s="159">
        <f>SUM(IE108:IE111)</f>
        <v>36.916000000000004</v>
      </c>
      <c r="IG111" s="528"/>
      <c r="IH111" s="151"/>
      <c r="II111" s="161"/>
      <c r="IJ111" s="145" t="s">
        <v>85</v>
      </c>
      <c r="IK111" s="138">
        <v>1</v>
      </c>
      <c r="IL111" s="170"/>
      <c r="IM111" s="140">
        <f t="shared" si="277"/>
        <v>0</v>
      </c>
      <c r="IN111" s="159">
        <f>SUM(IM108:IM111)</f>
        <v>123.33300000000001</v>
      </c>
      <c r="IO111" s="528"/>
      <c r="IP111" s="151"/>
      <c r="IQ111" s="161"/>
      <c r="IR111" s="145" t="s">
        <v>85</v>
      </c>
      <c r="IS111" s="138">
        <v>0</v>
      </c>
      <c r="IT111" s="170"/>
      <c r="IU111" s="140">
        <f t="shared" si="278"/>
        <v>0</v>
      </c>
      <c r="IV111" s="159">
        <f>SUM(IU108:IU111)</f>
        <v>102.358</v>
      </c>
      <c r="IW111" s="528"/>
      <c r="IX111" s="151"/>
      <c r="IY111" s="161"/>
      <c r="IZ111" s="145" t="s">
        <v>85</v>
      </c>
      <c r="JA111" s="138">
        <v>0</v>
      </c>
      <c r="JB111" s="170"/>
      <c r="JC111" s="140">
        <f t="shared" si="279"/>
        <v>0</v>
      </c>
      <c r="JD111" s="159">
        <f>SUM(JC108:JC111)</f>
        <v>297.00600000000003</v>
      </c>
      <c r="JE111" s="528"/>
      <c r="JF111" s="151"/>
      <c r="JG111" s="161"/>
      <c r="JH111" s="145" t="s">
        <v>85</v>
      </c>
      <c r="JI111" s="138">
        <v>0</v>
      </c>
      <c r="JJ111" s="170"/>
      <c r="JK111" s="140">
        <f t="shared" si="280"/>
        <v>0</v>
      </c>
      <c r="JL111" s="159">
        <f>SUM(JK108:JK111)</f>
        <v>226.53000000000003</v>
      </c>
      <c r="JM111" s="528"/>
      <c r="JN111" s="151"/>
      <c r="JO111" s="161"/>
      <c r="JP111" s="145" t="s">
        <v>85</v>
      </c>
      <c r="JQ111" s="138">
        <v>0</v>
      </c>
      <c r="JR111" s="170"/>
      <c r="JS111" s="140">
        <f t="shared" si="281"/>
        <v>0</v>
      </c>
      <c r="JT111" s="159">
        <f>SUM(JS108:JS111)</f>
        <v>192.13100000000003</v>
      </c>
      <c r="JU111" s="528"/>
      <c r="JV111" s="151"/>
      <c r="JW111" s="161"/>
      <c r="JX111" s="145" t="s">
        <v>85</v>
      </c>
      <c r="JY111" s="138">
        <v>0</v>
      </c>
      <c r="JZ111" s="170"/>
      <c r="KA111" s="140">
        <f t="shared" si="282"/>
        <v>0</v>
      </c>
      <c r="KB111" s="159">
        <f>SUM(KA108:KA111)</f>
        <v>118.29900000000001</v>
      </c>
      <c r="KC111" s="528"/>
      <c r="KD111" s="151"/>
      <c r="KE111" s="161"/>
      <c r="KF111" s="145" t="s">
        <v>85</v>
      </c>
      <c r="KG111" s="138">
        <v>0</v>
      </c>
      <c r="KH111" s="170"/>
      <c r="KI111" s="140">
        <f t="shared" si="283"/>
        <v>0</v>
      </c>
      <c r="KJ111" s="159">
        <f>SUM(KI108:KI111)</f>
        <v>19.297000000000001</v>
      </c>
      <c r="KK111" s="528"/>
      <c r="KL111" s="151"/>
      <c r="KM111" s="161"/>
      <c r="KN111" s="145" t="s">
        <v>85</v>
      </c>
      <c r="KO111" s="138">
        <v>0</v>
      </c>
      <c r="KP111" s="170"/>
      <c r="KQ111" s="140">
        <f t="shared" si="284"/>
        <v>0</v>
      </c>
      <c r="KR111" s="159">
        <f>SUM(KQ108:KQ111)</f>
        <v>126.68900000000001</v>
      </c>
      <c r="KS111" s="528"/>
      <c r="KT111" s="151"/>
      <c r="KU111" s="161"/>
      <c r="KV111" s="145" t="s">
        <v>85</v>
      </c>
      <c r="KW111" s="138">
        <v>0</v>
      </c>
      <c r="KX111" s="170"/>
      <c r="KY111" s="140">
        <f t="shared" si="285"/>
        <v>0</v>
      </c>
      <c r="KZ111" s="159">
        <f>SUM(KY108:KY111)</f>
        <v>179.54600000000002</v>
      </c>
      <c r="LA111" s="528"/>
      <c r="LB111" s="151"/>
      <c r="LC111" s="161"/>
      <c r="LD111" s="145" t="s">
        <v>85</v>
      </c>
      <c r="LE111" s="138">
        <v>0</v>
      </c>
      <c r="LF111" s="170"/>
      <c r="LG111" s="140">
        <f t="shared" si="286"/>
        <v>0</v>
      </c>
      <c r="LH111" s="159">
        <f>SUM(LG108:LG111)</f>
        <v>460.61100000000005</v>
      </c>
      <c r="LI111" s="528"/>
      <c r="LJ111" s="151"/>
      <c r="LK111" s="161"/>
      <c r="LL111" s="145" t="s">
        <v>85</v>
      </c>
      <c r="LM111" s="175">
        <v>0</v>
      </c>
      <c r="LN111" s="139"/>
      <c r="LO111" s="140">
        <f t="shared" si="313"/>
        <v>0</v>
      </c>
      <c r="LP111" s="159">
        <f>SUM(LO108:LO111)</f>
        <v>240.79300000000003</v>
      </c>
      <c r="LQ111" s="528"/>
      <c r="LR111" s="151"/>
      <c r="LS111" s="161"/>
      <c r="LT111" s="145" t="s">
        <v>85</v>
      </c>
      <c r="LU111" s="175"/>
      <c r="LV111" s="139"/>
      <c r="LW111" s="140">
        <f t="shared" si="314"/>
        <v>0</v>
      </c>
      <c r="LX111" s="159">
        <f>SUM(LW108:LW111)</f>
        <v>189.614</v>
      </c>
      <c r="LY111" s="528"/>
      <c r="LZ111" s="151"/>
      <c r="MA111" s="161"/>
      <c r="MB111" s="145" t="s">
        <v>85</v>
      </c>
      <c r="MC111" s="175"/>
      <c r="MD111" s="139"/>
      <c r="ME111" s="140">
        <f t="shared" si="315"/>
        <v>0</v>
      </c>
      <c r="MF111" s="159">
        <f>SUM(ME108:ME111)</f>
        <v>109.90900000000001</v>
      </c>
      <c r="MG111" s="528"/>
      <c r="MH111" s="151"/>
      <c r="MI111" s="161"/>
      <c r="MJ111" s="145" t="s">
        <v>85</v>
      </c>
      <c r="MK111" s="175"/>
      <c r="ML111" s="139"/>
      <c r="MM111" s="140">
        <f t="shared" si="316"/>
        <v>0</v>
      </c>
      <c r="MN111" s="159">
        <f>SUM(MM108:MM111)</f>
        <v>93.968000000000004</v>
      </c>
      <c r="MO111" s="528"/>
      <c r="MP111" s="151"/>
      <c r="MQ111" s="161"/>
      <c r="MR111" s="145" t="s">
        <v>85</v>
      </c>
      <c r="MS111" s="175"/>
      <c r="MT111" s="139"/>
      <c r="MU111" s="140">
        <f t="shared" si="317"/>
        <v>0</v>
      </c>
      <c r="MV111" s="159">
        <f>SUM(MU108:MU111)</f>
        <v>237.43700000000001</v>
      </c>
      <c r="MW111" s="528"/>
      <c r="MX111" s="145"/>
      <c r="MY111" s="146"/>
      <c r="MZ111" s="145" t="s">
        <v>85</v>
      </c>
      <c r="NA111" s="175"/>
      <c r="NB111" s="164"/>
      <c r="NC111" s="140">
        <f t="shared" si="292"/>
        <v>0</v>
      </c>
      <c r="ND111" s="159">
        <f>SUM(NC108:NC111)</f>
        <v>274.536</v>
      </c>
      <c r="NE111" s="528"/>
      <c r="NF111" s="145"/>
      <c r="NG111" s="146"/>
      <c r="NH111" s="145" t="s">
        <v>85</v>
      </c>
      <c r="NI111" s="175"/>
      <c r="NJ111" s="164"/>
      <c r="NK111" s="140">
        <f t="shared" si="293"/>
        <v>0</v>
      </c>
      <c r="NL111" s="159">
        <f>SUM(NK108:NK111)</f>
        <v>91.512</v>
      </c>
      <c r="NM111" s="528"/>
      <c r="NN111" s="145"/>
      <c r="NO111" s="146"/>
      <c r="NP111" s="145" t="s">
        <v>85</v>
      </c>
      <c r="NQ111" s="175"/>
      <c r="NR111" s="164"/>
      <c r="NS111" s="140">
        <f t="shared" si="294"/>
        <v>0</v>
      </c>
      <c r="NT111" s="159">
        <f>SUM(NS108:NS111)</f>
        <v>16.099333333333334</v>
      </c>
      <c r="NU111" s="528"/>
      <c r="NV111" s="145"/>
      <c r="NW111" s="146"/>
      <c r="NX111" s="145" t="s">
        <v>85</v>
      </c>
      <c r="NY111" s="175"/>
      <c r="NZ111" s="164"/>
      <c r="OA111" s="140">
        <f t="shared" si="295"/>
        <v>0</v>
      </c>
      <c r="OB111" s="159">
        <f>SUM(OA108:OA111)</f>
        <v>0</v>
      </c>
      <c r="OC111" s="528"/>
      <c r="OD111" s="145"/>
      <c r="OE111" s="146"/>
      <c r="OF111" s="145" t="s">
        <v>85</v>
      </c>
      <c r="OG111" s="175"/>
      <c r="OH111" s="164"/>
      <c r="OI111" s="140">
        <f t="shared" si="296"/>
        <v>0</v>
      </c>
      <c r="OJ111" s="159">
        <f>SUM(OI108:OI111)</f>
        <v>0</v>
      </c>
      <c r="OK111" s="528"/>
      <c r="OL111" s="145"/>
      <c r="OM111" s="146"/>
      <c r="ON111" s="145" t="s">
        <v>85</v>
      </c>
      <c r="OO111" s="175"/>
      <c r="OP111" s="164"/>
      <c r="OQ111" s="140">
        <f t="shared" si="297"/>
        <v>0</v>
      </c>
      <c r="OR111" s="159">
        <f>SUM(OQ108:OQ111)</f>
        <v>0</v>
      </c>
      <c r="OS111" s="528"/>
      <c r="OT111" s="145"/>
      <c r="OU111" s="146"/>
      <c r="OV111" s="145" t="s">
        <v>85</v>
      </c>
      <c r="OW111" s="175"/>
      <c r="OX111" s="164"/>
      <c r="OY111" s="140">
        <f t="shared" si="298"/>
        <v>0</v>
      </c>
      <c r="OZ111" s="159">
        <f>SUM(OY108:OY111)</f>
        <v>0</v>
      </c>
      <c r="PA111" s="528"/>
      <c r="PB111" s="145"/>
      <c r="PC111" s="146"/>
      <c r="PD111" s="145" t="s">
        <v>85</v>
      </c>
      <c r="PE111" s="175"/>
      <c r="PF111" s="164"/>
      <c r="PG111" s="140">
        <f t="shared" si="299"/>
        <v>0</v>
      </c>
      <c r="PH111" s="159">
        <f>SUM(PG108:PG111)</f>
        <v>0</v>
      </c>
      <c r="PI111" s="528"/>
      <c r="PJ111" s="145"/>
      <c r="PK111" s="146"/>
      <c r="PL111" s="145" t="s">
        <v>85</v>
      </c>
      <c r="PM111" s="175"/>
      <c r="PN111" s="164"/>
      <c r="PO111" s="140">
        <f t="shared" si="300"/>
        <v>0</v>
      </c>
      <c r="PP111" s="159">
        <f>SUM(PO108:PO111)</f>
        <v>0</v>
      </c>
      <c r="PQ111" s="528"/>
      <c r="PR111" s="145"/>
      <c r="PS111" s="146"/>
      <c r="PT111" s="145" t="s">
        <v>85</v>
      </c>
      <c r="PU111" s="175"/>
      <c r="PV111" s="164"/>
      <c r="PW111" s="140">
        <f t="shared" si="301"/>
        <v>0</v>
      </c>
      <c r="PX111" s="159">
        <f>SUM(PW108:PW111)</f>
        <v>92.359333333333339</v>
      </c>
      <c r="PY111" s="528"/>
      <c r="PZ111" s="145"/>
      <c r="QA111" s="146"/>
      <c r="QB111" s="145" t="s">
        <v>85</v>
      </c>
      <c r="QC111" s="175"/>
      <c r="QD111" s="164"/>
      <c r="QE111" s="140">
        <f t="shared" si="302"/>
        <v>0</v>
      </c>
      <c r="QF111" s="159">
        <f>SUM(QE108:QE111)</f>
        <v>24.572666666666667</v>
      </c>
      <c r="QG111" s="528"/>
      <c r="QH111" s="145"/>
      <c r="QI111" s="146"/>
      <c r="QJ111" s="145" t="s">
        <v>85</v>
      </c>
      <c r="QK111" s="175"/>
      <c r="QL111" s="164"/>
      <c r="QM111" s="140">
        <f t="shared" si="303"/>
        <v>0</v>
      </c>
      <c r="QN111" s="159">
        <f>SUM(QM108:QM111)</f>
        <v>94.054000000000002</v>
      </c>
      <c r="QO111" s="528"/>
      <c r="QP111" s="145"/>
      <c r="QQ111" s="146"/>
      <c r="QR111" s="145" t="s">
        <v>85</v>
      </c>
      <c r="QS111" s="175"/>
      <c r="QT111" s="164"/>
      <c r="QU111" s="140">
        <f t="shared" si="304"/>
        <v>0</v>
      </c>
      <c r="QV111" s="159">
        <f>SUM(QU108:QU111)</f>
        <v>71.176000000000002</v>
      </c>
      <c r="QW111" s="528"/>
      <c r="QX111" s="145"/>
      <c r="QY111" s="146"/>
      <c r="QZ111" s="145" t="s">
        <v>85</v>
      </c>
      <c r="RA111" s="175"/>
      <c r="RB111" s="164"/>
      <c r="RC111" s="140">
        <f t="shared" si="305"/>
        <v>0</v>
      </c>
      <c r="RD111" s="159">
        <f>SUM(RC108:RC111)</f>
        <v>0</v>
      </c>
      <c r="RE111" s="528"/>
      <c r="RF111" s="145"/>
      <c r="RG111" s="146"/>
      <c r="RH111" s="145" t="s">
        <v>85</v>
      </c>
      <c r="RI111" s="175"/>
      <c r="RJ111" s="164"/>
      <c r="RK111" s="140">
        <f t="shared" si="306"/>
        <v>0</v>
      </c>
      <c r="RL111" s="159">
        <f>SUM(RK108:RK111)</f>
        <v>0</v>
      </c>
      <c r="RM111" s="528"/>
      <c r="RN111" s="145"/>
      <c r="RO111" s="146"/>
      <c r="RP111" s="145" t="s">
        <v>85</v>
      </c>
      <c r="RQ111" s="175"/>
      <c r="RR111" s="164"/>
      <c r="RS111" s="140">
        <f t="shared" si="307"/>
        <v>0</v>
      </c>
      <c r="RT111" s="159">
        <f>SUM(RS108:RS111)</f>
        <v>0</v>
      </c>
      <c r="RU111" s="528"/>
      <c r="RV111" s="145"/>
      <c r="RW111" s="146"/>
      <c r="RX111" s="145" t="s">
        <v>85</v>
      </c>
      <c r="RY111" s="175"/>
      <c r="RZ111" s="164"/>
      <c r="SA111" s="140">
        <f t="shared" si="308"/>
        <v>0</v>
      </c>
      <c r="SB111" s="159">
        <f>SUM(SA108:SA111)</f>
        <v>0</v>
      </c>
      <c r="SC111" s="528"/>
      <c r="SD111" s="145"/>
      <c r="SE111" s="146"/>
      <c r="SF111" s="145" t="s">
        <v>85</v>
      </c>
      <c r="SG111" s="175"/>
      <c r="SH111" s="164"/>
      <c r="SI111" s="140">
        <f t="shared" si="309"/>
        <v>0</v>
      </c>
      <c r="SJ111" s="159">
        <f>SUM(SI108:SI111)</f>
        <v>0</v>
      </c>
      <c r="SK111" s="528"/>
      <c r="SL111" s="145"/>
      <c r="SM111" s="146"/>
      <c r="SN111" s="145" t="s">
        <v>85</v>
      </c>
      <c r="SO111" s="175"/>
      <c r="SP111" s="164"/>
      <c r="SQ111" s="140">
        <f t="shared" si="310"/>
        <v>0</v>
      </c>
      <c r="SR111" s="159">
        <f>SUM(SQ108:SQ111)</f>
        <v>0</v>
      </c>
      <c r="SS111" s="528"/>
      <c r="ST111" s="145"/>
      <c r="SU111" s="146"/>
      <c r="SV111" s="145" t="s">
        <v>85</v>
      </c>
      <c r="SW111" s="175"/>
      <c r="SX111" s="164"/>
      <c r="SY111" s="140">
        <f t="shared" si="311"/>
        <v>0</v>
      </c>
      <c r="SZ111" s="159">
        <f>SUM(SY108:SY111)</f>
        <v>0</v>
      </c>
      <c r="TA111" s="528"/>
      <c r="TB111" s="145"/>
      <c r="TC111" s="146"/>
      <c r="TD111" s="145" t="s">
        <v>85</v>
      </c>
      <c r="TE111" s="175"/>
      <c r="TF111" s="164"/>
      <c r="TG111" s="140">
        <f t="shared" si="312"/>
        <v>0</v>
      </c>
      <c r="TH111" s="159">
        <f>SUM(TG108:TG111)</f>
        <v>0</v>
      </c>
      <c r="TI111" s="528"/>
    </row>
    <row r="112" spans="2:529">
      <c r="B112" s="155" t="s">
        <v>92</v>
      </c>
      <c r="C112" s="163">
        <v>10</v>
      </c>
      <c r="D112" s="157" t="s">
        <v>14</v>
      </c>
      <c r="E112" s="138">
        <v>23</v>
      </c>
      <c r="F112" s="172">
        <v>0.36472222222222223</v>
      </c>
      <c r="G112" s="140">
        <f t="shared" si="247"/>
        <v>8.3886111111111106</v>
      </c>
      <c r="H112" s="149"/>
      <c r="I112" s="528"/>
      <c r="J112" s="155" t="s">
        <v>92</v>
      </c>
      <c r="K112" s="163"/>
      <c r="L112" s="157" t="s">
        <v>14</v>
      </c>
      <c r="M112" s="138">
        <v>0</v>
      </c>
      <c r="N112" s="172">
        <v>0.36472222222222223</v>
      </c>
      <c r="O112" s="140">
        <f t="shared" si="248"/>
        <v>0</v>
      </c>
      <c r="P112" s="149"/>
      <c r="Q112" s="528"/>
      <c r="R112" s="155" t="s">
        <v>92</v>
      </c>
      <c r="S112" s="163">
        <v>25</v>
      </c>
      <c r="T112" s="157" t="s">
        <v>14</v>
      </c>
      <c r="U112" s="138">
        <v>883</v>
      </c>
      <c r="V112" s="172">
        <v>0.36472222222222223</v>
      </c>
      <c r="W112" s="140">
        <f t="shared" si="249"/>
        <v>322.04972222222221</v>
      </c>
      <c r="X112" s="149"/>
      <c r="Y112" s="528"/>
      <c r="Z112" s="155" t="s">
        <v>92</v>
      </c>
      <c r="AA112" s="163"/>
      <c r="AB112" s="157" t="s">
        <v>14</v>
      </c>
      <c r="AC112" s="138">
        <v>0</v>
      </c>
      <c r="AD112" s="172">
        <v>0.36472222222222223</v>
      </c>
      <c r="AE112" s="140">
        <f t="shared" si="250"/>
        <v>0</v>
      </c>
      <c r="AF112" s="149"/>
      <c r="AG112" s="528"/>
      <c r="AH112" s="155" t="s">
        <v>92</v>
      </c>
      <c r="AI112" s="163">
        <v>5</v>
      </c>
      <c r="AJ112" s="157" t="s">
        <v>14</v>
      </c>
      <c r="AK112" s="138">
        <v>116</v>
      </c>
      <c r="AL112" s="172">
        <v>0.36472222222222223</v>
      </c>
      <c r="AM112" s="140">
        <f t="shared" si="251"/>
        <v>42.30777777777778</v>
      </c>
      <c r="AN112" s="149"/>
      <c r="AO112" s="528"/>
      <c r="AP112" s="155" t="s">
        <v>92</v>
      </c>
      <c r="AQ112" s="163">
        <v>7</v>
      </c>
      <c r="AR112" s="157" t="s">
        <v>14</v>
      </c>
      <c r="AS112" s="138">
        <v>91</v>
      </c>
      <c r="AT112" s="172">
        <v>0.36472222222222223</v>
      </c>
      <c r="AU112" s="140">
        <f t="shared" si="252"/>
        <v>33.189722222222223</v>
      </c>
      <c r="AV112" s="149"/>
      <c r="AW112" s="528"/>
      <c r="AX112" s="155" t="s">
        <v>92</v>
      </c>
      <c r="AY112" s="163"/>
      <c r="AZ112" s="157" t="s">
        <v>14</v>
      </c>
      <c r="BA112" s="138"/>
      <c r="BB112" s="172">
        <v>0.36472222222222223</v>
      </c>
      <c r="BC112" s="140">
        <f t="shared" si="253"/>
        <v>0</v>
      </c>
      <c r="BD112" s="149"/>
      <c r="BE112" s="528"/>
      <c r="BF112" s="155" t="s">
        <v>92</v>
      </c>
      <c r="BG112" s="163">
        <v>14</v>
      </c>
      <c r="BH112" s="157" t="s">
        <v>14</v>
      </c>
      <c r="BI112" s="138">
        <v>153</v>
      </c>
      <c r="BJ112" s="172">
        <v>0.36472222222222223</v>
      </c>
      <c r="BK112" s="140">
        <f t="shared" si="254"/>
        <v>55.802500000000002</v>
      </c>
      <c r="BL112" s="149"/>
      <c r="BM112" s="528"/>
      <c r="BN112" s="155" t="s">
        <v>92</v>
      </c>
      <c r="BO112" s="163">
        <v>6</v>
      </c>
      <c r="BP112" s="157" t="s">
        <v>14</v>
      </c>
      <c r="BQ112" s="138">
        <v>343</v>
      </c>
      <c r="BR112" s="172">
        <v>0.36472222222222223</v>
      </c>
      <c r="BS112" s="140">
        <f t="shared" si="255"/>
        <v>125.09972222222223</v>
      </c>
      <c r="BT112" s="149"/>
      <c r="BU112" s="528"/>
      <c r="BV112" s="572" t="s">
        <v>92</v>
      </c>
      <c r="BW112" s="579"/>
      <c r="BX112" s="574" t="s">
        <v>14</v>
      </c>
      <c r="BY112" s="560"/>
      <c r="BZ112" s="587">
        <v>0.36472222222222223</v>
      </c>
      <c r="CA112" s="562">
        <f t="shared" si="256"/>
        <v>0</v>
      </c>
      <c r="CB112" s="568"/>
      <c r="CC112" s="528"/>
      <c r="CD112" s="572" t="s">
        <v>92</v>
      </c>
      <c r="CE112" s="579"/>
      <c r="CF112" s="574" t="s">
        <v>14</v>
      </c>
      <c r="CG112" s="560"/>
      <c r="CH112" s="587">
        <v>0.36472222222222223</v>
      </c>
      <c r="CI112" s="562">
        <f t="shared" si="257"/>
        <v>0</v>
      </c>
      <c r="CJ112" s="568"/>
      <c r="CK112" s="528"/>
      <c r="CL112" s="155" t="s">
        <v>92</v>
      </c>
      <c r="CM112" s="163"/>
      <c r="CN112" s="157" t="s">
        <v>14</v>
      </c>
      <c r="CO112" s="138"/>
      <c r="CP112" s="172">
        <v>0.36472222222222223</v>
      </c>
      <c r="CQ112" s="140">
        <f t="shared" si="258"/>
        <v>0</v>
      </c>
      <c r="CR112" s="149"/>
      <c r="CS112" s="528"/>
      <c r="CT112" s="155" t="s">
        <v>92</v>
      </c>
      <c r="CU112" s="163">
        <v>14</v>
      </c>
      <c r="CV112" s="157" t="s">
        <v>14</v>
      </c>
      <c r="CW112" s="138">
        <v>153</v>
      </c>
      <c r="CX112" s="172">
        <v>0.36472222222222223</v>
      </c>
      <c r="CY112" s="140">
        <f t="shared" si="259"/>
        <v>55.802500000000002</v>
      </c>
      <c r="CZ112" s="149"/>
      <c r="DA112" s="528"/>
      <c r="DB112" s="155" t="s">
        <v>92</v>
      </c>
      <c r="DC112" s="163"/>
      <c r="DD112" s="157" t="s">
        <v>14</v>
      </c>
      <c r="DE112" s="138"/>
      <c r="DF112" s="172">
        <v>0.36472222222222223</v>
      </c>
      <c r="DG112" s="140">
        <f t="shared" si="260"/>
        <v>0</v>
      </c>
      <c r="DH112" s="149"/>
      <c r="DI112" s="528"/>
      <c r="DJ112" s="155" t="s">
        <v>92</v>
      </c>
      <c r="DK112" s="163"/>
      <c r="DL112" s="157" t="s">
        <v>14</v>
      </c>
      <c r="DM112" s="138">
        <v>0</v>
      </c>
      <c r="DN112" s="172">
        <v>0.36472222222222223</v>
      </c>
      <c r="DO112" s="140">
        <f t="shared" si="261"/>
        <v>0</v>
      </c>
      <c r="DP112" s="149"/>
      <c r="DQ112" s="528"/>
      <c r="DR112" s="155" t="s">
        <v>92</v>
      </c>
      <c r="DS112" s="163">
        <v>0</v>
      </c>
      <c r="DT112" s="157" t="s">
        <v>14</v>
      </c>
      <c r="DU112" s="138">
        <v>0</v>
      </c>
      <c r="DV112" s="172">
        <v>0.36472222222222223</v>
      </c>
      <c r="DW112" s="140">
        <f t="shared" si="262"/>
        <v>0</v>
      </c>
      <c r="DX112" s="149"/>
      <c r="DY112" s="528"/>
      <c r="DZ112" s="155" t="s">
        <v>92</v>
      </c>
      <c r="EA112" s="163">
        <v>5</v>
      </c>
      <c r="EB112" s="157" t="s">
        <v>14</v>
      </c>
      <c r="EC112" s="138">
        <v>0</v>
      </c>
      <c r="ED112" s="172">
        <v>0.36472222222222223</v>
      </c>
      <c r="EE112" s="140">
        <f t="shared" si="263"/>
        <v>0</v>
      </c>
      <c r="EF112" s="149"/>
      <c r="EG112" s="528"/>
      <c r="EH112" s="155" t="s">
        <v>92</v>
      </c>
      <c r="EI112" s="163">
        <v>4</v>
      </c>
      <c r="EJ112" s="157" t="s">
        <v>14</v>
      </c>
      <c r="EK112" s="138">
        <v>86</v>
      </c>
      <c r="EL112" s="172">
        <v>0.36472222222222223</v>
      </c>
      <c r="EM112" s="140">
        <f t="shared" si="264"/>
        <v>31.36611111111111</v>
      </c>
      <c r="EN112" s="149"/>
      <c r="EO112" s="528"/>
      <c r="EP112" s="155" t="s">
        <v>92</v>
      </c>
      <c r="EQ112" s="163">
        <v>2</v>
      </c>
      <c r="ER112" s="157" t="s">
        <v>14</v>
      </c>
      <c r="ES112" s="138">
        <v>0</v>
      </c>
      <c r="ET112" s="172">
        <v>0.36472222222222223</v>
      </c>
      <c r="EU112" s="140">
        <f t="shared" si="265"/>
        <v>0</v>
      </c>
      <c r="EV112" s="149"/>
      <c r="EW112" s="528"/>
      <c r="EX112" s="155" t="s">
        <v>92</v>
      </c>
      <c r="EY112" s="163"/>
      <c r="EZ112" s="157" t="s">
        <v>14</v>
      </c>
      <c r="FA112" s="138"/>
      <c r="FB112" s="172">
        <v>0.36472222222222223</v>
      </c>
      <c r="FC112" s="140">
        <f t="shared" si="266"/>
        <v>0</v>
      </c>
      <c r="FD112" s="149"/>
      <c r="FE112" s="528"/>
      <c r="FF112" s="155" t="s">
        <v>92</v>
      </c>
      <c r="FG112" s="163"/>
      <c r="FH112" s="157" t="s">
        <v>14</v>
      </c>
      <c r="FI112" s="138"/>
      <c r="FJ112" s="172">
        <v>0.36472222222222223</v>
      </c>
      <c r="FK112" s="140">
        <f t="shared" si="267"/>
        <v>0</v>
      </c>
      <c r="FL112" s="149"/>
      <c r="FM112" s="528"/>
      <c r="FN112" s="155" t="s">
        <v>92</v>
      </c>
      <c r="FO112" s="163"/>
      <c r="FP112" s="157" t="s">
        <v>14</v>
      </c>
      <c r="FQ112" s="138"/>
      <c r="FR112" s="172">
        <v>0.36472222222222223</v>
      </c>
      <c r="FS112" s="140">
        <f t="shared" si="268"/>
        <v>0</v>
      </c>
      <c r="FT112" s="149"/>
      <c r="FU112" s="528"/>
      <c r="FV112" s="155" t="s">
        <v>92</v>
      </c>
      <c r="FW112" s="163"/>
      <c r="FX112" s="157" t="s">
        <v>14</v>
      </c>
      <c r="FY112" s="138"/>
      <c r="FZ112" s="172">
        <v>0.36472222222222223</v>
      </c>
      <c r="GA112" s="140">
        <f t="shared" si="269"/>
        <v>0</v>
      </c>
      <c r="GB112" s="149"/>
      <c r="GC112" s="528"/>
      <c r="GD112" s="155" t="s">
        <v>92</v>
      </c>
      <c r="GE112" s="163"/>
      <c r="GF112" s="157" t="s">
        <v>14</v>
      </c>
      <c r="GG112" s="138"/>
      <c r="GH112" s="172">
        <v>0.36472222222222223</v>
      </c>
      <c r="GI112" s="140">
        <f t="shared" si="270"/>
        <v>0</v>
      </c>
      <c r="GJ112" s="149"/>
      <c r="GK112" s="528"/>
      <c r="GL112" s="155" t="s">
        <v>92</v>
      </c>
      <c r="GM112" s="163">
        <v>11</v>
      </c>
      <c r="GN112" s="157" t="s">
        <v>14</v>
      </c>
      <c r="GO112" s="138">
        <f>'[1]Jan_18_Vol weekly-Data-Entry'!$BB$226</f>
        <v>0</v>
      </c>
      <c r="GP112" s="172">
        <v>0.36472222222222223</v>
      </c>
      <c r="GQ112" s="140">
        <f t="shared" si="271"/>
        <v>0</v>
      </c>
      <c r="GR112" s="149"/>
      <c r="GS112" s="528"/>
      <c r="GT112" s="155" t="s">
        <v>92</v>
      </c>
      <c r="GU112" s="163">
        <v>5</v>
      </c>
      <c r="GV112" s="157" t="s">
        <v>14</v>
      </c>
      <c r="GW112" s="138">
        <v>0</v>
      </c>
      <c r="GX112" s="172">
        <v>0.36472222222222223</v>
      </c>
      <c r="GY112" s="140">
        <f t="shared" si="272"/>
        <v>0</v>
      </c>
      <c r="GZ112" s="149"/>
      <c r="HA112" s="528"/>
      <c r="HB112" s="155" t="s">
        <v>92</v>
      </c>
      <c r="HC112" s="163">
        <v>7</v>
      </c>
      <c r="HD112" s="157" t="s">
        <v>14</v>
      </c>
      <c r="HE112" s="138">
        <v>8</v>
      </c>
      <c r="HF112" s="172">
        <v>0.36472222222222223</v>
      </c>
      <c r="HG112" s="140">
        <f t="shared" si="273"/>
        <v>2.9177777777777778</v>
      </c>
      <c r="HH112" s="149"/>
      <c r="HI112" s="528"/>
      <c r="HJ112" s="155" t="s">
        <v>92</v>
      </c>
      <c r="HK112" s="163">
        <v>2</v>
      </c>
      <c r="HL112" s="157" t="s">
        <v>14</v>
      </c>
      <c r="HM112" s="138">
        <v>0</v>
      </c>
      <c r="HN112" s="172">
        <v>0.36472222222222223</v>
      </c>
      <c r="HO112" s="140">
        <f t="shared" si="274"/>
        <v>0</v>
      </c>
      <c r="HP112" s="149"/>
      <c r="HQ112" s="528"/>
      <c r="HR112" s="155" t="s">
        <v>92</v>
      </c>
      <c r="HS112" s="163">
        <v>13</v>
      </c>
      <c r="HT112" s="157" t="s">
        <v>14</v>
      </c>
      <c r="HU112" s="138">
        <v>191</v>
      </c>
      <c r="HV112" s="172">
        <v>0.36472222222222223</v>
      </c>
      <c r="HW112" s="140">
        <f t="shared" si="275"/>
        <v>69.661944444444444</v>
      </c>
      <c r="HX112" s="149"/>
      <c r="HY112" s="528"/>
      <c r="HZ112" s="155" t="s">
        <v>92</v>
      </c>
      <c r="IA112" s="163">
        <v>7</v>
      </c>
      <c r="IB112" s="157" t="s">
        <v>14</v>
      </c>
      <c r="IC112" s="138">
        <v>18</v>
      </c>
      <c r="ID112" s="172">
        <v>0.36472222222222223</v>
      </c>
      <c r="IE112" s="140">
        <f t="shared" si="276"/>
        <v>6.5650000000000004</v>
      </c>
      <c r="IF112" s="149"/>
      <c r="IG112" s="528"/>
      <c r="IH112" s="155" t="s">
        <v>92</v>
      </c>
      <c r="II112" s="163">
        <v>11</v>
      </c>
      <c r="IJ112" s="157" t="s">
        <v>14</v>
      </c>
      <c r="IK112" s="138">
        <v>0</v>
      </c>
      <c r="IL112" s="172">
        <v>0.36472222222222223</v>
      </c>
      <c r="IM112" s="140">
        <f t="shared" si="277"/>
        <v>0</v>
      </c>
      <c r="IN112" s="149"/>
      <c r="IO112" s="528"/>
      <c r="IP112" s="155" t="s">
        <v>92</v>
      </c>
      <c r="IQ112" s="163">
        <v>28</v>
      </c>
      <c r="IR112" s="157" t="s">
        <v>14</v>
      </c>
      <c r="IS112" s="138">
        <v>1150</v>
      </c>
      <c r="IT112" s="172">
        <v>0.36472222222222223</v>
      </c>
      <c r="IU112" s="140">
        <f t="shared" si="278"/>
        <v>419.43055555555554</v>
      </c>
      <c r="IV112" s="149"/>
      <c r="IW112" s="528"/>
      <c r="IX112" s="155" t="s">
        <v>92</v>
      </c>
      <c r="IY112" s="163">
        <v>20</v>
      </c>
      <c r="IZ112" s="157" t="s">
        <v>14</v>
      </c>
      <c r="JA112" s="138">
        <v>179</v>
      </c>
      <c r="JB112" s="172">
        <v>0.36472222222222223</v>
      </c>
      <c r="JC112" s="140">
        <f t="shared" si="279"/>
        <v>65.285277777777779</v>
      </c>
      <c r="JD112" s="149"/>
      <c r="JE112" s="528"/>
      <c r="JF112" s="155" t="s">
        <v>92</v>
      </c>
      <c r="JG112" s="163">
        <v>17</v>
      </c>
      <c r="JH112" s="157" t="s">
        <v>14</v>
      </c>
      <c r="JI112" s="138">
        <v>243</v>
      </c>
      <c r="JJ112" s="172">
        <v>0.36472222222222223</v>
      </c>
      <c r="JK112" s="140">
        <f t="shared" si="280"/>
        <v>88.627499999999998</v>
      </c>
      <c r="JL112" s="149"/>
      <c r="JM112" s="528"/>
      <c r="JN112" s="155" t="s">
        <v>92</v>
      </c>
      <c r="JO112" s="163">
        <v>25</v>
      </c>
      <c r="JP112" s="157" t="s">
        <v>14</v>
      </c>
      <c r="JQ112" s="138">
        <v>259</v>
      </c>
      <c r="JR112" s="172">
        <v>0.36472222222222223</v>
      </c>
      <c r="JS112" s="140">
        <f t="shared" si="281"/>
        <v>94.463055555555556</v>
      </c>
      <c r="JT112" s="149"/>
      <c r="JU112" s="528"/>
      <c r="JV112" s="155" t="s">
        <v>92</v>
      </c>
      <c r="JW112" s="163">
        <v>41</v>
      </c>
      <c r="JX112" s="157" t="s">
        <v>14</v>
      </c>
      <c r="JY112" s="138">
        <v>280</v>
      </c>
      <c r="JZ112" s="172">
        <v>0.36472222222222223</v>
      </c>
      <c r="KA112" s="140">
        <f t="shared" si="282"/>
        <v>102.12222222222222</v>
      </c>
      <c r="KB112" s="149"/>
      <c r="KC112" s="528"/>
      <c r="KD112" s="155" t="s">
        <v>92</v>
      </c>
      <c r="KE112" s="163">
        <v>3</v>
      </c>
      <c r="KF112" s="157" t="s">
        <v>14</v>
      </c>
      <c r="KG112" s="138">
        <v>0</v>
      </c>
      <c r="KH112" s="172">
        <v>0.36472222222222223</v>
      </c>
      <c r="KI112" s="140">
        <f t="shared" si="283"/>
        <v>0</v>
      </c>
      <c r="KJ112" s="149"/>
      <c r="KK112" s="528"/>
      <c r="KL112" s="155" t="s">
        <v>92</v>
      </c>
      <c r="KM112" s="163">
        <v>0</v>
      </c>
      <c r="KN112" s="157" t="s">
        <v>14</v>
      </c>
      <c r="KO112" s="138">
        <v>0</v>
      </c>
      <c r="KP112" s="172">
        <v>0.36472222222222223</v>
      </c>
      <c r="KQ112" s="140">
        <f t="shared" si="284"/>
        <v>0</v>
      </c>
      <c r="KR112" s="149"/>
      <c r="KS112" s="528"/>
      <c r="KT112" s="155" t="s">
        <v>92</v>
      </c>
      <c r="KU112" s="163">
        <v>6</v>
      </c>
      <c r="KV112" s="157" t="s">
        <v>14</v>
      </c>
      <c r="KW112" s="138">
        <v>0</v>
      </c>
      <c r="KX112" s="172">
        <v>0.36472222222222223</v>
      </c>
      <c r="KY112" s="140">
        <f t="shared" si="285"/>
        <v>0</v>
      </c>
      <c r="KZ112" s="149"/>
      <c r="LA112" s="528"/>
      <c r="LB112" s="155" t="s">
        <v>92</v>
      </c>
      <c r="LC112" s="163">
        <v>1</v>
      </c>
      <c r="LD112" s="157" t="s">
        <v>14</v>
      </c>
      <c r="LE112" s="138">
        <v>1</v>
      </c>
      <c r="LF112" s="172">
        <v>0.36472222222222223</v>
      </c>
      <c r="LG112" s="140">
        <f t="shared" si="286"/>
        <v>0.36472222222222223</v>
      </c>
      <c r="LH112" s="149"/>
      <c r="LI112" s="528"/>
      <c r="LJ112" s="155" t="s">
        <v>92</v>
      </c>
      <c r="LK112" s="163">
        <v>9</v>
      </c>
      <c r="LL112" s="157" t="s">
        <v>14</v>
      </c>
      <c r="LM112" s="175">
        <v>35</v>
      </c>
      <c r="LN112" s="164">
        <v>0.36472222222222223</v>
      </c>
      <c r="LO112" s="140">
        <f t="shared" si="313"/>
        <v>12.765277777777778</v>
      </c>
      <c r="LP112" s="149"/>
      <c r="LQ112" s="528"/>
      <c r="LR112" s="155" t="s">
        <v>92</v>
      </c>
      <c r="LS112" s="163">
        <v>8</v>
      </c>
      <c r="LT112" s="157" t="s">
        <v>14</v>
      </c>
      <c r="LU112" s="175">
        <v>0</v>
      </c>
      <c r="LV112" s="164">
        <v>0.36472222222222223</v>
      </c>
      <c r="LW112" s="140">
        <f t="shared" si="314"/>
        <v>0</v>
      </c>
      <c r="LX112" s="149"/>
      <c r="LY112" s="528"/>
      <c r="LZ112" s="155" t="s">
        <v>92</v>
      </c>
      <c r="MA112" s="163">
        <v>12</v>
      </c>
      <c r="MB112" s="157" t="s">
        <v>14</v>
      </c>
      <c r="MC112" s="175">
        <v>388</v>
      </c>
      <c r="MD112" s="164">
        <v>0.36472222222222223</v>
      </c>
      <c r="ME112" s="140">
        <f t="shared" si="315"/>
        <v>141.51222222222222</v>
      </c>
      <c r="MF112" s="149"/>
      <c r="MG112" s="528"/>
      <c r="MH112" s="155" t="s">
        <v>92</v>
      </c>
      <c r="MI112" s="163">
        <v>28</v>
      </c>
      <c r="MJ112" s="157" t="s">
        <v>14</v>
      </c>
      <c r="MK112" s="175">
        <v>143</v>
      </c>
      <c r="ML112" s="164">
        <v>0.36472222222222223</v>
      </c>
      <c r="MM112" s="140">
        <f t="shared" si="316"/>
        <v>52.155277777777776</v>
      </c>
      <c r="MN112" s="149"/>
      <c r="MO112" s="528"/>
      <c r="MP112" s="155" t="s">
        <v>92</v>
      </c>
      <c r="MQ112" s="163">
        <v>42</v>
      </c>
      <c r="MR112" s="157" t="s">
        <v>14</v>
      </c>
      <c r="MS112" s="175">
        <v>579</v>
      </c>
      <c r="MT112" s="164">
        <v>0.36472222222222223</v>
      </c>
      <c r="MU112" s="140">
        <f t="shared" si="317"/>
        <v>211.17416666666668</v>
      </c>
      <c r="MV112" s="149"/>
      <c r="MW112" s="528"/>
      <c r="MX112" s="143" t="s">
        <v>87</v>
      </c>
      <c r="MY112" s="144">
        <v>9</v>
      </c>
      <c r="MZ112" s="157" t="s">
        <v>36</v>
      </c>
      <c r="NA112" s="175">
        <v>177</v>
      </c>
      <c r="NB112" s="164">
        <v>0.75312500000000004</v>
      </c>
      <c r="NC112" s="140">
        <f t="shared" si="292"/>
        <v>133.30312499999999</v>
      </c>
      <c r="ND112" s="168">
        <f>NA112*NB112</f>
        <v>133.30312499999999</v>
      </c>
      <c r="NE112" s="528"/>
      <c r="NF112" s="143" t="s">
        <v>87</v>
      </c>
      <c r="NG112" s="144">
        <v>8</v>
      </c>
      <c r="NH112" s="157" t="s">
        <v>36</v>
      </c>
      <c r="NI112" s="175">
        <v>215</v>
      </c>
      <c r="NJ112" s="164">
        <v>0.75312500000000004</v>
      </c>
      <c r="NK112" s="140">
        <f t="shared" si="293"/>
        <v>161.921875</v>
      </c>
      <c r="NL112" s="168">
        <f>NI112*NJ112</f>
        <v>161.921875</v>
      </c>
      <c r="NM112" s="528"/>
      <c r="NN112" s="143" t="s">
        <v>87</v>
      </c>
      <c r="NO112" s="144">
        <v>1</v>
      </c>
      <c r="NP112" s="157" t="s">
        <v>36</v>
      </c>
      <c r="NQ112" s="175">
        <v>1</v>
      </c>
      <c r="NR112" s="164">
        <v>0.75312500000000004</v>
      </c>
      <c r="NS112" s="140">
        <f t="shared" si="294"/>
        <v>0.75312500000000004</v>
      </c>
      <c r="NT112" s="168">
        <f>NQ112*NR112</f>
        <v>0.75312500000000004</v>
      </c>
      <c r="NU112" s="528"/>
      <c r="NV112" s="143" t="s">
        <v>87</v>
      </c>
      <c r="NW112" s="144">
        <v>3</v>
      </c>
      <c r="NX112" s="157" t="s">
        <v>36</v>
      </c>
      <c r="NY112" s="175">
        <v>32</v>
      </c>
      <c r="NZ112" s="164">
        <v>0.75312500000000004</v>
      </c>
      <c r="OA112" s="140">
        <f t="shared" si="295"/>
        <v>24.1</v>
      </c>
      <c r="OB112" s="168">
        <f>NY112*NZ112</f>
        <v>24.1</v>
      </c>
      <c r="OC112" s="528"/>
      <c r="OD112" s="143" t="s">
        <v>87</v>
      </c>
      <c r="OE112" s="144"/>
      <c r="OF112" s="157" t="s">
        <v>36</v>
      </c>
      <c r="OG112" s="175"/>
      <c r="OH112" s="164">
        <v>0.75312500000000004</v>
      </c>
      <c r="OI112" s="140">
        <f t="shared" si="296"/>
        <v>0</v>
      </c>
      <c r="OJ112" s="168">
        <f>OG112*OH112</f>
        <v>0</v>
      </c>
      <c r="OK112" s="528"/>
      <c r="OL112" s="143" t="s">
        <v>87</v>
      </c>
      <c r="OM112" s="144"/>
      <c r="ON112" s="157" t="s">
        <v>36</v>
      </c>
      <c r="OO112" s="175"/>
      <c r="OP112" s="164">
        <v>0.75312500000000004</v>
      </c>
      <c r="OQ112" s="140">
        <f t="shared" si="297"/>
        <v>0</v>
      </c>
      <c r="OR112" s="168">
        <f>OO112*OP112</f>
        <v>0</v>
      </c>
      <c r="OS112" s="528"/>
      <c r="OT112" s="143" t="s">
        <v>87</v>
      </c>
      <c r="OU112" s="144"/>
      <c r="OV112" s="157" t="s">
        <v>36</v>
      </c>
      <c r="OW112" s="175"/>
      <c r="OX112" s="164">
        <v>0.75312500000000004</v>
      </c>
      <c r="OY112" s="140">
        <f t="shared" si="298"/>
        <v>0</v>
      </c>
      <c r="OZ112" s="168">
        <f>OW112*OX112</f>
        <v>0</v>
      </c>
      <c r="PA112" s="528"/>
      <c r="PB112" s="143" t="s">
        <v>87</v>
      </c>
      <c r="PC112" s="144"/>
      <c r="PD112" s="157" t="s">
        <v>36</v>
      </c>
      <c r="PE112" s="175"/>
      <c r="PF112" s="164">
        <v>0.75312500000000004</v>
      </c>
      <c r="PG112" s="140">
        <f t="shared" si="299"/>
        <v>0</v>
      </c>
      <c r="PH112" s="168">
        <f>PE112*PF112</f>
        <v>0</v>
      </c>
      <c r="PI112" s="528"/>
      <c r="PJ112" s="143" t="s">
        <v>87</v>
      </c>
      <c r="PK112" s="144"/>
      <c r="PL112" s="157" t="s">
        <v>36</v>
      </c>
      <c r="PM112" s="175"/>
      <c r="PN112" s="164">
        <v>0.75312500000000004</v>
      </c>
      <c r="PO112" s="140">
        <f t="shared" si="300"/>
        <v>0</v>
      </c>
      <c r="PP112" s="168">
        <f>PM112*PN112</f>
        <v>0</v>
      </c>
      <c r="PQ112" s="528"/>
      <c r="PR112" s="143" t="s">
        <v>87</v>
      </c>
      <c r="PS112" s="144"/>
      <c r="PT112" s="157" t="s">
        <v>36</v>
      </c>
      <c r="PU112" s="175"/>
      <c r="PV112" s="164">
        <v>0.75312500000000004</v>
      </c>
      <c r="PW112" s="140">
        <f t="shared" si="301"/>
        <v>0</v>
      </c>
      <c r="PX112" s="168">
        <f>PU112*PV112</f>
        <v>0</v>
      </c>
      <c r="PY112" s="528"/>
      <c r="PZ112" s="143" t="s">
        <v>87</v>
      </c>
      <c r="QA112" s="144">
        <v>5</v>
      </c>
      <c r="QB112" s="157" t="s">
        <v>36</v>
      </c>
      <c r="QC112" s="175">
        <v>116</v>
      </c>
      <c r="QD112" s="164">
        <v>0.75312500000000004</v>
      </c>
      <c r="QE112" s="140">
        <f t="shared" si="302"/>
        <v>87.362500000000011</v>
      </c>
      <c r="QF112" s="168">
        <f>QC112*QD112</f>
        <v>87.362500000000011</v>
      </c>
      <c r="QG112" s="528"/>
      <c r="QH112" s="143" t="s">
        <v>87</v>
      </c>
      <c r="QI112" s="144">
        <v>5</v>
      </c>
      <c r="QJ112" s="157" t="s">
        <v>36</v>
      </c>
      <c r="QK112" s="175">
        <v>87</v>
      </c>
      <c r="QL112" s="164">
        <v>0.75312500000000004</v>
      </c>
      <c r="QM112" s="140">
        <f t="shared" si="303"/>
        <v>65.521875000000009</v>
      </c>
      <c r="QN112" s="168">
        <f>QK112*QL112</f>
        <v>65.521875000000009</v>
      </c>
      <c r="QO112" s="528"/>
      <c r="QP112" s="143" t="s">
        <v>87</v>
      </c>
      <c r="QQ112" s="144">
        <v>5</v>
      </c>
      <c r="QR112" s="157" t="s">
        <v>36</v>
      </c>
      <c r="QS112" s="175">
        <v>292</v>
      </c>
      <c r="QT112" s="164">
        <v>0.75312500000000004</v>
      </c>
      <c r="QU112" s="140">
        <f t="shared" si="304"/>
        <v>219.91250000000002</v>
      </c>
      <c r="QV112" s="168">
        <f>QS112*QT112</f>
        <v>219.91250000000002</v>
      </c>
      <c r="QW112" s="528"/>
      <c r="QX112" s="143" t="s">
        <v>87</v>
      </c>
      <c r="QY112" s="144"/>
      <c r="QZ112" s="157" t="s">
        <v>36</v>
      </c>
      <c r="RA112" s="175"/>
      <c r="RB112" s="164">
        <v>0.75312500000000004</v>
      </c>
      <c r="RC112" s="140">
        <f t="shared" si="305"/>
        <v>0</v>
      </c>
      <c r="RD112" s="168">
        <f>RA112*RB112</f>
        <v>0</v>
      </c>
      <c r="RE112" s="528"/>
      <c r="RF112" s="143" t="s">
        <v>87</v>
      </c>
      <c r="RG112" s="144"/>
      <c r="RH112" s="157" t="s">
        <v>36</v>
      </c>
      <c r="RI112" s="175"/>
      <c r="RJ112" s="164">
        <v>0.75312500000000004</v>
      </c>
      <c r="RK112" s="140">
        <f t="shared" si="306"/>
        <v>0</v>
      </c>
      <c r="RL112" s="168">
        <f>RI112*RJ112</f>
        <v>0</v>
      </c>
      <c r="RM112" s="528"/>
      <c r="RN112" s="143" t="s">
        <v>87</v>
      </c>
      <c r="RO112" s="144"/>
      <c r="RP112" s="157" t="s">
        <v>36</v>
      </c>
      <c r="RQ112" s="175"/>
      <c r="RR112" s="164">
        <v>0.75312500000000004</v>
      </c>
      <c r="RS112" s="140">
        <f t="shared" si="307"/>
        <v>0</v>
      </c>
      <c r="RT112" s="168">
        <f>RQ112*RR112</f>
        <v>0</v>
      </c>
      <c r="RU112" s="528"/>
      <c r="RV112" s="143" t="s">
        <v>87</v>
      </c>
      <c r="RW112" s="144">
        <v>1</v>
      </c>
      <c r="RX112" s="157" t="s">
        <v>36</v>
      </c>
      <c r="RY112" s="175">
        <v>3</v>
      </c>
      <c r="RZ112" s="164">
        <v>0.75312500000000004</v>
      </c>
      <c r="SA112" s="140">
        <f t="shared" si="308"/>
        <v>2.2593750000000004</v>
      </c>
      <c r="SB112" s="168">
        <f>RY112*RZ112</f>
        <v>2.2593750000000004</v>
      </c>
      <c r="SC112" s="528"/>
      <c r="SD112" s="143" t="s">
        <v>87</v>
      </c>
      <c r="SE112" s="144">
        <v>1</v>
      </c>
      <c r="SF112" s="157" t="s">
        <v>36</v>
      </c>
      <c r="SG112" s="175">
        <v>14</v>
      </c>
      <c r="SH112" s="164">
        <v>0.75312500000000004</v>
      </c>
      <c r="SI112" s="140">
        <f t="shared" si="309"/>
        <v>10.543750000000001</v>
      </c>
      <c r="SJ112" s="168">
        <f>SG112*SH112</f>
        <v>10.543750000000001</v>
      </c>
      <c r="SK112" s="528"/>
      <c r="SL112" s="143" t="s">
        <v>87</v>
      </c>
      <c r="SM112" s="144"/>
      <c r="SN112" s="157" t="s">
        <v>36</v>
      </c>
      <c r="SO112" s="175"/>
      <c r="SP112" s="164">
        <v>0.75312500000000004</v>
      </c>
      <c r="SQ112" s="140">
        <f t="shared" si="310"/>
        <v>0</v>
      </c>
      <c r="SR112" s="168">
        <f>SO112*SP112</f>
        <v>0</v>
      </c>
      <c r="SS112" s="528"/>
      <c r="ST112" s="143" t="s">
        <v>87</v>
      </c>
      <c r="SU112" s="144">
        <v>1</v>
      </c>
      <c r="SV112" s="157" t="s">
        <v>36</v>
      </c>
      <c r="SW112" s="175">
        <v>3</v>
      </c>
      <c r="SX112" s="164">
        <v>0.75312500000000004</v>
      </c>
      <c r="SY112" s="140">
        <f t="shared" si="311"/>
        <v>2.2593750000000004</v>
      </c>
      <c r="SZ112" s="168">
        <f>SW112*SX112</f>
        <v>2.2593750000000004</v>
      </c>
      <c r="TA112" s="528"/>
      <c r="TB112" s="143" t="s">
        <v>87</v>
      </c>
      <c r="TC112" s="144">
        <v>1</v>
      </c>
      <c r="TD112" s="157" t="s">
        <v>36</v>
      </c>
      <c r="TE112" s="175">
        <v>3</v>
      </c>
      <c r="TF112" s="164">
        <v>0.75312500000000004</v>
      </c>
      <c r="TG112" s="140">
        <f t="shared" si="312"/>
        <v>2.2593750000000004</v>
      </c>
      <c r="TH112" s="168">
        <f>TE112*TF112</f>
        <v>2.2593750000000004</v>
      </c>
      <c r="TI112" s="528"/>
    </row>
    <row r="113" spans="2:529">
      <c r="B113" s="145"/>
      <c r="C113" s="146"/>
      <c r="D113" s="151" t="s">
        <v>42</v>
      </c>
      <c r="E113" s="138">
        <v>27</v>
      </c>
      <c r="F113" s="170">
        <v>0.85592592592592587</v>
      </c>
      <c r="G113" s="140">
        <f t="shared" si="247"/>
        <v>23.11</v>
      </c>
      <c r="H113" s="159">
        <f>SUM(G112:G113)</f>
        <v>31.49861111111111</v>
      </c>
      <c r="I113" s="528"/>
      <c r="J113" s="145"/>
      <c r="K113" s="146"/>
      <c r="L113" s="151" t="s">
        <v>42</v>
      </c>
      <c r="M113" s="138">
        <v>0</v>
      </c>
      <c r="N113" s="170">
        <v>0.85592592592592587</v>
      </c>
      <c r="O113" s="140">
        <f t="shared" si="248"/>
        <v>0</v>
      </c>
      <c r="P113" s="159">
        <f>SUM(O112:O113)</f>
        <v>0</v>
      </c>
      <c r="Q113" s="528"/>
      <c r="R113" s="145"/>
      <c r="S113" s="146"/>
      <c r="T113" s="151" t="s">
        <v>42</v>
      </c>
      <c r="U113" s="138">
        <v>128</v>
      </c>
      <c r="V113" s="170">
        <v>0.85592592592592587</v>
      </c>
      <c r="W113" s="140">
        <f t="shared" si="249"/>
        <v>109.55851851851851</v>
      </c>
      <c r="X113" s="159">
        <f>SUM(W112:W113)</f>
        <v>431.60824074074071</v>
      </c>
      <c r="Y113" s="528"/>
      <c r="Z113" s="145"/>
      <c r="AA113" s="146"/>
      <c r="AB113" s="151" t="s">
        <v>42</v>
      </c>
      <c r="AC113" s="138">
        <v>0</v>
      </c>
      <c r="AD113" s="170">
        <v>0.85592592592592587</v>
      </c>
      <c r="AE113" s="140">
        <f t="shared" si="250"/>
        <v>0</v>
      </c>
      <c r="AF113" s="159">
        <f>SUM(AE112:AE113)</f>
        <v>0</v>
      </c>
      <c r="AG113" s="528"/>
      <c r="AH113" s="145"/>
      <c r="AI113" s="146"/>
      <c r="AJ113" s="151" t="s">
        <v>42</v>
      </c>
      <c r="AK113" s="138">
        <v>38</v>
      </c>
      <c r="AL113" s="170">
        <v>0.85592592592592587</v>
      </c>
      <c r="AM113" s="140">
        <f t="shared" si="251"/>
        <v>32.52518518518518</v>
      </c>
      <c r="AN113" s="159">
        <f>SUM(AM112:AM113)</f>
        <v>74.832962962962966</v>
      </c>
      <c r="AO113" s="528"/>
      <c r="AP113" s="145"/>
      <c r="AQ113" s="146"/>
      <c r="AR113" s="151" t="s">
        <v>42</v>
      </c>
      <c r="AS113" s="138">
        <v>29</v>
      </c>
      <c r="AT113" s="170">
        <v>0.85592592592592587</v>
      </c>
      <c r="AU113" s="140">
        <f t="shared" si="252"/>
        <v>24.82185185185185</v>
      </c>
      <c r="AV113" s="159">
        <f>SUM(AU112:AU113)</f>
        <v>58.011574074074076</v>
      </c>
      <c r="AW113" s="528"/>
      <c r="AX113" s="145"/>
      <c r="AY113" s="146"/>
      <c r="AZ113" s="151" t="s">
        <v>42</v>
      </c>
      <c r="BA113" s="138"/>
      <c r="BB113" s="170">
        <v>0.85592592592592587</v>
      </c>
      <c r="BC113" s="140">
        <f t="shared" si="253"/>
        <v>0</v>
      </c>
      <c r="BD113" s="159">
        <f>SUM(BC112:BC113)</f>
        <v>0</v>
      </c>
      <c r="BE113" s="528"/>
      <c r="BF113" s="145"/>
      <c r="BG113" s="146"/>
      <c r="BH113" s="151" t="s">
        <v>42</v>
      </c>
      <c r="BI113" s="138">
        <v>41</v>
      </c>
      <c r="BJ113" s="170">
        <v>0.85592592592592587</v>
      </c>
      <c r="BK113" s="140">
        <f t="shared" si="254"/>
        <v>35.092962962962957</v>
      </c>
      <c r="BL113" s="159">
        <f>SUM(BK112:BK113)</f>
        <v>90.895462962962966</v>
      </c>
      <c r="BM113" s="528"/>
      <c r="BN113" s="145"/>
      <c r="BO113" s="146"/>
      <c r="BP113" s="151" t="s">
        <v>42</v>
      </c>
      <c r="BQ113" s="138">
        <v>10</v>
      </c>
      <c r="BR113" s="170">
        <v>0.85592592592592587</v>
      </c>
      <c r="BS113" s="140">
        <f t="shared" si="255"/>
        <v>8.5592592592592585</v>
      </c>
      <c r="BT113" s="159">
        <f>SUM(BS112:BS113)</f>
        <v>133.65898148148148</v>
      </c>
      <c r="BU113" s="528"/>
      <c r="BV113" s="536"/>
      <c r="BW113" s="537"/>
      <c r="BX113" s="543" t="s">
        <v>42</v>
      </c>
      <c r="BY113" s="560"/>
      <c r="BZ113" s="585">
        <v>0.85592592592592587</v>
      </c>
      <c r="CA113" s="562">
        <f t="shared" si="256"/>
        <v>0</v>
      </c>
      <c r="CB113" s="575">
        <f>SUM(CA112:CA113)</f>
        <v>0</v>
      </c>
      <c r="CC113" s="528"/>
      <c r="CD113" s="536"/>
      <c r="CE113" s="537"/>
      <c r="CF113" s="543" t="s">
        <v>42</v>
      </c>
      <c r="CG113" s="560"/>
      <c r="CH113" s="585">
        <v>0.85592592592592587</v>
      </c>
      <c r="CI113" s="562">
        <f t="shared" si="257"/>
        <v>0</v>
      </c>
      <c r="CJ113" s="575">
        <f>SUM(CI112:CI113)</f>
        <v>0</v>
      </c>
      <c r="CK113" s="528"/>
      <c r="CL113" s="145"/>
      <c r="CM113" s="146"/>
      <c r="CN113" s="151" t="s">
        <v>42</v>
      </c>
      <c r="CO113" s="138"/>
      <c r="CP113" s="170">
        <v>0.85592592592592587</v>
      </c>
      <c r="CQ113" s="140">
        <f t="shared" si="258"/>
        <v>0</v>
      </c>
      <c r="CR113" s="159">
        <f>SUM(CQ112:CQ113)</f>
        <v>0</v>
      </c>
      <c r="CS113" s="528"/>
      <c r="CT113" s="145"/>
      <c r="CU113" s="146"/>
      <c r="CV113" s="151" t="s">
        <v>42</v>
      </c>
      <c r="CW113" s="138">
        <v>41</v>
      </c>
      <c r="CX113" s="170">
        <v>0.85592592592592587</v>
      </c>
      <c r="CY113" s="140">
        <f t="shared" si="259"/>
        <v>35.092962962962957</v>
      </c>
      <c r="CZ113" s="159">
        <f>SUM(CY112:CY113)</f>
        <v>90.895462962962966</v>
      </c>
      <c r="DA113" s="528"/>
      <c r="DB113" s="145"/>
      <c r="DC113" s="146"/>
      <c r="DD113" s="151" t="s">
        <v>42</v>
      </c>
      <c r="DE113" s="138"/>
      <c r="DF113" s="170">
        <v>0.85592592592592587</v>
      </c>
      <c r="DG113" s="140">
        <f t="shared" si="260"/>
        <v>0</v>
      </c>
      <c r="DH113" s="159">
        <f>SUM(DG112:DG113)</f>
        <v>0</v>
      </c>
      <c r="DI113" s="528"/>
      <c r="DJ113" s="145"/>
      <c r="DK113" s="146"/>
      <c r="DL113" s="151" t="s">
        <v>42</v>
      </c>
      <c r="DM113" s="138">
        <v>0</v>
      </c>
      <c r="DN113" s="170">
        <v>0.85592592592592587</v>
      </c>
      <c r="DO113" s="140">
        <f t="shared" si="261"/>
        <v>0</v>
      </c>
      <c r="DP113" s="159">
        <f>SUM(DO112:DO113)</f>
        <v>0</v>
      </c>
      <c r="DQ113" s="528"/>
      <c r="DR113" s="145"/>
      <c r="DS113" s="146"/>
      <c r="DT113" s="151" t="s">
        <v>42</v>
      </c>
      <c r="DU113" s="138"/>
      <c r="DV113" s="170">
        <v>0.85592592592592587</v>
      </c>
      <c r="DW113" s="140">
        <f t="shared" si="262"/>
        <v>0</v>
      </c>
      <c r="DX113" s="159">
        <f>SUM(DW112:DW113)</f>
        <v>0</v>
      </c>
      <c r="DY113" s="528"/>
      <c r="DZ113" s="145"/>
      <c r="EA113" s="146"/>
      <c r="EB113" s="151" t="s">
        <v>42</v>
      </c>
      <c r="EC113" s="138">
        <v>44</v>
      </c>
      <c r="ED113" s="170">
        <v>0.85592592592592587</v>
      </c>
      <c r="EE113" s="140">
        <f t="shared" si="263"/>
        <v>37.660740740740735</v>
      </c>
      <c r="EF113" s="159">
        <f>SUM(EE112:EE113)</f>
        <v>37.660740740740735</v>
      </c>
      <c r="EG113" s="528"/>
      <c r="EH113" s="145"/>
      <c r="EI113" s="146"/>
      <c r="EJ113" s="151" t="s">
        <v>42</v>
      </c>
      <c r="EK113" s="138">
        <v>8</v>
      </c>
      <c r="EL113" s="170">
        <v>0.85592592592592587</v>
      </c>
      <c r="EM113" s="140">
        <f t="shared" si="264"/>
        <v>6.8474074074074069</v>
      </c>
      <c r="EN113" s="159">
        <f>SUM(EM112:EM113)</f>
        <v>38.213518518518519</v>
      </c>
      <c r="EO113" s="528"/>
      <c r="EP113" s="145"/>
      <c r="EQ113" s="146"/>
      <c r="ER113" s="151" t="s">
        <v>42</v>
      </c>
      <c r="ES113" s="138">
        <v>38</v>
      </c>
      <c r="ET113" s="170">
        <v>0.85592592592592587</v>
      </c>
      <c r="EU113" s="140">
        <f t="shared" si="265"/>
        <v>32.52518518518518</v>
      </c>
      <c r="EV113" s="159">
        <f>SUM(EU112:EU113)</f>
        <v>32.52518518518518</v>
      </c>
      <c r="EW113" s="528"/>
      <c r="EX113" s="145"/>
      <c r="EY113" s="146"/>
      <c r="EZ113" s="151" t="s">
        <v>42</v>
      </c>
      <c r="FA113" s="138"/>
      <c r="FB113" s="170">
        <v>0.85592592592592587</v>
      </c>
      <c r="FC113" s="140">
        <f t="shared" si="266"/>
        <v>0</v>
      </c>
      <c r="FD113" s="159">
        <f>SUM(FC112:FC113)</f>
        <v>0</v>
      </c>
      <c r="FE113" s="528"/>
      <c r="FF113" s="145"/>
      <c r="FG113" s="146"/>
      <c r="FH113" s="151" t="s">
        <v>42</v>
      </c>
      <c r="FI113" s="138"/>
      <c r="FJ113" s="170">
        <v>0.85592592592592587</v>
      </c>
      <c r="FK113" s="140">
        <f t="shared" si="267"/>
        <v>0</v>
      </c>
      <c r="FL113" s="159">
        <f>SUM(FK112:FK113)</f>
        <v>0</v>
      </c>
      <c r="FM113" s="528"/>
      <c r="FN113" s="145"/>
      <c r="FO113" s="146"/>
      <c r="FP113" s="151" t="s">
        <v>42</v>
      </c>
      <c r="FQ113" s="138"/>
      <c r="FR113" s="170">
        <v>0.85592592592592587</v>
      </c>
      <c r="FS113" s="140">
        <f t="shared" si="268"/>
        <v>0</v>
      </c>
      <c r="FT113" s="159">
        <f>SUM(FS112:FS113)</f>
        <v>0</v>
      </c>
      <c r="FU113" s="528"/>
      <c r="FV113" s="145"/>
      <c r="FW113" s="146"/>
      <c r="FX113" s="151" t="s">
        <v>42</v>
      </c>
      <c r="FY113" s="138"/>
      <c r="FZ113" s="170">
        <v>0.85592592592592587</v>
      </c>
      <c r="GA113" s="140">
        <f t="shared" si="269"/>
        <v>0</v>
      </c>
      <c r="GB113" s="159">
        <f>SUM(GA112:GA113)</f>
        <v>0</v>
      </c>
      <c r="GC113" s="528"/>
      <c r="GD113" s="145"/>
      <c r="GE113" s="146"/>
      <c r="GF113" s="151" t="s">
        <v>42</v>
      </c>
      <c r="GG113" s="138"/>
      <c r="GH113" s="170">
        <v>0.85592592592592587</v>
      </c>
      <c r="GI113" s="140">
        <f t="shared" si="270"/>
        <v>0</v>
      </c>
      <c r="GJ113" s="159">
        <f>SUM(GI112:GI113)</f>
        <v>0</v>
      </c>
      <c r="GK113" s="528"/>
      <c r="GL113" s="145"/>
      <c r="GM113" s="146"/>
      <c r="GN113" s="151" t="s">
        <v>42</v>
      </c>
      <c r="GO113" s="138">
        <f>'[1]Jan_18_Vol weekly-Data-Entry'!$BC$226</f>
        <v>0</v>
      </c>
      <c r="GP113" s="170">
        <v>0.85592592592592587</v>
      </c>
      <c r="GQ113" s="140">
        <f t="shared" si="271"/>
        <v>0</v>
      </c>
      <c r="GR113" s="159">
        <f>SUM(GQ112:GQ113)</f>
        <v>0</v>
      </c>
      <c r="GS113" s="528"/>
      <c r="GT113" s="145"/>
      <c r="GU113" s="146"/>
      <c r="GV113" s="151" t="s">
        <v>42</v>
      </c>
      <c r="GW113" s="138">
        <v>29</v>
      </c>
      <c r="GX113" s="170">
        <v>0.85592592592592587</v>
      </c>
      <c r="GY113" s="140">
        <f t="shared" si="272"/>
        <v>24.82185185185185</v>
      </c>
      <c r="GZ113" s="159">
        <f>SUM(GY112:GY113)</f>
        <v>24.82185185185185</v>
      </c>
      <c r="HA113" s="528"/>
      <c r="HB113" s="145"/>
      <c r="HC113" s="146"/>
      <c r="HD113" s="151" t="s">
        <v>42</v>
      </c>
      <c r="HE113" s="138">
        <v>26</v>
      </c>
      <c r="HF113" s="170">
        <v>0.85592592592592587</v>
      </c>
      <c r="HG113" s="140">
        <f t="shared" si="273"/>
        <v>22.254074074074072</v>
      </c>
      <c r="HH113" s="159">
        <f>SUM(HG112:HG113)</f>
        <v>25.171851851851851</v>
      </c>
      <c r="HI113" s="528"/>
      <c r="HJ113" s="145"/>
      <c r="HK113" s="146"/>
      <c r="HL113" s="151" t="s">
        <v>42</v>
      </c>
      <c r="HM113" s="138">
        <v>4</v>
      </c>
      <c r="HN113" s="170">
        <v>0.85592592592592587</v>
      </c>
      <c r="HO113" s="140">
        <f t="shared" si="274"/>
        <v>3.4237037037037035</v>
      </c>
      <c r="HP113" s="159">
        <f>SUM(HO112:HO113)</f>
        <v>3.4237037037037035</v>
      </c>
      <c r="HQ113" s="528"/>
      <c r="HR113" s="145"/>
      <c r="HS113" s="146"/>
      <c r="HT113" s="151" t="s">
        <v>42</v>
      </c>
      <c r="HU113" s="138">
        <v>13</v>
      </c>
      <c r="HV113" s="170">
        <v>0.85592592592592587</v>
      </c>
      <c r="HW113" s="140">
        <f t="shared" si="275"/>
        <v>11.127037037037036</v>
      </c>
      <c r="HX113" s="159">
        <f>SUM(HW112:HW113)</f>
        <v>80.788981481481486</v>
      </c>
      <c r="HY113" s="528"/>
      <c r="HZ113" s="145"/>
      <c r="IA113" s="146"/>
      <c r="IB113" s="151" t="s">
        <v>42</v>
      </c>
      <c r="IC113" s="138">
        <v>16</v>
      </c>
      <c r="ID113" s="170">
        <v>0.85592592592592587</v>
      </c>
      <c r="IE113" s="140">
        <f t="shared" si="276"/>
        <v>13.694814814814814</v>
      </c>
      <c r="IF113" s="159">
        <f>SUM(IE112:IE113)</f>
        <v>20.259814814814813</v>
      </c>
      <c r="IG113" s="528"/>
      <c r="IH113" s="145"/>
      <c r="II113" s="146"/>
      <c r="IJ113" s="151" t="s">
        <v>42</v>
      </c>
      <c r="IK113" s="138">
        <v>145</v>
      </c>
      <c r="IL113" s="170">
        <v>0.85592592592592587</v>
      </c>
      <c r="IM113" s="140">
        <f t="shared" si="277"/>
        <v>124.10925925925925</v>
      </c>
      <c r="IN113" s="159">
        <f>SUM(IM112:IM113)</f>
        <v>124.10925925925925</v>
      </c>
      <c r="IO113" s="528"/>
      <c r="IP113" s="145"/>
      <c r="IQ113" s="146"/>
      <c r="IR113" s="151" t="s">
        <v>42</v>
      </c>
      <c r="IS113" s="138">
        <v>228</v>
      </c>
      <c r="IT113" s="170">
        <v>0.85592592592592587</v>
      </c>
      <c r="IU113" s="140">
        <f t="shared" si="278"/>
        <v>195.15111111111111</v>
      </c>
      <c r="IV113" s="159">
        <f>SUM(IU112:IU113)</f>
        <v>614.58166666666671</v>
      </c>
      <c r="IW113" s="528"/>
      <c r="IX113" s="145"/>
      <c r="IY113" s="146"/>
      <c r="IZ113" s="151" t="s">
        <v>42</v>
      </c>
      <c r="JA113" s="138">
        <v>58</v>
      </c>
      <c r="JB113" s="170">
        <v>0.85592592592592587</v>
      </c>
      <c r="JC113" s="140">
        <f t="shared" si="279"/>
        <v>49.6437037037037</v>
      </c>
      <c r="JD113" s="159">
        <f>SUM(JC112:JC113)</f>
        <v>114.92898148148149</v>
      </c>
      <c r="JE113" s="528"/>
      <c r="JF113" s="145"/>
      <c r="JG113" s="146"/>
      <c r="JH113" s="151" t="s">
        <v>42</v>
      </c>
      <c r="JI113" s="138">
        <v>44</v>
      </c>
      <c r="JJ113" s="170">
        <v>0.85592592592592587</v>
      </c>
      <c r="JK113" s="140">
        <f t="shared" si="280"/>
        <v>37.660740740740735</v>
      </c>
      <c r="JL113" s="159">
        <f>SUM(JK112:JK113)</f>
        <v>126.28824074074073</v>
      </c>
      <c r="JM113" s="528"/>
      <c r="JN113" s="145"/>
      <c r="JO113" s="146"/>
      <c r="JP113" s="151" t="s">
        <v>42</v>
      </c>
      <c r="JQ113" s="138">
        <v>278</v>
      </c>
      <c r="JR113" s="170">
        <v>0.85592592592592587</v>
      </c>
      <c r="JS113" s="140">
        <f t="shared" si="281"/>
        <v>237.94740740740738</v>
      </c>
      <c r="JT113" s="159">
        <f>SUM(JS112:JS113)</f>
        <v>332.41046296296292</v>
      </c>
      <c r="JU113" s="528"/>
      <c r="JV113" s="145"/>
      <c r="JW113" s="146"/>
      <c r="JX113" s="151" t="s">
        <v>42</v>
      </c>
      <c r="JY113" s="138">
        <v>169</v>
      </c>
      <c r="JZ113" s="170">
        <v>0.85592592592592587</v>
      </c>
      <c r="KA113" s="140">
        <f t="shared" si="282"/>
        <v>144.65148148148148</v>
      </c>
      <c r="KB113" s="159">
        <f>SUM(KA112:KA113)</f>
        <v>246.77370370370369</v>
      </c>
      <c r="KC113" s="528"/>
      <c r="KD113" s="145"/>
      <c r="KE113" s="146"/>
      <c r="KF113" s="151" t="s">
        <v>42</v>
      </c>
      <c r="KG113" s="138">
        <v>27</v>
      </c>
      <c r="KH113" s="170">
        <v>0.85592592592592587</v>
      </c>
      <c r="KI113" s="140">
        <f t="shared" si="283"/>
        <v>23.11</v>
      </c>
      <c r="KJ113" s="159">
        <f>SUM(KI112:KI113)</f>
        <v>23.11</v>
      </c>
      <c r="KK113" s="528"/>
      <c r="KL113" s="145"/>
      <c r="KM113" s="146"/>
      <c r="KN113" s="151" t="s">
        <v>42</v>
      </c>
      <c r="KO113" s="138">
        <v>0</v>
      </c>
      <c r="KP113" s="170">
        <v>0.85592592592592587</v>
      </c>
      <c r="KQ113" s="140">
        <f t="shared" si="284"/>
        <v>0</v>
      </c>
      <c r="KR113" s="159">
        <f>SUM(KQ112:KQ113)</f>
        <v>0</v>
      </c>
      <c r="KS113" s="528"/>
      <c r="KT113" s="145"/>
      <c r="KU113" s="146"/>
      <c r="KV113" s="151" t="s">
        <v>42</v>
      </c>
      <c r="KW113" s="138">
        <v>12</v>
      </c>
      <c r="KX113" s="170">
        <v>0.85592592592592587</v>
      </c>
      <c r="KY113" s="140">
        <f t="shared" si="285"/>
        <v>10.271111111111111</v>
      </c>
      <c r="KZ113" s="159">
        <f>SUM(KY112:KY113)</f>
        <v>10.271111111111111</v>
      </c>
      <c r="LA113" s="528"/>
      <c r="LB113" s="145"/>
      <c r="LC113" s="146"/>
      <c r="LD113" s="151" t="s">
        <v>42</v>
      </c>
      <c r="LE113" s="138">
        <v>0</v>
      </c>
      <c r="LF113" s="170">
        <v>0.85592592592592587</v>
      </c>
      <c r="LG113" s="140">
        <f t="shared" si="286"/>
        <v>0</v>
      </c>
      <c r="LH113" s="159">
        <f>SUM(LG112:LG113)</f>
        <v>0.36472222222222223</v>
      </c>
      <c r="LI113" s="528"/>
      <c r="LJ113" s="145"/>
      <c r="LK113" s="146"/>
      <c r="LL113" s="151" t="s">
        <v>42</v>
      </c>
      <c r="LM113" s="175">
        <v>16</v>
      </c>
      <c r="LN113" s="139">
        <v>0.85592592592592587</v>
      </c>
      <c r="LO113" s="140">
        <f t="shared" si="313"/>
        <v>13.694814814814814</v>
      </c>
      <c r="LP113" s="159">
        <f>SUM(LO112:LO113)</f>
        <v>26.460092592592591</v>
      </c>
      <c r="LQ113" s="528"/>
      <c r="LR113" s="145"/>
      <c r="LS113" s="146"/>
      <c r="LT113" s="151" t="s">
        <v>42</v>
      </c>
      <c r="LU113" s="175">
        <v>70</v>
      </c>
      <c r="LV113" s="139">
        <v>0.85592592592592587</v>
      </c>
      <c r="LW113" s="140">
        <f t="shared" si="314"/>
        <v>59.914814814814811</v>
      </c>
      <c r="LX113" s="159">
        <f>SUM(LW112:LW113)</f>
        <v>59.914814814814811</v>
      </c>
      <c r="LY113" s="528"/>
      <c r="LZ113" s="145"/>
      <c r="MA113" s="146"/>
      <c r="MB113" s="151" t="s">
        <v>42</v>
      </c>
      <c r="MC113" s="175">
        <v>60</v>
      </c>
      <c r="MD113" s="139">
        <v>0.85592592592592587</v>
      </c>
      <c r="ME113" s="140">
        <f t="shared" si="315"/>
        <v>51.355555555555554</v>
      </c>
      <c r="MF113" s="159">
        <f>SUM(ME112:ME113)</f>
        <v>192.86777777777777</v>
      </c>
      <c r="MG113" s="528"/>
      <c r="MH113" s="145"/>
      <c r="MI113" s="146"/>
      <c r="MJ113" s="151" t="s">
        <v>42</v>
      </c>
      <c r="MK113" s="175">
        <v>223</v>
      </c>
      <c r="ML113" s="139">
        <v>0.85592592592592587</v>
      </c>
      <c r="MM113" s="140">
        <f t="shared" si="316"/>
        <v>190.87148148148148</v>
      </c>
      <c r="MN113" s="159">
        <f>SUM(MM112:MM113)</f>
        <v>243.02675925925925</v>
      </c>
      <c r="MO113" s="528"/>
      <c r="MP113" s="145"/>
      <c r="MQ113" s="146"/>
      <c r="MR113" s="151" t="s">
        <v>42</v>
      </c>
      <c r="MS113" s="175">
        <v>213</v>
      </c>
      <c r="MT113" s="139">
        <v>0.85592592592592587</v>
      </c>
      <c r="MU113" s="140">
        <f t="shared" si="317"/>
        <v>182.3122222222222</v>
      </c>
      <c r="MV113" s="159">
        <f>SUM(MU112:MU113)</f>
        <v>393.48638888888888</v>
      </c>
      <c r="MW113" s="528"/>
      <c r="MX113" s="143" t="s">
        <v>360</v>
      </c>
      <c r="MY113" s="144">
        <v>14</v>
      </c>
      <c r="MZ113" s="157" t="s">
        <v>36</v>
      </c>
      <c r="NA113" s="175">
        <v>221</v>
      </c>
      <c r="NB113" s="164">
        <v>1.5175000000000001</v>
      </c>
      <c r="NC113" s="140">
        <f>NB113*NA113</f>
        <v>335.36750000000001</v>
      </c>
      <c r="ND113" s="149"/>
      <c r="NE113" s="528"/>
      <c r="NF113" s="143" t="s">
        <v>360</v>
      </c>
      <c r="NG113" s="144">
        <v>18</v>
      </c>
      <c r="NH113" s="157" t="s">
        <v>36</v>
      </c>
      <c r="NI113" s="175">
        <v>334</v>
      </c>
      <c r="NJ113" s="164">
        <v>1.5175000000000001</v>
      </c>
      <c r="NK113" s="140">
        <f>NJ113*NI113</f>
        <v>506.84500000000003</v>
      </c>
      <c r="NL113" s="149"/>
      <c r="NM113" s="528"/>
      <c r="NN113" s="143" t="s">
        <v>360</v>
      </c>
      <c r="NO113" s="144">
        <v>2</v>
      </c>
      <c r="NP113" s="157" t="s">
        <v>36</v>
      </c>
      <c r="NQ113" s="175">
        <v>9</v>
      </c>
      <c r="NR113" s="164">
        <v>1.5175000000000001</v>
      </c>
      <c r="NS113" s="140">
        <f>NR113*NQ113</f>
        <v>13.657500000000001</v>
      </c>
      <c r="NT113" s="149"/>
      <c r="NU113" s="528"/>
      <c r="NV113" s="143" t="s">
        <v>360</v>
      </c>
      <c r="NW113" s="144">
        <v>2</v>
      </c>
      <c r="NX113" s="157" t="s">
        <v>36</v>
      </c>
      <c r="NY113" s="175">
        <v>20</v>
      </c>
      <c r="NZ113" s="164">
        <v>1.5175000000000001</v>
      </c>
      <c r="OA113" s="140">
        <f>NZ113*NY113</f>
        <v>30.35</v>
      </c>
      <c r="OB113" s="149"/>
      <c r="OC113" s="528"/>
      <c r="OD113" s="143" t="s">
        <v>360</v>
      </c>
      <c r="OE113" s="144"/>
      <c r="OF113" s="157" t="s">
        <v>36</v>
      </c>
      <c r="OG113" s="175"/>
      <c r="OH113" s="164">
        <v>1.5175000000000001</v>
      </c>
      <c r="OI113" s="140">
        <f>OH113*OG113</f>
        <v>0</v>
      </c>
      <c r="OJ113" s="149"/>
      <c r="OK113" s="528"/>
      <c r="OL113" s="143" t="s">
        <v>360</v>
      </c>
      <c r="OM113" s="144">
        <v>5</v>
      </c>
      <c r="ON113" s="157" t="s">
        <v>36</v>
      </c>
      <c r="OO113" s="175">
        <v>47</v>
      </c>
      <c r="OP113" s="164">
        <v>1.5175000000000001</v>
      </c>
      <c r="OQ113" s="140">
        <f>OP113*OO113</f>
        <v>71.322500000000005</v>
      </c>
      <c r="OR113" s="149"/>
      <c r="OS113" s="528"/>
      <c r="OT113" s="143" t="s">
        <v>360</v>
      </c>
      <c r="OU113" s="144"/>
      <c r="OV113" s="157" t="s">
        <v>36</v>
      </c>
      <c r="OW113" s="175"/>
      <c r="OX113" s="164">
        <v>1.5175000000000001</v>
      </c>
      <c r="OY113" s="140">
        <f>OX113*OW113</f>
        <v>0</v>
      </c>
      <c r="OZ113" s="149"/>
      <c r="PA113" s="528"/>
      <c r="PB113" s="143" t="s">
        <v>360</v>
      </c>
      <c r="PC113" s="144">
        <v>3</v>
      </c>
      <c r="PD113" s="157" t="s">
        <v>36</v>
      </c>
      <c r="PE113" s="175">
        <v>98</v>
      </c>
      <c r="PF113" s="164">
        <v>1.5175000000000001</v>
      </c>
      <c r="PG113" s="140">
        <f>PF113*PE113</f>
        <v>148.715</v>
      </c>
      <c r="PH113" s="149"/>
      <c r="PI113" s="528"/>
      <c r="PJ113" s="143" t="s">
        <v>360</v>
      </c>
      <c r="PK113" s="144">
        <v>18</v>
      </c>
      <c r="PL113" s="157" t="s">
        <v>36</v>
      </c>
      <c r="PM113" s="175">
        <v>287</v>
      </c>
      <c r="PN113" s="164">
        <v>1.5175000000000001</v>
      </c>
      <c r="PO113" s="140">
        <f>PN113*PM113</f>
        <v>435.52250000000004</v>
      </c>
      <c r="PP113" s="149"/>
      <c r="PQ113" s="528"/>
      <c r="PR113" s="143" t="s">
        <v>360</v>
      </c>
      <c r="PS113" s="144">
        <v>18</v>
      </c>
      <c r="PT113" s="157" t="s">
        <v>36</v>
      </c>
      <c r="PU113" s="175">
        <v>198</v>
      </c>
      <c r="PV113" s="164">
        <v>1.5175000000000001</v>
      </c>
      <c r="PW113" s="140">
        <f>PV113*PU113</f>
        <v>300.46500000000003</v>
      </c>
      <c r="PX113" s="149"/>
      <c r="PY113" s="528"/>
      <c r="PZ113" s="143" t="s">
        <v>360</v>
      </c>
      <c r="QA113" s="144">
        <v>28</v>
      </c>
      <c r="QB113" s="157" t="s">
        <v>36</v>
      </c>
      <c r="QC113" s="175">
        <v>238</v>
      </c>
      <c r="QD113" s="164">
        <v>1.5175000000000001</v>
      </c>
      <c r="QE113" s="140">
        <f>QD113*QC113</f>
        <v>361.16500000000002</v>
      </c>
      <c r="QF113" s="149"/>
      <c r="QG113" s="528"/>
      <c r="QH113" s="143" t="s">
        <v>360</v>
      </c>
      <c r="QI113" s="144">
        <v>9</v>
      </c>
      <c r="QJ113" s="157" t="s">
        <v>36</v>
      </c>
      <c r="QK113" s="175">
        <v>86</v>
      </c>
      <c r="QL113" s="164">
        <v>1.5175000000000001</v>
      </c>
      <c r="QM113" s="140">
        <f>QL113*QK113</f>
        <v>130.505</v>
      </c>
      <c r="QN113" s="149"/>
      <c r="QO113" s="528"/>
      <c r="QP113" s="143" t="s">
        <v>360</v>
      </c>
      <c r="QQ113" s="144">
        <v>7</v>
      </c>
      <c r="QR113" s="157" t="s">
        <v>36</v>
      </c>
      <c r="QS113" s="175">
        <v>52</v>
      </c>
      <c r="QT113" s="164">
        <v>1.5175000000000001</v>
      </c>
      <c r="QU113" s="140">
        <f>QT113*QS113</f>
        <v>78.91</v>
      </c>
      <c r="QV113" s="149"/>
      <c r="QW113" s="528"/>
      <c r="QX113" s="143" t="s">
        <v>360</v>
      </c>
      <c r="QY113" s="144"/>
      <c r="QZ113" s="157" t="s">
        <v>36</v>
      </c>
      <c r="RA113" s="175"/>
      <c r="RB113" s="164">
        <v>1.5175000000000001</v>
      </c>
      <c r="RC113" s="140">
        <f>RB113*RA113</f>
        <v>0</v>
      </c>
      <c r="RD113" s="149"/>
      <c r="RE113" s="528"/>
      <c r="RF113" s="143" t="s">
        <v>360</v>
      </c>
      <c r="RG113" s="144"/>
      <c r="RH113" s="157" t="s">
        <v>36</v>
      </c>
      <c r="RI113" s="175"/>
      <c r="RJ113" s="164">
        <v>1.5175000000000001</v>
      </c>
      <c r="RK113" s="140">
        <f>RJ113*RI113</f>
        <v>0</v>
      </c>
      <c r="RL113" s="149"/>
      <c r="RM113" s="528"/>
      <c r="RN113" s="143" t="s">
        <v>360</v>
      </c>
      <c r="RO113" s="144"/>
      <c r="RP113" s="157" t="s">
        <v>36</v>
      </c>
      <c r="RQ113" s="175"/>
      <c r="RR113" s="164">
        <v>1.5175000000000001</v>
      </c>
      <c r="RS113" s="140">
        <f>RR113*RQ113</f>
        <v>0</v>
      </c>
      <c r="RT113" s="149"/>
      <c r="RU113" s="528"/>
      <c r="RV113" s="143" t="s">
        <v>360</v>
      </c>
      <c r="RW113" s="144">
        <v>1</v>
      </c>
      <c r="RX113" s="157" t="s">
        <v>36</v>
      </c>
      <c r="RY113" s="175">
        <v>3</v>
      </c>
      <c r="RZ113" s="164">
        <v>1.5175000000000001</v>
      </c>
      <c r="SA113" s="140">
        <f>RZ113*RY113</f>
        <v>4.5525000000000002</v>
      </c>
      <c r="SB113" s="149"/>
      <c r="SC113" s="528"/>
      <c r="SD113" s="143" t="s">
        <v>360</v>
      </c>
      <c r="SE113" s="144">
        <v>9</v>
      </c>
      <c r="SF113" s="157" t="s">
        <v>36</v>
      </c>
      <c r="SG113" s="175">
        <v>85</v>
      </c>
      <c r="SH113" s="164">
        <v>1.5175000000000001</v>
      </c>
      <c r="SI113" s="140">
        <f>SH113*SG113</f>
        <v>128.98750000000001</v>
      </c>
      <c r="SJ113" s="149"/>
      <c r="SK113" s="528"/>
      <c r="SL113" s="143" t="s">
        <v>360</v>
      </c>
      <c r="SM113" s="144">
        <v>21</v>
      </c>
      <c r="SN113" s="157" t="s">
        <v>36</v>
      </c>
      <c r="SO113" s="175">
        <v>282</v>
      </c>
      <c r="SP113" s="164">
        <v>1.5175000000000001</v>
      </c>
      <c r="SQ113" s="140">
        <f>SP113*SO113</f>
        <v>427.935</v>
      </c>
      <c r="SR113" s="149"/>
      <c r="SS113" s="528"/>
      <c r="ST113" s="143" t="s">
        <v>360</v>
      </c>
      <c r="SU113" s="144">
        <v>13</v>
      </c>
      <c r="SV113" s="157" t="s">
        <v>36</v>
      </c>
      <c r="SW113" s="175">
        <v>295</v>
      </c>
      <c r="SX113" s="164">
        <v>1.5175000000000001</v>
      </c>
      <c r="SY113" s="140">
        <f>SX113*SW113</f>
        <v>447.66250000000002</v>
      </c>
      <c r="SZ113" s="149"/>
      <c r="TA113" s="528"/>
      <c r="TB113" s="143" t="s">
        <v>360</v>
      </c>
      <c r="TC113" s="144">
        <v>24</v>
      </c>
      <c r="TD113" s="157" t="s">
        <v>36</v>
      </c>
      <c r="TE113" s="175">
        <v>319</v>
      </c>
      <c r="TF113" s="164">
        <v>1.5175000000000001</v>
      </c>
      <c r="TG113" s="140">
        <f>TF113*TE113</f>
        <v>484.08250000000004</v>
      </c>
      <c r="TH113" s="149"/>
      <c r="TI113" s="528"/>
    </row>
    <row r="114" spans="2:529">
      <c r="B114" s="143" t="s">
        <v>93</v>
      </c>
      <c r="C114" s="163">
        <v>13</v>
      </c>
      <c r="D114" s="157" t="s">
        <v>94</v>
      </c>
      <c r="E114" s="138">
        <v>0</v>
      </c>
      <c r="F114" s="172">
        <v>0.28360000000000002</v>
      </c>
      <c r="G114" s="140">
        <f t="shared" si="247"/>
        <v>0</v>
      </c>
      <c r="H114" s="149"/>
      <c r="I114" s="528"/>
      <c r="J114" s="143" t="s">
        <v>93</v>
      </c>
      <c r="K114" s="163">
        <v>7</v>
      </c>
      <c r="L114" s="157" t="s">
        <v>94</v>
      </c>
      <c r="M114" s="138">
        <v>0</v>
      </c>
      <c r="N114" s="172">
        <v>0.28360000000000002</v>
      </c>
      <c r="O114" s="140">
        <f t="shared" si="248"/>
        <v>0</v>
      </c>
      <c r="P114" s="149"/>
      <c r="Q114" s="528"/>
      <c r="R114" s="143" t="s">
        <v>93</v>
      </c>
      <c r="S114" s="163"/>
      <c r="T114" s="157" t="s">
        <v>94</v>
      </c>
      <c r="U114" s="138">
        <v>0</v>
      </c>
      <c r="V114" s="172">
        <v>0.28360000000000002</v>
      </c>
      <c r="W114" s="140">
        <f t="shared" si="249"/>
        <v>0</v>
      </c>
      <c r="X114" s="149"/>
      <c r="Y114" s="528"/>
      <c r="Z114" s="143" t="s">
        <v>93</v>
      </c>
      <c r="AA114" s="163">
        <v>1</v>
      </c>
      <c r="AB114" s="157" t="s">
        <v>94</v>
      </c>
      <c r="AC114" s="138">
        <v>0</v>
      </c>
      <c r="AD114" s="172">
        <v>0.28360000000000002</v>
      </c>
      <c r="AE114" s="140">
        <f t="shared" si="250"/>
        <v>0</v>
      </c>
      <c r="AF114" s="149"/>
      <c r="AG114" s="528"/>
      <c r="AH114" s="143" t="s">
        <v>93</v>
      </c>
      <c r="AI114" s="163">
        <v>5</v>
      </c>
      <c r="AJ114" s="157" t="s">
        <v>94</v>
      </c>
      <c r="AK114" s="138">
        <v>0</v>
      </c>
      <c r="AL114" s="172">
        <v>0.28360000000000002</v>
      </c>
      <c r="AM114" s="140">
        <f t="shared" si="251"/>
        <v>0</v>
      </c>
      <c r="AN114" s="149"/>
      <c r="AO114" s="528"/>
      <c r="AP114" s="143" t="s">
        <v>93</v>
      </c>
      <c r="AQ114" s="163">
        <v>7</v>
      </c>
      <c r="AR114" s="157" t="s">
        <v>94</v>
      </c>
      <c r="AS114" s="138">
        <v>40</v>
      </c>
      <c r="AT114" s="172">
        <v>0.28360000000000002</v>
      </c>
      <c r="AU114" s="140">
        <f t="shared" si="252"/>
        <v>11.344000000000001</v>
      </c>
      <c r="AV114" s="149"/>
      <c r="AW114" s="528"/>
      <c r="AX114" s="143" t="s">
        <v>93</v>
      </c>
      <c r="AY114" s="163"/>
      <c r="AZ114" s="157" t="s">
        <v>94</v>
      </c>
      <c r="BA114" s="138"/>
      <c r="BB114" s="172">
        <v>0.28360000000000002</v>
      </c>
      <c r="BC114" s="140">
        <f t="shared" si="253"/>
        <v>0</v>
      </c>
      <c r="BD114" s="149"/>
      <c r="BE114" s="528"/>
      <c r="BF114" s="143" t="s">
        <v>93</v>
      </c>
      <c r="BG114" s="163">
        <v>34</v>
      </c>
      <c r="BH114" s="157" t="s">
        <v>94</v>
      </c>
      <c r="BI114" s="138">
        <v>1090</v>
      </c>
      <c r="BJ114" s="172">
        <v>0.28360000000000002</v>
      </c>
      <c r="BK114" s="140">
        <f t="shared" si="254"/>
        <v>309.12400000000002</v>
      </c>
      <c r="BL114" s="149"/>
      <c r="BM114" s="528"/>
      <c r="BN114" s="143" t="s">
        <v>93</v>
      </c>
      <c r="BO114" s="163">
        <v>30</v>
      </c>
      <c r="BP114" s="157" t="s">
        <v>94</v>
      </c>
      <c r="BQ114" s="138">
        <v>525</v>
      </c>
      <c r="BR114" s="172">
        <v>0.28360000000000002</v>
      </c>
      <c r="BS114" s="140">
        <f t="shared" si="255"/>
        <v>148.89000000000001</v>
      </c>
      <c r="BT114" s="149"/>
      <c r="BU114" s="528"/>
      <c r="BV114" s="564" t="s">
        <v>93</v>
      </c>
      <c r="BW114" s="579"/>
      <c r="BX114" s="574" t="s">
        <v>94</v>
      </c>
      <c r="BY114" s="560"/>
      <c r="BZ114" s="587">
        <v>0.28360000000000002</v>
      </c>
      <c r="CA114" s="562">
        <f t="shared" si="256"/>
        <v>0</v>
      </c>
      <c r="CB114" s="568"/>
      <c r="CC114" s="528"/>
      <c r="CD114" s="564" t="s">
        <v>93</v>
      </c>
      <c r="CE114" s="579"/>
      <c r="CF114" s="574" t="s">
        <v>94</v>
      </c>
      <c r="CG114" s="560"/>
      <c r="CH114" s="587">
        <v>0.28360000000000002</v>
      </c>
      <c r="CI114" s="562">
        <f t="shared" si="257"/>
        <v>0</v>
      </c>
      <c r="CJ114" s="568"/>
      <c r="CK114" s="528"/>
      <c r="CL114" s="143" t="s">
        <v>93</v>
      </c>
      <c r="CM114" s="163"/>
      <c r="CN114" s="157" t="s">
        <v>94</v>
      </c>
      <c r="CO114" s="138"/>
      <c r="CP114" s="172">
        <v>0.28360000000000002</v>
      </c>
      <c r="CQ114" s="140">
        <f t="shared" si="258"/>
        <v>0</v>
      </c>
      <c r="CR114" s="149"/>
      <c r="CS114" s="528"/>
      <c r="CT114" s="143" t="s">
        <v>93</v>
      </c>
      <c r="CU114" s="163">
        <v>17</v>
      </c>
      <c r="CV114" s="157" t="s">
        <v>94</v>
      </c>
      <c r="CW114" s="138">
        <v>1090</v>
      </c>
      <c r="CX114" s="172">
        <v>0.28360000000000002</v>
      </c>
      <c r="CY114" s="140">
        <f t="shared" si="259"/>
        <v>309.12400000000002</v>
      </c>
      <c r="CZ114" s="149"/>
      <c r="DA114" s="528"/>
      <c r="DB114" s="143" t="s">
        <v>93</v>
      </c>
      <c r="DC114" s="163"/>
      <c r="DD114" s="157" t="s">
        <v>94</v>
      </c>
      <c r="DE114" s="138"/>
      <c r="DF114" s="172">
        <v>0.28360000000000002</v>
      </c>
      <c r="DG114" s="140">
        <f t="shared" si="260"/>
        <v>0</v>
      </c>
      <c r="DH114" s="149"/>
      <c r="DI114" s="528"/>
      <c r="DJ114" s="143" t="s">
        <v>93</v>
      </c>
      <c r="DK114" s="163"/>
      <c r="DL114" s="157" t="s">
        <v>94</v>
      </c>
      <c r="DM114" s="138">
        <v>0</v>
      </c>
      <c r="DN114" s="172">
        <v>0.28360000000000002</v>
      </c>
      <c r="DO114" s="140">
        <f t="shared" si="261"/>
        <v>0</v>
      </c>
      <c r="DP114" s="149"/>
      <c r="DQ114" s="528"/>
      <c r="DR114" s="143" t="s">
        <v>93</v>
      </c>
      <c r="DS114" s="163">
        <v>0</v>
      </c>
      <c r="DT114" s="157" t="s">
        <v>94</v>
      </c>
      <c r="DU114" s="138">
        <v>0</v>
      </c>
      <c r="DV114" s="172">
        <v>0.28360000000000002</v>
      </c>
      <c r="DW114" s="140">
        <f t="shared" si="262"/>
        <v>0</v>
      </c>
      <c r="DX114" s="149"/>
      <c r="DY114" s="528"/>
      <c r="DZ114" s="143" t="s">
        <v>93</v>
      </c>
      <c r="EA114" s="163">
        <v>0</v>
      </c>
      <c r="EB114" s="157" t="s">
        <v>94</v>
      </c>
      <c r="EC114" s="138">
        <v>0</v>
      </c>
      <c r="ED114" s="172">
        <v>0.28360000000000002</v>
      </c>
      <c r="EE114" s="140">
        <f t="shared" si="263"/>
        <v>0</v>
      </c>
      <c r="EF114" s="149"/>
      <c r="EG114" s="528"/>
      <c r="EH114" s="143" t="s">
        <v>93</v>
      </c>
      <c r="EI114" s="163">
        <v>0</v>
      </c>
      <c r="EJ114" s="157" t="s">
        <v>94</v>
      </c>
      <c r="EK114" s="138">
        <v>0</v>
      </c>
      <c r="EL114" s="172">
        <v>0.28360000000000002</v>
      </c>
      <c r="EM114" s="140">
        <f t="shared" si="264"/>
        <v>0</v>
      </c>
      <c r="EN114" s="149"/>
      <c r="EO114" s="528"/>
      <c r="EP114" s="143" t="s">
        <v>93</v>
      </c>
      <c r="EQ114" s="163">
        <v>7</v>
      </c>
      <c r="ER114" s="157" t="s">
        <v>94</v>
      </c>
      <c r="ES114" s="138">
        <v>0</v>
      </c>
      <c r="ET114" s="172">
        <v>0.28360000000000002</v>
      </c>
      <c r="EU114" s="140">
        <f t="shared" si="265"/>
        <v>0</v>
      </c>
      <c r="EV114" s="149"/>
      <c r="EW114" s="528"/>
      <c r="EX114" s="143" t="s">
        <v>93</v>
      </c>
      <c r="EY114" s="163"/>
      <c r="EZ114" s="157" t="s">
        <v>94</v>
      </c>
      <c r="FA114" s="138"/>
      <c r="FB114" s="172">
        <v>0.28360000000000002</v>
      </c>
      <c r="FC114" s="140">
        <f t="shared" si="266"/>
        <v>0</v>
      </c>
      <c r="FD114" s="149"/>
      <c r="FE114" s="528"/>
      <c r="FF114" s="143" t="s">
        <v>93</v>
      </c>
      <c r="FG114" s="163"/>
      <c r="FH114" s="157" t="s">
        <v>94</v>
      </c>
      <c r="FI114" s="138"/>
      <c r="FJ114" s="172">
        <v>0.28360000000000002</v>
      </c>
      <c r="FK114" s="140">
        <f t="shared" si="267"/>
        <v>0</v>
      </c>
      <c r="FL114" s="149"/>
      <c r="FM114" s="528"/>
      <c r="FN114" s="143" t="s">
        <v>93</v>
      </c>
      <c r="FO114" s="163"/>
      <c r="FP114" s="157" t="s">
        <v>94</v>
      </c>
      <c r="FQ114" s="138"/>
      <c r="FR114" s="172">
        <v>0.28360000000000002</v>
      </c>
      <c r="FS114" s="140">
        <f t="shared" si="268"/>
        <v>0</v>
      </c>
      <c r="FT114" s="149"/>
      <c r="FU114" s="528"/>
      <c r="FV114" s="143" t="s">
        <v>93</v>
      </c>
      <c r="FW114" s="163"/>
      <c r="FX114" s="157" t="s">
        <v>94</v>
      </c>
      <c r="FY114" s="138"/>
      <c r="FZ114" s="172">
        <v>0.28360000000000002</v>
      </c>
      <c r="GA114" s="140">
        <f t="shared" si="269"/>
        <v>0</v>
      </c>
      <c r="GB114" s="149"/>
      <c r="GC114" s="528"/>
      <c r="GD114" s="143" t="s">
        <v>93</v>
      </c>
      <c r="GE114" s="163"/>
      <c r="GF114" s="157" t="s">
        <v>94</v>
      </c>
      <c r="GG114" s="138"/>
      <c r="GH114" s="172">
        <v>0.28360000000000002</v>
      </c>
      <c r="GI114" s="140">
        <f t="shared" si="270"/>
        <v>0</v>
      </c>
      <c r="GJ114" s="149"/>
      <c r="GK114" s="528"/>
      <c r="GL114" s="143" t="s">
        <v>93</v>
      </c>
      <c r="GM114" s="163">
        <v>16</v>
      </c>
      <c r="GN114" s="157" t="s">
        <v>94</v>
      </c>
      <c r="GO114" s="138">
        <f>'[1]Jan_18_Vol weekly-Data-Entry'!$BE$226</f>
        <v>0</v>
      </c>
      <c r="GP114" s="172">
        <v>0.28360000000000002</v>
      </c>
      <c r="GQ114" s="140">
        <f t="shared" si="271"/>
        <v>0</v>
      </c>
      <c r="GR114" s="149"/>
      <c r="GS114" s="528"/>
      <c r="GT114" s="143" t="s">
        <v>93</v>
      </c>
      <c r="GU114" s="163">
        <v>6</v>
      </c>
      <c r="GV114" s="157" t="s">
        <v>94</v>
      </c>
      <c r="GW114" s="138">
        <v>0</v>
      </c>
      <c r="GX114" s="172">
        <v>0.28360000000000002</v>
      </c>
      <c r="GY114" s="140">
        <f t="shared" si="272"/>
        <v>0</v>
      </c>
      <c r="GZ114" s="149"/>
      <c r="HA114" s="528"/>
      <c r="HB114" s="143" t="s">
        <v>93</v>
      </c>
      <c r="HC114" s="163">
        <v>0</v>
      </c>
      <c r="HD114" s="157" t="s">
        <v>94</v>
      </c>
      <c r="HE114" s="138">
        <v>0</v>
      </c>
      <c r="HF114" s="172">
        <v>0.28360000000000002</v>
      </c>
      <c r="HG114" s="140">
        <f t="shared" si="273"/>
        <v>0</v>
      </c>
      <c r="HH114" s="149"/>
      <c r="HI114" s="528"/>
      <c r="HJ114" s="143" t="s">
        <v>93</v>
      </c>
      <c r="HK114" s="163">
        <v>1</v>
      </c>
      <c r="HL114" s="157" t="s">
        <v>94</v>
      </c>
      <c r="HM114" s="138">
        <v>0</v>
      </c>
      <c r="HN114" s="172">
        <v>0.28360000000000002</v>
      </c>
      <c r="HO114" s="140">
        <f t="shared" si="274"/>
        <v>0</v>
      </c>
      <c r="HP114" s="149"/>
      <c r="HQ114" s="528"/>
      <c r="HR114" s="143" t="s">
        <v>93</v>
      </c>
      <c r="HS114" s="163">
        <v>7</v>
      </c>
      <c r="HT114" s="157" t="s">
        <v>94</v>
      </c>
      <c r="HU114" s="138">
        <v>0</v>
      </c>
      <c r="HV114" s="172">
        <v>0.28360000000000002</v>
      </c>
      <c r="HW114" s="140">
        <f t="shared" si="275"/>
        <v>0</v>
      </c>
      <c r="HX114" s="149"/>
      <c r="HY114" s="528"/>
      <c r="HZ114" s="143" t="s">
        <v>93</v>
      </c>
      <c r="IA114" s="163">
        <v>0</v>
      </c>
      <c r="IB114" s="157" t="s">
        <v>94</v>
      </c>
      <c r="IC114" s="138">
        <v>0</v>
      </c>
      <c r="ID114" s="172">
        <v>0.28360000000000002</v>
      </c>
      <c r="IE114" s="140">
        <f t="shared" si="276"/>
        <v>0</v>
      </c>
      <c r="IF114" s="149"/>
      <c r="IG114" s="528"/>
      <c r="IH114" s="143" t="s">
        <v>93</v>
      </c>
      <c r="II114" s="163">
        <v>22</v>
      </c>
      <c r="IJ114" s="157" t="s">
        <v>94</v>
      </c>
      <c r="IK114" s="138">
        <v>0</v>
      </c>
      <c r="IL114" s="172">
        <v>0.28360000000000002</v>
      </c>
      <c r="IM114" s="140">
        <f t="shared" si="277"/>
        <v>0</v>
      </c>
      <c r="IN114" s="149"/>
      <c r="IO114" s="528"/>
      <c r="IP114" s="143" t="s">
        <v>93</v>
      </c>
      <c r="IQ114" s="163">
        <v>27</v>
      </c>
      <c r="IR114" s="157" t="s">
        <v>94</v>
      </c>
      <c r="IS114" s="138">
        <v>0</v>
      </c>
      <c r="IT114" s="172">
        <v>0.28360000000000002</v>
      </c>
      <c r="IU114" s="140">
        <f t="shared" si="278"/>
        <v>0</v>
      </c>
      <c r="IV114" s="149"/>
      <c r="IW114" s="528"/>
      <c r="IX114" s="143" t="s">
        <v>93</v>
      </c>
      <c r="IY114" s="163">
        <v>17</v>
      </c>
      <c r="IZ114" s="157" t="s">
        <v>94</v>
      </c>
      <c r="JA114" s="138">
        <v>0</v>
      </c>
      <c r="JB114" s="172">
        <v>0.28360000000000002</v>
      </c>
      <c r="JC114" s="140">
        <f t="shared" si="279"/>
        <v>0</v>
      </c>
      <c r="JD114" s="149"/>
      <c r="JE114" s="528"/>
      <c r="JF114" s="143" t="s">
        <v>93</v>
      </c>
      <c r="JG114" s="163">
        <v>48</v>
      </c>
      <c r="JH114" s="157" t="s">
        <v>94</v>
      </c>
      <c r="JI114" s="138">
        <v>658</v>
      </c>
      <c r="JJ114" s="172">
        <v>0.28360000000000002</v>
      </c>
      <c r="JK114" s="140">
        <f t="shared" si="280"/>
        <v>186.6088</v>
      </c>
      <c r="JL114" s="149"/>
      <c r="JM114" s="528"/>
      <c r="JN114" s="143" t="s">
        <v>93</v>
      </c>
      <c r="JO114" s="163">
        <v>41</v>
      </c>
      <c r="JP114" s="157" t="s">
        <v>94</v>
      </c>
      <c r="JQ114" s="138">
        <v>289</v>
      </c>
      <c r="JR114" s="172">
        <v>0.28360000000000002</v>
      </c>
      <c r="JS114" s="140">
        <f t="shared" si="281"/>
        <v>81.960400000000007</v>
      </c>
      <c r="JT114" s="149"/>
      <c r="JU114" s="528"/>
      <c r="JV114" s="143" t="s">
        <v>93</v>
      </c>
      <c r="JW114" s="163">
        <v>59</v>
      </c>
      <c r="JX114" s="157" t="s">
        <v>94</v>
      </c>
      <c r="JY114" s="138">
        <v>52</v>
      </c>
      <c r="JZ114" s="172">
        <v>0.28360000000000002</v>
      </c>
      <c r="KA114" s="140">
        <f t="shared" si="282"/>
        <v>14.747200000000001</v>
      </c>
      <c r="KB114" s="149"/>
      <c r="KC114" s="528"/>
      <c r="KD114" s="143" t="s">
        <v>93</v>
      </c>
      <c r="KE114" s="163">
        <v>25</v>
      </c>
      <c r="KF114" s="157" t="s">
        <v>94</v>
      </c>
      <c r="KG114" s="138">
        <v>0</v>
      </c>
      <c r="KH114" s="172">
        <v>0.28360000000000002</v>
      </c>
      <c r="KI114" s="140">
        <f t="shared" si="283"/>
        <v>0</v>
      </c>
      <c r="KJ114" s="149"/>
      <c r="KK114" s="528"/>
      <c r="KL114" s="143" t="s">
        <v>93</v>
      </c>
      <c r="KM114" s="163">
        <v>7</v>
      </c>
      <c r="KN114" s="157" t="s">
        <v>94</v>
      </c>
      <c r="KO114" s="138">
        <v>0</v>
      </c>
      <c r="KP114" s="172">
        <v>0.28360000000000002</v>
      </c>
      <c r="KQ114" s="140">
        <f t="shared" si="284"/>
        <v>0</v>
      </c>
      <c r="KR114" s="149"/>
      <c r="KS114" s="528"/>
      <c r="KT114" s="143" t="s">
        <v>93</v>
      </c>
      <c r="KU114" s="163">
        <v>0</v>
      </c>
      <c r="KV114" s="157" t="s">
        <v>94</v>
      </c>
      <c r="KW114" s="138">
        <v>0</v>
      </c>
      <c r="KX114" s="172">
        <v>0.28360000000000002</v>
      </c>
      <c r="KY114" s="140">
        <f t="shared" si="285"/>
        <v>0</v>
      </c>
      <c r="KZ114" s="149"/>
      <c r="LA114" s="528"/>
      <c r="LB114" s="143" t="s">
        <v>93</v>
      </c>
      <c r="LC114" s="163">
        <v>2</v>
      </c>
      <c r="LD114" s="157" t="s">
        <v>94</v>
      </c>
      <c r="LE114" s="138">
        <v>0</v>
      </c>
      <c r="LF114" s="172">
        <v>0.28360000000000002</v>
      </c>
      <c r="LG114" s="140">
        <f t="shared" si="286"/>
        <v>0</v>
      </c>
      <c r="LH114" s="149"/>
      <c r="LI114" s="528"/>
      <c r="LJ114" s="143" t="s">
        <v>93</v>
      </c>
      <c r="LK114" s="163">
        <v>3</v>
      </c>
      <c r="LL114" s="157" t="s">
        <v>94</v>
      </c>
      <c r="LM114" s="175">
        <v>0</v>
      </c>
      <c r="LN114" s="164">
        <v>0.28360000000000002</v>
      </c>
      <c r="LO114" s="140">
        <f t="shared" si="313"/>
        <v>0</v>
      </c>
      <c r="LP114" s="149"/>
      <c r="LQ114" s="528"/>
      <c r="LR114" s="143" t="s">
        <v>93</v>
      </c>
      <c r="LS114" s="163">
        <v>30</v>
      </c>
      <c r="LT114" s="157" t="s">
        <v>94</v>
      </c>
      <c r="LU114" s="175">
        <v>0</v>
      </c>
      <c r="LV114" s="164">
        <v>0.28360000000000002</v>
      </c>
      <c r="LW114" s="140">
        <f t="shared" si="314"/>
        <v>0</v>
      </c>
      <c r="LX114" s="149"/>
      <c r="LY114" s="528"/>
      <c r="LZ114" s="143" t="s">
        <v>93</v>
      </c>
      <c r="MA114" s="163">
        <v>20</v>
      </c>
      <c r="MB114" s="157" t="s">
        <v>94</v>
      </c>
      <c r="MC114" s="175">
        <v>102</v>
      </c>
      <c r="MD114" s="164">
        <v>0.28360000000000002</v>
      </c>
      <c r="ME114" s="140">
        <f t="shared" si="315"/>
        <v>28.927200000000003</v>
      </c>
      <c r="MF114" s="149"/>
      <c r="MG114" s="528"/>
      <c r="MH114" s="143" t="s">
        <v>93</v>
      </c>
      <c r="MI114" s="163">
        <v>96</v>
      </c>
      <c r="MJ114" s="157" t="s">
        <v>94</v>
      </c>
      <c r="MK114" s="175">
        <v>512</v>
      </c>
      <c r="ML114" s="164">
        <v>0.28360000000000002</v>
      </c>
      <c r="MM114" s="140">
        <f t="shared" si="316"/>
        <v>145.20320000000001</v>
      </c>
      <c r="MN114" s="149"/>
      <c r="MO114" s="528"/>
      <c r="MP114" s="143" t="s">
        <v>93</v>
      </c>
      <c r="MQ114" s="163">
        <v>59</v>
      </c>
      <c r="MR114" s="157" t="s">
        <v>94</v>
      </c>
      <c r="MS114" s="175">
        <v>1098</v>
      </c>
      <c r="MT114" s="164">
        <v>0.28360000000000002</v>
      </c>
      <c r="MU114" s="140">
        <f t="shared" si="317"/>
        <v>311.39280000000002</v>
      </c>
      <c r="MV114" s="149"/>
      <c r="MW114" s="528"/>
      <c r="MX114" s="143"/>
      <c r="MY114" s="677"/>
      <c r="MZ114" s="663" t="s">
        <v>20</v>
      </c>
      <c r="NA114" s="175"/>
      <c r="NB114" s="164"/>
      <c r="NC114" s="140">
        <f t="shared" ref="NC114:ND129" si="318">NA114*NB114</f>
        <v>0</v>
      </c>
      <c r="ND114" s="150"/>
      <c r="NE114" s="528"/>
      <c r="NF114" s="143"/>
      <c r="NG114" s="677"/>
      <c r="NH114" s="663" t="s">
        <v>20</v>
      </c>
      <c r="NI114" s="175"/>
      <c r="NJ114" s="164"/>
      <c r="NK114" s="140">
        <f t="shared" ref="NK114:NK129" si="319">NI114*NJ114</f>
        <v>0</v>
      </c>
      <c r="NL114" s="150"/>
      <c r="NM114" s="528"/>
      <c r="NN114" s="143"/>
      <c r="NO114" s="677"/>
      <c r="NP114" s="663" t="s">
        <v>20</v>
      </c>
      <c r="NQ114" s="175"/>
      <c r="NR114" s="164"/>
      <c r="NS114" s="140">
        <f t="shared" ref="NS114:NS129" si="320">NQ114*NR114</f>
        <v>0</v>
      </c>
      <c r="NT114" s="150"/>
      <c r="NU114" s="528"/>
      <c r="NV114" s="143"/>
      <c r="NW114" s="677"/>
      <c r="NX114" s="663" t="s">
        <v>20</v>
      </c>
      <c r="NY114" s="175"/>
      <c r="NZ114" s="164"/>
      <c r="OA114" s="140">
        <f t="shared" ref="OA114:OA129" si="321">NY114*NZ114</f>
        <v>0</v>
      </c>
      <c r="OB114" s="150"/>
      <c r="OC114" s="528"/>
      <c r="OD114" s="143"/>
      <c r="OE114" s="677"/>
      <c r="OF114" s="663" t="s">
        <v>20</v>
      </c>
      <c r="OG114" s="175"/>
      <c r="OH114" s="164"/>
      <c r="OI114" s="140">
        <f t="shared" ref="OI114:OI129" si="322">OG114*OH114</f>
        <v>0</v>
      </c>
      <c r="OJ114" s="150"/>
      <c r="OK114" s="528"/>
      <c r="OL114" s="143"/>
      <c r="OM114" s="677"/>
      <c r="ON114" s="663" t="s">
        <v>20</v>
      </c>
      <c r="OO114" s="175"/>
      <c r="OP114" s="164"/>
      <c r="OQ114" s="140">
        <f t="shared" ref="OQ114:OQ129" si="323">OO114*OP114</f>
        <v>0</v>
      </c>
      <c r="OR114" s="150"/>
      <c r="OS114" s="528"/>
      <c r="OT114" s="143"/>
      <c r="OU114" s="677"/>
      <c r="OV114" s="663" t="s">
        <v>20</v>
      </c>
      <c r="OW114" s="175"/>
      <c r="OX114" s="164"/>
      <c r="OY114" s="140">
        <f t="shared" ref="OY114:OY129" si="324">OW114*OX114</f>
        <v>0</v>
      </c>
      <c r="OZ114" s="150"/>
      <c r="PA114" s="528"/>
      <c r="PB114" s="143"/>
      <c r="PC114" s="677"/>
      <c r="PD114" s="663" t="s">
        <v>20</v>
      </c>
      <c r="PE114" s="175"/>
      <c r="PF114" s="164"/>
      <c r="PG114" s="140">
        <f t="shared" ref="PG114:PG129" si="325">PE114*PF114</f>
        <v>0</v>
      </c>
      <c r="PH114" s="150"/>
      <c r="PI114" s="528"/>
      <c r="PJ114" s="143"/>
      <c r="PK114" s="677"/>
      <c r="PL114" s="663" t="s">
        <v>20</v>
      </c>
      <c r="PM114" s="175"/>
      <c r="PN114" s="164"/>
      <c r="PO114" s="140">
        <f t="shared" ref="PO114:PO129" si="326">PM114*PN114</f>
        <v>0</v>
      </c>
      <c r="PP114" s="150"/>
      <c r="PQ114" s="528"/>
      <c r="PR114" s="143"/>
      <c r="PS114" s="677"/>
      <c r="PT114" s="663" t="s">
        <v>20</v>
      </c>
      <c r="PU114" s="175"/>
      <c r="PV114" s="164"/>
      <c r="PW114" s="140">
        <f t="shared" ref="PW114:PW129" si="327">PU114*PV114</f>
        <v>0</v>
      </c>
      <c r="PX114" s="150"/>
      <c r="PY114" s="528"/>
      <c r="PZ114" s="143"/>
      <c r="QA114" s="677"/>
      <c r="QB114" s="663" t="s">
        <v>20</v>
      </c>
      <c r="QC114" s="175"/>
      <c r="QD114" s="164"/>
      <c r="QE114" s="140">
        <f t="shared" ref="QE114:QE129" si="328">QC114*QD114</f>
        <v>0</v>
      </c>
      <c r="QF114" s="150"/>
      <c r="QG114" s="528"/>
      <c r="QH114" s="143"/>
      <c r="QI114" s="677"/>
      <c r="QJ114" s="663" t="s">
        <v>20</v>
      </c>
      <c r="QK114" s="175"/>
      <c r="QL114" s="164"/>
      <c r="QM114" s="140">
        <f t="shared" ref="QM114:QM129" si="329">QK114*QL114</f>
        <v>0</v>
      </c>
      <c r="QN114" s="150"/>
      <c r="QO114" s="528"/>
      <c r="QP114" s="143"/>
      <c r="QQ114" s="677"/>
      <c r="QR114" s="663" t="s">
        <v>20</v>
      </c>
      <c r="QS114" s="175"/>
      <c r="QT114" s="164"/>
      <c r="QU114" s="140">
        <f t="shared" ref="QU114:QU129" si="330">QS114*QT114</f>
        <v>0</v>
      </c>
      <c r="QV114" s="150"/>
      <c r="QW114" s="528"/>
      <c r="QX114" s="143"/>
      <c r="QY114" s="677"/>
      <c r="QZ114" s="663" t="s">
        <v>20</v>
      </c>
      <c r="RA114" s="175"/>
      <c r="RB114" s="164"/>
      <c r="RC114" s="140">
        <f t="shared" ref="RC114:RC129" si="331">RA114*RB114</f>
        <v>0</v>
      </c>
      <c r="RD114" s="150"/>
      <c r="RE114" s="528"/>
      <c r="RF114" s="143"/>
      <c r="RG114" s="677"/>
      <c r="RH114" s="663" t="s">
        <v>20</v>
      </c>
      <c r="RI114" s="175"/>
      <c r="RJ114" s="164"/>
      <c r="RK114" s="140">
        <f t="shared" ref="RK114:RK129" si="332">RI114*RJ114</f>
        <v>0</v>
      </c>
      <c r="RL114" s="150"/>
      <c r="RM114" s="528"/>
      <c r="RN114" s="143"/>
      <c r="RO114" s="677"/>
      <c r="RP114" s="663" t="s">
        <v>20</v>
      </c>
      <c r="RQ114" s="175"/>
      <c r="RR114" s="164"/>
      <c r="RS114" s="140">
        <f t="shared" ref="RS114:RS129" si="333">RQ114*RR114</f>
        <v>0</v>
      </c>
      <c r="RT114" s="150"/>
      <c r="RU114" s="528"/>
      <c r="RV114" s="143"/>
      <c r="RW114" s="677"/>
      <c r="RX114" s="663" t="s">
        <v>20</v>
      </c>
      <c r="RY114" s="175"/>
      <c r="RZ114" s="164"/>
      <c r="SA114" s="140">
        <f t="shared" ref="SA114:SA129" si="334">RY114*RZ114</f>
        <v>0</v>
      </c>
      <c r="SB114" s="150"/>
      <c r="SC114" s="528"/>
      <c r="SD114" s="143"/>
      <c r="SE114" s="677"/>
      <c r="SF114" s="663" t="s">
        <v>20</v>
      </c>
      <c r="SG114" s="175"/>
      <c r="SH114" s="164"/>
      <c r="SI114" s="140">
        <f t="shared" ref="SI114:SI129" si="335">SG114*SH114</f>
        <v>0</v>
      </c>
      <c r="SJ114" s="150"/>
      <c r="SK114" s="528"/>
      <c r="SL114" s="143"/>
      <c r="SM114" s="677"/>
      <c r="SN114" s="663" t="s">
        <v>20</v>
      </c>
      <c r="SO114" s="175"/>
      <c r="SP114" s="164"/>
      <c r="SQ114" s="140">
        <f t="shared" ref="SQ114:SQ129" si="336">SO114*SP114</f>
        <v>0</v>
      </c>
      <c r="SR114" s="150"/>
      <c r="SS114" s="528"/>
      <c r="ST114" s="143"/>
      <c r="SU114" s="677"/>
      <c r="SV114" s="663" t="s">
        <v>20</v>
      </c>
      <c r="SW114" s="175"/>
      <c r="SX114" s="164"/>
      <c r="SY114" s="140">
        <f t="shared" ref="SY114:SY129" si="337">SW114*SX114</f>
        <v>0</v>
      </c>
      <c r="SZ114" s="150"/>
      <c r="TA114" s="528"/>
      <c r="TB114" s="143"/>
      <c r="TC114" s="677"/>
      <c r="TD114" s="663" t="s">
        <v>20</v>
      </c>
      <c r="TE114" s="175"/>
      <c r="TF114" s="164"/>
      <c r="TG114" s="140">
        <f t="shared" ref="TG114:TG129" si="338">TE114*TF114</f>
        <v>0</v>
      </c>
      <c r="TH114" s="150"/>
      <c r="TI114" s="528"/>
    </row>
    <row r="115" spans="2:529">
      <c r="B115" s="145"/>
      <c r="C115" s="146"/>
      <c r="D115" s="151" t="s">
        <v>95</v>
      </c>
      <c r="E115" s="138">
        <v>0</v>
      </c>
      <c r="F115" s="170">
        <v>1.1644827586206898</v>
      </c>
      <c r="G115" s="140">
        <f t="shared" si="247"/>
        <v>0</v>
      </c>
      <c r="H115" s="150"/>
      <c r="I115" s="528"/>
      <c r="J115" s="145"/>
      <c r="K115" s="146"/>
      <c r="L115" s="151" t="s">
        <v>95</v>
      </c>
      <c r="M115" s="138">
        <v>90</v>
      </c>
      <c r="N115" s="170">
        <v>1.1644827586206898</v>
      </c>
      <c r="O115" s="140">
        <f t="shared" si="248"/>
        <v>104.80344827586208</v>
      </c>
      <c r="P115" s="150"/>
      <c r="Q115" s="528"/>
      <c r="R115" s="145"/>
      <c r="S115" s="146"/>
      <c r="T115" s="151" t="s">
        <v>95</v>
      </c>
      <c r="U115" s="138">
        <v>0</v>
      </c>
      <c r="V115" s="170">
        <v>1.1644827586206898</v>
      </c>
      <c r="W115" s="140">
        <f t="shared" si="249"/>
        <v>0</v>
      </c>
      <c r="X115" s="150"/>
      <c r="Y115" s="528"/>
      <c r="Z115" s="145"/>
      <c r="AA115" s="146"/>
      <c r="AB115" s="151" t="s">
        <v>95</v>
      </c>
      <c r="AC115" s="138">
        <v>0</v>
      </c>
      <c r="AD115" s="170">
        <v>1.1644827586206898</v>
      </c>
      <c r="AE115" s="140">
        <f t="shared" si="250"/>
        <v>0</v>
      </c>
      <c r="AF115" s="150"/>
      <c r="AG115" s="528"/>
      <c r="AH115" s="145"/>
      <c r="AI115" s="146"/>
      <c r="AJ115" s="151" t="s">
        <v>95</v>
      </c>
      <c r="AK115" s="138">
        <v>0</v>
      </c>
      <c r="AL115" s="170">
        <v>1.1644827586206898</v>
      </c>
      <c r="AM115" s="140">
        <f t="shared" si="251"/>
        <v>0</v>
      </c>
      <c r="AN115" s="150"/>
      <c r="AO115" s="528"/>
      <c r="AP115" s="145"/>
      <c r="AQ115" s="146"/>
      <c r="AR115" s="151" t="s">
        <v>95</v>
      </c>
      <c r="AS115" s="138">
        <v>0</v>
      </c>
      <c r="AT115" s="170">
        <v>1.1644827586206898</v>
      </c>
      <c r="AU115" s="140">
        <f t="shared" si="252"/>
        <v>0</v>
      </c>
      <c r="AV115" s="150"/>
      <c r="AW115" s="528"/>
      <c r="AX115" s="145"/>
      <c r="AY115" s="146"/>
      <c r="AZ115" s="151" t="s">
        <v>95</v>
      </c>
      <c r="BA115" s="138"/>
      <c r="BB115" s="170">
        <v>1.1644827586206898</v>
      </c>
      <c r="BC115" s="140">
        <f t="shared" si="253"/>
        <v>0</v>
      </c>
      <c r="BD115" s="150"/>
      <c r="BE115" s="528"/>
      <c r="BF115" s="145"/>
      <c r="BG115" s="146"/>
      <c r="BH115" s="151" t="s">
        <v>95</v>
      </c>
      <c r="BI115" s="138">
        <v>568</v>
      </c>
      <c r="BJ115" s="170">
        <v>1.1644827586206898</v>
      </c>
      <c r="BK115" s="140">
        <f t="shared" si="254"/>
        <v>661.42620689655178</v>
      </c>
      <c r="BL115" s="150"/>
      <c r="BM115" s="528"/>
      <c r="BN115" s="145"/>
      <c r="BO115" s="146"/>
      <c r="BP115" s="151" t="s">
        <v>95</v>
      </c>
      <c r="BQ115" s="138">
        <v>807</v>
      </c>
      <c r="BR115" s="170">
        <v>1.1644827586206898</v>
      </c>
      <c r="BS115" s="140">
        <f t="shared" si="255"/>
        <v>939.73758620689671</v>
      </c>
      <c r="BT115" s="150"/>
      <c r="BU115" s="528"/>
      <c r="BV115" s="536"/>
      <c r="BW115" s="537"/>
      <c r="BX115" s="543" t="s">
        <v>95</v>
      </c>
      <c r="BY115" s="560"/>
      <c r="BZ115" s="585">
        <v>1.1644827586206898</v>
      </c>
      <c r="CA115" s="562">
        <f t="shared" si="256"/>
        <v>0</v>
      </c>
      <c r="CB115" s="569"/>
      <c r="CC115" s="528"/>
      <c r="CD115" s="536"/>
      <c r="CE115" s="537"/>
      <c r="CF115" s="543" t="s">
        <v>95</v>
      </c>
      <c r="CG115" s="560"/>
      <c r="CH115" s="585">
        <v>1.1644827586206898</v>
      </c>
      <c r="CI115" s="562">
        <f t="shared" si="257"/>
        <v>0</v>
      </c>
      <c r="CJ115" s="569"/>
      <c r="CK115" s="528"/>
      <c r="CL115" s="145"/>
      <c r="CM115" s="146"/>
      <c r="CN115" s="151" t="s">
        <v>95</v>
      </c>
      <c r="CO115" s="138"/>
      <c r="CP115" s="170">
        <v>1.1644827586206898</v>
      </c>
      <c r="CQ115" s="140">
        <f t="shared" si="258"/>
        <v>0</v>
      </c>
      <c r="CR115" s="150"/>
      <c r="CS115" s="528"/>
      <c r="CT115" s="145"/>
      <c r="CU115" s="146"/>
      <c r="CV115" s="151" t="s">
        <v>95</v>
      </c>
      <c r="CW115" s="138">
        <v>0</v>
      </c>
      <c r="CX115" s="170">
        <v>1.1644827586206898</v>
      </c>
      <c r="CY115" s="140">
        <f t="shared" si="259"/>
        <v>0</v>
      </c>
      <c r="CZ115" s="150"/>
      <c r="DA115" s="528"/>
      <c r="DB115" s="145"/>
      <c r="DC115" s="146"/>
      <c r="DD115" s="151" t="s">
        <v>95</v>
      </c>
      <c r="DE115" s="138"/>
      <c r="DF115" s="170">
        <v>1.1644827586206898</v>
      </c>
      <c r="DG115" s="140">
        <f t="shared" si="260"/>
        <v>0</v>
      </c>
      <c r="DH115" s="150"/>
      <c r="DI115" s="528"/>
      <c r="DJ115" s="145"/>
      <c r="DK115" s="146"/>
      <c r="DL115" s="151" t="s">
        <v>95</v>
      </c>
      <c r="DM115" s="138">
        <v>0</v>
      </c>
      <c r="DN115" s="170">
        <v>1.1644827586206898</v>
      </c>
      <c r="DO115" s="140">
        <f t="shared" si="261"/>
        <v>0</v>
      </c>
      <c r="DP115" s="150"/>
      <c r="DQ115" s="528"/>
      <c r="DR115" s="145"/>
      <c r="DS115" s="146"/>
      <c r="DT115" s="151" t="s">
        <v>95</v>
      </c>
      <c r="DU115" s="138">
        <v>0</v>
      </c>
      <c r="DV115" s="170">
        <v>1.1644827586206898</v>
      </c>
      <c r="DW115" s="140">
        <f t="shared" si="262"/>
        <v>0</v>
      </c>
      <c r="DX115" s="150"/>
      <c r="DY115" s="528"/>
      <c r="DZ115" s="145"/>
      <c r="EA115" s="146"/>
      <c r="EB115" s="151" t="s">
        <v>95</v>
      </c>
      <c r="EC115" s="138">
        <v>0</v>
      </c>
      <c r="ED115" s="170">
        <v>1.1644827586206898</v>
      </c>
      <c r="EE115" s="140">
        <f t="shared" si="263"/>
        <v>0</v>
      </c>
      <c r="EF115" s="150"/>
      <c r="EG115" s="528"/>
      <c r="EH115" s="145"/>
      <c r="EI115" s="146"/>
      <c r="EJ115" s="151" t="s">
        <v>95</v>
      </c>
      <c r="EK115" s="138">
        <v>0</v>
      </c>
      <c r="EL115" s="170">
        <v>1.1644827586206898</v>
      </c>
      <c r="EM115" s="140">
        <f t="shared" si="264"/>
        <v>0</v>
      </c>
      <c r="EN115" s="150"/>
      <c r="EO115" s="528"/>
      <c r="EP115" s="145"/>
      <c r="EQ115" s="146"/>
      <c r="ER115" s="151" t="s">
        <v>95</v>
      </c>
      <c r="ES115" s="138">
        <v>82</v>
      </c>
      <c r="ET115" s="170">
        <v>1.1644827586206898</v>
      </c>
      <c r="EU115" s="140">
        <f t="shared" si="265"/>
        <v>95.487586206896566</v>
      </c>
      <c r="EV115" s="150"/>
      <c r="EW115" s="528"/>
      <c r="EX115" s="145"/>
      <c r="EY115" s="146"/>
      <c r="EZ115" s="151" t="s">
        <v>95</v>
      </c>
      <c r="FA115" s="138"/>
      <c r="FB115" s="170">
        <v>1.1644827586206898</v>
      </c>
      <c r="FC115" s="140">
        <f t="shared" si="266"/>
        <v>0</v>
      </c>
      <c r="FD115" s="150"/>
      <c r="FE115" s="528"/>
      <c r="FF115" s="145"/>
      <c r="FG115" s="146"/>
      <c r="FH115" s="151" t="s">
        <v>95</v>
      </c>
      <c r="FI115" s="138"/>
      <c r="FJ115" s="170">
        <v>1.1644827586206898</v>
      </c>
      <c r="FK115" s="140">
        <f t="shared" si="267"/>
        <v>0</v>
      </c>
      <c r="FL115" s="150"/>
      <c r="FM115" s="528"/>
      <c r="FN115" s="145"/>
      <c r="FO115" s="146"/>
      <c r="FP115" s="151" t="s">
        <v>95</v>
      </c>
      <c r="FQ115" s="138"/>
      <c r="FR115" s="170">
        <v>1.1644827586206898</v>
      </c>
      <c r="FS115" s="140">
        <f t="shared" si="268"/>
        <v>0</v>
      </c>
      <c r="FT115" s="150"/>
      <c r="FU115" s="528"/>
      <c r="FV115" s="145"/>
      <c r="FW115" s="146"/>
      <c r="FX115" s="151" t="s">
        <v>95</v>
      </c>
      <c r="FY115" s="138"/>
      <c r="FZ115" s="170">
        <v>1.1644827586206898</v>
      </c>
      <c r="GA115" s="140">
        <f t="shared" si="269"/>
        <v>0</v>
      </c>
      <c r="GB115" s="150"/>
      <c r="GC115" s="528"/>
      <c r="GD115" s="145"/>
      <c r="GE115" s="146"/>
      <c r="GF115" s="151" t="s">
        <v>95</v>
      </c>
      <c r="GG115" s="138"/>
      <c r="GH115" s="170">
        <v>1.1644827586206898</v>
      </c>
      <c r="GI115" s="140">
        <f t="shared" si="270"/>
        <v>0</v>
      </c>
      <c r="GJ115" s="150"/>
      <c r="GK115" s="528"/>
      <c r="GL115" s="145"/>
      <c r="GM115" s="146"/>
      <c r="GN115" s="151" t="s">
        <v>95</v>
      </c>
      <c r="GO115" s="138">
        <f>'[1]Jan_18_Vol weekly-Data-Entry'!$BF$226</f>
        <v>0</v>
      </c>
      <c r="GP115" s="170">
        <v>1.1644827586206898</v>
      </c>
      <c r="GQ115" s="140">
        <f t="shared" si="271"/>
        <v>0</v>
      </c>
      <c r="GR115" s="150"/>
      <c r="GS115" s="528"/>
      <c r="GT115" s="145"/>
      <c r="GU115" s="146"/>
      <c r="GV115" s="151" t="s">
        <v>95</v>
      </c>
      <c r="GW115" s="138">
        <v>0</v>
      </c>
      <c r="GX115" s="170">
        <v>1.1644827586206898</v>
      </c>
      <c r="GY115" s="140">
        <f>GW115*GX115</f>
        <v>0</v>
      </c>
      <c r="GZ115" s="150"/>
      <c r="HA115" s="528"/>
      <c r="HB115" s="145"/>
      <c r="HC115" s="146"/>
      <c r="HD115" s="151" t="s">
        <v>95</v>
      </c>
      <c r="HE115" s="138">
        <v>0</v>
      </c>
      <c r="HF115" s="170">
        <v>1.1644827586206898</v>
      </c>
      <c r="HG115" s="140">
        <f t="shared" si="273"/>
        <v>0</v>
      </c>
      <c r="HH115" s="150"/>
      <c r="HI115" s="528"/>
      <c r="HJ115" s="145"/>
      <c r="HK115" s="146"/>
      <c r="HL115" s="151" t="s">
        <v>95</v>
      </c>
      <c r="HM115" s="138">
        <v>0</v>
      </c>
      <c r="HN115" s="170">
        <v>1.1644827586206898</v>
      </c>
      <c r="HO115" s="140">
        <f t="shared" si="274"/>
        <v>0</v>
      </c>
      <c r="HP115" s="150"/>
      <c r="HQ115" s="528"/>
      <c r="HR115" s="145"/>
      <c r="HS115" s="146"/>
      <c r="HT115" s="151" t="s">
        <v>95</v>
      </c>
      <c r="HU115" s="138">
        <v>0</v>
      </c>
      <c r="HV115" s="170">
        <v>1.1644827586206898</v>
      </c>
      <c r="HW115" s="140">
        <f t="shared" si="275"/>
        <v>0</v>
      </c>
      <c r="HX115" s="150"/>
      <c r="HY115" s="528"/>
      <c r="HZ115" s="145"/>
      <c r="IA115" s="146"/>
      <c r="IB115" s="151" t="s">
        <v>95</v>
      </c>
      <c r="IC115" s="138">
        <v>0</v>
      </c>
      <c r="ID115" s="170">
        <v>1.1644827586206898</v>
      </c>
      <c r="IE115" s="140">
        <f t="shared" si="276"/>
        <v>0</v>
      </c>
      <c r="IF115" s="150"/>
      <c r="IG115" s="528"/>
      <c r="IH115" s="145"/>
      <c r="II115" s="146"/>
      <c r="IJ115" s="151" t="s">
        <v>95</v>
      </c>
      <c r="IK115" s="138">
        <v>0</v>
      </c>
      <c r="IL115" s="170">
        <v>1.1644827586206898</v>
      </c>
      <c r="IM115" s="140">
        <f t="shared" si="277"/>
        <v>0</v>
      </c>
      <c r="IN115" s="150"/>
      <c r="IO115" s="528"/>
      <c r="IP115" s="145"/>
      <c r="IQ115" s="146"/>
      <c r="IR115" s="151" t="s">
        <v>95</v>
      </c>
      <c r="IS115" s="138">
        <v>644</v>
      </c>
      <c r="IT115" s="170">
        <v>1.1644827586206898</v>
      </c>
      <c r="IU115" s="140">
        <f t="shared" si="278"/>
        <v>749.92689655172421</v>
      </c>
      <c r="IV115" s="150"/>
      <c r="IW115" s="528"/>
      <c r="IX115" s="145"/>
      <c r="IY115" s="146"/>
      <c r="IZ115" s="151" t="s">
        <v>95</v>
      </c>
      <c r="JA115" s="138">
        <v>69</v>
      </c>
      <c r="JB115" s="170">
        <v>1.1644827586206898</v>
      </c>
      <c r="JC115" s="140">
        <f t="shared" si="279"/>
        <v>80.3493103448276</v>
      </c>
      <c r="JD115" s="150"/>
      <c r="JE115" s="528"/>
      <c r="JF115" s="145"/>
      <c r="JG115" s="146"/>
      <c r="JH115" s="151" t="s">
        <v>95</v>
      </c>
      <c r="JI115" s="138">
        <v>790</v>
      </c>
      <c r="JJ115" s="170">
        <v>1.1644827586206898</v>
      </c>
      <c r="JK115" s="140">
        <f t="shared" si="280"/>
        <v>919.94137931034493</v>
      </c>
      <c r="JL115" s="150"/>
      <c r="JM115" s="528"/>
      <c r="JN115" s="145"/>
      <c r="JO115" s="146"/>
      <c r="JP115" s="151" t="s">
        <v>95</v>
      </c>
      <c r="JQ115" s="138">
        <v>693</v>
      </c>
      <c r="JR115" s="170">
        <v>1.1644827586206898</v>
      </c>
      <c r="JS115" s="140">
        <f t="shared" si="281"/>
        <v>806.98655172413805</v>
      </c>
      <c r="JT115" s="150"/>
      <c r="JU115" s="528"/>
      <c r="JV115" s="145"/>
      <c r="JW115" s="146"/>
      <c r="JX115" s="151" t="s">
        <v>95</v>
      </c>
      <c r="JY115" s="138">
        <v>472</v>
      </c>
      <c r="JZ115" s="170">
        <v>1.1644827586206898</v>
      </c>
      <c r="KA115" s="140">
        <f t="shared" si="282"/>
        <v>549.63586206896559</v>
      </c>
      <c r="KB115" s="150"/>
      <c r="KC115" s="528"/>
      <c r="KD115" s="145"/>
      <c r="KE115" s="146"/>
      <c r="KF115" s="151" t="s">
        <v>95</v>
      </c>
      <c r="KG115" s="138">
        <v>17</v>
      </c>
      <c r="KH115" s="170">
        <v>1.1644827586206898</v>
      </c>
      <c r="KI115" s="140">
        <f t="shared" si="283"/>
        <v>19.796206896551727</v>
      </c>
      <c r="KJ115" s="150"/>
      <c r="KK115" s="528"/>
      <c r="KL115" s="145"/>
      <c r="KM115" s="146"/>
      <c r="KN115" s="151" t="s">
        <v>95</v>
      </c>
      <c r="KO115" s="138">
        <v>90</v>
      </c>
      <c r="KP115" s="170">
        <v>1.1644827586206898</v>
      </c>
      <c r="KQ115" s="140">
        <f t="shared" si="284"/>
        <v>104.80344827586208</v>
      </c>
      <c r="KR115" s="150"/>
      <c r="KS115" s="528"/>
      <c r="KT115" s="145"/>
      <c r="KU115" s="146"/>
      <c r="KV115" s="151" t="s">
        <v>95</v>
      </c>
      <c r="KW115" s="138">
        <v>0</v>
      </c>
      <c r="KX115" s="170">
        <v>1.1644827586206898</v>
      </c>
      <c r="KY115" s="140">
        <f t="shared" si="285"/>
        <v>0</v>
      </c>
      <c r="KZ115" s="150"/>
      <c r="LA115" s="528"/>
      <c r="LB115" s="145"/>
      <c r="LC115" s="146"/>
      <c r="LD115" s="151" t="s">
        <v>95</v>
      </c>
      <c r="LE115" s="138">
        <v>0</v>
      </c>
      <c r="LF115" s="170">
        <v>1.1644827586206898</v>
      </c>
      <c r="LG115" s="140">
        <f t="shared" si="286"/>
        <v>0</v>
      </c>
      <c r="LH115" s="150"/>
      <c r="LI115" s="528"/>
      <c r="LJ115" s="145"/>
      <c r="LK115" s="146"/>
      <c r="LL115" s="151" t="s">
        <v>95</v>
      </c>
      <c r="LM115" s="175">
        <v>0</v>
      </c>
      <c r="LN115" s="139">
        <v>1.1644827586206898</v>
      </c>
      <c r="LO115" s="140">
        <f t="shared" si="313"/>
        <v>0</v>
      </c>
      <c r="LP115" s="150"/>
      <c r="LQ115" s="528"/>
      <c r="LR115" s="145"/>
      <c r="LS115" s="146"/>
      <c r="LT115" s="151" t="s">
        <v>95</v>
      </c>
      <c r="LU115" s="175">
        <v>0</v>
      </c>
      <c r="LV115" s="139">
        <v>1.1644827586206898</v>
      </c>
      <c r="LW115" s="140">
        <f t="shared" si="314"/>
        <v>0</v>
      </c>
      <c r="LX115" s="150"/>
      <c r="LY115" s="528"/>
      <c r="LZ115" s="145"/>
      <c r="MA115" s="146"/>
      <c r="MB115" s="151" t="s">
        <v>95</v>
      </c>
      <c r="MC115" s="175">
        <v>270</v>
      </c>
      <c r="MD115" s="139">
        <v>1.1644827586206898</v>
      </c>
      <c r="ME115" s="140">
        <f t="shared" si="315"/>
        <v>314.41034482758624</v>
      </c>
      <c r="MF115" s="150"/>
      <c r="MG115" s="528"/>
      <c r="MH115" s="145"/>
      <c r="MI115" s="146"/>
      <c r="MJ115" s="151" t="s">
        <v>95</v>
      </c>
      <c r="MK115" s="175">
        <v>1390</v>
      </c>
      <c r="ML115" s="139">
        <v>1.1644827586206898</v>
      </c>
      <c r="MM115" s="140">
        <f t="shared" si="316"/>
        <v>1618.6310344827589</v>
      </c>
      <c r="MN115" s="150"/>
      <c r="MO115" s="528"/>
      <c r="MP115" s="145"/>
      <c r="MQ115" s="146"/>
      <c r="MR115" s="151" t="s">
        <v>95</v>
      </c>
      <c r="MS115" s="175">
        <v>722</v>
      </c>
      <c r="MT115" s="139">
        <v>1.1644827586206898</v>
      </c>
      <c r="MU115" s="140">
        <f t="shared" si="317"/>
        <v>840.75655172413803</v>
      </c>
      <c r="MV115" s="150"/>
      <c r="MW115" s="528"/>
      <c r="MX115" s="143"/>
      <c r="MY115" s="146"/>
      <c r="MZ115" s="157" t="s">
        <v>84</v>
      </c>
      <c r="NA115" s="175"/>
      <c r="NB115" s="164"/>
      <c r="NC115" s="140">
        <f t="shared" si="318"/>
        <v>0</v>
      </c>
      <c r="ND115" s="150"/>
      <c r="NE115" s="528"/>
      <c r="NF115" s="143"/>
      <c r="NG115" s="146"/>
      <c r="NH115" s="157" t="s">
        <v>84</v>
      </c>
      <c r="NI115" s="175"/>
      <c r="NJ115" s="164"/>
      <c r="NK115" s="140">
        <f t="shared" si="319"/>
        <v>0</v>
      </c>
      <c r="NL115" s="150"/>
      <c r="NM115" s="528"/>
      <c r="NN115" s="143"/>
      <c r="NO115" s="146"/>
      <c r="NP115" s="157" t="s">
        <v>84</v>
      </c>
      <c r="NQ115" s="175"/>
      <c r="NR115" s="164"/>
      <c r="NS115" s="140">
        <f t="shared" si="320"/>
        <v>0</v>
      </c>
      <c r="NT115" s="150"/>
      <c r="NU115" s="528"/>
      <c r="NV115" s="143"/>
      <c r="NW115" s="146"/>
      <c r="NX115" s="157" t="s">
        <v>84</v>
      </c>
      <c r="NY115" s="175"/>
      <c r="NZ115" s="164"/>
      <c r="OA115" s="140">
        <f t="shared" si="321"/>
        <v>0</v>
      </c>
      <c r="OB115" s="150"/>
      <c r="OC115" s="528"/>
      <c r="OD115" s="143"/>
      <c r="OE115" s="146"/>
      <c r="OF115" s="157" t="s">
        <v>84</v>
      </c>
      <c r="OG115" s="175"/>
      <c r="OH115" s="164"/>
      <c r="OI115" s="140">
        <f t="shared" si="322"/>
        <v>0</v>
      </c>
      <c r="OJ115" s="150"/>
      <c r="OK115" s="528"/>
      <c r="OL115" s="143"/>
      <c r="OM115" s="146"/>
      <c r="ON115" s="157" t="s">
        <v>84</v>
      </c>
      <c r="OO115" s="175"/>
      <c r="OP115" s="164"/>
      <c r="OQ115" s="140">
        <f t="shared" si="323"/>
        <v>0</v>
      </c>
      <c r="OR115" s="150"/>
      <c r="OS115" s="528"/>
      <c r="OT115" s="143"/>
      <c r="OU115" s="146"/>
      <c r="OV115" s="157" t="s">
        <v>84</v>
      </c>
      <c r="OW115" s="175"/>
      <c r="OX115" s="164"/>
      <c r="OY115" s="140">
        <f t="shared" si="324"/>
        <v>0</v>
      </c>
      <c r="OZ115" s="150"/>
      <c r="PA115" s="528"/>
      <c r="PB115" s="143"/>
      <c r="PC115" s="146"/>
      <c r="PD115" s="157" t="s">
        <v>84</v>
      </c>
      <c r="PE115" s="175"/>
      <c r="PF115" s="164"/>
      <c r="PG115" s="140">
        <f t="shared" si="325"/>
        <v>0</v>
      </c>
      <c r="PH115" s="150"/>
      <c r="PI115" s="528"/>
      <c r="PJ115" s="143"/>
      <c r="PK115" s="146"/>
      <c r="PL115" s="157" t="s">
        <v>84</v>
      </c>
      <c r="PM115" s="175"/>
      <c r="PN115" s="164"/>
      <c r="PO115" s="140">
        <f t="shared" si="326"/>
        <v>0</v>
      </c>
      <c r="PP115" s="150"/>
      <c r="PQ115" s="528"/>
      <c r="PR115" s="143"/>
      <c r="PS115" s="146"/>
      <c r="PT115" s="157" t="s">
        <v>84</v>
      </c>
      <c r="PU115" s="175"/>
      <c r="PV115" s="164"/>
      <c r="PW115" s="140">
        <f t="shared" si="327"/>
        <v>0</v>
      </c>
      <c r="PX115" s="150"/>
      <c r="PY115" s="528"/>
      <c r="PZ115" s="143"/>
      <c r="QA115" s="146"/>
      <c r="QB115" s="157" t="s">
        <v>84</v>
      </c>
      <c r="QC115" s="175"/>
      <c r="QD115" s="164"/>
      <c r="QE115" s="140">
        <f t="shared" si="328"/>
        <v>0</v>
      </c>
      <c r="QF115" s="150"/>
      <c r="QG115" s="528"/>
      <c r="QH115" s="143"/>
      <c r="QI115" s="146"/>
      <c r="QJ115" s="157" t="s">
        <v>84</v>
      </c>
      <c r="QK115" s="175"/>
      <c r="QL115" s="164"/>
      <c r="QM115" s="140">
        <f t="shared" si="329"/>
        <v>0</v>
      </c>
      <c r="QN115" s="150"/>
      <c r="QO115" s="528"/>
      <c r="QP115" s="143"/>
      <c r="QQ115" s="146"/>
      <c r="QR115" s="157" t="s">
        <v>84</v>
      </c>
      <c r="QS115" s="175"/>
      <c r="QT115" s="164"/>
      <c r="QU115" s="140">
        <f t="shared" si="330"/>
        <v>0</v>
      </c>
      <c r="QV115" s="150"/>
      <c r="QW115" s="528"/>
      <c r="QX115" s="143"/>
      <c r="QY115" s="146"/>
      <c r="QZ115" s="157" t="s">
        <v>84</v>
      </c>
      <c r="RA115" s="175"/>
      <c r="RB115" s="164"/>
      <c r="RC115" s="140">
        <f t="shared" si="331"/>
        <v>0</v>
      </c>
      <c r="RD115" s="150"/>
      <c r="RE115" s="528"/>
      <c r="RF115" s="143"/>
      <c r="RG115" s="146"/>
      <c r="RH115" s="157" t="s">
        <v>84</v>
      </c>
      <c r="RI115" s="175"/>
      <c r="RJ115" s="164"/>
      <c r="RK115" s="140">
        <f t="shared" si="332"/>
        <v>0</v>
      </c>
      <c r="RL115" s="150"/>
      <c r="RM115" s="528"/>
      <c r="RN115" s="143"/>
      <c r="RO115" s="146"/>
      <c r="RP115" s="157" t="s">
        <v>84</v>
      </c>
      <c r="RQ115" s="175"/>
      <c r="RR115" s="164"/>
      <c r="RS115" s="140">
        <f t="shared" si="333"/>
        <v>0</v>
      </c>
      <c r="RT115" s="150"/>
      <c r="RU115" s="528"/>
      <c r="RV115" s="143"/>
      <c r="RW115" s="146"/>
      <c r="RX115" s="157" t="s">
        <v>84</v>
      </c>
      <c r="RY115" s="175"/>
      <c r="RZ115" s="164"/>
      <c r="SA115" s="140">
        <f t="shared" si="334"/>
        <v>0</v>
      </c>
      <c r="SB115" s="150"/>
      <c r="SC115" s="528"/>
      <c r="SD115" s="143"/>
      <c r="SE115" s="146"/>
      <c r="SF115" s="157" t="s">
        <v>84</v>
      </c>
      <c r="SG115" s="175"/>
      <c r="SH115" s="164"/>
      <c r="SI115" s="140">
        <f t="shared" si="335"/>
        <v>0</v>
      </c>
      <c r="SJ115" s="150"/>
      <c r="SK115" s="528"/>
      <c r="SL115" s="143"/>
      <c r="SM115" s="146"/>
      <c r="SN115" s="157" t="s">
        <v>84</v>
      </c>
      <c r="SO115" s="175"/>
      <c r="SP115" s="164"/>
      <c r="SQ115" s="140">
        <f t="shared" si="336"/>
        <v>0</v>
      </c>
      <c r="SR115" s="150"/>
      <c r="SS115" s="528"/>
      <c r="ST115" s="143"/>
      <c r="SU115" s="146"/>
      <c r="SV115" s="157" t="s">
        <v>84</v>
      </c>
      <c r="SW115" s="175"/>
      <c r="SX115" s="164"/>
      <c r="SY115" s="140">
        <f t="shared" si="337"/>
        <v>0</v>
      </c>
      <c r="SZ115" s="150"/>
      <c r="TA115" s="528"/>
      <c r="TB115" s="143"/>
      <c r="TC115" s="146"/>
      <c r="TD115" s="157" t="s">
        <v>84</v>
      </c>
      <c r="TE115" s="175"/>
      <c r="TF115" s="164"/>
      <c r="TG115" s="140">
        <f t="shared" si="338"/>
        <v>0</v>
      </c>
      <c r="TH115" s="150"/>
      <c r="TI115" s="528"/>
    </row>
    <row r="116" spans="2:529">
      <c r="B116" s="145"/>
      <c r="C116" s="146"/>
      <c r="D116" s="157" t="s">
        <v>96</v>
      </c>
      <c r="E116" s="138">
        <v>17</v>
      </c>
      <c r="F116" s="170">
        <v>0.73671428571428577</v>
      </c>
      <c r="G116" s="140">
        <f t="shared" si="247"/>
        <v>12.524142857142857</v>
      </c>
      <c r="H116" s="159">
        <f>SUM(G114:G116)</f>
        <v>12.524142857142857</v>
      </c>
      <c r="I116" s="528"/>
      <c r="J116" s="145"/>
      <c r="K116" s="146"/>
      <c r="L116" s="157" t="s">
        <v>96</v>
      </c>
      <c r="M116" s="138">
        <v>35</v>
      </c>
      <c r="N116" s="170">
        <v>0.73671428571428577</v>
      </c>
      <c r="O116" s="140">
        <f t="shared" si="248"/>
        <v>25.785</v>
      </c>
      <c r="P116" s="159">
        <f>SUM(O114:O116)</f>
        <v>130.58844827586208</v>
      </c>
      <c r="Q116" s="528"/>
      <c r="R116" s="145"/>
      <c r="S116" s="146"/>
      <c r="T116" s="157" t="s">
        <v>96</v>
      </c>
      <c r="U116" s="138">
        <v>0</v>
      </c>
      <c r="V116" s="170">
        <v>0.73671428571428577</v>
      </c>
      <c r="W116" s="140">
        <f t="shared" si="249"/>
        <v>0</v>
      </c>
      <c r="X116" s="159">
        <f>SUM(W114:W116)</f>
        <v>0</v>
      </c>
      <c r="Y116" s="528"/>
      <c r="Z116" s="145"/>
      <c r="AA116" s="146"/>
      <c r="AB116" s="157" t="s">
        <v>96</v>
      </c>
      <c r="AC116" s="138">
        <v>10</v>
      </c>
      <c r="AD116" s="170">
        <v>0.73671428571428577</v>
      </c>
      <c r="AE116" s="140">
        <f t="shared" si="250"/>
        <v>7.3671428571428574</v>
      </c>
      <c r="AF116" s="159">
        <f>SUM(AE114:AE116)</f>
        <v>7.3671428571428574</v>
      </c>
      <c r="AG116" s="528"/>
      <c r="AH116" s="145"/>
      <c r="AI116" s="146"/>
      <c r="AJ116" s="157" t="s">
        <v>96</v>
      </c>
      <c r="AK116" s="138">
        <v>82</v>
      </c>
      <c r="AL116" s="170">
        <v>0.73671428571428577</v>
      </c>
      <c r="AM116" s="140">
        <f t="shared" si="251"/>
        <v>60.41057142857143</v>
      </c>
      <c r="AN116" s="159">
        <f>SUM(AM114:AM116)</f>
        <v>60.41057142857143</v>
      </c>
      <c r="AO116" s="528"/>
      <c r="AP116" s="145"/>
      <c r="AQ116" s="146"/>
      <c r="AR116" s="157" t="s">
        <v>96</v>
      </c>
      <c r="AS116" s="138">
        <v>62</v>
      </c>
      <c r="AT116" s="170">
        <v>0.73671428571428577</v>
      </c>
      <c r="AU116" s="140">
        <f t="shared" si="252"/>
        <v>45.676285714285719</v>
      </c>
      <c r="AV116" s="159">
        <f>SUM(AU114:AU116)</f>
        <v>57.02028571428572</v>
      </c>
      <c r="AW116" s="528"/>
      <c r="AX116" s="145"/>
      <c r="AY116" s="146"/>
      <c r="AZ116" s="157" t="s">
        <v>96</v>
      </c>
      <c r="BA116" s="138"/>
      <c r="BB116" s="170">
        <v>0.73671428571428577</v>
      </c>
      <c r="BC116" s="140">
        <f t="shared" si="253"/>
        <v>0</v>
      </c>
      <c r="BD116" s="159">
        <f>SUM(BC114:BC116)</f>
        <v>0</v>
      </c>
      <c r="BE116" s="528"/>
      <c r="BF116" s="145"/>
      <c r="BG116" s="146"/>
      <c r="BH116" s="157" t="s">
        <v>96</v>
      </c>
      <c r="BI116" s="138">
        <v>488</v>
      </c>
      <c r="BJ116" s="170">
        <v>0.73671428571428577</v>
      </c>
      <c r="BK116" s="140">
        <f t="shared" si="254"/>
        <v>359.51657142857147</v>
      </c>
      <c r="BL116" s="159">
        <f>SUM(BK114:BK116)</f>
        <v>1330.0667783251233</v>
      </c>
      <c r="BM116" s="528"/>
      <c r="BN116" s="145"/>
      <c r="BO116" s="146"/>
      <c r="BP116" s="157" t="s">
        <v>96</v>
      </c>
      <c r="BQ116" s="138">
        <v>491</v>
      </c>
      <c r="BR116" s="170">
        <v>0.73671428571428577</v>
      </c>
      <c r="BS116" s="140">
        <f t="shared" si="255"/>
        <v>361.72671428571431</v>
      </c>
      <c r="BT116" s="159">
        <f>SUM(BS114:BS116)</f>
        <v>1450.3543004926109</v>
      </c>
      <c r="BU116" s="528"/>
      <c r="BV116" s="536"/>
      <c r="BW116" s="537"/>
      <c r="BX116" s="574" t="s">
        <v>96</v>
      </c>
      <c r="BY116" s="560"/>
      <c r="BZ116" s="585">
        <v>0.73671428571428577</v>
      </c>
      <c r="CA116" s="562">
        <f t="shared" si="256"/>
        <v>0</v>
      </c>
      <c r="CB116" s="575">
        <f>SUM(CA114:CA116)</f>
        <v>0</v>
      </c>
      <c r="CC116" s="528"/>
      <c r="CD116" s="536"/>
      <c r="CE116" s="537"/>
      <c r="CF116" s="574" t="s">
        <v>96</v>
      </c>
      <c r="CG116" s="560"/>
      <c r="CH116" s="585">
        <v>0.73671428571428577</v>
      </c>
      <c r="CI116" s="562">
        <f t="shared" si="257"/>
        <v>0</v>
      </c>
      <c r="CJ116" s="575">
        <f>SUM(CI114:CI116)</f>
        <v>0</v>
      </c>
      <c r="CK116" s="528"/>
      <c r="CL116" s="145"/>
      <c r="CM116" s="146"/>
      <c r="CN116" s="157" t="s">
        <v>96</v>
      </c>
      <c r="CO116" s="138"/>
      <c r="CP116" s="170">
        <v>0.73671428571428577</v>
      </c>
      <c r="CQ116" s="140">
        <f t="shared" si="258"/>
        <v>0</v>
      </c>
      <c r="CR116" s="159">
        <f>SUM(CQ114:CQ116)</f>
        <v>0</v>
      </c>
      <c r="CS116" s="528"/>
      <c r="CT116" s="145"/>
      <c r="CU116" s="146"/>
      <c r="CV116" s="157" t="s">
        <v>96</v>
      </c>
      <c r="CW116" s="138">
        <v>488</v>
      </c>
      <c r="CX116" s="170">
        <v>0.73671428571428577</v>
      </c>
      <c r="CY116" s="140">
        <f t="shared" si="259"/>
        <v>359.51657142857147</v>
      </c>
      <c r="CZ116" s="159">
        <f>SUM(CY114:CY116)</f>
        <v>668.64057142857155</v>
      </c>
      <c r="DA116" s="528"/>
      <c r="DB116" s="145"/>
      <c r="DC116" s="146"/>
      <c r="DD116" s="157" t="s">
        <v>96</v>
      </c>
      <c r="DE116" s="138"/>
      <c r="DF116" s="170">
        <v>0.73671428571428577</v>
      </c>
      <c r="DG116" s="140">
        <f t="shared" si="260"/>
        <v>0</v>
      </c>
      <c r="DH116" s="159">
        <f>SUM(DG114:DG116)</f>
        <v>0</v>
      </c>
      <c r="DI116" s="528"/>
      <c r="DJ116" s="145"/>
      <c r="DK116" s="146"/>
      <c r="DL116" s="157" t="s">
        <v>96</v>
      </c>
      <c r="DM116" s="138">
        <v>0</v>
      </c>
      <c r="DN116" s="170">
        <v>0.73671428571428577</v>
      </c>
      <c r="DO116" s="140">
        <f t="shared" si="261"/>
        <v>0</v>
      </c>
      <c r="DP116" s="159">
        <f>SUM(DO114:DO116)</f>
        <v>0</v>
      </c>
      <c r="DQ116" s="528"/>
      <c r="DR116" s="145"/>
      <c r="DS116" s="146"/>
      <c r="DT116" s="157" t="s">
        <v>96</v>
      </c>
      <c r="DU116" s="138">
        <v>0</v>
      </c>
      <c r="DV116" s="170">
        <v>0.73671428571428577</v>
      </c>
      <c r="DW116" s="140">
        <f t="shared" si="262"/>
        <v>0</v>
      </c>
      <c r="DX116" s="159">
        <f>SUM(DW114:DW116)</f>
        <v>0</v>
      </c>
      <c r="DY116" s="528"/>
      <c r="DZ116" s="145"/>
      <c r="EA116" s="146"/>
      <c r="EB116" s="157" t="s">
        <v>96</v>
      </c>
      <c r="EC116" s="138">
        <v>0</v>
      </c>
      <c r="ED116" s="170">
        <v>0.73671428571428577</v>
      </c>
      <c r="EE116" s="140">
        <f t="shared" si="263"/>
        <v>0</v>
      </c>
      <c r="EF116" s="159">
        <f>SUM(EE114:EE116)</f>
        <v>0</v>
      </c>
      <c r="EG116" s="528"/>
      <c r="EH116" s="145"/>
      <c r="EI116" s="146"/>
      <c r="EJ116" s="157" t="s">
        <v>96</v>
      </c>
      <c r="EK116" s="138">
        <v>0</v>
      </c>
      <c r="EL116" s="170">
        <v>0.73671428571428577</v>
      </c>
      <c r="EM116" s="140">
        <f t="shared" si="264"/>
        <v>0</v>
      </c>
      <c r="EN116" s="159">
        <f>SUM(EM114:EM116)</f>
        <v>0</v>
      </c>
      <c r="EO116" s="528"/>
      <c r="EP116" s="145"/>
      <c r="EQ116" s="146"/>
      <c r="ER116" s="157" t="s">
        <v>96</v>
      </c>
      <c r="ES116" s="138">
        <v>102</v>
      </c>
      <c r="ET116" s="170">
        <v>0.73671428571428577</v>
      </c>
      <c r="EU116" s="140">
        <f t="shared" si="265"/>
        <v>75.144857142857148</v>
      </c>
      <c r="EV116" s="159">
        <f>SUM(EU114:EU116)</f>
        <v>170.63244334975371</v>
      </c>
      <c r="EW116" s="528"/>
      <c r="EX116" s="145"/>
      <c r="EY116" s="146"/>
      <c r="EZ116" s="157" t="s">
        <v>96</v>
      </c>
      <c r="FA116" s="138"/>
      <c r="FB116" s="170">
        <v>0.73671428571428577</v>
      </c>
      <c r="FC116" s="140">
        <f t="shared" si="266"/>
        <v>0</v>
      </c>
      <c r="FD116" s="159">
        <f>SUM(FC114:FC116)</f>
        <v>0</v>
      </c>
      <c r="FE116" s="528"/>
      <c r="FF116" s="145"/>
      <c r="FG116" s="146"/>
      <c r="FH116" s="157" t="s">
        <v>96</v>
      </c>
      <c r="FI116" s="138"/>
      <c r="FJ116" s="170">
        <v>0.73671428571428577</v>
      </c>
      <c r="FK116" s="140">
        <f t="shared" si="267"/>
        <v>0</v>
      </c>
      <c r="FL116" s="159">
        <f>SUM(FK114:FK116)</f>
        <v>0</v>
      </c>
      <c r="FM116" s="528"/>
      <c r="FN116" s="145"/>
      <c r="FO116" s="146"/>
      <c r="FP116" s="157" t="s">
        <v>96</v>
      </c>
      <c r="FQ116" s="138"/>
      <c r="FR116" s="170">
        <v>0.73671428571428577</v>
      </c>
      <c r="FS116" s="140">
        <f t="shared" si="268"/>
        <v>0</v>
      </c>
      <c r="FT116" s="159">
        <f>SUM(FS114:FS116)</f>
        <v>0</v>
      </c>
      <c r="FU116" s="528"/>
      <c r="FV116" s="145"/>
      <c r="FW116" s="146"/>
      <c r="FX116" s="157" t="s">
        <v>96</v>
      </c>
      <c r="FY116" s="138"/>
      <c r="FZ116" s="170">
        <v>0.73671428571428577</v>
      </c>
      <c r="GA116" s="140">
        <f t="shared" si="269"/>
        <v>0</v>
      </c>
      <c r="GB116" s="159">
        <f>SUM(GA114:GA116)</f>
        <v>0</v>
      </c>
      <c r="GC116" s="528"/>
      <c r="GD116" s="145"/>
      <c r="GE116" s="146"/>
      <c r="GF116" s="157" t="s">
        <v>96</v>
      </c>
      <c r="GG116" s="138"/>
      <c r="GH116" s="170">
        <v>0.73671428571428577</v>
      </c>
      <c r="GI116" s="140">
        <f t="shared" si="270"/>
        <v>0</v>
      </c>
      <c r="GJ116" s="159">
        <f>SUM(GI114:GI116)</f>
        <v>0</v>
      </c>
      <c r="GK116" s="528"/>
      <c r="GL116" s="145"/>
      <c r="GM116" s="146"/>
      <c r="GN116" s="157" t="s">
        <v>96</v>
      </c>
      <c r="GO116" s="138">
        <f>'[1]Jan_18_Vol weekly-Data-Entry'!$BG$226</f>
        <v>0</v>
      </c>
      <c r="GP116" s="170">
        <v>0.73671428571428577</v>
      </c>
      <c r="GQ116" s="140">
        <f t="shared" si="271"/>
        <v>0</v>
      </c>
      <c r="GR116" s="159">
        <f>SUM(GQ114:GQ116)</f>
        <v>0</v>
      </c>
      <c r="GS116" s="528"/>
      <c r="GT116" s="145"/>
      <c r="GU116" s="146"/>
      <c r="GV116" s="157" t="s">
        <v>96</v>
      </c>
      <c r="GW116" s="138">
        <v>62</v>
      </c>
      <c r="GX116" s="170">
        <v>0.73671428571428577</v>
      </c>
      <c r="GY116" s="140">
        <f>GW116*GX116</f>
        <v>45.676285714285719</v>
      </c>
      <c r="GZ116" s="159">
        <f>SUM(GY114:GY116)</f>
        <v>45.676285714285719</v>
      </c>
      <c r="HA116" s="528"/>
      <c r="HB116" s="145"/>
      <c r="HC116" s="146"/>
      <c r="HD116" s="157" t="s">
        <v>96</v>
      </c>
      <c r="HE116" s="138">
        <v>0</v>
      </c>
      <c r="HF116" s="170">
        <v>0.73671428571428577</v>
      </c>
      <c r="HG116" s="140">
        <f t="shared" si="273"/>
        <v>0</v>
      </c>
      <c r="HH116" s="159">
        <f>SUM(HG114:HG116)</f>
        <v>0</v>
      </c>
      <c r="HI116" s="528"/>
      <c r="HJ116" s="145"/>
      <c r="HK116" s="146"/>
      <c r="HL116" s="157" t="s">
        <v>96</v>
      </c>
      <c r="HM116" s="138">
        <v>13</v>
      </c>
      <c r="HN116" s="170">
        <v>0.73671428571428577</v>
      </c>
      <c r="HO116" s="140">
        <f t="shared" si="274"/>
        <v>9.5772857142857148</v>
      </c>
      <c r="HP116" s="159">
        <f>SUM(HO114:HO116)</f>
        <v>9.5772857142857148</v>
      </c>
      <c r="HQ116" s="528"/>
      <c r="HR116" s="145"/>
      <c r="HS116" s="146"/>
      <c r="HT116" s="157" t="s">
        <v>96</v>
      </c>
      <c r="HU116" s="138">
        <v>61</v>
      </c>
      <c r="HV116" s="170">
        <v>0.73671428571428577</v>
      </c>
      <c r="HW116" s="140">
        <f t="shared" si="275"/>
        <v>44.939571428571433</v>
      </c>
      <c r="HX116" s="159">
        <f>SUM(HW114:HW116)</f>
        <v>44.939571428571433</v>
      </c>
      <c r="HY116" s="528"/>
      <c r="HZ116" s="145"/>
      <c r="IA116" s="146"/>
      <c r="IB116" s="157" t="s">
        <v>96</v>
      </c>
      <c r="IC116" s="138">
        <v>0</v>
      </c>
      <c r="ID116" s="170">
        <v>0.73671428571428577</v>
      </c>
      <c r="IE116" s="140">
        <f t="shared" si="276"/>
        <v>0</v>
      </c>
      <c r="IF116" s="159">
        <f>SUM(IE114:IE116)</f>
        <v>0</v>
      </c>
      <c r="IG116" s="528"/>
      <c r="IH116" s="145"/>
      <c r="II116" s="146"/>
      <c r="IJ116" s="157" t="s">
        <v>96</v>
      </c>
      <c r="IK116" s="138">
        <v>150</v>
      </c>
      <c r="IL116" s="170">
        <v>0.73671428571428577</v>
      </c>
      <c r="IM116" s="140">
        <f t="shared" si="277"/>
        <v>110.50714285714287</v>
      </c>
      <c r="IN116" s="159">
        <f>SUM(IM114:IM116)</f>
        <v>110.50714285714287</v>
      </c>
      <c r="IO116" s="528"/>
      <c r="IP116" s="145"/>
      <c r="IQ116" s="146"/>
      <c r="IR116" s="157" t="s">
        <v>96</v>
      </c>
      <c r="IS116" s="138">
        <v>34</v>
      </c>
      <c r="IT116" s="170">
        <v>0.73671428571428577</v>
      </c>
      <c r="IU116" s="140">
        <f t="shared" si="278"/>
        <v>25.048285714285715</v>
      </c>
      <c r="IV116" s="159">
        <f>SUM(IU114:IU116)</f>
        <v>774.97518226600994</v>
      </c>
      <c r="IW116" s="528"/>
      <c r="IX116" s="145"/>
      <c r="IY116" s="146"/>
      <c r="IZ116" s="157" t="s">
        <v>96</v>
      </c>
      <c r="JA116" s="138">
        <v>25</v>
      </c>
      <c r="JB116" s="170">
        <v>0.73671428571428577</v>
      </c>
      <c r="JC116" s="140">
        <f t="shared" si="279"/>
        <v>18.417857142857144</v>
      </c>
      <c r="JD116" s="159">
        <f>SUM(JC114:JC116)</f>
        <v>98.767167487684745</v>
      </c>
      <c r="JE116" s="528"/>
      <c r="JF116" s="145"/>
      <c r="JG116" s="146"/>
      <c r="JH116" s="157" t="s">
        <v>96</v>
      </c>
      <c r="JI116" s="138">
        <v>79</v>
      </c>
      <c r="JJ116" s="170">
        <v>0.73671428571428577</v>
      </c>
      <c r="JK116" s="140">
        <f t="shared" si="280"/>
        <v>58.200428571428574</v>
      </c>
      <c r="JL116" s="159">
        <f>SUM(JK114:JK116)</f>
        <v>1164.7506078817735</v>
      </c>
      <c r="JM116" s="528"/>
      <c r="JN116" s="145"/>
      <c r="JO116" s="146"/>
      <c r="JP116" s="157" t="s">
        <v>96</v>
      </c>
      <c r="JQ116" s="138">
        <v>567</v>
      </c>
      <c r="JR116" s="170">
        <v>0.73671428571428577</v>
      </c>
      <c r="JS116" s="140">
        <f t="shared" si="281"/>
        <v>417.71700000000004</v>
      </c>
      <c r="JT116" s="159">
        <f>SUM(JS114:JS116)</f>
        <v>1306.6639517241381</v>
      </c>
      <c r="JU116" s="528"/>
      <c r="JV116" s="145"/>
      <c r="JW116" s="146"/>
      <c r="JX116" s="157" t="s">
        <v>96</v>
      </c>
      <c r="JY116" s="138">
        <v>507</v>
      </c>
      <c r="JZ116" s="170">
        <v>0.73671428571428577</v>
      </c>
      <c r="KA116" s="140">
        <f t="shared" si="282"/>
        <v>373.51414285714287</v>
      </c>
      <c r="KB116" s="159">
        <f>SUM(KA114:KA116)</f>
        <v>937.89720492610854</v>
      </c>
      <c r="KC116" s="528"/>
      <c r="KD116" s="145"/>
      <c r="KE116" s="146"/>
      <c r="KF116" s="157" t="s">
        <v>96</v>
      </c>
      <c r="KG116" s="138">
        <v>495</v>
      </c>
      <c r="KH116" s="170">
        <v>0.73671428571428577</v>
      </c>
      <c r="KI116" s="140">
        <f t="shared" si="283"/>
        <v>364.67357142857145</v>
      </c>
      <c r="KJ116" s="159">
        <f>SUM(KI114:KI116)</f>
        <v>384.46977832512317</v>
      </c>
      <c r="KK116" s="528"/>
      <c r="KL116" s="145"/>
      <c r="KM116" s="146"/>
      <c r="KN116" s="157" t="s">
        <v>96</v>
      </c>
      <c r="KO116" s="138">
        <v>35</v>
      </c>
      <c r="KP116" s="170">
        <v>0.73671428571428577</v>
      </c>
      <c r="KQ116" s="140">
        <f t="shared" si="284"/>
        <v>25.785</v>
      </c>
      <c r="KR116" s="159">
        <f>SUM(KQ114:KQ116)</f>
        <v>130.58844827586208</v>
      </c>
      <c r="KS116" s="528"/>
      <c r="KT116" s="145"/>
      <c r="KU116" s="146"/>
      <c r="KV116" s="157" t="s">
        <v>96</v>
      </c>
      <c r="KW116" s="138">
        <v>0</v>
      </c>
      <c r="KX116" s="170">
        <v>0.73671428571428577</v>
      </c>
      <c r="KY116" s="140">
        <f t="shared" si="285"/>
        <v>0</v>
      </c>
      <c r="KZ116" s="159">
        <f>SUM(KY114:KY116)</f>
        <v>0</v>
      </c>
      <c r="LA116" s="528"/>
      <c r="LB116" s="145"/>
      <c r="LC116" s="146"/>
      <c r="LD116" s="157" t="s">
        <v>96</v>
      </c>
      <c r="LE116" s="138">
        <v>25</v>
      </c>
      <c r="LF116" s="170">
        <v>0.73671428571428577</v>
      </c>
      <c r="LG116" s="140">
        <f t="shared" si="286"/>
        <v>18.417857142857144</v>
      </c>
      <c r="LH116" s="159">
        <f>SUM(LG114:LG116)</f>
        <v>18.417857142857144</v>
      </c>
      <c r="LI116" s="528"/>
      <c r="LJ116" s="145"/>
      <c r="LK116" s="146"/>
      <c r="LL116" s="157" t="s">
        <v>96</v>
      </c>
      <c r="LM116" s="175">
        <v>12</v>
      </c>
      <c r="LN116" s="139">
        <v>0.73671428571428577</v>
      </c>
      <c r="LO116" s="140">
        <f t="shared" si="313"/>
        <v>8.8405714285714296</v>
      </c>
      <c r="LP116" s="159">
        <f>SUM(LO114:LO116)</f>
        <v>8.8405714285714296</v>
      </c>
      <c r="LQ116" s="528"/>
      <c r="LR116" s="145"/>
      <c r="LS116" s="146"/>
      <c r="LT116" s="157" t="s">
        <v>96</v>
      </c>
      <c r="LU116" s="175">
        <v>262</v>
      </c>
      <c r="LV116" s="139">
        <v>0.73671428571428577</v>
      </c>
      <c r="LW116" s="140">
        <f t="shared" si="314"/>
        <v>193.01914285714287</v>
      </c>
      <c r="LX116" s="159">
        <f>SUM(LW114:LW116)</f>
        <v>193.01914285714287</v>
      </c>
      <c r="LY116" s="528"/>
      <c r="LZ116" s="145"/>
      <c r="MA116" s="146"/>
      <c r="MB116" s="157" t="s">
        <v>96</v>
      </c>
      <c r="MC116" s="175">
        <v>32</v>
      </c>
      <c r="MD116" s="139">
        <v>0.73671428571428577</v>
      </c>
      <c r="ME116" s="140">
        <f t="shared" si="315"/>
        <v>23.574857142857145</v>
      </c>
      <c r="MF116" s="159">
        <f>SUM(ME114:ME116)</f>
        <v>366.9124019704434</v>
      </c>
      <c r="MG116" s="528"/>
      <c r="MH116" s="145"/>
      <c r="MI116" s="146"/>
      <c r="MJ116" s="157" t="s">
        <v>96</v>
      </c>
      <c r="MK116" s="175">
        <v>509</v>
      </c>
      <c r="ML116" s="139">
        <v>0.73671428571428577</v>
      </c>
      <c r="MM116" s="140">
        <f t="shared" si="316"/>
        <v>374.98757142857147</v>
      </c>
      <c r="MN116" s="159">
        <f>SUM(MM114:MM116)</f>
        <v>2138.8218059113301</v>
      </c>
      <c r="MO116" s="528"/>
      <c r="MP116" s="145"/>
      <c r="MQ116" s="146"/>
      <c r="MR116" s="157" t="s">
        <v>96</v>
      </c>
      <c r="MS116" s="175">
        <v>146</v>
      </c>
      <c r="MT116" s="139">
        <v>0.73671428571428577</v>
      </c>
      <c r="MU116" s="140">
        <f t="shared" si="317"/>
        <v>107.56028571428573</v>
      </c>
      <c r="MV116" s="159">
        <f>SUM(MU114:MU116)</f>
        <v>1259.7096374384239</v>
      </c>
      <c r="MW116" s="528"/>
      <c r="MX116" s="143"/>
      <c r="MY116" s="146"/>
      <c r="MZ116" s="145" t="s">
        <v>85</v>
      </c>
      <c r="NA116" s="175"/>
      <c r="NB116" s="164"/>
      <c r="NC116" s="140">
        <f t="shared" si="318"/>
        <v>0</v>
      </c>
      <c r="ND116" s="702">
        <f>SUM(NC113:NC116)</f>
        <v>335.36750000000001</v>
      </c>
      <c r="NE116" s="528"/>
      <c r="NF116" s="143"/>
      <c r="NG116" s="146"/>
      <c r="NH116" s="145" t="s">
        <v>85</v>
      </c>
      <c r="NI116" s="175"/>
      <c r="NJ116" s="164"/>
      <c r="NK116" s="140">
        <f t="shared" si="319"/>
        <v>0</v>
      </c>
      <c r="NL116" s="702">
        <f>SUM(NK113:NK116)</f>
        <v>506.84500000000003</v>
      </c>
      <c r="NM116" s="528"/>
      <c r="NN116" s="143"/>
      <c r="NO116" s="146"/>
      <c r="NP116" s="145" t="s">
        <v>85</v>
      </c>
      <c r="NQ116" s="175"/>
      <c r="NR116" s="164"/>
      <c r="NS116" s="140">
        <f t="shared" si="320"/>
        <v>0</v>
      </c>
      <c r="NT116" s="702">
        <f>SUM(NS113:NS116)</f>
        <v>13.657500000000001</v>
      </c>
      <c r="NU116" s="528"/>
      <c r="NV116" s="143"/>
      <c r="NW116" s="146"/>
      <c r="NX116" s="145" t="s">
        <v>85</v>
      </c>
      <c r="NY116" s="175"/>
      <c r="NZ116" s="164"/>
      <c r="OA116" s="140">
        <f t="shared" si="321"/>
        <v>0</v>
      </c>
      <c r="OB116" s="702">
        <f>SUM(OA113:OA116)</f>
        <v>30.35</v>
      </c>
      <c r="OC116" s="528"/>
      <c r="OD116" s="143"/>
      <c r="OE116" s="146"/>
      <c r="OF116" s="145" t="s">
        <v>85</v>
      </c>
      <c r="OG116" s="175"/>
      <c r="OH116" s="164"/>
      <c r="OI116" s="140">
        <f t="shared" si="322"/>
        <v>0</v>
      </c>
      <c r="OJ116" s="702">
        <f>SUM(OI113:OI116)</f>
        <v>0</v>
      </c>
      <c r="OK116" s="528"/>
      <c r="OL116" s="143"/>
      <c r="OM116" s="146"/>
      <c r="ON116" s="145" t="s">
        <v>85</v>
      </c>
      <c r="OO116" s="175"/>
      <c r="OP116" s="164"/>
      <c r="OQ116" s="140">
        <f t="shared" si="323"/>
        <v>0</v>
      </c>
      <c r="OR116" s="702">
        <f>SUM(OQ113:OQ116)</f>
        <v>71.322500000000005</v>
      </c>
      <c r="OS116" s="528"/>
      <c r="OT116" s="143"/>
      <c r="OU116" s="146"/>
      <c r="OV116" s="145" t="s">
        <v>85</v>
      </c>
      <c r="OW116" s="175"/>
      <c r="OX116" s="164"/>
      <c r="OY116" s="140">
        <f t="shared" si="324"/>
        <v>0</v>
      </c>
      <c r="OZ116" s="702">
        <f>SUM(OY113:OY116)</f>
        <v>0</v>
      </c>
      <c r="PA116" s="528"/>
      <c r="PB116" s="143"/>
      <c r="PC116" s="146"/>
      <c r="PD116" s="145" t="s">
        <v>85</v>
      </c>
      <c r="PE116" s="175"/>
      <c r="PF116" s="164"/>
      <c r="PG116" s="140">
        <f t="shared" si="325"/>
        <v>0</v>
      </c>
      <c r="PH116" s="702">
        <f>SUM(PG113:PG116)</f>
        <v>148.715</v>
      </c>
      <c r="PI116" s="528"/>
      <c r="PJ116" s="143"/>
      <c r="PK116" s="146"/>
      <c r="PL116" s="145" t="s">
        <v>85</v>
      </c>
      <c r="PM116" s="175"/>
      <c r="PN116" s="164"/>
      <c r="PO116" s="140">
        <f t="shared" si="326"/>
        <v>0</v>
      </c>
      <c r="PP116" s="702">
        <f>SUM(PO113:PO116)</f>
        <v>435.52250000000004</v>
      </c>
      <c r="PQ116" s="528"/>
      <c r="PR116" s="143"/>
      <c r="PS116" s="146"/>
      <c r="PT116" s="145" t="s">
        <v>85</v>
      </c>
      <c r="PU116" s="175"/>
      <c r="PV116" s="164"/>
      <c r="PW116" s="140">
        <f t="shared" si="327"/>
        <v>0</v>
      </c>
      <c r="PX116" s="702">
        <f>SUM(PW113:PW116)</f>
        <v>300.46500000000003</v>
      </c>
      <c r="PY116" s="528"/>
      <c r="PZ116" s="143"/>
      <c r="QA116" s="146"/>
      <c r="QB116" s="145" t="s">
        <v>85</v>
      </c>
      <c r="QC116" s="175"/>
      <c r="QD116" s="164"/>
      <c r="QE116" s="140">
        <f t="shared" si="328"/>
        <v>0</v>
      </c>
      <c r="QF116" s="702">
        <f>SUM(QE113:QE116)</f>
        <v>361.16500000000002</v>
      </c>
      <c r="QG116" s="528"/>
      <c r="QH116" s="143"/>
      <c r="QI116" s="146"/>
      <c r="QJ116" s="145" t="s">
        <v>85</v>
      </c>
      <c r="QK116" s="175"/>
      <c r="QL116" s="164"/>
      <c r="QM116" s="140">
        <f t="shared" si="329"/>
        <v>0</v>
      </c>
      <c r="QN116" s="702">
        <f>SUM(QM113:QM116)</f>
        <v>130.505</v>
      </c>
      <c r="QO116" s="528"/>
      <c r="QP116" s="143"/>
      <c r="QQ116" s="146"/>
      <c r="QR116" s="145" t="s">
        <v>85</v>
      </c>
      <c r="QS116" s="175"/>
      <c r="QT116" s="164"/>
      <c r="QU116" s="140">
        <f t="shared" si="330"/>
        <v>0</v>
      </c>
      <c r="QV116" s="702">
        <f>SUM(QU113:QU116)</f>
        <v>78.91</v>
      </c>
      <c r="QW116" s="528"/>
      <c r="QX116" s="143"/>
      <c r="QY116" s="146"/>
      <c r="QZ116" s="145" t="s">
        <v>85</v>
      </c>
      <c r="RA116" s="175"/>
      <c r="RB116" s="164"/>
      <c r="RC116" s="140">
        <f t="shared" si="331"/>
        <v>0</v>
      </c>
      <c r="RD116" s="702">
        <f>SUM(RC113:RC116)</f>
        <v>0</v>
      </c>
      <c r="RE116" s="528"/>
      <c r="RF116" s="143"/>
      <c r="RG116" s="146"/>
      <c r="RH116" s="145" t="s">
        <v>85</v>
      </c>
      <c r="RI116" s="175"/>
      <c r="RJ116" s="164"/>
      <c r="RK116" s="140">
        <f t="shared" si="332"/>
        <v>0</v>
      </c>
      <c r="RL116" s="702">
        <f>SUM(RK113:RK116)</f>
        <v>0</v>
      </c>
      <c r="RM116" s="528"/>
      <c r="RN116" s="143"/>
      <c r="RO116" s="146"/>
      <c r="RP116" s="145" t="s">
        <v>85</v>
      </c>
      <c r="RQ116" s="175"/>
      <c r="RR116" s="164"/>
      <c r="RS116" s="140">
        <f t="shared" si="333"/>
        <v>0</v>
      </c>
      <c r="RT116" s="702">
        <f>SUM(RS113:RS116)</f>
        <v>0</v>
      </c>
      <c r="RU116" s="528"/>
      <c r="RV116" s="143"/>
      <c r="RW116" s="146"/>
      <c r="RX116" s="145" t="s">
        <v>85</v>
      </c>
      <c r="RY116" s="175"/>
      <c r="RZ116" s="164"/>
      <c r="SA116" s="140">
        <f t="shared" si="334"/>
        <v>0</v>
      </c>
      <c r="SB116" s="702">
        <f>SUM(SA113:SA116)</f>
        <v>4.5525000000000002</v>
      </c>
      <c r="SC116" s="528"/>
      <c r="SD116" s="143"/>
      <c r="SE116" s="146"/>
      <c r="SF116" s="145" t="s">
        <v>85</v>
      </c>
      <c r="SG116" s="175"/>
      <c r="SH116" s="164"/>
      <c r="SI116" s="140">
        <f t="shared" si="335"/>
        <v>0</v>
      </c>
      <c r="SJ116" s="702">
        <f>SUM(SI113:SI116)</f>
        <v>128.98750000000001</v>
      </c>
      <c r="SK116" s="528"/>
      <c r="SL116" s="143"/>
      <c r="SM116" s="146"/>
      <c r="SN116" s="145" t="s">
        <v>85</v>
      </c>
      <c r="SO116" s="175"/>
      <c r="SP116" s="164"/>
      <c r="SQ116" s="140">
        <f t="shared" si="336"/>
        <v>0</v>
      </c>
      <c r="SR116" s="702">
        <f>SUM(SQ113:SQ116)</f>
        <v>427.935</v>
      </c>
      <c r="SS116" s="528"/>
      <c r="ST116" s="143"/>
      <c r="SU116" s="146"/>
      <c r="SV116" s="145" t="s">
        <v>85</v>
      </c>
      <c r="SW116" s="175"/>
      <c r="SX116" s="164"/>
      <c r="SY116" s="140">
        <f t="shared" si="337"/>
        <v>0</v>
      </c>
      <c r="SZ116" s="702">
        <f>SUM(SY113:SY116)</f>
        <v>447.66250000000002</v>
      </c>
      <c r="TA116" s="528"/>
      <c r="TB116" s="143"/>
      <c r="TC116" s="146"/>
      <c r="TD116" s="145" t="s">
        <v>85</v>
      </c>
      <c r="TE116" s="175"/>
      <c r="TF116" s="164"/>
      <c r="TG116" s="140">
        <f t="shared" si="338"/>
        <v>0</v>
      </c>
      <c r="TH116" s="702">
        <f>SUM(TG113:TG116)</f>
        <v>484.08250000000004</v>
      </c>
      <c r="TI116" s="528"/>
    </row>
    <row r="117" spans="2:529">
      <c r="B117" s="143" t="s">
        <v>97</v>
      </c>
      <c r="C117" s="144">
        <v>37</v>
      </c>
      <c r="D117" s="157" t="s">
        <v>36</v>
      </c>
      <c r="E117" s="138">
        <v>495</v>
      </c>
      <c r="F117" s="172">
        <v>4.8559259259259262</v>
      </c>
      <c r="G117" s="140">
        <f t="shared" si="247"/>
        <v>2403.6833333333334</v>
      </c>
      <c r="H117" s="149"/>
      <c r="I117" s="528"/>
      <c r="J117" s="143" t="s">
        <v>97</v>
      </c>
      <c r="K117" s="144">
        <v>6</v>
      </c>
      <c r="L117" s="157" t="s">
        <v>36</v>
      </c>
      <c r="M117" s="138">
        <v>69</v>
      </c>
      <c r="N117" s="172">
        <v>4.8559259259259262</v>
      </c>
      <c r="O117" s="140">
        <f t="shared" si="248"/>
        <v>335.05888888888893</v>
      </c>
      <c r="P117" s="149"/>
      <c r="Q117" s="528"/>
      <c r="R117" s="143" t="s">
        <v>97</v>
      </c>
      <c r="S117" s="144">
        <v>17</v>
      </c>
      <c r="T117" s="157" t="s">
        <v>36</v>
      </c>
      <c r="U117" s="138">
        <v>131</v>
      </c>
      <c r="V117" s="172">
        <v>4.8559259259259262</v>
      </c>
      <c r="W117" s="140">
        <f t="shared" si="249"/>
        <v>636.12629629629635</v>
      </c>
      <c r="X117" s="149"/>
      <c r="Y117" s="528"/>
      <c r="Z117" s="143" t="s">
        <v>97</v>
      </c>
      <c r="AA117" s="144">
        <v>37</v>
      </c>
      <c r="AB117" s="157" t="s">
        <v>36</v>
      </c>
      <c r="AC117" s="138">
        <v>248</v>
      </c>
      <c r="AD117" s="172">
        <v>4.8559259259259262</v>
      </c>
      <c r="AE117" s="140">
        <f t="shared" si="250"/>
        <v>1204.2696296296297</v>
      </c>
      <c r="AF117" s="149"/>
      <c r="AG117" s="528"/>
      <c r="AH117" s="143" t="s">
        <v>97</v>
      </c>
      <c r="AI117" s="144">
        <v>2</v>
      </c>
      <c r="AJ117" s="157" t="s">
        <v>36</v>
      </c>
      <c r="AK117" s="138">
        <v>102</v>
      </c>
      <c r="AL117" s="172">
        <v>4.8559259259259262</v>
      </c>
      <c r="AM117" s="140">
        <f t="shared" si="251"/>
        <v>495.30444444444447</v>
      </c>
      <c r="AN117" s="149"/>
      <c r="AO117" s="528"/>
      <c r="AP117" s="143" t="s">
        <v>97</v>
      </c>
      <c r="AQ117" s="144">
        <v>7</v>
      </c>
      <c r="AR117" s="157" t="s">
        <v>36</v>
      </c>
      <c r="AS117" s="138">
        <v>65</v>
      </c>
      <c r="AT117" s="172">
        <v>4.8559259259259262</v>
      </c>
      <c r="AU117" s="140">
        <f t="shared" si="252"/>
        <v>315.63518518518521</v>
      </c>
      <c r="AV117" s="149"/>
      <c r="AW117" s="528"/>
      <c r="AX117" s="143" t="s">
        <v>97</v>
      </c>
      <c r="AY117" s="144"/>
      <c r="AZ117" s="157" t="s">
        <v>36</v>
      </c>
      <c r="BA117" s="138"/>
      <c r="BB117" s="172">
        <v>4.8559259259259262</v>
      </c>
      <c r="BC117" s="140">
        <f t="shared" si="253"/>
        <v>0</v>
      </c>
      <c r="BD117" s="149"/>
      <c r="BE117" s="528"/>
      <c r="BF117" s="143" t="s">
        <v>97</v>
      </c>
      <c r="BG117" s="144">
        <v>6</v>
      </c>
      <c r="BH117" s="157" t="s">
        <v>36</v>
      </c>
      <c r="BI117" s="138">
        <v>95</v>
      </c>
      <c r="BJ117" s="172">
        <v>4.8559259259259262</v>
      </c>
      <c r="BK117" s="140">
        <f t="shared" si="254"/>
        <v>461.31296296296301</v>
      </c>
      <c r="BL117" s="149"/>
      <c r="BM117" s="528"/>
      <c r="BN117" s="143" t="s">
        <v>97</v>
      </c>
      <c r="BO117" s="144">
        <v>8</v>
      </c>
      <c r="BP117" s="157" t="s">
        <v>36</v>
      </c>
      <c r="BQ117" s="138">
        <v>76</v>
      </c>
      <c r="BR117" s="172">
        <v>4.8559259259259262</v>
      </c>
      <c r="BS117" s="140">
        <f t="shared" si="255"/>
        <v>369.05037037037039</v>
      </c>
      <c r="BT117" s="149"/>
      <c r="BU117" s="528"/>
      <c r="BV117" s="564" t="s">
        <v>97</v>
      </c>
      <c r="BW117" s="565"/>
      <c r="BX117" s="574" t="s">
        <v>36</v>
      </c>
      <c r="BY117" s="560"/>
      <c r="BZ117" s="587">
        <v>4.8559259259259262</v>
      </c>
      <c r="CA117" s="562">
        <f t="shared" si="256"/>
        <v>0</v>
      </c>
      <c r="CB117" s="568"/>
      <c r="CC117" s="528"/>
      <c r="CD117" s="564" t="s">
        <v>97</v>
      </c>
      <c r="CE117" s="565"/>
      <c r="CF117" s="574" t="s">
        <v>36</v>
      </c>
      <c r="CG117" s="560"/>
      <c r="CH117" s="587">
        <v>4.8559259259259262</v>
      </c>
      <c r="CI117" s="562">
        <f t="shared" si="257"/>
        <v>0</v>
      </c>
      <c r="CJ117" s="568"/>
      <c r="CK117" s="528"/>
      <c r="CL117" s="143" t="s">
        <v>97</v>
      </c>
      <c r="CM117" s="144"/>
      <c r="CN117" s="157" t="s">
        <v>36</v>
      </c>
      <c r="CO117" s="138"/>
      <c r="CP117" s="172">
        <v>4.8559259259259262</v>
      </c>
      <c r="CQ117" s="140">
        <f t="shared" si="258"/>
        <v>0</v>
      </c>
      <c r="CR117" s="149"/>
      <c r="CS117" s="528"/>
      <c r="CT117" s="143" t="s">
        <v>97</v>
      </c>
      <c r="CU117" s="144">
        <v>6</v>
      </c>
      <c r="CV117" s="157" t="s">
        <v>36</v>
      </c>
      <c r="CW117" s="138">
        <v>131</v>
      </c>
      <c r="CX117" s="172">
        <v>4.8559259259259262</v>
      </c>
      <c r="CY117" s="140">
        <f t="shared" si="259"/>
        <v>636.12629629629635</v>
      </c>
      <c r="CZ117" s="149"/>
      <c r="DA117" s="528"/>
      <c r="DB117" s="143" t="s">
        <v>97</v>
      </c>
      <c r="DC117" s="144"/>
      <c r="DD117" s="157" t="s">
        <v>36</v>
      </c>
      <c r="DE117" s="138"/>
      <c r="DF117" s="172">
        <v>4.8559259259259262</v>
      </c>
      <c r="DG117" s="140">
        <f t="shared" si="260"/>
        <v>0</v>
      </c>
      <c r="DH117" s="149"/>
      <c r="DI117" s="528"/>
      <c r="DJ117" s="143" t="s">
        <v>97</v>
      </c>
      <c r="DK117" s="144">
        <v>31</v>
      </c>
      <c r="DL117" s="157" t="s">
        <v>36</v>
      </c>
      <c r="DM117" s="138">
        <v>397</v>
      </c>
      <c r="DN117" s="172">
        <v>4.8559259259259262</v>
      </c>
      <c r="DO117" s="140">
        <f t="shared" si="261"/>
        <v>1927.8025925925926</v>
      </c>
      <c r="DP117" s="149"/>
      <c r="DQ117" s="528"/>
      <c r="DR117" s="143" t="s">
        <v>97</v>
      </c>
      <c r="DS117" s="144">
        <v>27</v>
      </c>
      <c r="DT117" s="157" t="s">
        <v>36</v>
      </c>
      <c r="DU117" s="138">
        <v>105</v>
      </c>
      <c r="DV117" s="172">
        <v>4.8559259259259262</v>
      </c>
      <c r="DW117" s="140">
        <f t="shared" si="262"/>
        <v>509.87222222222226</v>
      </c>
      <c r="DX117" s="149"/>
      <c r="DY117" s="528"/>
      <c r="DZ117" s="143" t="s">
        <v>97</v>
      </c>
      <c r="EA117" s="144">
        <v>36</v>
      </c>
      <c r="EB117" s="157" t="s">
        <v>36</v>
      </c>
      <c r="EC117" s="138">
        <v>521</v>
      </c>
      <c r="ED117" s="172">
        <v>4.8559259259259262</v>
      </c>
      <c r="EE117" s="140">
        <f t="shared" si="263"/>
        <v>2529.9374074074076</v>
      </c>
      <c r="EF117" s="149"/>
      <c r="EG117" s="528"/>
      <c r="EH117" s="143" t="s">
        <v>97</v>
      </c>
      <c r="EI117" s="144">
        <v>65</v>
      </c>
      <c r="EJ117" s="157" t="s">
        <v>36</v>
      </c>
      <c r="EK117" s="138">
        <v>1031</v>
      </c>
      <c r="EL117" s="172">
        <v>4.8559259259259262</v>
      </c>
      <c r="EM117" s="140">
        <f t="shared" si="264"/>
        <v>5006.4596296296295</v>
      </c>
      <c r="EN117" s="149"/>
      <c r="EO117" s="528"/>
      <c r="EP117" s="143" t="s">
        <v>97</v>
      </c>
      <c r="EQ117" s="144">
        <v>17</v>
      </c>
      <c r="ER117" s="157" t="s">
        <v>36</v>
      </c>
      <c r="ES117" s="138">
        <v>290</v>
      </c>
      <c r="ET117" s="172">
        <v>4.8559259259259262</v>
      </c>
      <c r="EU117" s="140">
        <f t="shared" si="265"/>
        <v>1408.2185185185185</v>
      </c>
      <c r="EV117" s="149"/>
      <c r="EW117" s="528"/>
      <c r="EX117" s="143" t="s">
        <v>97</v>
      </c>
      <c r="EY117" s="144"/>
      <c r="EZ117" s="157" t="s">
        <v>36</v>
      </c>
      <c r="FA117" s="138"/>
      <c r="FB117" s="172">
        <v>4.8559259259259262</v>
      </c>
      <c r="FC117" s="140">
        <f t="shared" si="266"/>
        <v>0</v>
      </c>
      <c r="FD117" s="149"/>
      <c r="FE117" s="528"/>
      <c r="FF117" s="143" t="s">
        <v>97</v>
      </c>
      <c r="FG117" s="144"/>
      <c r="FH117" s="157" t="s">
        <v>36</v>
      </c>
      <c r="FI117" s="138"/>
      <c r="FJ117" s="172">
        <v>4.8559259259259262</v>
      </c>
      <c r="FK117" s="140">
        <f t="shared" si="267"/>
        <v>0</v>
      </c>
      <c r="FL117" s="149"/>
      <c r="FM117" s="528"/>
      <c r="FN117" s="143" t="s">
        <v>97</v>
      </c>
      <c r="FO117" s="144"/>
      <c r="FP117" s="157" t="s">
        <v>36</v>
      </c>
      <c r="FQ117" s="138"/>
      <c r="FR117" s="172">
        <v>4.8559259259259262</v>
      </c>
      <c r="FS117" s="140">
        <f t="shared" si="268"/>
        <v>0</v>
      </c>
      <c r="FT117" s="149"/>
      <c r="FU117" s="528"/>
      <c r="FV117" s="143" t="s">
        <v>97</v>
      </c>
      <c r="FW117" s="144"/>
      <c r="FX117" s="157" t="s">
        <v>36</v>
      </c>
      <c r="FY117" s="138"/>
      <c r="FZ117" s="172">
        <v>4.8559259259259262</v>
      </c>
      <c r="GA117" s="140">
        <f t="shared" si="269"/>
        <v>0</v>
      </c>
      <c r="GB117" s="149"/>
      <c r="GC117" s="528"/>
      <c r="GD117" s="143" t="s">
        <v>97</v>
      </c>
      <c r="GE117" s="144"/>
      <c r="GF117" s="157" t="s">
        <v>36</v>
      </c>
      <c r="GG117" s="138"/>
      <c r="GH117" s="172">
        <v>4.8559259259259262</v>
      </c>
      <c r="GI117" s="140">
        <f t="shared" si="270"/>
        <v>0</v>
      </c>
      <c r="GJ117" s="149"/>
      <c r="GK117" s="528"/>
      <c r="GL117" s="143" t="s">
        <v>97</v>
      </c>
      <c r="GM117" s="144">
        <v>5</v>
      </c>
      <c r="GN117" s="157" t="s">
        <v>36</v>
      </c>
      <c r="GO117" s="138">
        <f>'[1]Jan_18_Vol weekly-Data-Entry'!$BI$226</f>
        <v>0</v>
      </c>
      <c r="GP117" s="172">
        <v>4.8559259259259262</v>
      </c>
      <c r="GQ117" s="140">
        <f t="shared" si="271"/>
        <v>0</v>
      </c>
      <c r="GR117" s="149"/>
      <c r="GS117" s="528"/>
      <c r="GT117" s="143" t="s">
        <v>97</v>
      </c>
      <c r="GU117" s="144">
        <v>8</v>
      </c>
      <c r="GV117" s="157" t="s">
        <v>36</v>
      </c>
      <c r="GW117" s="138">
        <v>259</v>
      </c>
      <c r="GX117" s="172">
        <v>4.8559259259259262</v>
      </c>
      <c r="GY117" s="140">
        <f t="shared" si="272"/>
        <v>1257.6848148148149</v>
      </c>
      <c r="GZ117" s="149"/>
      <c r="HA117" s="528"/>
      <c r="HB117" s="143" t="s">
        <v>97</v>
      </c>
      <c r="HC117" s="144">
        <v>7</v>
      </c>
      <c r="HD117" s="157" t="s">
        <v>36</v>
      </c>
      <c r="HE117" s="138">
        <v>131</v>
      </c>
      <c r="HF117" s="172">
        <v>4.8559259259259262</v>
      </c>
      <c r="HG117" s="140">
        <f t="shared" si="273"/>
        <v>636.12629629629635</v>
      </c>
      <c r="HH117" s="149"/>
      <c r="HI117" s="528"/>
      <c r="HJ117" s="143" t="s">
        <v>97</v>
      </c>
      <c r="HK117" s="144">
        <v>34</v>
      </c>
      <c r="HL117" s="157" t="s">
        <v>36</v>
      </c>
      <c r="HM117" s="138">
        <v>384</v>
      </c>
      <c r="HN117" s="172">
        <v>4.8559259259259262</v>
      </c>
      <c r="HO117" s="140">
        <f t="shared" si="274"/>
        <v>1864.6755555555555</v>
      </c>
      <c r="HP117" s="149"/>
      <c r="HQ117" s="528"/>
      <c r="HR117" s="143" t="s">
        <v>97</v>
      </c>
      <c r="HS117" s="144">
        <v>37</v>
      </c>
      <c r="HT117" s="157" t="s">
        <v>36</v>
      </c>
      <c r="HU117" s="138">
        <v>441</v>
      </c>
      <c r="HV117" s="172">
        <v>4.8559259259259262</v>
      </c>
      <c r="HW117" s="140">
        <f t="shared" si="275"/>
        <v>2141.4633333333336</v>
      </c>
      <c r="HX117" s="149"/>
      <c r="HY117" s="528"/>
      <c r="HZ117" s="143" t="s">
        <v>97</v>
      </c>
      <c r="IA117" s="144">
        <v>8</v>
      </c>
      <c r="IB117" s="157" t="s">
        <v>36</v>
      </c>
      <c r="IC117" s="138">
        <v>106</v>
      </c>
      <c r="ID117" s="172">
        <v>4.8559259259259262</v>
      </c>
      <c r="IE117" s="140">
        <f t="shared" si="276"/>
        <v>514.72814814814819</v>
      </c>
      <c r="IF117" s="149"/>
      <c r="IG117" s="528"/>
      <c r="IH117" s="143" t="s">
        <v>97</v>
      </c>
      <c r="II117" s="144">
        <v>20</v>
      </c>
      <c r="IJ117" s="157" t="s">
        <v>36</v>
      </c>
      <c r="IK117" s="138">
        <v>278</v>
      </c>
      <c r="IL117" s="172">
        <v>4.8559259259259262</v>
      </c>
      <c r="IM117" s="140">
        <f t="shared" si="277"/>
        <v>1349.9474074074076</v>
      </c>
      <c r="IN117" s="149"/>
      <c r="IO117" s="528"/>
      <c r="IP117" s="143" t="s">
        <v>97</v>
      </c>
      <c r="IQ117" s="144">
        <v>49</v>
      </c>
      <c r="IR117" s="157" t="s">
        <v>36</v>
      </c>
      <c r="IS117" s="138">
        <v>652</v>
      </c>
      <c r="IT117" s="172">
        <v>4.8559259259259262</v>
      </c>
      <c r="IU117" s="140">
        <f t="shared" si="278"/>
        <v>3166.063703703704</v>
      </c>
      <c r="IV117" s="149"/>
      <c r="IW117" s="528"/>
      <c r="IX117" s="143" t="s">
        <v>97</v>
      </c>
      <c r="IY117" s="144">
        <v>19</v>
      </c>
      <c r="IZ117" s="157" t="s">
        <v>36</v>
      </c>
      <c r="JA117" s="138">
        <v>151</v>
      </c>
      <c r="JB117" s="172">
        <v>4.8559259259259262</v>
      </c>
      <c r="JC117" s="140">
        <f t="shared" si="279"/>
        <v>733.24481481481484</v>
      </c>
      <c r="JD117" s="149"/>
      <c r="JE117" s="528"/>
      <c r="JF117" s="143" t="s">
        <v>97</v>
      </c>
      <c r="JG117" s="144">
        <v>14</v>
      </c>
      <c r="JH117" s="157" t="s">
        <v>36</v>
      </c>
      <c r="JI117" s="138">
        <v>642</v>
      </c>
      <c r="JJ117" s="172">
        <v>4.8559259259259262</v>
      </c>
      <c r="JK117" s="140">
        <f t="shared" si="280"/>
        <v>3117.5044444444447</v>
      </c>
      <c r="JL117" s="149"/>
      <c r="JM117" s="528"/>
      <c r="JN117" s="143" t="s">
        <v>97</v>
      </c>
      <c r="JO117" s="144">
        <v>8</v>
      </c>
      <c r="JP117" s="157" t="s">
        <v>36</v>
      </c>
      <c r="JQ117" s="138">
        <v>128</v>
      </c>
      <c r="JR117" s="172">
        <v>4.8559259259259262</v>
      </c>
      <c r="JS117" s="140">
        <f t="shared" si="281"/>
        <v>621.55851851851855</v>
      </c>
      <c r="JT117" s="149"/>
      <c r="JU117" s="528"/>
      <c r="JV117" s="143" t="s">
        <v>97</v>
      </c>
      <c r="JW117" s="144">
        <v>41</v>
      </c>
      <c r="JX117" s="157" t="s">
        <v>36</v>
      </c>
      <c r="JY117" s="138">
        <v>594</v>
      </c>
      <c r="JZ117" s="172">
        <v>4.8559259259259262</v>
      </c>
      <c r="KA117" s="140">
        <f t="shared" si="282"/>
        <v>2884.42</v>
      </c>
      <c r="KB117" s="149"/>
      <c r="KC117" s="528"/>
      <c r="KD117" s="143" t="s">
        <v>97</v>
      </c>
      <c r="KE117" s="144">
        <v>15</v>
      </c>
      <c r="KF117" s="157" t="s">
        <v>36</v>
      </c>
      <c r="KG117" s="138">
        <v>518</v>
      </c>
      <c r="KH117" s="172">
        <v>4.8559259259259262</v>
      </c>
      <c r="KI117" s="140">
        <f t="shared" si="283"/>
        <v>2515.3696296296298</v>
      </c>
      <c r="KJ117" s="149"/>
      <c r="KK117" s="528"/>
      <c r="KL117" s="143" t="s">
        <v>97</v>
      </c>
      <c r="KM117" s="144">
        <v>6</v>
      </c>
      <c r="KN117" s="157" t="s">
        <v>36</v>
      </c>
      <c r="KO117" s="138">
        <v>72</v>
      </c>
      <c r="KP117" s="172">
        <v>4.8559259259259262</v>
      </c>
      <c r="KQ117" s="140">
        <f t="shared" si="284"/>
        <v>349.62666666666667</v>
      </c>
      <c r="KR117" s="149"/>
      <c r="KS117" s="528"/>
      <c r="KT117" s="143" t="s">
        <v>97</v>
      </c>
      <c r="KU117" s="144">
        <v>21</v>
      </c>
      <c r="KV117" s="157" t="s">
        <v>36</v>
      </c>
      <c r="KW117" s="138">
        <v>256</v>
      </c>
      <c r="KX117" s="172">
        <v>4.8559259259259262</v>
      </c>
      <c r="KY117" s="140">
        <f t="shared" si="285"/>
        <v>1243.1170370370371</v>
      </c>
      <c r="KZ117" s="149"/>
      <c r="LA117" s="528"/>
      <c r="LB117" s="143" t="s">
        <v>97</v>
      </c>
      <c r="LC117" s="144">
        <v>35</v>
      </c>
      <c r="LD117" s="157" t="s">
        <v>36</v>
      </c>
      <c r="LE117" s="138">
        <v>638</v>
      </c>
      <c r="LF117" s="172">
        <v>4.8559259259259262</v>
      </c>
      <c r="LG117" s="140">
        <f t="shared" si="286"/>
        <v>3098.080740740741</v>
      </c>
      <c r="LH117" s="149"/>
      <c r="LI117" s="528"/>
      <c r="LJ117" s="143" t="s">
        <v>97</v>
      </c>
      <c r="LK117" s="144">
        <v>43</v>
      </c>
      <c r="LL117" s="157" t="s">
        <v>36</v>
      </c>
      <c r="LM117" s="175">
        <v>657</v>
      </c>
      <c r="LN117" s="164">
        <v>4.8559259259259262</v>
      </c>
      <c r="LO117" s="140">
        <f t="shared" si="313"/>
        <v>3190.3433333333337</v>
      </c>
      <c r="LP117" s="149"/>
      <c r="LQ117" s="528"/>
      <c r="LR117" s="143" t="s">
        <v>97</v>
      </c>
      <c r="LS117" s="144">
        <v>45</v>
      </c>
      <c r="LT117" s="157" t="s">
        <v>36</v>
      </c>
      <c r="LU117" s="175">
        <v>564</v>
      </c>
      <c r="LV117" s="164">
        <v>4.8559259259259262</v>
      </c>
      <c r="LW117" s="140">
        <f t="shared" si="314"/>
        <v>2738.7422222222222</v>
      </c>
      <c r="LX117" s="149"/>
      <c r="LY117" s="528"/>
      <c r="LZ117" s="143" t="s">
        <v>97</v>
      </c>
      <c r="MA117" s="144">
        <v>28</v>
      </c>
      <c r="MB117" s="157" t="s">
        <v>36</v>
      </c>
      <c r="MC117" s="175">
        <v>264</v>
      </c>
      <c r="MD117" s="164">
        <v>4.8559259259259262</v>
      </c>
      <c r="ME117" s="140">
        <f t="shared" si="315"/>
        <v>1281.9644444444446</v>
      </c>
      <c r="MF117" s="149"/>
      <c r="MG117" s="528"/>
      <c r="MH117" s="143" t="s">
        <v>97</v>
      </c>
      <c r="MI117" s="144">
        <v>45</v>
      </c>
      <c r="MJ117" s="157" t="s">
        <v>36</v>
      </c>
      <c r="MK117" s="175">
        <v>755</v>
      </c>
      <c r="ML117" s="164">
        <v>4.8559259259259262</v>
      </c>
      <c r="MM117" s="140">
        <f t="shared" si="316"/>
        <v>3666.2240740740745</v>
      </c>
      <c r="MN117" s="149"/>
      <c r="MO117" s="528"/>
      <c r="MP117" s="143" t="s">
        <v>97</v>
      </c>
      <c r="MQ117" s="144">
        <v>24</v>
      </c>
      <c r="MR117" s="157" t="s">
        <v>36</v>
      </c>
      <c r="MS117" s="175">
        <v>382</v>
      </c>
      <c r="MT117" s="164">
        <v>4.8559259259259262</v>
      </c>
      <c r="MU117" s="140">
        <f t="shared" si="317"/>
        <v>1854.9637037037039</v>
      </c>
      <c r="MV117" s="149"/>
      <c r="MW117" s="528"/>
      <c r="MX117" s="686" t="s">
        <v>361</v>
      </c>
      <c r="MY117" s="687"/>
      <c r="MZ117" s="682" t="s">
        <v>11</v>
      </c>
      <c r="NA117" s="683"/>
      <c r="NB117" s="684"/>
      <c r="NC117" s="685">
        <f t="shared" si="318"/>
        <v>0</v>
      </c>
      <c r="ND117" s="685">
        <f t="shared" si="318"/>
        <v>0</v>
      </c>
      <c r="NE117" s="528"/>
      <c r="NF117" s="686" t="s">
        <v>361</v>
      </c>
      <c r="NG117" s="687"/>
      <c r="NH117" s="682" t="s">
        <v>11</v>
      </c>
      <c r="NI117" s="683"/>
      <c r="NJ117" s="684"/>
      <c r="NK117" s="685">
        <f t="shared" si="319"/>
        <v>0</v>
      </c>
      <c r="NL117" s="685">
        <f t="shared" ref="NL117:NL123" si="339">NJ117*NK117</f>
        <v>0</v>
      </c>
      <c r="NM117" s="528"/>
      <c r="NN117" s="686" t="s">
        <v>361</v>
      </c>
      <c r="NO117" s="687"/>
      <c r="NP117" s="682" t="s">
        <v>11</v>
      </c>
      <c r="NQ117" s="683"/>
      <c r="NR117" s="684"/>
      <c r="NS117" s="685">
        <f t="shared" si="320"/>
        <v>0</v>
      </c>
      <c r="NT117" s="685">
        <f t="shared" ref="NT117:NT123" si="340">NR117*NS117</f>
        <v>0</v>
      </c>
      <c r="NU117" s="528"/>
      <c r="NV117" s="686" t="s">
        <v>361</v>
      </c>
      <c r="NW117" s="687"/>
      <c r="NX117" s="682" t="s">
        <v>11</v>
      </c>
      <c r="NY117" s="683"/>
      <c r="NZ117" s="684"/>
      <c r="OA117" s="685">
        <f t="shared" si="321"/>
        <v>0</v>
      </c>
      <c r="OB117" s="685">
        <f t="shared" ref="OB117:OB123" si="341">NZ117*OA117</f>
        <v>0</v>
      </c>
      <c r="OC117" s="528"/>
      <c r="OD117" s="686" t="s">
        <v>361</v>
      </c>
      <c r="OE117" s="687"/>
      <c r="OF117" s="682" t="s">
        <v>11</v>
      </c>
      <c r="OG117" s="683"/>
      <c r="OH117" s="684"/>
      <c r="OI117" s="685">
        <f t="shared" si="322"/>
        <v>0</v>
      </c>
      <c r="OJ117" s="685">
        <f t="shared" ref="OJ117:OJ123" si="342">OH117*OI117</f>
        <v>0</v>
      </c>
      <c r="OK117" s="528"/>
      <c r="OL117" s="686" t="s">
        <v>361</v>
      </c>
      <c r="OM117" s="687"/>
      <c r="ON117" s="682" t="s">
        <v>11</v>
      </c>
      <c r="OO117" s="683"/>
      <c r="OP117" s="684"/>
      <c r="OQ117" s="685">
        <f t="shared" si="323"/>
        <v>0</v>
      </c>
      <c r="OR117" s="685">
        <f t="shared" ref="OR117:OR123" si="343">OP117*OQ117</f>
        <v>0</v>
      </c>
      <c r="OS117" s="528"/>
      <c r="OT117" s="686" t="s">
        <v>361</v>
      </c>
      <c r="OU117" s="687"/>
      <c r="OV117" s="682" t="s">
        <v>11</v>
      </c>
      <c r="OW117" s="683"/>
      <c r="OX117" s="684"/>
      <c r="OY117" s="685">
        <f t="shared" si="324"/>
        <v>0</v>
      </c>
      <c r="OZ117" s="685">
        <f t="shared" ref="OZ117:OZ123" si="344">OX117*OY117</f>
        <v>0</v>
      </c>
      <c r="PA117" s="528"/>
      <c r="PB117" s="686" t="s">
        <v>361</v>
      </c>
      <c r="PC117" s="687"/>
      <c r="PD117" s="682" t="s">
        <v>11</v>
      </c>
      <c r="PE117" s="683"/>
      <c r="PF117" s="684"/>
      <c r="PG117" s="685">
        <f t="shared" si="325"/>
        <v>0</v>
      </c>
      <c r="PH117" s="685">
        <f t="shared" ref="PH117:PH123" si="345">PF117*PG117</f>
        <v>0</v>
      </c>
      <c r="PI117" s="528"/>
      <c r="PJ117" s="686" t="s">
        <v>361</v>
      </c>
      <c r="PK117" s="687"/>
      <c r="PL117" s="682" t="s">
        <v>11</v>
      </c>
      <c r="PM117" s="683"/>
      <c r="PN117" s="684"/>
      <c r="PO117" s="685">
        <f t="shared" si="326"/>
        <v>0</v>
      </c>
      <c r="PP117" s="685">
        <f t="shared" ref="PP117:PP123" si="346">PN117*PO117</f>
        <v>0</v>
      </c>
      <c r="PQ117" s="528"/>
      <c r="PR117" s="686" t="s">
        <v>361</v>
      </c>
      <c r="PS117" s="687"/>
      <c r="PT117" s="682" t="s">
        <v>11</v>
      </c>
      <c r="PU117" s="683"/>
      <c r="PV117" s="684"/>
      <c r="PW117" s="685">
        <f t="shared" si="327"/>
        <v>0</v>
      </c>
      <c r="PX117" s="685">
        <f t="shared" ref="PX117:PX123" si="347">PV117*PW117</f>
        <v>0</v>
      </c>
      <c r="PY117" s="528"/>
      <c r="PZ117" s="686" t="s">
        <v>361</v>
      </c>
      <c r="QA117" s="687"/>
      <c r="QB117" s="682" t="s">
        <v>11</v>
      </c>
      <c r="QC117" s="683"/>
      <c r="QD117" s="684"/>
      <c r="QE117" s="685">
        <f t="shared" si="328"/>
        <v>0</v>
      </c>
      <c r="QF117" s="685">
        <f t="shared" ref="QF117:QF123" si="348">QD117*QE117</f>
        <v>0</v>
      </c>
      <c r="QG117" s="528"/>
      <c r="QH117" s="686" t="s">
        <v>361</v>
      </c>
      <c r="QI117" s="687"/>
      <c r="QJ117" s="682" t="s">
        <v>11</v>
      </c>
      <c r="QK117" s="683"/>
      <c r="QL117" s="684"/>
      <c r="QM117" s="685">
        <f t="shared" si="329"/>
        <v>0</v>
      </c>
      <c r="QN117" s="685">
        <f t="shared" ref="QN117:QN123" si="349">QL117*QM117</f>
        <v>0</v>
      </c>
      <c r="QO117" s="528"/>
      <c r="QP117" s="686" t="s">
        <v>361</v>
      </c>
      <c r="QQ117" s="687"/>
      <c r="QR117" s="682" t="s">
        <v>11</v>
      </c>
      <c r="QS117" s="683"/>
      <c r="QT117" s="684"/>
      <c r="QU117" s="685">
        <f t="shared" si="330"/>
        <v>0</v>
      </c>
      <c r="QV117" s="685">
        <f t="shared" ref="QV117:QV123" si="350">QT117*QU117</f>
        <v>0</v>
      </c>
      <c r="QW117" s="528"/>
      <c r="QX117" s="686" t="s">
        <v>361</v>
      </c>
      <c r="QY117" s="687"/>
      <c r="QZ117" s="682" t="s">
        <v>11</v>
      </c>
      <c r="RA117" s="683"/>
      <c r="RB117" s="684"/>
      <c r="RC117" s="685">
        <f t="shared" si="331"/>
        <v>0</v>
      </c>
      <c r="RD117" s="685">
        <f t="shared" ref="RD117:RD123" si="351">RB117*RC117</f>
        <v>0</v>
      </c>
      <c r="RE117" s="528"/>
      <c r="RF117" s="686" t="s">
        <v>361</v>
      </c>
      <c r="RG117" s="687"/>
      <c r="RH117" s="682" t="s">
        <v>11</v>
      </c>
      <c r="RI117" s="683"/>
      <c r="RJ117" s="684"/>
      <c r="RK117" s="685">
        <f t="shared" si="332"/>
        <v>0</v>
      </c>
      <c r="RL117" s="685">
        <f t="shared" ref="RL117:RL123" si="352">RJ117*RK117</f>
        <v>0</v>
      </c>
      <c r="RM117" s="528"/>
      <c r="RN117" s="686" t="s">
        <v>361</v>
      </c>
      <c r="RO117" s="687"/>
      <c r="RP117" s="682" t="s">
        <v>11</v>
      </c>
      <c r="RQ117" s="683"/>
      <c r="RR117" s="684"/>
      <c r="RS117" s="685">
        <f t="shared" si="333"/>
        <v>0</v>
      </c>
      <c r="RT117" s="685">
        <f t="shared" ref="RT117:RT123" si="353">RR117*RS117</f>
        <v>0</v>
      </c>
      <c r="RU117" s="528"/>
      <c r="RV117" s="686" t="s">
        <v>361</v>
      </c>
      <c r="RW117" s="687"/>
      <c r="RX117" s="682" t="s">
        <v>11</v>
      </c>
      <c r="RY117" s="683"/>
      <c r="RZ117" s="684"/>
      <c r="SA117" s="685">
        <f t="shared" si="334"/>
        <v>0</v>
      </c>
      <c r="SB117" s="685">
        <f t="shared" ref="SB117:SB123" si="354">RZ117*SA117</f>
        <v>0</v>
      </c>
      <c r="SC117" s="528"/>
      <c r="SD117" s="686" t="s">
        <v>361</v>
      </c>
      <c r="SE117" s="687"/>
      <c r="SF117" s="682" t="s">
        <v>11</v>
      </c>
      <c r="SG117" s="683"/>
      <c r="SH117" s="684"/>
      <c r="SI117" s="685">
        <f t="shared" si="335"/>
        <v>0</v>
      </c>
      <c r="SJ117" s="685">
        <f t="shared" ref="SJ117:SJ123" si="355">SH117*SI117</f>
        <v>0</v>
      </c>
      <c r="SK117" s="528"/>
      <c r="SL117" s="686" t="s">
        <v>361</v>
      </c>
      <c r="SM117" s="687"/>
      <c r="SN117" s="682" t="s">
        <v>11</v>
      </c>
      <c r="SO117" s="683"/>
      <c r="SP117" s="684"/>
      <c r="SQ117" s="685">
        <f t="shared" si="336"/>
        <v>0</v>
      </c>
      <c r="SR117" s="685">
        <f t="shared" ref="SR117:SR123" si="356">SP117*SQ117</f>
        <v>0</v>
      </c>
      <c r="SS117" s="528"/>
      <c r="ST117" s="686" t="s">
        <v>361</v>
      </c>
      <c r="SU117" s="687"/>
      <c r="SV117" s="682" t="s">
        <v>11</v>
      </c>
      <c r="SW117" s="683"/>
      <c r="SX117" s="684"/>
      <c r="SY117" s="685">
        <f t="shared" si="337"/>
        <v>0</v>
      </c>
      <c r="SZ117" s="685">
        <f t="shared" ref="SZ117:SZ123" si="357">SX117*SY117</f>
        <v>0</v>
      </c>
      <c r="TA117" s="528"/>
      <c r="TB117" s="686" t="s">
        <v>361</v>
      </c>
      <c r="TC117" s="687"/>
      <c r="TD117" s="682" t="s">
        <v>11</v>
      </c>
      <c r="TE117" s="683"/>
      <c r="TF117" s="684"/>
      <c r="TG117" s="685">
        <f t="shared" si="338"/>
        <v>0</v>
      </c>
      <c r="TH117" s="685">
        <f t="shared" ref="TH117:TH123" si="358">TF117*TG117</f>
        <v>0</v>
      </c>
      <c r="TI117" s="528"/>
    </row>
    <row r="118" spans="2:529">
      <c r="B118" s="145"/>
      <c r="C118" s="146"/>
      <c r="D118" s="157" t="s">
        <v>85</v>
      </c>
      <c r="E118" s="138">
        <v>0</v>
      </c>
      <c r="F118" s="170"/>
      <c r="G118" s="140">
        <f t="shared" si="247"/>
        <v>0</v>
      </c>
      <c r="H118" s="159">
        <f>SUM(G117:G118)</f>
        <v>2403.6833333333334</v>
      </c>
      <c r="I118" s="528"/>
      <c r="J118" s="145"/>
      <c r="K118" s="146">
        <v>6</v>
      </c>
      <c r="L118" s="157" t="s">
        <v>85</v>
      </c>
      <c r="M118" s="138"/>
      <c r="N118" s="170"/>
      <c r="O118" s="140">
        <f t="shared" si="248"/>
        <v>0</v>
      </c>
      <c r="P118" s="159">
        <f>SUM(O117:O118)</f>
        <v>335.05888888888893</v>
      </c>
      <c r="Q118" s="528"/>
      <c r="R118" s="145"/>
      <c r="S118" s="146">
        <v>6</v>
      </c>
      <c r="T118" s="157" t="s">
        <v>85</v>
      </c>
      <c r="U118" s="138">
        <v>0</v>
      </c>
      <c r="V118" s="170"/>
      <c r="W118" s="140">
        <f t="shared" si="249"/>
        <v>0</v>
      </c>
      <c r="X118" s="159">
        <f>SUM(W117:W118)</f>
        <v>636.12629629629635</v>
      </c>
      <c r="Y118" s="528"/>
      <c r="Z118" s="145"/>
      <c r="AA118" s="146">
        <v>6</v>
      </c>
      <c r="AB118" s="157" t="s">
        <v>85</v>
      </c>
      <c r="AC118" s="138"/>
      <c r="AD118" s="170"/>
      <c r="AE118" s="140">
        <f t="shared" si="250"/>
        <v>0</v>
      </c>
      <c r="AF118" s="159">
        <f>SUM(AE117:AE118)</f>
        <v>1204.2696296296297</v>
      </c>
      <c r="AG118" s="528"/>
      <c r="AH118" s="145"/>
      <c r="AI118" s="146">
        <v>6</v>
      </c>
      <c r="AJ118" s="157" t="s">
        <v>85</v>
      </c>
      <c r="AK118" s="138">
        <v>0</v>
      </c>
      <c r="AL118" s="170"/>
      <c r="AM118" s="140">
        <f t="shared" si="251"/>
        <v>0</v>
      </c>
      <c r="AN118" s="159">
        <f>SUM(AM117:AM118)</f>
        <v>495.30444444444447</v>
      </c>
      <c r="AO118" s="528"/>
      <c r="AP118" s="145"/>
      <c r="AQ118" s="146">
        <v>6</v>
      </c>
      <c r="AR118" s="157" t="s">
        <v>85</v>
      </c>
      <c r="AS118" s="138"/>
      <c r="AT118" s="170"/>
      <c r="AU118" s="140">
        <f t="shared" si="252"/>
        <v>0</v>
      </c>
      <c r="AV118" s="159">
        <f>SUM(AU117:AU118)</f>
        <v>315.63518518518521</v>
      </c>
      <c r="AW118" s="528"/>
      <c r="AX118" s="145"/>
      <c r="AY118" s="146">
        <v>6</v>
      </c>
      <c r="AZ118" s="157" t="s">
        <v>85</v>
      </c>
      <c r="BA118" s="138"/>
      <c r="BB118" s="170"/>
      <c r="BC118" s="140">
        <f t="shared" si="253"/>
        <v>0</v>
      </c>
      <c r="BD118" s="159">
        <f>SUM(BC117:BC118)</f>
        <v>0</v>
      </c>
      <c r="BE118" s="528"/>
      <c r="BF118" s="145"/>
      <c r="BG118" s="146">
        <v>6</v>
      </c>
      <c r="BH118" s="157" t="s">
        <v>85</v>
      </c>
      <c r="BI118" s="138"/>
      <c r="BJ118" s="170"/>
      <c r="BK118" s="140">
        <f t="shared" si="254"/>
        <v>0</v>
      </c>
      <c r="BL118" s="159">
        <f>SUM(BK117:BK118)</f>
        <v>461.31296296296301</v>
      </c>
      <c r="BM118" s="528"/>
      <c r="BN118" s="145"/>
      <c r="BO118" s="146">
        <v>6</v>
      </c>
      <c r="BP118" s="157" t="s">
        <v>85</v>
      </c>
      <c r="BQ118" s="138"/>
      <c r="BR118" s="170"/>
      <c r="BS118" s="140">
        <f t="shared" si="255"/>
        <v>0</v>
      </c>
      <c r="BT118" s="159">
        <f>SUM(BS117:BS118)</f>
        <v>369.05037037037039</v>
      </c>
      <c r="BU118" s="528"/>
      <c r="BV118" s="536"/>
      <c r="BW118" s="537"/>
      <c r="BX118" s="574" t="s">
        <v>85</v>
      </c>
      <c r="BY118" s="560"/>
      <c r="BZ118" s="585"/>
      <c r="CA118" s="562">
        <f t="shared" si="256"/>
        <v>0</v>
      </c>
      <c r="CB118" s="575">
        <f>SUM(CA117:CA118)</f>
        <v>0</v>
      </c>
      <c r="CC118" s="528"/>
      <c r="CD118" s="536"/>
      <c r="CE118" s="537"/>
      <c r="CF118" s="574" t="s">
        <v>85</v>
      </c>
      <c r="CG118" s="560"/>
      <c r="CH118" s="585"/>
      <c r="CI118" s="562">
        <f t="shared" si="257"/>
        <v>0</v>
      </c>
      <c r="CJ118" s="575">
        <f>SUM(CI117:CI118)</f>
        <v>0</v>
      </c>
      <c r="CK118" s="528"/>
      <c r="CL118" s="145"/>
      <c r="CM118" s="146">
        <v>6</v>
      </c>
      <c r="CN118" s="157" t="s">
        <v>85</v>
      </c>
      <c r="CO118" s="138"/>
      <c r="CP118" s="170"/>
      <c r="CQ118" s="140">
        <f t="shared" si="258"/>
        <v>0</v>
      </c>
      <c r="CR118" s="159">
        <f>SUM(CQ117:CQ118)</f>
        <v>0</v>
      </c>
      <c r="CS118" s="528"/>
      <c r="CT118" s="145"/>
      <c r="CU118" s="146">
        <v>6</v>
      </c>
      <c r="CV118" s="157" t="s">
        <v>85</v>
      </c>
      <c r="CW118" s="138"/>
      <c r="CX118" s="170"/>
      <c r="CY118" s="140">
        <f t="shared" si="259"/>
        <v>0</v>
      </c>
      <c r="CZ118" s="159">
        <f>SUM(CY117:CY118)</f>
        <v>636.12629629629635</v>
      </c>
      <c r="DA118" s="528"/>
      <c r="DB118" s="145"/>
      <c r="DC118" s="146"/>
      <c r="DD118" s="157" t="s">
        <v>85</v>
      </c>
      <c r="DE118" s="138"/>
      <c r="DF118" s="170"/>
      <c r="DG118" s="140">
        <f t="shared" si="260"/>
        <v>0</v>
      </c>
      <c r="DH118" s="159">
        <f>SUM(DG117:DG118)</f>
        <v>0</v>
      </c>
      <c r="DI118" s="528"/>
      <c r="DJ118" s="145"/>
      <c r="DK118" s="146"/>
      <c r="DL118" s="157" t="s">
        <v>85</v>
      </c>
      <c r="DM118" s="138"/>
      <c r="DN118" s="170"/>
      <c r="DO118" s="140">
        <f t="shared" si="261"/>
        <v>0</v>
      </c>
      <c r="DP118" s="159">
        <f>SUM(DO117:DO118)</f>
        <v>1927.8025925925926</v>
      </c>
      <c r="DQ118" s="528"/>
      <c r="DR118" s="145"/>
      <c r="DS118" s="146"/>
      <c r="DT118" s="157" t="s">
        <v>85</v>
      </c>
      <c r="DU118" s="138"/>
      <c r="DV118" s="170"/>
      <c r="DW118" s="140">
        <f t="shared" si="262"/>
        <v>0</v>
      </c>
      <c r="DX118" s="159">
        <f>SUM(DW117:DW118)</f>
        <v>509.87222222222226</v>
      </c>
      <c r="DY118" s="528"/>
      <c r="DZ118" s="145"/>
      <c r="EA118" s="146"/>
      <c r="EB118" s="157" t="s">
        <v>85</v>
      </c>
      <c r="EC118" s="138"/>
      <c r="ED118" s="170"/>
      <c r="EE118" s="140">
        <f t="shared" si="263"/>
        <v>0</v>
      </c>
      <c r="EF118" s="159">
        <f>SUM(EE117:EE118)</f>
        <v>2529.9374074074076</v>
      </c>
      <c r="EG118" s="528"/>
      <c r="EH118" s="145"/>
      <c r="EI118" s="146"/>
      <c r="EJ118" s="157" t="s">
        <v>85</v>
      </c>
      <c r="EK118" s="138"/>
      <c r="EL118" s="170"/>
      <c r="EM118" s="140">
        <f t="shared" si="264"/>
        <v>0</v>
      </c>
      <c r="EN118" s="159">
        <f>SUM(EM117:EM118)</f>
        <v>5006.4596296296295</v>
      </c>
      <c r="EO118" s="528"/>
      <c r="EP118" s="145"/>
      <c r="EQ118" s="146"/>
      <c r="ER118" s="157" t="s">
        <v>85</v>
      </c>
      <c r="ES118" s="138"/>
      <c r="ET118" s="170"/>
      <c r="EU118" s="140">
        <f t="shared" si="265"/>
        <v>0</v>
      </c>
      <c r="EV118" s="159">
        <f>SUM(EU117:EU118)</f>
        <v>1408.2185185185185</v>
      </c>
      <c r="EW118" s="528"/>
      <c r="EX118" s="145"/>
      <c r="EY118" s="146"/>
      <c r="EZ118" s="157" t="s">
        <v>85</v>
      </c>
      <c r="FA118" s="138"/>
      <c r="FB118" s="170"/>
      <c r="FC118" s="140">
        <f t="shared" si="266"/>
        <v>0</v>
      </c>
      <c r="FD118" s="159">
        <f>SUM(FC117:FC118)</f>
        <v>0</v>
      </c>
      <c r="FE118" s="528"/>
      <c r="FF118" s="145"/>
      <c r="FG118" s="146"/>
      <c r="FH118" s="157" t="s">
        <v>85</v>
      </c>
      <c r="FI118" s="138"/>
      <c r="FJ118" s="170"/>
      <c r="FK118" s="140">
        <f t="shared" si="267"/>
        <v>0</v>
      </c>
      <c r="FL118" s="159">
        <f>SUM(FK117:FK118)</f>
        <v>0</v>
      </c>
      <c r="FM118" s="528"/>
      <c r="FN118" s="145"/>
      <c r="FO118" s="146"/>
      <c r="FP118" s="157" t="s">
        <v>85</v>
      </c>
      <c r="FQ118" s="138"/>
      <c r="FR118" s="170"/>
      <c r="FS118" s="140">
        <f t="shared" si="268"/>
        <v>0</v>
      </c>
      <c r="FT118" s="159">
        <f>SUM(FS117:FS118)</f>
        <v>0</v>
      </c>
      <c r="FU118" s="528"/>
      <c r="FV118" s="145"/>
      <c r="FW118" s="146"/>
      <c r="FX118" s="157" t="s">
        <v>85</v>
      </c>
      <c r="FY118" s="138"/>
      <c r="FZ118" s="170"/>
      <c r="GA118" s="140">
        <f t="shared" si="269"/>
        <v>0</v>
      </c>
      <c r="GB118" s="159">
        <f>SUM(GA117:GA118)</f>
        <v>0</v>
      </c>
      <c r="GC118" s="528"/>
      <c r="GD118" s="145"/>
      <c r="GE118" s="146"/>
      <c r="GF118" s="157" t="s">
        <v>85</v>
      </c>
      <c r="GG118" s="138"/>
      <c r="GH118" s="170"/>
      <c r="GI118" s="140">
        <f t="shared" si="270"/>
        <v>0</v>
      </c>
      <c r="GJ118" s="159">
        <f>SUM(GI117:GI118)</f>
        <v>0</v>
      </c>
      <c r="GK118" s="528"/>
      <c r="GL118" s="145"/>
      <c r="GM118" s="146"/>
      <c r="GN118" s="157" t="s">
        <v>85</v>
      </c>
      <c r="GO118" s="138">
        <f>'[1]Jan_18_Vol weekly-Data-Entry'!$BJ$226</f>
        <v>0</v>
      </c>
      <c r="GP118" s="170"/>
      <c r="GQ118" s="140">
        <f t="shared" si="271"/>
        <v>0</v>
      </c>
      <c r="GR118" s="159">
        <f>SUM(GQ117:GQ118)</f>
        <v>0</v>
      </c>
      <c r="GS118" s="528"/>
      <c r="GT118" s="145"/>
      <c r="GU118" s="146"/>
      <c r="GV118" s="157" t="s">
        <v>85</v>
      </c>
      <c r="GW118" s="138">
        <v>0</v>
      </c>
      <c r="GX118" s="170"/>
      <c r="GY118" s="140">
        <f t="shared" si="272"/>
        <v>0</v>
      </c>
      <c r="GZ118" s="159">
        <f>SUM(GY117:GY118)</f>
        <v>1257.6848148148149</v>
      </c>
      <c r="HA118" s="528"/>
      <c r="HB118" s="145"/>
      <c r="HC118" s="146"/>
      <c r="HD118" s="157" t="s">
        <v>85</v>
      </c>
      <c r="HE118" s="138">
        <v>0</v>
      </c>
      <c r="HF118" s="170"/>
      <c r="HG118" s="140">
        <f t="shared" si="273"/>
        <v>0</v>
      </c>
      <c r="HH118" s="159">
        <f>SUM(HG117:HG118)</f>
        <v>636.12629629629635</v>
      </c>
      <c r="HI118" s="528"/>
      <c r="HJ118" s="145"/>
      <c r="HK118" s="146"/>
      <c r="HL118" s="157" t="s">
        <v>85</v>
      </c>
      <c r="HM118" s="138">
        <v>0</v>
      </c>
      <c r="HN118" s="170"/>
      <c r="HO118" s="140">
        <f t="shared" si="274"/>
        <v>0</v>
      </c>
      <c r="HP118" s="159">
        <f>SUM(HO117:HO118)</f>
        <v>1864.6755555555555</v>
      </c>
      <c r="HQ118" s="528"/>
      <c r="HR118" s="145"/>
      <c r="HS118" s="146"/>
      <c r="HT118" s="157" t="s">
        <v>85</v>
      </c>
      <c r="HU118" s="138">
        <v>0</v>
      </c>
      <c r="HV118" s="170"/>
      <c r="HW118" s="140">
        <f t="shared" si="275"/>
        <v>0</v>
      </c>
      <c r="HX118" s="159">
        <f>SUM(HW117:HW118)</f>
        <v>2141.4633333333336</v>
      </c>
      <c r="HY118" s="528"/>
      <c r="HZ118" s="145"/>
      <c r="IA118" s="146"/>
      <c r="IB118" s="157" t="s">
        <v>85</v>
      </c>
      <c r="IC118" s="138">
        <v>0</v>
      </c>
      <c r="ID118" s="170"/>
      <c r="IE118" s="140">
        <f t="shared" si="276"/>
        <v>0</v>
      </c>
      <c r="IF118" s="159">
        <f>SUM(IE117:IE118)</f>
        <v>514.72814814814819</v>
      </c>
      <c r="IG118" s="528"/>
      <c r="IH118" s="145"/>
      <c r="II118" s="146"/>
      <c r="IJ118" s="157" t="s">
        <v>85</v>
      </c>
      <c r="IK118" s="138">
        <v>0</v>
      </c>
      <c r="IL118" s="170"/>
      <c r="IM118" s="140">
        <f t="shared" si="277"/>
        <v>0</v>
      </c>
      <c r="IN118" s="159">
        <f>SUM(IM117:IM118)</f>
        <v>1349.9474074074076</v>
      </c>
      <c r="IO118" s="528"/>
      <c r="IP118" s="145"/>
      <c r="IQ118" s="146"/>
      <c r="IR118" s="157" t="s">
        <v>85</v>
      </c>
      <c r="IS118" s="138">
        <v>0</v>
      </c>
      <c r="IT118" s="170"/>
      <c r="IU118" s="140">
        <f t="shared" si="278"/>
        <v>0</v>
      </c>
      <c r="IV118" s="159">
        <f>SUM(IU117:IU118)</f>
        <v>3166.063703703704</v>
      </c>
      <c r="IW118" s="528"/>
      <c r="IX118" s="145"/>
      <c r="IY118" s="146"/>
      <c r="IZ118" s="157" t="s">
        <v>85</v>
      </c>
      <c r="JA118" s="138">
        <v>0</v>
      </c>
      <c r="JB118" s="170"/>
      <c r="JC118" s="140">
        <f t="shared" si="279"/>
        <v>0</v>
      </c>
      <c r="JD118" s="159">
        <f>SUM(JC117:JC118)</f>
        <v>733.24481481481484</v>
      </c>
      <c r="JE118" s="528"/>
      <c r="JF118" s="145"/>
      <c r="JG118" s="146"/>
      <c r="JH118" s="157" t="s">
        <v>85</v>
      </c>
      <c r="JI118" s="138">
        <v>0</v>
      </c>
      <c r="JJ118" s="170"/>
      <c r="JK118" s="140">
        <f t="shared" si="280"/>
        <v>0</v>
      </c>
      <c r="JL118" s="159">
        <f>SUM(JK117:JK118)</f>
        <v>3117.5044444444447</v>
      </c>
      <c r="JM118" s="528"/>
      <c r="JN118" s="145"/>
      <c r="JO118" s="146"/>
      <c r="JP118" s="157" t="s">
        <v>85</v>
      </c>
      <c r="JQ118" s="138">
        <v>0</v>
      </c>
      <c r="JR118" s="170"/>
      <c r="JS118" s="140">
        <f t="shared" si="281"/>
        <v>0</v>
      </c>
      <c r="JT118" s="159">
        <f>SUM(JS117:JS118)</f>
        <v>621.55851851851855</v>
      </c>
      <c r="JU118" s="528"/>
      <c r="JV118" s="145"/>
      <c r="JW118" s="146"/>
      <c r="JX118" s="157" t="s">
        <v>85</v>
      </c>
      <c r="JY118" s="138">
        <v>0</v>
      </c>
      <c r="JZ118" s="170"/>
      <c r="KA118" s="140">
        <f t="shared" si="282"/>
        <v>0</v>
      </c>
      <c r="KB118" s="159">
        <f>SUM(KA117:KA118)</f>
        <v>2884.42</v>
      </c>
      <c r="KC118" s="528"/>
      <c r="KD118" s="145"/>
      <c r="KE118" s="146"/>
      <c r="KF118" s="157" t="s">
        <v>85</v>
      </c>
      <c r="KG118" s="138">
        <v>0</v>
      </c>
      <c r="KH118" s="170"/>
      <c r="KI118" s="140">
        <f t="shared" si="283"/>
        <v>0</v>
      </c>
      <c r="KJ118" s="159">
        <f>SUM(KI117:KI118)</f>
        <v>2515.3696296296298</v>
      </c>
      <c r="KK118" s="528"/>
      <c r="KL118" s="145"/>
      <c r="KM118" s="146"/>
      <c r="KN118" s="157" t="s">
        <v>85</v>
      </c>
      <c r="KO118" s="138">
        <v>0</v>
      </c>
      <c r="KP118" s="170"/>
      <c r="KQ118" s="140">
        <f t="shared" si="284"/>
        <v>0</v>
      </c>
      <c r="KR118" s="159">
        <f>SUM(KQ117:KQ118)</f>
        <v>349.62666666666667</v>
      </c>
      <c r="KS118" s="528"/>
      <c r="KT118" s="145"/>
      <c r="KU118" s="146"/>
      <c r="KV118" s="157" t="s">
        <v>85</v>
      </c>
      <c r="KW118" s="138">
        <v>0</v>
      </c>
      <c r="KX118" s="170"/>
      <c r="KY118" s="140">
        <f t="shared" si="285"/>
        <v>0</v>
      </c>
      <c r="KZ118" s="159">
        <f>SUM(KY117:KY118)</f>
        <v>1243.1170370370371</v>
      </c>
      <c r="LA118" s="528"/>
      <c r="LB118" s="145"/>
      <c r="LC118" s="146"/>
      <c r="LD118" s="157" t="s">
        <v>85</v>
      </c>
      <c r="LE118" s="138">
        <v>0</v>
      </c>
      <c r="LF118" s="170"/>
      <c r="LG118" s="140">
        <f t="shared" si="286"/>
        <v>0</v>
      </c>
      <c r="LH118" s="159">
        <f>SUM(LG117:LG118)</f>
        <v>3098.080740740741</v>
      </c>
      <c r="LI118" s="528"/>
      <c r="LJ118" s="145"/>
      <c r="LK118" s="146"/>
      <c r="LL118" s="157" t="s">
        <v>85</v>
      </c>
      <c r="LM118" s="175">
        <v>0</v>
      </c>
      <c r="LO118" s="140">
        <f t="shared" si="313"/>
        <v>0</v>
      </c>
      <c r="LP118" s="159">
        <f>SUM(LO117:LO118)</f>
        <v>3190.3433333333337</v>
      </c>
      <c r="LQ118" s="528"/>
      <c r="LR118" s="145"/>
      <c r="LS118" s="146"/>
      <c r="LT118" s="157" t="s">
        <v>85</v>
      </c>
      <c r="LU118" s="175"/>
      <c r="LW118" s="140">
        <f t="shared" si="314"/>
        <v>0</v>
      </c>
      <c r="LX118" s="159">
        <f>SUM(LW117:LW118)</f>
        <v>2738.7422222222222</v>
      </c>
      <c r="LY118" s="528"/>
      <c r="LZ118" s="145"/>
      <c r="MA118" s="146"/>
      <c r="MB118" s="157" t="s">
        <v>85</v>
      </c>
      <c r="MC118" s="175"/>
      <c r="ME118" s="140">
        <f t="shared" si="315"/>
        <v>0</v>
      </c>
      <c r="MF118" s="159">
        <f>SUM(ME117:ME118)</f>
        <v>1281.9644444444446</v>
      </c>
      <c r="MG118" s="528"/>
      <c r="MH118" s="145"/>
      <c r="MI118" s="146"/>
      <c r="MJ118" s="157" t="s">
        <v>85</v>
      </c>
      <c r="MK118" s="175"/>
      <c r="MM118" s="140">
        <f t="shared" si="316"/>
        <v>0</v>
      </c>
      <c r="MN118" s="159">
        <f>SUM(MM117:MM118)</f>
        <v>3666.2240740740745</v>
      </c>
      <c r="MO118" s="528"/>
      <c r="MP118" s="145"/>
      <c r="MQ118" s="146"/>
      <c r="MR118" s="157" t="s">
        <v>85</v>
      </c>
      <c r="MS118" s="175"/>
      <c r="MU118" s="140">
        <f t="shared" si="317"/>
        <v>0</v>
      </c>
      <c r="MV118" s="159">
        <f>SUM(MU117:MU118)</f>
        <v>1854.9637037037039</v>
      </c>
      <c r="MW118" s="528"/>
      <c r="MX118" s="686" t="s">
        <v>362</v>
      </c>
      <c r="MY118" s="693"/>
      <c r="MZ118" s="682" t="s">
        <v>11</v>
      </c>
      <c r="NA118" s="683"/>
      <c r="NB118" s="692"/>
      <c r="NC118" s="685">
        <f t="shared" si="318"/>
        <v>0</v>
      </c>
      <c r="ND118" s="685">
        <f t="shared" si="318"/>
        <v>0</v>
      </c>
      <c r="NE118" s="528"/>
      <c r="NF118" s="686" t="s">
        <v>362</v>
      </c>
      <c r="NG118" s="693"/>
      <c r="NH118" s="682" t="s">
        <v>11</v>
      </c>
      <c r="NI118" s="683"/>
      <c r="NJ118" s="692"/>
      <c r="NK118" s="685">
        <f t="shared" si="319"/>
        <v>0</v>
      </c>
      <c r="NL118" s="685">
        <f t="shared" si="339"/>
        <v>0</v>
      </c>
      <c r="NM118" s="528"/>
      <c r="NN118" s="686" t="s">
        <v>362</v>
      </c>
      <c r="NO118" s="693"/>
      <c r="NP118" s="682" t="s">
        <v>11</v>
      </c>
      <c r="NQ118" s="683"/>
      <c r="NR118" s="692"/>
      <c r="NS118" s="685">
        <f t="shared" si="320"/>
        <v>0</v>
      </c>
      <c r="NT118" s="685">
        <f t="shared" si="340"/>
        <v>0</v>
      </c>
      <c r="NU118" s="528"/>
      <c r="NV118" s="686" t="s">
        <v>362</v>
      </c>
      <c r="NW118" s="693"/>
      <c r="NX118" s="682" t="s">
        <v>11</v>
      </c>
      <c r="NY118" s="683"/>
      <c r="NZ118" s="692"/>
      <c r="OA118" s="685">
        <f t="shared" si="321"/>
        <v>0</v>
      </c>
      <c r="OB118" s="685">
        <f t="shared" si="341"/>
        <v>0</v>
      </c>
      <c r="OC118" s="528"/>
      <c r="OD118" s="686" t="s">
        <v>362</v>
      </c>
      <c r="OE118" s="693"/>
      <c r="OF118" s="682" t="s">
        <v>11</v>
      </c>
      <c r="OG118" s="683"/>
      <c r="OH118" s="692"/>
      <c r="OI118" s="685">
        <f t="shared" si="322"/>
        <v>0</v>
      </c>
      <c r="OJ118" s="685">
        <f t="shared" si="342"/>
        <v>0</v>
      </c>
      <c r="OK118" s="528"/>
      <c r="OL118" s="686" t="s">
        <v>362</v>
      </c>
      <c r="OM118" s="693"/>
      <c r="ON118" s="682" t="s">
        <v>11</v>
      </c>
      <c r="OO118" s="683"/>
      <c r="OP118" s="692"/>
      <c r="OQ118" s="685">
        <f t="shared" si="323"/>
        <v>0</v>
      </c>
      <c r="OR118" s="685">
        <f t="shared" si="343"/>
        <v>0</v>
      </c>
      <c r="OS118" s="528"/>
      <c r="OT118" s="686" t="s">
        <v>362</v>
      </c>
      <c r="OU118" s="693"/>
      <c r="OV118" s="682" t="s">
        <v>11</v>
      </c>
      <c r="OW118" s="683"/>
      <c r="OX118" s="692"/>
      <c r="OY118" s="685">
        <f t="shared" si="324"/>
        <v>0</v>
      </c>
      <c r="OZ118" s="685">
        <f t="shared" si="344"/>
        <v>0</v>
      </c>
      <c r="PA118" s="528"/>
      <c r="PB118" s="686" t="s">
        <v>362</v>
      </c>
      <c r="PC118" s="693"/>
      <c r="PD118" s="682" t="s">
        <v>11</v>
      </c>
      <c r="PE118" s="683"/>
      <c r="PF118" s="692"/>
      <c r="PG118" s="685">
        <f t="shared" si="325"/>
        <v>0</v>
      </c>
      <c r="PH118" s="685">
        <f t="shared" si="345"/>
        <v>0</v>
      </c>
      <c r="PI118" s="528"/>
      <c r="PJ118" s="686" t="s">
        <v>362</v>
      </c>
      <c r="PK118" s="693"/>
      <c r="PL118" s="682" t="s">
        <v>11</v>
      </c>
      <c r="PM118" s="683"/>
      <c r="PN118" s="692"/>
      <c r="PO118" s="685">
        <f t="shared" si="326"/>
        <v>0</v>
      </c>
      <c r="PP118" s="685">
        <f t="shared" si="346"/>
        <v>0</v>
      </c>
      <c r="PQ118" s="528"/>
      <c r="PR118" s="686" t="s">
        <v>362</v>
      </c>
      <c r="PS118" s="693"/>
      <c r="PT118" s="682" t="s">
        <v>11</v>
      </c>
      <c r="PU118" s="683"/>
      <c r="PV118" s="692"/>
      <c r="PW118" s="685">
        <f t="shared" si="327"/>
        <v>0</v>
      </c>
      <c r="PX118" s="685">
        <f t="shared" si="347"/>
        <v>0</v>
      </c>
      <c r="PY118" s="528"/>
      <c r="PZ118" s="686" t="s">
        <v>362</v>
      </c>
      <c r="QA118" s="693"/>
      <c r="QB118" s="682" t="s">
        <v>11</v>
      </c>
      <c r="QC118" s="683"/>
      <c r="QD118" s="692"/>
      <c r="QE118" s="685">
        <f t="shared" si="328"/>
        <v>0</v>
      </c>
      <c r="QF118" s="685">
        <f t="shared" si="348"/>
        <v>0</v>
      </c>
      <c r="QG118" s="528"/>
      <c r="QH118" s="686" t="s">
        <v>362</v>
      </c>
      <c r="QI118" s="693"/>
      <c r="QJ118" s="682" t="s">
        <v>11</v>
      </c>
      <c r="QK118" s="683"/>
      <c r="QL118" s="692"/>
      <c r="QM118" s="685">
        <f t="shared" si="329"/>
        <v>0</v>
      </c>
      <c r="QN118" s="685">
        <f t="shared" si="349"/>
        <v>0</v>
      </c>
      <c r="QO118" s="528"/>
      <c r="QP118" s="686" t="s">
        <v>362</v>
      </c>
      <c r="QQ118" s="693"/>
      <c r="QR118" s="682" t="s">
        <v>11</v>
      </c>
      <c r="QS118" s="683"/>
      <c r="QT118" s="692"/>
      <c r="QU118" s="685">
        <f t="shared" si="330"/>
        <v>0</v>
      </c>
      <c r="QV118" s="685">
        <f t="shared" si="350"/>
        <v>0</v>
      </c>
      <c r="QW118" s="528"/>
      <c r="QX118" s="686" t="s">
        <v>362</v>
      </c>
      <c r="QY118" s="693"/>
      <c r="QZ118" s="682" t="s">
        <v>11</v>
      </c>
      <c r="RA118" s="683"/>
      <c r="RB118" s="692"/>
      <c r="RC118" s="685">
        <f t="shared" si="331"/>
        <v>0</v>
      </c>
      <c r="RD118" s="685">
        <f t="shared" si="351"/>
        <v>0</v>
      </c>
      <c r="RE118" s="528"/>
      <c r="RF118" s="686" t="s">
        <v>362</v>
      </c>
      <c r="RG118" s="693"/>
      <c r="RH118" s="682" t="s">
        <v>11</v>
      </c>
      <c r="RI118" s="683"/>
      <c r="RJ118" s="692"/>
      <c r="RK118" s="685">
        <f t="shared" si="332"/>
        <v>0</v>
      </c>
      <c r="RL118" s="685">
        <f t="shared" si="352"/>
        <v>0</v>
      </c>
      <c r="RM118" s="528"/>
      <c r="RN118" s="686" t="s">
        <v>362</v>
      </c>
      <c r="RO118" s="693"/>
      <c r="RP118" s="682" t="s">
        <v>11</v>
      </c>
      <c r="RQ118" s="683"/>
      <c r="RR118" s="692"/>
      <c r="RS118" s="685">
        <f t="shared" si="333"/>
        <v>0</v>
      </c>
      <c r="RT118" s="685">
        <f t="shared" si="353"/>
        <v>0</v>
      </c>
      <c r="RU118" s="528"/>
      <c r="RV118" s="686" t="s">
        <v>362</v>
      </c>
      <c r="RW118" s="693"/>
      <c r="RX118" s="682" t="s">
        <v>11</v>
      </c>
      <c r="RY118" s="683"/>
      <c r="RZ118" s="692"/>
      <c r="SA118" s="685">
        <f t="shared" si="334"/>
        <v>0</v>
      </c>
      <c r="SB118" s="685">
        <f t="shared" si="354"/>
        <v>0</v>
      </c>
      <c r="SC118" s="528"/>
      <c r="SD118" s="686" t="s">
        <v>362</v>
      </c>
      <c r="SE118" s="693"/>
      <c r="SF118" s="682" t="s">
        <v>11</v>
      </c>
      <c r="SG118" s="683"/>
      <c r="SH118" s="692"/>
      <c r="SI118" s="685">
        <f t="shared" si="335"/>
        <v>0</v>
      </c>
      <c r="SJ118" s="685">
        <f t="shared" si="355"/>
        <v>0</v>
      </c>
      <c r="SK118" s="528"/>
      <c r="SL118" s="686" t="s">
        <v>362</v>
      </c>
      <c r="SM118" s="693"/>
      <c r="SN118" s="682" t="s">
        <v>11</v>
      </c>
      <c r="SO118" s="683"/>
      <c r="SP118" s="692"/>
      <c r="SQ118" s="685">
        <f t="shared" si="336"/>
        <v>0</v>
      </c>
      <c r="SR118" s="685">
        <f t="shared" si="356"/>
        <v>0</v>
      </c>
      <c r="SS118" s="528"/>
      <c r="ST118" s="686" t="s">
        <v>362</v>
      </c>
      <c r="SU118" s="693"/>
      <c r="SV118" s="682" t="s">
        <v>11</v>
      </c>
      <c r="SW118" s="683"/>
      <c r="SX118" s="692"/>
      <c r="SY118" s="685">
        <f t="shared" si="337"/>
        <v>0</v>
      </c>
      <c r="SZ118" s="685">
        <f t="shared" si="357"/>
        <v>0</v>
      </c>
      <c r="TA118" s="528"/>
      <c r="TB118" s="686" t="s">
        <v>362</v>
      </c>
      <c r="TC118" s="693"/>
      <c r="TD118" s="682" t="s">
        <v>11</v>
      </c>
      <c r="TE118" s="683"/>
      <c r="TF118" s="692"/>
      <c r="TG118" s="685">
        <f t="shared" si="338"/>
        <v>0</v>
      </c>
      <c r="TH118" s="685">
        <f t="shared" si="358"/>
        <v>0</v>
      </c>
      <c r="TI118" s="528"/>
    </row>
    <row r="119" spans="2:529">
      <c r="B119" s="169" t="s">
        <v>98</v>
      </c>
      <c r="C119" s="144">
        <v>24</v>
      </c>
      <c r="D119" s="157" t="s">
        <v>99</v>
      </c>
      <c r="E119" s="138">
        <v>518</v>
      </c>
      <c r="F119" s="170">
        <v>0.85442857142857154</v>
      </c>
      <c r="G119" s="140">
        <f t="shared" si="247"/>
        <v>442.59400000000005</v>
      </c>
      <c r="H119" s="159">
        <f>E119*F119</f>
        <v>442.59400000000005</v>
      </c>
      <c r="I119" s="528"/>
      <c r="J119" s="169" t="s">
        <v>98</v>
      </c>
      <c r="K119" s="144">
        <v>3</v>
      </c>
      <c r="L119" s="157" t="s">
        <v>99</v>
      </c>
      <c r="M119" s="138">
        <v>60</v>
      </c>
      <c r="N119" s="170">
        <v>0.85442857142857154</v>
      </c>
      <c r="O119" s="140">
        <f t="shared" si="248"/>
        <v>51.265714285714296</v>
      </c>
      <c r="P119" s="159">
        <f>M119*N119</f>
        <v>51.265714285714296</v>
      </c>
      <c r="Q119" s="528"/>
      <c r="R119" s="169" t="s">
        <v>98</v>
      </c>
      <c r="S119" s="144">
        <v>6</v>
      </c>
      <c r="T119" s="157" t="s">
        <v>99</v>
      </c>
      <c r="U119" s="138">
        <v>72</v>
      </c>
      <c r="V119" s="170">
        <v>0.85442857142857154</v>
      </c>
      <c r="W119" s="140">
        <f t="shared" si="249"/>
        <v>61.518857142857151</v>
      </c>
      <c r="X119" s="159">
        <f>U119*V119</f>
        <v>61.518857142857151</v>
      </c>
      <c r="Y119" s="528"/>
      <c r="Z119" s="169" t="s">
        <v>98</v>
      </c>
      <c r="AA119" s="144">
        <v>4</v>
      </c>
      <c r="AB119" s="157" t="s">
        <v>99</v>
      </c>
      <c r="AC119" s="138">
        <v>145</v>
      </c>
      <c r="AD119" s="170">
        <v>0.85442857142857154</v>
      </c>
      <c r="AE119" s="140">
        <f t="shared" si="250"/>
        <v>123.89214285714287</v>
      </c>
      <c r="AF119" s="159">
        <f>AC119*AD119</f>
        <v>123.89214285714287</v>
      </c>
      <c r="AG119" s="528"/>
      <c r="AH119" s="169" t="s">
        <v>98</v>
      </c>
      <c r="AI119" s="144">
        <v>3</v>
      </c>
      <c r="AJ119" s="157" t="s">
        <v>99</v>
      </c>
      <c r="AK119" s="138">
        <v>190</v>
      </c>
      <c r="AL119" s="170">
        <v>0.85442857142857154</v>
      </c>
      <c r="AM119" s="140">
        <f t="shared" si="251"/>
        <v>162.34142857142859</v>
      </c>
      <c r="AN119" s="159">
        <f>AK119*AL119</f>
        <v>162.34142857142859</v>
      </c>
      <c r="AO119" s="528"/>
      <c r="AP119" s="169" t="s">
        <v>98</v>
      </c>
      <c r="AQ119" s="144">
        <v>9</v>
      </c>
      <c r="AR119" s="157" t="s">
        <v>99</v>
      </c>
      <c r="AS119" s="138">
        <v>1065</v>
      </c>
      <c r="AT119" s="170">
        <v>0.85442857142857154</v>
      </c>
      <c r="AU119" s="140">
        <f t="shared" si="252"/>
        <v>909.96642857142865</v>
      </c>
      <c r="AV119" s="159">
        <f>AS119*AT119</f>
        <v>909.96642857142865</v>
      </c>
      <c r="AW119" s="528"/>
      <c r="AX119" s="169" t="s">
        <v>98</v>
      </c>
      <c r="AY119" s="144"/>
      <c r="AZ119" s="157" t="s">
        <v>99</v>
      </c>
      <c r="BA119" s="138"/>
      <c r="BB119" s="170">
        <v>0.85442857142857154</v>
      </c>
      <c r="BC119" s="140">
        <f t="shared" si="253"/>
        <v>0</v>
      </c>
      <c r="BD119" s="159">
        <f>BA119*BB119</f>
        <v>0</v>
      </c>
      <c r="BE119" s="528"/>
      <c r="BF119" s="169" t="s">
        <v>98</v>
      </c>
      <c r="BG119" s="144">
        <v>6</v>
      </c>
      <c r="BH119" s="157" t="s">
        <v>99</v>
      </c>
      <c r="BI119" s="138">
        <v>364</v>
      </c>
      <c r="BJ119" s="170">
        <v>0.85442857142857154</v>
      </c>
      <c r="BK119" s="140">
        <f t="shared" si="254"/>
        <v>311.01200000000006</v>
      </c>
      <c r="BL119" s="159">
        <f>BI119*BJ119</f>
        <v>311.01200000000006</v>
      </c>
      <c r="BM119" s="528"/>
      <c r="BN119" s="169" t="s">
        <v>98</v>
      </c>
      <c r="BO119" s="144">
        <v>6</v>
      </c>
      <c r="BP119" s="157" t="s">
        <v>99</v>
      </c>
      <c r="BQ119" s="138">
        <v>1303</v>
      </c>
      <c r="BR119" s="170">
        <v>0.85442857142857154</v>
      </c>
      <c r="BS119" s="140">
        <f t="shared" si="255"/>
        <v>1113.3204285714287</v>
      </c>
      <c r="BT119" s="159">
        <f>BQ119*BR119</f>
        <v>1113.3204285714287</v>
      </c>
      <c r="BU119" s="528"/>
      <c r="BV119" s="584" t="s">
        <v>98</v>
      </c>
      <c r="BW119" s="565"/>
      <c r="BX119" s="574" t="s">
        <v>99</v>
      </c>
      <c r="BY119" s="560"/>
      <c r="BZ119" s="585">
        <v>0.85442857142857154</v>
      </c>
      <c r="CA119" s="562">
        <f t="shared" si="256"/>
        <v>0</v>
      </c>
      <c r="CB119" s="575">
        <f>BY119*BZ119</f>
        <v>0</v>
      </c>
      <c r="CC119" s="528"/>
      <c r="CD119" s="584" t="s">
        <v>98</v>
      </c>
      <c r="CE119" s="565"/>
      <c r="CF119" s="574" t="s">
        <v>99</v>
      </c>
      <c r="CG119" s="560"/>
      <c r="CH119" s="585">
        <v>0.85442857142857154</v>
      </c>
      <c r="CI119" s="562">
        <f t="shared" si="257"/>
        <v>0</v>
      </c>
      <c r="CJ119" s="575">
        <f>CG119*CH119</f>
        <v>0</v>
      </c>
      <c r="CK119" s="528"/>
      <c r="CL119" s="169" t="s">
        <v>98</v>
      </c>
      <c r="CM119" s="144"/>
      <c r="CN119" s="157" t="s">
        <v>99</v>
      </c>
      <c r="CO119" s="138"/>
      <c r="CP119" s="170">
        <v>0.85442857142857154</v>
      </c>
      <c r="CQ119" s="140">
        <f t="shared" si="258"/>
        <v>0</v>
      </c>
      <c r="CR119" s="159">
        <f>CO119*CP119</f>
        <v>0</v>
      </c>
      <c r="CS119" s="528"/>
      <c r="CT119" s="169" t="s">
        <v>98</v>
      </c>
      <c r="CU119" s="144">
        <v>6</v>
      </c>
      <c r="CV119" s="157" t="s">
        <v>99</v>
      </c>
      <c r="CW119" s="138">
        <v>364</v>
      </c>
      <c r="CX119" s="170">
        <v>0.85442857142857154</v>
      </c>
      <c r="CY119" s="140">
        <f t="shared" si="259"/>
        <v>311.01200000000006</v>
      </c>
      <c r="CZ119" s="159">
        <f>CW119*CX119</f>
        <v>311.01200000000006</v>
      </c>
      <c r="DA119" s="528"/>
      <c r="DB119" s="169" t="s">
        <v>98</v>
      </c>
      <c r="DC119" s="144"/>
      <c r="DD119" s="157" t="s">
        <v>99</v>
      </c>
      <c r="DE119" s="138"/>
      <c r="DF119" s="170">
        <v>0.85442857142857154</v>
      </c>
      <c r="DG119" s="140">
        <f t="shared" si="260"/>
        <v>0</v>
      </c>
      <c r="DH119" s="159">
        <f>DE119*DF119</f>
        <v>0</v>
      </c>
      <c r="DI119" s="528"/>
      <c r="DJ119" s="169" t="s">
        <v>98</v>
      </c>
      <c r="DK119" s="144">
        <v>16</v>
      </c>
      <c r="DL119" s="157" t="s">
        <v>99</v>
      </c>
      <c r="DM119" s="138">
        <v>202</v>
      </c>
      <c r="DN119" s="170">
        <v>0.85442857142857154</v>
      </c>
      <c r="DO119" s="140">
        <f t="shared" si="261"/>
        <v>172.59457142857144</v>
      </c>
      <c r="DP119" s="159">
        <f>DM119*DN119</f>
        <v>172.59457142857144</v>
      </c>
      <c r="DQ119" s="528"/>
      <c r="DR119" s="169" t="s">
        <v>98</v>
      </c>
      <c r="DS119" s="144">
        <v>24</v>
      </c>
      <c r="DT119" s="157" t="s">
        <v>99</v>
      </c>
      <c r="DU119" s="138">
        <v>453</v>
      </c>
      <c r="DV119" s="170">
        <v>0.85442857142857154</v>
      </c>
      <c r="DW119" s="140">
        <f t="shared" si="262"/>
        <v>387.0561428571429</v>
      </c>
      <c r="DX119" s="159">
        <f>DU119*DV119</f>
        <v>387.0561428571429</v>
      </c>
      <c r="DY119" s="528"/>
      <c r="DZ119" s="169" t="s">
        <v>98</v>
      </c>
      <c r="EA119" s="144">
        <v>13</v>
      </c>
      <c r="EB119" s="157" t="s">
        <v>99</v>
      </c>
      <c r="EC119" s="138">
        <v>220</v>
      </c>
      <c r="ED119" s="170">
        <v>0.85442857142857154</v>
      </c>
      <c r="EE119" s="140">
        <f t="shared" si="263"/>
        <v>187.97428571428574</v>
      </c>
      <c r="EF119" s="159">
        <f>EC119*ED119</f>
        <v>187.97428571428574</v>
      </c>
      <c r="EG119" s="528"/>
      <c r="EH119" s="169" t="s">
        <v>98</v>
      </c>
      <c r="EI119" s="144">
        <v>24</v>
      </c>
      <c r="EJ119" s="157" t="s">
        <v>99</v>
      </c>
      <c r="EK119" s="138">
        <v>345</v>
      </c>
      <c r="EL119" s="170">
        <v>0.85442857142857154</v>
      </c>
      <c r="EM119" s="140">
        <f t="shared" si="264"/>
        <v>294.77785714285716</v>
      </c>
      <c r="EN119" s="159">
        <f>EK119*EL119</f>
        <v>294.77785714285716</v>
      </c>
      <c r="EO119" s="528"/>
      <c r="EP119" s="169" t="s">
        <v>98</v>
      </c>
      <c r="EQ119" s="144">
        <v>0</v>
      </c>
      <c r="ER119" s="157" t="s">
        <v>99</v>
      </c>
      <c r="ES119" s="138">
        <v>0</v>
      </c>
      <c r="ET119" s="170">
        <v>0.85442857142857154</v>
      </c>
      <c r="EU119" s="140">
        <f t="shared" si="265"/>
        <v>0</v>
      </c>
      <c r="EV119" s="159">
        <f>ES119*ET119</f>
        <v>0</v>
      </c>
      <c r="EW119" s="528"/>
      <c r="EX119" s="169" t="s">
        <v>98</v>
      </c>
      <c r="EY119" s="144"/>
      <c r="EZ119" s="157" t="s">
        <v>99</v>
      </c>
      <c r="FA119" s="138"/>
      <c r="FB119" s="170">
        <v>0.85442857142857154</v>
      </c>
      <c r="FC119" s="140">
        <f t="shared" si="266"/>
        <v>0</v>
      </c>
      <c r="FD119" s="159">
        <f>FA119*FB119</f>
        <v>0</v>
      </c>
      <c r="FE119" s="528"/>
      <c r="FF119" s="169" t="s">
        <v>98</v>
      </c>
      <c r="FG119" s="144"/>
      <c r="FH119" s="157" t="s">
        <v>99</v>
      </c>
      <c r="FI119" s="138"/>
      <c r="FJ119" s="170">
        <v>0.85442857142857154</v>
      </c>
      <c r="FK119" s="140">
        <f t="shared" si="267"/>
        <v>0</v>
      </c>
      <c r="FL119" s="159">
        <f>FI119*FJ119</f>
        <v>0</v>
      </c>
      <c r="FM119" s="528"/>
      <c r="FN119" s="169" t="s">
        <v>98</v>
      </c>
      <c r="FO119" s="144"/>
      <c r="FP119" s="157" t="s">
        <v>99</v>
      </c>
      <c r="FQ119" s="138"/>
      <c r="FR119" s="170">
        <v>0.85442857142857154</v>
      </c>
      <c r="FS119" s="140">
        <f t="shared" si="268"/>
        <v>0</v>
      </c>
      <c r="FT119" s="159">
        <f>FQ119*FR119</f>
        <v>0</v>
      </c>
      <c r="FU119" s="528"/>
      <c r="FV119" s="169" t="s">
        <v>98</v>
      </c>
      <c r="FW119" s="144"/>
      <c r="FX119" s="157" t="s">
        <v>99</v>
      </c>
      <c r="FY119" s="138"/>
      <c r="FZ119" s="170">
        <v>0.85442857142857154</v>
      </c>
      <c r="GA119" s="140">
        <f t="shared" si="269"/>
        <v>0</v>
      </c>
      <c r="GB119" s="159">
        <f>FY119*FZ119</f>
        <v>0</v>
      </c>
      <c r="GC119" s="528"/>
      <c r="GD119" s="169" t="s">
        <v>98</v>
      </c>
      <c r="GE119" s="144"/>
      <c r="GF119" s="157" t="s">
        <v>99</v>
      </c>
      <c r="GG119" s="138"/>
      <c r="GH119" s="170">
        <v>0.85442857142857154</v>
      </c>
      <c r="GI119" s="140">
        <f t="shared" si="270"/>
        <v>0</v>
      </c>
      <c r="GJ119" s="159">
        <f>GG119*GH119</f>
        <v>0</v>
      </c>
      <c r="GK119" s="528"/>
      <c r="GL119" s="169" t="s">
        <v>98</v>
      </c>
      <c r="GM119" s="144">
        <v>6</v>
      </c>
      <c r="GN119" s="157" t="s">
        <v>99</v>
      </c>
      <c r="GO119" s="138">
        <f>'[1]Jan_18_Vol weekly-Data-Entry'!$BK$226</f>
        <v>0</v>
      </c>
      <c r="GP119" s="170">
        <v>0.85442857142857154</v>
      </c>
      <c r="GQ119" s="140">
        <f t="shared" si="271"/>
        <v>0</v>
      </c>
      <c r="GR119" s="159">
        <f>GO119*GP119</f>
        <v>0</v>
      </c>
      <c r="GS119" s="528"/>
      <c r="GT119" s="169" t="s">
        <v>98</v>
      </c>
      <c r="GU119" s="144">
        <v>8</v>
      </c>
      <c r="GV119" s="157" t="s">
        <v>99</v>
      </c>
      <c r="GW119" s="138">
        <v>865</v>
      </c>
      <c r="GX119" s="170">
        <v>0.85442857142857154</v>
      </c>
      <c r="GY119" s="140">
        <f t="shared" si="272"/>
        <v>739.08071428571441</v>
      </c>
      <c r="GZ119" s="159">
        <f>GW119*GX119</f>
        <v>739.08071428571441</v>
      </c>
      <c r="HA119" s="528"/>
      <c r="HB119" s="169" t="s">
        <v>98</v>
      </c>
      <c r="HC119" s="144">
        <v>4</v>
      </c>
      <c r="HD119" s="157" t="s">
        <v>99</v>
      </c>
      <c r="HE119" s="138">
        <v>72</v>
      </c>
      <c r="HF119" s="170">
        <v>0.85442857142857154</v>
      </c>
      <c r="HG119" s="140">
        <f t="shared" si="273"/>
        <v>61.518857142857151</v>
      </c>
      <c r="HH119" s="159">
        <f>HE119*HF119</f>
        <v>61.518857142857151</v>
      </c>
      <c r="HI119" s="528"/>
      <c r="HJ119" s="169" t="s">
        <v>98</v>
      </c>
      <c r="HK119" s="144">
        <v>34</v>
      </c>
      <c r="HL119" s="157" t="s">
        <v>99</v>
      </c>
      <c r="HM119" s="138">
        <v>548</v>
      </c>
      <c r="HN119" s="170">
        <v>0.85442857142857154</v>
      </c>
      <c r="HO119" s="140">
        <f t="shared" si="274"/>
        <v>468.22685714285723</v>
      </c>
      <c r="HP119" s="159">
        <f>HM119*HN119</f>
        <v>468.22685714285723</v>
      </c>
      <c r="HQ119" s="528"/>
      <c r="HR119" s="169" t="s">
        <v>98</v>
      </c>
      <c r="HS119" s="144">
        <v>36</v>
      </c>
      <c r="HT119" s="157" t="s">
        <v>99</v>
      </c>
      <c r="HU119" s="138">
        <v>817</v>
      </c>
      <c r="HV119" s="170">
        <v>0.85442857142857154</v>
      </c>
      <c r="HW119" s="140">
        <f t="shared" si="275"/>
        <v>698.0681428571429</v>
      </c>
      <c r="HX119" s="159">
        <f>HU119*HV119</f>
        <v>698.0681428571429</v>
      </c>
      <c r="HY119" s="528"/>
      <c r="HZ119" s="169" t="s">
        <v>98</v>
      </c>
      <c r="IA119" s="144">
        <v>8</v>
      </c>
      <c r="IB119" s="157" t="s">
        <v>99</v>
      </c>
      <c r="IC119" s="138">
        <v>234</v>
      </c>
      <c r="ID119" s="170">
        <v>0.85442857142857154</v>
      </c>
      <c r="IE119" s="140">
        <f t="shared" si="276"/>
        <v>199.93628571428573</v>
      </c>
      <c r="IF119" s="159">
        <f>IC119*ID119</f>
        <v>199.93628571428573</v>
      </c>
      <c r="IG119" s="528"/>
      <c r="IH119" s="169" t="s">
        <v>98</v>
      </c>
      <c r="II119" s="144">
        <v>28</v>
      </c>
      <c r="IJ119" s="157" t="s">
        <v>99</v>
      </c>
      <c r="IK119" s="138">
        <v>1557</v>
      </c>
      <c r="IL119" s="170">
        <v>0.85442857142857154</v>
      </c>
      <c r="IM119" s="140">
        <f t="shared" si="277"/>
        <v>1330.3452857142859</v>
      </c>
      <c r="IN119" s="159">
        <f>IK119*IL119</f>
        <v>1330.3452857142859</v>
      </c>
      <c r="IO119" s="528"/>
      <c r="IP119" s="169" t="s">
        <v>98</v>
      </c>
      <c r="IQ119" s="144">
        <v>30</v>
      </c>
      <c r="IR119" s="157" t="s">
        <v>99</v>
      </c>
      <c r="IS119" s="138">
        <v>635</v>
      </c>
      <c r="IT119" s="170">
        <v>0.85442857142857154</v>
      </c>
      <c r="IU119" s="140">
        <f t="shared" si="278"/>
        <v>542.56214285714293</v>
      </c>
      <c r="IV119" s="159">
        <f>IS119*IT119</f>
        <v>542.56214285714293</v>
      </c>
      <c r="IW119" s="528"/>
      <c r="IX119" s="169" t="s">
        <v>98</v>
      </c>
      <c r="IY119" s="144">
        <v>10</v>
      </c>
      <c r="IZ119" s="157" t="s">
        <v>99</v>
      </c>
      <c r="JA119" s="138">
        <v>169</v>
      </c>
      <c r="JB119" s="170">
        <v>0.85442857142857154</v>
      </c>
      <c r="JC119" s="140">
        <f t="shared" si="279"/>
        <v>144.39842857142858</v>
      </c>
      <c r="JD119" s="159">
        <f>JA119*JB119</f>
        <v>144.39842857142858</v>
      </c>
      <c r="JE119" s="528"/>
      <c r="JF119" s="169" t="s">
        <v>98</v>
      </c>
      <c r="JG119" s="144">
        <v>6</v>
      </c>
      <c r="JH119" s="157" t="s">
        <v>99</v>
      </c>
      <c r="JI119" s="138">
        <v>188</v>
      </c>
      <c r="JJ119" s="170">
        <v>0.85442857142857154</v>
      </c>
      <c r="JK119" s="140">
        <f t="shared" si="280"/>
        <v>160.63257142857145</v>
      </c>
      <c r="JL119" s="159">
        <f>JI119*JJ119</f>
        <v>160.63257142857145</v>
      </c>
      <c r="JM119" s="528"/>
      <c r="JN119" s="169" t="s">
        <v>98</v>
      </c>
      <c r="JO119" s="144">
        <v>4</v>
      </c>
      <c r="JP119" s="157" t="s">
        <v>99</v>
      </c>
      <c r="JQ119" s="138">
        <v>193</v>
      </c>
      <c r="JR119" s="170">
        <v>0.85442857142857154</v>
      </c>
      <c r="JS119" s="140">
        <f t="shared" si="281"/>
        <v>164.90471428571431</v>
      </c>
      <c r="JT119" s="159">
        <f>JQ119*JR119</f>
        <v>164.90471428571431</v>
      </c>
      <c r="JU119" s="528"/>
      <c r="JV119" s="169" t="s">
        <v>98</v>
      </c>
      <c r="JW119" s="144">
        <v>21</v>
      </c>
      <c r="JX119" s="157" t="s">
        <v>99</v>
      </c>
      <c r="JY119" s="138">
        <v>477</v>
      </c>
      <c r="JZ119" s="170">
        <v>0.85442857142857154</v>
      </c>
      <c r="KA119" s="140">
        <f t="shared" si="282"/>
        <v>407.5624285714286</v>
      </c>
      <c r="KB119" s="159">
        <f>JY119*JZ119</f>
        <v>407.5624285714286</v>
      </c>
      <c r="KC119" s="528"/>
      <c r="KD119" s="169" t="s">
        <v>98</v>
      </c>
      <c r="KE119" s="144">
        <v>8</v>
      </c>
      <c r="KF119" s="157" t="s">
        <v>99</v>
      </c>
      <c r="KG119" s="138">
        <v>568</v>
      </c>
      <c r="KH119" s="170">
        <v>0.85442857142857154</v>
      </c>
      <c r="KI119" s="140">
        <f t="shared" si="283"/>
        <v>485.31542857142864</v>
      </c>
      <c r="KJ119" s="159">
        <f>KG119*KH119</f>
        <v>485.31542857142864</v>
      </c>
      <c r="KK119" s="528"/>
      <c r="KL119" s="169" t="s">
        <v>98</v>
      </c>
      <c r="KM119" s="144">
        <v>3</v>
      </c>
      <c r="KN119" s="157" t="s">
        <v>99</v>
      </c>
      <c r="KO119" s="138">
        <v>60</v>
      </c>
      <c r="KP119" s="170">
        <v>0.85442857142857154</v>
      </c>
      <c r="KQ119" s="140">
        <f t="shared" si="284"/>
        <v>51.265714285714296</v>
      </c>
      <c r="KR119" s="159">
        <f>KO119*KP119</f>
        <v>51.265714285714296</v>
      </c>
      <c r="KS119" s="528"/>
      <c r="KT119" s="169" t="s">
        <v>98</v>
      </c>
      <c r="KU119" s="144">
        <v>23</v>
      </c>
      <c r="KV119" s="157" t="s">
        <v>99</v>
      </c>
      <c r="KW119" s="138">
        <v>389</v>
      </c>
      <c r="KX119" s="170">
        <v>0.85442857142857154</v>
      </c>
      <c r="KY119" s="140">
        <f t="shared" si="285"/>
        <v>332.37271428571432</v>
      </c>
      <c r="KZ119" s="159">
        <f>KW119*KX119</f>
        <v>332.37271428571432</v>
      </c>
      <c r="LA119" s="528"/>
      <c r="LB119" s="169" t="s">
        <v>98</v>
      </c>
      <c r="LC119" s="144">
        <v>8</v>
      </c>
      <c r="LD119" s="157" t="s">
        <v>99</v>
      </c>
      <c r="LE119" s="138">
        <v>93</v>
      </c>
      <c r="LF119" s="170">
        <v>0.85442857142857154</v>
      </c>
      <c r="LG119" s="140">
        <f t="shared" si="286"/>
        <v>79.461857142857156</v>
      </c>
      <c r="LH119" s="159">
        <f>LE119*LF119</f>
        <v>79.461857142857156</v>
      </c>
      <c r="LI119" s="528"/>
      <c r="LJ119" s="169" t="s">
        <v>98</v>
      </c>
      <c r="LK119" s="144">
        <v>30</v>
      </c>
      <c r="LL119" s="157" t="s">
        <v>99</v>
      </c>
      <c r="LM119" s="175">
        <v>654</v>
      </c>
      <c r="LN119" s="139">
        <v>0.85442857142857154</v>
      </c>
      <c r="LO119" s="140">
        <f>LM119*LN119</f>
        <v>558.79628571428577</v>
      </c>
      <c r="LP119" s="159">
        <f>LM119*LN119</f>
        <v>558.79628571428577</v>
      </c>
      <c r="LQ119" s="528"/>
      <c r="LR119" s="169" t="s">
        <v>98</v>
      </c>
      <c r="LS119" s="144">
        <v>20</v>
      </c>
      <c r="LT119" s="157" t="s">
        <v>99</v>
      </c>
      <c r="LU119" s="175">
        <v>699</v>
      </c>
      <c r="LV119" s="139">
        <v>0.85442857142857154</v>
      </c>
      <c r="LW119" s="140">
        <f>LU119*LV119</f>
        <v>597.24557142857145</v>
      </c>
      <c r="LX119" s="159">
        <f>LU119*LV119</f>
        <v>597.24557142857145</v>
      </c>
      <c r="LY119" s="528"/>
      <c r="LZ119" s="169" t="s">
        <v>98</v>
      </c>
      <c r="MA119" s="144">
        <v>23</v>
      </c>
      <c r="MB119" s="157" t="s">
        <v>99</v>
      </c>
      <c r="MC119" s="175">
        <v>856</v>
      </c>
      <c r="MD119" s="139">
        <v>0.85442857142857154</v>
      </c>
      <c r="ME119" s="140">
        <f>MC119*MD119</f>
        <v>731.39085714285727</v>
      </c>
      <c r="MF119" s="159">
        <f>MC119*MD119</f>
        <v>731.39085714285727</v>
      </c>
      <c r="MG119" s="528"/>
      <c r="MH119" s="169" t="s">
        <v>98</v>
      </c>
      <c r="MI119" s="144">
        <v>38</v>
      </c>
      <c r="MJ119" s="157" t="s">
        <v>99</v>
      </c>
      <c r="MK119" s="175">
        <v>2220</v>
      </c>
      <c r="ML119" s="139">
        <v>0.85442857142857154</v>
      </c>
      <c r="MM119" s="140">
        <f>MK119*ML119</f>
        <v>1896.8314285714289</v>
      </c>
      <c r="MN119" s="159">
        <f>MK119*ML119</f>
        <v>1896.8314285714289</v>
      </c>
      <c r="MO119" s="528"/>
      <c r="MP119" s="169" t="s">
        <v>98</v>
      </c>
      <c r="MQ119" s="144">
        <v>44</v>
      </c>
      <c r="MR119" s="157" t="s">
        <v>99</v>
      </c>
      <c r="MS119" s="175">
        <v>3067</v>
      </c>
      <c r="MT119" s="139">
        <v>0.85442857142857154</v>
      </c>
      <c r="MU119" s="140">
        <f>MS119*MT119</f>
        <v>2620.5324285714287</v>
      </c>
      <c r="MV119" s="159">
        <f>MS119*MT119</f>
        <v>2620.5324285714287</v>
      </c>
      <c r="MW119" s="528"/>
      <c r="MX119" s="686" t="s">
        <v>363</v>
      </c>
      <c r="MY119" s="693"/>
      <c r="MZ119" s="694" t="s">
        <v>11</v>
      </c>
      <c r="NA119" s="683"/>
      <c r="NB119" s="684"/>
      <c r="NC119" s="685">
        <f t="shared" si="318"/>
        <v>0</v>
      </c>
      <c r="ND119" s="685">
        <f t="shared" si="318"/>
        <v>0</v>
      </c>
      <c r="NE119" s="528"/>
      <c r="NF119" s="686" t="s">
        <v>363</v>
      </c>
      <c r="NG119" s="693"/>
      <c r="NH119" s="694" t="s">
        <v>11</v>
      </c>
      <c r="NI119" s="683"/>
      <c r="NJ119" s="684"/>
      <c r="NK119" s="685">
        <f t="shared" si="319"/>
        <v>0</v>
      </c>
      <c r="NL119" s="685">
        <f t="shared" si="339"/>
        <v>0</v>
      </c>
      <c r="NM119" s="528"/>
      <c r="NN119" s="686" t="s">
        <v>363</v>
      </c>
      <c r="NO119" s="693"/>
      <c r="NP119" s="694" t="s">
        <v>11</v>
      </c>
      <c r="NQ119" s="683"/>
      <c r="NR119" s="684"/>
      <c r="NS119" s="685">
        <f t="shared" si="320"/>
        <v>0</v>
      </c>
      <c r="NT119" s="685">
        <f t="shared" si="340"/>
        <v>0</v>
      </c>
      <c r="NU119" s="528"/>
      <c r="NV119" s="686" t="s">
        <v>363</v>
      </c>
      <c r="NW119" s="693"/>
      <c r="NX119" s="694" t="s">
        <v>11</v>
      </c>
      <c r="NY119" s="683"/>
      <c r="NZ119" s="684"/>
      <c r="OA119" s="685">
        <f t="shared" si="321"/>
        <v>0</v>
      </c>
      <c r="OB119" s="685">
        <f t="shared" si="341"/>
        <v>0</v>
      </c>
      <c r="OC119" s="528"/>
      <c r="OD119" s="686" t="s">
        <v>363</v>
      </c>
      <c r="OE119" s="693"/>
      <c r="OF119" s="694" t="s">
        <v>11</v>
      </c>
      <c r="OG119" s="683"/>
      <c r="OH119" s="684"/>
      <c r="OI119" s="685">
        <f t="shared" si="322"/>
        <v>0</v>
      </c>
      <c r="OJ119" s="685">
        <f t="shared" si="342"/>
        <v>0</v>
      </c>
      <c r="OK119" s="528"/>
      <c r="OL119" s="686" t="s">
        <v>363</v>
      </c>
      <c r="OM119" s="693"/>
      <c r="ON119" s="694" t="s">
        <v>11</v>
      </c>
      <c r="OO119" s="683"/>
      <c r="OP119" s="684"/>
      <c r="OQ119" s="685">
        <f t="shared" si="323"/>
        <v>0</v>
      </c>
      <c r="OR119" s="685">
        <f t="shared" si="343"/>
        <v>0</v>
      </c>
      <c r="OS119" s="528"/>
      <c r="OT119" s="686" t="s">
        <v>363</v>
      </c>
      <c r="OU119" s="693"/>
      <c r="OV119" s="694" t="s">
        <v>11</v>
      </c>
      <c r="OW119" s="683"/>
      <c r="OX119" s="684"/>
      <c r="OY119" s="685">
        <f t="shared" si="324"/>
        <v>0</v>
      </c>
      <c r="OZ119" s="685">
        <f t="shared" si="344"/>
        <v>0</v>
      </c>
      <c r="PA119" s="528"/>
      <c r="PB119" s="686" t="s">
        <v>363</v>
      </c>
      <c r="PC119" s="693"/>
      <c r="PD119" s="694" t="s">
        <v>11</v>
      </c>
      <c r="PE119" s="683"/>
      <c r="PF119" s="684"/>
      <c r="PG119" s="685">
        <f t="shared" si="325"/>
        <v>0</v>
      </c>
      <c r="PH119" s="685">
        <f t="shared" si="345"/>
        <v>0</v>
      </c>
      <c r="PI119" s="528"/>
      <c r="PJ119" s="686" t="s">
        <v>363</v>
      </c>
      <c r="PK119" s="693"/>
      <c r="PL119" s="694" t="s">
        <v>11</v>
      </c>
      <c r="PM119" s="683"/>
      <c r="PN119" s="684"/>
      <c r="PO119" s="685">
        <f t="shared" si="326"/>
        <v>0</v>
      </c>
      <c r="PP119" s="685">
        <f t="shared" si="346"/>
        <v>0</v>
      </c>
      <c r="PQ119" s="528"/>
      <c r="PR119" s="686" t="s">
        <v>363</v>
      </c>
      <c r="PS119" s="693"/>
      <c r="PT119" s="694" t="s">
        <v>11</v>
      </c>
      <c r="PU119" s="683"/>
      <c r="PV119" s="684"/>
      <c r="PW119" s="685">
        <f t="shared" si="327"/>
        <v>0</v>
      </c>
      <c r="PX119" s="685">
        <f t="shared" si="347"/>
        <v>0</v>
      </c>
      <c r="PY119" s="528"/>
      <c r="PZ119" s="686" t="s">
        <v>363</v>
      </c>
      <c r="QA119" s="693"/>
      <c r="QB119" s="694" t="s">
        <v>11</v>
      </c>
      <c r="QC119" s="683"/>
      <c r="QD119" s="684"/>
      <c r="QE119" s="685">
        <f t="shared" si="328"/>
        <v>0</v>
      </c>
      <c r="QF119" s="685">
        <f t="shared" si="348"/>
        <v>0</v>
      </c>
      <c r="QG119" s="528"/>
      <c r="QH119" s="686" t="s">
        <v>363</v>
      </c>
      <c r="QI119" s="693"/>
      <c r="QJ119" s="694" t="s">
        <v>11</v>
      </c>
      <c r="QK119" s="683"/>
      <c r="QL119" s="684"/>
      <c r="QM119" s="685">
        <f t="shared" si="329"/>
        <v>0</v>
      </c>
      <c r="QN119" s="685">
        <f t="shared" si="349"/>
        <v>0</v>
      </c>
      <c r="QO119" s="528"/>
      <c r="QP119" s="686" t="s">
        <v>363</v>
      </c>
      <c r="QQ119" s="693"/>
      <c r="QR119" s="694" t="s">
        <v>11</v>
      </c>
      <c r="QS119" s="683"/>
      <c r="QT119" s="684"/>
      <c r="QU119" s="685">
        <f t="shared" si="330"/>
        <v>0</v>
      </c>
      <c r="QV119" s="685">
        <f t="shared" si="350"/>
        <v>0</v>
      </c>
      <c r="QW119" s="528"/>
      <c r="QX119" s="686" t="s">
        <v>363</v>
      </c>
      <c r="QY119" s="693"/>
      <c r="QZ119" s="694" t="s">
        <v>11</v>
      </c>
      <c r="RA119" s="683"/>
      <c r="RB119" s="684"/>
      <c r="RC119" s="685">
        <f t="shared" si="331"/>
        <v>0</v>
      </c>
      <c r="RD119" s="685">
        <f t="shared" si="351"/>
        <v>0</v>
      </c>
      <c r="RE119" s="528"/>
      <c r="RF119" s="686" t="s">
        <v>363</v>
      </c>
      <c r="RG119" s="693"/>
      <c r="RH119" s="694" t="s">
        <v>11</v>
      </c>
      <c r="RI119" s="683"/>
      <c r="RJ119" s="684"/>
      <c r="RK119" s="685">
        <f t="shared" si="332"/>
        <v>0</v>
      </c>
      <c r="RL119" s="685">
        <f t="shared" si="352"/>
        <v>0</v>
      </c>
      <c r="RM119" s="528"/>
      <c r="RN119" s="686" t="s">
        <v>363</v>
      </c>
      <c r="RO119" s="693"/>
      <c r="RP119" s="694" t="s">
        <v>11</v>
      </c>
      <c r="RQ119" s="683"/>
      <c r="RR119" s="684"/>
      <c r="RS119" s="685">
        <f t="shared" si="333"/>
        <v>0</v>
      </c>
      <c r="RT119" s="685">
        <f t="shared" si="353"/>
        <v>0</v>
      </c>
      <c r="RU119" s="528"/>
      <c r="RV119" s="686" t="s">
        <v>363</v>
      </c>
      <c r="RW119" s="693"/>
      <c r="RX119" s="694" t="s">
        <v>11</v>
      </c>
      <c r="RY119" s="683"/>
      <c r="RZ119" s="684"/>
      <c r="SA119" s="685">
        <f t="shared" si="334"/>
        <v>0</v>
      </c>
      <c r="SB119" s="685">
        <f t="shared" si="354"/>
        <v>0</v>
      </c>
      <c r="SC119" s="528"/>
      <c r="SD119" s="686" t="s">
        <v>363</v>
      </c>
      <c r="SE119" s="693"/>
      <c r="SF119" s="694" t="s">
        <v>11</v>
      </c>
      <c r="SG119" s="683"/>
      <c r="SH119" s="684"/>
      <c r="SI119" s="685">
        <f t="shared" si="335"/>
        <v>0</v>
      </c>
      <c r="SJ119" s="685">
        <f t="shared" si="355"/>
        <v>0</v>
      </c>
      <c r="SK119" s="528"/>
      <c r="SL119" s="686" t="s">
        <v>363</v>
      </c>
      <c r="SM119" s="693"/>
      <c r="SN119" s="694" t="s">
        <v>11</v>
      </c>
      <c r="SO119" s="683"/>
      <c r="SP119" s="684"/>
      <c r="SQ119" s="685">
        <f t="shared" si="336"/>
        <v>0</v>
      </c>
      <c r="SR119" s="685">
        <f t="shared" si="356"/>
        <v>0</v>
      </c>
      <c r="SS119" s="528"/>
      <c r="ST119" s="686" t="s">
        <v>363</v>
      </c>
      <c r="SU119" s="693"/>
      <c r="SV119" s="694" t="s">
        <v>11</v>
      </c>
      <c r="SW119" s="683"/>
      <c r="SX119" s="684"/>
      <c r="SY119" s="685">
        <f t="shared" si="337"/>
        <v>0</v>
      </c>
      <c r="SZ119" s="685">
        <f t="shared" si="357"/>
        <v>0</v>
      </c>
      <c r="TA119" s="528"/>
      <c r="TB119" s="686" t="s">
        <v>363</v>
      </c>
      <c r="TC119" s="693"/>
      <c r="TD119" s="694" t="s">
        <v>11</v>
      </c>
      <c r="TE119" s="683"/>
      <c r="TF119" s="684"/>
      <c r="TG119" s="685">
        <f t="shared" si="338"/>
        <v>0</v>
      </c>
      <c r="TH119" s="685">
        <f t="shared" si="358"/>
        <v>0</v>
      </c>
      <c r="TI119" s="528"/>
    </row>
    <row r="120" spans="2:529">
      <c r="MW120" s="528"/>
      <c r="MX120" s="686" t="s">
        <v>364</v>
      </c>
      <c r="MY120" s="687"/>
      <c r="MZ120" s="682" t="s">
        <v>11</v>
      </c>
      <c r="NA120" s="683"/>
      <c r="NB120" s="692"/>
      <c r="NC120" s="685">
        <f t="shared" si="318"/>
        <v>0</v>
      </c>
      <c r="ND120" s="685">
        <f t="shared" si="318"/>
        <v>0</v>
      </c>
      <c r="NE120" s="528"/>
      <c r="NF120" s="686" t="s">
        <v>364</v>
      </c>
      <c r="NG120" s="687"/>
      <c r="NH120" s="682" t="s">
        <v>11</v>
      </c>
      <c r="NI120" s="683"/>
      <c r="NJ120" s="692"/>
      <c r="NK120" s="685">
        <f t="shared" si="319"/>
        <v>0</v>
      </c>
      <c r="NL120" s="685">
        <f t="shared" si="339"/>
        <v>0</v>
      </c>
      <c r="NM120" s="528"/>
      <c r="NN120" s="686" t="s">
        <v>364</v>
      </c>
      <c r="NO120" s="687"/>
      <c r="NP120" s="682" t="s">
        <v>11</v>
      </c>
      <c r="NQ120" s="683"/>
      <c r="NR120" s="692"/>
      <c r="NS120" s="685">
        <f t="shared" si="320"/>
        <v>0</v>
      </c>
      <c r="NT120" s="685">
        <f t="shared" si="340"/>
        <v>0</v>
      </c>
      <c r="NU120" s="528"/>
      <c r="NV120" s="686" t="s">
        <v>364</v>
      </c>
      <c r="NW120" s="687"/>
      <c r="NX120" s="682" t="s">
        <v>11</v>
      </c>
      <c r="NY120" s="683"/>
      <c r="NZ120" s="692"/>
      <c r="OA120" s="685">
        <f t="shared" si="321"/>
        <v>0</v>
      </c>
      <c r="OB120" s="685">
        <f t="shared" si="341"/>
        <v>0</v>
      </c>
      <c r="OC120" s="528"/>
      <c r="OD120" s="686" t="s">
        <v>364</v>
      </c>
      <c r="OE120" s="687"/>
      <c r="OF120" s="682" t="s">
        <v>11</v>
      </c>
      <c r="OG120" s="683"/>
      <c r="OH120" s="692"/>
      <c r="OI120" s="685">
        <f t="shared" si="322"/>
        <v>0</v>
      </c>
      <c r="OJ120" s="685">
        <f t="shared" si="342"/>
        <v>0</v>
      </c>
      <c r="OK120" s="528"/>
      <c r="OL120" s="686" t="s">
        <v>364</v>
      </c>
      <c r="OM120" s="687"/>
      <c r="ON120" s="682" t="s">
        <v>11</v>
      </c>
      <c r="OO120" s="683"/>
      <c r="OP120" s="692"/>
      <c r="OQ120" s="685">
        <f t="shared" si="323"/>
        <v>0</v>
      </c>
      <c r="OR120" s="685">
        <f t="shared" si="343"/>
        <v>0</v>
      </c>
      <c r="OS120" s="528"/>
      <c r="OT120" s="686" t="s">
        <v>364</v>
      </c>
      <c r="OU120" s="687"/>
      <c r="OV120" s="682" t="s">
        <v>11</v>
      </c>
      <c r="OW120" s="683"/>
      <c r="OX120" s="692"/>
      <c r="OY120" s="685">
        <f t="shared" si="324"/>
        <v>0</v>
      </c>
      <c r="OZ120" s="685">
        <f t="shared" si="344"/>
        <v>0</v>
      </c>
      <c r="PA120" s="528"/>
      <c r="PB120" s="686" t="s">
        <v>364</v>
      </c>
      <c r="PC120" s="687"/>
      <c r="PD120" s="682" t="s">
        <v>11</v>
      </c>
      <c r="PE120" s="683"/>
      <c r="PF120" s="692"/>
      <c r="PG120" s="685">
        <f t="shared" si="325"/>
        <v>0</v>
      </c>
      <c r="PH120" s="685">
        <f t="shared" si="345"/>
        <v>0</v>
      </c>
      <c r="PI120" s="528"/>
      <c r="PJ120" s="686" t="s">
        <v>364</v>
      </c>
      <c r="PK120" s="687"/>
      <c r="PL120" s="682" t="s">
        <v>11</v>
      </c>
      <c r="PM120" s="683"/>
      <c r="PN120" s="692"/>
      <c r="PO120" s="685">
        <f t="shared" si="326"/>
        <v>0</v>
      </c>
      <c r="PP120" s="685">
        <f t="shared" si="346"/>
        <v>0</v>
      </c>
      <c r="PQ120" s="528"/>
      <c r="PR120" s="686" t="s">
        <v>364</v>
      </c>
      <c r="PS120" s="687"/>
      <c r="PT120" s="682" t="s">
        <v>11</v>
      </c>
      <c r="PU120" s="683"/>
      <c r="PV120" s="692"/>
      <c r="PW120" s="685">
        <f t="shared" si="327"/>
        <v>0</v>
      </c>
      <c r="PX120" s="685">
        <f t="shared" si="347"/>
        <v>0</v>
      </c>
      <c r="PY120" s="528"/>
      <c r="PZ120" s="686" t="s">
        <v>364</v>
      </c>
      <c r="QA120" s="687"/>
      <c r="QB120" s="682" t="s">
        <v>11</v>
      </c>
      <c r="QC120" s="683"/>
      <c r="QD120" s="692"/>
      <c r="QE120" s="685">
        <f t="shared" si="328"/>
        <v>0</v>
      </c>
      <c r="QF120" s="685">
        <f t="shared" si="348"/>
        <v>0</v>
      </c>
      <c r="QG120" s="528"/>
      <c r="QH120" s="686" t="s">
        <v>364</v>
      </c>
      <c r="QI120" s="687"/>
      <c r="QJ120" s="682" t="s">
        <v>11</v>
      </c>
      <c r="QK120" s="683"/>
      <c r="QL120" s="692"/>
      <c r="QM120" s="685">
        <f t="shared" si="329"/>
        <v>0</v>
      </c>
      <c r="QN120" s="685">
        <f t="shared" si="349"/>
        <v>0</v>
      </c>
      <c r="QO120" s="528"/>
      <c r="QP120" s="686" t="s">
        <v>364</v>
      </c>
      <c r="QQ120" s="687"/>
      <c r="QR120" s="682" t="s">
        <v>11</v>
      </c>
      <c r="QS120" s="683"/>
      <c r="QT120" s="692"/>
      <c r="QU120" s="685">
        <f t="shared" si="330"/>
        <v>0</v>
      </c>
      <c r="QV120" s="685">
        <f t="shared" si="350"/>
        <v>0</v>
      </c>
      <c r="QW120" s="528"/>
      <c r="QX120" s="686" t="s">
        <v>364</v>
      </c>
      <c r="QY120" s="687"/>
      <c r="QZ120" s="682" t="s">
        <v>11</v>
      </c>
      <c r="RA120" s="683"/>
      <c r="RB120" s="692"/>
      <c r="RC120" s="685">
        <f t="shared" si="331"/>
        <v>0</v>
      </c>
      <c r="RD120" s="685">
        <f t="shared" si="351"/>
        <v>0</v>
      </c>
      <c r="RE120" s="528"/>
      <c r="RF120" s="686" t="s">
        <v>364</v>
      </c>
      <c r="RG120" s="687"/>
      <c r="RH120" s="682" t="s">
        <v>11</v>
      </c>
      <c r="RI120" s="683"/>
      <c r="RJ120" s="692"/>
      <c r="RK120" s="685">
        <f t="shared" si="332"/>
        <v>0</v>
      </c>
      <c r="RL120" s="685">
        <f t="shared" si="352"/>
        <v>0</v>
      </c>
      <c r="RM120" s="528"/>
      <c r="RN120" s="686" t="s">
        <v>364</v>
      </c>
      <c r="RO120" s="687"/>
      <c r="RP120" s="682" t="s">
        <v>11</v>
      </c>
      <c r="RQ120" s="683"/>
      <c r="RR120" s="692"/>
      <c r="RS120" s="685">
        <f t="shared" si="333"/>
        <v>0</v>
      </c>
      <c r="RT120" s="685">
        <f t="shared" si="353"/>
        <v>0</v>
      </c>
      <c r="RU120" s="528"/>
      <c r="RV120" s="686" t="s">
        <v>364</v>
      </c>
      <c r="RW120" s="687"/>
      <c r="RX120" s="682" t="s">
        <v>11</v>
      </c>
      <c r="RY120" s="683"/>
      <c r="RZ120" s="692"/>
      <c r="SA120" s="685">
        <f t="shared" si="334"/>
        <v>0</v>
      </c>
      <c r="SB120" s="685">
        <f t="shared" si="354"/>
        <v>0</v>
      </c>
      <c r="SC120" s="528"/>
      <c r="SD120" s="686" t="s">
        <v>364</v>
      </c>
      <c r="SE120" s="687"/>
      <c r="SF120" s="682" t="s">
        <v>11</v>
      </c>
      <c r="SG120" s="683"/>
      <c r="SH120" s="692"/>
      <c r="SI120" s="685">
        <f t="shared" si="335"/>
        <v>0</v>
      </c>
      <c r="SJ120" s="685">
        <f t="shared" si="355"/>
        <v>0</v>
      </c>
      <c r="SK120" s="528"/>
      <c r="SL120" s="686" t="s">
        <v>364</v>
      </c>
      <c r="SM120" s="687"/>
      <c r="SN120" s="682" t="s">
        <v>11</v>
      </c>
      <c r="SO120" s="683"/>
      <c r="SP120" s="692"/>
      <c r="SQ120" s="685">
        <f t="shared" si="336"/>
        <v>0</v>
      </c>
      <c r="SR120" s="685">
        <f t="shared" si="356"/>
        <v>0</v>
      </c>
      <c r="SS120" s="528"/>
      <c r="ST120" s="686" t="s">
        <v>364</v>
      </c>
      <c r="SU120" s="687"/>
      <c r="SV120" s="682" t="s">
        <v>11</v>
      </c>
      <c r="SW120" s="683"/>
      <c r="SX120" s="692"/>
      <c r="SY120" s="685">
        <f t="shared" si="337"/>
        <v>0</v>
      </c>
      <c r="SZ120" s="685">
        <f t="shared" si="357"/>
        <v>0</v>
      </c>
      <c r="TA120" s="528"/>
      <c r="TB120" s="686" t="s">
        <v>364</v>
      </c>
      <c r="TC120" s="687"/>
      <c r="TD120" s="682" t="s">
        <v>11</v>
      </c>
      <c r="TE120" s="683"/>
      <c r="TF120" s="692"/>
      <c r="TG120" s="685">
        <f t="shared" si="338"/>
        <v>0</v>
      </c>
      <c r="TH120" s="685">
        <f t="shared" si="358"/>
        <v>0</v>
      </c>
      <c r="TI120" s="528"/>
    </row>
    <row r="121" spans="2:529">
      <c r="MW121" s="528"/>
      <c r="MX121" s="686" t="s">
        <v>365</v>
      </c>
      <c r="MY121" s="687"/>
      <c r="MZ121" s="682" t="s">
        <v>11</v>
      </c>
      <c r="NA121" s="683"/>
      <c r="NB121" s="692"/>
      <c r="NC121" s="685">
        <f t="shared" si="318"/>
        <v>0</v>
      </c>
      <c r="ND121" s="685">
        <f t="shared" si="318"/>
        <v>0</v>
      </c>
      <c r="NE121" s="528"/>
      <c r="NF121" s="686" t="s">
        <v>365</v>
      </c>
      <c r="NG121" s="687"/>
      <c r="NH121" s="682" t="s">
        <v>11</v>
      </c>
      <c r="NI121" s="683"/>
      <c r="NJ121" s="692"/>
      <c r="NK121" s="685">
        <f t="shared" si="319"/>
        <v>0</v>
      </c>
      <c r="NL121" s="685">
        <f t="shared" si="339"/>
        <v>0</v>
      </c>
      <c r="NM121" s="528"/>
      <c r="NN121" s="686" t="s">
        <v>365</v>
      </c>
      <c r="NO121" s="687"/>
      <c r="NP121" s="682" t="s">
        <v>11</v>
      </c>
      <c r="NQ121" s="683"/>
      <c r="NR121" s="692"/>
      <c r="NS121" s="685">
        <f t="shared" si="320"/>
        <v>0</v>
      </c>
      <c r="NT121" s="685">
        <f t="shared" si="340"/>
        <v>0</v>
      </c>
      <c r="NU121" s="528"/>
      <c r="NV121" s="686" t="s">
        <v>365</v>
      </c>
      <c r="NW121" s="687"/>
      <c r="NX121" s="682" t="s">
        <v>11</v>
      </c>
      <c r="NY121" s="683"/>
      <c r="NZ121" s="692"/>
      <c r="OA121" s="685">
        <f t="shared" si="321"/>
        <v>0</v>
      </c>
      <c r="OB121" s="685">
        <f t="shared" si="341"/>
        <v>0</v>
      </c>
      <c r="OC121" s="528"/>
      <c r="OD121" s="686" t="s">
        <v>365</v>
      </c>
      <c r="OE121" s="687"/>
      <c r="OF121" s="682" t="s">
        <v>11</v>
      </c>
      <c r="OG121" s="683"/>
      <c r="OH121" s="692"/>
      <c r="OI121" s="685">
        <f t="shared" si="322"/>
        <v>0</v>
      </c>
      <c r="OJ121" s="685">
        <f t="shared" si="342"/>
        <v>0</v>
      </c>
      <c r="OK121" s="528"/>
      <c r="OL121" s="686" t="s">
        <v>365</v>
      </c>
      <c r="OM121" s="687"/>
      <c r="ON121" s="682" t="s">
        <v>11</v>
      </c>
      <c r="OO121" s="683"/>
      <c r="OP121" s="692"/>
      <c r="OQ121" s="685">
        <f t="shared" si="323"/>
        <v>0</v>
      </c>
      <c r="OR121" s="685">
        <f t="shared" si="343"/>
        <v>0</v>
      </c>
      <c r="OS121" s="528"/>
      <c r="OT121" s="686" t="s">
        <v>365</v>
      </c>
      <c r="OU121" s="687"/>
      <c r="OV121" s="682" t="s">
        <v>11</v>
      </c>
      <c r="OW121" s="683"/>
      <c r="OX121" s="692"/>
      <c r="OY121" s="685">
        <f t="shared" si="324"/>
        <v>0</v>
      </c>
      <c r="OZ121" s="685">
        <f t="shared" si="344"/>
        <v>0</v>
      </c>
      <c r="PA121" s="528"/>
      <c r="PB121" s="686" t="s">
        <v>365</v>
      </c>
      <c r="PC121" s="687"/>
      <c r="PD121" s="682" t="s">
        <v>11</v>
      </c>
      <c r="PE121" s="683"/>
      <c r="PF121" s="692"/>
      <c r="PG121" s="685">
        <f t="shared" si="325"/>
        <v>0</v>
      </c>
      <c r="PH121" s="685">
        <f t="shared" si="345"/>
        <v>0</v>
      </c>
      <c r="PI121" s="528"/>
      <c r="PJ121" s="686" t="s">
        <v>365</v>
      </c>
      <c r="PK121" s="687"/>
      <c r="PL121" s="682" t="s">
        <v>11</v>
      </c>
      <c r="PM121" s="683"/>
      <c r="PN121" s="692"/>
      <c r="PO121" s="685">
        <f t="shared" si="326"/>
        <v>0</v>
      </c>
      <c r="PP121" s="685">
        <f t="shared" si="346"/>
        <v>0</v>
      </c>
      <c r="PQ121" s="528"/>
      <c r="PR121" s="686" t="s">
        <v>365</v>
      </c>
      <c r="PS121" s="687"/>
      <c r="PT121" s="682" t="s">
        <v>11</v>
      </c>
      <c r="PU121" s="683"/>
      <c r="PV121" s="692"/>
      <c r="PW121" s="685">
        <f t="shared" si="327"/>
        <v>0</v>
      </c>
      <c r="PX121" s="685">
        <f t="shared" si="347"/>
        <v>0</v>
      </c>
      <c r="PY121" s="528"/>
      <c r="PZ121" s="686" t="s">
        <v>365</v>
      </c>
      <c r="QA121" s="687"/>
      <c r="QB121" s="682" t="s">
        <v>11</v>
      </c>
      <c r="QC121" s="683"/>
      <c r="QD121" s="692"/>
      <c r="QE121" s="685">
        <f t="shared" si="328"/>
        <v>0</v>
      </c>
      <c r="QF121" s="685">
        <f t="shared" si="348"/>
        <v>0</v>
      </c>
      <c r="QG121" s="528"/>
      <c r="QH121" s="686" t="s">
        <v>365</v>
      </c>
      <c r="QI121" s="687"/>
      <c r="QJ121" s="682" t="s">
        <v>11</v>
      </c>
      <c r="QK121" s="683"/>
      <c r="QL121" s="692"/>
      <c r="QM121" s="685">
        <f t="shared" si="329"/>
        <v>0</v>
      </c>
      <c r="QN121" s="685">
        <f t="shared" si="349"/>
        <v>0</v>
      </c>
      <c r="QO121" s="528"/>
      <c r="QP121" s="686" t="s">
        <v>365</v>
      </c>
      <c r="QQ121" s="687"/>
      <c r="QR121" s="682" t="s">
        <v>11</v>
      </c>
      <c r="QS121" s="683"/>
      <c r="QT121" s="692"/>
      <c r="QU121" s="685">
        <f t="shared" si="330"/>
        <v>0</v>
      </c>
      <c r="QV121" s="685">
        <f t="shared" si="350"/>
        <v>0</v>
      </c>
      <c r="QW121" s="528"/>
      <c r="QX121" s="686" t="s">
        <v>365</v>
      </c>
      <c r="QY121" s="687"/>
      <c r="QZ121" s="682" t="s">
        <v>11</v>
      </c>
      <c r="RA121" s="683"/>
      <c r="RB121" s="692"/>
      <c r="RC121" s="685">
        <f t="shared" si="331"/>
        <v>0</v>
      </c>
      <c r="RD121" s="685">
        <f t="shared" si="351"/>
        <v>0</v>
      </c>
      <c r="RE121" s="528"/>
      <c r="RF121" s="686" t="s">
        <v>365</v>
      </c>
      <c r="RG121" s="687"/>
      <c r="RH121" s="682" t="s">
        <v>11</v>
      </c>
      <c r="RI121" s="683"/>
      <c r="RJ121" s="692"/>
      <c r="RK121" s="685">
        <f t="shared" si="332"/>
        <v>0</v>
      </c>
      <c r="RL121" s="685">
        <f t="shared" si="352"/>
        <v>0</v>
      </c>
      <c r="RM121" s="528"/>
      <c r="RN121" s="686" t="s">
        <v>365</v>
      </c>
      <c r="RO121" s="687"/>
      <c r="RP121" s="682" t="s">
        <v>11</v>
      </c>
      <c r="RQ121" s="683"/>
      <c r="RR121" s="692"/>
      <c r="RS121" s="685">
        <f t="shared" si="333"/>
        <v>0</v>
      </c>
      <c r="RT121" s="685">
        <f t="shared" si="353"/>
        <v>0</v>
      </c>
      <c r="RU121" s="528"/>
      <c r="RV121" s="686" t="s">
        <v>365</v>
      </c>
      <c r="RW121" s="687"/>
      <c r="RX121" s="682" t="s">
        <v>11</v>
      </c>
      <c r="RY121" s="683"/>
      <c r="RZ121" s="692"/>
      <c r="SA121" s="685">
        <f t="shared" si="334"/>
        <v>0</v>
      </c>
      <c r="SB121" s="685">
        <f t="shared" si="354"/>
        <v>0</v>
      </c>
      <c r="SC121" s="528"/>
      <c r="SD121" s="686" t="s">
        <v>365</v>
      </c>
      <c r="SE121" s="687"/>
      <c r="SF121" s="682" t="s">
        <v>11</v>
      </c>
      <c r="SG121" s="683"/>
      <c r="SH121" s="692"/>
      <c r="SI121" s="685">
        <f t="shared" si="335"/>
        <v>0</v>
      </c>
      <c r="SJ121" s="685">
        <f t="shared" si="355"/>
        <v>0</v>
      </c>
      <c r="SK121" s="528"/>
      <c r="SL121" s="686" t="s">
        <v>365</v>
      </c>
      <c r="SM121" s="687"/>
      <c r="SN121" s="682" t="s">
        <v>11</v>
      </c>
      <c r="SO121" s="683"/>
      <c r="SP121" s="692"/>
      <c r="SQ121" s="685">
        <f t="shared" si="336"/>
        <v>0</v>
      </c>
      <c r="SR121" s="685">
        <f t="shared" si="356"/>
        <v>0</v>
      </c>
      <c r="SS121" s="528"/>
      <c r="ST121" s="686" t="s">
        <v>365</v>
      </c>
      <c r="SU121" s="687"/>
      <c r="SV121" s="682" t="s">
        <v>11</v>
      </c>
      <c r="SW121" s="683"/>
      <c r="SX121" s="692"/>
      <c r="SY121" s="685">
        <f t="shared" si="337"/>
        <v>0</v>
      </c>
      <c r="SZ121" s="685">
        <f t="shared" si="357"/>
        <v>0</v>
      </c>
      <c r="TA121" s="528"/>
      <c r="TB121" s="686" t="s">
        <v>365</v>
      </c>
      <c r="TC121" s="687"/>
      <c r="TD121" s="682" t="s">
        <v>11</v>
      </c>
      <c r="TE121" s="683"/>
      <c r="TF121" s="692"/>
      <c r="TG121" s="685">
        <f t="shared" si="338"/>
        <v>0</v>
      </c>
      <c r="TH121" s="685">
        <f t="shared" si="358"/>
        <v>0</v>
      </c>
      <c r="TI121" s="528"/>
    </row>
    <row r="122" spans="2:529">
      <c r="MW122" s="528"/>
      <c r="MX122" s="695" t="s">
        <v>366</v>
      </c>
      <c r="MY122" s="687"/>
      <c r="MZ122" s="694" t="s">
        <v>36</v>
      </c>
      <c r="NA122" s="683"/>
      <c r="NB122" s="692"/>
      <c r="NC122" s="685">
        <f t="shared" si="318"/>
        <v>0</v>
      </c>
      <c r="ND122" s="685">
        <f t="shared" si="318"/>
        <v>0</v>
      </c>
      <c r="NE122" s="528"/>
      <c r="NF122" s="695" t="s">
        <v>366</v>
      </c>
      <c r="NG122" s="687"/>
      <c r="NH122" s="694" t="s">
        <v>36</v>
      </c>
      <c r="NI122" s="683"/>
      <c r="NJ122" s="692"/>
      <c r="NK122" s="685">
        <f t="shared" si="319"/>
        <v>0</v>
      </c>
      <c r="NL122" s="685">
        <f t="shared" si="339"/>
        <v>0</v>
      </c>
      <c r="NM122" s="528"/>
      <c r="NN122" s="695" t="s">
        <v>366</v>
      </c>
      <c r="NO122" s="687"/>
      <c r="NP122" s="694" t="s">
        <v>36</v>
      </c>
      <c r="NQ122" s="683"/>
      <c r="NR122" s="692"/>
      <c r="NS122" s="685">
        <f t="shared" si="320"/>
        <v>0</v>
      </c>
      <c r="NT122" s="685">
        <f t="shared" si="340"/>
        <v>0</v>
      </c>
      <c r="NU122" s="528"/>
      <c r="NV122" s="695" t="s">
        <v>366</v>
      </c>
      <c r="NW122" s="687"/>
      <c r="NX122" s="694" t="s">
        <v>36</v>
      </c>
      <c r="NY122" s="683"/>
      <c r="NZ122" s="692"/>
      <c r="OA122" s="685">
        <f t="shared" si="321"/>
        <v>0</v>
      </c>
      <c r="OB122" s="685">
        <f t="shared" si="341"/>
        <v>0</v>
      </c>
      <c r="OC122" s="528"/>
      <c r="OD122" s="695" t="s">
        <v>366</v>
      </c>
      <c r="OE122" s="687"/>
      <c r="OF122" s="694" t="s">
        <v>36</v>
      </c>
      <c r="OG122" s="683"/>
      <c r="OH122" s="692"/>
      <c r="OI122" s="685">
        <f t="shared" si="322"/>
        <v>0</v>
      </c>
      <c r="OJ122" s="685">
        <f t="shared" si="342"/>
        <v>0</v>
      </c>
      <c r="OK122" s="528"/>
      <c r="OL122" s="695" t="s">
        <v>366</v>
      </c>
      <c r="OM122" s="687"/>
      <c r="ON122" s="694" t="s">
        <v>36</v>
      </c>
      <c r="OO122" s="683"/>
      <c r="OP122" s="692"/>
      <c r="OQ122" s="685">
        <f t="shared" si="323"/>
        <v>0</v>
      </c>
      <c r="OR122" s="685">
        <f t="shared" si="343"/>
        <v>0</v>
      </c>
      <c r="OS122" s="528"/>
      <c r="OT122" s="695" t="s">
        <v>366</v>
      </c>
      <c r="OU122" s="687"/>
      <c r="OV122" s="694" t="s">
        <v>36</v>
      </c>
      <c r="OW122" s="683"/>
      <c r="OX122" s="692"/>
      <c r="OY122" s="685">
        <f t="shared" si="324"/>
        <v>0</v>
      </c>
      <c r="OZ122" s="685">
        <f t="shared" si="344"/>
        <v>0</v>
      </c>
      <c r="PA122" s="528"/>
      <c r="PB122" s="695" t="s">
        <v>366</v>
      </c>
      <c r="PC122" s="687"/>
      <c r="PD122" s="694" t="s">
        <v>36</v>
      </c>
      <c r="PE122" s="683"/>
      <c r="PF122" s="692"/>
      <c r="PG122" s="685">
        <f t="shared" si="325"/>
        <v>0</v>
      </c>
      <c r="PH122" s="685">
        <f t="shared" si="345"/>
        <v>0</v>
      </c>
      <c r="PI122" s="528"/>
      <c r="PJ122" s="695" t="s">
        <v>366</v>
      </c>
      <c r="PK122" s="687"/>
      <c r="PL122" s="694" t="s">
        <v>36</v>
      </c>
      <c r="PM122" s="683"/>
      <c r="PN122" s="692"/>
      <c r="PO122" s="685">
        <f t="shared" si="326"/>
        <v>0</v>
      </c>
      <c r="PP122" s="685">
        <f t="shared" si="346"/>
        <v>0</v>
      </c>
      <c r="PQ122" s="528"/>
      <c r="PR122" s="695" t="s">
        <v>366</v>
      </c>
      <c r="PS122" s="687"/>
      <c r="PT122" s="694" t="s">
        <v>36</v>
      </c>
      <c r="PU122" s="683"/>
      <c r="PV122" s="692"/>
      <c r="PW122" s="685">
        <f t="shared" si="327"/>
        <v>0</v>
      </c>
      <c r="PX122" s="685">
        <f t="shared" si="347"/>
        <v>0</v>
      </c>
      <c r="PY122" s="528"/>
      <c r="PZ122" s="695" t="s">
        <v>366</v>
      </c>
      <c r="QA122" s="687"/>
      <c r="QB122" s="694" t="s">
        <v>36</v>
      </c>
      <c r="QC122" s="683"/>
      <c r="QD122" s="692"/>
      <c r="QE122" s="685">
        <f t="shared" si="328"/>
        <v>0</v>
      </c>
      <c r="QF122" s="685">
        <f t="shared" si="348"/>
        <v>0</v>
      </c>
      <c r="QG122" s="528"/>
      <c r="QH122" s="695" t="s">
        <v>366</v>
      </c>
      <c r="QI122" s="687"/>
      <c r="QJ122" s="694" t="s">
        <v>36</v>
      </c>
      <c r="QK122" s="683"/>
      <c r="QL122" s="692"/>
      <c r="QM122" s="685">
        <f t="shared" si="329"/>
        <v>0</v>
      </c>
      <c r="QN122" s="685">
        <f t="shared" si="349"/>
        <v>0</v>
      </c>
      <c r="QO122" s="528"/>
      <c r="QP122" s="695" t="s">
        <v>366</v>
      </c>
      <c r="QQ122" s="687"/>
      <c r="QR122" s="694" t="s">
        <v>36</v>
      </c>
      <c r="QS122" s="683"/>
      <c r="QT122" s="692"/>
      <c r="QU122" s="685">
        <f t="shared" si="330"/>
        <v>0</v>
      </c>
      <c r="QV122" s="685">
        <f t="shared" si="350"/>
        <v>0</v>
      </c>
      <c r="QW122" s="528"/>
      <c r="QX122" s="695" t="s">
        <v>366</v>
      </c>
      <c r="QY122" s="687"/>
      <c r="QZ122" s="694" t="s">
        <v>36</v>
      </c>
      <c r="RA122" s="683"/>
      <c r="RB122" s="692"/>
      <c r="RC122" s="685">
        <f t="shared" si="331"/>
        <v>0</v>
      </c>
      <c r="RD122" s="685">
        <f t="shared" si="351"/>
        <v>0</v>
      </c>
      <c r="RE122" s="528"/>
      <c r="RF122" s="695" t="s">
        <v>366</v>
      </c>
      <c r="RG122" s="687"/>
      <c r="RH122" s="694" t="s">
        <v>36</v>
      </c>
      <c r="RI122" s="683"/>
      <c r="RJ122" s="692"/>
      <c r="RK122" s="685">
        <f t="shared" si="332"/>
        <v>0</v>
      </c>
      <c r="RL122" s="685">
        <f t="shared" si="352"/>
        <v>0</v>
      </c>
      <c r="RM122" s="528"/>
      <c r="RN122" s="695" t="s">
        <v>366</v>
      </c>
      <c r="RO122" s="687"/>
      <c r="RP122" s="694" t="s">
        <v>36</v>
      </c>
      <c r="RQ122" s="683"/>
      <c r="RR122" s="692"/>
      <c r="RS122" s="685">
        <f t="shared" si="333"/>
        <v>0</v>
      </c>
      <c r="RT122" s="685">
        <f t="shared" si="353"/>
        <v>0</v>
      </c>
      <c r="RU122" s="528"/>
      <c r="RV122" s="695" t="s">
        <v>366</v>
      </c>
      <c r="RW122" s="687"/>
      <c r="RX122" s="694" t="s">
        <v>36</v>
      </c>
      <c r="RY122" s="683"/>
      <c r="RZ122" s="692"/>
      <c r="SA122" s="685">
        <f t="shared" si="334"/>
        <v>0</v>
      </c>
      <c r="SB122" s="685">
        <f t="shared" si="354"/>
        <v>0</v>
      </c>
      <c r="SC122" s="528"/>
      <c r="SD122" s="695" t="s">
        <v>366</v>
      </c>
      <c r="SE122" s="687"/>
      <c r="SF122" s="694" t="s">
        <v>36</v>
      </c>
      <c r="SG122" s="683"/>
      <c r="SH122" s="692"/>
      <c r="SI122" s="685">
        <f t="shared" si="335"/>
        <v>0</v>
      </c>
      <c r="SJ122" s="685">
        <f t="shared" si="355"/>
        <v>0</v>
      </c>
      <c r="SK122" s="528"/>
      <c r="SL122" s="695" t="s">
        <v>366</v>
      </c>
      <c r="SM122" s="687"/>
      <c r="SN122" s="694" t="s">
        <v>36</v>
      </c>
      <c r="SO122" s="683"/>
      <c r="SP122" s="692"/>
      <c r="SQ122" s="685">
        <f t="shared" si="336"/>
        <v>0</v>
      </c>
      <c r="SR122" s="685">
        <f t="shared" si="356"/>
        <v>0</v>
      </c>
      <c r="SS122" s="528"/>
      <c r="ST122" s="695" t="s">
        <v>366</v>
      </c>
      <c r="SU122" s="687"/>
      <c r="SV122" s="694" t="s">
        <v>36</v>
      </c>
      <c r="SW122" s="683"/>
      <c r="SX122" s="692"/>
      <c r="SY122" s="685">
        <f t="shared" si="337"/>
        <v>0</v>
      </c>
      <c r="SZ122" s="685">
        <f t="shared" si="357"/>
        <v>0</v>
      </c>
      <c r="TA122" s="528"/>
      <c r="TB122" s="695" t="s">
        <v>366</v>
      </c>
      <c r="TC122" s="687"/>
      <c r="TD122" s="694" t="s">
        <v>36</v>
      </c>
      <c r="TE122" s="683"/>
      <c r="TF122" s="692"/>
      <c r="TG122" s="685">
        <f t="shared" si="338"/>
        <v>0</v>
      </c>
      <c r="TH122" s="685">
        <f t="shared" si="358"/>
        <v>0</v>
      </c>
      <c r="TI122" s="528"/>
    </row>
    <row r="123" spans="2:529">
      <c r="MW123" s="528"/>
      <c r="MX123" s="686" t="s">
        <v>367</v>
      </c>
      <c r="MY123" s="681"/>
      <c r="MZ123" s="694" t="s">
        <v>14</v>
      </c>
      <c r="NA123" s="696"/>
      <c r="NB123" s="697"/>
      <c r="NC123" s="698">
        <f t="shared" si="318"/>
        <v>0</v>
      </c>
      <c r="ND123" s="698">
        <f t="shared" si="318"/>
        <v>0</v>
      </c>
      <c r="NE123" s="528"/>
      <c r="NF123" s="686" t="s">
        <v>367</v>
      </c>
      <c r="NG123" s="681"/>
      <c r="NH123" s="694" t="s">
        <v>14</v>
      </c>
      <c r="NI123" s="696"/>
      <c r="NJ123" s="697"/>
      <c r="NK123" s="698">
        <f t="shared" si="319"/>
        <v>0</v>
      </c>
      <c r="NL123" s="698">
        <f t="shared" si="339"/>
        <v>0</v>
      </c>
      <c r="NM123" s="528"/>
      <c r="NN123" s="686" t="s">
        <v>367</v>
      </c>
      <c r="NO123" s="681"/>
      <c r="NP123" s="694" t="s">
        <v>14</v>
      </c>
      <c r="NQ123" s="696"/>
      <c r="NR123" s="697"/>
      <c r="NS123" s="698">
        <f t="shared" si="320"/>
        <v>0</v>
      </c>
      <c r="NT123" s="698">
        <f t="shared" si="340"/>
        <v>0</v>
      </c>
      <c r="NU123" s="528"/>
      <c r="NV123" s="686" t="s">
        <v>367</v>
      </c>
      <c r="NW123" s="681"/>
      <c r="NX123" s="694" t="s">
        <v>14</v>
      </c>
      <c r="NY123" s="696"/>
      <c r="NZ123" s="697"/>
      <c r="OA123" s="698">
        <f t="shared" si="321"/>
        <v>0</v>
      </c>
      <c r="OB123" s="698">
        <f t="shared" si="341"/>
        <v>0</v>
      </c>
      <c r="OC123" s="528"/>
      <c r="OD123" s="686" t="s">
        <v>367</v>
      </c>
      <c r="OE123" s="681"/>
      <c r="OF123" s="694" t="s">
        <v>14</v>
      </c>
      <c r="OG123" s="696"/>
      <c r="OH123" s="697"/>
      <c r="OI123" s="698">
        <f t="shared" si="322"/>
        <v>0</v>
      </c>
      <c r="OJ123" s="698">
        <f t="shared" si="342"/>
        <v>0</v>
      </c>
      <c r="OK123" s="528"/>
      <c r="OL123" s="686" t="s">
        <v>367</v>
      </c>
      <c r="OM123" s="681"/>
      <c r="ON123" s="694" t="s">
        <v>14</v>
      </c>
      <c r="OO123" s="696"/>
      <c r="OP123" s="697"/>
      <c r="OQ123" s="698">
        <f t="shared" si="323"/>
        <v>0</v>
      </c>
      <c r="OR123" s="698">
        <f t="shared" si="343"/>
        <v>0</v>
      </c>
      <c r="OS123" s="528"/>
      <c r="OT123" s="686" t="s">
        <v>367</v>
      </c>
      <c r="OU123" s="681"/>
      <c r="OV123" s="694" t="s">
        <v>14</v>
      </c>
      <c r="OW123" s="696"/>
      <c r="OX123" s="697"/>
      <c r="OY123" s="698">
        <f t="shared" si="324"/>
        <v>0</v>
      </c>
      <c r="OZ123" s="698">
        <f t="shared" si="344"/>
        <v>0</v>
      </c>
      <c r="PA123" s="528"/>
      <c r="PB123" s="686" t="s">
        <v>367</v>
      </c>
      <c r="PC123" s="681"/>
      <c r="PD123" s="694" t="s">
        <v>14</v>
      </c>
      <c r="PE123" s="696"/>
      <c r="PF123" s="697"/>
      <c r="PG123" s="698">
        <f t="shared" si="325"/>
        <v>0</v>
      </c>
      <c r="PH123" s="698">
        <f t="shared" si="345"/>
        <v>0</v>
      </c>
      <c r="PI123" s="528"/>
      <c r="PJ123" s="686" t="s">
        <v>367</v>
      </c>
      <c r="PK123" s="681"/>
      <c r="PL123" s="694" t="s">
        <v>14</v>
      </c>
      <c r="PM123" s="696"/>
      <c r="PN123" s="697"/>
      <c r="PO123" s="698">
        <f t="shared" si="326"/>
        <v>0</v>
      </c>
      <c r="PP123" s="698">
        <f t="shared" si="346"/>
        <v>0</v>
      </c>
      <c r="PQ123" s="528"/>
      <c r="PR123" s="686" t="s">
        <v>367</v>
      </c>
      <c r="PS123" s="681"/>
      <c r="PT123" s="694" t="s">
        <v>14</v>
      </c>
      <c r="PU123" s="696"/>
      <c r="PV123" s="697"/>
      <c r="PW123" s="698">
        <f t="shared" si="327"/>
        <v>0</v>
      </c>
      <c r="PX123" s="698">
        <f t="shared" si="347"/>
        <v>0</v>
      </c>
      <c r="PY123" s="528"/>
      <c r="PZ123" s="686" t="s">
        <v>367</v>
      </c>
      <c r="QA123" s="681"/>
      <c r="QB123" s="694" t="s">
        <v>14</v>
      </c>
      <c r="QC123" s="696"/>
      <c r="QD123" s="697"/>
      <c r="QE123" s="698">
        <f t="shared" si="328"/>
        <v>0</v>
      </c>
      <c r="QF123" s="698">
        <f t="shared" si="348"/>
        <v>0</v>
      </c>
      <c r="QG123" s="528"/>
      <c r="QH123" s="686" t="s">
        <v>367</v>
      </c>
      <c r="QI123" s="681"/>
      <c r="QJ123" s="694" t="s">
        <v>14</v>
      </c>
      <c r="QK123" s="696"/>
      <c r="QL123" s="697"/>
      <c r="QM123" s="698">
        <f t="shared" si="329"/>
        <v>0</v>
      </c>
      <c r="QN123" s="698">
        <f t="shared" si="349"/>
        <v>0</v>
      </c>
      <c r="QO123" s="528"/>
      <c r="QP123" s="686" t="s">
        <v>367</v>
      </c>
      <c r="QQ123" s="681"/>
      <c r="QR123" s="694" t="s">
        <v>14</v>
      </c>
      <c r="QS123" s="696"/>
      <c r="QT123" s="697"/>
      <c r="QU123" s="698">
        <f t="shared" si="330"/>
        <v>0</v>
      </c>
      <c r="QV123" s="698">
        <f t="shared" si="350"/>
        <v>0</v>
      </c>
      <c r="QW123" s="528"/>
      <c r="QX123" s="686" t="s">
        <v>367</v>
      </c>
      <c r="QY123" s="681"/>
      <c r="QZ123" s="694" t="s">
        <v>14</v>
      </c>
      <c r="RA123" s="696"/>
      <c r="RB123" s="697"/>
      <c r="RC123" s="698">
        <f t="shared" si="331"/>
        <v>0</v>
      </c>
      <c r="RD123" s="698">
        <f t="shared" si="351"/>
        <v>0</v>
      </c>
      <c r="RE123" s="528"/>
      <c r="RF123" s="686" t="s">
        <v>367</v>
      </c>
      <c r="RG123" s="681"/>
      <c r="RH123" s="694" t="s">
        <v>14</v>
      </c>
      <c r="RI123" s="696"/>
      <c r="RJ123" s="697"/>
      <c r="RK123" s="698">
        <f t="shared" si="332"/>
        <v>0</v>
      </c>
      <c r="RL123" s="698">
        <f t="shared" si="352"/>
        <v>0</v>
      </c>
      <c r="RM123" s="528"/>
      <c r="RN123" s="686" t="s">
        <v>367</v>
      </c>
      <c r="RO123" s="681"/>
      <c r="RP123" s="694" t="s">
        <v>14</v>
      </c>
      <c r="RQ123" s="696"/>
      <c r="RR123" s="697"/>
      <c r="RS123" s="698">
        <f t="shared" si="333"/>
        <v>0</v>
      </c>
      <c r="RT123" s="698">
        <f t="shared" si="353"/>
        <v>0</v>
      </c>
      <c r="RU123" s="528"/>
      <c r="RV123" s="686" t="s">
        <v>367</v>
      </c>
      <c r="RW123" s="681"/>
      <c r="RX123" s="694" t="s">
        <v>14</v>
      </c>
      <c r="RY123" s="696"/>
      <c r="RZ123" s="697"/>
      <c r="SA123" s="698">
        <f t="shared" si="334"/>
        <v>0</v>
      </c>
      <c r="SB123" s="698">
        <f t="shared" si="354"/>
        <v>0</v>
      </c>
      <c r="SC123" s="528"/>
      <c r="SD123" s="686" t="s">
        <v>367</v>
      </c>
      <c r="SE123" s="681"/>
      <c r="SF123" s="694" t="s">
        <v>14</v>
      </c>
      <c r="SG123" s="696"/>
      <c r="SH123" s="697"/>
      <c r="SI123" s="698">
        <f t="shared" si="335"/>
        <v>0</v>
      </c>
      <c r="SJ123" s="698">
        <f t="shared" si="355"/>
        <v>0</v>
      </c>
      <c r="SK123" s="528"/>
      <c r="SL123" s="686" t="s">
        <v>367</v>
      </c>
      <c r="SM123" s="681"/>
      <c r="SN123" s="694" t="s">
        <v>14</v>
      </c>
      <c r="SO123" s="696"/>
      <c r="SP123" s="697"/>
      <c r="SQ123" s="698">
        <f t="shared" si="336"/>
        <v>0</v>
      </c>
      <c r="SR123" s="698">
        <f t="shared" si="356"/>
        <v>0</v>
      </c>
      <c r="SS123" s="528"/>
      <c r="ST123" s="686" t="s">
        <v>367</v>
      </c>
      <c r="SU123" s="681"/>
      <c r="SV123" s="694" t="s">
        <v>14</v>
      </c>
      <c r="SW123" s="696"/>
      <c r="SX123" s="697"/>
      <c r="SY123" s="698">
        <f t="shared" si="337"/>
        <v>0</v>
      </c>
      <c r="SZ123" s="698">
        <f t="shared" si="357"/>
        <v>0</v>
      </c>
      <c r="TA123" s="528"/>
      <c r="TB123" s="686" t="s">
        <v>367</v>
      </c>
      <c r="TC123" s="681"/>
      <c r="TD123" s="694" t="s">
        <v>14</v>
      </c>
      <c r="TE123" s="696"/>
      <c r="TF123" s="697"/>
      <c r="TG123" s="698">
        <f t="shared" si="338"/>
        <v>0</v>
      </c>
      <c r="TH123" s="698">
        <f t="shared" si="358"/>
        <v>0</v>
      </c>
      <c r="TI123" s="528"/>
    </row>
    <row r="124" spans="2:529">
      <c r="MW124" s="528"/>
      <c r="MX124" s="143" t="s">
        <v>89</v>
      </c>
      <c r="MY124" s="144">
        <v>32</v>
      </c>
      <c r="MZ124" s="157" t="s">
        <v>14</v>
      </c>
      <c r="NA124" s="175">
        <v>1875</v>
      </c>
      <c r="NB124" s="164">
        <v>0.5929113924050633</v>
      </c>
      <c r="NC124" s="674">
        <f t="shared" si="318"/>
        <v>1111.7088607594937</v>
      </c>
      <c r="ND124" s="149"/>
      <c r="NE124" s="528"/>
      <c r="NF124" s="143" t="s">
        <v>89</v>
      </c>
      <c r="NG124" s="144">
        <v>44</v>
      </c>
      <c r="NH124" s="157" t="s">
        <v>14</v>
      </c>
      <c r="NI124" s="175">
        <v>1887</v>
      </c>
      <c r="NJ124" s="164">
        <v>0.5929113924050633</v>
      </c>
      <c r="NK124" s="674">
        <f t="shared" si="319"/>
        <v>1118.8237974683545</v>
      </c>
      <c r="NL124" s="149"/>
      <c r="NM124" s="528"/>
      <c r="NN124" s="143" t="s">
        <v>89</v>
      </c>
      <c r="NO124" s="144">
        <v>13</v>
      </c>
      <c r="NP124" s="157" t="s">
        <v>14</v>
      </c>
      <c r="NQ124" s="175">
        <v>243</v>
      </c>
      <c r="NR124" s="164">
        <v>0.5929113924050633</v>
      </c>
      <c r="NS124" s="674">
        <f t="shared" si="320"/>
        <v>144.07746835443038</v>
      </c>
      <c r="NT124" s="149"/>
      <c r="NU124" s="528"/>
      <c r="NV124" s="143" t="s">
        <v>89</v>
      </c>
      <c r="NW124" s="144">
        <v>9</v>
      </c>
      <c r="NX124" s="157" t="s">
        <v>14</v>
      </c>
      <c r="NY124" s="175">
        <v>322</v>
      </c>
      <c r="NZ124" s="164">
        <v>0.5929113924050633</v>
      </c>
      <c r="OA124" s="674">
        <f t="shared" si="321"/>
        <v>190.91746835443038</v>
      </c>
      <c r="OB124" s="149"/>
      <c r="OC124" s="528"/>
      <c r="OD124" s="143" t="s">
        <v>89</v>
      </c>
      <c r="OE124" s="144">
        <v>6</v>
      </c>
      <c r="OF124" s="157" t="s">
        <v>14</v>
      </c>
      <c r="OG124" s="175">
        <v>70</v>
      </c>
      <c r="OH124" s="164">
        <v>0.5929113924050633</v>
      </c>
      <c r="OI124" s="674">
        <f t="shared" si="322"/>
        <v>41.503797468354428</v>
      </c>
      <c r="OJ124" s="149"/>
      <c r="OK124" s="528"/>
      <c r="OL124" s="143" t="s">
        <v>89</v>
      </c>
      <c r="OM124" s="144">
        <v>28</v>
      </c>
      <c r="ON124" s="157" t="s">
        <v>14</v>
      </c>
      <c r="OO124" s="175">
        <v>1952</v>
      </c>
      <c r="OP124" s="164">
        <v>0.5929113924050633</v>
      </c>
      <c r="OQ124" s="674">
        <f t="shared" si="323"/>
        <v>1157.3630379746835</v>
      </c>
      <c r="OR124" s="149"/>
      <c r="OS124" s="528"/>
      <c r="OT124" s="143" t="s">
        <v>89</v>
      </c>
      <c r="OU124" s="144"/>
      <c r="OV124" s="157" t="s">
        <v>14</v>
      </c>
      <c r="OW124" s="175"/>
      <c r="OX124" s="164">
        <v>0.5929113924050633</v>
      </c>
      <c r="OY124" s="674">
        <f t="shared" si="324"/>
        <v>0</v>
      </c>
      <c r="OZ124" s="149"/>
      <c r="PA124" s="528"/>
      <c r="PB124" s="143" t="s">
        <v>89</v>
      </c>
      <c r="PC124" s="144">
        <v>3</v>
      </c>
      <c r="PD124" s="157" t="s">
        <v>14</v>
      </c>
      <c r="PE124" s="175">
        <v>97</v>
      </c>
      <c r="PF124" s="164">
        <v>0.5929113924050633</v>
      </c>
      <c r="PG124" s="674">
        <f t="shared" si="325"/>
        <v>57.512405063291141</v>
      </c>
      <c r="PH124" s="149"/>
      <c r="PI124" s="528"/>
      <c r="PJ124" s="143" t="s">
        <v>89</v>
      </c>
      <c r="PK124" s="144">
        <v>10</v>
      </c>
      <c r="PL124" s="157" t="s">
        <v>14</v>
      </c>
      <c r="PM124" s="175">
        <v>771</v>
      </c>
      <c r="PN124" s="164">
        <v>0.5929113924050633</v>
      </c>
      <c r="PO124" s="674">
        <f t="shared" si="326"/>
        <v>457.13468354430381</v>
      </c>
      <c r="PP124" s="149"/>
      <c r="PQ124" s="528"/>
      <c r="PR124" s="143" t="s">
        <v>89</v>
      </c>
      <c r="PS124" s="144">
        <v>16</v>
      </c>
      <c r="PT124" s="157" t="s">
        <v>14</v>
      </c>
      <c r="PU124" s="175">
        <v>1011</v>
      </c>
      <c r="PV124" s="164">
        <v>0.5929113924050633</v>
      </c>
      <c r="PW124" s="674">
        <f t="shared" si="327"/>
        <v>599.43341772151905</v>
      </c>
      <c r="PX124" s="149"/>
      <c r="PY124" s="528"/>
      <c r="PZ124" s="143" t="s">
        <v>89</v>
      </c>
      <c r="QA124" s="144">
        <v>26</v>
      </c>
      <c r="QB124" s="157" t="s">
        <v>14</v>
      </c>
      <c r="QC124" s="175">
        <v>903</v>
      </c>
      <c r="QD124" s="164">
        <v>0.5929113924050633</v>
      </c>
      <c r="QE124" s="674">
        <f t="shared" si="328"/>
        <v>535.39898734177211</v>
      </c>
      <c r="QF124" s="149"/>
      <c r="QG124" s="528"/>
      <c r="QH124" s="143" t="s">
        <v>89</v>
      </c>
      <c r="QI124" s="144">
        <v>14</v>
      </c>
      <c r="QJ124" s="157" t="s">
        <v>14</v>
      </c>
      <c r="QK124" s="175">
        <v>496</v>
      </c>
      <c r="QL124" s="164">
        <v>0.5929113924050633</v>
      </c>
      <c r="QM124" s="674">
        <f t="shared" si="329"/>
        <v>294.08405063291139</v>
      </c>
      <c r="QN124" s="149"/>
      <c r="QO124" s="528"/>
      <c r="QP124" s="143" t="s">
        <v>89</v>
      </c>
      <c r="QQ124" s="144">
        <v>16</v>
      </c>
      <c r="QR124" s="157" t="s">
        <v>14</v>
      </c>
      <c r="QS124" s="175">
        <v>1322</v>
      </c>
      <c r="QT124" s="164">
        <v>0.5929113924050633</v>
      </c>
      <c r="QU124" s="674">
        <f t="shared" si="330"/>
        <v>783.82886075949364</v>
      </c>
      <c r="QV124" s="149"/>
      <c r="QW124" s="528"/>
      <c r="QX124" s="143" t="s">
        <v>89</v>
      </c>
      <c r="QY124" s="144"/>
      <c r="QZ124" s="157" t="s">
        <v>14</v>
      </c>
      <c r="RA124" s="175"/>
      <c r="RB124" s="164">
        <v>0.5929113924050633</v>
      </c>
      <c r="RC124" s="674">
        <f t="shared" si="331"/>
        <v>0</v>
      </c>
      <c r="RD124" s="149"/>
      <c r="RE124" s="528"/>
      <c r="RF124" s="143" t="s">
        <v>89</v>
      </c>
      <c r="RG124" s="144"/>
      <c r="RH124" s="157" t="s">
        <v>14</v>
      </c>
      <c r="RI124" s="175"/>
      <c r="RJ124" s="164">
        <v>0.5929113924050633</v>
      </c>
      <c r="RK124" s="674">
        <f t="shared" si="332"/>
        <v>0</v>
      </c>
      <c r="RL124" s="149"/>
      <c r="RM124" s="528"/>
      <c r="RN124" s="143" t="s">
        <v>89</v>
      </c>
      <c r="RO124" s="144">
        <v>4</v>
      </c>
      <c r="RP124" s="157" t="s">
        <v>14</v>
      </c>
      <c r="RQ124" s="175">
        <v>48</v>
      </c>
      <c r="RR124" s="164">
        <v>0.5929113924050633</v>
      </c>
      <c r="RS124" s="674">
        <f t="shared" si="333"/>
        <v>28.459746835443038</v>
      </c>
      <c r="RT124" s="149"/>
      <c r="RU124" s="528"/>
      <c r="RV124" s="143" t="s">
        <v>89</v>
      </c>
      <c r="RW124" s="144">
        <v>18</v>
      </c>
      <c r="RX124" s="157" t="s">
        <v>14</v>
      </c>
      <c r="RY124" s="175">
        <v>660</v>
      </c>
      <c r="RZ124" s="164">
        <v>0.5929113924050633</v>
      </c>
      <c r="SA124" s="674">
        <f t="shared" si="334"/>
        <v>391.32151898734179</v>
      </c>
      <c r="SB124" s="149"/>
      <c r="SC124" s="528"/>
      <c r="SD124" s="143" t="s">
        <v>89</v>
      </c>
      <c r="SE124" s="144">
        <v>5</v>
      </c>
      <c r="SF124" s="157" t="s">
        <v>14</v>
      </c>
      <c r="SG124" s="175">
        <v>99</v>
      </c>
      <c r="SH124" s="164">
        <v>0.5929113924050633</v>
      </c>
      <c r="SI124" s="674">
        <f t="shared" si="335"/>
        <v>58.698227848101268</v>
      </c>
      <c r="SJ124" s="149"/>
      <c r="SK124" s="528"/>
      <c r="SL124" s="143" t="s">
        <v>89</v>
      </c>
      <c r="SM124" s="144">
        <v>25</v>
      </c>
      <c r="SN124" s="157" t="s">
        <v>14</v>
      </c>
      <c r="SO124" s="175">
        <v>758</v>
      </c>
      <c r="SP124" s="164">
        <v>0.5929113924050633</v>
      </c>
      <c r="SQ124" s="674">
        <f t="shared" si="336"/>
        <v>449.42683544303799</v>
      </c>
      <c r="SR124" s="149"/>
      <c r="SS124" s="528"/>
      <c r="ST124" s="143" t="s">
        <v>89</v>
      </c>
      <c r="SU124" s="144">
        <v>29</v>
      </c>
      <c r="SV124" s="157" t="s">
        <v>14</v>
      </c>
      <c r="SW124" s="175">
        <v>1049</v>
      </c>
      <c r="SX124" s="164">
        <v>0.5929113924050633</v>
      </c>
      <c r="SY124" s="674">
        <f t="shared" si="337"/>
        <v>621.96405063291138</v>
      </c>
      <c r="SZ124" s="149"/>
      <c r="TA124" s="528"/>
      <c r="TB124" s="143" t="s">
        <v>89</v>
      </c>
      <c r="TC124" s="144">
        <v>37</v>
      </c>
      <c r="TD124" s="157" t="s">
        <v>14</v>
      </c>
      <c r="TE124" s="175">
        <v>2025</v>
      </c>
      <c r="TF124" s="164">
        <v>0.5929113924050633</v>
      </c>
      <c r="TG124" s="674">
        <f t="shared" si="338"/>
        <v>1200.6455696202531</v>
      </c>
      <c r="TH124" s="149"/>
      <c r="TI124" s="528"/>
    </row>
    <row r="125" spans="2:529">
      <c r="MW125" s="528"/>
      <c r="MX125" s="145"/>
      <c r="MY125" s="174"/>
      <c r="MZ125" s="662" t="s">
        <v>11</v>
      </c>
      <c r="NA125" s="175"/>
      <c r="NB125" s="164"/>
      <c r="NC125" s="674">
        <f t="shared" si="318"/>
        <v>0</v>
      </c>
      <c r="ND125" s="150"/>
      <c r="NE125" s="528"/>
      <c r="NF125" s="145"/>
      <c r="NG125" s="174"/>
      <c r="NH125" s="662" t="s">
        <v>11</v>
      </c>
      <c r="NI125" s="175">
        <v>18</v>
      </c>
      <c r="NJ125" s="164"/>
      <c r="NK125" s="674">
        <f t="shared" si="319"/>
        <v>0</v>
      </c>
      <c r="NL125" s="150"/>
      <c r="NM125" s="528"/>
      <c r="NN125" s="145"/>
      <c r="NO125" s="174"/>
      <c r="NP125" s="662" t="s">
        <v>11</v>
      </c>
      <c r="NQ125" s="175"/>
      <c r="NR125" s="164"/>
      <c r="NS125" s="674">
        <f t="shared" si="320"/>
        <v>0</v>
      </c>
      <c r="NT125" s="150"/>
      <c r="NU125" s="528"/>
      <c r="NV125" s="145"/>
      <c r="NW125" s="174"/>
      <c r="NX125" s="662" t="s">
        <v>11</v>
      </c>
      <c r="NY125" s="175"/>
      <c r="NZ125" s="164"/>
      <c r="OA125" s="674">
        <f t="shared" si="321"/>
        <v>0</v>
      </c>
      <c r="OB125" s="150"/>
      <c r="OC125" s="528"/>
      <c r="OD125" s="145"/>
      <c r="OE125" s="174"/>
      <c r="OF125" s="662" t="s">
        <v>11</v>
      </c>
      <c r="OG125" s="175"/>
      <c r="OH125" s="164"/>
      <c r="OI125" s="674">
        <f t="shared" si="322"/>
        <v>0</v>
      </c>
      <c r="OJ125" s="150"/>
      <c r="OK125" s="528"/>
      <c r="OL125" s="145"/>
      <c r="OM125" s="174"/>
      <c r="ON125" s="662" t="s">
        <v>11</v>
      </c>
      <c r="OO125" s="175"/>
      <c r="OP125" s="164"/>
      <c r="OQ125" s="674">
        <f t="shared" si="323"/>
        <v>0</v>
      </c>
      <c r="OR125" s="150"/>
      <c r="OS125" s="528"/>
      <c r="OT125" s="145"/>
      <c r="OU125" s="174"/>
      <c r="OV125" s="662" t="s">
        <v>11</v>
      </c>
      <c r="OW125" s="175"/>
      <c r="OX125" s="164"/>
      <c r="OY125" s="674">
        <f t="shared" si="324"/>
        <v>0</v>
      </c>
      <c r="OZ125" s="150"/>
      <c r="PA125" s="528"/>
      <c r="PB125" s="145"/>
      <c r="PC125" s="174"/>
      <c r="PD125" s="662" t="s">
        <v>11</v>
      </c>
      <c r="PE125" s="175"/>
      <c r="PF125" s="164"/>
      <c r="PG125" s="674">
        <f t="shared" si="325"/>
        <v>0</v>
      </c>
      <c r="PH125" s="150"/>
      <c r="PI125" s="528"/>
      <c r="PJ125" s="145"/>
      <c r="PK125" s="174"/>
      <c r="PL125" s="662" t="s">
        <v>11</v>
      </c>
      <c r="PM125" s="175"/>
      <c r="PN125" s="164"/>
      <c r="PO125" s="674">
        <f t="shared" si="326"/>
        <v>0</v>
      </c>
      <c r="PP125" s="150"/>
      <c r="PQ125" s="528"/>
      <c r="PR125" s="145"/>
      <c r="PS125" s="174"/>
      <c r="PT125" s="662" t="s">
        <v>11</v>
      </c>
      <c r="PU125" s="175">
        <v>8</v>
      </c>
      <c r="PV125" s="164"/>
      <c r="PW125" s="674">
        <f t="shared" si="327"/>
        <v>0</v>
      </c>
      <c r="PX125" s="150"/>
      <c r="PY125" s="528"/>
      <c r="PZ125" s="145"/>
      <c r="QA125" s="174"/>
      <c r="QB125" s="662" t="s">
        <v>11</v>
      </c>
      <c r="QC125" s="175"/>
      <c r="QD125" s="164"/>
      <c r="QE125" s="674">
        <f t="shared" si="328"/>
        <v>0</v>
      </c>
      <c r="QF125" s="150"/>
      <c r="QG125" s="528"/>
      <c r="QH125" s="145"/>
      <c r="QI125" s="174"/>
      <c r="QJ125" s="662" t="s">
        <v>11</v>
      </c>
      <c r="QK125" s="175"/>
      <c r="QL125" s="164"/>
      <c r="QM125" s="674">
        <f t="shared" si="329"/>
        <v>0</v>
      </c>
      <c r="QN125" s="150"/>
      <c r="QO125" s="528"/>
      <c r="QP125" s="145"/>
      <c r="QQ125" s="174"/>
      <c r="QR125" s="662" t="s">
        <v>11</v>
      </c>
      <c r="QS125" s="175">
        <v>4</v>
      </c>
      <c r="QT125" s="164"/>
      <c r="QU125" s="674">
        <f t="shared" si="330"/>
        <v>0</v>
      </c>
      <c r="QV125" s="150"/>
      <c r="QW125" s="528"/>
      <c r="QX125" s="145"/>
      <c r="QY125" s="174"/>
      <c r="QZ125" s="662" t="s">
        <v>11</v>
      </c>
      <c r="RA125" s="175"/>
      <c r="RB125" s="164"/>
      <c r="RC125" s="674">
        <f t="shared" si="331"/>
        <v>0</v>
      </c>
      <c r="RD125" s="150"/>
      <c r="RE125" s="528"/>
      <c r="RF125" s="145"/>
      <c r="RG125" s="174"/>
      <c r="RH125" s="662" t="s">
        <v>11</v>
      </c>
      <c r="RI125" s="175"/>
      <c r="RJ125" s="164"/>
      <c r="RK125" s="674">
        <f t="shared" si="332"/>
        <v>0</v>
      </c>
      <c r="RL125" s="150"/>
      <c r="RM125" s="528"/>
      <c r="RN125" s="145"/>
      <c r="RO125" s="174"/>
      <c r="RP125" s="662" t="s">
        <v>11</v>
      </c>
      <c r="RQ125" s="175"/>
      <c r="RR125" s="164"/>
      <c r="RS125" s="674">
        <f t="shared" si="333"/>
        <v>0</v>
      </c>
      <c r="RT125" s="150"/>
      <c r="RU125" s="528"/>
      <c r="RV125" s="145"/>
      <c r="RW125" s="174"/>
      <c r="RX125" s="662" t="s">
        <v>11</v>
      </c>
      <c r="RY125" s="175"/>
      <c r="RZ125" s="164"/>
      <c r="SA125" s="674">
        <f t="shared" si="334"/>
        <v>0</v>
      </c>
      <c r="SB125" s="150"/>
      <c r="SC125" s="528"/>
      <c r="SD125" s="145"/>
      <c r="SE125" s="174"/>
      <c r="SF125" s="662" t="s">
        <v>11</v>
      </c>
      <c r="SG125" s="175"/>
      <c r="SH125" s="164"/>
      <c r="SI125" s="674">
        <f t="shared" si="335"/>
        <v>0</v>
      </c>
      <c r="SJ125" s="150"/>
      <c r="SK125" s="528"/>
      <c r="SL125" s="145"/>
      <c r="SM125" s="174"/>
      <c r="SN125" s="662" t="s">
        <v>11</v>
      </c>
      <c r="SO125" s="175"/>
      <c r="SP125" s="164"/>
      <c r="SQ125" s="674">
        <f t="shared" si="336"/>
        <v>0</v>
      </c>
      <c r="SR125" s="150"/>
      <c r="SS125" s="528"/>
      <c r="ST125" s="145"/>
      <c r="SU125" s="174"/>
      <c r="SV125" s="662" t="s">
        <v>11</v>
      </c>
      <c r="SW125" s="175"/>
      <c r="SX125" s="164"/>
      <c r="SY125" s="674">
        <f t="shared" si="337"/>
        <v>0</v>
      </c>
      <c r="SZ125" s="150"/>
      <c r="TA125" s="528"/>
      <c r="TB125" s="145"/>
      <c r="TC125" s="174"/>
      <c r="TD125" s="662" t="s">
        <v>11</v>
      </c>
      <c r="TE125" s="175"/>
      <c r="TF125" s="164"/>
      <c r="TG125" s="674">
        <f t="shared" si="338"/>
        <v>0</v>
      </c>
      <c r="TH125" s="150"/>
      <c r="TI125" s="528"/>
    </row>
    <row r="126" spans="2:529">
      <c r="MW126" s="528"/>
      <c r="MX126" s="145"/>
      <c r="MY126" s="146"/>
      <c r="MZ126" s="157" t="s">
        <v>20</v>
      </c>
      <c r="NA126" s="175"/>
      <c r="NB126" s="139"/>
      <c r="NC126" s="674">
        <f t="shared" si="318"/>
        <v>0</v>
      </c>
      <c r="ND126" s="150"/>
      <c r="NE126" s="528"/>
      <c r="NF126" s="145"/>
      <c r="NG126" s="146"/>
      <c r="NH126" s="157" t="s">
        <v>20</v>
      </c>
      <c r="NI126" s="175"/>
      <c r="NJ126" s="139"/>
      <c r="NK126" s="674">
        <f t="shared" si="319"/>
        <v>0</v>
      </c>
      <c r="NL126" s="150"/>
      <c r="NM126" s="528"/>
      <c r="NN126" s="145"/>
      <c r="NO126" s="146"/>
      <c r="NP126" s="157" t="s">
        <v>20</v>
      </c>
      <c r="NQ126" s="175"/>
      <c r="NR126" s="139"/>
      <c r="NS126" s="674">
        <f t="shared" si="320"/>
        <v>0</v>
      </c>
      <c r="NT126" s="150"/>
      <c r="NU126" s="528"/>
      <c r="NV126" s="145"/>
      <c r="NW126" s="146"/>
      <c r="NX126" s="157" t="s">
        <v>20</v>
      </c>
      <c r="NY126" s="175"/>
      <c r="NZ126" s="139"/>
      <c r="OA126" s="674">
        <f t="shared" si="321"/>
        <v>0</v>
      </c>
      <c r="OB126" s="150"/>
      <c r="OC126" s="528"/>
      <c r="OD126" s="145"/>
      <c r="OE126" s="146"/>
      <c r="OF126" s="157" t="s">
        <v>20</v>
      </c>
      <c r="OG126" s="175"/>
      <c r="OH126" s="139"/>
      <c r="OI126" s="674">
        <f t="shared" si="322"/>
        <v>0</v>
      </c>
      <c r="OJ126" s="150"/>
      <c r="OK126" s="528"/>
      <c r="OL126" s="145"/>
      <c r="OM126" s="146"/>
      <c r="ON126" s="157" t="s">
        <v>20</v>
      </c>
      <c r="OO126" s="175"/>
      <c r="OP126" s="139"/>
      <c r="OQ126" s="674">
        <f t="shared" si="323"/>
        <v>0</v>
      </c>
      <c r="OR126" s="150"/>
      <c r="OS126" s="528"/>
      <c r="OT126" s="145"/>
      <c r="OU126" s="146"/>
      <c r="OV126" s="157" t="s">
        <v>20</v>
      </c>
      <c r="OW126" s="175"/>
      <c r="OX126" s="139"/>
      <c r="OY126" s="674">
        <f t="shared" si="324"/>
        <v>0</v>
      </c>
      <c r="OZ126" s="150"/>
      <c r="PA126" s="528"/>
      <c r="PB126" s="145"/>
      <c r="PC126" s="146"/>
      <c r="PD126" s="157" t="s">
        <v>20</v>
      </c>
      <c r="PE126" s="175"/>
      <c r="PF126" s="139"/>
      <c r="PG126" s="674">
        <f t="shared" si="325"/>
        <v>0</v>
      </c>
      <c r="PH126" s="150"/>
      <c r="PI126" s="528"/>
      <c r="PJ126" s="145"/>
      <c r="PK126" s="146"/>
      <c r="PL126" s="157" t="s">
        <v>20</v>
      </c>
      <c r="PM126" s="175"/>
      <c r="PN126" s="139"/>
      <c r="PO126" s="674">
        <f t="shared" si="326"/>
        <v>0</v>
      </c>
      <c r="PP126" s="150"/>
      <c r="PQ126" s="528"/>
      <c r="PR126" s="145"/>
      <c r="PS126" s="146"/>
      <c r="PT126" s="157" t="s">
        <v>20</v>
      </c>
      <c r="PU126" s="175"/>
      <c r="PV126" s="139"/>
      <c r="PW126" s="674">
        <f t="shared" si="327"/>
        <v>0</v>
      </c>
      <c r="PX126" s="150"/>
      <c r="PY126" s="528"/>
      <c r="PZ126" s="145"/>
      <c r="QA126" s="146"/>
      <c r="QB126" s="157" t="s">
        <v>20</v>
      </c>
      <c r="QC126" s="175"/>
      <c r="QD126" s="139"/>
      <c r="QE126" s="674">
        <f t="shared" si="328"/>
        <v>0</v>
      </c>
      <c r="QF126" s="150"/>
      <c r="QG126" s="528"/>
      <c r="QH126" s="145"/>
      <c r="QI126" s="146"/>
      <c r="QJ126" s="157" t="s">
        <v>20</v>
      </c>
      <c r="QK126" s="175"/>
      <c r="QL126" s="139"/>
      <c r="QM126" s="674">
        <f t="shared" si="329"/>
        <v>0</v>
      </c>
      <c r="QN126" s="150"/>
      <c r="QO126" s="528"/>
      <c r="QP126" s="145"/>
      <c r="QQ126" s="146"/>
      <c r="QR126" s="157" t="s">
        <v>20</v>
      </c>
      <c r="QS126" s="175"/>
      <c r="QT126" s="139"/>
      <c r="QU126" s="674">
        <f t="shared" si="330"/>
        <v>0</v>
      </c>
      <c r="QV126" s="150"/>
      <c r="QW126" s="528"/>
      <c r="QX126" s="145"/>
      <c r="QY126" s="146"/>
      <c r="QZ126" s="157" t="s">
        <v>20</v>
      </c>
      <c r="RA126" s="175"/>
      <c r="RB126" s="139"/>
      <c r="RC126" s="674">
        <f t="shared" si="331"/>
        <v>0</v>
      </c>
      <c r="RD126" s="150"/>
      <c r="RE126" s="528"/>
      <c r="RF126" s="145"/>
      <c r="RG126" s="146"/>
      <c r="RH126" s="157" t="s">
        <v>20</v>
      </c>
      <c r="RI126" s="175"/>
      <c r="RJ126" s="139"/>
      <c r="RK126" s="674">
        <f t="shared" si="332"/>
        <v>0</v>
      </c>
      <c r="RL126" s="150"/>
      <c r="RM126" s="528"/>
      <c r="RN126" s="145"/>
      <c r="RO126" s="146"/>
      <c r="RP126" s="157" t="s">
        <v>20</v>
      </c>
      <c r="RQ126" s="175"/>
      <c r="RR126" s="139"/>
      <c r="RS126" s="674">
        <f t="shared" si="333"/>
        <v>0</v>
      </c>
      <c r="RT126" s="150"/>
      <c r="RU126" s="528"/>
      <c r="RV126" s="145"/>
      <c r="RW126" s="146"/>
      <c r="RX126" s="157" t="s">
        <v>20</v>
      </c>
      <c r="RY126" s="175"/>
      <c r="RZ126" s="139"/>
      <c r="SA126" s="674">
        <f t="shared" si="334"/>
        <v>0</v>
      </c>
      <c r="SB126" s="150"/>
      <c r="SC126" s="528"/>
      <c r="SD126" s="145"/>
      <c r="SE126" s="146"/>
      <c r="SF126" s="157" t="s">
        <v>20</v>
      </c>
      <c r="SG126" s="175"/>
      <c r="SH126" s="139"/>
      <c r="SI126" s="674">
        <f t="shared" si="335"/>
        <v>0</v>
      </c>
      <c r="SJ126" s="150"/>
      <c r="SK126" s="528"/>
      <c r="SL126" s="145"/>
      <c r="SM126" s="146"/>
      <c r="SN126" s="157" t="s">
        <v>20</v>
      </c>
      <c r="SO126" s="175"/>
      <c r="SP126" s="139"/>
      <c r="SQ126" s="674">
        <f t="shared" si="336"/>
        <v>0</v>
      </c>
      <c r="SR126" s="150"/>
      <c r="SS126" s="528"/>
      <c r="ST126" s="145"/>
      <c r="SU126" s="146"/>
      <c r="SV126" s="157" t="s">
        <v>20</v>
      </c>
      <c r="SW126" s="175"/>
      <c r="SX126" s="139"/>
      <c r="SY126" s="674">
        <f t="shared" si="337"/>
        <v>0</v>
      </c>
      <c r="SZ126" s="150"/>
      <c r="TA126" s="528"/>
      <c r="TB126" s="145"/>
      <c r="TC126" s="146"/>
      <c r="TD126" s="157" t="s">
        <v>20</v>
      </c>
      <c r="TE126" s="175"/>
      <c r="TF126" s="139"/>
      <c r="TG126" s="674">
        <f t="shared" si="338"/>
        <v>0</v>
      </c>
      <c r="TH126" s="150"/>
      <c r="TI126" s="528"/>
    </row>
    <row r="127" spans="2:529">
      <c r="MW127" s="528"/>
      <c r="MX127" s="143"/>
      <c r="MY127" s="174"/>
      <c r="MZ127" s="663" t="s">
        <v>84</v>
      </c>
      <c r="NA127" s="175"/>
      <c r="NB127" s="139"/>
      <c r="NC127" s="674">
        <f t="shared" si="318"/>
        <v>0</v>
      </c>
      <c r="ND127" s="154"/>
      <c r="NE127" s="528"/>
      <c r="NF127" s="143"/>
      <c r="NG127" s="174"/>
      <c r="NH127" s="663" t="s">
        <v>84</v>
      </c>
      <c r="NI127" s="175"/>
      <c r="NJ127" s="139"/>
      <c r="NK127" s="674">
        <f t="shared" si="319"/>
        <v>0</v>
      </c>
      <c r="NL127" s="154"/>
      <c r="NM127" s="528"/>
      <c r="NN127" s="143"/>
      <c r="NO127" s="174"/>
      <c r="NP127" s="663" t="s">
        <v>84</v>
      </c>
      <c r="NQ127" s="175"/>
      <c r="NR127" s="139"/>
      <c r="NS127" s="674">
        <f t="shared" si="320"/>
        <v>0</v>
      </c>
      <c r="NT127" s="154"/>
      <c r="NU127" s="528"/>
      <c r="NV127" s="143"/>
      <c r="NW127" s="174"/>
      <c r="NX127" s="663" t="s">
        <v>84</v>
      </c>
      <c r="NY127" s="175"/>
      <c r="NZ127" s="139"/>
      <c r="OA127" s="674">
        <f t="shared" si="321"/>
        <v>0</v>
      </c>
      <c r="OB127" s="154"/>
      <c r="OC127" s="528"/>
      <c r="OD127" s="143"/>
      <c r="OE127" s="174"/>
      <c r="OF127" s="663" t="s">
        <v>84</v>
      </c>
      <c r="OG127" s="175"/>
      <c r="OH127" s="139"/>
      <c r="OI127" s="674">
        <f t="shared" si="322"/>
        <v>0</v>
      </c>
      <c r="OJ127" s="154"/>
      <c r="OK127" s="528"/>
      <c r="OL127" s="143"/>
      <c r="OM127" s="174"/>
      <c r="ON127" s="663" t="s">
        <v>84</v>
      </c>
      <c r="OO127" s="175"/>
      <c r="OP127" s="139"/>
      <c r="OQ127" s="674">
        <f t="shared" si="323"/>
        <v>0</v>
      </c>
      <c r="OR127" s="154"/>
      <c r="OS127" s="528"/>
      <c r="OT127" s="143"/>
      <c r="OU127" s="174"/>
      <c r="OV127" s="663" t="s">
        <v>84</v>
      </c>
      <c r="OW127" s="175"/>
      <c r="OX127" s="139"/>
      <c r="OY127" s="674">
        <f t="shared" si="324"/>
        <v>0</v>
      </c>
      <c r="OZ127" s="154"/>
      <c r="PA127" s="528"/>
      <c r="PB127" s="143"/>
      <c r="PC127" s="174"/>
      <c r="PD127" s="663" t="s">
        <v>84</v>
      </c>
      <c r="PE127" s="175"/>
      <c r="PF127" s="139"/>
      <c r="PG127" s="674">
        <f t="shared" si="325"/>
        <v>0</v>
      </c>
      <c r="PH127" s="154"/>
      <c r="PI127" s="528"/>
      <c r="PJ127" s="143"/>
      <c r="PK127" s="174"/>
      <c r="PL127" s="663" t="s">
        <v>84</v>
      </c>
      <c r="PM127" s="175"/>
      <c r="PN127" s="139"/>
      <c r="PO127" s="674">
        <f t="shared" si="326"/>
        <v>0</v>
      </c>
      <c r="PP127" s="154"/>
      <c r="PQ127" s="528"/>
      <c r="PR127" s="143"/>
      <c r="PS127" s="174"/>
      <c r="PT127" s="663" t="s">
        <v>84</v>
      </c>
      <c r="PU127" s="175"/>
      <c r="PV127" s="139"/>
      <c r="PW127" s="674">
        <f t="shared" si="327"/>
        <v>0</v>
      </c>
      <c r="PX127" s="154"/>
      <c r="PY127" s="528"/>
      <c r="PZ127" s="143"/>
      <c r="QA127" s="174"/>
      <c r="QB127" s="663" t="s">
        <v>84</v>
      </c>
      <c r="QC127" s="175"/>
      <c r="QD127" s="139"/>
      <c r="QE127" s="674">
        <f t="shared" si="328"/>
        <v>0</v>
      </c>
      <c r="QF127" s="154"/>
      <c r="QG127" s="528"/>
      <c r="QH127" s="143"/>
      <c r="QI127" s="174"/>
      <c r="QJ127" s="663" t="s">
        <v>84</v>
      </c>
      <c r="QK127" s="175"/>
      <c r="QL127" s="139"/>
      <c r="QM127" s="674">
        <f t="shared" si="329"/>
        <v>0</v>
      </c>
      <c r="QN127" s="154"/>
      <c r="QO127" s="528"/>
      <c r="QP127" s="143"/>
      <c r="QQ127" s="174"/>
      <c r="QR127" s="663" t="s">
        <v>84</v>
      </c>
      <c r="QS127" s="175"/>
      <c r="QT127" s="139"/>
      <c r="QU127" s="674">
        <f t="shared" si="330"/>
        <v>0</v>
      </c>
      <c r="QV127" s="154"/>
      <c r="QW127" s="528"/>
      <c r="QX127" s="143"/>
      <c r="QY127" s="174"/>
      <c r="QZ127" s="663" t="s">
        <v>84</v>
      </c>
      <c r="RA127" s="175"/>
      <c r="RB127" s="139"/>
      <c r="RC127" s="674">
        <f t="shared" si="331"/>
        <v>0</v>
      </c>
      <c r="RD127" s="154"/>
      <c r="RE127" s="528"/>
      <c r="RF127" s="143"/>
      <c r="RG127" s="174"/>
      <c r="RH127" s="663" t="s">
        <v>84</v>
      </c>
      <c r="RI127" s="175"/>
      <c r="RJ127" s="139"/>
      <c r="RK127" s="674">
        <f t="shared" si="332"/>
        <v>0</v>
      </c>
      <c r="RL127" s="154"/>
      <c r="RM127" s="528"/>
      <c r="RN127" s="143"/>
      <c r="RO127" s="174"/>
      <c r="RP127" s="663" t="s">
        <v>84</v>
      </c>
      <c r="RQ127" s="175"/>
      <c r="RR127" s="139"/>
      <c r="RS127" s="674">
        <f t="shared" si="333"/>
        <v>0</v>
      </c>
      <c r="RT127" s="154"/>
      <c r="RU127" s="528"/>
      <c r="RV127" s="143"/>
      <c r="RW127" s="174"/>
      <c r="RX127" s="663" t="s">
        <v>84</v>
      </c>
      <c r="RY127" s="175"/>
      <c r="RZ127" s="139"/>
      <c r="SA127" s="674">
        <f t="shared" si="334"/>
        <v>0</v>
      </c>
      <c r="SB127" s="154"/>
      <c r="SC127" s="528"/>
      <c r="SD127" s="143"/>
      <c r="SE127" s="174"/>
      <c r="SF127" s="663" t="s">
        <v>84</v>
      </c>
      <c r="SG127" s="175"/>
      <c r="SH127" s="139"/>
      <c r="SI127" s="674">
        <f t="shared" si="335"/>
        <v>0</v>
      </c>
      <c r="SJ127" s="154"/>
      <c r="SK127" s="528"/>
      <c r="SL127" s="143"/>
      <c r="SM127" s="174"/>
      <c r="SN127" s="663" t="s">
        <v>84</v>
      </c>
      <c r="SO127" s="175"/>
      <c r="SP127" s="139"/>
      <c r="SQ127" s="674">
        <f t="shared" si="336"/>
        <v>0</v>
      </c>
      <c r="SR127" s="154"/>
      <c r="SS127" s="528"/>
      <c r="ST127" s="143"/>
      <c r="SU127" s="174"/>
      <c r="SV127" s="663" t="s">
        <v>84</v>
      </c>
      <c r="SW127" s="175"/>
      <c r="SX127" s="139"/>
      <c r="SY127" s="674">
        <f t="shared" si="337"/>
        <v>0</v>
      </c>
      <c r="SZ127" s="154"/>
      <c r="TA127" s="528"/>
      <c r="TB127" s="143"/>
      <c r="TC127" s="174"/>
      <c r="TD127" s="663" t="s">
        <v>84</v>
      </c>
      <c r="TE127" s="175"/>
      <c r="TF127" s="139"/>
      <c r="TG127" s="674">
        <f t="shared" si="338"/>
        <v>0</v>
      </c>
      <c r="TH127" s="154"/>
      <c r="TI127" s="528"/>
    </row>
    <row r="128" spans="2:529">
      <c r="MW128" s="528"/>
      <c r="MX128" s="145"/>
      <c r="MY128" s="174"/>
      <c r="MZ128" s="157" t="s">
        <v>85</v>
      </c>
      <c r="NA128" s="175"/>
      <c r="NB128" s="164"/>
      <c r="NC128" s="140">
        <f t="shared" si="318"/>
        <v>0</v>
      </c>
      <c r="ND128" s="159">
        <f>SUM(NC124:NC128)</f>
        <v>1111.7088607594937</v>
      </c>
      <c r="NE128" s="528"/>
      <c r="NF128" s="145"/>
      <c r="NG128" s="174"/>
      <c r="NH128" s="157" t="s">
        <v>85</v>
      </c>
      <c r="NI128" s="175"/>
      <c r="NJ128" s="164"/>
      <c r="NK128" s="140">
        <f t="shared" si="319"/>
        <v>0</v>
      </c>
      <c r="NL128" s="159">
        <f>SUM(NK124:NK128)</f>
        <v>1118.8237974683545</v>
      </c>
      <c r="NM128" s="528"/>
      <c r="NN128" s="145"/>
      <c r="NO128" s="174"/>
      <c r="NP128" s="157" t="s">
        <v>85</v>
      </c>
      <c r="NQ128" s="175"/>
      <c r="NR128" s="164"/>
      <c r="NS128" s="140">
        <f t="shared" si="320"/>
        <v>0</v>
      </c>
      <c r="NT128" s="159">
        <f>SUM(NS124:NS128)</f>
        <v>144.07746835443038</v>
      </c>
      <c r="NU128" s="528"/>
      <c r="NV128" s="145"/>
      <c r="NW128" s="174"/>
      <c r="NX128" s="157" t="s">
        <v>85</v>
      </c>
      <c r="NY128" s="175"/>
      <c r="NZ128" s="164"/>
      <c r="OA128" s="140">
        <f t="shared" si="321"/>
        <v>0</v>
      </c>
      <c r="OB128" s="159">
        <f>SUM(OA124:OA128)</f>
        <v>190.91746835443038</v>
      </c>
      <c r="OC128" s="528"/>
      <c r="OD128" s="145"/>
      <c r="OE128" s="174"/>
      <c r="OF128" s="157" t="s">
        <v>85</v>
      </c>
      <c r="OG128" s="175"/>
      <c r="OH128" s="164"/>
      <c r="OI128" s="140">
        <f t="shared" si="322"/>
        <v>0</v>
      </c>
      <c r="OJ128" s="159">
        <f>SUM(OI124:OI128)</f>
        <v>41.503797468354428</v>
      </c>
      <c r="OK128" s="528"/>
      <c r="OL128" s="145"/>
      <c r="OM128" s="174"/>
      <c r="ON128" s="157" t="s">
        <v>85</v>
      </c>
      <c r="OO128" s="175"/>
      <c r="OP128" s="164"/>
      <c r="OQ128" s="140">
        <f t="shared" si="323"/>
        <v>0</v>
      </c>
      <c r="OR128" s="159">
        <f>SUM(OQ124:OQ128)</f>
        <v>1157.3630379746835</v>
      </c>
      <c r="OS128" s="528"/>
      <c r="OT128" s="145"/>
      <c r="OU128" s="174"/>
      <c r="OV128" s="157" t="s">
        <v>85</v>
      </c>
      <c r="OW128" s="175"/>
      <c r="OX128" s="164"/>
      <c r="OY128" s="140">
        <f t="shared" si="324"/>
        <v>0</v>
      </c>
      <c r="OZ128" s="159">
        <f>SUM(OY124:OY128)</f>
        <v>0</v>
      </c>
      <c r="PA128" s="528"/>
      <c r="PB128" s="145"/>
      <c r="PC128" s="174"/>
      <c r="PD128" s="157" t="s">
        <v>85</v>
      </c>
      <c r="PE128" s="175"/>
      <c r="PF128" s="164"/>
      <c r="PG128" s="140">
        <f t="shared" si="325"/>
        <v>0</v>
      </c>
      <c r="PH128" s="159">
        <f>SUM(PG124:PG128)</f>
        <v>57.512405063291141</v>
      </c>
      <c r="PI128" s="528"/>
      <c r="PJ128" s="145"/>
      <c r="PK128" s="174"/>
      <c r="PL128" s="157" t="s">
        <v>85</v>
      </c>
      <c r="PM128" s="175"/>
      <c r="PN128" s="164"/>
      <c r="PO128" s="140">
        <f t="shared" si="326"/>
        <v>0</v>
      </c>
      <c r="PP128" s="159">
        <f>SUM(PO124:PO128)</f>
        <v>457.13468354430381</v>
      </c>
      <c r="PQ128" s="528"/>
      <c r="PR128" s="145"/>
      <c r="PS128" s="174"/>
      <c r="PT128" s="157" t="s">
        <v>85</v>
      </c>
      <c r="PU128" s="175"/>
      <c r="PV128" s="164"/>
      <c r="PW128" s="140">
        <f t="shared" si="327"/>
        <v>0</v>
      </c>
      <c r="PX128" s="159">
        <f>SUM(PW124:PW128)</f>
        <v>599.43341772151905</v>
      </c>
      <c r="PY128" s="528"/>
      <c r="PZ128" s="145"/>
      <c r="QA128" s="174"/>
      <c r="QB128" s="157" t="s">
        <v>85</v>
      </c>
      <c r="QC128" s="175"/>
      <c r="QD128" s="164"/>
      <c r="QE128" s="140">
        <f t="shared" si="328"/>
        <v>0</v>
      </c>
      <c r="QF128" s="159">
        <f>SUM(QE124:QE128)</f>
        <v>535.39898734177211</v>
      </c>
      <c r="QG128" s="528"/>
      <c r="QH128" s="145"/>
      <c r="QI128" s="174"/>
      <c r="QJ128" s="157" t="s">
        <v>85</v>
      </c>
      <c r="QK128" s="175"/>
      <c r="QL128" s="164"/>
      <c r="QM128" s="140">
        <f t="shared" si="329"/>
        <v>0</v>
      </c>
      <c r="QN128" s="159">
        <f>SUM(QM124:QM128)</f>
        <v>294.08405063291139</v>
      </c>
      <c r="QO128" s="528"/>
      <c r="QP128" s="145"/>
      <c r="QQ128" s="174"/>
      <c r="QR128" s="157" t="s">
        <v>85</v>
      </c>
      <c r="QS128" s="175"/>
      <c r="QT128" s="164"/>
      <c r="QU128" s="140">
        <f t="shared" si="330"/>
        <v>0</v>
      </c>
      <c r="QV128" s="159">
        <f>SUM(QU124:QU128)</f>
        <v>783.82886075949364</v>
      </c>
      <c r="QW128" s="528"/>
      <c r="QX128" s="145"/>
      <c r="QY128" s="174"/>
      <c r="QZ128" s="157" t="s">
        <v>85</v>
      </c>
      <c r="RA128" s="175"/>
      <c r="RB128" s="164"/>
      <c r="RC128" s="140">
        <f t="shared" si="331"/>
        <v>0</v>
      </c>
      <c r="RD128" s="159">
        <f>SUM(RC124:RC128)</f>
        <v>0</v>
      </c>
      <c r="RE128" s="528"/>
      <c r="RF128" s="145"/>
      <c r="RG128" s="174"/>
      <c r="RH128" s="157" t="s">
        <v>85</v>
      </c>
      <c r="RI128" s="175"/>
      <c r="RJ128" s="164"/>
      <c r="RK128" s="140">
        <f t="shared" si="332"/>
        <v>0</v>
      </c>
      <c r="RL128" s="159">
        <f>SUM(RK124:RK128)</f>
        <v>0</v>
      </c>
      <c r="RM128" s="528"/>
      <c r="RN128" s="145"/>
      <c r="RO128" s="174"/>
      <c r="RP128" s="157" t="s">
        <v>85</v>
      </c>
      <c r="RQ128" s="175"/>
      <c r="RR128" s="164"/>
      <c r="RS128" s="140">
        <f t="shared" si="333"/>
        <v>0</v>
      </c>
      <c r="RT128" s="159">
        <f>SUM(RS124:RS128)</f>
        <v>28.459746835443038</v>
      </c>
      <c r="RU128" s="528"/>
      <c r="RV128" s="145"/>
      <c r="RW128" s="174"/>
      <c r="RX128" s="157" t="s">
        <v>85</v>
      </c>
      <c r="RY128" s="175"/>
      <c r="RZ128" s="164"/>
      <c r="SA128" s="140">
        <f t="shared" si="334"/>
        <v>0</v>
      </c>
      <c r="SB128" s="159">
        <f>SUM(SA124:SA128)</f>
        <v>391.32151898734179</v>
      </c>
      <c r="SC128" s="528"/>
      <c r="SD128" s="145"/>
      <c r="SE128" s="174"/>
      <c r="SF128" s="157" t="s">
        <v>85</v>
      </c>
      <c r="SG128" s="175"/>
      <c r="SH128" s="164"/>
      <c r="SI128" s="140">
        <f t="shared" si="335"/>
        <v>0</v>
      </c>
      <c r="SJ128" s="159">
        <f>SUM(SI124:SI128)</f>
        <v>58.698227848101268</v>
      </c>
      <c r="SK128" s="528"/>
      <c r="SL128" s="145"/>
      <c r="SM128" s="174"/>
      <c r="SN128" s="157" t="s">
        <v>85</v>
      </c>
      <c r="SO128" s="175"/>
      <c r="SP128" s="164"/>
      <c r="SQ128" s="140">
        <f t="shared" si="336"/>
        <v>0</v>
      </c>
      <c r="SR128" s="159">
        <f>SUM(SQ124:SQ128)</f>
        <v>449.42683544303799</v>
      </c>
      <c r="SS128" s="528"/>
      <c r="ST128" s="145"/>
      <c r="SU128" s="174"/>
      <c r="SV128" s="157" t="s">
        <v>85</v>
      </c>
      <c r="SW128" s="175"/>
      <c r="SX128" s="164"/>
      <c r="SY128" s="140">
        <f t="shared" si="337"/>
        <v>0</v>
      </c>
      <c r="SZ128" s="159">
        <f>SUM(SY124:SY128)</f>
        <v>621.96405063291138</v>
      </c>
      <c r="TA128" s="528"/>
      <c r="TB128" s="145"/>
      <c r="TC128" s="174"/>
      <c r="TD128" s="157" t="s">
        <v>85</v>
      </c>
      <c r="TE128" s="175"/>
      <c r="TF128" s="164"/>
      <c r="TG128" s="140">
        <f t="shared" si="338"/>
        <v>0</v>
      </c>
      <c r="TH128" s="159">
        <f>SUM(TG124:TG128)</f>
        <v>1200.6455696202531</v>
      </c>
      <c r="TI128" s="528"/>
    </row>
    <row r="129" spans="361:529">
      <c r="MW129" s="528"/>
      <c r="MX129" s="671" t="s">
        <v>91</v>
      </c>
      <c r="MY129" s="144">
        <v>21</v>
      </c>
      <c r="MZ129" s="157" t="s">
        <v>14</v>
      </c>
      <c r="NA129" s="175">
        <v>203</v>
      </c>
      <c r="NB129" s="139">
        <v>2.7548275862068965</v>
      </c>
      <c r="NC129" s="674">
        <f t="shared" si="318"/>
        <v>559.23</v>
      </c>
      <c r="ND129" s="706">
        <f>NA129*NB129</f>
        <v>559.23</v>
      </c>
      <c r="NE129" s="528"/>
      <c r="NF129" s="671" t="s">
        <v>91</v>
      </c>
      <c r="NG129" s="144">
        <v>19</v>
      </c>
      <c r="NH129" s="157" t="s">
        <v>14</v>
      </c>
      <c r="NI129" s="175">
        <v>123</v>
      </c>
      <c r="NJ129" s="139">
        <v>2.7548275862068965</v>
      </c>
      <c r="NK129" s="674">
        <f t="shared" si="319"/>
        <v>338.84379310344826</v>
      </c>
      <c r="NL129" s="706">
        <f>NI129*NJ129</f>
        <v>338.84379310344826</v>
      </c>
      <c r="NM129" s="528"/>
      <c r="NN129" s="671" t="s">
        <v>91</v>
      </c>
      <c r="NO129" s="144">
        <v>1</v>
      </c>
      <c r="NP129" s="157" t="s">
        <v>14</v>
      </c>
      <c r="NQ129" s="175">
        <v>1</v>
      </c>
      <c r="NR129" s="139">
        <v>2.7548275862068965</v>
      </c>
      <c r="NS129" s="674">
        <f t="shared" si="320"/>
        <v>2.7548275862068965</v>
      </c>
      <c r="NT129" s="706">
        <f>NQ129*NR129</f>
        <v>2.7548275862068965</v>
      </c>
      <c r="NU129" s="528"/>
      <c r="NV129" s="671" t="s">
        <v>91</v>
      </c>
      <c r="NW129" s="144">
        <v>5</v>
      </c>
      <c r="NX129" s="157" t="s">
        <v>14</v>
      </c>
      <c r="NY129" s="175">
        <v>15</v>
      </c>
      <c r="NZ129" s="139">
        <v>2.7548275862068965</v>
      </c>
      <c r="OA129" s="674">
        <f t="shared" si="321"/>
        <v>41.322413793103451</v>
      </c>
      <c r="OB129" s="706">
        <f>NY129*NZ129</f>
        <v>41.322413793103451</v>
      </c>
      <c r="OC129" s="528"/>
      <c r="OD129" s="671" t="s">
        <v>91</v>
      </c>
      <c r="OE129" s="144">
        <v>3</v>
      </c>
      <c r="OF129" s="157" t="s">
        <v>14</v>
      </c>
      <c r="OG129" s="175">
        <v>7</v>
      </c>
      <c r="OH129" s="139">
        <v>2.7548275862068965</v>
      </c>
      <c r="OI129" s="674">
        <f t="shared" si="322"/>
        <v>19.283793103448275</v>
      </c>
      <c r="OJ129" s="706">
        <f>OG129*OH129</f>
        <v>19.283793103448275</v>
      </c>
      <c r="OK129" s="528"/>
      <c r="OL129" s="671" t="s">
        <v>91</v>
      </c>
      <c r="OM129" s="144">
        <v>1</v>
      </c>
      <c r="ON129" s="157" t="s">
        <v>14</v>
      </c>
      <c r="OO129" s="175">
        <v>4</v>
      </c>
      <c r="OP129" s="139">
        <v>2.7548275862068965</v>
      </c>
      <c r="OQ129" s="674">
        <f t="shared" si="323"/>
        <v>11.019310344827586</v>
      </c>
      <c r="OR129" s="706">
        <f>OO129*OP129</f>
        <v>11.019310344827586</v>
      </c>
      <c r="OS129" s="528"/>
      <c r="OT129" s="671" t="s">
        <v>91</v>
      </c>
      <c r="OU129" s="144"/>
      <c r="OV129" s="157" t="s">
        <v>14</v>
      </c>
      <c r="OW129" s="175"/>
      <c r="OX129" s="139">
        <v>2.7548275862068965</v>
      </c>
      <c r="OY129" s="674">
        <f t="shared" si="324"/>
        <v>0</v>
      </c>
      <c r="OZ129" s="706">
        <f>OW129*OX129</f>
        <v>0</v>
      </c>
      <c r="PA129" s="528"/>
      <c r="PB129" s="671" t="s">
        <v>91</v>
      </c>
      <c r="PC129" s="144"/>
      <c r="PD129" s="157" t="s">
        <v>14</v>
      </c>
      <c r="PE129" s="175"/>
      <c r="PF129" s="139">
        <v>2.7548275862068965</v>
      </c>
      <c r="PG129" s="674">
        <f t="shared" si="325"/>
        <v>0</v>
      </c>
      <c r="PH129" s="706">
        <f>PE129*PF129</f>
        <v>0</v>
      </c>
      <c r="PI129" s="528"/>
      <c r="PJ129" s="671" t="s">
        <v>91</v>
      </c>
      <c r="PK129" s="144">
        <v>3</v>
      </c>
      <c r="PL129" s="157" t="s">
        <v>14</v>
      </c>
      <c r="PM129" s="175">
        <v>7</v>
      </c>
      <c r="PN129" s="139">
        <v>2.7548275862068965</v>
      </c>
      <c r="PO129" s="674">
        <f t="shared" si="326"/>
        <v>19.283793103448275</v>
      </c>
      <c r="PP129" s="706">
        <f>PM129*PN129</f>
        <v>19.283793103448275</v>
      </c>
      <c r="PQ129" s="528"/>
      <c r="PR129" s="671" t="s">
        <v>91</v>
      </c>
      <c r="PS129" s="144">
        <v>3</v>
      </c>
      <c r="PT129" s="157" t="s">
        <v>14</v>
      </c>
      <c r="PU129" s="175">
        <v>39</v>
      </c>
      <c r="PV129" s="139">
        <v>2.7548275862068965</v>
      </c>
      <c r="PW129" s="674">
        <f t="shared" si="327"/>
        <v>107.43827586206896</v>
      </c>
      <c r="PX129" s="706">
        <f>PU129*PV129</f>
        <v>107.43827586206896</v>
      </c>
      <c r="PY129" s="528"/>
      <c r="PZ129" s="671" t="s">
        <v>91</v>
      </c>
      <c r="QA129" s="144">
        <v>15</v>
      </c>
      <c r="QB129" s="157" t="s">
        <v>14</v>
      </c>
      <c r="QC129" s="175">
        <v>173</v>
      </c>
      <c r="QD129" s="139">
        <v>2.7548275862068965</v>
      </c>
      <c r="QE129" s="674">
        <f t="shared" si="328"/>
        <v>476.58517241379309</v>
      </c>
      <c r="QF129" s="706">
        <f>QC129*QD129</f>
        <v>476.58517241379309</v>
      </c>
      <c r="QG129" s="528"/>
      <c r="QH129" s="671" t="s">
        <v>91</v>
      </c>
      <c r="QI129" s="144">
        <v>8</v>
      </c>
      <c r="QJ129" s="157" t="s">
        <v>14</v>
      </c>
      <c r="QK129" s="175">
        <v>62</v>
      </c>
      <c r="QL129" s="139">
        <v>2.7548275862068965</v>
      </c>
      <c r="QM129" s="674">
        <f t="shared" si="329"/>
        <v>170.79931034482757</v>
      </c>
      <c r="QN129" s="706">
        <f>QK129*QL129</f>
        <v>170.79931034482757</v>
      </c>
      <c r="QO129" s="528"/>
      <c r="QP129" s="671" t="s">
        <v>91</v>
      </c>
      <c r="QQ129" s="144">
        <v>12</v>
      </c>
      <c r="QR129" s="157" t="s">
        <v>14</v>
      </c>
      <c r="QS129" s="175">
        <v>135</v>
      </c>
      <c r="QT129" s="139">
        <v>2.7548275862068965</v>
      </c>
      <c r="QU129" s="674">
        <f t="shared" si="330"/>
        <v>371.90172413793101</v>
      </c>
      <c r="QV129" s="706">
        <f>QS129*QT129</f>
        <v>371.90172413793101</v>
      </c>
      <c r="QW129" s="528"/>
      <c r="QX129" s="671" t="s">
        <v>91</v>
      </c>
      <c r="QY129" s="144"/>
      <c r="QZ129" s="157" t="s">
        <v>14</v>
      </c>
      <c r="RA129" s="175"/>
      <c r="RB129" s="139">
        <v>2.7548275862068965</v>
      </c>
      <c r="RC129" s="674">
        <f t="shared" si="331"/>
        <v>0</v>
      </c>
      <c r="RD129" s="706">
        <f>RA129*RB129</f>
        <v>0</v>
      </c>
      <c r="RE129" s="528"/>
      <c r="RF129" s="671" t="s">
        <v>91</v>
      </c>
      <c r="RG129" s="144"/>
      <c r="RH129" s="157" t="s">
        <v>14</v>
      </c>
      <c r="RI129" s="175"/>
      <c r="RJ129" s="139">
        <v>2.7548275862068965</v>
      </c>
      <c r="RK129" s="674">
        <f t="shared" si="332"/>
        <v>0</v>
      </c>
      <c r="RL129" s="706">
        <f>RI129*RJ129</f>
        <v>0</v>
      </c>
      <c r="RM129" s="528"/>
      <c r="RN129" s="671" t="s">
        <v>91</v>
      </c>
      <c r="RO129" s="144">
        <v>5</v>
      </c>
      <c r="RP129" s="157" t="s">
        <v>14</v>
      </c>
      <c r="RQ129" s="175">
        <v>24</v>
      </c>
      <c r="RR129" s="139">
        <v>2.7548275862068965</v>
      </c>
      <c r="RS129" s="674">
        <f t="shared" si="333"/>
        <v>66.115862068965512</v>
      </c>
      <c r="RT129" s="706">
        <f>RQ129*RR129</f>
        <v>66.115862068965512</v>
      </c>
      <c r="RU129" s="528"/>
      <c r="RV129" s="671" t="s">
        <v>91</v>
      </c>
      <c r="RW129" s="144"/>
      <c r="RX129" s="157" t="s">
        <v>14</v>
      </c>
      <c r="RY129" s="175"/>
      <c r="RZ129" s="139">
        <v>2.7548275862068965</v>
      </c>
      <c r="SA129" s="674">
        <f t="shared" si="334"/>
        <v>0</v>
      </c>
      <c r="SB129" s="706">
        <f>RY129*RZ129</f>
        <v>0</v>
      </c>
      <c r="SC129" s="528"/>
      <c r="SD129" s="671" t="s">
        <v>91</v>
      </c>
      <c r="SE129" s="144">
        <v>5</v>
      </c>
      <c r="SF129" s="157" t="s">
        <v>14</v>
      </c>
      <c r="SG129" s="175">
        <v>61</v>
      </c>
      <c r="SH129" s="139">
        <v>2.7548275862068965</v>
      </c>
      <c r="SI129" s="674">
        <f t="shared" si="335"/>
        <v>168.04448275862069</v>
      </c>
      <c r="SJ129" s="706">
        <f>SG129*SH129</f>
        <v>168.04448275862069</v>
      </c>
      <c r="SK129" s="528"/>
      <c r="SL129" s="671" t="s">
        <v>91</v>
      </c>
      <c r="SM129" s="144">
        <v>5</v>
      </c>
      <c r="SN129" s="157" t="s">
        <v>14</v>
      </c>
      <c r="SO129" s="175">
        <v>52</v>
      </c>
      <c r="SP129" s="139">
        <v>2.7548275862068965</v>
      </c>
      <c r="SQ129" s="674">
        <f t="shared" si="336"/>
        <v>143.25103448275863</v>
      </c>
      <c r="SR129" s="706">
        <f>SO129*SP129</f>
        <v>143.25103448275863</v>
      </c>
      <c r="SS129" s="528"/>
      <c r="ST129" s="671" t="s">
        <v>91</v>
      </c>
      <c r="SU129" s="144">
        <v>5</v>
      </c>
      <c r="SV129" s="157" t="s">
        <v>14</v>
      </c>
      <c r="SW129" s="175">
        <v>54</v>
      </c>
      <c r="SX129" s="139">
        <v>2.7548275862068965</v>
      </c>
      <c r="SY129" s="674">
        <f t="shared" si="337"/>
        <v>148.7606896551724</v>
      </c>
      <c r="SZ129" s="706">
        <f>SW129*SX129</f>
        <v>148.7606896551724</v>
      </c>
      <c r="TA129" s="528"/>
      <c r="TB129" s="671" t="s">
        <v>91</v>
      </c>
      <c r="TC129" s="144">
        <v>4</v>
      </c>
      <c r="TD129" s="157" t="s">
        <v>14</v>
      </c>
      <c r="TE129" s="175">
        <v>11</v>
      </c>
      <c r="TF129" s="139">
        <v>2.7548275862068965</v>
      </c>
      <c r="TG129" s="674">
        <f t="shared" si="338"/>
        <v>30.303103448275863</v>
      </c>
      <c r="TH129" s="706">
        <f>TE129*TF129</f>
        <v>30.303103448275863</v>
      </c>
      <c r="TI129" s="528"/>
    </row>
    <row r="130" spans="361:529">
      <c r="MW130" s="528"/>
      <c r="MX130" s="672" t="s">
        <v>118</v>
      </c>
      <c r="MY130" s="144">
        <v>23</v>
      </c>
      <c r="MZ130" s="664" t="s">
        <v>36</v>
      </c>
      <c r="NA130" s="175">
        <v>109</v>
      </c>
      <c r="NB130" s="164">
        <v>0.83900000000000008</v>
      </c>
      <c r="NC130" s="674">
        <f>NA130*NB130</f>
        <v>91.451000000000008</v>
      </c>
      <c r="ND130" s="703"/>
      <c r="NE130" s="528"/>
      <c r="NF130" s="672" t="s">
        <v>118</v>
      </c>
      <c r="NG130" s="144">
        <v>17</v>
      </c>
      <c r="NH130" s="664" t="s">
        <v>36</v>
      </c>
      <c r="NI130" s="175">
        <v>309</v>
      </c>
      <c r="NJ130" s="164">
        <v>0.83900000000000008</v>
      </c>
      <c r="NK130" s="674">
        <f>NI130*NJ130</f>
        <v>259.25100000000003</v>
      </c>
      <c r="NL130" s="703"/>
      <c r="NM130" s="528"/>
      <c r="NN130" s="672" t="s">
        <v>118</v>
      </c>
      <c r="NO130" s="144">
        <v>16</v>
      </c>
      <c r="NP130" s="664" t="s">
        <v>36</v>
      </c>
      <c r="NQ130" s="175">
        <v>156</v>
      </c>
      <c r="NR130" s="164">
        <v>0.83900000000000008</v>
      </c>
      <c r="NS130" s="674">
        <f>NQ130*NR130</f>
        <v>130.88400000000001</v>
      </c>
      <c r="NT130" s="703"/>
      <c r="NU130" s="528"/>
      <c r="NV130" s="672" t="s">
        <v>118</v>
      </c>
      <c r="NW130" s="144">
        <v>32</v>
      </c>
      <c r="NX130" s="664" t="s">
        <v>36</v>
      </c>
      <c r="NY130" s="175">
        <v>398</v>
      </c>
      <c r="NZ130" s="164">
        <v>0.83900000000000008</v>
      </c>
      <c r="OA130" s="674">
        <f>NY130*NZ130</f>
        <v>333.92200000000003</v>
      </c>
      <c r="OB130" s="703"/>
      <c r="OC130" s="528"/>
      <c r="OD130" s="672" t="s">
        <v>118</v>
      </c>
      <c r="OE130" s="144">
        <v>21</v>
      </c>
      <c r="OF130" s="664" t="s">
        <v>36</v>
      </c>
      <c r="OG130" s="175">
        <v>251</v>
      </c>
      <c r="OH130" s="164">
        <v>0.83900000000000008</v>
      </c>
      <c r="OI130" s="674">
        <f>OG130*OH130</f>
        <v>210.58900000000003</v>
      </c>
      <c r="OJ130" s="703"/>
      <c r="OK130" s="528"/>
      <c r="OL130" s="672" t="s">
        <v>118</v>
      </c>
      <c r="OM130" s="144">
        <v>50</v>
      </c>
      <c r="ON130" s="664" t="s">
        <v>36</v>
      </c>
      <c r="OO130" s="175">
        <v>452</v>
      </c>
      <c r="OP130" s="164">
        <v>0.83900000000000008</v>
      </c>
      <c r="OQ130" s="674">
        <f>OO130*OP130</f>
        <v>379.22800000000001</v>
      </c>
      <c r="OR130" s="703"/>
      <c r="OS130" s="528"/>
      <c r="OT130" s="672" t="s">
        <v>118</v>
      </c>
      <c r="OU130" s="144"/>
      <c r="OV130" s="664" t="s">
        <v>36</v>
      </c>
      <c r="OW130" s="175"/>
      <c r="OX130" s="164">
        <v>0.83900000000000008</v>
      </c>
      <c r="OY130" s="674">
        <f>OW130*OX130</f>
        <v>0</v>
      </c>
      <c r="OZ130" s="703"/>
      <c r="PA130" s="528"/>
      <c r="PB130" s="672" t="s">
        <v>118</v>
      </c>
      <c r="PC130" s="144">
        <v>5</v>
      </c>
      <c r="PD130" s="664" t="s">
        <v>36</v>
      </c>
      <c r="PE130" s="175">
        <v>104</v>
      </c>
      <c r="PF130" s="164">
        <v>0.83900000000000008</v>
      </c>
      <c r="PG130" s="674">
        <f>PE130*PF130</f>
        <v>87.256000000000014</v>
      </c>
      <c r="PH130" s="703"/>
      <c r="PI130" s="528"/>
      <c r="PJ130" s="672" t="s">
        <v>118</v>
      </c>
      <c r="PK130" s="144">
        <v>18</v>
      </c>
      <c r="PL130" s="664" t="s">
        <v>36</v>
      </c>
      <c r="PM130" s="175">
        <v>309</v>
      </c>
      <c r="PN130" s="164">
        <v>0.83900000000000008</v>
      </c>
      <c r="PO130" s="674">
        <f>PM130*PN130</f>
        <v>259.25100000000003</v>
      </c>
      <c r="PP130" s="703"/>
      <c r="PQ130" s="528"/>
      <c r="PR130" s="672" t="s">
        <v>118</v>
      </c>
      <c r="PS130" s="144">
        <v>10</v>
      </c>
      <c r="PT130" s="664" t="s">
        <v>36</v>
      </c>
      <c r="PU130" s="175">
        <v>66</v>
      </c>
      <c r="PV130" s="164">
        <v>0.83900000000000008</v>
      </c>
      <c r="PW130" s="674">
        <f>PU130*PV130</f>
        <v>55.374000000000002</v>
      </c>
      <c r="PX130" s="703"/>
      <c r="PY130" s="528"/>
      <c r="PZ130" s="672" t="s">
        <v>118</v>
      </c>
      <c r="QA130" s="144">
        <v>14</v>
      </c>
      <c r="QB130" s="664" t="s">
        <v>36</v>
      </c>
      <c r="QC130" s="175">
        <v>116</v>
      </c>
      <c r="QD130" s="164">
        <v>0.83900000000000008</v>
      </c>
      <c r="QE130" s="674">
        <f>QC130*QD130</f>
        <v>97.324000000000012</v>
      </c>
      <c r="QF130" s="703"/>
      <c r="QG130" s="528"/>
      <c r="QH130" s="672" t="s">
        <v>118</v>
      </c>
      <c r="QI130" s="144">
        <v>13</v>
      </c>
      <c r="QJ130" s="664" t="s">
        <v>36</v>
      </c>
      <c r="QK130" s="175">
        <v>122</v>
      </c>
      <c r="QL130" s="164">
        <v>0.83900000000000008</v>
      </c>
      <c r="QM130" s="674">
        <f>QK130*QL130</f>
        <v>102.358</v>
      </c>
      <c r="QN130" s="703"/>
      <c r="QO130" s="528"/>
      <c r="QP130" s="672" t="s">
        <v>118</v>
      </c>
      <c r="QQ130" s="144">
        <v>29</v>
      </c>
      <c r="QR130" s="664" t="s">
        <v>36</v>
      </c>
      <c r="QS130" s="175">
        <v>217</v>
      </c>
      <c r="QT130" s="164">
        <v>0.83900000000000008</v>
      </c>
      <c r="QU130" s="674">
        <f>QS130*QT130</f>
        <v>182.06300000000002</v>
      </c>
      <c r="QV130" s="703"/>
      <c r="QW130" s="528"/>
      <c r="QX130" s="672" t="s">
        <v>118</v>
      </c>
      <c r="QY130" s="144"/>
      <c r="QZ130" s="664" t="s">
        <v>36</v>
      </c>
      <c r="RA130" s="175"/>
      <c r="RB130" s="164">
        <v>0.83900000000000008</v>
      </c>
      <c r="RC130" s="674">
        <f>RA130*RB130</f>
        <v>0</v>
      </c>
      <c r="RD130" s="703"/>
      <c r="RE130" s="528"/>
      <c r="RF130" s="672" t="s">
        <v>118</v>
      </c>
      <c r="RG130" s="144"/>
      <c r="RH130" s="664" t="s">
        <v>36</v>
      </c>
      <c r="RI130" s="175"/>
      <c r="RJ130" s="164">
        <v>0.83900000000000008</v>
      </c>
      <c r="RK130" s="674">
        <f>RI130*RJ130</f>
        <v>0</v>
      </c>
      <c r="RL130" s="703"/>
      <c r="RM130" s="528"/>
      <c r="RN130" s="672" t="s">
        <v>118</v>
      </c>
      <c r="RO130" s="144">
        <v>17</v>
      </c>
      <c r="RP130" s="664" t="s">
        <v>36</v>
      </c>
      <c r="RQ130" s="175">
        <v>158</v>
      </c>
      <c r="RR130" s="164">
        <v>0.83900000000000008</v>
      </c>
      <c r="RS130" s="674">
        <f>RQ130*RR130</f>
        <v>132.56200000000001</v>
      </c>
      <c r="RT130" s="703"/>
      <c r="RU130" s="528"/>
      <c r="RV130" s="672" t="s">
        <v>118</v>
      </c>
      <c r="RW130" s="144">
        <v>24</v>
      </c>
      <c r="RX130" s="664" t="s">
        <v>36</v>
      </c>
      <c r="RY130" s="175">
        <v>200</v>
      </c>
      <c r="RZ130" s="164">
        <v>0.83900000000000008</v>
      </c>
      <c r="SA130" s="674">
        <f>RY130*RZ130</f>
        <v>167.8</v>
      </c>
      <c r="SB130" s="703"/>
      <c r="SC130" s="528"/>
      <c r="SD130" s="672" t="s">
        <v>118</v>
      </c>
      <c r="SE130" s="144">
        <v>20</v>
      </c>
      <c r="SF130" s="664" t="s">
        <v>36</v>
      </c>
      <c r="SG130" s="175">
        <v>147</v>
      </c>
      <c r="SH130" s="164">
        <v>0.83900000000000008</v>
      </c>
      <c r="SI130" s="674">
        <f>SG130*SH130</f>
        <v>123.33300000000001</v>
      </c>
      <c r="SJ130" s="703"/>
      <c r="SK130" s="528"/>
      <c r="SL130" s="672" t="s">
        <v>118</v>
      </c>
      <c r="SM130" s="144">
        <v>25</v>
      </c>
      <c r="SN130" s="664" t="s">
        <v>36</v>
      </c>
      <c r="SO130" s="175">
        <v>291</v>
      </c>
      <c r="SP130" s="164">
        <v>0.83900000000000008</v>
      </c>
      <c r="SQ130" s="674">
        <f>SO130*SP130</f>
        <v>244.14900000000003</v>
      </c>
      <c r="SR130" s="703"/>
      <c r="SS130" s="528"/>
      <c r="ST130" s="672" t="s">
        <v>118</v>
      </c>
      <c r="SU130" s="144">
        <v>26</v>
      </c>
      <c r="SV130" s="664" t="s">
        <v>36</v>
      </c>
      <c r="SW130" s="175">
        <v>200</v>
      </c>
      <c r="SX130" s="164">
        <v>0.83900000000000008</v>
      </c>
      <c r="SY130" s="674">
        <f>SW130*SX130</f>
        <v>167.8</v>
      </c>
      <c r="SZ130" s="703"/>
      <c r="TA130" s="528"/>
      <c r="TB130" s="672" t="s">
        <v>118</v>
      </c>
      <c r="TC130" s="144">
        <v>11</v>
      </c>
      <c r="TD130" s="664" t="s">
        <v>36</v>
      </c>
      <c r="TE130" s="175">
        <v>94</v>
      </c>
      <c r="TF130" s="164">
        <v>0.83900000000000008</v>
      </c>
      <c r="TG130" s="674">
        <f>TE130*TF130</f>
        <v>78.866000000000014</v>
      </c>
      <c r="TH130" s="703"/>
      <c r="TI130" s="528"/>
    </row>
    <row r="131" spans="361:529">
      <c r="MW131" s="528"/>
      <c r="MX131" s="672"/>
      <c r="MY131" s="669"/>
      <c r="MZ131" s="663" t="s">
        <v>20</v>
      </c>
      <c r="NA131" s="664"/>
      <c r="NB131" s="664"/>
      <c r="NC131" s="674">
        <f t="shared" ref="NC131:NC136" si="359">NA131*NB131</f>
        <v>0</v>
      </c>
      <c r="ND131" s="704"/>
      <c r="NE131" s="528"/>
      <c r="NF131" s="672"/>
      <c r="NG131" s="669"/>
      <c r="NH131" s="663" t="s">
        <v>20</v>
      </c>
      <c r="NI131" s="664"/>
      <c r="NJ131" s="664"/>
      <c r="NK131" s="674">
        <f t="shared" ref="NK131:NK136" si="360">NI131*NJ131</f>
        <v>0</v>
      </c>
      <c r="NL131" s="704"/>
      <c r="NM131" s="528"/>
      <c r="NN131" s="672"/>
      <c r="NO131" s="669"/>
      <c r="NP131" s="663" t="s">
        <v>20</v>
      </c>
      <c r="NQ131" s="664"/>
      <c r="NR131" s="664"/>
      <c r="NS131" s="674">
        <f t="shared" ref="NS131:NS136" si="361">NQ131*NR131</f>
        <v>0</v>
      </c>
      <c r="NT131" s="704"/>
      <c r="NU131" s="528"/>
      <c r="NV131" s="672"/>
      <c r="NW131" s="669"/>
      <c r="NX131" s="663" t="s">
        <v>20</v>
      </c>
      <c r="NY131" s="664"/>
      <c r="NZ131" s="664"/>
      <c r="OA131" s="674">
        <f t="shared" ref="OA131:OA136" si="362">NY131*NZ131</f>
        <v>0</v>
      </c>
      <c r="OB131" s="704"/>
      <c r="OC131" s="528"/>
      <c r="OD131" s="672"/>
      <c r="OE131" s="669"/>
      <c r="OF131" s="663" t="s">
        <v>20</v>
      </c>
      <c r="OG131" s="664"/>
      <c r="OH131" s="664"/>
      <c r="OI131" s="674">
        <f t="shared" ref="OI131:OI136" si="363">OG131*OH131</f>
        <v>0</v>
      </c>
      <c r="OJ131" s="704"/>
      <c r="OK131" s="528"/>
      <c r="OL131" s="672"/>
      <c r="OM131" s="669"/>
      <c r="ON131" s="663" t="s">
        <v>20</v>
      </c>
      <c r="OO131" s="664"/>
      <c r="OP131" s="664"/>
      <c r="OQ131" s="674">
        <f t="shared" ref="OQ131:OQ136" si="364">OO131*OP131</f>
        <v>0</v>
      </c>
      <c r="OR131" s="704"/>
      <c r="OS131" s="528"/>
      <c r="OT131" s="672"/>
      <c r="OU131" s="669"/>
      <c r="OV131" s="663" t="s">
        <v>20</v>
      </c>
      <c r="OW131" s="664"/>
      <c r="OX131" s="664"/>
      <c r="OY131" s="674">
        <f t="shared" ref="OY131:OY136" si="365">OW131*OX131</f>
        <v>0</v>
      </c>
      <c r="OZ131" s="704"/>
      <c r="PA131" s="528"/>
      <c r="PB131" s="672"/>
      <c r="PC131" s="669"/>
      <c r="PD131" s="663" t="s">
        <v>20</v>
      </c>
      <c r="PE131" s="664"/>
      <c r="PF131" s="664"/>
      <c r="PG131" s="674">
        <f t="shared" ref="PG131:PG136" si="366">PE131*PF131</f>
        <v>0</v>
      </c>
      <c r="PH131" s="704"/>
      <c r="PI131" s="528"/>
      <c r="PJ131" s="672"/>
      <c r="PK131" s="669"/>
      <c r="PL131" s="663" t="s">
        <v>20</v>
      </c>
      <c r="PM131" s="664"/>
      <c r="PN131" s="664"/>
      <c r="PO131" s="674">
        <f t="shared" ref="PO131:PO136" si="367">PM131*PN131</f>
        <v>0</v>
      </c>
      <c r="PP131" s="704"/>
      <c r="PQ131" s="528"/>
      <c r="PR131" s="672"/>
      <c r="PS131" s="669"/>
      <c r="PT131" s="663" t="s">
        <v>20</v>
      </c>
      <c r="PU131" s="664">
        <v>45</v>
      </c>
      <c r="PV131" s="664"/>
      <c r="PW131" s="674">
        <f t="shared" ref="PW131:PW136" si="368">PU131*PV131</f>
        <v>0</v>
      </c>
      <c r="PX131" s="704"/>
      <c r="PY131" s="528"/>
      <c r="PZ131" s="672"/>
      <c r="QA131" s="669"/>
      <c r="QB131" s="663" t="s">
        <v>20</v>
      </c>
      <c r="QC131" s="664"/>
      <c r="QD131" s="664"/>
      <c r="QE131" s="674">
        <f t="shared" ref="QE131:QE136" si="369">QC131*QD131</f>
        <v>0</v>
      </c>
      <c r="QF131" s="704"/>
      <c r="QG131" s="528"/>
      <c r="QH131" s="672"/>
      <c r="QI131" s="669"/>
      <c r="QJ131" s="663" t="s">
        <v>20</v>
      </c>
      <c r="QK131" s="664"/>
      <c r="QL131" s="664"/>
      <c r="QM131" s="674">
        <f t="shared" ref="QM131:QM136" si="370">QK131*QL131</f>
        <v>0</v>
      </c>
      <c r="QN131" s="704"/>
      <c r="QO131" s="528"/>
      <c r="QP131" s="672"/>
      <c r="QQ131" s="669"/>
      <c r="QR131" s="663" t="s">
        <v>20</v>
      </c>
      <c r="QS131" s="664">
        <v>63</v>
      </c>
      <c r="QT131" s="664"/>
      <c r="QU131" s="674">
        <f t="shared" ref="QU131:QU136" si="371">QS131*QT131</f>
        <v>0</v>
      </c>
      <c r="QV131" s="704"/>
      <c r="QW131" s="528"/>
      <c r="QX131" s="672"/>
      <c r="QY131" s="669"/>
      <c r="QZ131" s="663" t="s">
        <v>20</v>
      </c>
      <c r="RA131" s="664"/>
      <c r="RB131" s="664"/>
      <c r="RC131" s="674">
        <f t="shared" ref="RC131:RC136" si="372">RA131*RB131</f>
        <v>0</v>
      </c>
      <c r="RD131" s="704"/>
      <c r="RE131" s="528"/>
      <c r="RF131" s="672"/>
      <c r="RG131" s="669"/>
      <c r="RH131" s="663" t="s">
        <v>20</v>
      </c>
      <c r="RI131" s="664"/>
      <c r="RJ131" s="664"/>
      <c r="RK131" s="674">
        <f t="shared" ref="RK131:RK136" si="373">RI131*RJ131</f>
        <v>0</v>
      </c>
      <c r="RL131" s="704"/>
      <c r="RM131" s="528"/>
      <c r="RN131" s="672"/>
      <c r="RO131" s="669"/>
      <c r="RP131" s="663" t="s">
        <v>20</v>
      </c>
      <c r="RQ131" s="664"/>
      <c r="RR131" s="664"/>
      <c r="RS131" s="674">
        <f t="shared" ref="RS131:RS136" si="374">RQ131*RR131</f>
        <v>0</v>
      </c>
      <c r="RT131" s="704"/>
      <c r="RU131" s="528"/>
      <c r="RV131" s="672"/>
      <c r="RW131" s="669"/>
      <c r="RX131" s="663" t="s">
        <v>20</v>
      </c>
      <c r="RY131" s="664"/>
      <c r="RZ131" s="664"/>
      <c r="SA131" s="674">
        <f t="shared" ref="SA131:SA136" si="375">RY131*RZ131</f>
        <v>0</v>
      </c>
      <c r="SB131" s="704"/>
      <c r="SC131" s="528"/>
      <c r="SD131" s="672"/>
      <c r="SE131" s="669"/>
      <c r="SF131" s="663" t="s">
        <v>20</v>
      </c>
      <c r="SG131" s="664"/>
      <c r="SH131" s="664"/>
      <c r="SI131" s="674">
        <f t="shared" ref="SI131:SI136" si="376">SG131*SH131</f>
        <v>0</v>
      </c>
      <c r="SJ131" s="704"/>
      <c r="SK131" s="528"/>
      <c r="SL131" s="672"/>
      <c r="SM131" s="669"/>
      <c r="SN131" s="663" t="s">
        <v>20</v>
      </c>
      <c r="SO131" s="713">
        <v>8</v>
      </c>
      <c r="SP131" s="664"/>
      <c r="SQ131" s="674">
        <f t="shared" ref="SQ131:SQ136" si="377">SO131*SP131</f>
        <v>0</v>
      </c>
      <c r="SR131" s="704"/>
      <c r="SS131" s="528"/>
      <c r="ST131" s="672"/>
      <c r="SU131" s="669"/>
      <c r="SV131" s="663" t="s">
        <v>20</v>
      </c>
      <c r="SW131" s="664"/>
      <c r="SX131" s="664"/>
      <c r="SY131" s="674">
        <f t="shared" ref="SY131:SY136" si="378">SW131*SX131</f>
        <v>0</v>
      </c>
      <c r="SZ131" s="704"/>
      <c r="TA131" s="528"/>
      <c r="TB131" s="672"/>
      <c r="TC131" s="669"/>
      <c r="TD131" s="663" t="s">
        <v>20</v>
      </c>
      <c r="TE131" s="664"/>
      <c r="TF131" s="664"/>
      <c r="TG131" s="674">
        <f t="shared" ref="TG131:TG136" si="379">TE131*TF131</f>
        <v>0</v>
      </c>
      <c r="TH131" s="704"/>
      <c r="TI131" s="528"/>
    </row>
    <row r="132" spans="361:529">
      <c r="MW132" s="528"/>
      <c r="MX132" s="672"/>
      <c r="MY132" s="670"/>
      <c r="MZ132" s="663" t="s">
        <v>84</v>
      </c>
      <c r="NA132" s="664"/>
      <c r="NB132" s="664"/>
      <c r="NC132" s="674">
        <f t="shared" si="359"/>
        <v>0</v>
      </c>
      <c r="ND132" s="705"/>
      <c r="NE132" s="528"/>
      <c r="NF132" s="672"/>
      <c r="NG132" s="670"/>
      <c r="NH132" s="663" t="s">
        <v>84</v>
      </c>
      <c r="NI132" s="664"/>
      <c r="NJ132" s="664"/>
      <c r="NK132" s="674">
        <f t="shared" si="360"/>
        <v>0</v>
      </c>
      <c r="NL132" s="705"/>
      <c r="NM132" s="528"/>
      <c r="NN132" s="672"/>
      <c r="NO132" s="670"/>
      <c r="NP132" s="663" t="s">
        <v>84</v>
      </c>
      <c r="NQ132" s="664"/>
      <c r="NR132" s="664"/>
      <c r="NS132" s="674">
        <f t="shared" si="361"/>
        <v>0</v>
      </c>
      <c r="NT132" s="705"/>
      <c r="NU132" s="528"/>
      <c r="NV132" s="672"/>
      <c r="NW132" s="670"/>
      <c r="NX132" s="663" t="s">
        <v>84</v>
      </c>
      <c r="NY132" s="664"/>
      <c r="NZ132" s="664"/>
      <c r="OA132" s="674">
        <f t="shared" si="362"/>
        <v>0</v>
      </c>
      <c r="OB132" s="705"/>
      <c r="OC132" s="528"/>
      <c r="OD132" s="672"/>
      <c r="OE132" s="670"/>
      <c r="OF132" s="663" t="s">
        <v>84</v>
      </c>
      <c r="OG132" s="664"/>
      <c r="OH132" s="664"/>
      <c r="OI132" s="674">
        <f t="shared" si="363"/>
        <v>0</v>
      </c>
      <c r="OJ132" s="705"/>
      <c r="OK132" s="528"/>
      <c r="OL132" s="672"/>
      <c r="OM132" s="670"/>
      <c r="ON132" s="663" t="s">
        <v>84</v>
      </c>
      <c r="OO132" s="664"/>
      <c r="OP132" s="664"/>
      <c r="OQ132" s="674">
        <f t="shared" si="364"/>
        <v>0</v>
      </c>
      <c r="OR132" s="705"/>
      <c r="OS132" s="528"/>
      <c r="OT132" s="672"/>
      <c r="OU132" s="670"/>
      <c r="OV132" s="663" t="s">
        <v>84</v>
      </c>
      <c r="OW132" s="664"/>
      <c r="OX132" s="664"/>
      <c r="OY132" s="674">
        <f t="shared" si="365"/>
        <v>0</v>
      </c>
      <c r="OZ132" s="705"/>
      <c r="PA132" s="528"/>
      <c r="PB132" s="672"/>
      <c r="PC132" s="670"/>
      <c r="PD132" s="663" t="s">
        <v>84</v>
      </c>
      <c r="PE132" s="664"/>
      <c r="PF132" s="664"/>
      <c r="PG132" s="674">
        <f t="shared" si="366"/>
        <v>0</v>
      </c>
      <c r="PH132" s="705"/>
      <c r="PI132" s="528"/>
      <c r="PJ132" s="672"/>
      <c r="PK132" s="670"/>
      <c r="PL132" s="663" t="s">
        <v>84</v>
      </c>
      <c r="PM132" s="664"/>
      <c r="PN132" s="664"/>
      <c r="PO132" s="674">
        <f t="shared" si="367"/>
        <v>0</v>
      </c>
      <c r="PP132" s="705"/>
      <c r="PQ132" s="528"/>
      <c r="PR132" s="672"/>
      <c r="PS132" s="670"/>
      <c r="PT132" s="663" t="s">
        <v>84</v>
      </c>
      <c r="PU132" s="664"/>
      <c r="PV132" s="664"/>
      <c r="PW132" s="674">
        <f t="shared" si="368"/>
        <v>0</v>
      </c>
      <c r="PX132" s="705"/>
      <c r="PY132" s="528"/>
      <c r="PZ132" s="672"/>
      <c r="QA132" s="670"/>
      <c r="QB132" s="663" t="s">
        <v>84</v>
      </c>
      <c r="QC132" s="664"/>
      <c r="QD132" s="664"/>
      <c r="QE132" s="674">
        <f t="shared" si="369"/>
        <v>0</v>
      </c>
      <c r="QF132" s="705"/>
      <c r="QG132" s="528"/>
      <c r="QH132" s="672"/>
      <c r="QI132" s="670"/>
      <c r="QJ132" s="663" t="s">
        <v>84</v>
      </c>
      <c r="QK132" s="664"/>
      <c r="QL132" s="664"/>
      <c r="QM132" s="674">
        <f t="shared" si="370"/>
        <v>0</v>
      </c>
      <c r="QN132" s="705"/>
      <c r="QO132" s="528"/>
      <c r="QP132" s="672"/>
      <c r="QQ132" s="670"/>
      <c r="QR132" s="663" t="s">
        <v>84</v>
      </c>
      <c r="QS132" s="664"/>
      <c r="QT132" s="664"/>
      <c r="QU132" s="674">
        <f t="shared" si="371"/>
        <v>0</v>
      </c>
      <c r="QV132" s="705"/>
      <c r="QW132" s="528"/>
      <c r="QX132" s="672"/>
      <c r="QY132" s="670"/>
      <c r="QZ132" s="663" t="s">
        <v>84</v>
      </c>
      <c r="RA132" s="664"/>
      <c r="RB132" s="664"/>
      <c r="RC132" s="674">
        <f t="shared" si="372"/>
        <v>0</v>
      </c>
      <c r="RD132" s="705"/>
      <c r="RE132" s="528"/>
      <c r="RF132" s="672"/>
      <c r="RG132" s="670"/>
      <c r="RH132" s="663" t="s">
        <v>84</v>
      </c>
      <c r="RI132" s="664"/>
      <c r="RJ132" s="664"/>
      <c r="RK132" s="674">
        <f t="shared" si="373"/>
        <v>0</v>
      </c>
      <c r="RL132" s="705"/>
      <c r="RM132" s="528"/>
      <c r="RN132" s="672"/>
      <c r="RO132" s="670"/>
      <c r="RP132" s="663" t="s">
        <v>84</v>
      </c>
      <c r="RQ132" s="664"/>
      <c r="RR132" s="664"/>
      <c r="RS132" s="674">
        <f t="shared" si="374"/>
        <v>0</v>
      </c>
      <c r="RT132" s="705"/>
      <c r="RU132" s="528"/>
      <c r="RV132" s="672"/>
      <c r="RW132" s="670"/>
      <c r="RX132" s="663" t="s">
        <v>84</v>
      </c>
      <c r="RY132" s="664"/>
      <c r="RZ132" s="664"/>
      <c r="SA132" s="674">
        <f t="shared" si="375"/>
        <v>0</v>
      </c>
      <c r="SB132" s="705"/>
      <c r="SC132" s="528"/>
      <c r="SD132" s="672"/>
      <c r="SE132" s="670"/>
      <c r="SF132" s="663" t="s">
        <v>84</v>
      </c>
      <c r="SG132" s="664"/>
      <c r="SH132" s="664"/>
      <c r="SI132" s="674">
        <f t="shared" si="376"/>
        <v>0</v>
      </c>
      <c r="SJ132" s="705"/>
      <c r="SK132" s="528"/>
      <c r="SL132" s="672"/>
      <c r="SM132" s="670"/>
      <c r="SN132" s="663" t="s">
        <v>84</v>
      </c>
      <c r="SO132" s="664"/>
      <c r="SP132" s="664"/>
      <c r="SQ132" s="674">
        <f t="shared" si="377"/>
        <v>0</v>
      </c>
      <c r="SR132" s="705"/>
      <c r="SS132" s="528"/>
      <c r="ST132" s="672"/>
      <c r="SU132" s="670"/>
      <c r="SV132" s="663" t="s">
        <v>84</v>
      </c>
      <c r="SW132" s="664"/>
      <c r="SX132" s="664"/>
      <c r="SY132" s="674">
        <f t="shared" si="378"/>
        <v>0</v>
      </c>
      <c r="SZ132" s="705"/>
      <c r="TA132" s="528"/>
      <c r="TB132" s="672"/>
      <c r="TC132" s="670"/>
      <c r="TD132" s="663" t="s">
        <v>84</v>
      </c>
      <c r="TE132" s="664"/>
      <c r="TF132" s="664"/>
      <c r="TG132" s="674">
        <f t="shared" si="379"/>
        <v>0</v>
      </c>
      <c r="TH132" s="705"/>
      <c r="TI132" s="528"/>
    </row>
    <row r="133" spans="361:529">
      <c r="MW133" s="528"/>
      <c r="MX133" s="672"/>
      <c r="MY133" s="670"/>
      <c r="MZ133" s="663" t="s">
        <v>85</v>
      </c>
      <c r="NA133" s="664"/>
      <c r="NB133" s="664"/>
      <c r="NC133" s="140">
        <f t="shared" si="359"/>
        <v>0</v>
      </c>
      <c r="ND133" s="159">
        <f>SUM(NC130:NC133)</f>
        <v>91.451000000000008</v>
      </c>
      <c r="NE133" s="528"/>
      <c r="NF133" s="672"/>
      <c r="NG133" s="670"/>
      <c r="NH133" s="663" t="s">
        <v>85</v>
      </c>
      <c r="NI133" s="664"/>
      <c r="NJ133" s="664"/>
      <c r="NK133" s="140">
        <f t="shared" si="360"/>
        <v>0</v>
      </c>
      <c r="NL133" s="159">
        <f>SUM(NK130:NK133)</f>
        <v>259.25100000000003</v>
      </c>
      <c r="NM133" s="528"/>
      <c r="NN133" s="672"/>
      <c r="NO133" s="670"/>
      <c r="NP133" s="663" t="s">
        <v>85</v>
      </c>
      <c r="NQ133" s="664"/>
      <c r="NR133" s="664"/>
      <c r="NS133" s="140">
        <f t="shared" si="361"/>
        <v>0</v>
      </c>
      <c r="NT133" s="159">
        <f>SUM(NS130:NS133)</f>
        <v>130.88400000000001</v>
      </c>
      <c r="NU133" s="528"/>
      <c r="NV133" s="672"/>
      <c r="NW133" s="670"/>
      <c r="NX133" s="663" t="s">
        <v>85</v>
      </c>
      <c r="NY133" s="664"/>
      <c r="NZ133" s="664"/>
      <c r="OA133" s="140">
        <f t="shared" si="362"/>
        <v>0</v>
      </c>
      <c r="OB133" s="159">
        <f>SUM(OA130:OA133)</f>
        <v>333.92200000000003</v>
      </c>
      <c r="OC133" s="528"/>
      <c r="OD133" s="672"/>
      <c r="OE133" s="670"/>
      <c r="OF133" s="663" t="s">
        <v>85</v>
      </c>
      <c r="OG133" s="664"/>
      <c r="OH133" s="664"/>
      <c r="OI133" s="140">
        <f t="shared" si="363"/>
        <v>0</v>
      </c>
      <c r="OJ133" s="159">
        <f>SUM(OI130:OI133)</f>
        <v>210.58900000000003</v>
      </c>
      <c r="OK133" s="528"/>
      <c r="OL133" s="672"/>
      <c r="OM133" s="670"/>
      <c r="ON133" s="663" t="s">
        <v>85</v>
      </c>
      <c r="OO133" s="664"/>
      <c r="OP133" s="664"/>
      <c r="OQ133" s="140">
        <f t="shared" si="364"/>
        <v>0</v>
      </c>
      <c r="OR133" s="159">
        <f>SUM(OQ130:OQ133)</f>
        <v>379.22800000000001</v>
      </c>
      <c r="OS133" s="528"/>
      <c r="OT133" s="672"/>
      <c r="OU133" s="670"/>
      <c r="OV133" s="663" t="s">
        <v>85</v>
      </c>
      <c r="OW133" s="664"/>
      <c r="OX133" s="664"/>
      <c r="OY133" s="140">
        <f t="shared" si="365"/>
        <v>0</v>
      </c>
      <c r="OZ133" s="159">
        <f>SUM(OY130:OY133)</f>
        <v>0</v>
      </c>
      <c r="PA133" s="528"/>
      <c r="PB133" s="672"/>
      <c r="PC133" s="670"/>
      <c r="PD133" s="663" t="s">
        <v>85</v>
      </c>
      <c r="PE133" s="664"/>
      <c r="PF133" s="664"/>
      <c r="PG133" s="140">
        <f t="shared" si="366"/>
        <v>0</v>
      </c>
      <c r="PH133" s="159">
        <f>SUM(PG130:PG133)</f>
        <v>87.256000000000014</v>
      </c>
      <c r="PI133" s="528"/>
      <c r="PJ133" s="672"/>
      <c r="PK133" s="670"/>
      <c r="PL133" s="663" t="s">
        <v>85</v>
      </c>
      <c r="PM133" s="664"/>
      <c r="PN133" s="664"/>
      <c r="PO133" s="140">
        <f t="shared" si="367"/>
        <v>0</v>
      </c>
      <c r="PP133" s="159">
        <f>SUM(PO130:PO133)</f>
        <v>259.25100000000003</v>
      </c>
      <c r="PQ133" s="528"/>
      <c r="PR133" s="672"/>
      <c r="PS133" s="670"/>
      <c r="PT133" s="663" t="s">
        <v>85</v>
      </c>
      <c r="PU133" s="664"/>
      <c r="PV133" s="664"/>
      <c r="PW133" s="140">
        <f t="shared" si="368"/>
        <v>0</v>
      </c>
      <c r="PX133" s="159">
        <f>SUM(PW130:PW133)</f>
        <v>55.374000000000002</v>
      </c>
      <c r="PY133" s="528"/>
      <c r="PZ133" s="672"/>
      <c r="QA133" s="670"/>
      <c r="QB133" s="663" t="s">
        <v>85</v>
      </c>
      <c r="QC133" s="664"/>
      <c r="QD133" s="664"/>
      <c r="QE133" s="140">
        <f t="shared" si="369"/>
        <v>0</v>
      </c>
      <c r="QF133" s="159">
        <f>SUM(QE130:QE133)</f>
        <v>97.324000000000012</v>
      </c>
      <c r="QG133" s="528"/>
      <c r="QH133" s="672"/>
      <c r="QI133" s="670"/>
      <c r="QJ133" s="663" t="s">
        <v>85</v>
      </c>
      <c r="QK133" s="664"/>
      <c r="QL133" s="664"/>
      <c r="QM133" s="140">
        <f t="shared" si="370"/>
        <v>0</v>
      </c>
      <c r="QN133" s="159">
        <f>SUM(QM130:QM133)</f>
        <v>102.358</v>
      </c>
      <c r="QO133" s="528"/>
      <c r="QP133" s="672"/>
      <c r="QQ133" s="670"/>
      <c r="QR133" s="663" t="s">
        <v>85</v>
      </c>
      <c r="QS133" s="664"/>
      <c r="QT133" s="664"/>
      <c r="QU133" s="140">
        <f t="shared" si="371"/>
        <v>0</v>
      </c>
      <c r="QV133" s="159">
        <f>SUM(QU130:QU133)</f>
        <v>182.06300000000002</v>
      </c>
      <c r="QW133" s="528"/>
      <c r="QX133" s="672"/>
      <c r="QY133" s="670"/>
      <c r="QZ133" s="663" t="s">
        <v>85</v>
      </c>
      <c r="RA133" s="664"/>
      <c r="RB133" s="664"/>
      <c r="RC133" s="140">
        <f t="shared" si="372"/>
        <v>0</v>
      </c>
      <c r="RD133" s="159">
        <f>SUM(RC130:RC133)</f>
        <v>0</v>
      </c>
      <c r="RE133" s="528"/>
      <c r="RF133" s="672"/>
      <c r="RG133" s="670"/>
      <c r="RH133" s="663" t="s">
        <v>85</v>
      </c>
      <c r="RI133" s="664"/>
      <c r="RJ133" s="664"/>
      <c r="RK133" s="140">
        <f t="shared" si="373"/>
        <v>0</v>
      </c>
      <c r="RL133" s="159">
        <f>SUM(RK130:RK133)</f>
        <v>0</v>
      </c>
      <c r="RM133" s="528"/>
      <c r="RN133" s="672"/>
      <c r="RO133" s="670"/>
      <c r="RP133" s="663" t="s">
        <v>85</v>
      </c>
      <c r="RQ133" s="664"/>
      <c r="RR133" s="664"/>
      <c r="RS133" s="140">
        <f t="shared" si="374"/>
        <v>0</v>
      </c>
      <c r="RT133" s="159">
        <f>SUM(RS130:RS133)</f>
        <v>132.56200000000001</v>
      </c>
      <c r="RU133" s="528"/>
      <c r="RV133" s="672"/>
      <c r="RW133" s="670"/>
      <c r="RX133" s="663" t="s">
        <v>85</v>
      </c>
      <c r="RY133" s="664"/>
      <c r="RZ133" s="664"/>
      <c r="SA133" s="140">
        <f t="shared" si="375"/>
        <v>0</v>
      </c>
      <c r="SB133" s="159">
        <f>SUM(SA130:SA133)</f>
        <v>167.8</v>
      </c>
      <c r="SC133" s="528"/>
      <c r="SD133" s="672"/>
      <c r="SE133" s="670"/>
      <c r="SF133" s="663" t="s">
        <v>85</v>
      </c>
      <c r="SG133" s="664"/>
      <c r="SH133" s="664"/>
      <c r="SI133" s="140">
        <f t="shared" si="376"/>
        <v>0</v>
      </c>
      <c r="SJ133" s="159">
        <f>SUM(SI130:SI133)</f>
        <v>123.33300000000001</v>
      </c>
      <c r="SK133" s="528"/>
      <c r="SL133" s="672"/>
      <c r="SM133" s="670"/>
      <c r="SN133" s="663" t="s">
        <v>85</v>
      </c>
      <c r="SO133" s="664"/>
      <c r="SP133" s="664"/>
      <c r="SQ133" s="140">
        <f t="shared" si="377"/>
        <v>0</v>
      </c>
      <c r="SR133" s="159">
        <f>SUM(SQ130:SQ133)</f>
        <v>244.14900000000003</v>
      </c>
      <c r="SS133" s="528"/>
      <c r="ST133" s="672"/>
      <c r="SU133" s="670"/>
      <c r="SV133" s="663" t="s">
        <v>85</v>
      </c>
      <c r="SW133" s="664"/>
      <c r="SX133" s="664"/>
      <c r="SY133" s="140">
        <f t="shared" si="378"/>
        <v>0</v>
      </c>
      <c r="SZ133" s="159">
        <f>SUM(SY130:SY133)</f>
        <v>167.8</v>
      </c>
      <c r="TA133" s="528"/>
      <c r="TB133" s="672"/>
      <c r="TC133" s="670"/>
      <c r="TD133" s="663" t="s">
        <v>85</v>
      </c>
      <c r="TE133" s="664"/>
      <c r="TF133" s="664"/>
      <c r="TG133" s="140">
        <f t="shared" si="379"/>
        <v>0</v>
      </c>
      <c r="TH133" s="159">
        <f>SUM(TG130:TG133)</f>
        <v>78.866000000000014</v>
      </c>
      <c r="TI133" s="528"/>
    </row>
    <row r="134" spans="361:529">
      <c r="MW134" s="528"/>
      <c r="MX134" s="672" t="s">
        <v>92</v>
      </c>
      <c r="MY134" s="678">
        <v>27</v>
      </c>
      <c r="MZ134" s="664" t="s">
        <v>14</v>
      </c>
      <c r="NA134" s="708">
        <v>139</v>
      </c>
      <c r="NB134" s="164">
        <v>0.36472222222222223</v>
      </c>
      <c r="NC134" s="140">
        <f t="shared" si="359"/>
        <v>50.69638888888889</v>
      </c>
      <c r="ND134" s="664"/>
      <c r="NE134" s="528"/>
      <c r="NF134" s="672" t="s">
        <v>92</v>
      </c>
      <c r="NG134" s="709">
        <v>23</v>
      </c>
      <c r="NH134" s="664" t="s">
        <v>14</v>
      </c>
      <c r="NI134" s="664">
        <v>242</v>
      </c>
      <c r="NJ134" s="164">
        <v>0.36472222222222223</v>
      </c>
      <c r="NK134" s="140">
        <f t="shared" si="360"/>
        <v>88.262777777777785</v>
      </c>
      <c r="NL134" s="664"/>
      <c r="NM134" s="528"/>
      <c r="NN134" s="672" t="s">
        <v>92</v>
      </c>
      <c r="NO134" s="678">
        <v>0</v>
      </c>
      <c r="NP134" s="664" t="s">
        <v>14</v>
      </c>
      <c r="NQ134" s="664"/>
      <c r="NR134" s="164">
        <v>0.36472222222222223</v>
      </c>
      <c r="NS134" s="140">
        <f t="shared" si="361"/>
        <v>0</v>
      </c>
      <c r="NT134" s="664"/>
      <c r="NU134" s="528"/>
      <c r="NV134" s="672" t="s">
        <v>92</v>
      </c>
      <c r="NW134" s="144">
        <v>1</v>
      </c>
      <c r="NX134" s="664" t="s">
        <v>14</v>
      </c>
      <c r="NY134" s="175">
        <v>50</v>
      </c>
      <c r="NZ134" s="164">
        <v>0.36472222222222223</v>
      </c>
      <c r="OA134" s="140">
        <f t="shared" si="362"/>
        <v>18.236111111111111</v>
      </c>
      <c r="OB134" s="664"/>
      <c r="OC134" s="528"/>
      <c r="OD134" s="672" t="s">
        <v>92</v>
      </c>
      <c r="OE134" s="144"/>
      <c r="OF134" s="664" t="s">
        <v>14</v>
      </c>
      <c r="OG134" s="175"/>
      <c r="OH134" s="164">
        <v>0.36472222222222223</v>
      </c>
      <c r="OI134" s="140">
        <f t="shared" si="363"/>
        <v>0</v>
      </c>
      <c r="OJ134" s="664"/>
      <c r="OK134" s="528"/>
      <c r="OL134" s="672" t="s">
        <v>92</v>
      </c>
      <c r="OM134" s="144"/>
      <c r="ON134" s="664" t="s">
        <v>14</v>
      </c>
      <c r="OO134" s="175"/>
      <c r="OP134" s="164">
        <v>0.36472222222222223</v>
      </c>
      <c r="OQ134" s="140">
        <f t="shared" si="364"/>
        <v>0</v>
      </c>
      <c r="OR134" s="664"/>
      <c r="OS134" s="528"/>
      <c r="OT134" s="672" t="s">
        <v>92</v>
      </c>
      <c r="OU134" s="144"/>
      <c r="OV134" s="664" t="s">
        <v>14</v>
      </c>
      <c r="OW134" s="175"/>
      <c r="OX134" s="164">
        <v>0.36472222222222223</v>
      </c>
      <c r="OY134" s="140">
        <f t="shared" si="365"/>
        <v>0</v>
      </c>
      <c r="OZ134" s="664"/>
      <c r="PA134" s="528"/>
      <c r="PB134" s="672" t="s">
        <v>92</v>
      </c>
      <c r="PC134" s="144">
        <v>1</v>
      </c>
      <c r="PD134" s="664" t="s">
        <v>14</v>
      </c>
      <c r="PE134" s="175"/>
      <c r="PF134" s="164">
        <v>0.36472222222222223</v>
      </c>
      <c r="PG134" s="140">
        <f t="shared" si="366"/>
        <v>0</v>
      </c>
      <c r="PH134" s="664"/>
      <c r="PI134" s="528"/>
      <c r="PJ134" s="672" t="s">
        <v>92</v>
      </c>
      <c r="PK134" s="144">
        <v>5</v>
      </c>
      <c r="PL134" s="664" t="s">
        <v>14</v>
      </c>
      <c r="PM134" s="175">
        <v>14</v>
      </c>
      <c r="PN134" s="164">
        <v>0.36472222222222223</v>
      </c>
      <c r="PO134" s="140">
        <f t="shared" si="367"/>
        <v>5.1061111111111108</v>
      </c>
      <c r="PP134" s="664"/>
      <c r="PQ134" s="528"/>
      <c r="PR134" s="672" t="s">
        <v>92</v>
      </c>
      <c r="PS134" s="144">
        <v>14</v>
      </c>
      <c r="PT134" s="664" t="s">
        <v>14</v>
      </c>
      <c r="PU134" s="175">
        <v>151</v>
      </c>
      <c r="PV134" s="164">
        <v>0.36472222222222223</v>
      </c>
      <c r="PW134" s="140">
        <f t="shared" si="368"/>
        <v>55.073055555555555</v>
      </c>
      <c r="PX134" s="664"/>
      <c r="PY134" s="528"/>
      <c r="PZ134" s="672" t="s">
        <v>92</v>
      </c>
      <c r="QA134" s="144">
        <v>19</v>
      </c>
      <c r="QB134" s="664" t="s">
        <v>14</v>
      </c>
      <c r="QC134" s="175">
        <v>283</v>
      </c>
      <c r="QD134" s="164">
        <v>0.36472222222222223</v>
      </c>
      <c r="QE134" s="140">
        <f t="shared" si="369"/>
        <v>103.21638888888889</v>
      </c>
      <c r="QF134" s="664"/>
      <c r="QG134" s="528"/>
      <c r="QH134" s="672" t="s">
        <v>92</v>
      </c>
      <c r="QI134" s="144">
        <v>4</v>
      </c>
      <c r="QJ134" s="664" t="s">
        <v>14</v>
      </c>
      <c r="QK134" s="175">
        <v>6</v>
      </c>
      <c r="QL134" s="164">
        <v>0.36472222222222223</v>
      </c>
      <c r="QM134" s="140">
        <f t="shared" si="370"/>
        <v>2.1883333333333335</v>
      </c>
      <c r="QN134" s="664"/>
      <c r="QO134" s="528"/>
      <c r="QP134" s="672" t="s">
        <v>92</v>
      </c>
      <c r="QQ134" s="144">
        <v>10</v>
      </c>
      <c r="QR134" s="664" t="s">
        <v>14</v>
      </c>
      <c r="QS134" s="175">
        <v>69</v>
      </c>
      <c r="QT134" s="164">
        <v>0.36472222222222223</v>
      </c>
      <c r="QU134" s="140">
        <f t="shared" si="371"/>
        <v>25.165833333333335</v>
      </c>
      <c r="QV134" s="664"/>
      <c r="QW134" s="528"/>
      <c r="QX134" s="672" t="s">
        <v>92</v>
      </c>
      <c r="QY134" s="144"/>
      <c r="QZ134" s="664" t="s">
        <v>14</v>
      </c>
      <c r="RA134" s="175"/>
      <c r="RB134" s="164">
        <v>0.36472222222222223</v>
      </c>
      <c r="RC134" s="140">
        <f t="shared" si="372"/>
        <v>0</v>
      </c>
      <c r="RD134" s="664"/>
      <c r="RE134" s="528"/>
      <c r="RF134" s="672" t="s">
        <v>92</v>
      </c>
      <c r="RG134" s="144"/>
      <c r="RH134" s="664" t="s">
        <v>14</v>
      </c>
      <c r="RI134" s="175"/>
      <c r="RJ134" s="164">
        <v>0.36472222222222223</v>
      </c>
      <c r="RK134" s="140">
        <f t="shared" si="373"/>
        <v>0</v>
      </c>
      <c r="RL134" s="664"/>
      <c r="RM134" s="528"/>
      <c r="RN134" s="672" t="s">
        <v>92</v>
      </c>
      <c r="RO134" s="144">
        <v>1</v>
      </c>
      <c r="RP134" s="664" t="s">
        <v>14</v>
      </c>
      <c r="RQ134" s="175">
        <v>8</v>
      </c>
      <c r="RR134" s="164">
        <v>0.36472222222222223</v>
      </c>
      <c r="RS134" s="140">
        <f t="shared" si="374"/>
        <v>2.9177777777777778</v>
      </c>
      <c r="RT134" s="664"/>
      <c r="RU134" s="528"/>
      <c r="RV134" s="672" t="s">
        <v>92</v>
      </c>
      <c r="RW134" s="144"/>
      <c r="RX134" s="664" t="s">
        <v>14</v>
      </c>
      <c r="RY134" s="175"/>
      <c r="RZ134" s="164">
        <v>0.36472222222222223</v>
      </c>
      <c r="SA134" s="140">
        <f t="shared" si="375"/>
        <v>0</v>
      </c>
      <c r="SB134" s="664"/>
      <c r="SC134" s="528"/>
      <c r="SD134" s="672" t="s">
        <v>92</v>
      </c>
      <c r="SE134" s="144"/>
      <c r="SF134" s="664" t="s">
        <v>14</v>
      </c>
      <c r="SG134" s="175"/>
      <c r="SH134" s="164">
        <v>0.36472222222222223</v>
      </c>
      <c r="SI134" s="140">
        <f t="shared" si="376"/>
        <v>0</v>
      </c>
      <c r="SJ134" s="664"/>
      <c r="SK134" s="528"/>
      <c r="SL134" s="672" t="s">
        <v>92</v>
      </c>
      <c r="SM134" s="144">
        <v>1</v>
      </c>
      <c r="SN134" s="664" t="s">
        <v>14</v>
      </c>
      <c r="SO134" s="175">
        <v>7</v>
      </c>
      <c r="SP134" s="164">
        <v>0.36472222222222223</v>
      </c>
      <c r="SQ134" s="140">
        <f t="shared" si="377"/>
        <v>2.5530555555555554</v>
      </c>
      <c r="SR134" s="664"/>
      <c r="SS134" s="528"/>
      <c r="ST134" s="672" t="s">
        <v>92</v>
      </c>
      <c r="SU134" s="144">
        <v>7</v>
      </c>
      <c r="SV134" s="664" t="s">
        <v>14</v>
      </c>
      <c r="SW134" s="175">
        <v>53</v>
      </c>
      <c r="SX134" s="164">
        <v>0.36472222222222223</v>
      </c>
      <c r="SY134" s="140">
        <f t="shared" si="378"/>
        <v>19.330277777777777</v>
      </c>
      <c r="SZ134" s="664"/>
      <c r="TA134" s="528"/>
      <c r="TB134" s="672" t="s">
        <v>92</v>
      </c>
      <c r="TC134" s="144">
        <v>5</v>
      </c>
      <c r="TD134" s="664" t="s">
        <v>14</v>
      </c>
      <c r="TE134" s="175">
        <v>20</v>
      </c>
      <c r="TF134" s="164">
        <v>0.36472222222222223</v>
      </c>
      <c r="TG134" s="140">
        <f t="shared" si="379"/>
        <v>7.2944444444444443</v>
      </c>
      <c r="TH134" s="664"/>
      <c r="TI134" s="528"/>
    </row>
    <row r="135" spans="361:529">
      <c r="MW135" s="528"/>
      <c r="MX135" s="672"/>
      <c r="MY135" s="670"/>
      <c r="MZ135" s="667" t="s">
        <v>42</v>
      </c>
      <c r="NA135" s="708">
        <v>179</v>
      </c>
      <c r="NB135" s="139">
        <v>0.85592592592592587</v>
      </c>
      <c r="NC135" s="140">
        <f t="shared" si="359"/>
        <v>153.21074074074073</v>
      </c>
      <c r="ND135" s="149">
        <f>SUM(NC134:NC135)</f>
        <v>203.90712962962962</v>
      </c>
      <c r="NE135" s="528"/>
      <c r="NF135" s="672"/>
      <c r="NG135" s="670"/>
      <c r="NH135" s="667" t="s">
        <v>42</v>
      </c>
      <c r="NI135" s="664">
        <v>783</v>
      </c>
      <c r="NJ135" s="139">
        <v>0.85592592592592587</v>
      </c>
      <c r="NK135" s="140">
        <f t="shared" si="360"/>
        <v>670.18999999999994</v>
      </c>
      <c r="NL135" s="149">
        <f>SUM(NK134:NK135)</f>
        <v>758.45277777777778</v>
      </c>
      <c r="NM135" s="528"/>
      <c r="NN135" s="672"/>
      <c r="NO135" s="670"/>
      <c r="NP135" s="667" t="s">
        <v>42</v>
      </c>
      <c r="NQ135" s="664"/>
      <c r="NR135" s="139">
        <v>0.85592592592592587</v>
      </c>
      <c r="NS135" s="140">
        <f t="shared" si="361"/>
        <v>0</v>
      </c>
      <c r="NT135" s="149">
        <f>SUM(NS134:NS135)</f>
        <v>0</v>
      </c>
      <c r="NU135" s="528"/>
      <c r="NV135" s="672"/>
      <c r="NW135" s="670"/>
      <c r="NX135" s="667" t="s">
        <v>42</v>
      </c>
      <c r="NY135" s="175"/>
      <c r="NZ135" s="139">
        <v>0.85592592592592587</v>
      </c>
      <c r="OA135" s="140">
        <f t="shared" si="362"/>
        <v>0</v>
      </c>
      <c r="OB135" s="149">
        <f>SUM(OA134:OA135)</f>
        <v>18.236111111111111</v>
      </c>
      <c r="OC135" s="528"/>
      <c r="OD135" s="672"/>
      <c r="OE135" s="670"/>
      <c r="OF135" s="667" t="s">
        <v>42</v>
      </c>
      <c r="OG135" s="175"/>
      <c r="OH135" s="139">
        <v>0.85592592592592587</v>
      </c>
      <c r="OI135" s="140">
        <f t="shared" si="363"/>
        <v>0</v>
      </c>
      <c r="OJ135" s="149">
        <f>SUM(OI134:OI135)</f>
        <v>0</v>
      </c>
      <c r="OK135" s="528"/>
      <c r="OL135" s="672"/>
      <c r="OM135" s="670"/>
      <c r="ON135" s="667" t="s">
        <v>42</v>
      </c>
      <c r="OO135" s="175"/>
      <c r="OP135" s="139">
        <v>0.85592592592592587</v>
      </c>
      <c r="OQ135" s="140">
        <f t="shared" si="364"/>
        <v>0</v>
      </c>
      <c r="OR135" s="149">
        <f>SUM(OQ134:OQ135)</f>
        <v>0</v>
      </c>
      <c r="OS135" s="528"/>
      <c r="OT135" s="672"/>
      <c r="OU135" s="670"/>
      <c r="OV135" s="667" t="s">
        <v>42</v>
      </c>
      <c r="OW135" s="175"/>
      <c r="OX135" s="139">
        <v>0.85592592592592587</v>
      </c>
      <c r="OY135" s="140">
        <f t="shared" si="365"/>
        <v>0</v>
      </c>
      <c r="OZ135" s="149">
        <f>SUM(OY134:OY135)</f>
        <v>0</v>
      </c>
      <c r="PA135" s="528"/>
      <c r="PB135" s="672"/>
      <c r="PC135" s="670"/>
      <c r="PD135" s="667" t="s">
        <v>42</v>
      </c>
      <c r="PE135" s="175">
        <v>4</v>
      </c>
      <c r="PF135" s="139">
        <v>0.85592592592592587</v>
      </c>
      <c r="PG135" s="140">
        <f t="shared" si="366"/>
        <v>3.4237037037037035</v>
      </c>
      <c r="PH135" s="149">
        <f>SUM(PG134:PG135)</f>
        <v>3.4237037037037035</v>
      </c>
      <c r="PI135" s="528"/>
      <c r="PJ135" s="672"/>
      <c r="PK135" s="670"/>
      <c r="PL135" s="667" t="s">
        <v>42</v>
      </c>
      <c r="PM135" s="175">
        <v>40</v>
      </c>
      <c r="PN135" s="139">
        <v>0.85592592592592587</v>
      </c>
      <c r="PO135" s="140">
        <f t="shared" si="367"/>
        <v>34.237037037037034</v>
      </c>
      <c r="PP135" s="149">
        <f>SUM(PO134:PO135)</f>
        <v>39.343148148148146</v>
      </c>
      <c r="PQ135" s="528"/>
      <c r="PR135" s="672"/>
      <c r="PS135" s="670"/>
      <c r="PT135" s="667" t="s">
        <v>42</v>
      </c>
      <c r="PU135" s="175">
        <v>45</v>
      </c>
      <c r="PV135" s="139">
        <v>0.85592592592592587</v>
      </c>
      <c r="PW135" s="140">
        <f t="shared" si="368"/>
        <v>38.516666666666666</v>
      </c>
      <c r="PX135" s="149">
        <f>SUM(PW134:PW135)</f>
        <v>93.589722222222221</v>
      </c>
      <c r="PY135" s="528"/>
      <c r="PZ135" s="672"/>
      <c r="QA135" s="670"/>
      <c r="QB135" s="667" t="s">
        <v>42</v>
      </c>
      <c r="QC135" s="175">
        <v>96</v>
      </c>
      <c r="QD135" s="139">
        <v>0.85592592592592587</v>
      </c>
      <c r="QE135" s="140">
        <f t="shared" si="369"/>
        <v>82.168888888888887</v>
      </c>
      <c r="QF135" s="149">
        <f>SUM(QE134:QE135)</f>
        <v>185.38527777777779</v>
      </c>
      <c r="QG135" s="528"/>
      <c r="QH135" s="672"/>
      <c r="QI135" s="670"/>
      <c r="QJ135" s="667" t="s">
        <v>42</v>
      </c>
      <c r="QK135" s="175">
        <v>16</v>
      </c>
      <c r="QL135" s="139">
        <v>0.85592592592592587</v>
      </c>
      <c r="QM135" s="140">
        <f t="shared" si="370"/>
        <v>13.694814814814814</v>
      </c>
      <c r="QN135" s="149">
        <f>SUM(QM134:QM135)</f>
        <v>15.883148148148148</v>
      </c>
      <c r="QO135" s="528"/>
      <c r="QP135" s="672"/>
      <c r="QQ135" s="670"/>
      <c r="QR135" s="667" t="s">
        <v>42</v>
      </c>
      <c r="QS135" s="175">
        <v>85</v>
      </c>
      <c r="QT135" s="139">
        <v>0.85592592592592587</v>
      </c>
      <c r="QU135" s="140">
        <f t="shared" si="371"/>
        <v>72.753703703703692</v>
      </c>
      <c r="QV135" s="149">
        <f>SUM(QU134:QU135)</f>
        <v>97.919537037037031</v>
      </c>
      <c r="QW135" s="528"/>
      <c r="QX135" s="672"/>
      <c r="QY135" s="670"/>
      <c r="QZ135" s="667" t="s">
        <v>42</v>
      </c>
      <c r="RA135" s="175"/>
      <c r="RB135" s="139">
        <v>0.85592592592592587</v>
      </c>
      <c r="RC135" s="140">
        <f t="shared" si="372"/>
        <v>0</v>
      </c>
      <c r="RD135" s="149">
        <f>SUM(RC134:RC135)</f>
        <v>0</v>
      </c>
      <c r="RE135" s="528"/>
      <c r="RF135" s="672"/>
      <c r="RG135" s="670"/>
      <c r="RH135" s="667" t="s">
        <v>42</v>
      </c>
      <c r="RI135" s="175"/>
      <c r="RJ135" s="139">
        <v>0.85592592592592587</v>
      </c>
      <c r="RK135" s="140">
        <f t="shared" si="373"/>
        <v>0</v>
      </c>
      <c r="RL135" s="149">
        <f>SUM(RK134:RK135)</f>
        <v>0</v>
      </c>
      <c r="RM135" s="528"/>
      <c r="RN135" s="672"/>
      <c r="RO135" s="670"/>
      <c r="RP135" s="667" t="s">
        <v>42</v>
      </c>
      <c r="RQ135" s="175"/>
      <c r="RR135" s="139">
        <v>0.85592592592592587</v>
      </c>
      <c r="RS135" s="140">
        <f t="shared" si="374"/>
        <v>0</v>
      </c>
      <c r="RT135" s="149">
        <f>SUM(RS134:RS135)</f>
        <v>2.9177777777777778</v>
      </c>
      <c r="RU135" s="528"/>
      <c r="RV135" s="672"/>
      <c r="RW135" s="670"/>
      <c r="RX135" s="667" t="s">
        <v>42</v>
      </c>
      <c r="RY135" s="175"/>
      <c r="RZ135" s="139">
        <v>0.85592592592592587</v>
      </c>
      <c r="SA135" s="140">
        <f t="shared" si="375"/>
        <v>0</v>
      </c>
      <c r="SB135" s="149">
        <f>SUM(SA134:SA135)</f>
        <v>0</v>
      </c>
      <c r="SC135" s="528"/>
      <c r="SD135" s="672"/>
      <c r="SE135" s="670"/>
      <c r="SF135" s="667" t="s">
        <v>42</v>
      </c>
      <c r="SG135" s="175"/>
      <c r="SH135" s="139">
        <v>0.85592592592592587</v>
      </c>
      <c r="SI135" s="140">
        <f t="shared" si="376"/>
        <v>0</v>
      </c>
      <c r="SJ135" s="149">
        <f>SUM(SI134:SI135)</f>
        <v>0</v>
      </c>
      <c r="SK135" s="528"/>
      <c r="SL135" s="672"/>
      <c r="SM135" s="670"/>
      <c r="SN135" s="667" t="s">
        <v>42</v>
      </c>
      <c r="SO135" s="175"/>
      <c r="SP135" s="139">
        <v>0.85592592592592587</v>
      </c>
      <c r="SQ135" s="140">
        <f t="shared" si="377"/>
        <v>0</v>
      </c>
      <c r="SR135" s="149">
        <f>SUM(SQ134:SQ135)</f>
        <v>2.5530555555555554</v>
      </c>
      <c r="SS135" s="528"/>
      <c r="ST135" s="672"/>
      <c r="SU135" s="670"/>
      <c r="SV135" s="667" t="s">
        <v>42</v>
      </c>
      <c r="SW135" s="175">
        <v>21</v>
      </c>
      <c r="SX135" s="139">
        <v>0.85592592592592587</v>
      </c>
      <c r="SY135" s="140">
        <f t="shared" si="378"/>
        <v>17.974444444444444</v>
      </c>
      <c r="SZ135" s="149">
        <f>SUM(SY134:SY135)</f>
        <v>37.304722222222225</v>
      </c>
      <c r="TA135" s="528"/>
      <c r="TB135" s="672"/>
      <c r="TC135" s="670"/>
      <c r="TD135" s="667" t="s">
        <v>42</v>
      </c>
      <c r="TE135" s="175">
        <v>65</v>
      </c>
      <c r="TF135" s="139">
        <v>0.85592592592592587</v>
      </c>
      <c r="TG135" s="140">
        <f t="shared" si="379"/>
        <v>55.635185185185179</v>
      </c>
      <c r="TH135" s="149">
        <f>SUM(TG134:TG135)</f>
        <v>62.929629629629623</v>
      </c>
      <c r="TI135" s="528"/>
    </row>
    <row r="136" spans="361:529">
      <c r="MW136" s="528"/>
      <c r="MX136" s="672" t="s">
        <v>93</v>
      </c>
      <c r="MY136" s="678">
        <v>96</v>
      </c>
      <c r="MZ136" s="157" t="s">
        <v>94</v>
      </c>
      <c r="NA136" s="708">
        <v>703</v>
      </c>
      <c r="NB136" s="164">
        <v>0.28360000000000002</v>
      </c>
      <c r="NC136" s="674">
        <f t="shared" si="359"/>
        <v>199.3708</v>
      </c>
      <c r="ND136" s="679"/>
      <c r="NE136" s="528"/>
      <c r="NF136" s="672" t="s">
        <v>93</v>
      </c>
      <c r="NG136" s="709">
        <v>53</v>
      </c>
      <c r="NH136" s="157" t="s">
        <v>94</v>
      </c>
      <c r="NI136" s="664">
        <v>263</v>
      </c>
      <c r="NJ136" s="164">
        <v>0.28360000000000002</v>
      </c>
      <c r="NK136" s="674">
        <f t="shared" si="360"/>
        <v>74.586800000000011</v>
      </c>
      <c r="NL136" s="679"/>
      <c r="NM136" s="528"/>
      <c r="NN136" s="672" t="s">
        <v>93</v>
      </c>
      <c r="NO136" s="678">
        <v>27</v>
      </c>
      <c r="NP136" s="157" t="s">
        <v>94</v>
      </c>
      <c r="NQ136" s="664">
        <v>88</v>
      </c>
      <c r="NR136" s="164">
        <v>0.28360000000000002</v>
      </c>
      <c r="NS136" s="674">
        <f t="shared" si="361"/>
        <v>24.956800000000001</v>
      </c>
      <c r="NT136" s="679"/>
      <c r="NU136" s="528"/>
      <c r="NV136" s="672" t="s">
        <v>93</v>
      </c>
      <c r="NW136" s="144">
        <v>24</v>
      </c>
      <c r="NX136" s="157" t="s">
        <v>94</v>
      </c>
      <c r="NY136" s="175">
        <v>113</v>
      </c>
      <c r="NZ136" s="164">
        <v>0.28360000000000002</v>
      </c>
      <c r="OA136" s="674">
        <f t="shared" si="362"/>
        <v>32.046800000000005</v>
      </c>
      <c r="OB136" s="679"/>
      <c r="OC136" s="528"/>
      <c r="OD136" s="672" t="s">
        <v>93</v>
      </c>
      <c r="OE136" s="144">
        <v>12</v>
      </c>
      <c r="OF136" s="157" t="s">
        <v>94</v>
      </c>
      <c r="OG136" s="175">
        <v>10</v>
      </c>
      <c r="OH136" s="164">
        <v>0.28360000000000002</v>
      </c>
      <c r="OI136" s="674">
        <f t="shared" si="363"/>
        <v>2.8360000000000003</v>
      </c>
      <c r="OJ136" s="679"/>
      <c r="OK136" s="528"/>
      <c r="OL136" s="672" t="s">
        <v>93</v>
      </c>
      <c r="OM136" s="144">
        <v>2</v>
      </c>
      <c r="ON136" s="157" t="s">
        <v>94</v>
      </c>
      <c r="OO136" s="175"/>
      <c r="OP136" s="164">
        <v>0.28360000000000002</v>
      </c>
      <c r="OQ136" s="674">
        <f t="shared" si="364"/>
        <v>0</v>
      </c>
      <c r="OR136" s="679"/>
      <c r="OS136" s="528"/>
      <c r="OT136" s="672" t="s">
        <v>93</v>
      </c>
      <c r="OU136" s="144"/>
      <c r="OV136" s="157" t="s">
        <v>94</v>
      </c>
      <c r="OW136" s="175"/>
      <c r="OX136" s="164">
        <v>0.28360000000000002</v>
      </c>
      <c r="OY136" s="674">
        <f t="shared" si="365"/>
        <v>0</v>
      </c>
      <c r="OZ136" s="679"/>
      <c r="PA136" s="528"/>
      <c r="PB136" s="672" t="s">
        <v>93</v>
      </c>
      <c r="PC136" s="144"/>
      <c r="PD136" s="157" t="s">
        <v>94</v>
      </c>
      <c r="PE136" s="175"/>
      <c r="PF136" s="164">
        <v>0.28360000000000002</v>
      </c>
      <c r="PG136" s="674">
        <f t="shared" si="366"/>
        <v>0</v>
      </c>
      <c r="PH136" s="679"/>
      <c r="PI136" s="528"/>
      <c r="PJ136" s="672" t="s">
        <v>93</v>
      </c>
      <c r="PK136" s="144">
        <v>1</v>
      </c>
      <c r="PL136" s="157" t="s">
        <v>94</v>
      </c>
      <c r="PM136" s="175"/>
      <c r="PN136" s="164">
        <v>0.28360000000000002</v>
      </c>
      <c r="PO136" s="674">
        <f t="shared" si="367"/>
        <v>0</v>
      </c>
      <c r="PP136" s="679"/>
      <c r="PQ136" s="528"/>
      <c r="PR136" s="672" t="s">
        <v>93</v>
      </c>
      <c r="PS136" s="144">
        <v>8</v>
      </c>
      <c r="PT136" s="157" t="s">
        <v>94</v>
      </c>
      <c r="PU136" s="175">
        <v>16</v>
      </c>
      <c r="PV136" s="164">
        <v>0.28360000000000002</v>
      </c>
      <c r="PW136" s="674">
        <f t="shared" si="368"/>
        <v>4.5376000000000003</v>
      </c>
      <c r="PX136" s="679"/>
      <c r="PY136" s="528"/>
      <c r="PZ136" s="672" t="s">
        <v>93</v>
      </c>
      <c r="QA136" s="144">
        <v>41</v>
      </c>
      <c r="QB136" s="157" t="s">
        <v>94</v>
      </c>
      <c r="QC136" s="175">
        <v>225</v>
      </c>
      <c r="QD136" s="164">
        <v>0.28360000000000002</v>
      </c>
      <c r="QE136" s="674">
        <f t="shared" si="369"/>
        <v>63.81</v>
      </c>
      <c r="QF136" s="679"/>
      <c r="QG136" s="528"/>
      <c r="QH136" s="672" t="s">
        <v>93</v>
      </c>
      <c r="QI136" s="144">
        <v>27</v>
      </c>
      <c r="QJ136" s="157" t="s">
        <v>94</v>
      </c>
      <c r="QK136" s="175">
        <v>353</v>
      </c>
      <c r="QL136" s="164">
        <v>0.28360000000000002</v>
      </c>
      <c r="QM136" s="674">
        <f t="shared" si="370"/>
        <v>100.11080000000001</v>
      </c>
      <c r="QN136" s="679"/>
      <c r="QO136" s="528"/>
      <c r="QP136" s="672" t="s">
        <v>93</v>
      </c>
      <c r="QQ136" s="144">
        <v>34</v>
      </c>
      <c r="QR136" s="157" t="s">
        <v>94</v>
      </c>
      <c r="QS136" s="175">
        <v>16</v>
      </c>
      <c r="QT136" s="164">
        <v>0.28360000000000002</v>
      </c>
      <c r="QU136" s="674">
        <f t="shared" si="371"/>
        <v>4.5376000000000003</v>
      </c>
      <c r="QV136" s="679"/>
      <c r="QW136" s="528"/>
      <c r="QX136" s="672" t="s">
        <v>93</v>
      </c>
      <c r="QY136" s="144"/>
      <c r="QZ136" s="157" t="s">
        <v>94</v>
      </c>
      <c r="RA136" s="175"/>
      <c r="RB136" s="164">
        <v>0.28360000000000002</v>
      </c>
      <c r="RC136" s="674">
        <f t="shared" si="372"/>
        <v>0</v>
      </c>
      <c r="RD136" s="679"/>
      <c r="RE136" s="528"/>
      <c r="RF136" s="672" t="s">
        <v>93</v>
      </c>
      <c r="RG136" s="144"/>
      <c r="RH136" s="157" t="s">
        <v>94</v>
      </c>
      <c r="RI136" s="175"/>
      <c r="RJ136" s="164">
        <v>0.28360000000000002</v>
      </c>
      <c r="RK136" s="674">
        <f t="shared" si="373"/>
        <v>0</v>
      </c>
      <c r="RL136" s="679"/>
      <c r="RM136" s="528"/>
      <c r="RN136" s="672" t="s">
        <v>93</v>
      </c>
      <c r="RO136" s="144"/>
      <c r="RP136" s="157" t="s">
        <v>94</v>
      </c>
      <c r="RQ136" s="175"/>
      <c r="RR136" s="164">
        <v>0.28360000000000002</v>
      </c>
      <c r="RS136" s="674">
        <f t="shared" si="374"/>
        <v>0</v>
      </c>
      <c r="RT136" s="679"/>
      <c r="RU136" s="528"/>
      <c r="RV136" s="672" t="s">
        <v>93</v>
      </c>
      <c r="RW136" s="144">
        <v>2</v>
      </c>
      <c r="RX136" s="157" t="s">
        <v>94</v>
      </c>
      <c r="RY136" s="175"/>
      <c r="RZ136" s="164">
        <v>0.28360000000000002</v>
      </c>
      <c r="SA136" s="674">
        <f t="shared" si="375"/>
        <v>0</v>
      </c>
      <c r="SB136" s="679"/>
      <c r="SC136" s="528"/>
      <c r="SD136" s="672" t="s">
        <v>93</v>
      </c>
      <c r="SE136" s="144">
        <v>3</v>
      </c>
      <c r="SF136" s="157" t="s">
        <v>94</v>
      </c>
      <c r="SG136" s="175"/>
      <c r="SH136" s="164">
        <v>0.28360000000000002</v>
      </c>
      <c r="SI136" s="674">
        <f t="shared" si="376"/>
        <v>0</v>
      </c>
      <c r="SJ136" s="679"/>
      <c r="SK136" s="528"/>
      <c r="SL136" s="672" t="s">
        <v>93</v>
      </c>
      <c r="SM136" s="144">
        <v>7</v>
      </c>
      <c r="SN136" s="157" t="s">
        <v>94</v>
      </c>
      <c r="SO136" s="175"/>
      <c r="SP136" s="164">
        <v>0.28360000000000002</v>
      </c>
      <c r="SQ136" s="674">
        <f t="shared" si="377"/>
        <v>0</v>
      </c>
      <c r="SR136" s="679"/>
      <c r="SS136" s="528"/>
      <c r="ST136" s="672" t="s">
        <v>93</v>
      </c>
      <c r="SU136" s="144">
        <v>4</v>
      </c>
      <c r="SV136" s="157" t="s">
        <v>94</v>
      </c>
      <c r="SW136" s="175"/>
      <c r="SX136" s="164">
        <v>0.28360000000000002</v>
      </c>
      <c r="SY136" s="674">
        <f t="shared" si="378"/>
        <v>0</v>
      </c>
      <c r="SZ136" s="679"/>
      <c r="TA136" s="528"/>
      <c r="TB136" s="672" t="s">
        <v>93</v>
      </c>
      <c r="TC136" s="144">
        <v>25</v>
      </c>
      <c r="TD136" s="157" t="s">
        <v>94</v>
      </c>
      <c r="TE136" s="175"/>
      <c r="TF136" s="164">
        <v>0.28360000000000002</v>
      </c>
      <c r="TG136" s="674">
        <f t="shared" si="379"/>
        <v>0</v>
      </c>
      <c r="TH136" s="679"/>
      <c r="TI136" s="528"/>
    </row>
    <row r="137" spans="361:529">
      <c r="MW137" s="528"/>
      <c r="MX137" s="672"/>
      <c r="MY137" s="669"/>
      <c r="MZ137" s="662" t="s">
        <v>95</v>
      </c>
      <c r="NA137" s="708">
        <v>1300</v>
      </c>
      <c r="NB137" s="139">
        <v>1.1644827586206898</v>
      </c>
      <c r="NC137" s="674">
        <f>NA137*NB137</f>
        <v>1513.8275862068967</v>
      </c>
      <c r="ND137" s="705"/>
      <c r="NE137" s="528"/>
      <c r="NF137" s="672"/>
      <c r="NG137" s="669"/>
      <c r="NH137" s="662" t="s">
        <v>95</v>
      </c>
      <c r="NI137" s="664"/>
      <c r="NJ137" s="139">
        <v>1.1644827586206898</v>
      </c>
      <c r="NK137" s="674">
        <f>NI137*NJ137</f>
        <v>0</v>
      </c>
      <c r="NL137" s="705"/>
      <c r="NM137" s="528"/>
      <c r="NN137" s="672"/>
      <c r="NO137" s="669"/>
      <c r="NP137" s="662" t="s">
        <v>95</v>
      </c>
      <c r="NQ137" s="664">
        <v>7</v>
      </c>
      <c r="NR137" s="139">
        <v>1.1644827586206898</v>
      </c>
      <c r="NS137" s="674">
        <f>NQ137*NR137</f>
        <v>8.1513793103448293</v>
      </c>
      <c r="NT137" s="705"/>
      <c r="NU137" s="528"/>
      <c r="NV137" s="672"/>
      <c r="NW137" s="669"/>
      <c r="NX137" s="662" t="s">
        <v>95</v>
      </c>
      <c r="NY137" s="175">
        <v>6</v>
      </c>
      <c r="NZ137" s="139">
        <v>1.1644827586206898</v>
      </c>
      <c r="OA137" s="674">
        <f>NY137*NZ137</f>
        <v>6.986896551724139</v>
      </c>
      <c r="OB137" s="705"/>
      <c r="OC137" s="528"/>
      <c r="OD137" s="672"/>
      <c r="OE137" s="669"/>
      <c r="OF137" s="662" t="s">
        <v>95</v>
      </c>
      <c r="OG137" s="175"/>
      <c r="OH137" s="139">
        <v>1.1644827586206898</v>
      </c>
      <c r="OI137" s="674">
        <f>OG137*OH137</f>
        <v>0</v>
      </c>
      <c r="OJ137" s="705"/>
      <c r="OK137" s="528"/>
      <c r="OL137" s="672"/>
      <c r="OM137" s="669"/>
      <c r="ON137" s="662" t="s">
        <v>95</v>
      </c>
      <c r="OO137" s="175"/>
      <c r="OP137" s="139">
        <v>1.1644827586206898</v>
      </c>
      <c r="OQ137" s="674">
        <f>OO137*OP137</f>
        <v>0</v>
      </c>
      <c r="OR137" s="705"/>
      <c r="OS137" s="528"/>
      <c r="OT137" s="672"/>
      <c r="OU137" s="669"/>
      <c r="OV137" s="662" t="s">
        <v>95</v>
      </c>
      <c r="OW137" s="175"/>
      <c r="OX137" s="139">
        <v>1.1644827586206898</v>
      </c>
      <c r="OY137" s="674">
        <f>OW137*OX137</f>
        <v>0</v>
      </c>
      <c r="OZ137" s="705"/>
      <c r="PA137" s="528"/>
      <c r="PB137" s="672"/>
      <c r="PC137" s="669"/>
      <c r="PD137" s="662" t="s">
        <v>95</v>
      </c>
      <c r="PE137" s="175"/>
      <c r="PF137" s="139">
        <v>1.1644827586206898</v>
      </c>
      <c r="PG137" s="674">
        <f>PE137*PF137</f>
        <v>0</v>
      </c>
      <c r="PH137" s="705"/>
      <c r="PI137" s="528"/>
      <c r="PJ137" s="672"/>
      <c r="PK137" s="669"/>
      <c r="PL137" s="662" t="s">
        <v>95</v>
      </c>
      <c r="PM137" s="175"/>
      <c r="PN137" s="139">
        <v>1.1644827586206898</v>
      </c>
      <c r="PO137" s="674">
        <f>PM137*PN137</f>
        <v>0</v>
      </c>
      <c r="PP137" s="705"/>
      <c r="PQ137" s="528"/>
      <c r="PR137" s="672"/>
      <c r="PS137" s="669"/>
      <c r="PT137" s="662" t="s">
        <v>95</v>
      </c>
      <c r="PU137" s="175">
        <v>55</v>
      </c>
      <c r="PV137" s="139">
        <v>1.1644827586206898</v>
      </c>
      <c r="PW137" s="674">
        <f>PU137*PV137</f>
        <v>64.046551724137942</v>
      </c>
      <c r="PX137" s="705"/>
      <c r="PY137" s="528"/>
      <c r="PZ137" s="672"/>
      <c r="QA137" s="669"/>
      <c r="QB137" s="662" t="s">
        <v>95</v>
      </c>
      <c r="QC137" s="175"/>
      <c r="QD137" s="139">
        <v>1.1644827586206898</v>
      </c>
      <c r="QE137" s="674">
        <f>QC137*QD137</f>
        <v>0</v>
      </c>
      <c r="QF137" s="705"/>
      <c r="QG137" s="528"/>
      <c r="QH137" s="672"/>
      <c r="QI137" s="669"/>
      <c r="QJ137" s="662" t="s">
        <v>95</v>
      </c>
      <c r="QK137" s="175">
        <v>325</v>
      </c>
      <c r="QL137" s="139">
        <v>1.1644827586206898</v>
      </c>
      <c r="QM137" s="674">
        <f>QK137*QL137</f>
        <v>378.45689655172418</v>
      </c>
      <c r="QN137" s="705"/>
      <c r="QO137" s="528"/>
      <c r="QP137" s="672"/>
      <c r="QQ137" s="669"/>
      <c r="QR137" s="662" t="s">
        <v>95</v>
      </c>
      <c r="QS137" s="175">
        <v>494</v>
      </c>
      <c r="QT137" s="139">
        <v>1.1644827586206898</v>
      </c>
      <c r="QU137" s="674">
        <f>QS137*QT137</f>
        <v>575.25448275862072</v>
      </c>
      <c r="QV137" s="705"/>
      <c r="QW137" s="528"/>
      <c r="QX137" s="672"/>
      <c r="QY137" s="669"/>
      <c r="QZ137" s="662" t="s">
        <v>95</v>
      </c>
      <c r="RA137" s="175"/>
      <c r="RB137" s="139">
        <v>1.1644827586206898</v>
      </c>
      <c r="RC137" s="674">
        <f>RA137*RB137</f>
        <v>0</v>
      </c>
      <c r="RD137" s="705"/>
      <c r="RE137" s="528"/>
      <c r="RF137" s="672"/>
      <c r="RG137" s="669"/>
      <c r="RH137" s="662" t="s">
        <v>95</v>
      </c>
      <c r="RI137" s="175"/>
      <c r="RJ137" s="139">
        <v>1.1644827586206898</v>
      </c>
      <c r="RK137" s="674">
        <f>RI137*RJ137</f>
        <v>0</v>
      </c>
      <c r="RL137" s="705"/>
      <c r="RM137" s="528"/>
      <c r="RN137" s="672"/>
      <c r="RO137" s="669"/>
      <c r="RP137" s="662" t="s">
        <v>95</v>
      </c>
      <c r="RQ137" s="175"/>
      <c r="RR137" s="139">
        <v>1.1644827586206898</v>
      </c>
      <c r="RS137" s="674">
        <f>RQ137*RR137</f>
        <v>0</v>
      </c>
      <c r="RT137" s="705"/>
      <c r="RU137" s="528"/>
      <c r="RV137" s="672"/>
      <c r="RW137" s="669"/>
      <c r="RX137" s="662" t="s">
        <v>95</v>
      </c>
      <c r="RY137" s="175">
        <v>3</v>
      </c>
      <c r="RZ137" s="139">
        <v>1.1644827586206898</v>
      </c>
      <c r="SA137" s="674">
        <f>RY137*RZ137</f>
        <v>3.4934482758620695</v>
      </c>
      <c r="SB137" s="705"/>
      <c r="SC137" s="528"/>
      <c r="SD137" s="672"/>
      <c r="SE137" s="669"/>
      <c r="SF137" s="662" t="s">
        <v>95</v>
      </c>
      <c r="SG137" s="175">
        <v>7</v>
      </c>
      <c r="SH137" s="139">
        <v>1.1644827586206898</v>
      </c>
      <c r="SI137" s="674">
        <f>SG137*SH137</f>
        <v>8.1513793103448293</v>
      </c>
      <c r="SJ137" s="705"/>
      <c r="SK137" s="528"/>
      <c r="SL137" s="672"/>
      <c r="SM137" s="669"/>
      <c r="SN137" s="662" t="s">
        <v>95</v>
      </c>
      <c r="SO137" s="175"/>
      <c r="SP137" s="139">
        <v>1.1644827586206898</v>
      </c>
      <c r="SQ137" s="674">
        <f>SO137*SP137</f>
        <v>0</v>
      </c>
      <c r="SR137" s="705"/>
      <c r="SS137" s="528"/>
      <c r="ST137" s="672"/>
      <c r="SU137" s="669"/>
      <c r="SV137" s="662" t="s">
        <v>95</v>
      </c>
      <c r="SW137" s="175"/>
      <c r="SX137" s="139">
        <v>1.1644827586206898</v>
      </c>
      <c r="SY137" s="674">
        <f>SW137*SX137</f>
        <v>0</v>
      </c>
      <c r="SZ137" s="705"/>
      <c r="TA137" s="528"/>
      <c r="TB137" s="672"/>
      <c r="TC137" s="669"/>
      <c r="TD137" s="662" t="s">
        <v>95</v>
      </c>
      <c r="TE137" s="175">
        <v>8</v>
      </c>
      <c r="TF137" s="139">
        <v>1.1644827586206898</v>
      </c>
      <c r="TG137" s="674">
        <f>TE137*TF137</f>
        <v>9.3158620689655187</v>
      </c>
      <c r="TH137" s="705"/>
      <c r="TI137" s="528"/>
    </row>
    <row r="138" spans="361:529">
      <c r="MW138" s="528"/>
      <c r="MX138" s="672"/>
      <c r="MY138" s="670"/>
      <c r="MZ138" s="663" t="s">
        <v>96</v>
      </c>
      <c r="NA138" s="708">
        <v>262</v>
      </c>
      <c r="NB138" s="139">
        <v>0.73671428571428577</v>
      </c>
      <c r="NC138" s="140">
        <f t="shared" ref="NC138:NC141" si="380">NA138*NB138</f>
        <v>193.01914285714287</v>
      </c>
      <c r="ND138" s="159">
        <f>SUM(NC136:NC138)</f>
        <v>1906.2175290640396</v>
      </c>
      <c r="NE138" s="528"/>
      <c r="NF138" s="672"/>
      <c r="NG138" s="670"/>
      <c r="NH138" s="663" t="s">
        <v>96</v>
      </c>
      <c r="NI138" s="664">
        <v>1496</v>
      </c>
      <c r="NJ138" s="139">
        <v>0.73671428571428577</v>
      </c>
      <c r="NK138" s="140">
        <f t="shared" ref="NK138:NK141" si="381">NI138*NJ138</f>
        <v>1102.1245714285715</v>
      </c>
      <c r="NL138" s="159">
        <f>SUM(NK136:NK138)</f>
        <v>1176.7113714285715</v>
      </c>
      <c r="NM138" s="528"/>
      <c r="NN138" s="672"/>
      <c r="NO138" s="670"/>
      <c r="NP138" s="663" t="s">
        <v>96</v>
      </c>
      <c r="NQ138" s="664">
        <v>205</v>
      </c>
      <c r="NR138" s="139">
        <v>0.73671428571428577</v>
      </c>
      <c r="NS138" s="140">
        <f t="shared" ref="NS138:NS140" si="382">NQ138*NR138</f>
        <v>151.0264285714286</v>
      </c>
      <c r="NT138" s="159">
        <f>SUM(NS136:NS138)</f>
        <v>184.13460788177343</v>
      </c>
      <c r="NU138" s="528"/>
      <c r="NV138" s="672"/>
      <c r="NW138" s="670"/>
      <c r="NX138" s="663" t="s">
        <v>96</v>
      </c>
      <c r="NY138" s="175">
        <v>68</v>
      </c>
      <c r="NZ138" s="139">
        <v>0.73671428571428577</v>
      </c>
      <c r="OA138" s="140">
        <f t="shared" ref="OA138:OA140" si="383">NY138*NZ138</f>
        <v>50.09657142857143</v>
      </c>
      <c r="OB138" s="159">
        <f>SUM(OA136:OA138)</f>
        <v>89.130267980295571</v>
      </c>
      <c r="OC138" s="528"/>
      <c r="OD138" s="672"/>
      <c r="OE138" s="670"/>
      <c r="OF138" s="663" t="s">
        <v>96</v>
      </c>
      <c r="OG138" s="175">
        <v>122</v>
      </c>
      <c r="OH138" s="139">
        <v>0.73671428571428577</v>
      </c>
      <c r="OI138" s="140">
        <f t="shared" ref="OI138:OI140" si="384">OG138*OH138</f>
        <v>89.879142857142867</v>
      </c>
      <c r="OJ138" s="159">
        <f>SUM(OI136:OI138)</f>
        <v>92.715142857142865</v>
      </c>
      <c r="OK138" s="528"/>
      <c r="OL138" s="672"/>
      <c r="OM138" s="670"/>
      <c r="ON138" s="663" t="s">
        <v>96</v>
      </c>
      <c r="OO138" s="175">
        <v>7</v>
      </c>
      <c r="OP138" s="139">
        <v>0.73671428571428577</v>
      </c>
      <c r="OQ138" s="140">
        <f t="shared" ref="OQ138:OQ140" si="385">OO138*OP138</f>
        <v>5.157</v>
      </c>
      <c r="OR138" s="159">
        <f>SUM(OQ136:OQ138)</f>
        <v>5.157</v>
      </c>
      <c r="OS138" s="528"/>
      <c r="OT138" s="672"/>
      <c r="OU138" s="670"/>
      <c r="OV138" s="663" t="s">
        <v>96</v>
      </c>
      <c r="OW138" s="175"/>
      <c r="OX138" s="139">
        <v>0.73671428571428577</v>
      </c>
      <c r="OY138" s="140">
        <f t="shared" ref="OY138:OY140" si="386">OW138*OX138</f>
        <v>0</v>
      </c>
      <c r="OZ138" s="159">
        <f>SUM(OY136:OY138)</f>
        <v>0</v>
      </c>
      <c r="PA138" s="528"/>
      <c r="PB138" s="672"/>
      <c r="PC138" s="670"/>
      <c r="PD138" s="663" t="s">
        <v>96</v>
      </c>
      <c r="PE138" s="175"/>
      <c r="PF138" s="139">
        <v>0.73671428571428577</v>
      </c>
      <c r="PG138" s="140">
        <f t="shared" ref="PG138:PG140" si="387">PE138*PF138</f>
        <v>0</v>
      </c>
      <c r="PH138" s="159">
        <f>SUM(PG136:PG138)</f>
        <v>0</v>
      </c>
      <c r="PI138" s="528"/>
      <c r="PJ138" s="672"/>
      <c r="PK138" s="670"/>
      <c r="PL138" s="663" t="s">
        <v>96</v>
      </c>
      <c r="PM138" s="175">
        <v>10</v>
      </c>
      <c r="PN138" s="139">
        <v>0.73671428571428577</v>
      </c>
      <c r="PO138" s="140">
        <f t="shared" ref="PO138:PO140" si="388">PM138*PN138</f>
        <v>7.3671428571428574</v>
      </c>
      <c r="PP138" s="159">
        <f>SUM(PO136:PO138)</f>
        <v>7.3671428571428574</v>
      </c>
      <c r="PQ138" s="528"/>
      <c r="PR138" s="672"/>
      <c r="PS138" s="670"/>
      <c r="PT138" s="663" t="s">
        <v>96</v>
      </c>
      <c r="PU138" s="175"/>
      <c r="PV138" s="139">
        <v>0.73671428571428577</v>
      </c>
      <c r="PW138" s="140">
        <f t="shared" ref="PW138:PW140" si="389">PU138*PV138</f>
        <v>0</v>
      </c>
      <c r="PX138" s="159">
        <f>SUM(PW136:PW138)</f>
        <v>68.584151724137939</v>
      </c>
      <c r="PY138" s="528"/>
      <c r="PZ138" s="672"/>
      <c r="QA138" s="670"/>
      <c r="QB138" s="663" t="s">
        <v>96</v>
      </c>
      <c r="QC138" s="175">
        <v>579</v>
      </c>
      <c r="QD138" s="139">
        <v>0.73671428571428577</v>
      </c>
      <c r="QE138" s="140">
        <f t="shared" ref="QE138:QE140" si="390">QC138*QD138</f>
        <v>426.55757142857146</v>
      </c>
      <c r="QF138" s="159">
        <f>SUM(QE136:QE138)</f>
        <v>490.36757142857147</v>
      </c>
      <c r="QG138" s="528"/>
      <c r="QH138" s="672"/>
      <c r="QI138" s="670"/>
      <c r="QJ138" s="663" t="s">
        <v>96</v>
      </c>
      <c r="QK138" s="175">
        <v>58</v>
      </c>
      <c r="QL138" s="139">
        <v>0.73671428571428577</v>
      </c>
      <c r="QM138" s="140">
        <f t="shared" ref="QM138:QM140" si="391">QK138*QL138</f>
        <v>42.729428571428578</v>
      </c>
      <c r="QN138" s="159">
        <f>SUM(QM136:QM138)</f>
        <v>521.2971251231528</v>
      </c>
      <c r="QO138" s="528"/>
      <c r="QP138" s="672"/>
      <c r="QQ138" s="670"/>
      <c r="QR138" s="663" t="s">
        <v>96</v>
      </c>
      <c r="QS138" s="175">
        <v>56</v>
      </c>
      <c r="QT138" s="139">
        <v>0.73671428571428577</v>
      </c>
      <c r="QU138" s="140">
        <f t="shared" ref="QU138:QU140" si="392">QS138*QT138</f>
        <v>41.256</v>
      </c>
      <c r="QV138" s="159">
        <f>SUM(QU136:QU138)</f>
        <v>621.04808275862069</v>
      </c>
      <c r="QW138" s="528"/>
      <c r="QX138" s="672"/>
      <c r="QY138" s="670"/>
      <c r="QZ138" s="663" t="s">
        <v>96</v>
      </c>
      <c r="RA138" s="175"/>
      <c r="RB138" s="139">
        <v>0.73671428571428577</v>
      </c>
      <c r="RC138" s="140">
        <f t="shared" ref="RC138:RC140" si="393">RA138*RB138</f>
        <v>0</v>
      </c>
      <c r="RD138" s="159">
        <f>SUM(RC136:RC138)</f>
        <v>0</v>
      </c>
      <c r="RE138" s="528"/>
      <c r="RF138" s="672"/>
      <c r="RG138" s="670"/>
      <c r="RH138" s="663" t="s">
        <v>96</v>
      </c>
      <c r="RI138" s="175"/>
      <c r="RJ138" s="139">
        <v>0.73671428571428577</v>
      </c>
      <c r="RK138" s="140">
        <f t="shared" ref="RK138:RK140" si="394">RI138*RJ138</f>
        <v>0</v>
      </c>
      <c r="RL138" s="159">
        <f>SUM(RK136:RK138)</f>
        <v>0</v>
      </c>
      <c r="RM138" s="528"/>
      <c r="RN138" s="672"/>
      <c r="RO138" s="670"/>
      <c r="RP138" s="663" t="s">
        <v>96</v>
      </c>
      <c r="RQ138" s="175"/>
      <c r="RR138" s="139">
        <v>0.73671428571428577</v>
      </c>
      <c r="RS138" s="140">
        <f t="shared" ref="RS138:RS140" si="395">RQ138*RR138</f>
        <v>0</v>
      </c>
      <c r="RT138" s="159">
        <f>SUM(RS136:RS138)</f>
        <v>0</v>
      </c>
      <c r="RU138" s="528"/>
      <c r="RV138" s="672"/>
      <c r="RW138" s="670"/>
      <c r="RX138" s="663" t="s">
        <v>96</v>
      </c>
      <c r="RY138" s="175"/>
      <c r="RZ138" s="139">
        <v>0.73671428571428577</v>
      </c>
      <c r="SA138" s="140">
        <f t="shared" ref="SA138:SA140" si="396">RY138*RZ138</f>
        <v>0</v>
      </c>
      <c r="SB138" s="159">
        <f>SUM(SA136:SA138)</f>
        <v>3.4934482758620695</v>
      </c>
      <c r="SC138" s="528"/>
      <c r="SD138" s="672"/>
      <c r="SE138" s="670"/>
      <c r="SF138" s="663" t="s">
        <v>96</v>
      </c>
      <c r="SG138" s="175"/>
      <c r="SH138" s="139">
        <v>0.73671428571428577</v>
      </c>
      <c r="SI138" s="140">
        <f t="shared" ref="SI138:SI140" si="397">SG138*SH138</f>
        <v>0</v>
      </c>
      <c r="SJ138" s="159">
        <f>SUM(SI136:SI138)</f>
        <v>8.1513793103448293</v>
      </c>
      <c r="SK138" s="528"/>
      <c r="SL138" s="672"/>
      <c r="SM138" s="670"/>
      <c r="SN138" s="663" t="s">
        <v>96</v>
      </c>
      <c r="SO138" s="175">
        <v>23</v>
      </c>
      <c r="SP138" s="139">
        <v>0.73671428571428577</v>
      </c>
      <c r="SQ138" s="140">
        <f t="shared" ref="SQ138:SQ140" si="398">SO138*SP138</f>
        <v>16.944428571428574</v>
      </c>
      <c r="SR138" s="159">
        <f>SUM(SQ136:SQ138)</f>
        <v>16.944428571428574</v>
      </c>
      <c r="SS138" s="528"/>
      <c r="ST138" s="672"/>
      <c r="SU138" s="670"/>
      <c r="SV138" s="663" t="s">
        <v>96</v>
      </c>
      <c r="SW138" s="175">
        <v>71</v>
      </c>
      <c r="SX138" s="139">
        <v>0.73671428571428577</v>
      </c>
      <c r="SY138" s="140">
        <f t="shared" ref="SY138:SY140" si="399">SW138*SX138</f>
        <v>52.306714285714293</v>
      </c>
      <c r="SZ138" s="159">
        <f>SUM(SY136:SY138)</f>
        <v>52.306714285714293</v>
      </c>
      <c r="TA138" s="528"/>
      <c r="TB138" s="672"/>
      <c r="TC138" s="670"/>
      <c r="TD138" s="663" t="s">
        <v>96</v>
      </c>
      <c r="TE138" s="175">
        <v>169</v>
      </c>
      <c r="TF138" s="139">
        <v>0.73671428571428577</v>
      </c>
      <c r="TG138" s="140">
        <f t="shared" ref="TG138:TG140" si="400">TE138*TF138</f>
        <v>124.5047142857143</v>
      </c>
      <c r="TH138" s="159">
        <f>SUM(TG136:TG138)</f>
        <v>133.82057635467982</v>
      </c>
      <c r="TI138" s="528"/>
    </row>
    <row r="139" spans="361:529">
      <c r="MW139" s="528"/>
      <c r="MX139" s="699" t="s">
        <v>97</v>
      </c>
      <c r="MY139" s="678">
        <v>29</v>
      </c>
      <c r="MZ139" s="667" t="s">
        <v>36</v>
      </c>
      <c r="NA139" s="708">
        <v>349</v>
      </c>
      <c r="NB139" s="164">
        <v>4.8559259259259262</v>
      </c>
      <c r="NC139" s="140">
        <f t="shared" si="380"/>
        <v>1694.7181481481482</v>
      </c>
      <c r="ND139" s="664"/>
      <c r="NE139" s="528"/>
      <c r="NF139" s="699" t="s">
        <v>97</v>
      </c>
      <c r="NG139" s="709">
        <v>11</v>
      </c>
      <c r="NH139" s="667" t="s">
        <v>36</v>
      </c>
      <c r="NI139" s="664">
        <v>149</v>
      </c>
      <c r="NJ139" s="164">
        <v>4.8559259259259262</v>
      </c>
      <c r="NK139" s="140">
        <f t="shared" si="381"/>
        <v>723.53296296296298</v>
      </c>
      <c r="NL139" s="664"/>
      <c r="NM139" s="528"/>
      <c r="NN139" s="699" t="s">
        <v>97</v>
      </c>
      <c r="NO139" s="678">
        <v>28</v>
      </c>
      <c r="NP139" s="667" t="s">
        <v>36</v>
      </c>
      <c r="NQ139" s="664">
        <v>370</v>
      </c>
      <c r="NR139" s="164">
        <v>4.8559259259259262</v>
      </c>
      <c r="NS139" s="140">
        <f t="shared" si="382"/>
        <v>1796.6925925925927</v>
      </c>
      <c r="NT139" s="664"/>
      <c r="NU139" s="528"/>
      <c r="NV139" s="699" t="s">
        <v>97</v>
      </c>
      <c r="NW139" s="144">
        <v>28</v>
      </c>
      <c r="NX139" s="667" t="s">
        <v>36</v>
      </c>
      <c r="NY139" s="175">
        <v>435</v>
      </c>
      <c r="NZ139" s="164">
        <v>4.8559259259259262</v>
      </c>
      <c r="OA139" s="140">
        <f t="shared" si="383"/>
        <v>2112.327777777778</v>
      </c>
      <c r="OB139" s="664"/>
      <c r="OC139" s="528"/>
      <c r="OD139" s="699" t="s">
        <v>97</v>
      </c>
      <c r="OE139" s="144">
        <v>15</v>
      </c>
      <c r="OF139" s="667" t="s">
        <v>36</v>
      </c>
      <c r="OG139" s="175">
        <v>265</v>
      </c>
      <c r="OH139" s="164">
        <v>4.8559259259259262</v>
      </c>
      <c r="OI139" s="140">
        <f t="shared" si="384"/>
        <v>1286.8203703703705</v>
      </c>
      <c r="OJ139" s="664"/>
      <c r="OK139" s="528"/>
      <c r="OL139" s="699" t="s">
        <v>97</v>
      </c>
      <c r="OM139" s="144">
        <v>25</v>
      </c>
      <c r="ON139" s="667" t="s">
        <v>36</v>
      </c>
      <c r="OO139" s="175">
        <v>526</v>
      </c>
      <c r="OP139" s="164">
        <v>4.8559259259259262</v>
      </c>
      <c r="OQ139" s="140">
        <f t="shared" si="385"/>
        <v>2554.2170370370372</v>
      </c>
      <c r="OR139" s="664"/>
      <c r="OS139" s="528"/>
      <c r="OT139" s="699" t="s">
        <v>97</v>
      </c>
      <c r="OU139" s="144"/>
      <c r="OV139" s="667" t="s">
        <v>36</v>
      </c>
      <c r="OW139" s="175"/>
      <c r="OX139" s="164">
        <v>4.8559259259259262</v>
      </c>
      <c r="OY139" s="140">
        <f t="shared" si="386"/>
        <v>0</v>
      </c>
      <c r="OZ139" s="664"/>
      <c r="PA139" s="528"/>
      <c r="PB139" s="699" t="s">
        <v>97</v>
      </c>
      <c r="PC139" s="144">
        <v>1</v>
      </c>
      <c r="PD139" s="667" t="s">
        <v>36</v>
      </c>
      <c r="PE139" s="175">
        <v>15</v>
      </c>
      <c r="PF139" s="164">
        <v>4.8559259259259262</v>
      </c>
      <c r="PG139" s="140">
        <f t="shared" si="387"/>
        <v>72.838888888888889</v>
      </c>
      <c r="PH139" s="664"/>
      <c r="PI139" s="528"/>
      <c r="PJ139" s="699" t="s">
        <v>97</v>
      </c>
      <c r="PK139" s="144">
        <v>10</v>
      </c>
      <c r="PL139" s="667" t="s">
        <v>36</v>
      </c>
      <c r="PM139" s="175">
        <v>79</v>
      </c>
      <c r="PN139" s="164">
        <v>4.8559259259259262</v>
      </c>
      <c r="PO139" s="140">
        <f t="shared" si="388"/>
        <v>383.61814814814818</v>
      </c>
      <c r="PP139" s="664"/>
      <c r="PQ139" s="528"/>
      <c r="PR139" s="699" t="s">
        <v>97</v>
      </c>
      <c r="PS139" s="144">
        <v>2</v>
      </c>
      <c r="PT139" s="667" t="s">
        <v>36</v>
      </c>
      <c r="PU139" s="175">
        <v>4</v>
      </c>
      <c r="PV139" s="164">
        <v>4.8559259259259262</v>
      </c>
      <c r="PW139" s="140">
        <f t="shared" si="389"/>
        <v>19.423703703703705</v>
      </c>
      <c r="PX139" s="664"/>
      <c r="PY139" s="528"/>
      <c r="PZ139" s="699" t="s">
        <v>97</v>
      </c>
      <c r="QA139" s="144">
        <v>7</v>
      </c>
      <c r="QB139" s="667" t="s">
        <v>36</v>
      </c>
      <c r="QC139" s="175">
        <v>70</v>
      </c>
      <c r="QD139" s="164">
        <v>4.8559259259259262</v>
      </c>
      <c r="QE139" s="140">
        <f t="shared" si="390"/>
        <v>339.91481481481486</v>
      </c>
      <c r="QF139" s="664"/>
      <c r="QG139" s="528"/>
      <c r="QH139" s="699" t="s">
        <v>97</v>
      </c>
      <c r="QI139" s="144">
        <v>11</v>
      </c>
      <c r="QJ139" s="667" t="s">
        <v>36</v>
      </c>
      <c r="QK139" s="175">
        <v>68</v>
      </c>
      <c r="QL139" s="164">
        <v>4.8559259259259262</v>
      </c>
      <c r="QM139" s="140">
        <f t="shared" si="391"/>
        <v>330.202962962963</v>
      </c>
      <c r="QN139" s="664"/>
      <c r="QO139" s="528"/>
      <c r="QP139" s="699" t="s">
        <v>97</v>
      </c>
      <c r="QQ139" s="144">
        <v>16</v>
      </c>
      <c r="QR139" s="667" t="s">
        <v>36</v>
      </c>
      <c r="QS139" s="175">
        <v>124</v>
      </c>
      <c r="QT139" s="164">
        <v>4.8559259259259262</v>
      </c>
      <c r="QU139" s="140">
        <f t="shared" si="392"/>
        <v>602.13481481481483</v>
      </c>
      <c r="QV139" s="664"/>
      <c r="QW139" s="528"/>
      <c r="QX139" s="699" t="s">
        <v>97</v>
      </c>
      <c r="QY139" s="144"/>
      <c r="QZ139" s="667" t="s">
        <v>36</v>
      </c>
      <c r="RA139" s="175"/>
      <c r="RB139" s="164">
        <v>4.8559259259259262</v>
      </c>
      <c r="RC139" s="140">
        <f t="shared" si="393"/>
        <v>0</v>
      </c>
      <c r="RD139" s="664"/>
      <c r="RE139" s="528"/>
      <c r="RF139" s="699" t="s">
        <v>97</v>
      </c>
      <c r="RG139" s="144"/>
      <c r="RH139" s="667" t="s">
        <v>36</v>
      </c>
      <c r="RI139" s="175"/>
      <c r="RJ139" s="164">
        <v>4.8559259259259262</v>
      </c>
      <c r="RK139" s="140">
        <f t="shared" si="394"/>
        <v>0</v>
      </c>
      <c r="RL139" s="664"/>
      <c r="RM139" s="528"/>
      <c r="RN139" s="699" t="s">
        <v>97</v>
      </c>
      <c r="RO139" s="144">
        <v>23</v>
      </c>
      <c r="RP139" s="667" t="s">
        <v>36</v>
      </c>
      <c r="RQ139" s="175">
        <v>394</v>
      </c>
      <c r="RR139" s="164">
        <v>4.8559259259259262</v>
      </c>
      <c r="RS139" s="140">
        <f t="shared" si="395"/>
        <v>1913.2348148148149</v>
      </c>
      <c r="RT139" s="664"/>
      <c r="RU139" s="528"/>
      <c r="RV139" s="699" t="s">
        <v>97</v>
      </c>
      <c r="RW139" s="144">
        <v>27</v>
      </c>
      <c r="RX139" s="667" t="s">
        <v>36</v>
      </c>
      <c r="RY139" s="175">
        <v>294</v>
      </c>
      <c r="RZ139" s="164">
        <v>4.8559259259259262</v>
      </c>
      <c r="SA139" s="140">
        <f t="shared" si="396"/>
        <v>1427.6422222222222</v>
      </c>
      <c r="SB139" s="664"/>
      <c r="SC139" s="528"/>
      <c r="SD139" s="699" t="s">
        <v>97</v>
      </c>
      <c r="SE139" s="144">
        <v>22</v>
      </c>
      <c r="SF139" s="667" t="s">
        <v>36</v>
      </c>
      <c r="SG139" s="175">
        <v>283</v>
      </c>
      <c r="SH139" s="164">
        <v>4.8559259259259262</v>
      </c>
      <c r="SI139" s="140">
        <f t="shared" si="397"/>
        <v>1374.227037037037</v>
      </c>
      <c r="SJ139" s="664"/>
      <c r="SK139" s="528"/>
      <c r="SL139" s="699" t="s">
        <v>97</v>
      </c>
      <c r="SM139" s="144">
        <v>22</v>
      </c>
      <c r="SN139" s="667" t="s">
        <v>36</v>
      </c>
      <c r="SO139" s="175">
        <v>152</v>
      </c>
      <c r="SP139" s="164">
        <v>4.8559259259259262</v>
      </c>
      <c r="SQ139" s="140">
        <f t="shared" si="398"/>
        <v>738.10074074074078</v>
      </c>
      <c r="SR139" s="664"/>
      <c r="SS139" s="528"/>
      <c r="ST139" s="699" t="s">
        <v>97</v>
      </c>
      <c r="SU139" s="144">
        <v>31</v>
      </c>
      <c r="SV139" s="667" t="s">
        <v>36</v>
      </c>
      <c r="SW139" s="175">
        <v>400</v>
      </c>
      <c r="SX139" s="164">
        <v>4.8559259259259262</v>
      </c>
      <c r="SY139" s="140">
        <f t="shared" si="399"/>
        <v>1942.3703703703704</v>
      </c>
      <c r="SZ139" s="664"/>
      <c r="TA139" s="528"/>
      <c r="TB139" s="699" t="s">
        <v>97</v>
      </c>
      <c r="TC139" s="144">
        <v>26</v>
      </c>
      <c r="TD139" s="667" t="s">
        <v>36</v>
      </c>
      <c r="TE139" s="175">
        <v>289</v>
      </c>
      <c r="TF139" s="164">
        <v>4.8559259259259262</v>
      </c>
      <c r="TG139" s="140">
        <f t="shared" si="400"/>
        <v>1403.3625925925926</v>
      </c>
      <c r="TH139" s="664"/>
      <c r="TI139" s="528"/>
    </row>
    <row r="140" spans="361:529">
      <c r="MW140" s="528"/>
      <c r="MX140" s="672"/>
      <c r="MY140" s="668"/>
      <c r="MZ140" s="667" t="s">
        <v>85</v>
      </c>
      <c r="NA140" s="708"/>
      <c r="NB140" s="664"/>
      <c r="NC140" s="140">
        <f t="shared" si="380"/>
        <v>0</v>
      </c>
      <c r="ND140" s="159">
        <f>SUM(NC139:NC140)</f>
        <v>1694.7181481481482</v>
      </c>
      <c r="NE140" s="528"/>
      <c r="NF140" s="672"/>
      <c r="NG140" s="668"/>
      <c r="NH140" s="667" t="s">
        <v>85</v>
      </c>
      <c r="NI140" s="664"/>
      <c r="NJ140" s="664"/>
      <c r="NK140" s="140">
        <f t="shared" si="381"/>
        <v>0</v>
      </c>
      <c r="NL140" s="159">
        <f>SUM(NK139:NK140)</f>
        <v>723.53296296296298</v>
      </c>
      <c r="NM140" s="528"/>
      <c r="NN140" s="672"/>
      <c r="NO140" s="668"/>
      <c r="NP140" s="667" t="s">
        <v>85</v>
      </c>
      <c r="NQ140" s="664"/>
      <c r="NR140" s="664"/>
      <c r="NS140" s="140">
        <f t="shared" si="382"/>
        <v>0</v>
      </c>
      <c r="NT140" s="159">
        <f>SUM(NS139:NS140)</f>
        <v>1796.6925925925927</v>
      </c>
      <c r="NU140" s="528"/>
      <c r="NV140" s="672"/>
      <c r="NW140" s="668"/>
      <c r="NX140" s="667" t="s">
        <v>85</v>
      </c>
      <c r="NY140" s="175">
        <v>2</v>
      </c>
      <c r="NZ140" s="664"/>
      <c r="OA140" s="140">
        <f t="shared" si="383"/>
        <v>0</v>
      </c>
      <c r="OB140" s="159">
        <f>SUM(OA139:OA140)</f>
        <v>2112.327777777778</v>
      </c>
      <c r="OC140" s="528"/>
      <c r="OD140" s="672"/>
      <c r="OE140" s="668"/>
      <c r="OF140" s="667" t="s">
        <v>85</v>
      </c>
      <c r="OG140" s="175"/>
      <c r="OH140" s="664"/>
      <c r="OI140" s="140">
        <f t="shared" si="384"/>
        <v>0</v>
      </c>
      <c r="OJ140" s="159">
        <f>SUM(OI139:OI140)</f>
        <v>1286.8203703703705</v>
      </c>
      <c r="OK140" s="528"/>
      <c r="OL140" s="672"/>
      <c r="OM140" s="668"/>
      <c r="ON140" s="667" t="s">
        <v>85</v>
      </c>
      <c r="OO140" s="175"/>
      <c r="OP140" s="664"/>
      <c r="OQ140" s="140">
        <f t="shared" si="385"/>
        <v>0</v>
      </c>
      <c r="OR140" s="159">
        <f>SUM(OQ139:OQ140)</f>
        <v>2554.2170370370372</v>
      </c>
      <c r="OS140" s="528"/>
      <c r="OT140" s="672"/>
      <c r="OU140" s="668"/>
      <c r="OV140" s="667" t="s">
        <v>85</v>
      </c>
      <c r="OW140" s="175"/>
      <c r="OX140" s="664"/>
      <c r="OY140" s="140">
        <f t="shared" si="386"/>
        <v>0</v>
      </c>
      <c r="OZ140" s="159">
        <f>SUM(OY139:OY140)</f>
        <v>0</v>
      </c>
      <c r="PA140" s="528"/>
      <c r="PB140" s="672"/>
      <c r="PC140" s="668"/>
      <c r="PD140" s="667" t="s">
        <v>85</v>
      </c>
      <c r="PE140" s="175"/>
      <c r="PF140" s="664"/>
      <c r="PG140" s="140">
        <f t="shared" si="387"/>
        <v>0</v>
      </c>
      <c r="PH140" s="159">
        <f>SUM(PG139:PG140)</f>
        <v>72.838888888888889</v>
      </c>
      <c r="PI140" s="528"/>
      <c r="PJ140" s="672"/>
      <c r="PK140" s="668"/>
      <c r="PL140" s="667" t="s">
        <v>85</v>
      </c>
      <c r="PM140" s="175"/>
      <c r="PN140" s="664"/>
      <c r="PO140" s="140">
        <f t="shared" si="388"/>
        <v>0</v>
      </c>
      <c r="PP140" s="159">
        <f>SUM(PO139:PO140)</f>
        <v>383.61814814814818</v>
      </c>
      <c r="PQ140" s="528"/>
      <c r="PR140" s="672"/>
      <c r="PS140" s="668"/>
      <c r="PT140" s="667" t="s">
        <v>85</v>
      </c>
      <c r="PU140" s="175"/>
      <c r="PV140" s="664"/>
      <c r="PW140" s="140">
        <f t="shared" si="389"/>
        <v>0</v>
      </c>
      <c r="PX140" s="159">
        <f>SUM(PW139:PW140)</f>
        <v>19.423703703703705</v>
      </c>
      <c r="PY140" s="528"/>
      <c r="PZ140" s="672"/>
      <c r="QA140" s="668"/>
      <c r="QB140" s="667" t="s">
        <v>85</v>
      </c>
      <c r="QC140" s="175"/>
      <c r="QD140" s="664"/>
      <c r="QE140" s="140">
        <f t="shared" si="390"/>
        <v>0</v>
      </c>
      <c r="QF140" s="159">
        <f>SUM(QE139:QE140)</f>
        <v>339.91481481481486</v>
      </c>
      <c r="QG140" s="528"/>
      <c r="QH140" s="672"/>
      <c r="QI140" s="668"/>
      <c r="QJ140" s="667" t="s">
        <v>85</v>
      </c>
      <c r="QK140" s="175"/>
      <c r="QL140" s="664"/>
      <c r="QM140" s="140">
        <f t="shared" si="391"/>
        <v>0</v>
      </c>
      <c r="QN140" s="159">
        <f>SUM(QM139:QM140)</f>
        <v>330.202962962963</v>
      </c>
      <c r="QO140" s="528"/>
      <c r="QP140" s="672"/>
      <c r="QQ140" s="668"/>
      <c r="QR140" s="667" t="s">
        <v>85</v>
      </c>
      <c r="QS140" s="175">
        <v>52</v>
      </c>
      <c r="QT140" s="664"/>
      <c r="QU140" s="140">
        <f t="shared" si="392"/>
        <v>0</v>
      </c>
      <c r="QV140" s="159">
        <f>SUM(QU139:QU140)</f>
        <v>602.13481481481483</v>
      </c>
      <c r="QW140" s="528"/>
      <c r="QX140" s="672"/>
      <c r="QY140" s="668"/>
      <c r="QZ140" s="667" t="s">
        <v>85</v>
      </c>
      <c r="RA140" s="175"/>
      <c r="RB140" s="664"/>
      <c r="RC140" s="140">
        <f t="shared" si="393"/>
        <v>0</v>
      </c>
      <c r="RD140" s="159">
        <f>SUM(RC139:RC140)</f>
        <v>0</v>
      </c>
      <c r="RE140" s="528"/>
      <c r="RF140" s="672"/>
      <c r="RG140" s="668"/>
      <c r="RH140" s="667" t="s">
        <v>85</v>
      </c>
      <c r="RI140" s="175"/>
      <c r="RJ140" s="664"/>
      <c r="RK140" s="140">
        <f t="shared" si="394"/>
        <v>0</v>
      </c>
      <c r="RL140" s="159">
        <f>SUM(RK139:RK140)</f>
        <v>0</v>
      </c>
      <c r="RM140" s="528"/>
      <c r="RN140" s="672"/>
      <c r="RO140" s="668"/>
      <c r="RP140" s="667" t="s">
        <v>85</v>
      </c>
      <c r="RQ140" s="175"/>
      <c r="RR140" s="664"/>
      <c r="RS140" s="140">
        <f t="shared" si="395"/>
        <v>0</v>
      </c>
      <c r="RT140" s="159">
        <f>SUM(RS139:RS140)</f>
        <v>1913.2348148148149</v>
      </c>
      <c r="RU140" s="528"/>
      <c r="RV140" s="672"/>
      <c r="RW140" s="668"/>
      <c r="RX140" s="667" t="s">
        <v>85</v>
      </c>
      <c r="RY140" s="175"/>
      <c r="RZ140" s="664"/>
      <c r="SA140" s="140">
        <f t="shared" si="396"/>
        <v>0</v>
      </c>
      <c r="SB140" s="159">
        <f>SUM(SA139:SA140)</f>
        <v>1427.6422222222222</v>
      </c>
      <c r="SC140" s="528"/>
      <c r="SD140" s="672"/>
      <c r="SE140" s="668"/>
      <c r="SF140" s="667" t="s">
        <v>85</v>
      </c>
      <c r="SG140" s="175"/>
      <c r="SH140" s="664"/>
      <c r="SI140" s="140">
        <f t="shared" si="397"/>
        <v>0</v>
      </c>
      <c r="SJ140" s="159">
        <f>SUM(SI139:SI140)</f>
        <v>1374.227037037037</v>
      </c>
      <c r="SK140" s="528"/>
      <c r="SL140" s="672"/>
      <c r="SM140" s="668"/>
      <c r="SN140" s="667" t="s">
        <v>85</v>
      </c>
      <c r="SO140" s="175"/>
      <c r="SP140" s="664"/>
      <c r="SQ140" s="140">
        <f t="shared" si="398"/>
        <v>0</v>
      </c>
      <c r="SR140" s="159">
        <f>SUM(SQ139:SQ140)</f>
        <v>738.10074074074078</v>
      </c>
      <c r="SS140" s="528"/>
      <c r="ST140" s="672"/>
      <c r="SU140" s="668"/>
      <c r="SV140" s="667" t="s">
        <v>85</v>
      </c>
      <c r="SW140" s="175"/>
      <c r="SX140" s="664"/>
      <c r="SY140" s="140">
        <f t="shared" si="399"/>
        <v>0</v>
      </c>
      <c r="SZ140" s="159">
        <f>SUM(SY139:SY140)</f>
        <v>1942.3703703703704</v>
      </c>
      <c r="TA140" s="528"/>
      <c r="TB140" s="672"/>
      <c r="TC140" s="668"/>
      <c r="TD140" s="667" t="s">
        <v>85</v>
      </c>
      <c r="TE140" s="175"/>
      <c r="TF140" s="664"/>
      <c r="TG140" s="140">
        <f t="shared" si="400"/>
        <v>0</v>
      </c>
      <c r="TH140" s="159">
        <f>SUM(TG139:TG140)</f>
        <v>1403.3625925925926</v>
      </c>
      <c r="TI140" s="528"/>
    </row>
    <row r="141" spans="361:529">
      <c r="MW141" s="528"/>
      <c r="MX141" s="673" t="s">
        <v>98</v>
      </c>
      <c r="MY141" s="664">
        <v>52</v>
      </c>
      <c r="MZ141" s="664" t="s">
        <v>368</v>
      </c>
      <c r="NA141" s="708">
        <v>849</v>
      </c>
      <c r="NB141" s="707">
        <v>0.85</v>
      </c>
      <c r="NC141" s="140">
        <f t="shared" si="380"/>
        <v>721.65</v>
      </c>
      <c r="ND141" s="159">
        <f>NA141*NB141</f>
        <v>721.65</v>
      </c>
      <c r="NE141" s="528"/>
      <c r="NF141" s="673" t="s">
        <v>98</v>
      </c>
      <c r="NG141" s="713">
        <v>43</v>
      </c>
      <c r="NH141" s="664" t="s">
        <v>368</v>
      </c>
      <c r="NI141" s="664">
        <v>977</v>
      </c>
      <c r="NJ141" s="707">
        <v>0.85</v>
      </c>
      <c r="NK141" s="140">
        <f t="shared" si="381"/>
        <v>830.44999999999993</v>
      </c>
      <c r="NL141" s="159">
        <f>NI141*NJ141</f>
        <v>830.44999999999993</v>
      </c>
      <c r="NM141" s="528"/>
      <c r="NN141" s="673" t="s">
        <v>98</v>
      </c>
      <c r="NO141" s="664">
        <v>22</v>
      </c>
      <c r="NP141" s="664" t="s">
        <v>368</v>
      </c>
      <c r="NQ141" s="664">
        <v>355</v>
      </c>
      <c r="NR141" s="707">
        <v>0.85</v>
      </c>
      <c r="NS141" s="140">
        <f>NQ141*NR141</f>
        <v>301.75</v>
      </c>
      <c r="NT141" s="159">
        <f>NQ141*NR141</f>
        <v>301.75</v>
      </c>
      <c r="NU141" s="528"/>
      <c r="NV141" s="673" t="s">
        <v>98</v>
      </c>
      <c r="NW141" s="144">
        <v>29</v>
      </c>
      <c r="NX141" s="664" t="s">
        <v>368</v>
      </c>
      <c r="NY141" s="175">
        <v>957</v>
      </c>
      <c r="NZ141" s="707">
        <v>0.85</v>
      </c>
      <c r="OA141" s="140">
        <f>NY141*NZ141</f>
        <v>813.44999999999993</v>
      </c>
      <c r="OB141" s="159">
        <f>NY141*NZ141</f>
        <v>813.44999999999993</v>
      </c>
      <c r="OC141" s="528"/>
      <c r="OD141" s="673" t="s">
        <v>98</v>
      </c>
      <c r="OE141" s="144">
        <v>17</v>
      </c>
      <c r="OF141" s="664" t="s">
        <v>368</v>
      </c>
      <c r="OG141" s="175">
        <v>738</v>
      </c>
      <c r="OH141" s="707">
        <v>0.85</v>
      </c>
      <c r="OI141" s="140">
        <f>OG141*OH141</f>
        <v>627.29999999999995</v>
      </c>
      <c r="OJ141" s="159">
        <f>OG141*OH141</f>
        <v>627.29999999999995</v>
      </c>
      <c r="OK141" s="528"/>
      <c r="OL141" s="673" t="s">
        <v>98</v>
      </c>
      <c r="OM141" s="144">
        <v>31</v>
      </c>
      <c r="ON141" s="664" t="s">
        <v>368</v>
      </c>
      <c r="OO141" s="175">
        <v>759</v>
      </c>
      <c r="OP141" s="707">
        <v>0.85</v>
      </c>
      <c r="OQ141" s="140">
        <f>OO141*OP141</f>
        <v>645.15</v>
      </c>
      <c r="OR141" s="159">
        <f>OO141*OP141</f>
        <v>645.15</v>
      </c>
      <c r="OS141" s="528"/>
      <c r="OT141" s="673" t="s">
        <v>98</v>
      </c>
      <c r="OU141" s="144"/>
      <c r="OV141" s="664" t="s">
        <v>368</v>
      </c>
      <c r="OW141" s="175"/>
      <c r="OX141" s="707">
        <v>0.85</v>
      </c>
      <c r="OY141" s="140">
        <f>OW141*OX141</f>
        <v>0</v>
      </c>
      <c r="OZ141" s="159">
        <f>OW141*OX141</f>
        <v>0</v>
      </c>
      <c r="PA141" s="528"/>
      <c r="PB141" s="673" t="s">
        <v>98</v>
      </c>
      <c r="PC141" s="144">
        <v>6</v>
      </c>
      <c r="PD141" s="664" t="s">
        <v>368</v>
      </c>
      <c r="PE141" s="175">
        <v>157</v>
      </c>
      <c r="PF141" s="707">
        <v>0.85</v>
      </c>
      <c r="PG141" s="140">
        <f>PE141*PF141</f>
        <v>133.44999999999999</v>
      </c>
      <c r="PH141" s="159">
        <f>PE141*PF141</f>
        <v>133.44999999999999</v>
      </c>
      <c r="PI141" s="528"/>
      <c r="PJ141" s="673" t="s">
        <v>98</v>
      </c>
      <c r="PK141" s="144">
        <v>34</v>
      </c>
      <c r="PL141" s="664" t="s">
        <v>368</v>
      </c>
      <c r="PM141" s="175">
        <v>2</v>
      </c>
      <c r="PN141" s="707">
        <v>0.85</v>
      </c>
      <c r="PO141" s="140">
        <f>PM141*PN141</f>
        <v>1.7</v>
      </c>
      <c r="PP141" s="159">
        <f>PM141*PN141</f>
        <v>1.7</v>
      </c>
      <c r="PQ141" s="528"/>
      <c r="PR141" s="673" t="s">
        <v>98</v>
      </c>
      <c r="PS141" s="144">
        <v>5</v>
      </c>
      <c r="PT141" s="664" t="s">
        <v>368</v>
      </c>
      <c r="PU141" s="175">
        <v>73</v>
      </c>
      <c r="PV141" s="707">
        <v>0.85</v>
      </c>
      <c r="PW141" s="140">
        <f>PU141*PV141</f>
        <v>62.05</v>
      </c>
      <c r="PX141" s="159">
        <f>PU141*PV141</f>
        <v>62.05</v>
      </c>
      <c r="PY141" s="528"/>
      <c r="PZ141" s="673" t="s">
        <v>98</v>
      </c>
      <c r="QA141" s="144">
        <v>11</v>
      </c>
      <c r="QB141" s="664" t="s">
        <v>368</v>
      </c>
      <c r="QC141" s="175">
        <v>137</v>
      </c>
      <c r="QD141" s="707">
        <v>0.85</v>
      </c>
      <c r="QE141" s="140">
        <f>QC141*QD141</f>
        <v>116.45</v>
      </c>
      <c r="QF141" s="159">
        <f>QC141*QD141</f>
        <v>116.45</v>
      </c>
      <c r="QG141" s="528"/>
      <c r="QH141" s="673" t="s">
        <v>98</v>
      </c>
      <c r="QI141" s="144">
        <v>13</v>
      </c>
      <c r="QJ141" s="664" t="s">
        <v>368</v>
      </c>
      <c r="QK141" s="175">
        <v>134</v>
      </c>
      <c r="QL141" s="707">
        <v>0.85</v>
      </c>
      <c r="QM141" s="140">
        <f>QK141*QL141</f>
        <v>113.89999999999999</v>
      </c>
      <c r="QN141" s="159">
        <f>QK141*QL141</f>
        <v>113.89999999999999</v>
      </c>
      <c r="QO141" s="528"/>
      <c r="QP141" s="673" t="s">
        <v>98</v>
      </c>
      <c r="QQ141" s="144">
        <v>22</v>
      </c>
      <c r="QR141" s="664" t="s">
        <v>368</v>
      </c>
      <c r="QS141" s="175">
        <v>884</v>
      </c>
      <c r="QT141" s="707">
        <v>0.85</v>
      </c>
      <c r="QU141" s="140">
        <f>QS141*QT141</f>
        <v>751.4</v>
      </c>
      <c r="QV141" s="159">
        <f>QS141*QT141</f>
        <v>751.4</v>
      </c>
      <c r="QW141" s="528"/>
      <c r="QX141" s="673" t="s">
        <v>98</v>
      </c>
      <c r="QY141" s="144"/>
      <c r="QZ141" s="664" t="s">
        <v>368</v>
      </c>
      <c r="RA141" s="175"/>
      <c r="RB141" s="707">
        <v>0.85</v>
      </c>
      <c r="RC141" s="140">
        <f>RA141*RB141</f>
        <v>0</v>
      </c>
      <c r="RD141" s="159">
        <f>RA141*RB141</f>
        <v>0</v>
      </c>
      <c r="RE141" s="528"/>
      <c r="RF141" s="673" t="s">
        <v>98</v>
      </c>
      <c r="RG141" s="144"/>
      <c r="RH141" s="664" t="s">
        <v>368</v>
      </c>
      <c r="RI141" s="175"/>
      <c r="RJ141" s="707">
        <v>0.85</v>
      </c>
      <c r="RK141" s="140">
        <f>RI141*RJ141</f>
        <v>0</v>
      </c>
      <c r="RL141" s="159">
        <f>RI141*RJ141</f>
        <v>0</v>
      </c>
      <c r="RM141" s="528"/>
      <c r="RN141" s="673" t="s">
        <v>98</v>
      </c>
      <c r="RO141" s="144">
        <v>28</v>
      </c>
      <c r="RP141" s="664" t="s">
        <v>368</v>
      </c>
      <c r="RQ141" s="175">
        <v>656</v>
      </c>
      <c r="RR141" s="707">
        <v>0.85</v>
      </c>
      <c r="RS141" s="140">
        <f>RQ141*RR141</f>
        <v>557.6</v>
      </c>
      <c r="RT141" s="159">
        <f>RQ141*RR141</f>
        <v>557.6</v>
      </c>
      <c r="RU141" s="528"/>
      <c r="RV141" s="673" t="s">
        <v>98</v>
      </c>
      <c r="RW141" s="144">
        <v>33</v>
      </c>
      <c r="RX141" s="664" t="s">
        <v>368</v>
      </c>
      <c r="RY141" s="175">
        <v>379</v>
      </c>
      <c r="RZ141" s="707">
        <v>0.85</v>
      </c>
      <c r="SA141" s="140">
        <f>RY141*RZ141</f>
        <v>322.14999999999998</v>
      </c>
      <c r="SB141" s="159">
        <f>RY141*RZ141</f>
        <v>322.14999999999998</v>
      </c>
      <c r="SC141" s="528"/>
      <c r="SD141" s="673" t="s">
        <v>98</v>
      </c>
      <c r="SE141" s="144">
        <v>20</v>
      </c>
      <c r="SF141" s="664" t="s">
        <v>368</v>
      </c>
      <c r="SG141" s="175">
        <v>254</v>
      </c>
      <c r="SH141" s="707">
        <v>0.85</v>
      </c>
      <c r="SI141" s="140">
        <f>SG141*SH141</f>
        <v>215.9</v>
      </c>
      <c r="SJ141" s="159">
        <f>SG141*SH141</f>
        <v>215.9</v>
      </c>
      <c r="SK141" s="528"/>
      <c r="SL141" s="673" t="s">
        <v>98</v>
      </c>
      <c r="SM141" s="144">
        <v>15</v>
      </c>
      <c r="SN141" s="664" t="s">
        <v>368</v>
      </c>
      <c r="SO141" s="175">
        <v>316</v>
      </c>
      <c r="SP141" s="707">
        <v>0.85</v>
      </c>
      <c r="SQ141" s="140">
        <f>SO141*SP141</f>
        <v>268.59999999999997</v>
      </c>
      <c r="SR141" s="159">
        <f>SO141*SP141</f>
        <v>268.59999999999997</v>
      </c>
      <c r="SS141" s="528"/>
      <c r="ST141" s="673" t="s">
        <v>98</v>
      </c>
      <c r="SU141" s="144">
        <v>21</v>
      </c>
      <c r="SV141" s="664" t="s">
        <v>368</v>
      </c>
      <c r="SW141" s="175">
        <v>327</v>
      </c>
      <c r="SX141" s="707">
        <v>0.85</v>
      </c>
      <c r="SY141" s="140">
        <f>SW141*SX141</f>
        <v>277.95</v>
      </c>
      <c r="SZ141" s="159">
        <f>SW141*SX141</f>
        <v>277.95</v>
      </c>
      <c r="TA141" s="528"/>
      <c r="TB141" s="673" t="s">
        <v>98</v>
      </c>
      <c r="TC141" s="144">
        <v>22</v>
      </c>
      <c r="TD141" s="664" t="s">
        <v>368</v>
      </c>
      <c r="TE141" s="175">
        <v>495</v>
      </c>
      <c r="TF141" s="707">
        <v>0.85</v>
      </c>
      <c r="TG141" s="140">
        <f>TE141*TF141</f>
        <v>420.75</v>
      </c>
      <c r="TH141" s="159">
        <f>TE141*TF141</f>
        <v>420.75</v>
      </c>
      <c r="TI141" s="528"/>
    </row>
  </sheetData>
  <pageMargins left="0.7" right="0.7" top="0.75" bottom="0.75" header="0.3" footer="0.3"/>
  <pageSetup paperSize="9" scale="1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  <pageSetUpPr fitToPage="1"/>
  </sheetPr>
  <dimension ref="A1:OI206"/>
  <sheetViews>
    <sheetView zoomScaleNormal="100" workbookViewId="0">
      <pane xSplit="4" ySplit="5" topLeftCell="NR159" activePane="bottomRight" state="frozen"/>
      <selection pane="topRight" activeCell="E1" sqref="E1"/>
      <selection pane="bottomLeft" activeCell="A6" sqref="A6"/>
      <selection pane="bottomRight" activeCell="A158" sqref="A158:XFD158"/>
    </sheetView>
  </sheetViews>
  <sheetFormatPr defaultRowHeight="14.5"/>
  <cols>
    <col min="1" max="1" width="11.7265625" bestFit="1" customWidth="1"/>
    <col min="2" max="2" width="11.453125" customWidth="1"/>
    <col min="3" max="3" width="20.453125" bestFit="1" customWidth="1"/>
    <col min="4" max="4" width="16.453125" bestFit="1" customWidth="1"/>
    <col min="7" max="7" width="8.81640625" bestFit="1" customWidth="1"/>
    <col min="8" max="8" width="9.1796875" customWidth="1"/>
    <col min="9" max="9" width="10.453125" customWidth="1"/>
    <col min="13" max="13" width="8.81640625" bestFit="1" customWidth="1"/>
    <col min="14" max="14" width="9.1796875" customWidth="1"/>
    <col min="15" max="15" width="10.453125" customWidth="1"/>
    <col min="19" max="19" width="8.81640625" bestFit="1" customWidth="1"/>
    <col min="20" max="20" width="9.1796875" customWidth="1"/>
    <col min="21" max="21" width="10.453125" customWidth="1"/>
    <col min="25" max="25" width="8.81640625" bestFit="1" customWidth="1"/>
    <col min="26" max="26" width="9.1796875" customWidth="1"/>
    <col min="27" max="27" width="10.453125" customWidth="1"/>
    <col min="31" max="31" width="8.81640625" bestFit="1" customWidth="1"/>
    <col min="32" max="32" width="9.1796875" customWidth="1"/>
    <col min="33" max="33" width="10.453125" customWidth="1"/>
    <col min="37" max="37" width="8.81640625" bestFit="1" customWidth="1"/>
    <col min="38" max="38" width="9.1796875" customWidth="1"/>
    <col min="39" max="39" width="10.453125" customWidth="1"/>
    <col min="43" max="43" width="8.81640625" bestFit="1" customWidth="1"/>
    <col min="44" max="44" width="9.1796875" customWidth="1"/>
    <col min="45" max="45" width="10.453125" customWidth="1"/>
    <col min="49" max="49" width="8.81640625" bestFit="1" customWidth="1"/>
    <col min="50" max="50" width="9.1796875" customWidth="1"/>
    <col min="51" max="52" width="10.453125" customWidth="1"/>
    <col min="55" max="55" width="8.81640625" bestFit="1" customWidth="1"/>
    <col min="56" max="56" width="9.1796875" customWidth="1"/>
    <col min="57" max="58" width="10.453125" customWidth="1"/>
    <col min="61" max="61" width="8.81640625" bestFit="1" customWidth="1"/>
    <col min="62" max="62" width="9.1796875" customWidth="1"/>
    <col min="63" max="64" width="10.453125" customWidth="1"/>
    <col min="67" max="67" width="8.81640625" bestFit="1" customWidth="1"/>
    <col min="68" max="68" width="9.1796875" customWidth="1"/>
    <col min="69" max="69" width="10.453125" customWidth="1"/>
    <col min="73" max="73" width="8.81640625" bestFit="1" customWidth="1"/>
    <col min="74" max="74" width="9.1796875" customWidth="1"/>
    <col min="75" max="76" width="10.453125" customWidth="1"/>
    <col min="79" max="79" width="8.81640625" bestFit="1" customWidth="1"/>
    <col min="80" max="80" width="9.1796875" customWidth="1"/>
    <col min="81" max="82" width="10.453125" customWidth="1"/>
    <col min="85" max="85" width="8.81640625" bestFit="1" customWidth="1"/>
    <col min="86" max="86" width="9.1796875" customWidth="1"/>
    <col min="87" max="88" width="10.453125" customWidth="1"/>
    <col min="91" max="91" width="8.81640625" bestFit="1" customWidth="1"/>
    <col min="92" max="92" width="9.1796875" customWidth="1"/>
    <col min="93" max="94" width="10.453125" customWidth="1"/>
    <col min="97" max="97" width="8.81640625" bestFit="1" customWidth="1"/>
    <col min="98" max="98" width="9.1796875" customWidth="1"/>
    <col min="99" max="100" width="10.453125" customWidth="1"/>
    <col min="103" max="103" width="8.81640625" bestFit="1" customWidth="1"/>
    <col min="104" max="104" width="9.1796875" customWidth="1"/>
    <col min="105" max="106" width="10.453125" customWidth="1"/>
    <col min="109" max="109" width="8.81640625" bestFit="1" customWidth="1"/>
    <col min="110" max="110" width="9.1796875" customWidth="1"/>
    <col min="111" max="112" width="10.453125" customWidth="1"/>
    <col min="115" max="115" width="8.81640625" bestFit="1" customWidth="1"/>
    <col min="116" max="116" width="9.1796875" customWidth="1"/>
    <col min="117" max="118" width="10.453125" customWidth="1"/>
    <col min="121" max="121" width="8.81640625" bestFit="1" customWidth="1"/>
    <col min="122" max="122" width="9.1796875" customWidth="1"/>
    <col min="123" max="124" width="10.453125" customWidth="1"/>
    <col min="127" max="127" width="8.81640625" bestFit="1" customWidth="1"/>
    <col min="128" max="128" width="9.1796875" customWidth="1"/>
    <col min="129" max="130" width="10.453125" customWidth="1"/>
    <col min="133" max="133" width="8.81640625" bestFit="1" customWidth="1"/>
    <col min="134" max="134" width="9.1796875" customWidth="1"/>
    <col min="135" max="136" width="10.453125" customWidth="1"/>
    <col min="139" max="139" width="8.81640625" bestFit="1" customWidth="1"/>
    <col min="140" max="140" width="9.1796875" customWidth="1"/>
    <col min="141" max="142" width="10.453125" customWidth="1"/>
    <col min="145" max="145" width="8.81640625" bestFit="1" customWidth="1"/>
    <col min="146" max="146" width="9.1796875" customWidth="1"/>
    <col min="147" max="147" width="10.453125" customWidth="1"/>
    <col min="151" max="151" width="8.81640625" bestFit="1" customWidth="1"/>
    <col min="152" max="152" width="9.1796875" customWidth="1"/>
    <col min="153" max="153" width="10.453125" customWidth="1"/>
    <col min="176" max="176" width="9.54296875" bestFit="1" customWidth="1"/>
    <col min="177" max="177" width="9.26953125" bestFit="1" customWidth="1"/>
    <col min="218" max="218" width="9.54296875" bestFit="1" customWidth="1"/>
    <col min="219" max="219" width="9.26953125" bestFit="1" customWidth="1"/>
    <col min="281" max="281" width="10.54296875" customWidth="1"/>
    <col min="282" max="282" width="9.453125" customWidth="1"/>
    <col min="283" max="283" width="9.54296875" customWidth="1"/>
    <col min="284" max="284" width="9.453125" style="178" customWidth="1"/>
    <col min="285" max="285" width="9.26953125" customWidth="1"/>
    <col min="288" max="288" width="10.453125" customWidth="1"/>
    <col min="289" max="289" width="9.7265625" customWidth="1"/>
    <col min="290" max="290" width="10.26953125" style="178" customWidth="1"/>
    <col min="294" max="294" width="10.453125" customWidth="1"/>
    <col min="295" max="295" width="9.7265625" customWidth="1"/>
    <col min="296" max="296" width="10.26953125" style="178" customWidth="1"/>
    <col min="365" max="367" width="9.1796875" style="805"/>
  </cols>
  <sheetData>
    <row r="1" spans="2:399" ht="15" customHeight="1">
      <c r="E1" s="945">
        <v>42370</v>
      </c>
      <c r="F1" s="946"/>
      <c r="G1" s="946"/>
      <c r="H1" s="946"/>
      <c r="I1" s="946"/>
      <c r="K1" s="945">
        <v>42401</v>
      </c>
      <c r="L1" s="946"/>
      <c r="M1" s="946"/>
      <c r="N1" s="946"/>
      <c r="O1" s="946"/>
      <c r="Q1" s="945">
        <v>42430</v>
      </c>
      <c r="R1" s="946"/>
      <c r="S1" s="946"/>
      <c r="T1" s="946"/>
      <c r="U1" s="946"/>
      <c r="W1" s="945">
        <v>42461</v>
      </c>
      <c r="X1" s="946"/>
      <c r="Y1" s="946"/>
      <c r="Z1" s="946"/>
      <c r="AA1" s="946"/>
      <c r="AC1" s="945">
        <v>42491</v>
      </c>
      <c r="AD1" s="946"/>
      <c r="AE1" s="946"/>
      <c r="AF1" s="946"/>
      <c r="AG1" s="946"/>
      <c r="AI1" s="945">
        <v>42522</v>
      </c>
      <c r="AJ1" s="946"/>
      <c r="AK1" s="946"/>
      <c r="AL1" s="946"/>
      <c r="AM1" s="946"/>
      <c r="AO1" s="945">
        <v>42552</v>
      </c>
      <c r="AP1" s="946"/>
      <c r="AQ1" s="946"/>
      <c r="AR1" s="946"/>
      <c r="AS1" s="946"/>
      <c r="AU1" s="945">
        <v>42583</v>
      </c>
      <c r="AV1" s="946"/>
      <c r="AW1" s="946"/>
      <c r="AX1" s="946"/>
      <c r="AY1" s="946"/>
      <c r="AZ1" s="527"/>
      <c r="BA1" s="945">
        <v>42614</v>
      </c>
      <c r="BB1" s="946"/>
      <c r="BC1" s="946"/>
      <c r="BD1" s="946"/>
      <c r="BE1" s="946"/>
      <c r="BF1" s="527"/>
      <c r="BG1" s="945">
        <v>42644</v>
      </c>
      <c r="BH1" s="946"/>
      <c r="BI1" s="946"/>
      <c r="BJ1" s="946"/>
      <c r="BK1" s="946"/>
      <c r="BL1" s="527"/>
      <c r="BM1" s="945">
        <v>42675</v>
      </c>
      <c r="BN1" s="946"/>
      <c r="BO1" s="946"/>
      <c r="BP1" s="946"/>
      <c r="BQ1" s="946"/>
      <c r="BS1" s="945">
        <v>42705</v>
      </c>
      <c r="BT1" s="946"/>
      <c r="BU1" s="946"/>
      <c r="BV1" s="946"/>
      <c r="BW1" s="946"/>
      <c r="BX1" s="527"/>
      <c r="BY1" s="945">
        <v>42736</v>
      </c>
      <c r="BZ1" s="946"/>
      <c r="CA1" s="946"/>
      <c r="CB1" s="946"/>
      <c r="CC1" s="946"/>
      <c r="CD1" s="527"/>
      <c r="CE1" s="945">
        <v>42767</v>
      </c>
      <c r="CF1" s="946"/>
      <c r="CG1" s="946"/>
      <c r="CH1" s="946"/>
      <c r="CI1" s="946"/>
      <c r="CJ1" s="527"/>
      <c r="CK1" s="945">
        <v>42795</v>
      </c>
      <c r="CL1" s="946"/>
      <c r="CM1" s="946"/>
      <c r="CN1" s="946"/>
      <c r="CO1" s="946"/>
      <c r="CP1" s="527"/>
      <c r="CQ1" s="945">
        <v>42826</v>
      </c>
      <c r="CR1" s="946"/>
      <c r="CS1" s="946"/>
      <c r="CT1" s="946"/>
      <c r="CU1" s="946"/>
      <c r="CV1" s="527"/>
      <c r="CW1" s="945">
        <v>42856</v>
      </c>
      <c r="CX1" s="946"/>
      <c r="CY1" s="946"/>
      <c r="CZ1" s="946"/>
      <c r="DA1" s="946"/>
      <c r="DB1" s="527"/>
      <c r="DC1" s="945">
        <v>42887</v>
      </c>
      <c r="DD1" s="946"/>
      <c r="DE1" s="946"/>
      <c r="DF1" s="946"/>
      <c r="DG1" s="946"/>
      <c r="DH1" s="527"/>
      <c r="DI1" s="945">
        <v>42917</v>
      </c>
      <c r="DJ1" s="946"/>
      <c r="DK1" s="946"/>
      <c r="DL1" s="946"/>
      <c r="DM1" s="946"/>
      <c r="DN1" s="527"/>
      <c r="DO1" s="945">
        <v>42948</v>
      </c>
      <c r="DP1" s="946"/>
      <c r="DQ1" s="946"/>
      <c r="DR1" s="946"/>
      <c r="DS1" s="946"/>
      <c r="DT1" s="527"/>
      <c r="DU1" s="945">
        <v>42979</v>
      </c>
      <c r="DV1" s="946"/>
      <c r="DW1" s="946"/>
      <c r="DX1" s="946"/>
      <c r="DY1" s="946"/>
      <c r="DZ1" s="527"/>
      <c r="EA1" s="945">
        <v>43009</v>
      </c>
      <c r="EB1" s="946"/>
      <c r="EC1" s="946"/>
      <c r="ED1" s="946"/>
      <c r="EE1" s="946"/>
      <c r="EF1" s="527"/>
      <c r="EG1" s="945">
        <v>43040</v>
      </c>
      <c r="EH1" s="946"/>
      <c r="EI1" s="946"/>
      <c r="EJ1" s="946"/>
      <c r="EK1" s="946"/>
      <c r="EL1" s="527"/>
      <c r="EM1" s="945">
        <v>43070</v>
      </c>
      <c r="EN1" s="946"/>
      <c r="EO1" s="946"/>
      <c r="EP1" s="946"/>
      <c r="EQ1" s="946"/>
      <c r="ES1" s="945">
        <v>43101</v>
      </c>
      <c r="ET1" s="946"/>
      <c r="EU1" s="946"/>
      <c r="EV1" s="946"/>
      <c r="EW1" s="946"/>
      <c r="EY1" s="945">
        <v>43132</v>
      </c>
      <c r="EZ1" s="946"/>
      <c r="FA1" s="946"/>
      <c r="FB1" s="946"/>
      <c r="FC1" s="946"/>
      <c r="FE1" s="945">
        <v>43160</v>
      </c>
      <c r="FF1" s="946"/>
      <c r="FG1" s="946"/>
      <c r="FH1" s="946"/>
      <c r="FI1" s="946"/>
      <c r="FK1" s="945">
        <v>43191</v>
      </c>
      <c r="FL1" s="946"/>
      <c r="FM1" s="946"/>
      <c r="FN1" s="946"/>
      <c r="FO1" s="946"/>
      <c r="FQ1" s="945">
        <v>43221</v>
      </c>
      <c r="FR1" s="946"/>
      <c r="FS1" s="946"/>
      <c r="FT1" s="946"/>
      <c r="FU1" s="946"/>
      <c r="FW1" s="945">
        <v>43252</v>
      </c>
      <c r="FX1" s="946"/>
      <c r="FY1" s="946"/>
      <c r="FZ1" s="946"/>
      <c r="GA1" s="946"/>
      <c r="GC1" s="945">
        <v>43282</v>
      </c>
      <c r="GD1" s="946"/>
      <c r="GE1" s="946"/>
      <c r="GF1" s="946"/>
      <c r="GG1" s="946"/>
      <c r="GI1" s="945">
        <v>43313</v>
      </c>
      <c r="GJ1" s="946"/>
      <c r="GK1" s="946"/>
      <c r="GL1" s="946"/>
      <c r="GM1" s="946"/>
      <c r="GO1" s="945">
        <v>43344</v>
      </c>
      <c r="GP1" s="946"/>
      <c r="GQ1" s="946"/>
      <c r="GR1" s="946"/>
      <c r="GS1" s="946"/>
      <c r="GU1" s="945">
        <v>43374</v>
      </c>
      <c r="GV1" s="946"/>
      <c r="GW1" s="946"/>
      <c r="GX1" s="946"/>
      <c r="GY1" s="946"/>
      <c r="HA1" s="945">
        <v>43405</v>
      </c>
      <c r="HB1" s="946"/>
      <c r="HC1" s="946"/>
      <c r="HD1" s="946"/>
      <c r="HE1" s="946"/>
      <c r="HG1" s="945">
        <v>43435</v>
      </c>
      <c r="HH1" s="946"/>
      <c r="HI1" s="946"/>
      <c r="HJ1" s="946"/>
      <c r="HK1" s="946"/>
      <c r="HM1" s="945">
        <v>43466</v>
      </c>
      <c r="HN1" s="946"/>
      <c r="HO1" s="946"/>
      <c r="HP1" s="946"/>
      <c r="HQ1" s="946"/>
      <c r="HS1" s="945">
        <v>43497</v>
      </c>
      <c r="HT1" s="946"/>
      <c r="HU1" s="946"/>
      <c r="HV1" s="946"/>
      <c r="HW1" s="946"/>
      <c r="HY1" s="945">
        <v>43525</v>
      </c>
      <c r="HZ1" s="946"/>
      <c r="IA1" s="946"/>
      <c r="IB1" s="946"/>
      <c r="IC1" s="946"/>
      <c r="IE1" s="945">
        <v>43556</v>
      </c>
      <c r="IF1" s="946"/>
      <c r="IG1" s="946"/>
      <c r="IH1" s="946"/>
      <c r="II1" s="946"/>
      <c r="IK1" s="945">
        <v>43586</v>
      </c>
      <c r="IL1" s="946"/>
      <c r="IM1" s="946"/>
      <c r="IN1" s="946"/>
      <c r="IO1" s="946"/>
      <c r="IQ1" s="945">
        <v>43617</v>
      </c>
      <c r="IR1" s="946"/>
      <c r="IS1" s="946"/>
      <c r="IT1" s="946"/>
      <c r="IU1" s="946"/>
      <c r="IW1" s="945">
        <v>43647</v>
      </c>
      <c r="IX1" s="946"/>
      <c r="IY1" s="946"/>
      <c r="IZ1" s="946"/>
      <c r="JA1" s="946"/>
      <c r="JC1" s="945">
        <v>43678</v>
      </c>
      <c r="JD1" s="946"/>
      <c r="JE1" s="946"/>
      <c r="JF1" s="946"/>
      <c r="JG1" s="946"/>
      <c r="JI1" s="945">
        <v>43709</v>
      </c>
      <c r="JJ1" s="946"/>
      <c r="JK1" s="946"/>
      <c r="JL1" s="946"/>
      <c r="JM1" s="946"/>
      <c r="JO1" s="945">
        <v>43739</v>
      </c>
      <c r="JP1" s="946"/>
      <c r="JQ1" s="946"/>
      <c r="JR1" s="946"/>
      <c r="JS1" s="946"/>
      <c r="JU1" s="945">
        <v>43770</v>
      </c>
      <c r="JV1" s="945"/>
      <c r="JW1" s="945"/>
      <c r="JX1" s="945"/>
      <c r="JY1" s="945"/>
      <c r="KA1" s="925">
        <v>43800</v>
      </c>
      <c r="KB1" s="925"/>
      <c r="KC1" s="925"/>
      <c r="KD1" s="925"/>
      <c r="KE1" s="925"/>
      <c r="KG1" s="925">
        <v>43831</v>
      </c>
      <c r="KH1" s="925"/>
      <c r="KI1" s="925"/>
      <c r="KJ1" s="925"/>
      <c r="KK1" s="925"/>
      <c r="KM1" s="925">
        <v>43862</v>
      </c>
      <c r="KN1" s="925"/>
      <c r="KO1" s="925"/>
      <c r="KP1" s="925"/>
      <c r="KQ1" s="925"/>
      <c r="KS1" s="925">
        <v>43891</v>
      </c>
      <c r="KT1" s="925"/>
      <c r="KU1" s="925"/>
      <c r="KV1" s="925"/>
      <c r="KW1" s="925"/>
      <c r="KY1" s="925">
        <v>43922</v>
      </c>
      <c r="KZ1" s="925"/>
      <c r="LA1" s="925"/>
      <c r="LB1" s="925"/>
      <c r="LC1" s="925"/>
      <c r="LE1" s="925">
        <v>43952</v>
      </c>
      <c r="LF1" s="925"/>
      <c r="LG1" s="925"/>
      <c r="LH1" s="925"/>
      <c r="LI1" s="925"/>
      <c r="LK1" s="925">
        <v>43983</v>
      </c>
      <c r="LL1" s="925"/>
      <c r="LM1" s="925"/>
      <c r="LN1" s="925"/>
      <c r="LO1" s="925"/>
      <c r="LQ1" s="925">
        <v>44013</v>
      </c>
      <c r="LR1" s="925"/>
      <c r="LS1" s="925"/>
      <c r="LT1" s="925"/>
      <c r="LU1" s="925"/>
      <c r="LW1" s="925">
        <v>44044</v>
      </c>
      <c r="LX1" s="925"/>
      <c r="LY1" s="925"/>
      <c r="LZ1" s="925"/>
      <c r="MA1" s="925"/>
      <c r="MC1" s="925">
        <v>44075</v>
      </c>
      <c r="MD1" s="925"/>
      <c r="ME1" s="925"/>
      <c r="MF1" s="925"/>
      <c r="MG1" s="925"/>
      <c r="MI1" s="925">
        <v>44105</v>
      </c>
      <c r="MJ1" s="925"/>
      <c r="MK1" s="925"/>
      <c r="ML1" s="925"/>
      <c r="MM1" s="925"/>
      <c r="MO1" s="925">
        <v>44136</v>
      </c>
      <c r="MP1" s="925"/>
      <c r="MQ1" s="925"/>
      <c r="MR1" s="925"/>
      <c r="MS1" s="925"/>
      <c r="MU1" s="925">
        <v>44166</v>
      </c>
      <c r="MV1" s="925"/>
      <c r="MW1" s="925"/>
      <c r="MX1" s="925"/>
      <c r="MY1" s="925"/>
      <c r="NA1" s="925">
        <v>44197</v>
      </c>
      <c r="NB1" s="925"/>
      <c r="NC1" s="925"/>
      <c r="ND1" s="925"/>
      <c r="NE1" s="925"/>
      <c r="NG1" s="925">
        <v>44228</v>
      </c>
      <c r="NH1" s="925"/>
      <c r="NI1" s="925"/>
      <c r="NJ1" s="925"/>
      <c r="NK1" s="925"/>
      <c r="NM1" s="925">
        <v>44256</v>
      </c>
      <c r="NN1" s="925"/>
      <c r="NO1" s="925"/>
      <c r="NP1" s="925"/>
      <c r="NQ1" s="925"/>
      <c r="NS1" s="925">
        <v>44287</v>
      </c>
      <c r="NT1" s="925"/>
      <c r="NU1" s="925"/>
      <c r="NV1" s="925"/>
      <c r="NW1" s="925"/>
      <c r="NY1" s="925">
        <v>44317</v>
      </c>
      <c r="NZ1" s="925"/>
      <c r="OA1" s="925"/>
      <c r="OB1" s="925"/>
      <c r="OC1" s="925"/>
      <c r="OE1" s="925">
        <v>44348</v>
      </c>
      <c r="OF1" s="925"/>
      <c r="OG1" s="925"/>
      <c r="OH1" s="925"/>
      <c r="OI1" s="925"/>
    </row>
    <row r="2" spans="2:399" ht="15" customHeight="1">
      <c r="C2" s="947" t="s">
        <v>101</v>
      </c>
      <c r="D2" s="1"/>
      <c r="E2" s="946"/>
      <c r="F2" s="946"/>
      <c r="G2" s="946"/>
      <c r="H2" s="946"/>
      <c r="I2" s="946"/>
      <c r="K2" s="946"/>
      <c r="L2" s="946"/>
      <c r="M2" s="946"/>
      <c r="N2" s="946"/>
      <c r="O2" s="946"/>
      <c r="Q2" s="946"/>
      <c r="R2" s="946"/>
      <c r="S2" s="946"/>
      <c r="T2" s="946"/>
      <c r="U2" s="946"/>
      <c r="W2" s="946"/>
      <c r="X2" s="946"/>
      <c r="Y2" s="946"/>
      <c r="Z2" s="946"/>
      <c r="AA2" s="946"/>
      <c r="AC2" s="946"/>
      <c r="AD2" s="946"/>
      <c r="AE2" s="946"/>
      <c r="AF2" s="946"/>
      <c r="AG2" s="946"/>
      <c r="AI2" s="946"/>
      <c r="AJ2" s="946"/>
      <c r="AK2" s="946"/>
      <c r="AL2" s="946"/>
      <c r="AM2" s="946"/>
      <c r="AO2" s="946"/>
      <c r="AP2" s="946"/>
      <c r="AQ2" s="946"/>
      <c r="AR2" s="946"/>
      <c r="AS2" s="946"/>
      <c r="AU2" s="946"/>
      <c r="AV2" s="946"/>
      <c r="AW2" s="946"/>
      <c r="AX2" s="946"/>
      <c r="AY2" s="946"/>
      <c r="AZ2" s="527"/>
      <c r="BA2" s="946"/>
      <c r="BB2" s="946"/>
      <c r="BC2" s="946"/>
      <c r="BD2" s="946"/>
      <c r="BE2" s="946"/>
      <c r="BF2" s="527"/>
      <c r="BG2" s="946"/>
      <c r="BH2" s="946"/>
      <c r="BI2" s="946"/>
      <c r="BJ2" s="946"/>
      <c r="BK2" s="946"/>
      <c r="BL2" s="527"/>
      <c r="BM2" s="946"/>
      <c r="BN2" s="946"/>
      <c r="BO2" s="946"/>
      <c r="BP2" s="946"/>
      <c r="BQ2" s="946"/>
      <c r="BS2" s="946"/>
      <c r="BT2" s="946"/>
      <c r="BU2" s="946"/>
      <c r="BV2" s="946"/>
      <c r="BW2" s="946"/>
      <c r="BX2" s="527"/>
      <c r="BY2" s="946"/>
      <c r="BZ2" s="946"/>
      <c r="CA2" s="946"/>
      <c r="CB2" s="946"/>
      <c r="CC2" s="946"/>
      <c r="CD2" s="527"/>
      <c r="CE2" s="946"/>
      <c r="CF2" s="946"/>
      <c r="CG2" s="946"/>
      <c r="CH2" s="946"/>
      <c r="CI2" s="946"/>
      <c r="CJ2" s="527"/>
      <c r="CK2" s="946"/>
      <c r="CL2" s="946"/>
      <c r="CM2" s="946"/>
      <c r="CN2" s="946"/>
      <c r="CO2" s="946"/>
      <c r="CP2" s="527"/>
      <c r="CQ2" s="946"/>
      <c r="CR2" s="946"/>
      <c r="CS2" s="946"/>
      <c r="CT2" s="946"/>
      <c r="CU2" s="946"/>
      <c r="CV2" s="527"/>
      <c r="CW2" s="946"/>
      <c r="CX2" s="946"/>
      <c r="CY2" s="946"/>
      <c r="CZ2" s="946"/>
      <c r="DA2" s="946"/>
      <c r="DB2" s="527"/>
      <c r="DC2" s="946"/>
      <c r="DD2" s="946"/>
      <c r="DE2" s="946"/>
      <c r="DF2" s="946"/>
      <c r="DG2" s="946"/>
      <c r="DH2" s="527"/>
      <c r="DI2" s="946"/>
      <c r="DJ2" s="946"/>
      <c r="DK2" s="946"/>
      <c r="DL2" s="946"/>
      <c r="DM2" s="946"/>
      <c r="DN2" s="527"/>
      <c r="DO2" s="946"/>
      <c r="DP2" s="946"/>
      <c r="DQ2" s="946"/>
      <c r="DR2" s="946"/>
      <c r="DS2" s="946"/>
      <c r="DT2" s="527"/>
      <c r="DU2" s="946"/>
      <c r="DV2" s="946"/>
      <c r="DW2" s="946"/>
      <c r="DX2" s="946"/>
      <c r="DY2" s="946"/>
      <c r="DZ2" s="527"/>
      <c r="EA2" s="946"/>
      <c r="EB2" s="946"/>
      <c r="EC2" s="946"/>
      <c r="ED2" s="946"/>
      <c r="EE2" s="946"/>
      <c r="EF2" s="527"/>
      <c r="EG2" s="946"/>
      <c r="EH2" s="946"/>
      <c r="EI2" s="946"/>
      <c r="EJ2" s="946"/>
      <c r="EK2" s="946"/>
      <c r="EL2" s="527"/>
      <c r="EM2" s="946"/>
      <c r="EN2" s="946"/>
      <c r="EO2" s="946"/>
      <c r="EP2" s="946"/>
      <c r="EQ2" s="946"/>
      <c r="ES2" s="946"/>
      <c r="ET2" s="946"/>
      <c r="EU2" s="946"/>
      <c r="EV2" s="946"/>
      <c r="EW2" s="946"/>
      <c r="EY2" s="946"/>
      <c r="EZ2" s="946"/>
      <c r="FA2" s="946"/>
      <c r="FB2" s="946"/>
      <c r="FC2" s="946"/>
      <c r="FE2" s="946"/>
      <c r="FF2" s="946"/>
      <c r="FG2" s="946"/>
      <c r="FH2" s="946"/>
      <c r="FI2" s="946"/>
      <c r="FK2" s="946"/>
      <c r="FL2" s="946"/>
      <c r="FM2" s="946"/>
      <c r="FN2" s="946"/>
      <c r="FO2" s="946"/>
      <c r="FQ2" s="946"/>
      <c r="FR2" s="946"/>
      <c r="FS2" s="946"/>
      <c r="FT2" s="946"/>
      <c r="FU2" s="946"/>
      <c r="FW2" s="946"/>
      <c r="FX2" s="946"/>
      <c r="FY2" s="946"/>
      <c r="FZ2" s="946"/>
      <c r="GA2" s="946"/>
      <c r="GC2" s="946"/>
      <c r="GD2" s="946"/>
      <c r="GE2" s="946"/>
      <c r="GF2" s="946"/>
      <c r="GG2" s="946"/>
      <c r="GI2" s="946"/>
      <c r="GJ2" s="946"/>
      <c r="GK2" s="946"/>
      <c r="GL2" s="946"/>
      <c r="GM2" s="946"/>
      <c r="GO2" s="946"/>
      <c r="GP2" s="946"/>
      <c r="GQ2" s="946"/>
      <c r="GR2" s="946"/>
      <c r="GS2" s="946"/>
      <c r="GU2" s="946"/>
      <c r="GV2" s="946"/>
      <c r="GW2" s="946"/>
      <c r="GX2" s="946"/>
      <c r="GY2" s="946"/>
      <c r="HA2" s="946"/>
      <c r="HB2" s="946"/>
      <c r="HC2" s="946"/>
      <c r="HD2" s="946"/>
      <c r="HE2" s="946"/>
      <c r="HG2" s="946"/>
      <c r="HH2" s="946"/>
      <c r="HI2" s="946"/>
      <c r="HJ2" s="946"/>
      <c r="HK2" s="946"/>
      <c r="HM2" s="946"/>
      <c r="HN2" s="946"/>
      <c r="HO2" s="946"/>
      <c r="HP2" s="946"/>
      <c r="HQ2" s="946"/>
      <c r="HS2" s="946"/>
      <c r="HT2" s="946"/>
      <c r="HU2" s="946"/>
      <c r="HV2" s="946"/>
      <c r="HW2" s="946"/>
      <c r="HY2" s="946"/>
      <c r="HZ2" s="946"/>
      <c r="IA2" s="946"/>
      <c r="IB2" s="946"/>
      <c r="IC2" s="946"/>
      <c r="IE2" s="946"/>
      <c r="IF2" s="946"/>
      <c r="IG2" s="946"/>
      <c r="IH2" s="946"/>
      <c r="II2" s="946"/>
      <c r="IK2" s="946"/>
      <c r="IL2" s="946"/>
      <c r="IM2" s="946"/>
      <c r="IN2" s="946"/>
      <c r="IO2" s="946"/>
      <c r="IQ2" s="946"/>
      <c r="IR2" s="946"/>
      <c r="IS2" s="946"/>
      <c r="IT2" s="946"/>
      <c r="IU2" s="946"/>
      <c r="IW2" s="946"/>
      <c r="IX2" s="946"/>
      <c r="IY2" s="946"/>
      <c r="IZ2" s="946"/>
      <c r="JA2" s="946"/>
      <c r="JC2" s="946"/>
      <c r="JD2" s="946"/>
      <c r="JE2" s="946"/>
      <c r="JF2" s="946"/>
      <c r="JG2" s="946"/>
      <c r="JI2" s="946"/>
      <c r="JJ2" s="946"/>
      <c r="JK2" s="946"/>
      <c r="JL2" s="946"/>
      <c r="JM2" s="946"/>
      <c r="JO2" s="946"/>
      <c r="JP2" s="946"/>
      <c r="JQ2" s="946"/>
      <c r="JR2" s="946"/>
      <c r="JS2" s="946"/>
      <c r="JU2" s="945"/>
      <c r="JV2" s="945"/>
      <c r="JW2" s="945"/>
      <c r="JX2" s="945"/>
      <c r="JY2" s="945"/>
      <c r="KA2" s="925"/>
      <c r="KB2" s="925"/>
      <c r="KC2" s="925"/>
      <c r="KD2" s="925"/>
      <c r="KE2" s="925"/>
      <c r="KG2" s="925"/>
      <c r="KH2" s="925"/>
      <c r="KI2" s="925"/>
      <c r="KJ2" s="925"/>
      <c r="KK2" s="925"/>
      <c r="KM2" s="925"/>
      <c r="KN2" s="925"/>
      <c r="KO2" s="925"/>
      <c r="KP2" s="925"/>
      <c r="KQ2" s="925"/>
      <c r="KS2" s="925"/>
      <c r="KT2" s="925"/>
      <c r="KU2" s="925"/>
      <c r="KV2" s="925"/>
      <c r="KW2" s="925"/>
      <c r="KY2" s="925"/>
      <c r="KZ2" s="925"/>
      <c r="LA2" s="925"/>
      <c r="LB2" s="925"/>
      <c r="LC2" s="925"/>
      <c r="LE2" s="925"/>
      <c r="LF2" s="925"/>
      <c r="LG2" s="925"/>
      <c r="LH2" s="925"/>
      <c r="LI2" s="925"/>
      <c r="LK2" s="925"/>
      <c r="LL2" s="925"/>
      <c r="LM2" s="925"/>
      <c r="LN2" s="925"/>
      <c r="LO2" s="925"/>
      <c r="LQ2" s="925"/>
      <c r="LR2" s="925"/>
      <c r="LS2" s="925"/>
      <c r="LT2" s="925"/>
      <c r="LU2" s="925"/>
      <c r="LW2" s="925"/>
      <c r="LX2" s="925"/>
      <c r="LY2" s="925"/>
      <c r="LZ2" s="925"/>
      <c r="MA2" s="925"/>
      <c r="MC2" s="925"/>
      <c r="MD2" s="925"/>
      <c r="ME2" s="925"/>
      <c r="MF2" s="925"/>
      <c r="MG2" s="925"/>
      <c r="MI2" s="925"/>
      <c r="MJ2" s="925"/>
      <c r="MK2" s="925"/>
      <c r="ML2" s="925"/>
      <c r="MM2" s="925"/>
      <c r="MO2" s="925"/>
      <c r="MP2" s="925"/>
      <c r="MQ2" s="925"/>
      <c r="MR2" s="925"/>
      <c r="MS2" s="925"/>
      <c r="MU2" s="925"/>
      <c r="MV2" s="925"/>
      <c r="MW2" s="925"/>
      <c r="MX2" s="925"/>
      <c r="MY2" s="925"/>
      <c r="NA2" s="925"/>
      <c r="NB2" s="925"/>
      <c r="NC2" s="925"/>
      <c r="ND2" s="925"/>
      <c r="NE2" s="925"/>
      <c r="NG2" s="925"/>
      <c r="NH2" s="925"/>
      <c r="NI2" s="925"/>
      <c r="NJ2" s="925"/>
      <c r="NK2" s="925"/>
      <c r="NM2" s="925"/>
      <c r="NN2" s="925"/>
      <c r="NO2" s="925"/>
      <c r="NP2" s="925"/>
      <c r="NQ2" s="925"/>
      <c r="NS2" s="925"/>
      <c r="NT2" s="925"/>
      <c r="NU2" s="925"/>
      <c r="NV2" s="925"/>
      <c r="NW2" s="925"/>
      <c r="NY2" s="925"/>
      <c r="NZ2" s="925"/>
      <c r="OA2" s="925"/>
      <c r="OB2" s="925"/>
      <c r="OC2" s="925"/>
      <c r="OE2" s="925"/>
      <c r="OF2" s="925"/>
      <c r="OG2" s="925"/>
      <c r="OH2" s="925"/>
      <c r="OI2" s="925"/>
    </row>
    <row r="3" spans="2:399" ht="24" customHeight="1">
      <c r="B3" s="2"/>
      <c r="C3" s="947"/>
      <c r="D3" s="4"/>
      <c r="E3" s="934" t="s">
        <v>0</v>
      </c>
      <c r="F3" s="934"/>
      <c r="G3" s="934"/>
      <c r="H3" s="934"/>
      <c r="I3" s="934"/>
      <c r="K3" s="934" t="s">
        <v>0</v>
      </c>
      <c r="L3" s="934"/>
      <c r="M3" s="934"/>
      <c r="N3" s="934"/>
      <c r="O3" s="934"/>
      <c r="Q3" s="934" t="s">
        <v>0</v>
      </c>
      <c r="R3" s="934"/>
      <c r="S3" s="934"/>
      <c r="T3" s="934"/>
      <c r="U3" s="934"/>
      <c r="W3" s="934" t="s">
        <v>0</v>
      </c>
      <c r="X3" s="934"/>
      <c r="Y3" s="934"/>
      <c r="Z3" s="934"/>
      <c r="AA3" s="934"/>
      <c r="AC3" s="934" t="s">
        <v>0</v>
      </c>
      <c r="AD3" s="934"/>
      <c r="AE3" s="934"/>
      <c r="AF3" s="934"/>
      <c r="AG3" s="934"/>
      <c r="AI3" s="934" t="s">
        <v>0</v>
      </c>
      <c r="AJ3" s="934"/>
      <c r="AK3" s="934"/>
      <c r="AL3" s="934"/>
      <c r="AM3" s="934"/>
      <c r="AO3" s="934" t="s">
        <v>0</v>
      </c>
      <c r="AP3" s="934"/>
      <c r="AQ3" s="934"/>
      <c r="AR3" s="934"/>
      <c r="AS3" s="934"/>
      <c r="AU3" s="934" t="s">
        <v>0</v>
      </c>
      <c r="AV3" s="934"/>
      <c r="AW3" s="934"/>
      <c r="AX3" s="934"/>
      <c r="AY3" s="934"/>
      <c r="AZ3" s="590"/>
      <c r="BA3" s="934" t="s">
        <v>0</v>
      </c>
      <c r="BB3" s="934"/>
      <c r="BC3" s="934"/>
      <c r="BD3" s="934"/>
      <c r="BE3" s="934"/>
      <c r="BF3" s="590"/>
      <c r="BG3" s="934" t="s">
        <v>0</v>
      </c>
      <c r="BH3" s="934"/>
      <c r="BI3" s="934"/>
      <c r="BJ3" s="934"/>
      <c r="BK3" s="934"/>
      <c r="BL3" s="590"/>
      <c r="BM3" s="934" t="s">
        <v>0</v>
      </c>
      <c r="BN3" s="934"/>
      <c r="BO3" s="934"/>
      <c r="BP3" s="934"/>
      <c r="BQ3" s="934"/>
      <c r="BS3" s="934" t="s">
        <v>0</v>
      </c>
      <c r="BT3" s="934"/>
      <c r="BU3" s="934"/>
      <c r="BV3" s="934"/>
      <c r="BW3" s="934"/>
      <c r="BX3" s="590"/>
      <c r="BY3" s="934" t="s">
        <v>0</v>
      </c>
      <c r="BZ3" s="934"/>
      <c r="CA3" s="934"/>
      <c r="CB3" s="934"/>
      <c r="CC3" s="934"/>
      <c r="CD3" s="590"/>
      <c r="CE3" s="934" t="s">
        <v>0</v>
      </c>
      <c r="CF3" s="934"/>
      <c r="CG3" s="934"/>
      <c r="CH3" s="934"/>
      <c r="CI3" s="934"/>
      <c r="CJ3" s="590"/>
      <c r="CK3" s="934" t="s">
        <v>0</v>
      </c>
      <c r="CL3" s="934"/>
      <c r="CM3" s="934"/>
      <c r="CN3" s="934"/>
      <c r="CO3" s="934"/>
      <c r="CP3" s="590"/>
      <c r="CQ3" s="934" t="s">
        <v>0</v>
      </c>
      <c r="CR3" s="934"/>
      <c r="CS3" s="934"/>
      <c r="CT3" s="934"/>
      <c r="CU3" s="934"/>
      <c r="CV3" s="590"/>
      <c r="CW3" s="934" t="s">
        <v>0</v>
      </c>
      <c r="CX3" s="934"/>
      <c r="CY3" s="934"/>
      <c r="CZ3" s="934"/>
      <c r="DA3" s="934"/>
      <c r="DB3" s="590"/>
      <c r="DC3" s="934" t="s">
        <v>0</v>
      </c>
      <c r="DD3" s="934"/>
      <c r="DE3" s="934"/>
      <c r="DF3" s="934"/>
      <c r="DG3" s="934"/>
      <c r="DH3" s="590"/>
      <c r="DI3" s="934" t="s">
        <v>0</v>
      </c>
      <c r="DJ3" s="934"/>
      <c r="DK3" s="934"/>
      <c r="DL3" s="934"/>
      <c r="DM3" s="934"/>
      <c r="DN3" s="590"/>
      <c r="DO3" s="934" t="s">
        <v>0</v>
      </c>
      <c r="DP3" s="934"/>
      <c r="DQ3" s="934"/>
      <c r="DR3" s="934"/>
      <c r="DS3" s="934"/>
      <c r="DT3" s="590"/>
      <c r="DU3" s="934" t="s">
        <v>0</v>
      </c>
      <c r="DV3" s="934"/>
      <c r="DW3" s="934"/>
      <c r="DX3" s="934"/>
      <c r="DY3" s="934"/>
      <c r="DZ3" s="590"/>
      <c r="EA3" s="934" t="s">
        <v>0</v>
      </c>
      <c r="EB3" s="934"/>
      <c r="EC3" s="934"/>
      <c r="ED3" s="934"/>
      <c r="EE3" s="934"/>
      <c r="EF3" s="590"/>
      <c r="EG3" s="934" t="s">
        <v>0</v>
      </c>
      <c r="EH3" s="934"/>
      <c r="EI3" s="934"/>
      <c r="EJ3" s="934"/>
      <c r="EK3" s="934"/>
      <c r="EL3" s="590"/>
      <c r="EM3" s="934" t="s">
        <v>0</v>
      </c>
      <c r="EN3" s="934"/>
      <c r="EO3" s="934"/>
      <c r="EP3" s="934"/>
      <c r="EQ3" s="934"/>
      <c r="ES3" s="934" t="s">
        <v>0</v>
      </c>
      <c r="ET3" s="934"/>
      <c r="EU3" s="934"/>
      <c r="EV3" s="934"/>
      <c r="EW3" s="934"/>
      <c r="EY3" s="934" t="s">
        <v>0</v>
      </c>
      <c r="EZ3" s="934"/>
      <c r="FA3" s="934"/>
      <c r="FB3" s="934"/>
      <c r="FC3" s="934"/>
      <c r="FE3" s="934" t="s">
        <v>0</v>
      </c>
      <c r="FF3" s="934"/>
      <c r="FG3" s="934"/>
      <c r="FH3" s="934"/>
      <c r="FI3" s="934"/>
      <c r="FK3" s="934" t="s">
        <v>0</v>
      </c>
      <c r="FL3" s="934"/>
      <c r="FM3" s="934"/>
      <c r="FN3" s="934"/>
      <c r="FO3" s="934"/>
      <c r="FQ3" s="934" t="s">
        <v>0</v>
      </c>
      <c r="FR3" s="934"/>
      <c r="FS3" s="934"/>
      <c r="FT3" s="934"/>
      <c r="FU3" s="934"/>
      <c r="FW3" s="934" t="s">
        <v>0</v>
      </c>
      <c r="FX3" s="934"/>
      <c r="FY3" s="934"/>
      <c r="FZ3" s="934"/>
      <c r="GA3" s="934"/>
      <c r="GC3" s="934" t="s">
        <v>0</v>
      </c>
      <c r="GD3" s="934"/>
      <c r="GE3" s="934"/>
      <c r="GF3" s="934"/>
      <c r="GG3" s="934"/>
      <c r="GI3" s="934" t="s">
        <v>0</v>
      </c>
      <c r="GJ3" s="934"/>
      <c r="GK3" s="934"/>
      <c r="GL3" s="934"/>
      <c r="GM3" s="934"/>
      <c r="GO3" s="934" t="s">
        <v>0</v>
      </c>
      <c r="GP3" s="934"/>
      <c r="GQ3" s="934"/>
      <c r="GR3" s="934"/>
      <c r="GS3" s="934"/>
      <c r="GU3" s="934" t="s">
        <v>0</v>
      </c>
      <c r="GV3" s="934"/>
      <c r="GW3" s="934"/>
      <c r="GX3" s="934"/>
      <c r="GY3" s="934"/>
      <c r="HA3" s="934" t="s">
        <v>0</v>
      </c>
      <c r="HB3" s="934"/>
      <c r="HC3" s="934"/>
      <c r="HD3" s="934"/>
      <c r="HE3" s="934"/>
      <c r="HG3" s="934" t="s">
        <v>0</v>
      </c>
      <c r="HH3" s="934"/>
      <c r="HI3" s="934"/>
      <c r="HJ3" s="934"/>
      <c r="HK3" s="934"/>
      <c r="HM3" s="934" t="s">
        <v>0</v>
      </c>
      <c r="HN3" s="934"/>
      <c r="HO3" s="934"/>
      <c r="HP3" s="934"/>
      <c r="HQ3" s="934"/>
      <c r="HS3" s="934" t="s">
        <v>0</v>
      </c>
      <c r="HT3" s="934"/>
      <c r="HU3" s="934"/>
      <c r="HV3" s="934"/>
      <c r="HW3" s="934"/>
      <c r="HY3" s="934" t="s">
        <v>0</v>
      </c>
      <c r="HZ3" s="934"/>
      <c r="IA3" s="934"/>
      <c r="IB3" s="934"/>
      <c r="IC3" s="934"/>
      <c r="IE3" s="934" t="s">
        <v>0</v>
      </c>
      <c r="IF3" s="934"/>
      <c r="IG3" s="934"/>
      <c r="IH3" s="934"/>
      <c r="II3" s="934"/>
      <c r="IK3" s="934" t="s">
        <v>0</v>
      </c>
      <c r="IL3" s="934"/>
      <c r="IM3" s="934"/>
      <c r="IN3" s="934"/>
      <c r="IO3" s="934"/>
      <c r="IQ3" s="934" t="s">
        <v>0</v>
      </c>
      <c r="IR3" s="934"/>
      <c r="IS3" s="934"/>
      <c r="IT3" s="934"/>
      <c r="IU3" s="934"/>
      <c r="IW3" s="934" t="s">
        <v>0</v>
      </c>
      <c r="IX3" s="934"/>
      <c r="IY3" s="934"/>
      <c r="IZ3" s="934"/>
      <c r="JA3" s="934"/>
      <c r="JC3" s="934" t="s">
        <v>0</v>
      </c>
      <c r="JD3" s="934"/>
      <c r="JE3" s="934"/>
      <c r="JF3" s="934"/>
      <c r="JG3" s="934"/>
      <c r="JI3" s="934" t="s">
        <v>0</v>
      </c>
      <c r="JJ3" s="934"/>
      <c r="JK3" s="934"/>
      <c r="JL3" s="934"/>
      <c r="JM3" s="934"/>
      <c r="JO3" s="934" t="s">
        <v>0</v>
      </c>
      <c r="JP3" s="934"/>
      <c r="JQ3" s="934"/>
      <c r="JR3" s="934"/>
      <c r="JS3" s="934"/>
      <c r="JU3" s="934" t="s">
        <v>0</v>
      </c>
      <c r="JV3" s="934"/>
      <c r="JW3" s="934"/>
      <c r="JX3" s="934"/>
      <c r="JY3" s="934"/>
      <c r="KA3" s="926" t="s">
        <v>0</v>
      </c>
      <c r="KB3" s="926"/>
      <c r="KC3" s="926"/>
      <c r="KD3" s="926"/>
      <c r="KE3" s="926"/>
      <c r="KG3" s="926" t="s">
        <v>0</v>
      </c>
      <c r="KH3" s="926"/>
      <c r="KI3" s="926"/>
      <c r="KJ3" s="926"/>
      <c r="KK3" s="926"/>
      <c r="KM3" s="926" t="s">
        <v>0</v>
      </c>
      <c r="KN3" s="926"/>
      <c r="KO3" s="926"/>
      <c r="KP3" s="926"/>
      <c r="KQ3" s="926"/>
      <c r="KS3" s="926" t="s">
        <v>0</v>
      </c>
      <c r="KT3" s="926"/>
      <c r="KU3" s="926"/>
      <c r="KV3" s="926"/>
      <c r="KW3" s="926"/>
      <c r="KY3" s="926" t="s">
        <v>0</v>
      </c>
      <c r="KZ3" s="926"/>
      <c r="LA3" s="926"/>
      <c r="LB3" s="926"/>
      <c r="LC3" s="926"/>
      <c r="LE3" s="926" t="s">
        <v>0</v>
      </c>
      <c r="LF3" s="926"/>
      <c r="LG3" s="926"/>
      <c r="LH3" s="926"/>
      <c r="LI3" s="926"/>
      <c r="LK3" s="926" t="s">
        <v>0</v>
      </c>
      <c r="LL3" s="926"/>
      <c r="LM3" s="926"/>
      <c r="LN3" s="926"/>
      <c r="LO3" s="926"/>
      <c r="LQ3" s="926" t="s">
        <v>0</v>
      </c>
      <c r="LR3" s="926"/>
      <c r="LS3" s="926"/>
      <c r="LT3" s="926"/>
      <c r="LU3" s="926"/>
      <c r="LW3" s="926" t="s">
        <v>0</v>
      </c>
      <c r="LX3" s="926"/>
      <c r="LY3" s="926"/>
      <c r="LZ3" s="926"/>
      <c r="MA3" s="926"/>
      <c r="MC3" s="926" t="s">
        <v>0</v>
      </c>
      <c r="MD3" s="926"/>
      <c r="ME3" s="926"/>
      <c r="MF3" s="926"/>
      <c r="MG3" s="926"/>
      <c r="MI3" s="926" t="s">
        <v>0</v>
      </c>
      <c r="MJ3" s="926"/>
      <c r="MK3" s="926"/>
      <c r="ML3" s="926"/>
      <c r="MM3" s="926"/>
      <c r="MO3" s="926" t="s">
        <v>0</v>
      </c>
      <c r="MP3" s="926"/>
      <c r="MQ3" s="926"/>
      <c r="MR3" s="926"/>
      <c r="MS3" s="926"/>
      <c r="MU3" s="926" t="s">
        <v>0</v>
      </c>
      <c r="MV3" s="926"/>
      <c r="MW3" s="926"/>
      <c r="MX3" s="926"/>
      <c r="MY3" s="926"/>
      <c r="NA3" s="926" t="s">
        <v>0</v>
      </c>
      <c r="NB3" s="926"/>
      <c r="NC3" s="926"/>
      <c r="ND3" s="926"/>
      <c r="NE3" s="926"/>
      <c r="NG3" s="926" t="s">
        <v>0</v>
      </c>
      <c r="NH3" s="926"/>
      <c r="NI3" s="926"/>
      <c r="NJ3" s="926"/>
      <c r="NK3" s="926"/>
      <c r="NM3" s="926" t="s">
        <v>0</v>
      </c>
      <c r="NN3" s="926"/>
      <c r="NO3" s="926"/>
      <c r="NP3" s="926"/>
      <c r="NQ3" s="926"/>
      <c r="NS3" s="926" t="s">
        <v>0</v>
      </c>
      <c r="NT3" s="926"/>
      <c r="NU3" s="926"/>
      <c r="NV3" s="926"/>
      <c r="NW3" s="926"/>
      <c r="NY3" s="926" t="s">
        <v>0</v>
      </c>
      <c r="NZ3" s="926"/>
      <c r="OA3" s="926"/>
      <c r="OB3" s="926"/>
      <c r="OC3" s="926"/>
      <c r="OE3" s="926" t="s">
        <v>0</v>
      </c>
      <c r="OF3" s="926"/>
      <c r="OG3" s="926"/>
      <c r="OH3" s="926"/>
      <c r="OI3" s="926"/>
    </row>
    <row r="4" spans="2:399" ht="45" customHeight="1">
      <c r="B4" s="5"/>
      <c r="C4" s="947"/>
      <c r="D4" s="6"/>
      <c r="E4" s="929" t="s">
        <v>1</v>
      </c>
      <c r="F4" s="929" t="s">
        <v>2</v>
      </c>
      <c r="G4" s="930" t="s">
        <v>3</v>
      </c>
      <c r="H4" s="932" t="s">
        <v>4</v>
      </c>
      <c r="I4" s="929" t="s">
        <v>5</v>
      </c>
      <c r="K4" s="929" t="s">
        <v>1</v>
      </c>
      <c r="L4" s="929" t="s">
        <v>2</v>
      </c>
      <c r="M4" s="930" t="s">
        <v>3</v>
      </c>
      <c r="N4" s="932" t="s">
        <v>4</v>
      </c>
      <c r="O4" s="929" t="s">
        <v>5</v>
      </c>
      <c r="Q4" s="929" t="s">
        <v>1</v>
      </c>
      <c r="R4" s="929" t="s">
        <v>2</v>
      </c>
      <c r="S4" s="930" t="s">
        <v>3</v>
      </c>
      <c r="T4" s="932" t="s">
        <v>4</v>
      </c>
      <c r="U4" s="929" t="s">
        <v>5</v>
      </c>
      <c r="W4" s="929" t="s">
        <v>1</v>
      </c>
      <c r="X4" s="929" t="s">
        <v>2</v>
      </c>
      <c r="Y4" s="930" t="s">
        <v>3</v>
      </c>
      <c r="Z4" s="932" t="s">
        <v>4</v>
      </c>
      <c r="AA4" s="929" t="s">
        <v>5</v>
      </c>
      <c r="AC4" s="929" t="s">
        <v>1</v>
      </c>
      <c r="AD4" s="929" t="s">
        <v>2</v>
      </c>
      <c r="AE4" s="930" t="s">
        <v>3</v>
      </c>
      <c r="AF4" s="932" t="s">
        <v>4</v>
      </c>
      <c r="AG4" s="929" t="s">
        <v>5</v>
      </c>
      <c r="AI4" s="929" t="s">
        <v>1</v>
      </c>
      <c r="AJ4" s="929" t="s">
        <v>2</v>
      </c>
      <c r="AK4" s="930" t="s">
        <v>3</v>
      </c>
      <c r="AL4" s="932" t="s">
        <v>4</v>
      </c>
      <c r="AM4" s="929" t="s">
        <v>5</v>
      </c>
      <c r="AO4" s="929" t="s">
        <v>1</v>
      </c>
      <c r="AP4" s="929" t="s">
        <v>2</v>
      </c>
      <c r="AQ4" s="930" t="s">
        <v>3</v>
      </c>
      <c r="AR4" s="932" t="s">
        <v>4</v>
      </c>
      <c r="AS4" s="929" t="s">
        <v>5</v>
      </c>
      <c r="AU4" s="929" t="s">
        <v>1</v>
      </c>
      <c r="AV4" s="929" t="s">
        <v>2</v>
      </c>
      <c r="AW4" s="930" t="s">
        <v>3</v>
      </c>
      <c r="AX4" s="932" t="s">
        <v>4</v>
      </c>
      <c r="AY4" s="929" t="s">
        <v>5</v>
      </c>
      <c r="AZ4" s="591"/>
      <c r="BA4" s="929" t="s">
        <v>1</v>
      </c>
      <c r="BB4" s="929" t="s">
        <v>2</v>
      </c>
      <c r="BC4" s="930" t="s">
        <v>3</v>
      </c>
      <c r="BD4" s="932" t="s">
        <v>4</v>
      </c>
      <c r="BE4" s="929" t="s">
        <v>5</v>
      </c>
      <c r="BF4" s="591"/>
      <c r="BG4" s="929" t="s">
        <v>1</v>
      </c>
      <c r="BH4" s="929" t="s">
        <v>2</v>
      </c>
      <c r="BI4" s="930" t="s">
        <v>3</v>
      </c>
      <c r="BJ4" s="932" t="s">
        <v>4</v>
      </c>
      <c r="BK4" s="929" t="s">
        <v>5</v>
      </c>
      <c r="BL4" s="591"/>
      <c r="BM4" s="929" t="s">
        <v>1</v>
      </c>
      <c r="BN4" s="929" t="s">
        <v>2</v>
      </c>
      <c r="BO4" s="930" t="s">
        <v>3</v>
      </c>
      <c r="BP4" s="932" t="s">
        <v>4</v>
      </c>
      <c r="BQ4" s="929" t="s">
        <v>5</v>
      </c>
      <c r="BS4" s="929" t="s">
        <v>1</v>
      </c>
      <c r="BT4" s="929" t="s">
        <v>2</v>
      </c>
      <c r="BU4" s="930" t="s">
        <v>3</v>
      </c>
      <c r="BV4" s="932" t="s">
        <v>4</v>
      </c>
      <c r="BW4" s="929" t="s">
        <v>5</v>
      </c>
      <c r="BX4" s="591"/>
      <c r="BY4" s="929" t="s">
        <v>1</v>
      </c>
      <c r="BZ4" s="929" t="s">
        <v>2</v>
      </c>
      <c r="CA4" s="930" t="s">
        <v>3</v>
      </c>
      <c r="CB4" s="932" t="s">
        <v>4</v>
      </c>
      <c r="CC4" s="929" t="s">
        <v>5</v>
      </c>
      <c r="CD4" s="591"/>
      <c r="CE4" s="929" t="s">
        <v>1</v>
      </c>
      <c r="CF4" s="929" t="s">
        <v>2</v>
      </c>
      <c r="CG4" s="930" t="s">
        <v>3</v>
      </c>
      <c r="CH4" s="932" t="s">
        <v>4</v>
      </c>
      <c r="CI4" s="929" t="s">
        <v>5</v>
      </c>
      <c r="CJ4" s="591"/>
      <c r="CK4" s="929" t="s">
        <v>1</v>
      </c>
      <c r="CL4" s="929" t="s">
        <v>2</v>
      </c>
      <c r="CM4" s="930" t="s">
        <v>3</v>
      </c>
      <c r="CN4" s="932" t="s">
        <v>4</v>
      </c>
      <c r="CO4" s="929" t="s">
        <v>5</v>
      </c>
      <c r="CP4" s="591"/>
      <c r="CQ4" s="929" t="s">
        <v>1</v>
      </c>
      <c r="CR4" s="929" t="s">
        <v>2</v>
      </c>
      <c r="CS4" s="930" t="s">
        <v>3</v>
      </c>
      <c r="CT4" s="932" t="s">
        <v>4</v>
      </c>
      <c r="CU4" s="929" t="s">
        <v>5</v>
      </c>
      <c r="CV4" s="591"/>
      <c r="CW4" s="929" t="s">
        <v>1</v>
      </c>
      <c r="CX4" s="929" t="s">
        <v>2</v>
      </c>
      <c r="CY4" s="930" t="s">
        <v>3</v>
      </c>
      <c r="CZ4" s="932" t="s">
        <v>4</v>
      </c>
      <c r="DA4" s="929" t="s">
        <v>5</v>
      </c>
      <c r="DB4" s="591"/>
      <c r="DC4" s="929" t="s">
        <v>1</v>
      </c>
      <c r="DD4" s="929" t="s">
        <v>2</v>
      </c>
      <c r="DE4" s="930" t="s">
        <v>3</v>
      </c>
      <c r="DF4" s="932" t="s">
        <v>4</v>
      </c>
      <c r="DG4" s="929" t="s">
        <v>5</v>
      </c>
      <c r="DH4" s="591"/>
      <c r="DI4" s="929" t="s">
        <v>1</v>
      </c>
      <c r="DJ4" s="929" t="s">
        <v>2</v>
      </c>
      <c r="DK4" s="930" t="s">
        <v>3</v>
      </c>
      <c r="DL4" s="932" t="s">
        <v>4</v>
      </c>
      <c r="DM4" s="929" t="s">
        <v>5</v>
      </c>
      <c r="DN4" s="591"/>
      <c r="DO4" s="929" t="s">
        <v>1</v>
      </c>
      <c r="DP4" s="929" t="s">
        <v>2</v>
      </c>
      <c r="DQ4" s="930" t="s">
        <v>3</v>
      </c>
      <c r="DR4" s="932" t="s">
        <v>4</v>
      </c>
      <c r="DS4" s="929" t="s">
        <v>5</v>
      </c>
      <c r="DT4" s="591"/>
      <c r="DU4" s="929" t="s">
        <v>1</v>
      </c>
      <c r="DV4" s="929" t="s">
        <v>2</v>
      </c>
      <c r="DW4" s="930" t="s">
        <v>3</v>
      </c>
      <c r="DX4" s="932" t="s">
        <v>4</v>
      </c>
      <c r="DY4" s="929" t="s">
        <v>5</v>
      </c>
      <c r="DZ4" s="591"/>
      <c r="EA4" s="929" t="s">
        <v>1</v>
      </c>
      <c r="EB4" s="929" t="s">
        <v>2</v>
      </c>
      <c r="EC4" s="930" t="s">
        <v>3</v>
      </c>
      <c r="ED4" s="932" t="s">
        <v>4</v>
      </c>
      <c r="EE4" s="929" t="s">
        <v>5</v>
      </c>
      <c r="EF4" s="591"/>
      <c r="EG4" s="929" t="s">
        <v>1</v>
      </c>
      <c r="EH4" s="929" t="s">
        <v>2</v>
      </c>
      <c r="EI4" s="930" t="s">
        <v>3</v>
      </c>
      <c r="EJ4" s="932" t="s">
        <v>4</v>
      </c>
      <c r="EK4" s="929" t="s">
        <v>5</v>
      </c>
      <c r="EL4" s="591"/>
      <c r="EM4" s="929" t="s">
        <v>1</v>
      </c>
      <c r="EN4" s="929" t="s">
        <v>2</v>
      </c>
      <c r="EO4" s="930" t="s">
        <v>3</v>
      </c>
      <c r="EP4" s="932" t="s">
        <v>4</v>
      </c>
      <c r="EQ4" s="929" t="s">
        <v>5</v>
      </c>
      <c r="ES4" s="929" t="s">
        <v>1</v>
      </c>
      <c r="ET4" s="929" t="s">
        <v>2</v>
      </c>
      <c r="EU4" s="930" t="s">
        <v>3</v>
      </c>
      <c r="EV4" s="932" t="s">
        <v>4</v>
      </c>
      <c r="EW4" s="929" t="s">
        <v>5</v>
      </c>
      <c r="EY4" s="929" t="s">
        <v>1</v>
      </c>
      <c r="EZ4" s="929" t="s">
        <v>2</v>
      </c>
      <c r="FA4" s="930" t="s">
        <v>3</v>
      </c>
      <c r="FB4" s="932" t="s">
        <v>4</v>
      </c>
      <c r="FC4" s="929" t="s">
        <v>5</v>
      </c>
      <c r="FE4" s="929" t="s">
        <v>1</v>
      </c>
      <c r="FF4" s="929" t="s">
        <v>2</v>
      </c>
      <c r="FG4" s="930" t="s">
        <v>3</v>
      </c>
      <c r="FH4" s="932" t="s">
        <v>4</v>
      </c>
      <c r="FI4" s="929" t="s">
        <v>5</v>
      </c>
      <c r="FK4" s="929" t="s">
        <v>1</v>
      </c>
      <c r="FL4" s="929" t="s">
        <v>2</v>
      </c>
      <c r="FM4" s="930" t="s">
        <v>3</v>
      </c>
      <c r="FN4" s="932" t="s">
        <v>4</v>
      </c>
      <c r="FO4" s="929" t="s">
        <v>5</v>
      </c>
      <c r="FQ4" s="929" t="s">
        <v>1</v>
      </c>
      <c r="FR4" s="929" t="s">
        <v>2</v>
      </c>
      <c r="FS4" s="930" t="s">
        <v>3</v>
      </c>
      <c r="FT4" s="932" t="s">
        <v>4</v>
      </c>
      <c r="FU4" s="929" t="s">
        <v>5</v>
      </c>
      <c r="FW4" s="929" t="s">
        <v>1</v>
      </c>
      <c r="FX4" s="929" t="s">
        <v>2</v>
      </c>
      <c r="FY4" s="930" t="s">
        <v>3</v>
      </c>
      <c r="FZ4" s="932" t="s">
        <v>4</v>
      </c>
      <c r="GA4" s="929" t="s">
        <v>5</v>
      </c>
      <c r="GC4" s="929" t="s">
        <v>1</v>
      </c>
      <c r="GD4" s="929" t="s">
        <v>2</v>
      </c>
      <c r="GE4" s="930" t="s">
        <v>3</v>
      </c>
      <c r="GF4" s="932" t="s">
        <v>4</v>
      </c>
      <c r="GG4" s="929" t="s">
        <v>5</v>
      </c>
      <c r="GI4" s="929" t="s">
        <v>1</v>
      </c>
      <c r="GJ4" s="929" t="s">
        <v>2</v>
      </c>
      <c r="GK4" s="930" t="s">
        <v>3</v>
      </c>
      <c r="GL4" s="932" t="s">
        <v>4</v>
      </c>
      <c r="GM4" s="929" t="s">
        <v>5</v>
      </c>
      <c r="GO4" s="929" t="s">
        <v>1</v>
      </c>
      <c r="GP4" s="929" t="s">
        <v>2</v>
      </c>
      <c r="GQ4" s="930" t="s">
        <v>3</v>
      </c>
      <c r="GR4" s="932" t="s">
        <v>4</v>
      </c>
      <c r="GS4" s="929" t="s">
        <v>5</v>
      </c>
      <c r="GU4" s="929" t="s">
        <v>1</v>
      </c>
      <c r="GV4" s="929" t="s">
        <v>2</v>
      </c>
      <c r="GW4" s="930" t="s">
        <v>3</v>
      </c>
      <c r="GX4" s="932" t="s">
        <v>4</v>
      </c>
      <c r="GY4" s="929" t="s">
        <v>5</v>
      </c>
      <c r="HA4" s="929" t="s">
        <v>1</v>
      </c>
      <c r="HB4" s="929" t="s">
        <v>2</v>
      </c>
      <c r="HC4" s="930" t="s">
        <v>3</v>
      </c>
      <c r="HD4" s="932" t="s">
        <v>4</v>
      </c>
      <c r="HE4" s="929" t="s">
        <v>5</v>
      </c>
      <c r="HG4" s="929" t="s">
        <v>1</v>
      </c>
      <c r="HH4" s="929" t="s">
        <v>2</v>
      </c>
      <c r="HI4" s="930" t="s">
        <v>3</v>
      </c>
      <c r="HJ4" s="932" t="s">
        <v>4</v>
      </c>
      <c r="HK4" s="929" t="s">
        <v>5</v>
      </c>
      <c r="HM4" s="929" t="s">
        <v>1</v>
      </c>
      <c r="HN4" s="929" t="s">
        <v>2</v>
      </c>
      <c r="HO4" s="930" t="s">
        <v>3</v>
      </c>
      <c r="HP4" s="932" t="s">
        <v>4</v>
      </c>
      <c r="HQ4" s="929" t="s">
        <v>5</v>
      </c>
      <c r="HS4" s="929" t="s">
        <v>1</v>
      </c>
      <c r="HT4" s="929" t="s">
        <v>2</v>
      </c>
      <c r="HU4" s="930" t="s">
        <v>3</v>
      </c>
      <c r="HV4" s="932" t="s">
        <v>4</v>
      </c>
      <c r="HW4" s="929" t="s">
        <v>5</v>
      </c>
      <c r="HY4" s="929" t="s">
        <v>1</v>
      </c>
      <c r="HZ4" s="929" t="s">
        <v>2</v>
      </c>
      <c r="IA4" s="930" t="s">
        <v>3</v>
      </c>
      <c r="IB4" s="932" t="s">
        <v>4</v>
      </c>
      <c r="IC4" s="929" t="s">
        <v>5</v>
      </c>
      <c r="IE4" s="929" t="s">
        <v>1</v>
      </c>
      <c r="IF4" s="929" t="s">
        <v>2</v>
      </c>
      <c r="IG4" s="930" t="s">
        <v>3</v>
      </c>
      <c r="IH4" s="932" t="s">
        <v>4</v>
      </c>
      <c r="II4" s="929" t="s">
        <v>5</v>
      </c>
      <c r="IK4" s="929" t="s">
        <v>1</v>
      </c>
      <c r="IL4" s="929" t="s">
        <v>2</v>
      </c>
      <c r="IM4" s="930" t="s">
        <v>3</v>
      </c>
      <c r="IN4" s="932" t="s">
        <v>4</v>
      </c>
      <c r="IO4" s="929" t="s">
        <v>5</v>
      </c>
      <c r="IQ4" s="929" t="s">
        <v>1</v>
      </c>
      <c r="IR4" s="929" t="s">
        <v>2</v>
      </c>
      <c r="IS4" s="930" t="s">
        <v>3</v>
      </c>
      <c r="IT4" s="932" t="s">
        <v>4</v>
      </c>
      <c r="IU4" s="929" t="s">
        <v>5</v>
      </c>
      <c r="IW4" s="929" t="s">
        <v>1</v>
      </c>
      <c r="IX4" s="929" t="s">
        <v>2</v>
      </c>
      <c r="IY4" s="930" t="s">
        <v>3</v>
      </c>
      <c r="IZ4" s="932" t="s">
        <v>4</v>
      </c>
      <c r="JA4" s="929" t="s">
        <v>5</v>
      </c>
      <c r="JC4" s="929" t="s">
        <v>1</v>
      </c>
      <c r="JD4" s="929" t="s">
        <v>2</v>
      </c>
      <c r="JE4" s="930" t="s">
        <v>3</v>
      </c>
      <c r="JF4" s="932" t="s">
        <v>4</v>
      </c>
      <c r="JG4" s="929" t="s">
        <v>5</v>
      </c>
      <c r="JI4" s="929" t="s">
        <v>1</v>
      </c>
      <c r="JJ4" s="929" t="s">
        <v>2</v>
      </c>
      <c r="JK4" s="930" t="s">
        <v>3</v>
      </c>
      <c r="JL4" s="932" t="s">
        <v>4</v>
      </c>
      <c r="JM4" s="929" t="s">
        <v>5</v>
      </c>
      <c r="JO4" s="929" t="s">
        <v>1</v>
      </c>
      <c r="JP4" s="929" t="s">
        <v>2</v>
      </c>
      <c r="JQ4" s="930" t="s">
        <v>3</v>
      </c>
      <c r="JR4" s="932" t="s">
        <v>4</v>
      </c>
      <c r="JS4" s="929" t="s">
        <v>5</v>
      </c>
      <c r="JU4" s="929" t="s">
        <v>1</v>
      </c>
      <c r="JV4" s="929" t="s">
        <v>2</v>
      </c>
      <c r="JW4" s="930" t="s">
        <v>3</v>
      </c>
      <c r="JX4" s="932" t="s">
        <v>4</v>
      </c>
      <c r="JY4" s="929" t="s">
        <v>5</v>
      </c>
      <c r="KA4" s="929" t="s">
        <v>1</v>
      </c>
      <c r="KB4" s="929" t="s">
        <v>2</v>
      </c>
      <c r="KC4" s="930" t="s">
        <v>3</v>
      </c>
      <c r="KD4" s="932" t="s">
        <v>4</v>
      </c>
      <c r="KE4" s="929" t="s">
        <v>5</v>
      </c>
      <c r="KG4" s="929" t="s">
        <v>1</v>
      </c>
      <c r="KH4" s="929" t="s">
        <v>2</v>
      </c>
      <c r="KI4" s="930" t="s">
        <v>3</v>
      </c>
      <c r="KJ4" s="932" t="s">
        <v>4</v>
      </c>
      <c r="KK4" s="929" t="s">
        <v>5</v>
      </c>
      <c r="KM4" s="929" t="s">
        <v>1</v>
      </c>
      <c r="KN4" s="929" t="s">
        <v>2</v>
      </c>
      <c r="KO4" s="930" t="s">
        <v>3</v>
      </c>
      <c r="KP4" s="932" t="s">
        <v>4</v>
      </c>
      <c r="KQ4" s="929" t="s">
        <v>5</v>
      </c>
      <c r="KS4" s="927" t="s">
        <v>1</v>
      </c>
      <c r="KT4" s="929" t="s">
        <v>2</v>
      </c>
      <c r="KU4" s="930" t="s">
        <v>3</v>
      </c>
      <c r="KV4" s="932" t="s">
        <v>4</v>
      </c>
      <c r="KW4" s="929" t="s">
        <v>5</v>
      </c>
      <c r="KY4" s="927" t="s">
        <v>1</v>
      </c>
      <c r="KZ4" s="929" t="s">
        <v>2</v>
      </c>
      <c r="LA4" s="930" t="s">
        <v>3</v>
      </c>
      <c r="LB4" s="932" t="s">
        <v>4</v>
      </c>
      <c r="LC4" s="929" t="s">
        <v>5</v>
      </c>
      <c r="LE4" s="927" t="s">
        <v>1</v>
      </c>
      <c r="LF4" s="929" t="s">
        <v>2</v>
      </c>
      <c r="LG4" s="930" t="s">
        <v>3</v>
      </c>
      <c r="LH4" s="932" t="s">
        <v>4</v>
      </c>
      <c r="LI4" s="929" t="s">
        <v>5</v>
      </c>
      <c r="LK4" s="927" t="s">
        <v>1</v>
      </c>
      <c r="LL4" s="929" t="s">
        <v>2</v>
      </c>
      <c r="LM4" s="930" t="s">
        <v>3</v>
      </c>
      <c r="LN4" s="932" t="s">
        <v>4</v>
      </c>
      <c r="LO4" s="929" t="s">
        <v>5</v>
      </c>
      <c r="LQ4" s="927" t="s">
        <v>1</v>
      </c>
      <c r="LR4" s="929" t="s">
        <v>2</v>
      </c>
      <c r="LS4" s="930" t="s">
        <v>3</v>
      </c>
      <c r="LT4" s="932" t="s">
        <v>4</v>
      </c>
      <c r="LU4" s="929" t="s">
        <v>5</v>
      </c>
      <c r="LW4" s="927" t="s">
        <v>1</v>
      </c>
      <c r="LX4" s="929" t="s">
        <v>2</v>
      </c>
      <c r="LY4" s="930" t="s">
        <v>3</v>
      </c>
      <c r="LZ4" s="932" t="s">
        <v>4</v>
      </c>
      <c r="MA4" s="929" t="s">
        <v>5</v>
      </c>
      <c r="MC4" s="927" t="s">
        <v>1</v>
      </c>
      <c r="MD4" s="929" t="s">
        <v>2</v>
      </c>
      <c r="ME4" s="930" t="s">
        <v>3</v>
      </c>
      <c r="MF4" s="932" t="s">
        <v>4</v>
      </c>
      <c r="MG4" s="929" t="s">
        <v>5</v>
      </c>
      <c r="MI4" s="927" t="s">
        <v>1</v>
      </c>
      <c r="MJ4" s="929" t="s">
        <v>2</v>
      </c>
      <c r="MK4" s="930" t="s">
        <v>3</v>
      </c>
      <c r="ML4" s="932" t="s">
        <v>4</v>
      </c>
      <c r="MM4" s="929" t="s">
        <v>5</v>
      </c>
      <c r="MO4" s="927" t="s">
        <v>1</v>
      </c>
      <c r="MP4" s="929" t="s">
        <v>2</v>
      </c>
      <c r="MQ4" s="930" t="s">
        <v>3</v>
      </c>
      <c r="MR4" s="932" t="s">
        <v>4</v>
      </c>
      <c r="MS4" s="929" t="s">
        <v>5</v>
      </c>
      <c r="MU4" s="927" t="s">
        <v>1</v>
      </c>
      <c r="MV4" s="929" t="s">
        <v>2</v>
      </c>
      <c r="MW4" s="930" t="s">
        <v>3</v>
      </c>
      <c r="MX4" s="932" t="s">
        <v>4</v>
      </c>
      <c r="MY4" s="929" t="s">
        <v>5</v>
      </c>
      <c r="NA4" s="944" t="s">
        <v>1</v>
      </c>
      <c r="NB4" s="938" t="s">
        <v>2</v>
      </c>
      <c r="NC4" s="941" t="s">
        <v>3</v>
      </c>
      <c r="ND4" s="932" t="s">
        <v>4</v>
      </c>
      <c r="NE4" s="929" t="s">
        <v>5</v>
      </c>
      <c r="NG4" s="927" t="s">
        <v>1</v>
      </c>
      <c r="NH4" s="929" t="s">
        <v>2</v>
      </c>
      <c r="NI4" s="930" t="s">
        <v>3</v>
      </c>
      <c r="NJ4" s="932" t="s">
        <v>4</v>
      </c>
      <c r="NK4" s="929" t="s">
        <v>5</v>
      </c>
      <c r="NM4" s="927" t="s">
        <v>1</v>
      </c>
      <c r="NN4" s="929" t="s">
        <v>2</v>
      </c>
      <c r="NO4" s="930" t="s">
        <v>3</v>
      </c>
      <c r="NP4" s="932" t="s">
        <v>4</v>
      </c>
      <c r="NQ4" s="929" t="s">
        <v>5</v>
      </c>
      <c r="NS4" s="927" t="s">
        <v>1</v>
      </c>
      <c r="NT4" s="929" t="s">
        <v>2</v>
      </c>
      <c r="NU4" s="930" t="s">
        <v>3</v>
      </c>
      <c r="NV4" s="932" t="s">
        <v>4</v>
      </c>
      <c r="NW4" s="929" t="s">
        <v>5</v>
      </c>
      <c r="NY4" s="927" t="s">
        <v>1</v>
      </c>
      <c r="NZ4" s="929" t="s">
        <v>2</v>
      </c>
      <c r="OA4" s="930" t="s">
        <v>3</v>
      </c>
      <c r="OB4" s="932" t="s">
        <v>4</v>
      </c>
      <c r="OC4" s="929" t="s">
        <v>5</v>
      </c>
      <c r="OE4" s="927" t="s">
        <v>1</v>
      </c>
      <c r="OF4" s="929" t="s">
        <v>2</v>
      </c>
      <c r="OG4" s="930" t="s">
        <v>3</v>
      </c>
      <c r="OH4" s="932" t="s">
        <v>4</v>
      </c>
      <c r="OI4" s="929" t="s">
        <v>5</v>
      </c>
    </row>
    <row r="5" spans="2:399" ht="15.75" customHeight="1" thickBot="1">
      <c r="C5" s="7" t="s">
        <v>6</v>
      </c>
      <c r="D5" s="8" t="s">
        <v>7</v>
      </c>
      <c r="E5" s="928"/>
      <c r="F5" s="928"/>
      <c r="G5" s="931"/>
      <c r="H5" s="933"/>
      <c r="I5" s="928"/>
      <c r="K5" s="928"/>
      <c r="L5" s="928"/>
      <c r="M5" s="931"/>
      <c r="N5" s="933"/>
      <c r="O5" s="928"/>
      <c r="Q5" s="928"/>
      <c r="R5" s="928"/>
      <c r="S5" s="931"/>
      <c r="T5" s="933"/>
      <c r="U5" s="928"/>
      <c r="W5" s="928"/>
      <c r="X5" s="928"/>
      <c r="Y5" s="931"/>
      <c r="Z5" s="933"/>
      <c r="AA5" s="928"/>
      <c r="AC5" s="928"/>
      <c r="AD5" s="928"/>
      <c r="AE5" s="931"/>
      <c r="AF5" s="933"/>
      <c r="AG5" s="928"/>
      <c r="AI5" s="928"/>
      <c r="AJ5" s="928"/>
      <c r="AK5" s="931"/>
      <c r="AL5" s="933"/>
      <c r="AM5" s="928"/>
      <c r="AO5" s="928"/>
      <c r="AP5" s="928"/>
      <c r="AQ5" s="931"/>
      <c r="AR5" s="933"/>
      <c r="AS5" s="928"/>
      <c r="AU5" s="928"/>
      <c r="AV5" s="928"/>
      <c r="AW5" s="931"/>
      <c r="AX5" s="933"/>
      <c r="AY5" s="928"/>
      <c r="AZ5" s="591"/>
      <c r="BA5" s="928"/>
      <c r="BB5" s="928"/>
      <c r="BC5" s="931"/>
      <c r="BD5" s="933"/>
      <c r="BE5" s="928"/>
      <c r="BF5" s="591"/>
      <c r="BG5" s="928"/>
      <c r="BH5" s="928"/>
      <c r="BI5" s="931"/>
      <c r="BJ5" s="933"/>
      <c r="BK5" s="928"/>
      <c r="BL5" s="591"/>
      <c r="BM5" s="928"/>
      <c r="BN5" s="928"/>
      <c r="BO5" s="931"/>
      <c r="BP5" s="933"/>
      <c r="BQ5" s="928"/>
      <c r="BS5" s="928"/>
      <c r="BT5" s="928"/>
      <c r="BU5" s="931"/>
      <c r="BV5" s="933"/>
      <c r="BW5" s="928"/>
      <c r="BX5" s="591"/>
      <c r="BY5" s="928"/>
      <c r="BZ5" s="928"/>
      <c r="CA5" s="931"/>
      <c r="CB5" s="933"/>
      <c r="CC5" s="928"/>
      <c r="CD5" s="591"/>
      <c r="CE5" s="928"/>
      <c r="CF5" s="928"/>
      <c r="CG5" s="931"/>
      <c r="CH5" s="933"/>
      <c r="CI5" s="928"/>
      <c r="CJ5" s="591"/>
      <c r="CK5" s="928"/>
      <c r="CL5" s="928"/>
      <c r="CM5" s="931"/>
      <c r="CN5" s="933"/>
      <c r="CO5" s="928"/>
      <c r="CP5" s="591"/>
      <c r="CQ5" s="928"/>
      <c r="CR5" s="928"/>
      <c r="CS5" s="931"/>
      <c r="CT5" s="933"/>
      <c r="CU5" s="928"/>
      <c r="CV5" s="591"/>
      <c r="CW5" s="928"/>
      <c r="CX5" s="928"/>
      <c r="CY5" s="931"/>
      <c r="CZ5" s="933"/>
      <c r="DA5" s="928"/>
      <c r="DB5" s="591"/>
      <c r="DC5" s="928"/>
      <c r="DD5" s="928"/>
      <c r="DE5" s="931"/>
      <c r="DF5" s="933"/>
      <c r="DG5" s="928"/>
      <c r="DH5" s="591"/>
      <c r="DI5" s="928"/>
      <c r="DJ5" s="928"/>
      <c r="DK5" s="931"/>
      <c r="DL5" s="933"/>
      <c r="DM5" s="928"/>
      <c r="DN5" s="591"/>
      <c r="DO5" s="928"/>
      <c r="DP5" s="928"/>
      <c r="DQ5" s="931"/>
      <c r="DR5" s="933"/>
      <c r="DS5" s="928"/>
      <c r="DT5" s="591"/>
      <c r="DU5" s="928"/>
      <c r="DV5" s="928"/>
      <c r="DW5" s="931"/>
      <c r="DX5" s="933"/>
      <c r="DY5" s="928"/>
      <c r="DZ5" s="591"/>
      <c r="EA5" s="928"/>
      <c r="EB5" s="928"/>
      <c r="EC5" s="931"/>
      <c r="ED5" s="933"/>
      <c r="EE5" s="928"/>
      <c r="EF5" s="591"/>
      <c r="EG5" s="928"/>
      <c r="EH5" s="928"/>
      <c r="EI5" s="931"/>
      <c r="EJ5" s="933"/>
      <c r="EK5" s="928"/>
      <c r="EL5" s="591"/>
      <c r="EM5" s="928"/>
      <c r="EN5" s="928"/>
      <c r="EO5" s="931"/>
      <c r="EP5" s="933"/>
      <c r="EQ5" s="928"/>
      <c r="ES5" s="928"/>
      <c r="ET5" s="928"/>
      <c r="EU5" s="931"/>
      <c r="EV5" s="933"/>
      <c r="EW5" s="928"/>
      <c r="EY5" s="928"/>
      <c r="EZ5" s="928"/>
      <c r="FA5" s="931"/>
      <c r="FB5" s="933"/>
      <c r="FC5" s="928"/>
      <c r="FE5" s="935"/>
      <c r="FF5" s="935"/>
      <c r="FG5" s="936"/>
      <c r="FH5" s="937"/>
      <c r="FI5" s="935"/>
      <c r="FK5" s="935"/>
      <c r="FL5" s="935"/>
      <c r="FM5" s="936"/>
      <c r="FN5" s="937"/>
      <c r="FO5" s="935"/>
      <c r="FQ5" s="935"/>
      <c r="FR5" s="935"/>
      <c r="FS5" s="936"/>
      <c r="FT5" s="937"/>
      <c r="FU5" s="935"/>
      <c r="FW5" s="935"/>
      <c r="FX5" s="935"/>
      <c r="FY5" s="936"/>
      <c r="FZ5" s="937"/>
      <c r="GA5" s="935"/>
      <c r="GC5" s="935"/>
      <c r="GD5" s="935"/>
      <c r="GE5" s="936"/>
      <c r="GF5" s="937"/>
      <c r="GG5" s="935"/>
      <c r="GI5" s="935"/>
      <c r="GJ5" s="935"/>
      <c r="GK5" s="936"/>
      <c r="GL5" s="937"/>
      <c r="GM5" s="935"/>
      <c r="GO5" s="935"/>
      <c r="GP5" s="935"/>
      <c r="GQ5" s="936"/>
      <c r="GR5" s="937"/>
      <c r="GS5" s="935"/>
      <c r="GU5" s="935"/>
      <c r="GV5" s="935"/>
      <c r="GW5" s="936"/>
      <c r="GX5" s="937"/>
      <c r="GY5" s="935"/>
      <c r="HA5" s="935"/>
      <c r="HB5" s="935"/>
      <c r="HC5" s="936"/>
      <c r="HD5" s="937"/>
      <c r="HE5" s="935"/>
      <c r="HG5" s="935"/>
      <c r="HH5" s="935"/>
      <c r="HI5" s="936"/>
      <c r="HJ5" s="937"/>
      <c r="HK5" s="935"/>
      <c r="HM5" s="935"/>
      <c r="HN5" s="935"/>
      <c r="HO5" s="936"/>
      <c r="HP5" s="937"/>
      <c r="HQ5" s="935"/>
      <c r="HS5" s="935"/>
      <c r="HT5" s="935"/>
      <c r="HU5" s="936"/>
      <c r="HV5" s="937"/>
      <c r="HW5" s="935"/>
      <c r="HY5" s="935"/>
      <c r="HZ5" s="935"/>
      <c r="IA5" s="936"/>
      <c r="IB5" s="937"/>
      <c r="IC5" s="935"/>
      <c r="IE5" s="935"/>
      <c r="IF5" s="935"/>
      <c r="IG5" s="936"/>
      <c r="IH5" s="937"/>
      <c r="II5" s="935"/>
      <c r="IK5" s="935"/>
      <c r="IL5" s="935"/>
      <c r="IM5" s="936"/>
      <c r="IN5" s="937"/>
      <c r="IO5" s="935"/>
      <c r="IQ5" s="935"/>
      <c r="IR5" s="935"/>
      <c r="IS5" s="936"/>
      <c r="IT5" s="937"/>
      <c r="IU5" s="935"/>
      <c r="IW5" s="935"/>
      <c r="IX5" s="935"/>
      <c r="IY5" s="936"/>
      <c r="IZ5" s="937"/>
      <c r="JA5" s="935"/>
      <c r="JC5" s="935"/>
      <c r="JD5" s="935"/>
      <c r="JE5" s="936"/>
      <c r="JF5" s="937"/>
      <c r="JG5" s="935"/>
      <c r="JI5" s="935"/>
      <c r="JJ5" s="935"/>
      <c r="JK5" s="936"/>
      <c r="JL5" s="937"/>
      <c r="JM5" s="935"/>
      <c r="JO5" s="935"/>
      <c r="JP5" s="935"/>
      <c r="JQ5" s="936"/>
      <c r="JR5" s="937"/>
      <c r="JS5" s="935"/>
      <c r="JU5" s="928"/>
      <c r="JV5" s="928"/>
      <c r="JW5" s="931"/>
      <c r="JX5" s="933"/>
      <c r="JY5" s="928"/>
      <c r="KA5" s="928"/>
      <c r="KB5" s="928"/>
      <c r="KC5" s="931"/>
      <c r="KD5" s="933"/>
      <c r="KE5" s="928"/>
      <c r="KG5" s="928"/>
      <c r="KH5" s="928"/>
      <c r="KI5" s="931"/>
      <c r="KJ5" s="933"/>
      <c r="KK5" s="928"/>
      <c r="KM5" s="928"/>
      <c r="KN5" s="928"/>
      <c r="KO5" s="931"/>
      <c r="KP5" s="933"/>
      <c r="KQ5" s="928"/>
      <c r="KS5" s="928"/>
      <c r="KT5" s="928"/>
      <c r="KU5" s="931"/>
      <c r="KV5" s="933"/>
      <c r="KW5" s="928"/>
      <c r="KY5" s="928"/>
      <c r="KZ5" s="928"/>
      <c r="LA5" s="931"/>
      <c r="LB5" s="933"/>
      <c r="LC5" s="928"/>
      <c r="LE5" s="928"/>
      <c r="LF5" s="928"/>
      <c r="LG5" s="931"/>
      <c r="LH5" s="933"/>
      <c r="LI5" s="928"/>
      <c r="LK5" s="928"/>
      <c r="LL5" s="928"/>
      <c r="LM5" s="931"/>
      <c r="LN5" s="933"/>
      <c r="LO5" s="928"/>
      <c r="LQ5" s="928"/>
      <c r="LR5" s="928"/>
      <c r="LS5" s="931"/>
      <c r="LT5" s="933"/>
      <c r="LU5" s="928"/>
      <c r="LW5" s="928"/>
      <c r="LX5" s="928"/>
      <c r="LY5" s="931"/>
      <c r="LZ5" s="933"/>
      <c r="MA5" s="928"/>
      <c r="MC5" s="928"/>
      <c r="MD5" s="928"/>
      <c r="ME5" s="931"/>
      <c r="MF5" s="933"/>
      <c r="MG5" s="928"/>
      <c r="MI5" s="928"/>
      <c r="MJ5" s="928"/>
      <c r="MK5" s="931"/>
      <c r="ML5" s="933"/>
      <c r="MM5" s="928"/>
      <c r="MO5" s="928"/>
      <c r="MP5" s="928"/>
      <c r="MQ5" s="931"/>
      <c r="MR5" s="933"/>
      <c r="MS5" s="928"/>
      <c r="MU5" s="928"/>
      <c r="MV5" s="928"/>
      <c r="MW5" s="931"/>
      <c r="MX5" s="933"/>
      <c r="MY5" s="928"/>
      <c r="NA5" s="940"/>
      <c r="NB5" s="940"/>
      <c r="NC5" s="943"/>
      <c r="ND5" s="933"/>
      <c r="NE5" s="928"/>
      <c r="NG5" s="928"/>
      <c r="NH5" s="928"/>
      <c r="NI5" s="931"/>
      <c r="NJ5" s="933"/>
      <c r="NK5" s="928"/>
      <c r="NM5" s="928"/>
      <c r="NN5" s="928"/>
      <c r="NO5" s="931"/>
      <c r="NP5" s="933"/>
      <c r="NQ5" s="928"/>
      <c r="NS5" s="928"/>
      <c r="NT5" s="928"/>
      <c r="NU5" s="931"/>
      <c r="NV5" s="933"/>
      <c r="NW5" s="928"/>
      <c r="NY5" s="928"/>
      <c r="NZ5" s="928"/>
      <c r="OA5" s="931"/>
      <c r="OB5" s="933"/>
      <c r="OC5" s="928"/>
      <c r="OE5" s="928"/>
      <c r="OF5" s="928"/>
      <c r="OG5" s="931"/>
      <c r="OH5" s="933"/>
      <c r="OI5" s="928"/>
    </row>
    <row r="6" spans="2:399" ht="15" customHeight="1">
      <c r="B6" s="109" t="s">
        <v>8</v>
      </c>
      <c r="C6" s="9" t="s">
        <v>9</v>
      </c>
      <c r="D6" s="10" t="s">
        <v>10</v>
      </c>
      <c r="E6" s="29"/>
      <c r="F6" s="32"/>
      <c r="G6" s="33"/>
      <c r="H6" s="34"/>
      <c r="I6" s="34"/>
      <c r="J6" s="30"/>
      <c r="K6" s="29">
        <f>800+800+800+800+800</f>
        <v>4000</v>
      </c>
      <c r="L6" s="32">
        <f>5.27+5.41+5.94+4.46+4.82</f>
        <v>25.900000000000002</v>
      </c>
      <c r="M6" s="33">
        <v>5</v>
      </c>
      <c r="N6" s="34">
        <f>K6/L6</f>
        <v>154.44015444015443</v>
      </c>
      <c r="O6" s="34">
        <f>L6/M6</f>
        <v>5.1800000000000006</v>
      </c>
      <c r="P6" s="30"/>
      <c r="Q6" s="29"/>
      <c r="R6" s="32"/>
      <c r="S6" s="33"/>
      <c r="T6" s="34"/>
      <c r="U6" s="34"/>
      <c r="V6" s="30"/>
      <c r="W6" s="29"/>
      <c r="X6" s="32"/>
      <c r="Y6" s="33"/>
      <c r="Z6" s="34"/>
      <c r="AA6" s="34"/>
      <c r="AB6" s="30"/>
      <c r="AC6" s="29"/>
      <c r="AD6" s="32"/>
      <c r="AE6" s="33"/>
      <c r="AF6" s="34"/>
      <c r="AG6" s="34"/>
      <c r="AH6" s="30"/>
      <c r="AI6" s="29"/>
      <c r="AJ6" s="32"/>
      <c r="AK6" s="33"/>
      <c r="AL6" s="34"/>
      <c r="AM6" s="34"/>
      <c r="AN6" s="30"/>
      <c r="AO6" s="29">
        <f>500+500</f>
        <v>1000</v>
      </c>
      <c r="AP6" s="32">
        <f>4.22+4.76</f>
        <v>8.98</v>
      </c>
      <c r="AQ6" s="33">
        <v>2</v>
      </c>
      <c r="AR6" s="34">
        <f t="shared" ref="AR6" si="0">AO6/AP6</f>
        <v>111.35857461024499</v>
      </c>
      <c r="AS6" s="34">
        <f t="shared" ref="AS6" si="1">AP6/AQ6</f>
        <v>4.49</v>
      </c>
      <c r="AT6" s="30"/>
      <c r="AU6" s="29">
        <f>700+700+700+700+700</f>
        <v>3500</v>
      </c>
      <c r="AV6" s="32">
        <f>7.3+7.38+6.9+7.92+7.04</f>
        <v>36.54</v>
      </c>
      <c r="AW6" s="33">
        <v>5</v>
      </c>
      <c r="AX6" s="34">
        <f t="shared" ref="AX6" si="2">AU6/AV6</f>
        <v>95.785440613026822</v>
      </c>
      <c r="AY6" s="34">
        <f t="shared" ref="AY6" si="3">AV6/AW6</f>
        <v>7.3079999999999998</v>
      </c>
      <c r="AZ6" s="592"/>
      <c r="BA6" s="29"/>
      <c r="BB6" s="32"/>
      <c r="BC6" s="33"/>
      <c r="BD6" s="34"/>
      <c r="BE6" s="34"/>
      <c r="BF6" s="592"/>
      <c r="BG6" s="29"/>
      <c r="BH6" s="32"/>
      <c r="BI6" s="33"/>
      <c r="BJ6" s="34"/>
      <c r="BK6" s="34"/>
      <c r="BL6" s="592"/>
      <c r="BM6" s="29"/>
      <c r="BN6" s="32"/>
      <c r="BO6" s="33"/>
      <c r="BP6" s="34"/>
      <c r="BQ6" s="34"/>
      <c r="BR6" s="30"/>
      <c r="BS6" s="29">
        <f>600+600</f>
        <v>1200</v>
      </c>
      <c r="BT6" s="32">
        <f>7.9+4.05</f>
        <v>11.95</v>
      </c>
      <c r="BU6" s="33">
        <v>2</v>
      </c>
      <c r="BV6" s="34">
        <f t="shared" ref="BV6" si="4">BS6/BT6</f>
        <v>100.41841004184101</v>
      </c>
      <c r="BW6" s="34">
        <f t="shared" ref="BW6" si="5">BT6/BU6</f>
        <v>5.9749999999999996</v>
      </c>
      <c r="BX6" s="592"/>
      <c r="BY6" s="29">
        <f>600+700+500+500+600</f>
        <v>2900</v>
      </c>
      <c r="BZ6" s="32">
        <f>8.56+7.45+8.5+7.2+9</f>
        <v>40.71</v>
      </c>
      <c r="CA6" s="33">
        <v>5</v>
      </c>
      <c r="CB6" s="34">
        <f t="shared" ref="CB6:CB10" si="6">BY6/BZ6</f>
        <v>71.235568656349784</v>
      </c>
      <c r="CC6" s="34">
        <f t="shared" ref="CC6:CC10" si="7">BZ6/CA6</f>
        <v>8.1419999999999995</v>
      </c>
      <c r="CD6" s="592"/>
      <c r="CE6" s="29"/>
      <c r="CF6" s="32"/>
      <c r="CG6" s="33"/>
      <c r="CH6" s="34"/>
      <c r="CI6" s="34"/>
      <c r="CJ6" s="592"/>
      <c r="CK6" s="29">
        <v>3100</v>
      </c>
      <c r="CL6" s="32">
        <v>18.04</v>
      </c>
      <c r="CM6" s="33">
        <v>5</v>
      </c>
      <c r="CN6" s="34">
        <f t="shared" ref="CN6" si="8">CK6/CL6</f>
        <v>171.84035476718404</v>
      </c>
      <c r="CO6" s="34">
        <f t="shared" ref="CO6" si="9">CL6/CM6</f>
        <v>3.6079999999999997</v>
      </c>
      <c r="CP6" s="592"/>
      <c r="CQ6" s="29"/>
      <c r="CR6" s="32"/>
      <c r="CS6" s="33"/>
      <c r="CT6" s="34"/>
      <c r="CU6" s="34"/>
      <c r="CV6" s="592"/>
      <c r="CW6" s="29">
        <f>600+700+500+500+600</f>
        <v>2900</v>
      </c>
      <c r="CX6" s="32">
        <f>8.56+7.45+8.5+7.2+9</f>
        <v>40.71</v>
      </c>
      <c r="CY6" s="33">
        <v>5</v>
      </c>
      <c r="CZ6" s="34">
        <f t="shared" ref="CZ6:CZ7" si="10">CW6/CX6</f>
        <v>71.235568656349784</v>
      </c>
      <c r="DA6" s="34">
        <f t="shared" ref="DA6:DA7" si="11">CX6/CY6</f>
        <v>8.1419999999999995</v>
      </c>
      <c r="DB6" s="592"/>
      <c r="DC6" s="29">
        <f>600+500+500+600+600</f>
        <v>2800</v>
      </c>
      <c r="DD6" s="32">
        <f>10.24+8.24+8.24+8.98+3.95</f>
        <v>39.650000000000006</v>
      </c>
      <c r="DE6" s="33">
        <v>5</v>
      </c>
      <c r="DF6" s="34">
        <f t="shared" ref="DF6:DF7" si="12">DC6/DD6</f>
        <v>70.617906683480442</v>
      </c>
      <c r="DG6" s="34">
        <f t="shared" ref="DG6:DG7" si="13">DD6/DE6</f>
        <v>7.9300000000000015</v>
      </c>
      <c r="DH6" s="592"/>
      <c r="DI6" s="29">
        <f>800+700+700+700+700</f>
        <v>3600</v>
      </c>
      <c r="DJ6" s="32">
        <f>9.68+6.35+8.41+6.44+7.11</f>
        <v>37.99</v>
      </c>
      <c r="DK6" s="33">
        <v>5</v>
      </c>
      <c r="DL6" s="34">
        <f t="shared" ref="DL6:DL7" si="14">DI6/DJ6</f>
        <v>94.761779415635687</v>
      </c>
      <c r="DM6" s="34">
        <f t="shared" ref="DM6:DM7" si="15">DJ6/DK6</f>
        <v>7.5980000000000008</v>
      </c>
      <c r="DN6" s="592"/>
      <c r="DO6" s="29">
        <v>2800</v>
      </c>
      <c r="DP6" s="32">
        <v>30.77</v>
      </c>
      <c r="DQ6" s="33">
        <v>5</v>
      </c>
      <c r="DR6" s="34">
        <f t="shared" ref="DR6:DR7" si="16">DO6/DP6</f>
        <v>90.997725056873577</v>
      </c>
      <c r="DS6" s="34">
        <f t="shared" ref="DS6:DS7" si="17">DP6/DQ6</f>
        <v>6.1539999999999999</v>
      </c>
      <c r="DT6" s="592"/>
      <c r="DU6" s="29"/>
      <c r="DV6" s="32"/>
      <c r="DW6" s="33"/>
      <c r="DX6" s="34"/>
      <c r="DY6" s="34"/>
      <c r="DZ6" s="592"/>
      <c r="EA6" s="29"/>
      <c r="EB6" s="32"/>
      <c r="EC6" s="33"/>
      <c r="ED6" s="34"/>
      <c r="EE6" s="34"/>
      <c r="EF6" s="592"/>
      <c r="EG6" s="29"/>
      <c r="EH6" s="32"/>
      <c r="EI6" s="33"/>
      <c r="EJ6" s="34"/>
      <c r="EK6" s="34"/>
      <c r="EL6" s="592"/>
      <c r="EM6" s="29"/>
      <c r="EN6" s="32"/>
      <c r="EO6" s="33"/>
      <c r="EP6" s="34"/>
      <c r="EQ6" s="34"/>
      <c r="ER6" s="30"/>
      <c r="ES6" s="29">
        <f>600+700+500+500+600</f>
        <v>2900</v>
      </c>
      <c r="ET6" s="32">
        <f>8.56+7.45+8.5+7.2+9</f>
        <v>40.71</v>
      </c>
      <c r="EU6" s="33">
        <v>5</v>
      </c>
      <c r="EV6" s="34">
        <f t="shared" ref="EV6:EW51" si="18">ES6/ET6</f>
        <v>71.235568656349784</v>
      </c>
      <c r="EW6" s="34">
        <f>ET6/EU6</f>
        <v>8.1419999999999995</v>
      </c>
      <c r="EX6" s="30"/>
      <c r="EY6" s="35"/>
      <c r="EZ6" s="34"/>
      <c r="FA6" s="37"/>
      <c r="FB6" s="34"/>
      <c r="FC6" s="34"/>
      <c r="FE6" s="26"/>
      <c r="FF6" s="27"/>
      <c r="FG6" s="28"/>
      <c r="FH6" s="38"/>
      <c r="FI6" s="39"/>
      <c r="FK6" s="27">
        <f>700+700+700+700+700</f>
        <v>3500</v>
      </c>
      <c r="FL6" s="40">
        <f>6.21+6.67+5.71+6.15+6.79</f>
        <v>31.53</v>
      </c>
      <c r="FM6" s="27">
        <f>5</f>
        <v>5</v>
      </c>
      <c r="FN6" s="40">
        <f>FK6/FL6</f>
        <v>111.00539169045354</v>
      </c>
      <c r="FO6" s="40">
        <f>FL6/FM6</f>
        <v>6.306</v>
      </c>
      <c r="FQ6" s="26">
        <f>500+500</f>
        <v>1000</v>
      </c>
      <c r="FR6" s="40">
        <f>6.9+6.25</f>
        <v>13.15</v>
      </c>
      <c r="FS6" s="27">
        <f>2</f>
        <v>2</v>
      </c>
      <c r="FT6" s="40">
        <f t="shared" ref="FT6:FU51" si="19">FQ6/FR6</f>
        <v>76.045627376425855</v>
      </c>
      <c r="FU6" s="40">
        <f t="shared" si="19"/>
        <v>6.5750000000000002</v>
      </c>
      <c r="FW6" s="26">
        <f>600+600+600+600+800</f>
        <v>3200</v>
      </c>
      <c r="FX6" s="27">
        <f>4.15+3.92+4.56+3.93+3.93+8.75</f>
        <v>29.24</v>
      </c>
      <c r="FY6" s="27">
        <f>5</f>
        <v>5</v>
      </c>
      <c r="FZ6" s="40">
        <f t="shared" ref="FZ6:GA51" si="20">FW6/FX6</f>
        <v>109.43912448700411</v>
      </c>
      <c r="GA6" s="40">
        <f t="shared" si="20"/>
        <v>5.8479999999999999</v>
      </c>
      <c r="GC6" s="26">
        <f>600+500+500+500</f>
        <v>2100</v>
      </c>
      <c r="GD6" s="27">
        <f>7.61+6.18+5.09+6.2</f>
        <v>25.08</v>
      </c>
      <c r="GE6" s="27">
        <f>4</f>
        <v>4</v>
      </c>
      <c r="GF6" s="40">
        <f t="shared" ref="GF6:GG50" si="21">GC6/GD6</f>
        <v>83.732057416267949</v>
      </c>
      <c r="GG6" s="40">
        <f t="shared" si="21"/>
        <v>6.27</v>
      </c>
      <c r="GI6" s="26">
        <f>500+500+500+500+500</f>
        <v>2500</v>
      </c>
      <c r="GJ6" s="27">
        <f>5.08+3.96+4.47+5.37+4.77</f>
        <v>23.65</v>
      </c>
      <c r="GK6" s="27">
        <f>5</f>
        <v>5</v>
      </c>
      <c r="GL6" s="40">
        <f t="shared" ref="GL6:GM50" si="22">GI6/GJ6</f>
        <v>105.70824524312897</v>
      </c>
      <c r="GM6" s="40">
        <f t="shared" si="22"/>
        <v>4.7299999999999995</v>
      </c>
      <c r="GO6" s="26">
        <f>600+600+600+600+600</f>
        <v>3000</v>
      </c>
      <c r="GP6" s="27">
        <f>4.15+3.92+4.56+3.93+3.93+3.93</f>
        <v>24.419999999999998</v>
      </c>
      <c r="GQ6" s="27">
        <f>5</f>
        <v>5</v>
      </c>
      <c r="GR6" s="40">
        <f>GO6/GP6</f>
        <v>122.85012285012286</v>
      </c>
      <c r="GS6" s="40">
        <f>GP6/GQ6</f>
        <v>4.8839999999999995</v>
      </c>
      <c r="GU6" s="95">
        <f>700+700+700+700+700</f>
        <v>3500</v>
      </c>
      <c r="GV6" s="99">
        <f>5.82+5.94+6.12+5.79+6.58</f>
        <v>30.25</v>
      </c>
      <c r="GW6" s="100">
        <v>5</v>
      </c>
      <c r="GX6" s="101">
        <f t="shared" ref="GX6:GY50" si="23">GU6/GV6</f>
        <v>115.70247933884298</v>
      </c>
      <c r="GY6" s="101">
        <f t="shared" si="23"/>
        <v>6.05</v>
      </c>
      <c r="GZ6" s="43"/>
      <c r="HA6" s="26">
        <f>500+500+500+500+500</f>
        <v>2500</v>
      </c>
      <c r="HB6" s="39">
        <f>5.65+4.7+7.3+6.3+4</f>
        <v>27.950000000000003</v>
      </c>
      <c r="HC6" s="28">
        <v>5</v>
      </c>
      <c r="HD6" s="105">
        <f t="shared" ref="HD6:HE51" si="24">HA6/HB6</f>
        <v>89.445438282647572</v>
      </c>
      <c r="HE6" s="39">
        <f t="shared" si="24"/>
        <v>5.5900000000000007</v>
      </c>
      <c r="HG6" s="26">
        <f>600+600+600+600</f>
        <v>2400</v>
      </c>
      <c r="HH6" s="27">
        <f>7.85+7.5+7.12+4.15</f>
        <v>26.619999999999997</v>
      </c>
      <c r="HI6" s="27">
        <f>4</f>
        <v>4</v>
      </c>
      <c r="HJ6" s="34">
        <f t="shared" ref="HJ6:HK50" si="25">HG6/HH6</f>
        <v>90.157776108189339</v>
      </c>
      <c r="HK6" s="34">
        <f t="shared" si="25"/>
        <v>6.6549999999999994</v>
      </c>
      <c r="HM6" s="26"/>
      <c r="HN6" s="45"/>
      <c r="HO6" s="46"/>
      <c r="HP6" s="47"/>
      <c r="HQ6" s="47"/>
      <c r="HS6" s="26">
        <f>800+800+800+800+800</f>
        <v>4000</v>
      </c>
      <c r="HT6" s="45">
        <f>5.27+5.41+5.94+4.46+4.82</f>
        <v>25.900000000000002</v>
      </c>
      <c r="HU6" s="46">
        <v>5</v>
      </c>
      <c r="HV6" s="48">
        <f t="shared" ref="HV6:HW50" si="26">HS6/HT6</f>
        <v>154.44015444015443</v>
      </c>
      <c r="HW6" s="48">
        <f t="shared" si="26"/>
        <v>5.1800000000000006</v>
      </c>
      <c r="HY6" s="45">
        <f>800+800+800+800+800</f>
        <v>4000</v>
      </c>
      <c r="HZ6" s="45">
        <f>6.74+6.24+5.96+5.72+6.28</f>
        <v>30.94</v>
      </c>
      <c r="IA6" s="45">
        <f>5</f>
        <v>5</v>
      </c>
      <c r="IB6" s="48">
        <f>HY6/HZ6</f>
        <v>129.28248222365869</v>
      </c>
      <c r="IC6" s="48">
        <f>HZ6/IA6</f>
        <v>6.1880000000000006</v>
      </c>
      <c r="IE6" s="45">
        <f>700</f>
        <v>700</v>
      </c>
      <c r="IF6" s="45">
        <f>4.86</f>
        <v>4.8600000000000003</v>
      </c>
      <c r="IG6" s="45">
        <f>1</f>
        <v>1</v>
      </c>
      <c r="IH6" s="48">
        <f t="shared" ref="IH6:II51" si="27">IE6/IF6</f>
        <v>144.03292181069958</v>
      </c>
      <c r="II6" s="48">
        <f t="shared" si="27"/>
        <v>4.8600000000000003</v>
      </c>
      <c r="IK6" s="26">
        <f>800+800+800+800+800</f>
        <v>4000</v>
      </c>
      <c r="IL6" s="45">
        <f>5.42+6.5+5.42+6.88+5.82</f>
        <v>30.04</v>
      </c>
      <c r="IM6" s="45">
        <f>5</f>
        <v>5</v>
      </c>
      <c r="IN6" s="48">
        <f t="shared" ref="IN6:IO50" si="28">IK6/IL6</f>
        <v>133.15579227696406</v>
      </c>
      <c r="IO6" s="48">
        <f t="shared" si="28"/>
        <v>6.008</v>
      </c>
      <c r="IQ6" s="26">
        <f>800+800+800</f>
        <v>2400</v>
      </c>
      <c r="IR6" s="45">
        <f>5.77+5.08+6.78</f>
        <v>17.63</v>
      </c>
      <c r="IS6" s="45">
        <f>3</f>
        <v>3</v>
      </c>
      <c r="IT6" s="48">
        <f t="shared" ref="IT6:IT10" si="29">IQ6/IR6</f>
        <v>136.13159387407828</v>
      </c>
      <c r="IU6" s="48">
        <f t="shared" ref="IU6:IU10" si="30">IR6/IS6</f>
        <v>5.876666666666666</v>
      </c>
      <c r="IW6" s="26">
        <f>800+800+800+800+800</f>
        <v>4000</v>
      </c>
      <c r="IX6" s="45">
        <f>5.17+5.7+4.4+4.59+5.12</f>
        <v>24.98</v>
      </c>
      <c r="IY6" s="45">
        <v>5</v>
      </c>
      <c r="IZ6" s="46">
        <f t="shared" ref="IZ6:IZ10" si="31">IW6/IX6</f>
        <v>160.12810248198559</v>
      </c>
      <c r="JA6" s="46">
        <f t="shared" ref="JA6:JA10" si="32">IX6/IY6</f>
        <v>4.9960000000000004</v>
      </c>
      <c r="JC6" s="26">
        <f>400+700+700+700+700</f>
        <v>3200</v>
      </c>
      <c r="JD6" s="45">
        <f>6.25+7.38+8.09+8.66+8.9</f>
        <v>39.28</v>
      </c>
      <c r="JE6" s="45">
        <v>5</v>
      </c>
      <c r="JF6" s="46">
        <f t="shared" ref="JF6:JF10" si="33">JC6/JD6</f>
        <v>81.466395112016286</v>
      </c>
      <c r="JG6" s="46">
        <f t="shared" ref="JG6:JG10" si="34">JD6/JE6</f>
        <v>7.8559999999999999</v>
      </c>
      <c r="JI6" s="26">
        <f>600+600+600+500+500</f>
        <v>2800</v>
      </c>
      <c r="JJ6" s="45">
        <f>4.31+3.91+4.94+5.39+4.67</f>
        <v>23.22</v>
      </c>
      <c r="JK6" s="45">
        <v>5</v>
      </c>
      <c r="JL6" s="46">
        <f t="shared" ref="JL6:JL10" si="35">JI6/JJ6</f>
        <v>120.58570198105082</v>
      </c>
      <c r="JM6" s="46">
        <f t="shared" ref="JM6:JM10" si="36">JJ6/JK6</f>
        <v>4.6440000000000001</v>
      </c>
      <c r="JO6" s="26">
        <f>800+800+800+700+700</f>
        <v>3800</v>
      </c>
      <c r="JP6" s="45">
        <f>4.95+5.39+6.16+5.28+6.27</f>
        <v>28.05</v>
      </c>
      <c r="JQ6" s="45">
        <v>5</v>
      </c>
      <c r="JR6" s="46">
        <f t="shared" ref="JR6:JR10" si="37">JO6/JP6</f>
        <v>135.47237076648841</v>
      </c>
      <c r="JS6" s="46">
        <f t="shared" ref="JS6:JS10" si="38">JP6/JQ6</f>
        <v>5.61</v>
      </c>
      <c r="JU6" s="26">
        <f>600+600+600+600+600</f>
        <v>3000</v>
      </c>
      <c r="JV6" s="45">
        <f>5.4+4.73+5.01+4.82+4.85</f>
        <v>24.810000000000002</v>
      </c>
      <c r="JW6" s="45">
        <v>5</v>
      </c>
      <c r="JX6" s="46">
        <f t="shared" ref="JX6:JX7" si="39">JU6/JV6</f>
        <v>120.91898428053203</v>
      </c>
      <c r="JY6" s="46">
        <f t="shared" ref="JY6:JY7" si="40">JV6/JW6</f>
        <v>4.9620000000000006</v>
      </c>
      <c r="KA6" s="26">
        <f>700+700+700+700+700</f>
        <v>3500</v>
      </c>
      <c r="KB6" s="45">
        <f>5.76+8.8+7.23+7.08+8.21</f>
        <v>37.08</v>
      </c>
      <c r="KC6" s="45">
        <v>5</v>
      </c>
      <c r="KD6" s="46">
        <f t="shared" ref="KD6" si="41">KA6/KB6</f>
        <v>94.390507011866234</v>
      </c>
      <c r="KE6" s="46">
        <f t="shared" ref="KE6" si="42">KB6/KC6</f>
        <v>7.4159999999999995</v>
      </c>
      <c r="KG6" s="26">
        <f>700+600+600</f>
        <v>1900</v>
      </c>
      <c r="KH6" s="45">
        <f>9.97+6.65+5.91</f>
        <v>22.53</v>
      </c>
      <c r="KI6" s="45">
        <v>3</v>
      </c>
      <c r="KJ6" s="46">
        <f t="shared" ref="KJ6" si="43">KG6/KH6</f>
        <v>84.332001775410561</v>
      </c>
      <c r="KK6" s="46">
        <f t="shared" ref="KK6" si="44">KH6/KI6</f>
        <v>7.5100000000000007</v>
      </c>
      <c r="KM6" s="26"/>
      <c r="KN6" s="45"/>
      <c r="KO6" s="45"/>
      <c r="KP6" s="46" t="e">
        <f t="shared" ref="KP6" si="45">KM6/KN6</f>
        <v>#DIV/0!</v>
      </c>
      <c r="KQ6" s="46" t="e">
        <f t="shared" ref="KQ6" si="46">KN6/KO6</f>
        <v>#DIV/0!</v>
      </c>
      <c r="KS6" s="26"/>
      <c r="KT6" s="45"/>
      <c r="KU6" s="45"/>
      <c r="KV6" s="46" t="e">
        <f t="shared" ref="KV6" si="47">KS6/KT6</f>
        <v>#DIV/0!</v>
      </c>
      <c r="KW6" s="46" t="e">
        <f t="shared" ref="KW6" si="48">KT6/KU6</f>
        <v>#DIV/0!</v>
      </c>
      <c r="KY6" s="26"/>
      <c r="KZ6" s="45"/>
      <c r="LA6" s="45"/>
      <c r="LB6" s="46" t="e">
        <f t="shared" ref="LB6" si="49">KY6/KZ6</f>
        <v>#DIV/0!</v>
      </c>
      <c r="LC6" s="46" t="e">
        <f t="shared" ref="LC6" si="50">KZ6/LA6</f>
        <v>#DIV/0!</v>
      </c>
      <c r="LE6" s="26"/>
      <c r="LF6" s="45"/>
      <c r="LG6" s="45"/>
      <c r="LH6" s="46" t="e">
        <f t="shared" ref="LH6" si="51">LE6/LF6</f>
        <v>#DIV/0!</v>
      </c>
      <c r="LI6" s="46" t="e">
        <f t="shared" ref="LI6" si="52">LF6/LG6</f>
        <v>#DIV/0!</v>
      </c>
      <c r="LK6" s="26"/>
      <c r="LL6" s="45"/>
      <c r="LM6" s="45"/>
      <c r="LN6" s="46" t="e">
        <f t="shared" ref="LN6" si="53">LK6/LL6</f>
        <v>#DIV/0!</v>
      </c>
      <c r="LO6" s="46" t="e">
        <f t="shared" ref="LO6" si="54">LL6/LM6</f>
        <v>#DIV/0!</v>
      </c>
      <c r="LQ6" s="26"/>
      <c r="LR6" s="45"/>
      <c r="LS6" s="45"/>
      <c r="LT6" s="46" t="e">
        <f t="shared" ref="LT6" si="55">LQ6/LR6</f>
        <v>#DIV/0!</v>
      </c>
      <c r="LU6" s="46" t="e">
        <f t="shared" ref="LU6" si="56">LR6/LS6</f>
        <v>#DIV/0!</v>
      </c>
      <c r="LW6" s="26">
        <f>600+600+600+600+600</f>
        <v>3000</v>
      </c>
      <c r="LX6" s="45">
        <f>4.81+6+5.65+4.83+5.86</f>
        <v>27.15</v>
      </c>
      <c r="LY6" s="45">
        <v>5</v>
      </c>
      <c r="LZ6" s="46">
        <f t="shared" ref="LZ6" si="57">LW6/LX6</f>
        <v>110.49723756906079</v>
      </c>
      <c r="MA6" s="46">
        <f t="shared" ref="MA6" si="58">LX6/LY6</f>
        <v>5.43</v>
      </c>
      <c r="MC6" s="26">
        <f>500+500+500+500+500</f>
        <v>2500</v>
      </c>
      <c r="MD6" s="45">
        <f>4.17+4.35+3.58+3.67+4.07</f>
        <v>19.84</v>
      </c>
      <c r="ME6" s="45">
        <v>5</v>
      </c>
      <c r="MF6" s="46">
        <f t="shared" ref="MF6" si="59">MC6/MD6</f>
        <v>126.00806451612904</v>
      </c>
      <c r="MG6" s="46">
        <f t="shared" ref="MG6" si="60">MD6/ME6</f>
        <v>3.968</v>
      </c>
      <c r="MI6" s="26">
        <f>700+800+800+800+800</f>
        <v>3900</v>
      </c>
      <c r="MJ6" s="45">
        <f>7.27+3.98+6.01+5.74+5.54</f>
        <v>28.54</v>
      </c>
      <c r="MK6" s="45">
        <v>5</v>
      </c>
      <c r="ML6" s="46">
        <f t="shared" ref="ML6" si="61">MI6/MJ6</f>
        <v>136.65031534688157</v>
      </c>
      <c r="MM6" s="46">
        <f t="shared" ref="MM6" si="62">MJ6/MK6</f>
        <v>5.7080000000000002</v>
      </c>
      <c r="MO6" s="26"/>
      <c r="MP6" s="45"/>
      <c r="MQ6" s="45"/>
      <c r="MR6" s="46" t="e">
        <f t="shared" ref="MR6" si="63">MO6/MP6</f>
        <v>#DIV/0!</v>
      </c>
      <c r="MS6" s="46" t="e">
        <f t="shared" ref="MS6" si="64">MP6/MQ6</f>
        <v>#DIV/0!</v>
      </c>
      <c r="MU6" s="26"/>
      <c r="MV6" s="45"/>
      <c r="MW6" s="45"/>
      <c r="MX6" s="46" t="e">
        <f t="shared" ref="MX6" si="65">MU6/MV6</f>
        <v>#DIV/0!</v>
      </c>
      <c r="MY6" s="46" t="e">
        <f t="shared" ref="MY6" si="66">MV6/MW6</f>
        <v>#DIV/0!</v>
      </c>
      <c r="NA6" s="823">
        <f>700+700+700+700+700</f>
        <v>3500</v>
      </c>
      <c r="NB6" s="823">
        <f>4.44+5.59+4.2+5.74+7.74</f>
        <v>27.71</v>
      </c>
      <c r="NC6" s="823">
        <v>5</v>
      </c>
      <c r="ND6" s="46">
        <f>NA6/NB6</f>
        <v>126.30819198845182</v>
      </c>
      <c r="NE6" s="46">
        <f t="shared" ref="NE6" si="67">NB6/NC6</f>
        <v>5.5419999999999998</v>
      </c>
      <c r="NG6" s="823">
        <f>600+600+600+600</f>
        <v>2400</v>
      </c>
      <c r="NH6" s="823">
        <f>5.21+5.2+5.37+4.05</f>
        <v>19.830000000000002</v>
      </c>
      <c r="NI6" s="823">
        <v>4</v>
      </c>
      <c r="NJ6" s="46">
        <f t="shared" ref="NJ6" si="68">NG6/NH6</f>
        <v>121.0287443267776</v>
      </c>
      <c r="NK6" s="46">
        <f t="shared" ref="NK6" si="69">NH6/NI6</f>
        <v>4.9575000000000005</v>
      </c>
      <c r="NM6" s="823">
        <f>600+600+600+600+600</f>
        <v>3000</v>
      </c>
      <c r="NN6" s="823">
        <f>5.89+5.98+6.18+3.89+4.71</f>
        <v>26.650000000000002</v>
      </c>
      <c r="NO6" s="823">
        <v>5</v>
      </c>
      <c r="NP6" s="46">
        <f t="shared" ref="NP6" si="70">NM6/NN6</f>
        <v>112.57035647279548</v>
      </c>
      <c r="NQ6" s="46">
        <f t="shared" ref="NQ6" si="71">NN6/NO6</f>
        <v>5.33</v>
      </c>
      <c r="NS6" s="823">
        <f>400+400+400+400+400</f>
        <v>2000</v>
      </c>
      <c r="NT6" s="823">
        <f>4.83+4.53+4.09+5.49+3.92</f>
        <v>22.86</v>
      </c>
      <c r="NU6" s="823">
        <v>5</v>
      </c>
      <c r="NV6" s="46">
        <f t="shared" ref="NV6" si="72">NS6/NT6</f>
        <v>87.489063867016625</v>
      </c>
      <c r="NW6" s="46">
        <f t="shared" ref="NW6" si="73">NT6/NU6</f>
        <v>4.5720000000000001</v>
      </c>
      <c r="NY6" s="910">
        <f>500+500+500+500+600</f>
        <v>2600</v>
      </c>
      <c r="NZ6" s="910">
        <f>3.81+4.03+3.6+3.85+6.6</f>
        <v>21.89</v>
      </c>
      <c r="OA6" s="910">
        <v>5</v>
      </c>
      <c r="OB6" s="46">
        <f t="shared" ref="OB6" si="74">NY6/NZ6</f>
        <v>118.7756966651439</v>
      </c>
      <c r="OC6" s="46">
        <f t="shared" ref="OC6" si="75">NZ6/OA6</f>
        <v>4.3780000000000001</v>
      </c>
      <c r="OE6" s="823">
        <f>700+700+700+700+700</f>
        <v>3500</v>
      </c>
      <c r="OF6" s="823">
        <f>6.6+6.46+6.41+7.31+6.33</f>
        <v>33.11</v>
      </c>
      <c r="OG6" s="823">
        <v>5</v>
      </c>
      <c r="OH6" s="46">
        <f t="shared" ref="OH6" si="76">OE6/OF6</f>
        <v>105.70824524312897</v>
      </c>
      <c r="OI6" s="46">
        <f t="shared" ref="OI6" si="77">OF6/OG6</f>
        <v>6.6219999999999999</v>
      </c>
    </row>
    <row r="7" spans="2:399">
      <c r="B7" s="11"/>
      <c r="C7" s="12"/>
      <c r="D7" s="13" t="s">
        <v>11</v>
      </c>
      <c r="E7" s="29">
        <f>600+600+600+700</f>
        <v>2500</v>
      </c>
      <c r="F7" s="32">
        <f>2.71+2.7+1.4+3.45</f>
        <v>10.260000000000002</v>
      </c>
      <c r="G7" s="33">
        <v>4</v>
      </c>
      <c r="H7" s="34">
        <f t="shared" ref="H7" si="78">E7/F7</f>
        <v>243.66471734892784</v>
      </c>
      <c r="I7" s="34">
        <f t="shared" ref="I7" si="79">F7/G7</f>
        <v>2.5650000000000004</v>
      </c>
      <c r="J7" s="30"/>
      <c r="K7" s="29">
        <f>600+600+500+500+500</f>
        <v>2700</v>
      </c>
      <c r="L7" s="32">
        <f>3.12+3.39+2+2.21+2.16</f>
        <v>12.879999999999999</v>
      </c>
      <c r="M7" s="33">
        <v>5</v>
      </c>
      <c r="N7" s="34">
        <f t="shared" ref="N7" si="80">K7/L7</f>
        <v>209.6273291925466</v>
      </c>
      <c r="O7" s="34">
        <f t="shared" ref="O7" si="81">L7/M7</f>
        <v>2.5759999999999996</v>
      </c>
      <c r="P7" s="30"/>
      <c r="Q7" s="29">
        <v>2300</v>
      </c>
      <c r="R7" s="32">
        <v>16.2</v>
      </c>
      <c r="S7" s="33">
        <v>5</v>
      </c>
      <c r="T7" s="34">
        <f t="shared" ref="T7" si="82">Q7/R7</f>
        <v>141.97530864197532</v>
      </c>
      <c r="U7" s="34">
        <f t="shared" ref="U7" si="83">R7/S7</f>
        <v>3.2399999999999998</v>
      </c>
      <c r="V7" s="30"/>
      <c r="W7" s="29">
        <v>500</v>
      </c>
      <c r="X7" s="32">
        <v>2</v>
      </c>
      <c r="Y7" s="33">
        <v>1</v>
      </c>
      <c r="Z7" s="34">
        <f t="shared" ref="Z7" si="84">W7/X7</f>
        <v>250</v>
      </c>
      <c r="AA7" s="34">
        <f t="shared" ref="AA7" si="85">X7/Y7</f>
        <v>2</v>
      </c>
      <c r="AB7" s="30"/>
      <c r="AC7" s="29">
        <f>500+600+600+600+500</f>
        <v>2800</v>
      </c>
      <c r="AD7" s="32">
        <f>2.8+3.6+3.5+3.7+2.7</f>
        <v>16.3</v>
      </c>
      <c r="AE7" s="33">
        <v>5</v>
      </c>
      <c r="AF7" s="34">
        <f t="shared" ref="AF7" si="86">AC7/AD7</f>
        <v>171.77914110429447</v>
      </c>
      <c r="AG7" s="34">
        <f t="shared" ref="AG7" si="87">AD7/AE7</f>
        <v>3.2600000000000002</v>
      </c>
      <c r="AH7" s="30"/>
      <c r="AI7" s="29"/>
      <c r="AJ7" s="32"/>
      <c r="AK7" s="33"/>
      <c r="AL7" s="34"/>
      <c r="AM7" s="34"/>
      <c r="AN7" s="30"/>
      <c r="AO7" s="29"/>
      <c r="AP7" s="32"/>
      <c r="AQ7" s="33"/>
      <c r="AR7" s="34"/>
      <c r="AS7" s="34"/>
      <c r="AT7" s="30"/>
      <c r="AU7" s="29">
        <f>200+200+200+500+400</f>
        <v>1500</v>
      </c>
      <c r="AV7" s="32">
        <f>2.9+2.68+3+2.88+2.16</f>
        <v>13.620000000000001</v>
      </c>
      <c r="AW7" s="33">
        <v>5</v>
      </c>
      <c r="AX7" s="34">
        <f t="shared" ref="AX7" si="88">AU7/AV7</f>
        <v>110.13215859030836</v>
      </c>
      <c r="AY7" s="34">
        <f t="shared" ref="AY7" si="89">AV7/AW7</f>
        <v>2.7240000000000002</v>
      </c>
      <c r="AZ7" s="592"/>
      <c r="BA7" s="29">
        <f>500+500+500+700+600</f>
        <v>2800</v>
      </c>
      <c r="BB7" s="32">
        <f>7.02+8.34+8.22+12.58+11.32</f>
        <v>47.48</v>
      </c>
      <c r="BC7" s="33">
        <v>5</v>
      </c>
      <c r="BD7" s="34">
        <f t="shared" ref="BD7" si="90">BA7/BB7</f>
        <v>58.972198820556031</v>
      </c>
      <c r="BE7" s="34">
        <f t="shared" ref="BE7" si="91">BB7/BC7</f>
        <v>9.4959999999999987</v>
      </c>
      <c r="BF7" s="592"/>
      <c r="BG7" s="29"/>
      <c r="BH7" s="32"/>
      <c r="BI7" s="33"/>
      <c r="BJ7" s="34"/>
      <c r="BK7" s="34"/>
      <c r="BL7" s="592"/>
      <c r="BM7" s="29"/>
      <c r="BN7" s="32"/>
      <c r="BO7" s="33"/>
      <c r="BP7" s="34"/>
      <c r="BQ7" s="34"/>
      <c r="BR7" s="30"/>
      <c r="BS7" s="29">
        <f>600+600+600+600</f>
        <v>2400</v>
      </c>
      <c r="BT7" s="32">
        <f>4.19+4.25+4.19+3.05</f>
        <v>15.680000000000003</v>
      </c>
      <c r="BU7" s="33">
        <v>4</v>
      </c>
      <c r="BV7" s="34">
        <f t="shared" ref="BV7" si="92">BS7/BT7</f>
        <v>153.06122448979588</v>
      </c>
      <c r="BW7" s="34">
        <f t="shared" ref="BW7" si="93">BT7/BU7</f>
        <v>3.9200000000000008</v>
      </c>
      <c r="BX7" s="592"/>
      <c r="BY7" s="29">
        <f>200+200+200+500+400</f>
        <v>1500</v>
      </c>
      <c r="BZ7" s="32">
        <f>2.9+2.68+3+2.88+2.16</f>
        <v>13.620000000000001</v>
      </c>
      <c r="CA7" s="33">
        <v>5</v>
      </c>
      <c r="CB7" s="34">
        <f t="shared" si="6"/>
        <v>110.13215859030836</v>
      </c>
      <c r="CC7" s="34">
        <f t="shared" si="7"/>
        <v>2.7240000000000002</v>
      </c>
      <c r="CD7" s="592"/>
      <c r="CE7" s="29">
        <v>2500</v>
      </c>
      <c r="CF7" s="32">
        <v>13.89</v>
      </c>
      <c r="CG7" s="33">
        <v>5</v>
      </c>
      <c r="CH7" s="34">
        <f t="shared" ref="CH7" si="94">CE7/CF7</f>
        <v>179.98560115190784</v>
      </c>
      <c r="CI7" s="34">
        <f t="shared" ref="CI7" si="95">CF7/CG7</f>
        <v>2.778</v>
      </c>
      <c r="CJ7" s="592"/>
      <c r="CK7" s="29"/>
      <c r="CL7" s="32"/>
      <c r="CM7" s="33"/>
      <c r="CN7" s="34"/>
      <c r="CO7" s="34"/>
      <c r="CP7" s="592"/>
      <c r="CQ7" s="29"/>
      <c r="CR7" s="32"/>
      <c r="CS7" s="33"/>
      <c r="CT7" s="34"/>
      <c r="CU7" s="34"/>
      <c r="CV7" s="592"/>
      <c r="CW7" s="29">
        <f>200+200+200+500+400</f>
        <v>1500</v>
      </c>
      <c r="CX7" s="32">
        <f>2.9+2.68+3+2.88+2.16</f>
        <v>13.620000000000001</v>
      </c>
      <c r="CY7" s="33">
        <v>5</v>
      </c>
      <c r="CZ7" s="34">
        <f t="shared" si="10"/>
        <v>110.13215859030836</v>
      </c>
      <c r="DA7" s="34">
        <f t="shared" si="11"/>
        <v>2.7240000000000002</v>
      </c>
      <c r="DB7" s="592"/>
      <c r="DC7" s="29">
        <f>300+300+300+500+500</f>
        <v>1900</v>
      </c>
      <c r="DD7" s="32">
        <f>5.54+3.94+6.18+5.04+2.42</f>
        <v>23.119999999999997</v>
      </c>
      <c r="DE7" s="33">
        <v>5</v>
      </c>
      <c r="DF7" s="34">
        <f t="shared" si="12"/>
        <v>82.179930795847767</v>
      </c>
      <c r="DG7" s="34">
        <f t="shared" si="13"/>
        <v>4.6239999999999997</v>
      </c>
      <c r="DH7" s="592"/>
      <c r="DI7" s="29">
        <v>2100</v>
      </c>
      <c r="DJ7" s="32">
        <v>17.559999999999999</v>
      </c>
      <c r="DK7" s="33">
        <v>5</v>
      </c>
      <c r="DL7" s="34">
        <f t="shared" si="14"/>
        <v>119.58997722095673</v>
      </c>
      <c r="DM7" s="34">
        <f t="shared" si="15"/>
        <v>3.5119999999999996</v>
      </c>
      <c r="DN7" s="592"/>
      <c r="DO7" s="29">
        <v>2500</v>
      </c>
      <c r="DP7" s="32">
        <v>16.95</v>
      </c>
      <c r="DQ7" s="33">
        <v>5</v>
      </c>
      <c r="DR7" s="34">
        <f t="shared" si="16"/>
        <v>147.49262536873158</v>
      </c>
      <c r="DS7" s="34">
        <f t="shared" si="17"/>
        <v>3.3899999999999997</v>
      </c>
      <c r="DT7" s="592"/>
      <c r="DU7" s="29"/>
      <c r="DV7" s="32"/>
      <c r="DW7" s="33"/>
      <c r="DX7" s="34"/>
      <c r="DY7" s="34"/>
      <c r="DZ7" s="592"/>
      <c r="EA7" s="29"/>
      <c r="EB7" s="32"/>
      <c r="EC7" s="33"/>
      <c r="ED7" s="34"/>
      <c r="EE7" s="34"/>
      <c r="EF7" s="592"/>
      <c r="EG7" s="29"/>
      <c r="EH7" s="32"/>
      <c r="EI7" s="33"/>
      <c r="EJ7" s="34"/>
      <c r="EK7" s="34"/>
      <c r="EL7" s="592"/>
      <c r="EM7" s="29"/>
      <c r="EN7" s="32"/>
      <c r="EO7" s="33"/>
      <c r="EP7" s="34"/>
      <c r="EQ7" s="34"/>
      <c r="ER7" s="30"/>
      <c r="ES7" s="29">
        <f>200+200+200+500+400</f>
        <v>1500</v>
      </c>
      <c r="ET7" s="32">
        <f>2.9+2.68+3+2.88+2.16</f>
        <v>13.620000000000001</v>
      </c>
      <c r="EU7" s="33">
        <v>5</v>
      </c>
      <c r="EV7" s="34">
        <f t="shared" si="18"/>
        <v>110.13215859030836</v>
      </c>
      <c r="EW7" s="34">
        <f t="shared" si="18"/>
        <v>2.7240000000000002</v>
      </c>
      <c r="EX7" s="30"/>
      <c r="EY7" s="35">
        <v>2500</v>
      </c>
      <c r="EZ7" s="34">
        <v>13.89</v>
      </c>
      <c r="FA7" s="37">
        <v>5</v>
      </c>
      <c r="FB7" s="34">
        <f>EY7/EZ7</f>
        <v>179.98560115190784</v>
      </c>
      <c r="FC7" s="34">
        <f>EZ7/FA7</f>
        <v>2.778</v>
      </c>
      <c r="FE7" s="26">
        <v>2300</v>
      </c>
      <c r="FF7" s="27">
        <v>16.2</v>
      </c>
      <c r="FG7" s="28">
        <v>5</v>
      </c>
      <c r="FH7" s="38">
        <f t="shared" ref="FH7:FI51" si="96">FE7/FF7</f>
        <v>141.97530864197532</v>
      </c>
      <c r="FI7" s="39">
        <f>FF7/FG7</f>
        <v>3.2399999999999998</v>
      </c>
      <c r="FK7" s="27">
        <f>500+500+500+500+500</f>
        <v>2500</v>
      </c>
      <c r="FL7" s="40">
        <f>2.38+2.78+3.87+3.23+2.8</f>
        <v>15.060000000000002</v>
      </c>
      <c r="FM7" s="27">
        <f>5</f>
        <v>5</v>
      </c>
      <c r="FN7" s="40">
        <f t="shared" ref="FN7:FO51" si="97">FK7/FL7</f>
        <v>166.00265604249665</v>
      </c>
      <c r="FO7" s="40">
        <f t="shared" si="97"/>
        <v>3.0120000000000005</v>
      </c>
      <c r="FQ7" s="26">
        <f>400+400+400+400+400</f>
        <v>2000</v>
      </c>
      <c r="FR7" s="40">
        <f>2.05+1.9+1.95+1.99+1.95</f>
        <v>9.84</v>
      </c>
      <c r="FS7" s="27">
        <f>5</f>
        <v>5</v>
      </c>
      <c r="FT7" s="40">
        <f t="shared" si="19"/>
        <v>203.2520325203252</v>
      </c>
      <c r="FU7" s="40">
        <f t="shared" si="19"/>
        <v>1.968</v>
      </c>
      <c r="FW7" s="26">
        <f>500+500+500+500+500</f>
        <v>2500</v>
      </c>
      <c r="FX7" s="27">
        <f>2.82+2.36+2.18+2.35+3.02</f>
        <v>12.729999999999999</v>
      </c>
      <c r="FY7" s="27">
        <f>5</f>
        <v>5</v>
      </c>
      <c r="FZ7" s="40">
        <f t="shared" si="20"/>
        <v>196.38648860958369</v>
      </c>
      <c r="GA7" s="40">
        <f t="shared" si="20"/>
        <v>2.5459999999999998</v>
      </c>
      <c r="GC7" s="26">
        <f>500+500+500+500+500</f>
        <v>2500</v>
      </c>
      <c r="GD7" s="27">
        <f>4.23+3.93+3.61+3.4+2.8</f>
        <v>17.97</v>
      </c>
      <c r="GE7" s="27">
        <f>5</f>
        <v>5</v>
      </c>
      <c r="GF7" s="40">
        <f t="shared" si="21"/>
        <v>139.12075681691709</v>
      </c>
      <c r="GG7" s="40">
        <f t="shared" si="21"/>
        <v>3.5939999999999999</v>
      </c>
      <c r="GI7" s="26">
        <f>500+500+500+500+500</f>
        <v>2500</v>
      </c>
      <c r="GJ7" s="27">
        <f>4.18+4.44+3.94+3.33+4.23</f>
        <v>20.12</v>
      </c>
      <c r="GK7" s="27">
        <f>5</f>
        <v>5</v>
      </c>
      <c r="GL7" s="40">
        <f t="shared" si="22"/>
        <v>124.25447316103379</v>
      </c>
      <c r="GM7" s="40">
        <f t="shared" si="22"/>
        <v>4.024</v>
      </c>
      <c r="GO7" s="26">
        <f>600+600+600+600+600</f>
        <v>3000</v>
      </c>
      <c r="GP7" s="40">
        <f>4.19+4.19+4.19+4.19+4.19</f>
        <v>20.950000000000003</v>
      </c>
      <c r="GQ7" s="27">
        <f>5</f>
        <v>5</v>
      </c>
      <c r="GR7" s="40">
        <f t="shared" ref="GR7:GS50" si="98">GO7/GP7</f>
        <v>143.19809069212408</v>
      </c>
      <c r="GS7" s="40">
        <f t="shared" si="98"/>
        <v>4.1900000000000004</v>
      </c>
      <c r="GU7" s="95">
        <f>500+500+500+500+500</f>
        <v>2500</v>
      </c>
      <c r="GV7" s="99">
        <f>2.63+2.53+2.56+2.66+2.28</f>
        <v>12.66</v>
      </c>
      <c r="GW7" s="100">
        <v>5</v>
      </c>
      <c r="GX7" s="101">
        <f t="shared" si="23"/>
        <v>197.47235387045814</v>
      </c>
      <c r="GY7" s="101">
        <f t="shared" si="23"/>
        <v>2.532</v>
      </c>
      <c r="GZ7" s="43"/>
      <c r="HA7" s="26">
        <f>700+700+400+500+600</f>
        <v>2900</v>
      </c>
      <c r="HB7" s="39">
        <f>5.3+4.6+2.8+2.4+5.1</f>
        <v>20.2</v>
      </c>
      <c r="HC7" s="28">
        <v>5</v>
      </c>
      <c r="HD7" s="105">
        <f t="shared" si="24"/>
        <v>143.56435643564356</v>
      </c>
      <c r="HE7" s="39">
        <f t="shared" si="24"/>
        <v>4.04</v>
      </c>
      <c r="HG7" s="26">
        <f>500+500+500+500</f>
        <v>2000</v>
      </c>
      <c r="HH7" s="40">
        <f>4.22+4.37+4.41+3.9</f>
        <v>16.899999999999999</v>
      </c>
      <c r="HI7" s="27">
        <f>4</f>
        <v>4</v>
      </c>
      <c r="HJ7" s="34">
        <f t="shared" si="25"/>
        <v>118.3431952662722</v>
      </c>
      <c r="HK7" s="34">
        <f t="shared" si="25"/>
        <v>4.2249999999999996</v>
      </c>
      <c r="HM7" s="26">
        <f>600+600+600+700</f>
        <v>2500</v>
      </c>
      <c r="HN7" s="45">
        <f>2.71+2.7+1.4+3.45</f>
        <v>10.260000000000002</v>
      </c>
      <c r="HO7" s="46">
        <v>4</v>
      </c>
      <c r="HP7" s="47">
        <f t="shared" ref="HP7:HQ50" si="99">HM7/HN7</f>
        <v>243.66471734892784</v>
      </c>
      <c r="HQ7" s="47">
        <f t="shared" si="99"/>
        <v>2.5650000000000004</v>
      </c>
      <c r="HS7" s="26">
        <f>600+600+500+500+500</f>
        <v>2700</v>
      </c>
      <c r="HT7" s="45">
        <f>3.12+3.39+2+2.21+2.16</f>
        <v>12.879999999999999</v>
      </c>
      <c r="HU7" s="46">
        <v>5</v>
      </c>
      <c r="HV7" s="48">
        <f t="shared" si="26"/>
        <v>209.6273291925466</v>
      </c>
      <c r="HW7" s="48">
        <f t="shared" si="26"/>
        <v>2.5759999999999996</v>
      </c>
      <c r="HY7" s="45"/>
      <c r="HZ7" s="27"/>
      <c r="IA7" s="45"/>
      <c r="IB7" s="48"/>
      <c r="IC7" s="48"/>
      <c r="IE7" s="45">
        <f>500+500+500+500+500</f>
        <v>2500</v>
      </c>
      <c r="IF7" s="27">
        <f>3.26+3.8+2.72+2.38+2.37</f>
        <v>14.530000000000001</v>
      </c>
      <c r="IG7" s="45">
        <f>5</f>
        <v>5</v>
      </c>
      <c r="IH7" s="48">
        <f t="shared" si="27"/>
        <v>172.05781142463866</v>
      </c>
      <c r="II7" s="48">
        <f t="shared" si="27"/>
        <v>2.9060000000000001</v>
      </c>
      <c r="IK7" s="26">
        <f>500+700+700+700+500</f>
        <v>3100</v>
      </c>
      <c r="IL7" s="40">
        <f>2.83+3.86+3.51+3.71+2.56</f>
        <v>16.47</v>
      </c>
      <c r="IM7" s="45">
        <f>5</f>
        <v>5</v>
      </c>
      <c r="IN7" s="48">
        <f t="shared" si="28"/>
        <v>188.22100789313905</v>
      </c>
      <c r="IO7" s="48">
        <f t="shared" si="28"/>
        <v>3.2939999999999996</v>
      </c>
      <c r="IQ7" s="26">
        <f>600+600+600+600+200</f>
        <v>2600</v>
      </c>
      <c r="IR7" s="40">
        <f>2.06+3.04+2.82+2.99+2.77</f>
        <v>13.68</v>
      </c>
      <c r="IS7" s="45">
        <v>5</v>
      </c>
      <c r="IT7" s="48">
        <f t="shared" si="29"/>
        <v>190.05847953216374</v>
      </c>
      <c r="IU7" s="48">
        <f t="shared" si="30"/>
        <v>2.7359999999999998</v>
      </c>
      <c r="IW7" s="26">
        <f>500+500+400+400+400</f>
        <v>2200</v>
      </c>
      <c r="IX7" s="40">
        <f>4.78+3.23+3.29+3.87+3.36</f>
        <v>18.53</v>
      </c>
      <c r="IY7" s="45">
        <v>5</v>
      </c>
      <c r="IZ7" s="46">
        <f t="shared" si="31"/>
        <v>118.72638963842417</v>
      </c>
      <c r="JA7" s="46">
        <f t="shared" si="32"/>
        <v>3.7060000000000004</v>
      </c>
      <c r="JC7" s="26">
        <f>600+600+600+600+600</f>
        <v>3000</v>
      </c>
      <c r="JD7" s="40">
        <f>3.17+3.14+2.17+4.41+4.76</f>
        <v>17.649999999999999</v>
      </c>
      <c r="JE7" s="45">
        <v>5</v>
      </c>
      <c r="JF7" s="46">
        <f t="shared" si="33"/>
        <v>169.97167138810201</v>
      </c>
      <c r="JG7" s="46">
        <f t="shared" si="34"/>
        <v>3.53</v>
      </c>
      <c r="JI7" s="26">
        <f>600+600+600+400+600</f>
        <v>2800</v>
      </c>
      <c r="JJ7" s="40">
        <f>3.96+3.88+4.29+3.03+3.79</f>
        <v>18.95</v>
      </c>
      <c r="JK7" s="45">
        <v>5</v>
      </c>
      <c r="JL7" s="46">
        <f t="shared" si="35"/>
        <v>147.75725593667548</v>
      </c>
      <c r="JM7" s="46">
        <f t="shared" si="36"/>
        <v>3.79</v>
      </c>
      <c r="JO7" s="26">
        <f>600+600+600+600+600</f>
        <v>3000</v>
      </c>
      <c r="JP7" s="40">
        <f>4.1+4.88+4.38+3.7+3.01</f>
        <v>20.07</v>
      </c>
      <c r="JQ7" s="45">
        <v>5</v>
      </c>
      <c r="JR7" s="46">
        <f t="shared" si="37"/>
        <v>149.47683109118086</v>
      </c>
      <c r="JS7" s="46">
        <f t="shared" si="38"/>
        <v>4.0140000000000002</v>
      </c>
      <c r="JU7" s="26">
        <f>500+500+500+500+500</f>
        <v>2500</v>
      </c>
      <c r="JV7" s="40">
        <f>4.32+4.2+3.89+3.86+3.8</f>
        <v>20.07</v>
      </c>
      <c r="JW7" s="45">
        <v>5</v>
      </c>
      <c r="JX7" s="46">
        <f t="shared" si="39"/>
        <v>124.56402590931739</v>
      </c>
      <c r="JY7" s="46">
        <f t="shared" si="40"/>
        <v>4.0140000000000002</v>
      </c>
      <c r="KA7" s="26"/>
      <c r="KB7" s="40"/>
      <c r="KC7" s="45"/>
      <c r="KD7" s="46"/>
      <c r="KE7" s="46"/>
      <c r="KG7" s="26">
        <v>1000</v>
      </c>
      <c r="KH7" s="40">
        <v>15.2</v>
      </c>
      <c r="KI7" s="45">
        <v>2</v>
      </c>
      <c r="KJ7" s="46">
        <f>KG7/KH7</f>
        <v>65.789473684210535</v>
      </c>
      <c r="KK7" s="46">
        <f>KH7/KI7</f>
        <v>7.6</v>
      </c>
      <c r="KM7" s="26"/>
      <c r="KN7" s="40"/>
      <c r="KO7" s="45"/>
      <c r="KP7" s="46" t="e">
        <f>KM7/KN7</f>
        <v>#DIV/0!</v>
      </c>
      <c r="KQ7" s="46" t="e">
        <f>KN7/KO7</f>
        <v>#DIV/0!</v>
      </c>
      <c r="KS7" s="26"/>
      <c r="KT7" s="40"/>
      <c r="KU7" s="45"/>
      <c r="KV7" s="46" t="e">
        <f>KS7/KT7</f>
        <v>#DIV/0!</v>
      </c>
      <c r="KW7" s="46" t="e">
        <f>KT7/KU7</f>
        <v>#DIV/0!</v>
      </c>
      <c r="KY7" s="26"/>
      <c r="KZ7" s="40"/>
      <c r="LA7" s="45"/>
      <c r="LB7" s="46" t="e">
        <f>KY7/KZ7</f>
        <v>#DIV/0!</v>
      </c>
      <c r="LC7" s="46" t="e">
        <f>KZ7/LA7</f>
        <v>#DIV/0!</v>
      </c>
      <c r="LE7" s="26"/>
      <c r="LF7" s="40"/>
      <c r="LG7" s="45"/>
      <c r="LH7" s="46" t="e">
        <f>LE7/LF7</f>
        <v>#DIV/0!</v>
      </c>
      <c r="LI7" s="46" t="e">
        <f>LF7/LG7</f>
        <v>#DIV/0!</v>
      </c>
      <c r="LK7" s="26"/>
      <c r="LL7" s="40"/>
      <c r="LM7" s="45"/>
      <c r="LN7" s="46" t="e">
        <f>LK7/LL7</f>
        <v>#DIV/0!</v>
      </c>
      <c r="LO7" s="46" t="e">
        <f>LL7/LM7</f>
        <v>#DIV/0!</v>
      </c>
      <c r="LQ7" s="26"/>
      <c r="LR7" s="40"/>
      <c r="LS7" s="45"/>
      <c r="LT7" s="46" t="e">
        <f>LQ7/LR7</f>
        <v>#DIV/0!</v>
      </c>
      <c r="LU7" s="46" t="e">
        <f>LR7/LS7</f>
        <v>#DIV/0!</v>
      </c>
      <c r="LW7" s="26"/>
      <c r="LX7" s="40"/>
      <c r="LY7" s="45"/>
      <c r="LZ7" s="46" t="e">
        <f>LW7/LX7</f>
        <v>#DIV/0!</v>
      </c>
      <c r="MA7" s="46" t="e">
        <f>LX7/LY7</f>
        <v>#DIV/0!</v>
      </c>
      <c r="MC7" s="26">
        <f>200+200+200+200</f>
        <v>800</v>
      </c>
      <c r="MD7" s="40">
        <f>2.08+1.62+2.03+1.84</f>
        <v>7.57</v>
      </c>
      <c r="ME7" s="45">
        <v>4</v>
      </c>
      <c r="MF7" s="46">
        <f>MC7/MD7</f>
        <v>105.68031704095112</v>
      </c>
      <c r="MG7" s="46">
        <f>MD7/ME7</f>
        <v>1.8925000000000001</v>
      </c>
      <c r="MI7" s="26"/>
      <c r="MJ7" s="40"/>
      <c r="MK7" s="45"/>
      <c r="ML7" s="46" t="e">
        <f>MI7/MJ7</f>
        <v>#DIV/0!</v>
      </c>
      <c r="MM7" s="46" t="e">
        <f>MJ7/MK7</f>
        <v>#DIV/0!</v>
      </c>
      <c r="MO7" s="26"/>
      <c r="MP7" s="40"/>
      <c r="MQ7" s="45"/>
      <c r="MR7" s="46" t="e">
        <f>MO7/MP7</f>
        <v>#DIV/0!</v>
      </c>
      <c r="MS7" s="46" t="e">
        <f>MP7/MQ7</f>
        <v>#DIV/0!</v>
      </c>
      <c r="MU7" s="26"/>
      <c r="MV7" s="40"/>
      <c r="MW7" s="45"/>
      <c r="MX7" s="46" t="e">
        <f>MU7/MV7</f>
        <v>#DIV/0!</v>
      </c>
      <c r="MY7" s="46" t="e">
        <f>MV7/MW7</f>
        <v>#DIV/0!</v>
      </c>
      <c r="NA7" s="821"/>
      <c r="NB7" s="38"/>
      <c r="NC7" s="820"/>
      <c r="ND7" s="46" t="e">
        <f>NA7/NB7</f>
        <v>#DIV/0!</v>
      </c>
      <c r="NE7" s="46" t="e">
        <f>NB7/NC7</f>
        <v>#DIV/0!</v>
      </c>
      <c r="NG7" s="823">
        <f>500+500+500+500</f>
        <v>2000</v>
      </c>
      <c r="NH7" s="824">
        <f>2.81+2.92+2.47+2.28</f>
        <v>10.48</v>
      </c>
      <c r="NI7" s="823">
        <v>4</v>
      </c>
      <c r="NJ7" s="46">
        <f>NG7/NH7</f>
        <v>190.83969465648855</v>
      </c>
      <c r="NK7" s="46">
        <f>NH7/NI7</f>
        <v>2.62</v>
      </c>
      <c r="NM7" s="823">
        <f>300+300+300+300+300</f>
        <v>1500</v>
      </c>
      <c r="NN7" s="824">
        <f>2.34+2.68+2.27+2.54+2.54</f>
        <v>12.369999999999997</v>
      </c>
      <c r="NO7" s="823">
        <v>5</v>
      </c>
      <c r="NP7" s="46">
        <f>NM7/NN7</f>
        <v>121.26111560226357</v>
      </c>
      <c r="NQ7" s="46">
        <f>NN7/NO7</f>
        <v>2.4739999999999993</v>
      </c>
      <c r="NS7" s="823">
        <f>400+400+400+400+400</f>
        <v>2000</v>
      </c>
      <c r="NT7" s="824">
        <f>2.96+2.76+2.55+2.81+2.51</f>
        <v>13.59</v>
      </c>
      <c r="NU7" s="823">
        <v>5</v>
      </c>
      <c r="NV7" s="46">
        <f>NS7/NT7</f>
        <v>147.16703458425312</v>
      </c>
      <c r="NW7" s="46">
        <f>NT7/NU7</f>
        <v>2.718</v>
      </c>
      <c r="NY7" s="910"/>
      <c r="NZ7" s="910"/>
      <c r="OA7" s="910"/>
      <c r="OB7" s="46" t="e">
        <f>NY7/NZ7</f>
        <v>#DIV/0!</v>
      </c>
      <c r="OC7" s="46" t="e">
        <f>NZ7/OA7</f>
        <v>#DIV/0!</v>
      </c>
      <c r="OE7" s="823"/>
      <c r="OF7" s="824"/>
      <c r="OG7" s="823"/>
      <c r="OH7" s="46" t="e">
        <f>OE7/OF7</f>
        <v>#DIV/0!</v>
      </c>
      <c r="OI7" s="46" t="e">
        <f>OF7/OG7</f>
        <v>#DIV/0!</v>
      </c>
    </row>
    <row r="8" spans="2:399">
      <c r="B8" s="11"/>
      <c r="C8" s="12" t="s">
        <v>12</v>
      </c>
      <c r="D8" s="13" t="s">
        <v>13</v>
      </c>
      <c r="E8" s="29">
        <f>500</f>
        <v>500</v>
      </c>
      <c r="F8" s="32">
        <v>3.83</v>
      </c>
      <c r="G8" s="33">
        <v>1</v>
      </c>
      <c r="H8" s="34">
        <f t="shared" ref="H8" si="100">E8/F8</f>
        <v>130.54830287206266</v>
      </c>
      <c r="I8" s="34">
        <f t="shared" ref="I8" si="101">F8/G8</f>
        <v>3.83</v>
      </c>
      <c r="J8" s="30"/>
      <c r="K8" s="29"/>
      <c r="L8" s="32"/>
      <c r="M8" s="33"/>
      <c r="N8" s="34"/>
      <c r="O8" s="34"/>
      <c r="P8" s="30"/>
      <c r="Q8" s="29">
        <v>3000</v>
      </c>
      <c r="R8" s="32">
        <v>32.700000000000003</v>
      </c>
      <c r="S8" s="33">
        <v>5</v>
      </c>
      <c r="T8" s="34">
        <f t="shared" ref="T8" si="102">Q8/R8</f>
        <v>91.743119266055032</v>
      </c>
      <c r="U8" s="34">
        <f t="shared" ref="U8" si="103">R8/S8</f>
        <v>6.5400000000000009</v>
      </c>
      <c r="V8" s="30"/>
      <c r="W8" s="29"/>
      <c r="X8" s="32"/>
      <c r="Y8" s="33"/>
      <c r="Z8" s="34"/>
      <c r="AA8" s="34"/>
      <c r="AB8" s="30"/>
      <c r="AC8" s="29">
        <f>600+500+400+600+600</f>
        <v>2700</v>
      </c>
      <c r="AD8" s="32">
        <f>5.2+4.1+3.4+5.5+5.6</f>
        <v>23.800000000000004</v>
      </c>
      <c r="AE8" s="33">
        <v>5</v>
      </c>
      <c r="AF8" s="34">
        <f t="shared" ref="AF8" si="104">AC8/AD8</f>
        <v>113.44537815126048</v>
      </c>
      <c r="AG8" s="34">
        <f t="shared" ref="AG8" si="105">AD8/AE8</f>
        <v>4.7600000000000007</v>
      </c>
      <c r="AH8" s="30"/>
      <c r="AI8" s="29"/>
      <c r="AJ8" s="32"/>
      <c r="AK8" s="33"/>
      <c r="AL8" s="34"/>
      <c r="AM8" s="34"/>
      <c r="AN8" s="30"/>
      <c r="AO8" s="29"/>
      <c r="AP8" s="32"/>
      <c r="AQ8" s="33"/>
      <c r="AR8" s="34"/>
      <c r="AS8" s="34"/>
      <c r="AT8" s="30"/>
      <c r="AU8" s="29"/>
      <c r="AV8" s="32"/>
      <c r="AW8" s="33"/>
      <c r="AX8" s="34"/>
      <c r="AY8" s="34"/>
      <c r="AZ8" s="592"/>
      <c r="BA8" s="29"/>
      <c r="BB8" s="32"/>
      <c r="BC8" s="33"/>
      <c r="BD8" s="34"/>
      <c r="BE8" s="34"/>
      <c r="BF8" s="592"/>
      <c r="BG8" s="29"/>
      <c r="BH8" s="32"/>
      <c r="BI8" s="33"/>
      <c r="BJ8" s="34"/>
      <c r="BK8" s="34"/>
      <c r="BL8" s="592"/>
      <c r="BM8" s="29"/>
      <c r="BN8" s="32"/>
      <c r="BO8" s="33"/>
      <c r="BP8" s="34"/>
      <c r="BQ8" s="34"/>
      <c r="BR8" s="30"/>
      <c r="BS8" s="29">
        <f>750+600+800+900+1000</f>
        <v>4050</v>
      </c>
      <c r="BT8" s="32">
        <f>3.86+2.87+4.07+4.79+3.97</f>
        <v>19.559999999999999</v>
      </c>
      <c r="BU8" s="33">
        <v>5</v>
      </c>
      <c r="BV8" s="34">
        <f t="shared" ref="BV8" si="106">BS8/BT8</f>
        <v>207.05521472392638</v>
      </c>
      <c r="BW8" s="34">
        <f t="shared" ref="BW8" si="107">BT8/BU8</f>
        <v>3.9119999999999999</v>
      </c>
      <c r="BX8" s="592"/>
      <c r="BY8" s="29"/>
      <c r="BZ8" s="32"/>
      <c r="CA8" s="33"/>
      <c r="CB8" s="34"/>
      <c r="CC8" s="34"/>
      <c r="CD8" s="592"/>
      <c r="CE8" s="29">
        <v>1950</v>
      </c>
      <c r="CF8" s="32">
        <v>10.41</v>
      </c>
      <c r="CG8" s="33">
        <v>5</v>
      </c>
      <c r="CH8" s="34">
        <f t="shared" ref="CH8" si="108">CE8/CF8</f>
        <v>187.31988472622479</v>
      </c>
      <c r="CI8" s="34">
        <f t="shared" ref="CI8" si="109">CF8/CG8</f>
        <v>2.0819999999999999</v>
      </c>
      <c r="CJ8" s="592"/>
      <c r="CK8" s="29">
        <f>600+600+600+600+600</f>
        <v>3000</v>
      </c>
      <c r="CL8" s="32">
        <f>4.94+6.78+5.7+5.88+6.77</f>
        <v>30.07</v>
      </c>
      <c r="CM8" s="33">
        <v>5</v>
      </c>
      <c r="CN8" s="34">
        <f t="shared" ref="CN8" si="110">CK8/CL8</f>
        <v>99.767209843698041</v>
      </c>
      <c r="CO8" s="34">
        <f t="shared" ref="CO8" si="111">CL8/CM8</f>
        <v>6.0140000000000002</v>
      </c>
      <c r="CP8" s="592"/>
      <c r="CQ8" s="29"/>
      <c r="CR8" s="32"/>
      <c r="CS8" s="33"/>
      <c r="CT8" s="34"/>
      <c r="CU8" s="34"/>
      <c r="CV8" s="592"/>
      <c r="CW8" s="29"/>
      <c r="CX8" s="32"/>
      <c r="CY8" s="33"/>
      <c r="CZ8" s="34"/>
      <c r="DA8" s="34"/>
      <c r="DB8" s="592"/>
      <c r="DC8" s="29">
        <f>500</f>
        <v>500</v>
      </c>
      <c r="DD8" s="32">
        <f>8.22</f>
        <v>8.2200000000000006</v>
      </c>
      <c r="DE8" s="33">
        <v>1</v>
      </c>
      <c r="DF8" s="34">
        <f t="shared" ref="DF8" si="112">DC8/DD8</f>
        <v>60.8272506082725</v>
      </c>
      <c r="DG8" s="34">
        <f t="shared" ref="DG8" si="113">DD8/DE8</f>
        <v>8.2200000000000006</v>
      </c>
      <c r="DH8" s="592"/>
      <c r="DI8" s="29">
        <v>2500</v>
      </c>
      <c r="DJ8" s="32">
        <v>21.53</v>
      </c>
      <c r="DK8" s="33">
        <v>5</v>
      </c>
      <c r="DL8" s="34">
        <f t="shared" ref="DL8" si="114">DI8/DJ8</f>
        <v>116.11704598235021</v>
      </c>
      <c r="DM8" s="34">
        <f t="shared" ref="DM8" si="115">DJ8/DK8</f>
        <v>4.306</v>
      </c>
      <c r="DN8" s="592"/>
      <c r="DO8" s="29">
        <v>1500</v>
      </c>
      <c r="DP8" s="32">
        <v>11.41</v>
      </c>
      <c r="DQ8" s="33">
        <v>3</v>
      </c>
      <c r="DR8" s="34">
        <f t="shared" ref="DR8" si="116">DO8/DP8</f>
        <v>131.46362839614372</v>
      </c>
      <c r="DS8" s="34">
        <f t="shared" ref="DS8" si="117">DP8/DQ8</f>
        <v>3.8033333333333332</v>
      </c>
      <c r="DT8" s="592"/>
      <c r="DU8" s="29"/>
      <c r="DV8" s="32"/>
      <c r="DW8" s="33"/>
      <c r="DX8" s="34"/>
      <c r="DY8" s="34"/>
      <c r="DZ8" s="592"/>
      <c r="EA8" s="29"/>
      <c r="EB8" s="32"/>
      <c r="EC8" s="33"/>
      <c r="ED8" s="34"/>
      <c r="EE8" s="34"/>
      <c r="EF8" s="592"/>
      <c r="EG8" s="29"/>
      <c r="EH8" s="32"/>
      <c r="EI8" s="33"/>
      <c r="EJ8" s="34"/>
      <c r="EK8" s="34"/>
      <c r="EL8" s="592"/>
      <c r="EM8" s="29"/>
      <c r="EN8" s="32"/>
      <c r="EO8" s="33"/>
      <c r="EP8" s="34"/>
      <c r="EQ8" s="34"/>
      <c r="ER8" s="30"/>
      <c r="ES8" s="29"/>
      <c r="ET8" s="32"/>
      <c r="EU8" s="33"/>
      <c r="EV8" s="34"/>
      <c r="EW8" s="34"/>
      <c r="EX8" s="30"/>
      <c r="EY8" s="35">
        <v>1950</v>
      </c>
      <c r="EZ8" s="34">
        <v>10.41</v>
      </c>
      <c r="FA8" s="37">
        <v>5</v>
      </c>
      <c r="FB8" s="34">
        <f t="shared" ref="FB8:FC51" si="118">EY8/EZ8</f>
        <v>187.31988472622479</v>
      </c>
      <c r="FC8" s="34">
        <f t="shared" si="118"/>
        <v>2.0819999999999999</v>
      </c>
      <c r="FE8" s="26">
        <v>3000</v>
      </c>
      <c r="FF8" s="27">
        <v>32.700000000000003</v>
      </c>
      <c r="FG8" s="28">
        <v>5</v>
      </c>
      <c r="FH8" s="38">
        <f t="shared" si="96"/>
        <v>91.743119266055032</v>
      </c>
      <c r="FI8" s="39">
        <f t="shared" si="96"/>
        <v>6.5400000000000009</v>
      </c>
      <c r="FK8" s="27"/>
      <c r="FL8" s="40"/>
      <c r="FM8" s="27"/>
      <c r="FN8" s="40"/>
      <c r="FO8" s="40"/>
      <c r="FQ8" s="26"/>
      <c r="FR8" s="40"/>
      <c r="FS8" s="27"/>
      <c r="FT8" s="40"/>
      <c r="FU8" s="40"/>
      <c r="FW8" s="26">
        <f>600+600+600+500+500</f>
        <v>2800</v>
      </c>
      <c r="FX8" s="27">
        <f>6.03+6.55+7.36+3.44+3.44</f>
        <v>26.820000000000004</v>
      </c>
      <c r="FY8" s="27">
        <f>5</f>
        <v>5</v>
      </c>
      <c r="FZ8" s="40">
        <f t="shared" si="20"/>
        <v>104.39970171513794</v>
      </c>
      <c r="GA8" s="40">
        <f t="shared" si="20"/>
        <v>5.3640000000000008</v>
      </c>
      <c r="GC8" s="26">
        <f>500+500+500+600+600</f>
        <v>2700</v>
      </c>
      <c r="GD8" s="27">
        <f>3.84+4.61+4.22+4.38+4.18</f>
        <v>21.229999999999997</v>
      </c>
      <c r="GE8" s="27">
        <f>5</f>
        <v>5</v>
      </c>
      <c r="GF8" s="40">
        <f t="shared" si="21"/>
        <v>127.17852096090439</v>
      </c>
      <c r="GG8" s="40">
        <f t="shared" si="21"/>
        <v>4.2459999999999996</v>
      </c>
      <c r="GI8" s="26">
        <f>700+700</f>
        <v>1400</v>
      </c>
      <c r="GJ8" s="27">
        <f>7.28+7.34</f>
        <v>14.620000000000001</v>
      </c>
      <c r="GK8" s="27">
        <f>2</f>
        <v>2</v>
      </c>
      <c r="GL8" s="40">
        <f t="shared" si="22"/>
        <v>95.759233926128587</v>
      </c>
      <c r="GM8" s="40">
        <f t="shared" si="22"/>
        <v>7.3100000000000005</v>
      </c>
      <c r="GO8" s="26">
        <f>600+600+600+600+600</f>
        <v>3000</v>
      </c>
      <c r="GP8" s="27">
        <f>7.65+7.62+5.12+4.96+5.14</f>
        <v>30.490000000000002</v>
      </c>
      <c r="GQ8" s="27">
        <f>5</f>
        <v>5</v>
      </c>
      <c r="GR8" s="40">
        <f t="shared" si="98"/>
        <v>98.392915710068863</v>
      </c>
      <c r="GS8" s="40">
        <f t="shared" si="98"/>
        <v>6.0980000000000008</v>
      </c>
      <c r="GU8" s="95">
        <f>700+600+800+700+700</f>
        <v>3500</v>
      </c>
      <c r="GV8" s="99">
        <f>5.97+5.3+6.91+6.08+4.28</f>
        <v>28.54</v>
      </c>
      <c r="GW8" s="100">
        <v>5</v>
      </c>
      <c r="GX8" s="101">
        <f t="shared" si="23"/>
        <v>122.63489838822706</v>
      </c>
      <c r="GY8" s="101">
        <f t="shared" si="23"/>
        <v>5.7080000000000002</v>
      </c>
      <c r="GZ8" s="43"/>
      <c r="HA8" s="26">
        <f>600+600+600+600+600</f>
        <v>3000</v>
      </c>
      <c r="HB8" s="39">
        <f>4.15+3.7+4+3.53+4.45</f>
        <v>19.830000000000002</v>
      </c>
      <c r="HC8" s="28">
        <v>5</v>
      </c>
      <c r="HD8" s="105">
        <f t="shared" si="24"/>
        <v>151.28593040847198</v>
      </c>
      <c r="HE8" s="39">
        <f t="shared" si="24"/>
        <v>3.9660000000000002</v>
      </c>
      <c r="HG8" s="26"/>
      <c r="HH8" s="27"/>
      <c r="HI8" s="27"/>
      <c r="HJ8" s="34"/>
      <c r="HK8" s="34"/>
      <c r="HM8" s="26">
        <f>500</f>
        <v>500</v>
      </c>
      <c r="HN8" s="45">
        <v>3.83</v>
      </c>
      <c r="HO8" s="46">
        <v>1</v>
      </c>
      <c r="HP8" s="47">
        <f t="shared" si="99"/>
        <v>130.54830287206266</v>
      </c>
      <c r="HQ8" s="47">
        <f t="shared" si="99"/>
        <v>3.83</v>
      </c>
      <c r="HS8" s="26"/>
      <c r="HT8" s="45"/>
      <c r="HU8" s="46"/>
      <c r="HV8" s="48"/>
      <c r="HW8" s="48"/>
      <c r="HY8" s="45"/>
      <c r="HZ8" s="45"/>
      <c r="IA8" s="45"/>
      <c r="IB8" s="48"/>
      <c r="IC8" s="48"/>
      <c r="IE8" s="45">
        <f>800+800+800+800+700</f>
        <v>3900</v>
      </c>
      <c r="IF8" s="45">
        <f>5.98+7.14+7.44+6.56+6.75</f>
        <v>33.870000000000005</v>
      </c>
      <c r="IG8" s="45">
        <f>5</f>
        <v>5</v>
      </c>
      <c r="IH8" s="48">
        <f t="shared" si="27"/>
        <v>115.14614703277235</v>
      </c>
      <c r="II8" s="48">
        <f t="shared" si="27"/>
        <v>6.7740000000000009</v>
      </c>
      <c r="IK8" s="26">
        <f>700+700+700+700+700</f>
        <v>3500</v>
      </c>
      <c r="IL8" s="45">
        <f>5.59+6.11+6.25+5.79+4.63</f>
        <v>28.369999999999997</v>
      </c>
      <c r="IM8" s="45">
        <f>5</f>
        <v>5</v>
      </c>
      <c r="IN8" s="48">
        <f t="shared" si="28"/>
        <v>123.36975678533663</v>
      </c>
      <c r="IO8" s="48">
        <f t="shared" si="28"/>
        <v>5.6739999999999995</v>
      </c>
      <c r="IQ8" s="26">
        <v>600</v>
      </c>
      <c r="IR8" s="45">
        <v>3.97</v>
      </c>
      <c r="IS8" s="45">
        <v>1</v>
      </c>
      <c r="IT8" s="48">
        <f t="shared" si="29"/>
        <v>151.13350125944584</v>
      </c>
      <c r="IU8" s="48">
        <f t="shared" si="30"/>
        <v>3.97</v>
      </c>
      <c r="IW8" s="26">
        <f>600+600+700+700+600</f>
        <v>3200</v>
      </c>
      <c r="IX8" s="45">
        <f>5.75+6.38+6.92+5.95+3.93</f>
        <v>28.929999999999996</v>
      </c>
      <c r="IY8" s="45">
        <v>5</v>
      </c>
      <c r="IZ8" s="46">
        <f t="shared" si="31"/>
        <v>110.61182163843762</v>
      </c>
      <c r="JA8" s="46">
        <f t="shared" si="32"/>
        <v>5.7859999999999996</v>
      </c>
      <c r="JC8" s="26"/>
      <c r="JD8" s="45"/>
      <c r="JE8" s="45"/>
      <c r="JF8" s="46"/>
      <c r="JG8" s="46"/>
      <c r="JI8" s="26">
        <f>600+700+600+600+600</f>
        <v>3100</v>
      </c>
      <c r="JJ8" s="45">
        <f>4.22+3.63+3.06+3.54+3.71</f>
        <v>18.16</v>
      </c>
      <c r="JK8" s="45">
        <v>5</v>
      </c>
      <c r="JL8" s="46">
        <f t="shared" si="35"/>
        <v>170.70484581497797</v>
      </c>
      <c r="JM8" s="46">
        <f t="shared" si="36"/>
        <v>3.6320000000000001</v>
      </c>
      <c r="JO8" s="26">
        <f>1000+900+800+700+500</f>
        <v>3900</v>
      </c>
      <c r="JP8" s="45">
        <f>5.25+5.15+4.95+3.69+3.41</f>
        <v>22.450000000000003</v>
      </c>
      <c r="JQ8" s="45">
        <v>5</v>
      </c>
      <c r="JR8" s="46">
        <f>JO8/JP8</f>
        <v>173.71937639198217</v>
      </c>
      <c r="JS8" s="46">
        <f>JP8/JQ8</f>
        <v>4.49</v>
      </c>
      <c r="JU8" s="26">
        <f>700+700+700+700+700</f>
        <v>3500</v>
      </c>
      <c r="JV8" s="45">
        <f>6.34+5.76+7.22+7.05+6.22</f>
        <v>32.590000000000003</v>
      </c>
      <c r="JW8" s="45">
        <v>5</v>
      </c>
      <c r="JX8" s="46">
        <f>JU8/JV8</f>
        <v>107.39490641301012</v>
      </c>
      <c r="JY8" s="46">
        <f>JV8/JW8</f>
        <v>6.5180000000000007</v>
      </c>
      <c r="KA8" s="26"/>
      <c r="KB8" s="45"/>
      <c r="KC8" s="45"/>
      <c r="KD8" s="46"/>
      <c r="KE8" s="46"/>
      <c r="KG8" s="26">
        <f>200+300+500+600+600</f>
        <v>2200</v>
      </c>
      <c r="KH8" s="45">
        <f>1.76+1.93+1.63+1.46+3.48</f>
        <v>10.26</v>
      </c>
      <c r="KI8" s="45">
        <v>5</v>
      </c>
      <c r="KJ8" s="46">
        <f>KG8/KH8</f>
        <v>214.42495126705654</v>
      </c>
      <c r="KK8" s="46">
        <f>KH8/KI8</f>
        <v>2.052</v>
      </c>
      <c r="KM8" s="26"/>
      <c r="KN8" s="45"/>
      <c r="KO8" s="45"/>
      <c r="KP8" s="46" t="e">
        <f>KM8/KN8</f>
        <v>#DIV/0!</v>
      </c>
      <c r="KQ8" s="46" t="e">
        <f>KN8/KO8</f>
        <v>#DIV/0!</v>
      </c>
      <c r="KS8" s="26">
        <f>500+600+600</f>
        <v>1700</v>
      </c>
      <c r="KT8" s="45">
        <f>3.47+4.8+4.9</f>
        <v>13.17</v>
      </c>
      <c r="KU8" s="45">
        <v>3</v>
      </c>
      <c r="KV8" s="46">
        <f>KS8/KT8</f>
        <v>129.081245254366</v>
      </c>
      <c r="KW8" s="46">
        <f>KT8/KU8</f>
        <v>4.3899999999999997</v>
      </c>
      <c r="KY8" s="26"/>
      <c r="KZ8" s="45"/>
      <c r="LA8" s="45"/>
      <c r="LB8" s="46" t="e">
        <f>KY8/KZ8</f>
        <v>#DIV/0!</v>
      </c>
      <c r="LC8" s="46" t="e">
        <f>KZ8/LA8</f>
        <v>#DIV/0!</v>
      </c>
      <c r="LE8" s="26"/>
      <c r="LF8" s="45"/>
      <c r="LG8" s="45"/>
      <c r="LH8" s="46" t="e">
        <f>LE8/LF8</f>
        <v>#DIV/0!</v>
      </c>
      <c r="LI8" s="46" t="e">
        <f>LF8/LG8</f>
        <v>#DIV/0!</v>
      </c>
      <c r="LK8" s="26"/>
      <c r="LL8" s="45"/>
      <c r="LM8" s="45"/>
      <c r="LN8" s="46" t="e">
        <f>LK8/LL8</f>
        <v>#DIV/0!</v>
      </c>
      <c r="LO8" s="46" t="e">
        <f>LL8/LM8</f>
        <v>#DIV/0!</v>
      </c>
      <c r="LQ8" s="26"/>
      <c r="LR8" s="45"/>
      <c r="LS8" s="45"/>
      <c r="LT8" s="46" t="e">
        <f>LQ8/LR8</f>
        <v>#DIV/0!</v>
      </c>
      <c r="LU8" s="46" t="e">
        <f>LR8/LS8</f>
        <v>#DIV/0!</v>
      </c>
      <c r="LW8" s="26">
        <f>500+500+500+500+500</f>
        <v>2500</v>
      </c>
      <c r="LX8" s="45">
        <f>5.07+3.75+4.3+4.62+4.63</f>
        <v>22.37</v>
      </c>
      <c r="LY8" s="45">
        <v>5</v>
      </c>
      <c r="LZ8" s="46">
        <f>LW8/LX8</f>
        <v>111.75681716584711</v>
      </c>
      <c r="MA8" s="46">
        <f>LX8/LY8</f>
        <v>4.4740000000000002</v>
      </c>
      <c r="MC8" s="26"/>
      <c r="MD8" s="45"/>
      <c r="ME8" s="45"/>
      <c r="MF8" s="46" t="e">
        <f>MC8/MD8</f>
        <v>#DIV/0!</v>
      </c>
      <c r="MG8" s="46" t="e">
        <f>MD8/ME8</f>
        <v>#DIV/0!</v>
      </c>
      <c r="MI8" s="26">
        <f>600+600+600</f>
        <v>1800</v>
      </c>
      <c r="MJ8" s="45">
        <f>4.79+4.45+4.88</f>
        <v>14.120000000000001</v>
      </c>
      <c r="MK8" s="45">
        <v>3</v>
      </c>
      <c r="ML8" s="46">
        <f>MI8/MJ8</f>
        <v>127.47875354107647</v>
      </c>
      <c r="MM8" s="46">
        <f>MJ8/MK8</f>
        <v>4.706666666666667</v>
      </c>
      <c r="MO8" s="26"/>
      <c r="MP8" s="45"/>
      <c r="MQ8" s="45"/>
      <c r="MR8" s="46" t="e">
        <f>MO8/MP8</f>
        <v>#DIV/0!</v>
      </c>
      <c r="MS8" s="46" t="e">
        <f>MP8/MQ8</f>
        <v>#DIV/0!</v>
      </c>
      <c r="MU8" s="26"/>
      <c r="MV8" s="45"/>
      <c r="MW8" s="45"/>
      <c r="MX8" s="46" t="e">
        <f>MU8/MV8</f>
        <v>#DIV/0!</v>
      </c>
      <c r="MY8" s="46" t="e">
        <f>MV8/MW8</f>
        <v>#DIV/0!</v>
      </c>
      <c r="NA8" s="823">
        <f>800+800+700+800+700</f>
        <v>3800</v>
      </c>
      <c r="NB8" s="823">
        <f>4.8+4+3.54+4.02+3.51</f>
        <v>19.869999999999997</v>
      </c>
      <c r="NC8" s="823">
        <v>5</v>
      </c>
      <c r="ND8" s="46">
        <f>NA8/NB8</f>
        <v>191.24308002013086</v>
      </c>
      <c r="NE8" s="46">
        <f>NB8/NC8</f>
        <v>3.9739999999999993</v>
      </c>
      <c r="NG8" s="823">
        <f>1000+500+600</f>
        <v>2100</v>
      </c>
      <c r="NH8" s="823">
        <f>5.89+4.62+6.5</f>
        <v>17.009999999999998</v>
      </c>
      <c r="NI8" s="823">
        <v>3</v>
      </c>
      <c r="NJ8" s="46">
        <f>NG8/NH8</f>
        <v>123.4567901234568</v>
      </c>
      <c r="NK8" s="46">
        <f>NH8/NI8</f>
        <v>5.669999999999999</v>
      </c>
      <c r="NM8" s="823">
        <f>300+300+300+200+50</f>
        <v>1150</v>
      </c>
      <c r="NN8" s="823">
        <f>1.36+1.54+1.46+1.29+0.36</f>
        <v>6.0100000000000007</v>
      </c>
      <c r="NO8" s="823">
        <v>5</v>
      </c>
      <c r="NP8" s="46">
        <f>NM8/NN8</f>
        <v>191.34775374376036</v>
      </c>
      <c r="NQ8" s="46">
        <f>NN8/NO8</f>
        <v>1.2020000000000002</v>
      </c>
      <c r="NS8" s="823">
        <f>600+600+600+600+600</f>
        <v>3000</v>
      </c>
      <c r="NT8" s="823">
        <f>5.3+5.31+5.37+4.79+5.01</f>
        <v>25.78</v>
      </c>
      <c r="NU8" s="823">
        <v>5</v>
      </c>
      <c r="NV8" s="46">
        <f>NS8/NT8</f>
        <v>116.36927851047324</v>
      </c>
      <c r="NW8" s="46">
        <f>NT8/NU8</f>
        <v>5.1560000000000006</v>
      </c>
      <c r="NY8" s="910">
        <f>150+150+300+300+300</f>
        <v>1200</v>
      </c>
      <c r="NZ8" s="910">
        <f>1.99+1.12+1.84+1.7+1.81</f>
        <v>8.4600000000000009</v>
      </c>
      <c r="OA8" s="910">
        <v>5</v>
      </c>
      <c r="OB8" s="46">
        <f>NY8/NZ8</f>
        <v>141.84397163120565</v>
      </c>
      <c r="OC8" s="46">
        <f>NZ8/OA8</f>
        <v>1.6920000000000002</v>
      </c>
      <c r="OE8" s="823">
        <f>600+600+600+600+600</f>
        <v>3000</v>
      </c>
      <c r="OF8" s="823">
        <f>3.62+3.6+3.85+3.7+3.81</f>
        <v>18.579999999999998</v>
      </c>
      <c r="OG8" s="823">
        <v>5</v>
      </c>
      <c r="OH8" s="46">
        <f>OE8/OF8</f>
        <v>161.46393972012919</v>
      </c>
      <c r="OI8" s="46">
        <f>OF8/OG8</f>
        <v>3.7159999999999997</v>
      </c>
    </row>
    <row r="9" spans="2:399">
      <c r="B9" s="11"/>
      <c r="C9" s="12"/>
      <c r="D9" s="13" t="s">
        <v>14</v>
      </c>
      <c r="E9" s="29"/>
      <c r="F9" s="32"/>
      <c r="G9" s="33"/>
      <c r="H9" s="34"/>
      <c r="I9" s="34"/>
      <c r="J9" s="30"/>
      <c r="K9" s="29">
        <f>300+500+400+200+600</f>
        <v>2000</v>
      </c>
      <c r="L9" s="32">
        <f>1.64+2.95+1.83+1.37+2.61</f>
        <v>10.4</v>
      </c>
      <c r="M9" s="33">
        <v>5</v>
      </c>
      <c r="N9" s="34">
        <f t="shared" ref="N9" si="119">K9/L9</f>
        <v>192.30769230769229</v>
      </c>
      <c r="O9" s="34">
        <f t="shared" ref="O9" si="120">L9/M9</f>
        <v>2.08</v>
      </c>
      <c r="P9" s="30"/>
      <c r="Q9" s="29"/>
      <c r="R9" s="32"/>
      <c r="S9" s="33"/>
      <c r="T9" s="34"/>
      <c r="U9" s="34"/>
      <c r="V9" s="30"/>
      <c r="W9" s="29">
        <f>150+300+350+400+200</f>
        <v>1400</v>
      </c>
      <c r="X9" s="32">
        <f>0.69+1.81+1.61+2.5+1.23</f>
        <v>7.84</v>
      </c>
      <c r="Y9" s="33">
        <v>5</v>
      </c>
      <c r="Z9" s="34">
        <f t="shared" ref="Z9:Z10" si="121">W9/X9</f>
        <v>178.57142857142858</v>
      </c>
      <c r="AA9" s="34">
        <f t="shared" ref="AA9:AA10" si="122">X9/Y9</f>
        <v>1.5680000000000001</v>
      </c>
      <c r="AB9" s="30"/>
      <c r="AC9" s="29"/>
      <c r="AD9" s="32"/>
      <c r="AE9" s="33"/>
      <c r="AF9" s="34"/>
      <c r="AG9" s="34"/>
      <c r="AH9" s="30"/>
      <c r="AI9" s="29"/>
      <c r="AJ9" s="32"/>
      <c r="AK9" s="33"/>
      <c r="AL9" s="34"/>
      <c r="AM9" s="34"/>
      <c r="AN9" s="30"/>
      <c r="AO9" s="29">
        <f>200+300+500+400+250</f>
        <v>1650</v>
      </c>
      <c r="AP9" s="32">
        <f>0.96+0.85+2.73+1.91+1.16</f>
        <v>7.61</v>
      </c>
      <c r="AQ9" s="33">
        <v>5</v>
      </c>
      <c r="AR9" s="34">
        <f t="shared" ref="AR9:AR10" si="123">AO9/AP9</f>
        <v>216.81997371879106</v>
      </c>
      <c r="AS9" s="34">
        <f t="shared" ref="AS9:AS10" si="124">AP9/AQ9</f>
        <v>1.522</v>
      </c>
      <c r="AT9" s="30"/>
      <c r="AU9" s="29">
        <f>500+400+350+200+100</f>
        <v>1550</v>
      </c>
      <c r="AV9" s="32">
        <f>2.24+1.66+1.33+0.76+0.61</f>
        <v>6.6000000000000005</v>
      </c>
      <c r="AW9" s="33">
        <v>5</v>
      </c>
      <c r="AX9" s="34">
        <f t="shared" ref="AX9:AX10" si="125">AU9/AV9</f>
        <v>234.84848484848482</v>
      </c>
      <c r="AY9" s="34">
        <f t="shared" ref="AY9:AY10" si="126">AV9/AW9</f>
        <v>1.32</v>
      </c>
      <c r="AZ9" s="592"/>
      <c r="BA9" s="29">
        <f>200+250+350+350+600</f>
        <v>1750</v>
      </c>
      <c r="BB9" s="32">
        <f>1.21+1.38+3.77+2.1+2.76</f>
        <v>11.219999999999999</v>
      </c>
      <c r="BC9" s="33">
        <v>5</v>
      </c>
      <c r="BD9" s="34">
        <f t="shared" ref="BD9:BD11" si="127">BA9/BB9</f>
        <v>155.97147950089129</v>
      </c>
      <c r="BE9" s="34">
        <f t="shared" ref="BE9:BE11" si="128">BB9/BC9</f>
        <v>2.2439999999999998</v>
      </c>
      <c r="BF9" s="592"/>
      <c r="BG9" s="29"/>
      <c r="BH9" s="32"/>
      <c r="BI9" s="33"/>
      <c r="BJ9" s="34"/>
      <c r="BK9" s="34"/>
      <c r="BL9" s="592"/>
      <c r="BM9" s="29"/>
      <c r="BN9" s="32"/>
      <c r="BO9" s="33"/>
      <c r="BP9" s="34"/>
      <c r="BQ9" s="34"/>
      <c r="BR9" s="30"/>
      <c r="BS9" s="29">
        <f>250+200+400+300+600</f>
        <v>1750</v>
      </c>
      <c r="BT9" s="32">
        <f>1.33+1.01+1.74+1.69+2.78</f>
        <v>8.5499999999999989</v>
      </c>
      <c r="BU9" s="33">
        <v>5</v>
      </c>
      <c r="BV9" s="34">
        <f t="shared" ref="BV9:BV10" si="129">BS9/BT9</f>
        <v>204.67836257309943</v>
      </c>
      <c r="BW9" s="34">
        <f t="shared" ref="BW9:BW10" si="130">BT9/BU9</f>
        <v>1.7099999999999997</v>
      </c>
      <c r="BX9" s="592"/>
      <c r="BY9" s="29">
        <f>500+400+350+200+100</f>
        <v>1550</v>
      </c>
      <c r="BZ9" s="32">
        <f>2.24+1.66+1.33+0.76+0.61</f>
        <v>6.6000000000000005</v>
      </c>
      <c r="CA9" s="33">
        <v>5</v>
      </c>
      <c r="CB9" s="34">
        <f t="shared" si="6"/>
        <v>234.84848484848482</v>
      </c>
      <c r="CC9" s="34">
        <f t="shared" si="7"/>
        <v>1.32</v>
      </c>
      <c r="CD9" s="592"/>
      <c r="CE9" s="29"/>
      <c r="CF9" s="32"/>
      <c r="CG9" s="33"/>
      <c r="CH9" s="34"/>
      <c r="CI9" s="34"/>
      <c r="CJ9" s="592"/>
      <c r="CK9" s="29">
        <f>300+150+700+500+400</f>
        <v>2050</v>
      </c>
      <c r="CL9" s="32">
        <f>1.72+0.85+3.04+2.2+2.4</f>
        <v>10.209999999999999</v>
      </c>
      <c r="CM9" s="33">
        <v>5</v>
      </c>
      <c r="CN9" s="34">
        <f t="shared" ref="CN9:CN11" si="131">CK9/CL9</f>
        <v>200.78354554358475</v>
      </c>
      <c r="CO9" s="34">
        <f t="shared" ref="CO9:CO11" si="132">CL9/CM9</f>
        <v>2.0419999999999998</v>
      </c>
      <c r="CP9" s="592"/>
      <c r="CQ9" s="29"/>
      <c r="CR9" s="32"/>
      <c r="CS9" s="33"/>
      <c r="CT9" s="34"/>
      <c r="CU9" s="34"/>
      <c r="CV9" s="592"/>
      <c r="CW9" s="29">
        <f>500+400+350+200+100</f>
        <v>1550</v>
      </c>
      <c r="CX9" s="32">
        <f>2.24+1.66+1.33+0.76+0.61</f>
        <v>6.6000000000000005</v>
      </c>
      <c r="CY9" s="33">
        <v>5</v>
      </c>
      <c r="CZ9" s="34">
        <f t="shared" ref="CZ9:CZ11" si="133">CW9/CX9</f>
        <v>234.84848484848482</v>
      </c>
      <c r="DA9" s="34">
        <f t="shared" ref="DA9:DA11" si="134">CX9/CY9</f>
        <v>1.32</v>
      </c>
      <c r="DB9" s="592"/>
      <c r="DC9" s="29">
        <f>200+600+500+400+150</f>
        <v>1850</v>
      </c>
      <c r="DD9" s="32">
        <f>1.36+3.51+6.56+4.98+2.84</f>
        <v>19.25</v>
      </c>
      <c r="DE9" s="33">
        <v>5</v>
      </c>
      <c r="DF9" s="34">
        <f t="shared" ref="DF9:DF10" si="135">DC9/DD9</f>
        <v>96.103896103896105</v>
      </c>
      <c r="DG9" s="34">
        <f t="shared" ref="DG9:DG10" si="136">DD9/DE9</f>
        <v>3.85</v>
      </c>
      <c r="DH9" s="592"/>
      <c r="DI9" s="29">
        <v>1750</v>
      </c>
      <c r="DJ9" s="32">
        <v>10.5</v>
      </c>
      <c r="DK9" s="33">
        <v>5</v>
      </c>
      <c r="DL9" s="34">
        <f t="shared" ref="DL9:DL10" si="137">DI9/DJ9</f>
        <v>166.66666666666666</v>
      </c>
      <c r="DM9" s="34">
        <f t="shared" ref="DM9:DM10" si="138">DJ9/DK9</f>
        <v>2.1</v>
      </c>
      <c r="DN9" s="592"/>
      <c r="DO9" s="29">
        <v>1400</v>
      </c>
      <c r="DP9" s="32">
        <v>14.98</v>
      </c>
      <c r="DQ9" s="33">
        <v>5</v>
      </c>
      <c r="DR9" s="34">
        <f t="shared" ref="DR9:DR10" si="139">DO9/DP9</f>
        <v>93.457943925233636</v>
      </c>
      <c r="DS9" s="34">
        <f t="shared" ref="DS9:DS10" si="140">DP9/DQ9</f>
        <v>2.996</v>
      </c>
      <c r="DT9" s="592"/>
      <c r="DU9" s="29"/>
      <c r="DV9" s="32"/>
      <c r="DW9" s="33"/>
      <c r="DX9" s="34"/>
      <c r="DY9" s="34"/>
      <c r="DZ9" s="592"/>
      <c r="EA9" s="29"/>
      <c r="EB9" s="32"/>
      <c r="EC9" s="33"/>
      <c r="ED9" s="34"/>
      <c r="EE9" s="34"/>
      <c r="EF9" s="592"/>
      <c r="EG9" s="29"/>
      <c r="EH9" s="32"/>
      <c r="EI9" s="33"/>
      <c r="EJ9" s="34"/>
      <c r="EK9" s="34"/>
      <c r="EL9" s="592"/>
      <c r="EM9" s="29"/>
      <c r="EN9" s="32"/>
      <c r="EO9" s="33"/>
      <c r="EP9" s="34"/>
      <c r="EQ9" s="34"/>
      <c r="ER9" s="30"/>
      <c r="ES9" s="29">
        <f>500+400+350+200+100</f>
        <v>1550</v>
      </c>
      <c r="ET9" s="32">
        <f>2.24+1.66+1.33+0.76+0.61</f>
        <v>6.6000000000000005</v>
      </c>
      <c r="EU9" s="33">
        <v>5</v>
      </c>
      <c r="EV9" s="34">
        <f>ES9/ET9</f>
        <v>234.84848484848482</v>
      </c>
      <c r="EW9" s="34">
        <f t="shared" si="18"/>
        <v>1.32</v>
      </c>
      <c r="EX9" s="30"/>
      <c r="EY9" s="35"/>
      <c r="EZ9" s="34"/>
      <c r="FA9" s="37"/>
      <c r="FB9" s="34"/>
      <c r="FC9" s="34"/>
      <c r="FE9" s="26"/>
      <c r="FF9" s="27"/>
      <c r="FG9" s="28"/>
      <c r="FH9" s="38"/>
      <c r="FI9" s="39"/>
      <c r="FK9" s="27">
        <f>300+300+400+400+150</f>
        <v>1550</v>
      </c>
      <c r="FL9" s="40">
        <f>1.7+1.79+1.67+1.67+0.82</f>
        <v>7.65</v>
      </c>
      <c r="FM9" s="27">
        <f>5</f>
        <v>5</v>
      </c>
      <c r="FN9" s="40">
        <f>FK9/FL9</f>
        <v>202.61437908496731</v>
      </c>
      <c r="FO9" s="40">
        <f t="shared" si="97"/>
        <v>1.53</v>
      </c>
      <c r="FQ9" s="26">
        <f>500+400+600+350+250</f>
        <v>2100</v>
      </c>
      <c r="FR9" s="40">
        <f>2.47+1.78+2.78+1.63+1.7</f>
        <v>10.36</v>
      </c>
      <c r="FS9" s="27">
        <f>5</f>
        <v>5</v>
      </c>
      <c r="FT9" s="40">
        <f t="shared" si="19"/>
        <v>202.70270270270271</v>
      </c>
      <c r="FU9" s="40">
        <f t="shared" si="19"/>
        <v>2.0720000000000001</v>
      </c>
      <c r="FW9" s="26">
        <f>200+400+300+250+350</f>
        <v>1500</v>
      </c>
      <c r="FX9" s="27">
        <f>1.01+1.73+1.63+1.49+1.95</f>
        <v>7.8100000000000005</v>
      </c>
      <c r="FY9" s="27">
        <f>5</f>
        <v>5</v>
      </c>
      <c r="FZ9" s="40">
        <f t="shared" si="20"/>
        <v>192.06145966709346</v>
      </c>
      <c r="GA9" s="40">
        <f t="shared" si="20"/>
        <v>1.5620000000000001</v>
      </c>
      <c r="GC9" s="26">
        <f>400+500+400+300+300</f>
        <v>1900</v>
      </c>
      <c r="GD9" s="27">
        <f>2.13+2.24+1.56+1.21+1.48</f>
        <v>8.6199999999999992</v>
      </c>
      <c r="GE9" s="27">
        <f>5</f>
        <v>5</v>
      </c>
      <c r="GF9" s="40">
        <f t="shared" si="21"/>
        <v>220.41763341067286</v>
      </c>
      <c r="GG9" s="40">
        <f t="shared" si="21"/>
        <v>1.7239999999999998</v>
      </c>
      <c r="GI9" s="26">
        <f>500+300+100+400+200</f>
        <v>1500</v>
      </c>
      <c r="GJ9" s="27">
        <f>2.08+1.26+0.87+1.52+1.04</f>
        <v>6.7700000000000005</v>
      </c>
      <c r="GK9" s="27">
        <f>5</f>
        <v>5</v>
      </c>
      <c r="GL9" s="40">
        <f t="shared" si="22"/>
        <v>221.56573116691283</v>
      </c>
      <c r="GM9" s="40">
        <f t="shared" si="22"/>
        <v>1.3540000000000001</v>
      </c>
      <c r="GO9" s="26">
        <f>500+600+100+400+400</f>
        <v>2000</v>
      </c>
      <c r="GP9" s="27">
        <f>2+2.2+1+1.67+1.67</f>
        <v>8.5399999999999991</v>
      </c>
      <c r="GQ9" s="27">
        <f>5</f>
        <v>5</v>
      </c>
      <c r="GR9" s="40">
        <f t="shared" si="98"/>
        <v>234.19203747072601</v>
      </c>
      <c r="GS9" s="40">
        <f t="shared" si="98"/>
        <v>1.7079999999999997</v>
      </c>
      <c r="GU9" s="95">
        <f>600+400+700+500+300</f>
        <v>2500</v>
      </c>
      <c r="GV9" s="99">
        <f>2.94+3.75+2.65+1.98+1.33</f>
        <v>12.65</v>
      </c>
      <c r="GW9" s="100">
        <v>5</v>
      </c>
      <c r="GX9" s="101">
        <f t="shared" si="23"/>
        <v>197.62845849802372</v>
      </c>
      <c r="GY9" s="101">
        <f t="shared" si="23"/>
        <v>2.5300000000000002</v>
      </c>
      <c r="GZ9" s="43"/>
      <c r="HA9" s="26">
        <f>100+200+300+200+500</f>
        <v>1300</v>
      </c>
      <c r="HB9" s="39">
        <f>0.7+1.15+1.7+1.5+4</f>
        <v>9.0500000000000007</v>
      </c>
      <c r="HC9" s="28">
        <v>5</v>
      </c>
      <c r="HD9" s="105">
        <f t="shared" si="24"/>
        <v>143.64640883977899</v>
      </c>
      <c r="HE9" s="39">
        <f t="shared" si="24"/>
        <v>1.81</v>
      </c>
      <c r="HG9" s="26">
        <f>700+500+600+400+300</f>
        <v>2500</v>
      </c>
      <c r="HH9" s="27">
        <f>3.19+1.81+2.3+1.63+1.36</f>
        <v>10.29</v>
      </c>
      <c r="HI9" s="27">
        <f>5</f>
        <v>5</v>
      </c>
      <c r="HJ9" s="34">
        <f t="shared" si="25"/>
        <v>242.95432458697766</v>
      </c>
      <c r="HK9" s="34">
        <f t="shared" si="25"/>
        <v>2.0579999999999998</v>
      </c>
      <c r="HM9" s="26"/>
      <c r="HN9" s="45"/>
      <c r="HO9" s="46"/>
      <c r="HP9" s="47"/>
      <c r="HQ9" s="47"/>
      <c r="HS9" s="26">
        <f>300+500+400+200+600</f>
        <v>2000</v>
      </c>
      <c r="HT9" s="45">
        <f>1.64+2.95+1.83+1.37+2.61</f>
        <v>10.4</v>
      </c>
      <c r="HU9" s="46">
        <v>5</v>
      </c>
      <c r="HV9" s="48">
        <f t="shared" si="26"/>
        <v>192.30769230769229</v>
      </c>
      <c r="HW9" s="48">
        <f t="shared" si="26"/>
        <v>2.08</v>
      </c>
      <c r="HY9" s="45">
        <f>700+500+400+300+1000</f>
        <v>2900</v>
      </c>
      <c r="HZ9" s="45">
        <f>2.7+2.25+1.66+1.35+4.93</f>
        <v>12.89</v>
      </c>
      <c r="IA9" s="45">
        <f>5</f>
        <v>5</v>
      </c>
      <c r="IB9" s="48">
        <f>HY9/HZ9</f>
        <v>224.98060512024824</v>
      </c>
      <c r="IC9" s="48">
        <f t="shared" ref="IB9:IC51" si="141">HZ9/IA9</f>
        <v>2.5780000000000003</v>
      </c>
      <c r="IE9" s="45">
        <f>700+500+250+300+200</f>
        <v>1950</v>
      </c>
      <c r="IF9" s="45">
        <f>2.37+1.68+1.23+1.42+1.1</f>
        <v>7.7999999999999989</v>
      </c>
      <c r="IG9" s="45">
        <f>5</f>
        <v>5</v>
      </c>
      <c r="IH9" s="48">
        <f>IE9/IF9</f>
        <v>250.00000000000003</v>
      </c>
      <c r="II9" s="48">
        <f t="shared" si="27"/>
        <v>1.5599999999999998</v>
      </c>
      <c r="IK9" s="26">
        <f>500+350+350+150+100</f>
        <v>1450</v>
      </c>
      <c r="IL9" s="45">
        <f>2.26+1.89+1.63+1+0.65</f>
        <v>7.43</v>
      </c>
      <c r="IM9" s="45">
        <f>5</f>
        <v>5</v>
      </c>
      <c r="IN9" s="48">
        <f t="shared" si="28"/>
        <v>195.15477792732167</v>
      </c>
      <c r="IO9" s="48">
        <f t="shared" si="28"/>
        <v>1.486</v>
      </c>
      <c r="IQ9" s="26">
        <f>600+500+300+200+600+700</f>
        <v>2900</v>
      </c>
      <c r="IR9" s="45">
        <f>1.11+1.68+1.05+0.79+2.28+2.42</f>
        <v>9.33</v>
      </c>
      <c r="IS9" s="45">
        <v>6</v>
      </c>
      <c r="IT9" s="48">
        <f t="shared" si="29"/>
        <v>310.82529474812435</v>
      </c>
      <c r="IU9" s="48">
        <f t="shared" si="30"/>
        <v>1.5549999999999999</v>
      </c>
      <c r="IW9" s="26">
        <f>400+100+200+300+300</f>
        <v>1300</v>
      </c>
      <c r="IX9" s="45">
        <f>1.69+0.78+0.97+1.11+1.16</f>
        <v>5.71</v>
      </c>
      <c r="IY9" s="45">
        <v>5</v>
      </c>
      <c r="IZ9" s="46">
        <f t="shared" si="31"/>
        <v>227.67075306479859</v>
      </c>
      <c r="JA9" s="46">
        <f t="shared" si="32"/>
        <v>1.1419999999999999</v>
      </c>
      <c r="JC9" s="26">
        <f>200+300+500+600+100</f>
        <v>1700</v>
      </c>
      <c r="JD9" s="45">
        <f>1+1.61+1.8+2.61+0.62</f>
        <v>7.64</v>
      </c>
      <c r="JE9" s="45">
        <v>5</v>
      </c>
      <c r="JF9" s="46">
        <f t="shared" si="33"/>
        <v>222.5130890052356</v>
      </c>
      <c r="JG9" s="46">
        <f t="shared" si="34"/>
        <v>1.528</v>
      </c>
      <c r="JI9" s="26"/>
      <c r="JJ9" s="45"/>
      <c r="JK9" s="45"/>
      <c r="JL9" s="46"/>
      <c r="JM9" s="46"/>
      <c r="JO9" s="26"/>
      <c r="JP9" s="45"/>
      <c r="JQ9" s="45"/>
      <c r="JR9" s="46"/>
      <c r="JS9" s="46"/>
      <c r="JU9" s="26"/>
      <c r="JV9" s="45"/>
      <c r="JW9" s="45"/>
      <c r="JX9" s="46"/>
      <c r="JY9" s="46"/>
      <c r="KA9" s="26"/>
      <c r="KB9" s="45"/>
      <c r="KC9" s="45"/>
      <c r="KD9" s="46"/>
      <c r="KE9" s="46"/>
      <c r="KG9" s="26"/>
      <c r="KH9" s="45"/>
      <c r="KI9" s="45"/>
      <c r="KJ9" s="46"/>
      <c r="KK9" s="46"/>
      <c r="KM9" s="26">
        <f>500+500+500+300+300</f>
        <v>2100</v>
      </c>
      <c r="KN9" s="45">
        <f>5.47+2.11</f>
        <v>7.58</v>
      </c>
      <c r="KO9" s="45">
        <v>5</v>
      </c>
      <c r="KP9" s="46">
        <f t="shared" ref="KP9:KQ11" si="142">KM9/KN9</f>
        <v>277.04485488126647</v>
      </c>
      <c r="KQ9" s="46">
        <f t="shared" si="142"/>
        <v>1.516</v>
      </c>
      <c r="KS9" s="26"/>
      <c r="KT9" s="45"/>
      <c r="KU9" s="45"/>
      <c r="KV9" s="46" t="e">
        <f t="shared" ref="KV9:KV11" si="143">KS9/KT9</f>
        <v>#DIV/0!</v>
      </c>
      <c r="KW9" s="46" t="e">
        <f t="shared" ref="KW9:KW11" si="144">KT9/KU9</f>
        <v>#DIV/0!</v>
      </c>
      <c r="KY9" s="26"/>
      <c r="KZ9" s="45"/>
      <c r="LA9" s="45"/>
      <c r="LB9" s="46" t="e">
        <f t="shared" ref="LB9:LB11" si="145">KY9/KZ9</f>
        <v>#DIV/0!</v>
      </c>
      <c r="LC9" s="46" t="e">
        <f t="shared" ref="LC9:LC11" si="146">KZ9/LA9</f>
        <v>#DIV/0!</v>
      </c>
      <c r="LE9" s="26"/>
      <c r="LF9" s="45"/>
      <c r="LG9" s="45"/>
      <c r="LH9" s="46" t="e">
        <f t="shared" ref="LH9:LH11" si="147">LE9/LF9</f>
        <v>#DIV/0!</v>
      </c>
      <c r="LI9" s="46" t="e">
        <f t="shared" ref="LI9:LI11" si="148">LF9/LG9</f>
        <v>#DIV/0!</v>
      </c>
      <c r="LK9" s="26"/>
      <c r="LL9" s="45"/>
      <c r="LM9" s="45"/>
      <c r="LN9" s="46" t="e">
        <f t="shared" ref="LN9:LN11" si="149">LK9/LL9</f>
        <v>#DIV/0!</v>
      </c>
      <c r="LO9" s="46" t="e">
        <f t="shared" ref="LO9:LO11" si="150">LL9/LM9</f>
        <v>#DIV/0!</v>
      </c>
      <c r="LQ9" s="26">
        <f>350+350+350+400+400</f>
        <v>1850</v>
      </c>
      <c r="LR9" s="45">
        <f>2.44+2.72</f>
        <v>5.16</v>
      </c>
      <c r="LS9" s="45">
        <v>5</v>
      </c>
      <c r="LT9" s="46">
        <f t="shared" ref="LT9:LT11" si="151">LQ9/LR9</f>
        <v>358.52713178294573</v>
      </c>
      <c r="LU9" s="46">
        <f t="shared" ref="LU9:LU11" si="152">LR9/LS9</f>
        <v>1.032</v>
      </c>
      <c r="LW9" s="26">
        <f>500+500+300+300+200</f>
        <v>1800</v>
      </c>
      <c r="LX9" s="45">
        <f>1.5+1.31+1.01+1.37+0.87</f>
        <v>6.0600000000000005</v>
      </c>
      <c r="LY9" s="45">
        <v>5</v>
      </c>
      <c r="LZ9" s="46">
        <f t="shared" ref="LZ9:LZ11" si="153">LW9/LX9</f>
        <v>297.02970297029702</v>
      </c>
      <c r="MA9" s="46">
        <f t="shared" ref="MA9:MA11" si="154">LX9/LY9</f>
        <v>1.2120000000000002</v>
      </c>
      <c r="MC9" s="26">
        <f>400+400+300+100+50</f>
        <v>1250</v>
      </c>
      <c r="MD9" s="45">
        <f>1.62+1.61+1.33+0.65+0.36</f>
        <v>5.5700000000000012</v>
      </c>
      <c r="ME9" s="45">
        <v>5</v>
      </c>
      <c r="MF9" s="46">
        <f t="shared" ref="MF9:MF11" si="155">MC9/MD9</f>
        <v>224.41651705565525</v>
      </c>
      <c r="MG9" s="46">
        <f t="shared" ref="MG9:MG11" si="156">MD9/ME9</f>
        <v>1.1140000000000003</v>
      </c>
      <c r="MI9" s="26">
        <f>400+500+1000+400+500</f>
        <v>2800</v>
      </c>
      <c r="MJ9" s="45">
        <f>1.39+1.66+3.41+1.6+1.68</f>
        <v>9.74</v>
      </c>
      <c r="MK9" s="45">
        <v>5</v>
      </c>
      <c r="ML9" s="46">
        <f t="shared" ref="ML9:ML11" si="157">MI9/MJ9</f>
        <v>287.47433264887064</v>
      </c>
      <c r="MM9" s="46">
        <f t="shared" ref="MM9:MM11" si="158">MJ9/MK9</f>
        <v>1.948</v>
      </c>
      <c r="MO9" s="26"/>
      <c r="MP9" s="45"/>
      <c r="MQ9" s="45"/>
      <c r="MR9" s="46" t="e">
        <f t="shared" ref="MR9:MR11" si="159">MO9/MP9</f>
        <v>#DIV/0!</v>
      </c>
      <c r="MS9" s="46" t="e">
        <f t="shared" ref="MS9:MS11" si="160">MP9/MQ9</f>
        <v>#DIV/0!</v>
      </c>
      <c r="MU9" s="26"/>
      <c r="MV9" s="45"/>
      <c r="MW9" s="45"/>
      <c r="MX9" s="46" t="e">
        <f t="shared" ref="MX9:MX11" si="161">MU9/MV9</f>
        <v>#DIV/0!</v>
      </c>
      <c r="MY9" s="46" t="e">
        <f t="shared" ref="MY9:MY11" si="162">MV9/MW9</f>
        <v>#DIV/0!</v>
      </c>
      <c r="NA9" s="823">
        <f>500+500+400+400+400</f>
        <v>2200</v>
      </c>
      <c r="NB9" s="823">
        <f>2.21+2.58+2.15+2.14+1.88</f>
        <v>10.96</v>
      </c>
      <c r="NC9" s="823">
        <v>5</v>
      </c>
      <c r="ND9" s="46">
        <f t="shared" ref="ND9:ND11" si="163">NA9/NB9</f>
        <v>200.72992700729927</v>
      </c>
      <c r="NE9" s="46">
        <f t="shared" ref="NE9:NE11" si="164">NB9/NC9</f>
        <v>2.1920000000000002</v>
      </c>
      <c r="NG9" s="823">
        <f>500+300+1000+500</f>
        <v>2300</v>
      </c>
      <c r="NH9" s="823">
        <f>2.08+0.11+4.6+2.6</f>
        <v>9.3899999999999988</v>
      </c>
      <c r="NI9" s="823">
        <v>4</v>
      </c>
      <c r="NJ9" s="46">
        <f t="shared" ref="NJ9:NJ11" si="165">NG9/NH9</f>
        <v>244.94142705005328</v>
      </c>
      <c r="NK9" s="46">
        <f t="shared" ref="NK9:NK11" si="166">NH9/NI9</f>
        <v>2.3474999999999997</v>
      </c>
      <c r="NM9" s="823"/>
      <c r="NN9" s="823"/>
      <c r="NO9" s="823"/>
      <c r="NP9" s="46" t="e">
        <f t="shared" ref="NP9:NP11" si="167">NM9/NN9</f>
        <v>#DIV/0!</v>
      </c>
      <c r="NQ9" s="46" t="e">
        <f t="shared" ref="NQ9:NQ11" si="168">NN9/NO9</f>
        <v>#DIV/0!</v>
      </c>
      <c r="NS9" s="823"/>
      <c r="NT9" s="823"/>
      <c r="NU9" s="823"/>
      <c r="NV9" s="46" t="e">
        <f t="shared" ref="NV9:NV11" si="169">NS9/NT9</f>
        <v>#DIV/0!</v>
      </c>
      <c r="NW9" s="46" t="e">
        <f t="shared" ref="NW9:NW11" si="170">NT9/NU9</f>
        <v>#DIV/0!</v>
      </c>
      <c r="NY9" s="910">
        <f>500+500+500+500+800</f>
        <v>2800</v>
      </c>
      <c r="NZ9" s="910">
        <f>3.57+3.9+4.55+5.52+7.34</f>
        <v>24.88</v>
      </c>
      <c r="OA9" s="910">
        <v>5</v>
      </c>
      <c r="OB9" s="46">
        <f t="shared" ref="OB9:OB11" si="171">NY9/NZ9</f>
        <v>112.54019292604502</v>
      </c>
      <c r="OC9" s="46">
        <f t="shared" ref="OC9:OC11" si="172">NZ9/OA9</f>
        <v>4.976</v>
      </c>
      <c r="OE9" s="823"/>
      <c r="OF9" s="823"/>
      <c r="OG9" s="823"/>
      <c r="OH9" s="46" t="e">
        <f t="shared" ref="OH9:OH11" si="173">OE9/OF9</f>
        <v>#DIV/0!</v>
      </c>
      <c r="OI9" s="46" t="e">
        <f t="shared" ref="OI9:OI11" si="174">OF9/OG9</f>
        <v>#DIV/0!</v>
      </c>
    </row>
    <row r="10" spans="2:399">
      <c r="B10" s="11"/>
      <c r="C10" s="12" t="s">
        <v>15</v>
      </c>
      <c r="D10" s="13" t="s">
        <v>16</v>
      </c>
      <c r="E10" s="29">
        <f>500+500+500+500+400</f>
        <v>2400</v>
      </c>
      <c r="F10" s="32">
        <f>8.52+7.9+8.17+8.01+6.72</f>
        <v>39.32</v>
      </c>
      <c r="G10" s="33">
        <v>5</v>
      </c>
      <c r="H10" s="34">
        <f t="shared" ref="H10" si="175">E10/F10</f>
        <v>61.037639877924718</v>
      </c>
      <c r="I10" s="34">
        <f t="shared" ref="I10" si="176">F10/G10</f>
        <v>7.8639999999999999</v>
      </c>
      <c r="J10" s="30"/>
      <c r="K10" s="29">
        <f>500+500+400+400+500</f>
        <v>2300</v>
      </c>
      <c r="L10" s="32">
        <f>7.95+10.44+6.8+5.7+9.9</f>
        <v>40.79</v>
      </c>
      <c r="M10" s="33">
        <v>5</v>
      </c>
      <c r="N10" s="34">
        <f t="shared" ref="N10" si="177">K10/L10</f>
        <v>56.38636920813925</v>
      </c>
      <c r="O10" s="34">
        <f t="shared" ref="O10" si="178">L10/M10</f>
        <v>8.1579999999999995</v>
      </c>
      <c r="P10" s="30"/>
      <c r="Q10" s="29">
        <v>2800</v>
      </c>
      <c r="R10" s="32">
        <v>38.1</v>
      </c>
      <c r="S10" s="33">
        <v>5</v>
      </c>
      <c r="T10" s="34">
        <f t="shared" ref="T10" si="179">Q10/R10</f>
        <v>73.490813648293965</v>
      </c>
      <c r="U10" s="34">
        <f t="shared" ref="U10" si="180">R10/S10</f>
        <v>7.62</v>
      </c>
      <c r="V10" s="30"/>
      <c r="W10" s="29">
        <f>600+600+500+400+400</f>
        <v>2500</v>
      </c>
      <c r="X10" s="32">
        <f>12.6+13.71+12.22+9.45+9.5</f>
        <v>57.480000000000004</v>
      </c>
      <c r="Y10" s="33">
        <v>5</v>
      </c>
      <c r="Z10" s="34">
        <f t="shared" si="121"/>
        <v>43.493389004871254</v>
      </c>
      <c r="AA10" s="34">
        <f t="shared" si="122"/>
        <v>11.496</v>
      </c>
      <c r="AB10" s="30"/>
      <c r="AC10" s="29">
        <f>600+600+600+600+500</f>
        <v>2900</v>
      </c>
      <c r="AD10" s="32">
        <f>8.1+7.9+7.7+7.2+7.3</f>
        <v>38.199999999999996</v>
      </c>
      <c r="AE10" s="33">
        <v>5</v>
      </c>
      <c r="AF10" s="34">
        <f t="shared" ref="AF10" si="181">AC10/AD10</f>
        <v>75.916230366492158</v>
      </c>
      <c r="AG10" s="34">
        <f t="shared" ref="AG10" si="182">AD10/AE10</f>
        <v>7.6399999999999988</v>
      </c>
      <c r="AH10" s="30"/>
      <c r="AI10" s="29"/>
      <c r="AJ10" s="32"/>
      <c r="AK10" s="33"/>
      <c r="AL10" s="34"/>
      <c r="AM10" s="34"/>
      <c r="AN10" s="30"/>
      <c r="AO10" s="29">
        <f>300+300+300+500+500</f>
        <v>1900</v>
      </c>
      <c r="AP10" s="32">
        <f>6.1+5.6+6.9+10.95+11.4</f>
        <v>40.950000000000003</v>
      </c>
      <c r="AQ10" s="33">
        <v>5</v>
      </c>
      <c r="AR10" s="34">
        <f t="shared" si="123"/>
        <v>46.398046398046397</v>
      </c>
      <c r="AS10" s="34">
        <f t="shared" si="124"/>
        <v>8.1900000000000013</v>
      </c>
      <c r="AT10" s="30"/>
      <c r="AU10" s="29">
        <f>500+500+400+500+400</f>
        <v>2300</v>
      </c>
      <c r="AV10" s="32">
        <f>8.88+10.26+9.76+10.87+9.58</f>
        <v>49.349999999999994</v>
      </c>
      <c r="AW10" s="33">
        <v>5</v>
      </c>
      <c r="AX10" s="34">
        <f t="shared" si="125"/>
        <v>46.605876393110442</v>
      </c>
      <c r="AY10" s="34">
        <f t="shared" si="126"/>
        <v>9.8699999999999992</v>
      </c>
      <c r="AZ10" s="592"/>
      <c r="BA10" s="29">
        <f>500+500+500+500+500</f>
        <v>2500</v>
      </c>
      <c r="BB10" s="32">
        <f>14.15+9.25+28.42+27.48+21.16</f>
        <v>100.46</v>
      </c>
      <c r="BC10" s="33">
        <v>5</v>
      </c>
      <c r="BD10" s="34">
        <f t="shared" si="127"/>
        <v>24.885526577742386</v>
      </c>
      <c r="BE10" s="34">
        <f t="shared" si="128"/>
        <v>20.091999999999999</v>
      </c>
      <c r="BF10" s="592"/>
      <c r="BG10" s="29"/>
      <c r="BH10" s="32"/>
      <c r="BI10" s="33"/>
      <c r="BJ10" s="34"/>
      <c r="BK10" s="34"/>
      <c r="BL10" s="592"/>
      <c r="BM10" s="29"/>
      <c r="BN10" s="32"/>
      <c r="BO10" s="33"/>
      <c r="BP10" s="34"/>
      <c r="BQ10" s="34"/>
      <c r="BR10" s="30"/>
      <c r="BS10" s="29">
        <f>500+500+500+500+500+500</f>
        <v>3000</v>
      </c>
      <c r="BT10" s="32">
        <f>11.6+10.8+11.02+12.01+9.8</f>
        <v>55.230000000000004</v>
      </c>
      <c r="BU10" s="33">
        <v>5</v>
      </c>
      <c r="BV10" s="34">
        <f t="shared" si="129"/>
        <v>54.318305268875605</v>
      </c>
      <c r="BW10" s="34">
        <f t="shared" si="130"/>
        <v>11.046000000000001</v>
      </c>
      <c r="BX10" s="592"/>
      <c r="BY10" s="29">
        <f>500+500+500+500+500</f>
        <v>2500</v>
      </c>
      <c r="BZ10" s="32">
        <f>10.5+9.5+8.9+10.5+9.8</f>
        <v>49.2</v>
      </c>
      <c r="CA10" s="33">
        <v>5</v>
      </c>
      <c r="CB10" s="34">
        <f t="shared" si="6"/>
        <v>50.8130081300813</v>
      </c>
      <c r="CC10" s="34">
        <f t="shared" si="7"/>
        <v>9.84</v>
      </c>
      <c r="CD10" s="592"/>
      <c r="CE10" s="29">
        <v>2200</v>
      </c>
      <c r="CF10" s="32">
        <v>66.19</v>
      </c>
      <c r="CG10" s="33">
        <v>5</v>
      </c>
      <c r="CH10" s="34">
        <f t="shared" ref="CH10:CH11" si="183">CE10/CF10</f>
        <v>33.237649191720806</v>
      </c>
      <c r="CI10" s="34">
        <f t="shared" ref="CI10:CI11" si="184">CF10/CG10</f>
        <v>13.238</v>
      </c>
      <c r="CJ10" s="592"/>
      <c r="CK10" s="29">
        <f>500+500+500+500+400</f>
        <v>2400</v>
      </c>
      <c r="CL10" s="32">
        <f>13.27+12.3+11.39+11.38+14.99</f>
        <v>63.330000000000005</v>
      </c>
      <c r="CM10" s="33">
        <v>5</v>
      </c>
      <c r="CN10" s="34">
        <f t="shared" si="131"/>
        <v>37.896731406916153</v>
      </c>
      <c r="CO10" s="34">
        <f t="shared" si="132"/>
        <v>12.666</v>
      </c>
      <c r="CP10" s="592"/>
      <c r="CQ10" s="29"/>
      <c r="CR10" s="32"/>
      <c r="CS10" s="33"/>
      <c r="CT10" s="34"/>
      <c r="CU10" s="34"/>
      <c r="CV10" s="592"/>
      <c r="CW10" s="29">
        <f>500+500+500+500+500</f>
        <v>2500</v>
      </c>
      <c r="CX10" s="32">
        <f>10.5+9.5+8.9+10.5+9.8</f>
        <v>49.2</v>
      </c>
      <c r="CY10" s="33">
        <v>5</v>
      </c>
      <c r="CZ10" s="34">
        <f t="shared" si="133"/>
        <v>50.8130081300813</v>
      </c>
      <c r="DA10" s="34">
        <f t="shared" si="134"/>
        <v>9.84</v>
      </c>
      <c r="DB10" s="592"/>
      <c r="DC10" s="29">
        <f>300+500+500+500+500</f>
        <v>2300</v>
      </c>
      <c r="DD10" s="32">
        <f>12+14.3+16.2+15.8+16.8</f>
        <v>75.099999999999994</v>
      </c>
      <c r="DE10" s="33">
        <v>5</v>
      </c>
      <c r="DF10" s="34">
        <f t="shared" si="135"/>
        <v>30.625832223701732</v>
      </c>
      <c r="DG10" s="34">
        <f t="shared" si="136"/>
        <v>15.02</v>
      </c>
      <c r="DH10" s="592"/>
      <c r="DI10" s="29">
        <v>2500</v>
      </c>
      <c r="DJ10" s="32">
        <v>53</v>
      </c>
      <c r="DK10" s="33">
        <v>5</v>
      </c>
      <c r="DL10" s="34">
        <f t="shared" si="137"/>
        <v>47.169811320754718</v>
      </c>
      <c r="DM10" s="34">
        <f t="shared" si="138"/>
        <v>10.6</v>
      </c>
      <c r="DN10" s="592"/>
      <c r="DO10" s="29">
        <v>2300</v>
      </c>
      <c r="DP10" s="32">
        <v>53.33</v>
      </c>
      <c r="DQ10" s="33">
        <v>5</v>
      </c>
      <c r="DR10" s="34">
        <f t="shared" si="139"/>
        <v>43.12769548096756</v>
      </c>
      <c r="DS10" s="34">
        <f t="shared" si="140"/>
        <v>10.666</v>
      </c>
      <c r="DT10" s="592"/>
      <c r="DU10" s="29"/>
      <c r="DV10" s="32"/>
      <c r="DW10" s="33"/>
      <c r="DX10" s="34"/>
      <c r="DY10" s="34"/>
      <c r="DZ10" s="592"/>
      <c r="EA10" s="29"/>
      <c r="EB10" s="32"/>
      <c r="EC10" s="33"/>
      <c r="ED10" s="34"/>
      <c r="EE10" s="34"/>
      <c r="EF10" s="592"/>
      <c r="EG10" s="29"/>
      <c r="EH10" s="32"/>
      <c r="EI10" s="33"/>
      <c r="EJ10" s="34"/>
      <c r="EK10" s="34"/>
      <c r="EL10" s="592"/>
      <c r="EM10" s="29"/>
      <c r="EN10" s="32"/>
      <c r="EO10" s="33"/>
      <c r="EP10" s="34"/>
      <c r="EQ10" s="34"/>
      <c r="ER10" s="30"/>
      <c r="ES10" s="29">
        <f>500+500+500+500+500</f>
        <v>2500</v>
      </c>
      <c r="ET10" s="32">
        <f>10.5+9.5+8.9+10.5+9.8</f>
        <v>49.2</v>
      </c>
      <c r="EU10" s="33">
        <v>5</v>
      </c>
      <c r="EV10" s="34">
        <f t="shared" si="18"/>
        <v>50.8130081300813</v>
      </c>
      <c r="EW10" s="34">
        <f t="shared" si="18"/>
        <v>9.84</v>
      </c>
      <c r="EX10" s="30"/>
      <c r="EY10" s="35">
        <v>2200</v>
      </c>
      <c r="EZ10" s="34">
        <v>66.19</v>
      </c>
      <c r="FA10" s="37">
        <v>5</v>
      </c>
      <c r="FB10" s="34">
        <f t="shared" si="118"/>
        <v>33.237649191720806</v>
      </c>
      <c r="FC10" s="34">
        <f t="shared" si="118"/>
        <v>13.238</v>
      </c>
      <c r="FE10" s="26">
        <v>2800</v>
      </c>
      <c r="FF10" s="27">
        <v>38.1</v>
      </c>
      <c r="FG10" s="28">
        <v>5</v>
      </c>
      <c r="FH10" s="38">
        <f t="shared" si="96"/>
        <v>73.490813648293965</v>
      </c>
      <c r="FI10" s="39">
        <f t="shared" si="96"/>
        <v>7.62</v>
      </c>
      <c r="FK10" s="27">
        <f>500+400+400+400+400</f>
        <v>2100</v>
      </c>
      <c r="FL10" s="40">
        <f>12.84+9.2+11.49+6.69+9.18</f>
        <v>49.4</v>
      </c>
      <c r="FM10" s="27">
        <f>5</f>
        <v>5</v>
      </c>
      <c r="FN10" s="40">
        <f t="shared" si="97"/>
        <v>42.51012145748988</v>
      </c>
      <c r="FO10" s="40">
        <f t="shared" si="97"/>
        <v>9.879999999999999</v>
      </c>
      <c r="FQ10" s="26">
        <f>400+400+400+400+400</f>
        <v>2000</v>
      </c>
      <c r="FR10" s="40">
        <f>10.71+10.21+9.67+10.11+9.81</f>
        <v>50.510000000000005</v>
      </c>
      <c r="FS10" s="27">
        <f>5</f>
        <v>5</v>
      </c>
      <c r="FT10" s="40">
        <f t="shared" si="19"/>
        <v>39.596119580281126</v>
      </c>
      <c r="FU10" s="40">
        <f t="shared" si="19"/>
        <v>10.102</v>
      </c>
      <c r="FW10" s="26">
        <f>500+500+500+500+500</f>
        <v>2500</v>
      </c>
      <c r="FX10" s="27">
        <f>11.03+9.35+8.16+9.85+10.7</f>
        <v>49.09</v>
      </c>
      <c r="FY10" s="27">
        <f>5</f>
        <v>5</v>
      </c>
      <c r="FZ10" s="40">
        <f t="shared" si="20"/>
        <v>50.926869016092887</v>
      </c>
      <c r="GA10" s="40">
        <f t="shared" si="20"/>
        <v>9.8180000000000014</v>
      </c>
      <c r="GC10" s="26">
        <f>400+400+500+500+500</f>
        <v>2300</v>
      </c>
      <c r="GD10" s="27">
        <f>12.95+12.84+12.62+11.51+10.53</f>
        <v>60.449999999999996</v>
      </c>
      <c r="GE10" s="27">
        <f>5</f>
        <v>5</v>
      </c>
      <c r="GF10" s="40">
        <f t="shared" si="21"/>
        <v>38.047973531844505</v>
      </c>
      <c r="GG10" s="40">
        <f t="shared" si="21"/>
        <v>12.09</v>
      </c>
      <c r="GI10" s="26">
        <f>500+500+350+500+500</f>
        <v>2350</v>
      </c>
      <c r="GJ10" s="27">
        <f>13.71+12.28+7.77+14.53+9.72</f>
        <v>58.010000000000005</v>
      </c>
      <c r="GK10" s="27">
        <f>5</f>
        <v>5</v>
      </c>
      <c r="GL10" s="40">
        <f t="shared" si="22"/>
        <v>40.510256852266849</v>
      </c>
      <c r="GM10" s="40">
        <f t="shared" si="22"/>
        <v>11.602</v>
      </c>
      <c r="GO10" s="26">
        <f>500+500+500+500+500</f>
        <v>2500</v>
      </c>
      <c r="GP10" s="40">
        <f>8.45+8.04+8.38+8.73+8.66</f>
        <v>42.259999999999991</v>
      </c>
      <c r="GQ10" s="27">
        <f>5</f>
        <v>5</v>
      </c>
      <c r="GR10" s="40">
        <f t="shared" si="98"/>
        <v>59.157595835305266</v>
      </c>
      <c r="GS10" s="40">
        <f t="shared" si="98"/>
        <v>8.4519999999999982</v>
      </c>
      <c r="GU10" s="95">
        <f>500+500+500+500+500</f>
        <v>2500</v>
      </c>
      <c r="GV10" s="99">
        <f>8.98+6.08+5.39+6.34+9.64</f>
        <v>36.43</v>
      </c>
      <c r="GW10" s="100">
        <v>5</v>
      </c>
      <c r="GX10" s="101">
        <f t="shared" si="23"/>
        <v>68.62475981334066</v>
      </c>
      <c r="GY10" s="101">
        <f t="shared" si="23"/>
        <v>7.2859999999999996</v>
      </c>
      <c r="GZ10" s="43"/>
      <c r="HA10" s="26">
        <f>600+600+500+600+600</f>
        <v>2900</v>
      </c>
      <c r="HB10" s="39">
        <f>10.6+9.9+5.9+10.6+11.25</f>
        <v>48.25</v>
      </c>
      <c r="HC10" s="28">
        <v>5</v>
      </c>
      <c r="HD10" s="105">
        <f t="shared" si="24"/>
        <v>60.103626943005182</v>
      </c>
      <c r="HE10" s="39">
        <f t="shared" si="24"/>
        <v>9.65</v>
      </c>
      <c r="HG10" s="26">
        <f>500+500+500</f>
        <v>1500</v>
      </c>
      <c r="HH10" s="40">
        <f>12.14+15.27+12.21</f>
        <v>39.620000000000005</v>
      </c>
      <c r="HI10" s="27">
        <f>3</f>
        <v>3</v>
      </c>
      <c r="HJ10" s="34">
        <f t="shared" si="25"/>
        <v>37.859666834931851</v>
      </c>
      <c r="HK10" s="34">
        <f t="shared" si="25"/>
        <v>13.206666666666669</v>
      </c>
      <c r="HM10" s="26">
        <f>500+500+500+500+400</f>
        <v>2400</v>
      </c>
      <c r="HN10" s="45">
        <f>8.52+7.9+8.17+8.01+6.72</f>
        <v>39.32</v>
      </c>
      <c r="HO10" s="46">
        <v>5</v>
      </c>
      <c r="HP10" s="47">
        <f t="shared" si="99"/>
        <v>61.037639877924718</v>
      </c>
      <c r="HQ10" s="47">
        <f t="shared" si="99"/>
        <v>7.8639999999999999</v>
      </c>
      <c r="HS10" s="26">
        <f>500+500+400+400+500</f>
        <v>2300</v>
      </c>
      <c r="HT10" s="45">
        <f>7.95+10.44+6.8+5.7+9.9</f>
        <v>40.79</v>
      </c>
      <c r="HU10" s="46">
        <v>5</v>
      </c>
      <c r="HV10" s="48">
        <f t="shared" si="26"/>
        <v>56.38636920813925</v>
      </c>
      <c r="HW10" s="48">
        <f t="shared" si="26"/>
        <v>8.1579999999999995</v>
      </c>
      <c r="HY10" s="45">
        <f>500+500+500+500+500</f>
        <v>2500</v>
      </c>
      <c r="HZ10" s="45">
        <f>7.52+6.66+7.94+8.93+6.27</f>
        <v>37.32</v>
      </c>
      <c r="IA10" s="45">
        <f>5</f>
        <v>5</v>
      </c>
      <c r="IB10" s="48">
        <f t="shared" si="141"/>
        <v>66.988210075026799</v>
      </c>
      <c r="IC10" s="48">
        <f t="shared" si="141"/>
        <v>7.4640000000000004</v>
      </c>
      <c r="IE10" s="45">
        <f>500+500+500+500+500</f>
        <v>2500</v>
      </c>
      <c r="IF10" s="45">
        <f>11.5+10.61+9.59+11.41+10.09</f>
        <v>53.2</v>
      </c>
      <c r="IG10" s="45">
        <f>5</f>
        <v>5</v>
      </c>
      <c r="IH10" s="48">
        <f t="shared" si="27"/>
        <v>46.992481203007515</v>
      </c>
      <c r="II10" s="48">
        <f t="shared" si="27"/>
        <v>10.64</v>
      </c>
      <c r="IK10" s="26">
        <f>500+500+500+500+500</f>
        <v>2500</v>
      </c>
      <c r="IL10" s="40">
        <f>10.75+11.1+13.96+10.67+11.98</f>
        <v>58.460000000000008</v>
      </c>
      <c r="IM10" s="45">
        <f>5</f>
        <v>5</v>
      </c>
      <c r="IN10" s="48">
        <f t="shared" si="28"/>
        <v>42.764283270612381</v>
      </c>
      <c r="IO10" s="48">
        <f t="shared" si="28"/>
        <v>11.692000000000002</v>
      </c>
      <c r="IQ10" s="26">
        <f>600+600+600+600+600</f>
        <v>3000</v>
      </c>
      <c r="IR10" s="40">
        <f>10.96+10.35+9.52+11.93+6.8</f>
        <v>49.56</v>
      </c>
      <c r="IS10" s="45">
        <v>5</v>
      </c>
      <c r="IT10" s="48">
        <f t="shared" si="29"/>
        <v>60.532687651331713</v>
      </c>
      <c r="IU10" s="48">
        <f t="shared" si="30"/>
        <v>9.9120000000000008</v>
      </c>
      <c r="IW10" s="26">
        <f>500+500+500+400+200</f>
        <v>2100</v>
      </c>
      <c r="IX10" s="40">
        <f>10.41+9.41+8.75+9.41+6.86</f>
        <v>44.84</v>
      </c>
      <c r="IY10" s="45">
        <v>5</v>
      </c>
      <c r="IZ10" s="46">
        <f t="shared" si="31"/>
        <v>46.833184656556639</v>
      </c>
      <c r="JA10" s="46">
        <f t="shared" si="32"/>
        <v>8.968</v>
      </c>
      <c r="JC10" s="26">
        <f>500+500+500+500+500</f>
        <v>2500</v>
      </c>
      <c r="JD10" s="40">
        <f>9.75+10.02+9.65+11.04+10.33</f>
        <v>50.79</v>
      </c>
      <c r="JE10" s="45">
        <v>5</v>
      </c>
      <c r="JF10" s="46">
        <f t="shared" si="33"/>
        <v>49.222287851939356</v>
      </c>
      <c r="JG10" s="46">
        <f t="shared" si="34"/>
        <v>10.157999999999999</v>
      </c>
      <c r="JI10" s="26">
        <f>500+500+500+500+500</f>
        <v>2500</v>
      </c>
      <c r="JJ10" s="40">
        <f>9.55+10.22+10.11+9.61+9.42</f>
        <v>48.910000000000004</v>
      </c>
      <c r="JK10" s="45">
        <v>5</v>
      </c>
      <c r="JL10" s="46">
        <f t="shared" si="35"/>
        <v>51.114291555919031</v>
      </c>
      <c r="JM10" s="46">
        <f t="shared" si="36"/>
        <v>9.782</v>
      </c>
      <c r="JO10" s="26">
        <f>500+500+500+500+500</f>
        <v>2500</v>
      </c>
      <c r="JP10" s="40">
        <f>10.93+11.97+9.3+12.09+10.59</f>
        <v>54.88000000000001</v>
      </c>
      <c r="JQ10" s="45">
        <v>5</v>
      </c>
      <c r="JR10" s="46">
        <f t="shared" si="37"/>
        <v>45.553935860058303</v>
      </c>
      <c r="JS10" s="46">
        <f t="shared" si="38"/>
        <v>10.976000000000003</v>
      </c>
      <c r="JU10" s="26">
        <f>500+500+500+500+500</f>
        <v>2500</v>
      </c>
      <c r="JV10" s="40">
        <f>9.74+8.4+8.15+7.12+8.7</f>
        <v>42.11</v>
      </c>
      <c r="JW10" s="45">
        <v>5</v>
      </c>
      <c r="JX10" s="46">
        <f t="shared" ref="JX10" si="185">JU10/JV10</f>
        <v>59.368321063880316</v>
      </c>
      <c r="JY10" s="46">
        <f t="shared" ref="JY10" si="186">JV10/JW10</f>
        <v>8.4220000000000006</v>
      </c>
      <c r="KA10" s="26">
        <f>500+500+500+500+500</f>
        <v>2500</v>
      </c>
      <c r="KB10" s="40">
        <f>7.92+7.9+6.89+7.89+7.81</f>
        <v>38.410000000000004</v>
      </c>
      <c r="KC10" s="45">
        <v>5</v>
      </c>
      <c r="KD10" s="46">
        <f t="shared" ref="KD10" si="187">KA10/KB10</f>
        <v>65.087216870606611</v>
      </c>
      <c r="KE10" s="46">
        <f t="shared" ref="KE10" si="188">KB10/KC10</f>
        <v>7.6820000000000004</v>
      </c>
      <c r="KG10" s="26">
        <f>500+500+500+600+600</f>
        <v>2700</v>
      </c>
      <c r="KH10" s="40">
        <f>9.97+8.81+9.07+11.95+12.79</f>
        <v>52.589999999999996</v>
      </c>
      <c r="KI10" s="45">
        <v>5</v>
      </c>
      <c r="KJ10" s="46">
        <f t="shared" ref="KJ10" si="189">KG10/KH10</f>
        <v>51.340559041642905</v>
      </c>
      <c r="KK10" s="46">
        <f t="shared" ref="KK10" si="190">KH10/KI10</f>
        <v>10.517999999999999</v>
      </c>
      <c r="KM10" s="26">
        <f>300+300+300+300+300</f>
        <v>1500</v>
      </c>
      <c r="KN10" s="40">
        <f>8.44+10.04+9.36+8.56+10.19</f>
        <v>46.589999999999996</v>
      </c>
      <c r="KO10" s="45">
        <v>5</v>
      </c>
      <c r="KP10" s="46">
        <f t="shared" ref="KP10:KP11" si="191">KM10/KN10</f>
        <v>32.195750160978754</v>
      </c>
      <c r="KQ10" s="46">
        <f t="shared" si="142"/>
        <v>9.3179999999999996</v>
      </c>
      <c r="KS10" s="26">
        <f>500+500+500+500+500</f>
        <v>2500</v>
      </c>
      <c r="KT10" s="40">
        <f>14.3+15+14.85+14.2+14</f>
        <v>72.349999999999994</v>
      </c>
      <c r="KU10" s="45">
        <v>5</v>
      </c>
      <c r="KV10" s="46">
        <f t="shared" si="143"/>
        <v>34.554250172771255</v>
      </c>
      <c r="KW10" s="46">
        <f t="shared" si="144"/>
        <v>14.469999999999999</v>
      </c>
      <c r="KY10" s="26"/>
      <c r="KZ10" s="40"/>
      <c r="LA10" s="45"/>
      <c r="LB10" s="46" t="e">
        <f t="shared" si="145"/>
        <v>#DIV/0!</v>
      </c>
      <c r="LC10" s="46" t="e">
        <f t="shared" si="146"/>
        <v>#DIV/0!</v>
      </c>
      <c r="LE10" s="26"/>
      <c r="LF10" s="40"/>
      <c r="LG10" s="45"/>
      <c r="LH10" s="46" t="e">
        <f t="shared" si="147"/>
        <v>#DIV/0!</v>
      </c>
      <c r="LI10" s="46" t="e">
        <f t="shared" si="148"/>
        <v>#DIV/0!</v>
      </c>
      <c r="LK10" s="26">
        <f>500+500+500+500+500</f>
        <v>2500</v>
      </c>
      <c r="LL10" s="40">
        <f>9.64+7.64+7.71+8.84+8.29</f>
        <v>42.12</v>
      </c>
      <c r="LM10" s="45">
        <v>5</v>
      </c>
      <c r="LN10" s="46">
        <f t="shared" si="149"/>
        <v>59.354226020892689</v>
      </c>
      <c r="LO10" s="46">
        <f t="shared" si="150"/>
        <v>8.4239999999999995</v>
      </c>
      <c r="LQ10" s="26">
        <f>500+500+500+500</f>
        <v>2000</v>
      </c>
      <c r="LR10" s="40">
        <f>10.28+5.98+6.54+8.44</f>
        <v>31.239999999999995</v>
      </c>
      <c r="LS10" s="45">
        <v>4</v>
      </c>
      <c r="LT10" s="46">
        <f t="shared" si="151"/>
        <v>64.020486555697829</v>
      </c>
      <c r="LU10" s="46">
        <f t="shared" si="152"/>
        <v>7.8099999999999987</v>
      </c>
      <c r="LW10" s="26">
        <f>500+500+500+1500+1500</f>
        <v>4500</v>
      </c>
      <c r="LX10" s="40">
        <f>9.12+7.06+5.18+6.13+5.44</f>
        <v>32.93</v>
      </c>
      <c r="LY10" s="45">
        <v>5</v>
      </c>
      <c r="LZ10" s="46">
        <f t="shared" si="153"/>
        <v>136.6535074400243</v>
      </c>
      <c r="MA10" s="46">
        <f t="shared" si="154"/>
        <v>6.5860000000000003</v>
      </c>
      <c r="MC10" s="26">
        <f>500+500+500+500+500</f>
        <v>2500</v>
      </c>
      <c r="MD10" s="40">
        <f>8.57+8.39+5.65+6.52+9.49</f>
        <v>38.619999999999997</v>
      </c>
      <c r="ME10" s="45">
        <v>5</v>
      </c>
      <c r="MF10" s="46">
        <f t="shared" si="155"/>
        <v>64.733298808907307</v>
      </c>
      <c r="MG10" s="46">
        <f t="shared" si="156"/>
        <v>7.7239999999999993</v>
      </c>
      <c r="MI10" s="26">
        <f>500+800+300+300+300</f>
        <v>2200</v>
      </c>
      <c r="MJ10" s="40">
        <f>13.57+9.69+6.95+4.84+5.9</f>
        <v>40.949999999999996</v>
      </c>
      <c r="MK10" s="45">
        <v>5</v>
      </c>
      <c r="ML10" s="46">
        <f t="shared" si="157"/>
        <v>53.724053724053732</v>
      </c>
      <c r="MM10" s="46">
        <f t="shared" si="158"/>
        <v>8.19</v>
      </c>
      <c r="MO10" s="26"/>
      <c r="MP10" s="40"/>
      <c r="MQ10" s="45"/>
      <c r="MR10" s="46" t="e">
        <f t="shared" si="159"/>
        <v>#DIV/0!</v>
      </c>
      <c r="MS10" s="46" t="e">
        <f t="shared" si="160"/>
        <v>#DIV/0!</v>
      </c>
      <c r="MU10" s="26"/>
      <c r="MV10" s="40"/>
      <c r="MW10" s="45"/>
      <c r="MX10" s="46" t="e">
        <f t="shared" si="161"/>
        <v>#DIV/0!</v>
      </c>
      <c r="MY10" s="46" t="e">
        <f t="shared" si="162"/>
        <v>#DIV/0!</v>
      </c>
      <c r="NA10" s="823">
        <f>500+500+500+500+500</f>
        <v>2500</v>
      </c>
      <c r="NB10" s="823">
        <f>9.24+10.54+13.78+8.9+9.6</f>
        <v>52.06</v>
      </c>
      <c r="NC10" s="823">
        <v>5</v>
      </c>
      <c r="ND10" s="46">
        <f t="shared" si="163"/>
        <v>48.021513638109873</v>
      </c>
      <c r="NE10" s="46">
        <f t="shared" si="164"/>
        <v>10.412000000000001</v>
      </c>
      <c r="NG10" s="823">
        <f>500+300+400+300+500</f>
        <v>2000</v>
      </c>
      <c r="NH10" s="823">
        <f>10.67+7.89+8.67+9.02+8.96</f>
        <v>45.21</v>
      </c>
      <c r="NI10" s="823">
        <v>5</v>
      </c>
      <c r="NJ10" s="46">
        <f t="shared" si="165"/>
        <v>44.238000442380006</v>
      </c>
      <c r="NK10" s="46">
        <f t="shared" si="166"/>
        <v>9.0419999999999998</v>
      </c>
      <c r="NM10" s="823">
        <f>500+500+500+500+500</f>
        <v>2500</v>
      </c>
      <c r="NN10" s="823">
        <f>8.09+8.04+8.07+9.36+9.38</f>
        <v>42.940000000000005</v>
      </c>
      <c r="NO10" s="823">
        <v>5</v>
      </c>
      <c r="NP10" s="46">
        <f t="shared" si="167"/>
        <v>58.220773171867712</v>
      </c>
      <c r="NQ10" s="46">
        <f t="shared" si="168"/>
        <v>8.588000000000001</v>
      </c>
      <c r="NS10" s="823">
        <f>500+500+500+500+500</f>
        <v>2500</v>
      </c>
      <c r="NT10" s="823">
        <f>7.68+6.97+8.16+8.53+7.36</f>
        <v>38.699999999999996</v>
      </c>
      <c r="NU10" s="823">
        <v>5</v>
      </c>
      <c r="NV10" s="46">
        <f t="shared" si="169"/>
        <v>64.599483204134373</v>
      </c>
      <c r="NW10" s="46">
        <f t="shared" si="170"/>
        <v>7.7399999999999993</v>
      </c>
      <c r="NY10" s="910">
        <f>500+500+500+500+500</f>
        <v>2500</v>
      </c>
      <c r="NZ10" s="910">
        <f>13.57+13.36+13.2+14.2+13.8</f>
        <v>68.13</v>
      </c>
      <c r="OA10" s="910">
        <v>5</v>
      </c>
      <c r="OB10" s="46">
        <f t="shared" si="171"/>
        <v>36.694554528108029</v>
      </c>
      <c r="OC10" s="46">
        <f t="shared" si="172"/>
        <v>13.625999999999999</v>
      </c>
      <c r="OE10" s="823">
        <f>400+400+400+400+400</f>
        <v>2000</v>
      </c>
      <c r="OF10" s="823">
        <f>14.52+12.4+14.21+12.13+13.01</f>
        <v>66.27000000000001</v>
      </c>
      <c r="OG10" s="823">
        <v>5</v>
      </c>
      <c r="OH10" s="46">
        <f t="shared" si="173"/>
        <v>30.179568432171415</v>
      </c>
      <c r="OI10" s="46">
        <f t="shared" si="174"/>
        <v>13.254000000000001</v>
      </c>
    </row>
    <row r="11" spans="2:399">
      <c r="B11" s="11"/>
      <c r="C11" s="12"/>
      <c r="D11" s="13" t="s">
        <v>17</v>
      </c>
      <c r="E11" s="29"/>
      <c r="F11" s="32"/>
      <c r="G11" s="33"/>
      <c r="H11" s="34"/>
      <c r="I11" s="34"/>
      <c r="J11" s="30"/>
      <c r="K11" s="29">
        <f>100+100+100+100+100</f>
        <v>500</v>
      </c>
      <c r="L11" s="32">
        <f>2.11+2.56+0.45+2.51+2.14</f>
        <v>9.77</v>
      </c>
      <c r="M11" s="33">
        <v>5</v>
      </c>
      <c r="N11" s="34">
        <f t="shared" ref="N11" si="192">K11/L11</f>
        <v>51.177072671443199</v>
      </c>
      <c r="O11" s="34">
        <f t="shared" ref="O11" si="193">L11/M11</f>
        <v>1.954</v>
      </c>
      <c r="P11" s="30"/>
      <c r="Q11" s="29"/>
      <c r="R11" s="32"/>
      <c r="S11" s="33"/>
      <c r="T11" s="34"/>
      <c r="U11" s="34"/>
      <c r="V11" s="30"/>
      <c r="W11" s="29"/>
      <c r="X11" s="32"/>
      <c r="Y11" s="33"/>
      <c r="Z11" s="34"/>
      <c r="AA11" s="34"/>
      <c r="AB11" s="30"/>
      <c r="AC11" s="29"/>
      <c r="AD11" s="32"/>
      <c r="AE11" s="33"/>
      <c r="AF11" s="34"/>
      <c r="AG11" s="34"/>
      <c r="AH11" s="30"/>
      <c r="AI11" s="29"/>
      <c r="AJ11" s="32"/>
      <c r="AK11" s="33"/>
      <c r="AL11" s="34"/>
      <c r="AM11" s="34"/>
      <c r="AN11" s="30"/>
      <c r="AO11" s="29"/>
      <c r="AP11" s="32"/>
      <c r="AQ11" s="33"/>
      <c r="AR11" s="34"/>
      <c r="AS11" s="34"/>
      <c r="AT11" s="30"/>
      <c r="AU11" s="29">
        <f>150+150+200+200+200</f>
        <v>900</v>
      </c>
      <c r="AV11" s="32">
        <f>3.6+3.2+6.23+4.8+4.18</f>
        <v>22.01</v>
      </c>
      <c r="AW11" s="33">
        <v>5</v>
      </c>
      <c r="AX11" s="34">
        <f t="shared" ref="AX11" si="194">AU11/AV11</f>
        <v>40.890504316219896</v>
      </c>
      <c r="AY11" s="34">
        <f t="shared" ref="AY11" si="195">AV11/AW11</f>
        <v>4.4020000000000001</v>
      </c>
      <c r="AZ11" s="592"/>
      <c r="BA11" s="29">
        <v>200</v>
      </c>
      <c r="BB11" s="32">
        <v>6.12</v>
      </c>
      <c r="BC11" s="33">
        <v>1</v>
      </c>
      <c r="BD11" s="34">
        <f t="shared" si="127"/>
        <v>32.679738562091501</v>
      </c>
      <c r="BE11" s="34">
        <f t="shared" si="128"/>
        <v>6.12</v>
      </c>
      <c r="BF11" s="592"/>
      <c r="BG11" s="29"/>
      <c r="BH11" s="32"/>
      <c r="BI11" s="33"/>
      <c r="BJ11" s="34"/>
      <c r="BK11" s="34"/>
      <c r="BL11" s="592"/>
      <c r="BM11" s="29"/>
      <c r="BN11" s="32"/>
      <c r="BO11" s="33"/>
      <c r="BP11" s="34"/>
      <c r="BQ11" s="34"/>
      <c r="BR11" s="30"/>
      <c r="BS11" s="29"/>
      <c r="BT11" s="32"/>
      <c r="BU11" s="33"/>
      <c r="BV11" s="34"/>
      <c r="BW11" s="34"/>
      <c r="BX11" s="592"/>
      <c r="BY11" s="29">
        <f>200+200+200+200+200</f>
        <v>1000</v>
      </c>
      <c r="BZ11" s="32">
        <f>4.5+3.8+5.6+4.7+3.8</f>
        <v>22.400000000000002</v>
      </c>
      <c r="CA11" s="33">
        <v>5</v>
      </c>
      <c r="CB11" s="34">
        <f t="shared" ref="CB11" si="196">BY11/BZ11</f>
        <v>44.642857142857139</v>
      </c>
      <c r="CC11" s="34">
        <f t="shared" ref="CC11" si="197">BZ11/CA11</f>
        <v>4.4800000000000004</v>
      </c>
      <c r="CD11" s="592"/>
      <c r="CE11" s="29">
        <v>1500</v>
      </c>
      <c r="CF11" s="32">
        <v>23.69</v>
      </c>
      <c r="CG11" s="33">
        <v>5</v>
      </c>
      <c r="CH11" s="34">
        <f t="shared" si="183"/>
        <v>63.317855635289149</v>
      </c>
      <c r="CI11" s="34">
        <f t="shared" si="184"/>
        <v>4.7380000000000004</v>
      </c>
      <c r="CJ11" s="592"/>
      <c r="CK11" s="29">
        <v>200</v>
      </c>
      <c r="CL11" s="32">
        <v>4.22</v>
      </c>
      <c r="CM11" s="33">
        <v>1</v>
      </c>
      <c r="CN11" s="34">
        <f t="shared" si="131"/>
        <v>47.393364928909953</v>
      </c>
      <c r="CO11" s="34">
        <f t="shared" si="132"/>
        <v>4.22</v>
      </c>
      <c r="CP11" s="592"/>
      <c r="CQ11" s="29"/>
      <c r="CR11" s="32"/>
      <c r="CS11" s="33"/>
      <c r="CT11" s="34"/>
      <c r="CU11" s="34"/>
      <c r="CV11" s="592"/>
      <c r="CW11" s="29">
        <f>200+200+200+200+200</f>
        <v>1000</v>
      </c>
      <c r="CX11" s="32">
        <f>4.5+3.8+5.6+4.7+3.8</f>
        <v>22.400000000000002</v>
      </c>
      <c r="CY11" s="33">
        <v>5</v>
      </c>
      <c r="CZ11" s="34">
        <f t="shared" si="133"/>
        <v>44.642857142857139</v>
      </c>
      <c r="DA11" s="34">
        <f t="shared" si="134"/>
        <v>4.4800000000000004</v>
      </c>
      <c r="DB11" s="592"/>
      <c r="DC11" s="29">
        <f>200+200+200+150+150</f>
        <v>900</v>
      </c>
      <c r="DD11" s="32">
        <f>2.89+2.52+2.64+2.63+2.75</f>
        <v>13.43</v>
      </c>
      <c r="DE11" s="33">
        <v>5</v>
      </c>
      <c r="DF11" s="34">
        <f t="shared" ref="DF11" si="198">DC11/DD11</f>
        <v>67.014147431124343</v>
      </c>
      <c r="DG11" s="34">
        <f t="shared" ref="DG11" si="199">DD11/DE11</f>
        <v>2.6859999999999999</v>
      </c>
      <c r="DH11" s="592"/>
      <c r="DI11" s="29"/>
      <c r="DJ11" s="32"/>
      <c r="DK11" s="33"/>
      <c r="DL11" s="34"/>
      <c r="DM11" s="34"/>
      <c r="DN11" s="592"/>
      <c r="DO11" s="29"/>
      <c r="DP11" s="32"/>
      <c r="DQ11" s="33"/>
      <c r="DR11" s="34"/>
      <c r="DS11" s="34"/>
      <c r="DT11" s="592"/>
      <c r="DU11" s="29"/>
      <c r="DV11" s="32"/>
      <c r="DW11" s="33"/>
      <c r="DX11" s="34"/>
      <c r="DY11" s="34"/>
      <c r="DZ11" s="592"/>
      <c r="EA11" s="29"/>
      <c r="EB11" s="32"/>
      <c r="EC11" s="33"/>
      <c r="ED11" s="34"/>
      <c r="EE11" s="34"/>
      <c r="EF11" s="592"/>
      <c r="EG11" s="29"/>
      <c r="EH11" s="32"/>
      <c r="EI11" s="33"/>
      <c r="EJ11" s="34"/>
      <c r="EK11" s="34"/>
      <c r="EL11" s="592"/>
      <c r="EM11" s="29"/>
      <c r="EN11" s="32"/>
      <c r="EO11" s="33"/>
      <c r="EP11" s="34"/>
      <c r="EQ11" s="34"/>
      <c r="ER11" s="30"/>
      <c r="ES11" s="29">
        <f>200+200+200+200+200</f>
        <v>1000</v>
      </c>
      <c r="ET11" s="32">
        <f>4.5+3.8+5.6+4.7+3.8</f>
        <v>22.400000000000002</v>
      </c>
      <c r="EU11" s="33">
        <v>5</v>
      </c>
      <c r="EV11" s="34">
        <f t="shared" si="18"/>
        <v>44.642857142857139</v>
      </c>
      <c r="EW11" s="34">
        <f t="shared" si="18"/>
        <v>4.4800000000000004</v>
      </c>
      <c r="EX11" s="30"/>
      <c r="EY11" s="35">
        <v>1500</v>
      </c>
      <c r="EZ11" s="34">
        <v>23.69</v>
      </c>
      <c r="FA11" s="37">
        <v>5</v>
      </c>
      <c r="FB11" s="34">
        <f t="shared" si="118"/>
        <v>63.317855635289149</v>
      </c>
      <c r="FC11" s="34">
        <f t="shared" si="118"/>
        <v>4.7380000000000004</v>
      </c>
      <c r="FE11" s="26"/>
      <c r="FF11" s="27"/>
      <c r="FG11" s="28"/>
      <c r="FH11" s="38"/>
      <c r="FI11" s="39"/>
      <c r="FK11" s="27"/>
      <c r="FL11" s="40"/>
      <c r="FM11" s="27"/>
      <c r="FN11" s="40"/>
      <c r="FO11" s="40"/>
      <c r="FQ11" s="26"/>
      <c r="FR11" s="40"/>
      <c r="FS11" s="27"/>
      <c r="FT11" s="40"/>
      <c r="FU11" s="40"/>
      <c r="FW11" s="26"/>
      <c r="FX11" s="27"/>
      <c r="FY11" s="27"/>
      <c r="FZ11" s="40"/>
      <c r="GA11" s="40"/>
      <c r="GC11" s="26"/>
      <c r="GD11" s="27"/>
      <c r="GE11" s="27"/>
      <c r="GF11" s="40"/>
      <c r="GG11" s="40"/>
      <c r="GI11" s="26">
        <f>200+200+200+200+200</f>
        <v>1000</v>
      </c>
      <c r="GJ11" s="27">
        <f>3.26+3.21+2.61+2.67+2.71</f>
        <v>14.46</v>
      </c>
      <c r="GK11" s="27">
        <f>5</f>
        <v>5</v>
      </c>
      <c r="GL11" s="40">
        <f t="shared" si="22"/>
        <v>69.15629322268326</v>
      </c>
      <c r="GM11" s="40">
        <f t="shared" si="22"/>
        <v>2.8920000000000003</v>
      </c>
      <c r="GO11" s="26"/>
      <c r="GP11" s="40"/>
      <c r="GQ11" s="27"/>
      <c r="GR11" s="40"/>
      <c r="GS11" s="40"/>
      <c r="GU11" s="95"/>
      <c r="GV11" s="99"/>
      <c r="GW11" s="100"/>
      <c r="GX11" s="101"/>
      <c r="GY11" s="101"/>
      <c r="GZ11" s="43"/>
      <c r="HA11" s="26"/>
      <c r="HB11" s="39"/>
      <c r="HC11" s="28"/>
      <c r="HD11" s="105"/>
      <c r="HE11" s="39"/>
      <c r="HG11" s="26"/>
      <c r="HH11" s="40"/>
      <c r="HI11" s="27"/>
      <c r="HJ11" s="34"/>
      <c r="HK11" s="34"/>
      <c r="HM11" s="26"/>
      <c r="HN11" s="45"/>
      <c r="HO11" s="46"/>
      <c r="HP11" s="47"/>
      <c r="HQ11" s="47"/>
      <c r="HS11" s="26">
        <f>100+100+100+100+100</f>
        <v>500</v>
      </c>
      <c r="HT11" s="45">
        <f>2.11+2.56+0.45+2.51+2.14</f>
        <v>9.77</v>
      </c>
      <c r="HU11" s="46">
        <v>5</v>
      </c>
      <c r="HV11" s="48">
        <f t="shared" si="26"/>
        <v>51.177072671443199</v>
      </c>
      <c r="HW11" s="48">
        <f t="shared" si="26"/>
        <v>1.954</v>
      </c>
      <c r="HY11" s="45">
        <f>200+200+200+200+2000</f>
        <v>2800</v>
      </c>
      <c r="HZ11" s="45">
        <f>2.76+2.73+2.65+2.36+7.53</f>
        <v>18.03</v>
      </c>
      <c r="IA11" s="45">
        <f>5</f>
        <v>5</v>
      </c>
      <c r="IB11" s="48">
        <f t="shared" si="141"/>
        <v>155.2967276760954</v>
      </c>
      <c r="IC11" s="48">
        <f t="shared" si="141"/>
        <v>3.6060000000000003</v>
      </c>
      <c r="IE11" s="45">
        <f>200+200+200+200+200+200</f>
        <v>1200</v>
      </c>
      <c r="IF11" s="45">
        <f>3.09+3.01+3.24+2.51+2.39</f>
        <v>14.24</v>
      </c>
      <c r="IG11" s="45">
        <f>5</f>
        <v>5</v>
      </c>
      <c r="IH11" s="48">
        <f t="shared" si="27"/>
        <v>84.269662921348313</v>
      </c>
      <c r="II11" s="48">
        <f t="shared" si="27"/>
        <v>2.8479999999999999</v>
      </c>
      <c r="IK11" s="26"/>
      <c r="IL11" s="48"/>
      <c r="IM11" s="45"/>
      <c r="IN11" s="48"/>
      <c r="IO11" s="48"/>
      <c r="IQ11" s="26"/>
      <c r="IR11" s="48"/>
      <c r="IS11" s="45"/>
      <c r="IT11" s="48"/>
      <c r="IU11" s="48"/>
      <c r="IW11" s="26"/>
      <c r="IX11" s="48"/>
      <c r="IY11" s="45"/>
      <c r="IZ11" s="46"/>
      <c r="JA11" s="46"/>
      <c r="JC11" s="26">
        <f>200+200+200+200+200</f>
        <v>1000</v>
      </c>
      <c r="JD11" s="48">
        <f>2.08+2.03+1.71+2.35+2.38</f>
        <v>10.55</v>
      </c>
      <c r="JE11" s="45">
        <v>5</v>
      </c>
      <c r="JF11" s="46">
        <f t="shared" ref="JF11" si="200">JC11/JD11</f>
        <v>94.786729857819893</v>
      </c>
      <c r="JG11" s="46">
        <f t="shared" ref="JG11" si="201">JD11/JE11</f>
        <v>2.1100000000000003</v>
      </c>
      <c r="JI11" s="26"/>
      <c r="JJ11" s="48"/>
      <c r="JK11" s="45"/>
      <c r="JL11" s="46"/>
      <c r="JM11" s="46"/>
      <c r="JO11" s="26"/>
      <c r="JP11" s="48"/>
      <c r="JQ11" s="45"/>
      <c r="JR11" s="46"/>
      <c r="JS11" s="46"/>
      <c r="JU11" s="26"/>
      <c r="JV11" s="48"/>
      <c r="JW11" s="45"/>
      <c r="JX11" s="46"/>
      <c r="JY11" s="46"/>
      <c r="KA11" s="26"/>
      <c r="KB11" s="48"/>
      <c r="KC11" s="45"/>
      <c r="KD11" s="46"/>
      <c r="KE11" s="46"/>
      <c r="KG11" s="26"/>
      <c r="KH11" s="48"/>
      <c r="KI11" s="45"/>
      <c r="KJ11" s="46"/>
      <c r="KK11" s="46"/>
      <c r="KM11" s="26"/>
      <c r="KN11" s="48"/>
      <c r="KO11" s="45"/>
      <c r="KP11" s="46" t="e">
        <f t="shared" si="191"/>
        <v>#DIV/0!</v>
      </c>
      <c r="KQ11" s="46" t="e">
        <f t="shared" si="142"/>
        <v>#DIV/0!</v>
      </c>
      <c r="KS11" s="26"/>
      <c r="KT11" s="48"/>
      <c r="KU11" s="45"/>
      <c r="KV11" s="46" t="e">
        <f t="shared" si="143"/>
        <v>#DIV/0!</v>
      </c>
      <c r="KW11" s="46" t="e">
        <f t="shared" si="144"/>
        <v>#DIV/0!</v>
      </c>
      <c r="KY11" s="26"/>
      <c r="KZ11" s="48"/>
      <c r="LA11" s="45"/>
      <c r="LB11" s="46" t="e">
        <f t="shared" si="145"/>
        <v>#DIV/0!</v>
      </c>
      <c r="LC11" s="46" t="e">
        <f t="shared" si="146"/>
        <v>#DIV/0!</v>
      </c>
      <c r="LE11" s="26"/>
      <c r="LF11" s="48"/>
      <c r="LG11" s="45"/>
      <c r="LH11" s="46" t="e">
        <f t="shared" si="147"/>
        <v>#DIV/0!</v>
      </c>
      <c r="LI11" s="46" t="e">
        <f t="shared" si="148"/>
        <v>#DIV/0!</v>
      </c>
      <c r="LK11" s="26"/>
      <c r="LL11" s="48"/>
      <c r="LM11" s="45"/>
      <c r="LN11" s="46" t="e">
        <f t="shared" si="149"/>
        <v>#DIV/0!</v>
      </c>
      <c r="LO11" s="46" t="e">
        <f t="shared" si="150"/>
        <v>#DIV/0!</v>
      </c>
      <c r="LQ11" s="26"/>
      <c r="LR11" s="48"/>
      <c r="LS11" s="45"/>
      <c r="LT11" s="46" t="e">
        <f t="shared" si="151"/>
        <v>#DIV/0!</v>
      </c>
      <c r="LU11" s="46" t="e">
        <f t="shared" si="152"/>
        <v>#DIV/0!</v>
      </c>
      <c r="LW11" s="26"/>
      <c r="LX11" s="48"/>
      <c r="LY11" s="45"/>
      <c r="LZ11" s="46" t="e">
        <f t="shared" si="153"/>
        <v>#DIV/0!</v>
      </c>
      <c r="MA11" s="46" t="e">
        <f t="shared" si="154"/>
        <v>#DIV/0!</v>
      </c>
      <c r="MC11" s="26">
        <v>200</v>
      </c>
      <c r="MD11" s="48">
        <v>3.03</v>
      </c>
      <c r="ME11" s="45">
        <v>1</v>
      </c>
      <c r="MF11" s="46">
        <f t="shared" si="155"/>
        <v>66.006600660066013</v>
      </c>
      <c r="MG11" s="46">
        <f t="shared" si="156"/>
        <v>3.03</v>
      </c>
      <c r="MI11" s="26"/>
      <c r="MJ11" s="48"/>
      <c r="MK11" s="45"/>
      <c r="ML11" s="46" t="e">
        <f t="shared" si="157"/>
        <v>#DIV/0!</v>
      </c>
      <c r="MM11" s="46" t="e">
        <f t="shared" si="158"/>
        <v>#DIV/0!</v>
      </c>
      <c r="MO11" s="26"/>
      <c r="MP11" s="48"/>
      <c r="MQ11" s="45"/>
      <c r="MR11" s="46" t="e">
        <f t="shared" si="159"/>
        <v>#DIV/0!</v>
      </c>
      <c r="MS11" s="46" t="e">
        <f t="shared" si="160"/>
        <v>#DIV/0!</v>
      </c>
      <c r="MU11" s="26"/>
      <c r="MV11" s="48"/>
      <c r="MW11" s="45"/>
      <c r="MX11" s="46" t="e">
        <f t="shared" si="161"/>
        <v>#DIV/0!</v>
      </c>
      <c r="MY11" s="46" t="e">
        <f t="shared" si="162"/>
        <v>#DIV/0!</v>
      </c>
      <c r="NA11" s="823"/>
      <c r="NB11" s="823"/>
      <c r="NC11" s="823"/>
      <c r="ND11" s="46" t="e">
        <f t="shared" si="163"/>
        <v>#DIV/0!</v>
      </c>
      <c r="NE11" s="46" t="e">
        <f t="shared" si="164"/>
        <v>#DIV/0!</v>
      </c>
      <c r="NG11" s="823"/>
      <c r="NH11" s="823"/>
      <c r="NI11" s="823"/>
      <c r="NJ11" s="46" t="e">
        <f t="shared" si="165"/>
        <v>#DIV/0!</v>
      </c>
      <c r="NK11" s="46" t="e">
        <f t="shared" si="166"/>
        <v>#DIV/0!</v>
      </c>
      <c r="NM11" s="823"/>
      <c r="NN11" s="823"/>
      <c r="NO11" s="823"/>
      <c r="NP11" s="46" t="e">
        <f t="shared" si="167"/>
        <v>#DIV/0!</v>
      </c>
      <c r="NQ11" s="46" t="e">
        <f t="shared" si="168"/>
        <v>#DIV/0!</v>
      </c>
      <c r="NS11" s="823"/>
      <c r="NT11" s="823"/>
      <c r="NU11" s="823"/>
      <c r="NV11" s="46" t="e">
        <f t="shared" si="169"/>
        <v>#DIV/0!</v>
      </c>
      <c r="NW11" s="46" t="e">
        <f t="shared" si="170"/>
        <v>#DIV/0!</v>
      </c>
      <c r="NY11" s="910"/>
      <c r="NZ11" s="910"/>
      <c r="OA11" s="910"/>
      <c r="OB11" s="46" t="e">
        <f t="shared" si="171"/>
        <v>#DIV/0!</v>
      </c>
      <c r="OC11" s="46" t="e">
        <f t="shared" si="172"/>
        <v>#DIV/0!</v>
      </c>
      <c r="OE11" s="823"/>
      <c r="OF11" s="823"/>
      <c r="OG11" s="823"/>
      <c r="OH11" s="46" t="e">
        <f t="shared" si="173"/>
        <v>#DIV/0!</v>
      </c>
      <c r="OI11" s="46" t="e">
        <f t="shared" si="174"/>
        <v>#DIV/0!</v>
      </c>
    </row>
    <row r="12" spans="2:399">
      <c r="B12" s="11"/>
      <c r="C12" s="12"/>
      <c r="D12" s="13" t="s">
        <v>18</v>
      </c>
      <c r="E12" s="29">
        <f>500+500+200+200</f>
        <v>1400</v>
      </c>
      <c r="F12" s="32">
        <f>6.83+6.96+2.57+2.68</f>
        <v>19.04</v>
      </c>
      <c r="G12" s="33">
        <v>4</v>
      </c>
      <c r="H12" s="34">
        <f t="shared" ref="H12" si="202">E12/F12</f>
        <v>73.529411764705884</v>
      </c>
      <c r="I12" s="34">
        <f t="shared" ref="I12" si="203">F12/G12</f>
        <v>4.76</v>
      </c>
      <c r="J12" s="30"/>
      <c r="K12" s="29"/>
      <c r="L12" s="32"/>
      <c r="M12" s="33"/>
      <c r="N12" s="34"/>
      <c r="O12" s="34"/>
      <c r="P12" s="30"/>
      <c r="Q12" s="29"/>
      <c r="R12" s="32"/>
      <c r="S12" s="33"/>
      <c r="T12" s="34"/>
      <c r="U12" s="34"/>
      <c r="V12" s="30"/>
      <c r="W12" s="29"/>
      <c r="X12" s="32"/>
      <c r="Y12" s="33"/>
      <c r="Z12" s="34"/>
      <c r="AA12" s="34"/>
      <c r="AB12" s="30"/>
      <c r="AC12" s="29"/>
      <c r="AD12" s="32"/>
      <c r="AE12" s="33"/>
      <c r="AF12" s="34"/>
      <c r="AG12" s="34"/>
      <c r="AH12" s="30"/>
      <c r="AI12" s="29"/>
      <c r="AJ12" s="32"/>
      <c r="AK12" s="33"/>
      <c r="AL12" s="34"/>
      <c r="AM12" s="34"/>
      <c r="AN12" s="30"/>
      <c r="AO12" s="29"/>
      <c r="AP12" s="32"/>
      <c r="AQ12" s="33"/>
      <c r="AR12" s="34"/>
      <c r="AS12" s="34"/>
      <c r="AT12" s="30"/>
      <c r="AU12" s="29"/>
      <c r="AV12" s="32"/>
      <c r="AW12" s="33"/>
      <c r="AX12" s="34"/>
      <c r="AY12" s="34"/>
      <c r="AZ12" s="592"/>
      <c r="BA12" s="29"/>
      <c r="BB12" s="32"/>
      <c r="BC12" s="33"/>
      <c r="BD12" s="34"/>
      <c r="BE12" s="34"/>
      <c r="BF12" s="592"/>
      <c r="BG12" s="29"/>
      <c r="BH12" s="32"/>
      <c r="BI12" s="33"/>
      <c r="BJ12" s="34"/>
      <c r="BK12" s="34"/>
      <c r="BL12" s="592"/>
      <c r="BM12" s="29"/>
      <c r="BN12" s="32"/>
      <c r="BO12" s="33"/>
      <c r="BP12" s="34"/>
      <c r="BQ12" s="34"/>
      <c r="BR12" s="30"/>
      <c r="BS12" s="29">
        <f>200+200+200+200+200</f>
        <v>1000</v>
      </c>
      <c r="BT12" s="32">
        <f>2.38+2.86+3.25+2.7+3.01</f>
        <v>14.200000000000001</v>
      </c>
      <c r="BU12" s="33">
        <v>5</v>
      </c>
      <c r="BV12" s="34">
        <f t="shared" ref="BV12" si="204">BS12/BT12</f>
        <v>70.422535211267601</v>
      </c>
      <c r="BW12" s="34">
        <f t="shared" ref="BW12" si="205">BT12/BU12</f>
        <v>2.8400000000000003</v>
      </c>
      <c r="BX12" s="592"/>
      <c r="BY12" s="29"/>
      <c r="BZ12" s="32"/>
      <c r="CA12" s="33"/>
      <c r="CB12" s="34"/>
      <c r="CC12" s="34"/>
      <c r="CD12" s="592"/>
      <c r="CE12" s="29">
        <v>1000</v>
      </c>
      <c r="CF12" s="32">
        <v>18</v>
      </c>
      <c r="CG12" s="33">
        <v>5</v>
      </c>
      <c r="CH12" s="34">
        <f t="shared" ref="CH12" si="206">CE12/CF12</f>
        <v>55.555555555555557</v>
      </c>
      <c r="CI12" s="34">
        <f t="shared" ref="CI12" si="207">CF12/CG12</f>
        <v>3.6</v>
      </c>
      <c r="CJ12" s="592"/>
      <c r="CK12" s="29">
        <f>200+200+200+200+200</f>
        <v>1000</v>
      </c>
      <c r="CL12" s="32">
        <f>3.57+2.8+3.15+3.89+2.22</f>
        <v>15.63</v>
      </c>
      <c r="CM12" s="33">
        <v>5</v>
      </c>
      <c r="CN12" s="34">
        <f t="shared" ref="CN12" si="208">CK12/CL12</f>
        <v>63.979526551503518</v>
      </c>
      <c r="CO12" s="34">
        <f t="shared" ref="CO12" si="209">CL12/CM12</f>
        <v>3.1260000000000003</v>
      </c>
      <c r="CP12" s="592"/>
      <c r="CQ12" s="29"/>
      <c r="CR12" s="32"/>
      <c r="CS12" s="33"/>
      <c r="CT12" s="34"/>
      <c r="CU12" s="34"/>
      <c r="CV12" s="592"/>
      <c r="CW12" s="29"/>
      <c r="CX12" s="32"/>
      <c r="CY12" s="33"/>
      <c r="CZ12" s="34"/>
      <c r="DA12" s="34"/>
      <c r="DB12" s="592"/>
      <c r="DC12" s="29"/>
      <c r="DD12" s="32"/>
      <c r="DE12" s="33"/>
      <c r="DF12" s="34"/>
      <c r="DG12" s="34"/>
      <c r="DH12" s="592"/>
      <c r="DI12" s="29"/>
      <c r="DJ12" s="32"/>
      <c r="DK12" s="33"/>
      <c r="DL12" s="34"/>
      <c r="DM12" s="34"/>
      <c r="DN12" s="592"/>
      <c r="DO12" s="29"/>
      <c r="DP12" s="32"/>
      <c r="DQ12" s="33"/>
      <c r="DR12" s="34"/>
      <c r="DS12" s="34"/>
      <c r="DT12" s="592"/>
      <c r="DU12" s="29"/>
      <c r="DV12" s="32"/>
      <c r="DW12" s="33"/>
      <c r="DX12" s="34"/>
      <c r="DY12" s="34"/>
      <c r="DZ12" s="592"/>
      <c r="EA12" s="29"/>
      <c r="EB12" s="32"/>
      <c r="EC12" s="33"/>
      <c r="ED12" s="34"/>
      <c r="EE12" s="34"/>
      <c r="EF12" s="592"/>
      <c r="EG12" s="29"/>
      <c r="EH12" s="32"/>
      <c r="EI12" s="33"/>
      <c r="EJ12" s="34"/>
      <c r="EK12" s="34"/>
      <c r="EL12" s="592"/>
      <c r="EM12" s="29"/>
      <c r="EN12" s="32"/>
      <c r="EO12" s="33"/>
      <c r="EP12" s="34"/>
      <c r="EQ12" s="34"/>
      <c r="ER12" s="30"/>
      <c r="ES12" s="29"/>
      <c r="ET12" s="32"/>
      <c r="EU12" s="33"/>
      <c r="EV12" s="34"/>
      <c r="EW12" s="34"/>
      <c r="EX12" s="30"/>
      <c r="EY12" s="35">
        <v>1000</v>
      </c>
      <c r="EZ12" s="34">
        <v>18</v>
      </c>
      <c r="FA12" s="37">
        <v>5</v>
      </c>
      <c r="FB12" s="34">
        <f t="shared" si="118"/>
        <v>55.555555555555557</v>
      </c>
      <c r="FC12" s="34">
        <f t="shared" si="118"/>
        <v>3.6</v>
      </c>
      <c r="FE12" s="26"/>
      <c r="FF12" s="27"/>
      <c r="FG12" s="28"/>
      <c r="FH12" s="38"/>
      <c r="FI12" s="39"/>
      <c r="FK12" s="27">
        <f>300+300</f>
        <v>600</v>
      </c>
      <c r="FL12" s="40">
        <f>4.4+3.79</f>
        <v>8.1900000000000013</v>
      </c>
      <c r="FM12" s="27">
        <f>2</f>
        <v>2</v>
      </c>
      <c r="FN12" s="40">
        <f>FK12/FL12</f>
        <v>73.260073260073256</v>
      </c>
      <c r="FO12" s="40">
        <f t="shared" si="97"/>
        <v>4.0950000000000006</v>
      </c>
      <c r="FQ12" s="26">
        <f>200+100</f>
        <v>300</v>
      </c>
      <c r="FR12" s="40">
        <f>4.14+2.88</f>
        <v>7.02</v>
      </c>
      <c r="FS12" s="27">
        <f>2</f>
        <v>2</v>
      </c>
      <c r="FT12" s="40">
        <f t="shared" si="19"/>
        <v>42.73504273504274</v>
      </c>
      <c r="FU12" s="40">
        <f t="shared" si="19"/>
        <v>3.51</v>
      </c>
      <c r="FW12" s="26">
        <f>600+600+600</f>
        <v>1800</v>
      </c>
      <c r="FX12" s="27">
        <f>3.93+4.05+4.38</f>
        <v>12.36</v>
      </c>
      <c r="FY12" s="27">
        <f>3</f>
        <v>3</v>
      </c>
      <c r="FZ12" s="40">
        <f t="shared" si="20"/>
        <v>145.63106796116506</v>
      </c>
      <c r="GA12" s="40">
        <f t="shared" si="20"/>
        <v>4.12</v>
      </c>
      <c r="GC12" s="26">
        <f>200+200+200+200+200</f>
        <v>1000</v>
      </c>
      <c r="GD12" s="27">
        <f>2.82+2.98+2.52+2.59+2.56</f>
        <v>13.47</v>
      </c>
      <c r="GE12" s="27">
        <f>5</f>
        <v>5</v>
      </c>
      <c r="GF12" s="40">
        <f t="shared" si="21"/>
        <v>74.239049740163324</v>
      </c>
      <c r="GG12" s="40">
        <f t="shared" si="21"/>
        <v>2.694</v>
      </c>
      <c r="GI12" s="26"/>
      <c r="GJ12" s="27"/>
      <c r="GK12" s="27"/>
      <c r="GL12" s="40"/>
      <c r="GM12" s="40"/>
      <c r="GO12" s="26"/>
      <c r="GP12" s="40"/>
      <c r="GQ12" s="27"/>
      <c r="GR12" s="40"/>
      <c r="GS12" s="40"/>
      <c r="GU12" s="95"/>
      <c r="GV12" s="99"/>
      <c r="GW12" s="100"/>
      <c r="GX12" s="101"/>
      <c r="GY12" s="101"/>
      <c r="GZ12" s="43"/>
      <c r="HA12" s="26"/>
      <c r="HB12" s="39"/>
      <c r="HC12" s="28"/>
      <c r="HD12" s="105"/>
      <c r="HE12" s="39"/>
      <c r="HG12" s="26"/>
      <c r="HH12" s="40"/>
      <c r="HI12" s="27"/>
      <c r="HJ12" s="34"/>
      <c r="HK12" s="34"/>
      <c r="HM12" s="26"/>
      <c r="HN12" s="45"/>
      <c r="HO12" s="46"/>
      <c r="HP12" s="47"/>
      <c r="HQ12" s="47"/>
      <c r="HS12" s="26"/>
      <c r="HT12" s="45"/>
      <c r="HU12" s="46"/>
      <c r="HV12" s="48"/>
      <c r="HW12" s="48"/>
      <c r="HY12" s="45"/>
      <c r="HZ12" s="45"/>
      <c r="IA12" s="45"/>
      <c r="IB12" s="48"/>
      <c r="IC12" s="48"/>
      <c r="IE12" s="45"/>
      <c r="IF12" s="45"/>
      <c r="IG12" s="45"/>
      <c r="IH12" s="48"/>
      <c r="II12" s="48"/>
      <c r="IK12" s="26">
        <f>200+200+200+200+200</f>
        <v>1000</v>
      </c>
      <c r="IL12" s="48">
        <f>3.08+3.18+3.37+3.62+3.52</f>
        <v>16.77</v>
      </c>
      <c r="IM12" s="45">
        <f>5</f>
        <v>5</v>
      </c>
      <c r="IN12" s="48">
        <f t="shared" si="28"/>
        <v>59.630292188431724</v>
      </c>
      <c r="IO12" s="48">
        <f t="shared" si="28"/>
        <v>3.3540000000000001</v>
      </c>
      <c r="IQ12" s="26"/>
      <c r="IR12" s="48"/>
      <c r="IS12" s="45"/>
      <c r="IT12" s="48"/>
      <c r="IU12" s="48"/>
      <c r="IW12" s="26">
        <f>200+200+200+200+200</f>
        <v>1000</v>
      </c>
      <c r="IX12" s="48">
        <f>2.54+3.2+2.96+2.86+2.81</f>
        <v>14.37</v>
      </c>
      <c r="IY12" s="45">
        <v>5</v>
      </c>
      <c r="IZ12" s="46">
        <f t="shared" ref="IZ12:IZ18" si="210">IW12/IX12</f>
        <v>69.589422407794018</v>
      </c>
      <c r="JA12" s="46">
        <f t="shared" ref="JA12:JA18" si="211">IX12/IY12</f>
        <v>2.8739999999999997</v>
      </c>
      <c r="JC12" s="26">
        <f>200+200+200+200+200</f>
        <v>1000</v>
      </c>
      <c r="JD12" s="48">
        <f>2.43+2.35+3.11+2.38+2.25</f>
        <v>12.52</v>
      </c>
      <c r="JE12" s="45">
        <v>5</v>
      </c>
      <c r="JF12" s="46">
        <f t="shared" ref="JF12:JF17" si="212">JC12/JD12</f>
        <v>79.87220447284345</v>
      </c>
      <c r="JG12" s="46">
        <f t="shared" ref="JG12:JG17" si="213">JD12/JE12</f>
        <v>2.504</v>
      </c>
      <c r="JI12" s="26"/>
      <c r="JJ12" s="48"/>
      <c r="JK12" s="45"/>
      <c r="JL12" s="46"/>
      <c r="JM12" s="46"/>
      <c r="JO12" s="26">
        <f>200+200+200+200+200</f>
        <v>1000</v>
      </c>
      <c r="JP12" s="48">
        <f>2.89+3.03+3.28+2.82+2.8</f>
        <v>14.82</v>
      </c>
      <c r="JQ12" s="45">
        <v>5</v>
      </c>
      <c r="JR12" s="46">
        <f t="shared" ref="JR12:JR18" si="214">JO12/JP12</f>
        <v>67.476383265856953</v>
      </c>
      <c r="JS12" s="46">
        <f t="shared" ref="JS12:JS18" si="215">JP12/JQ12</f>
        <v>2.964</v>
      </c>
      <c r="JU12" s="26"/>
      <c r="JV12" s="48"/>
      <c r="JW12" s="45"/>
      <c r="JX12" s="46"/>
      <c r="JY12" s="46"/>
      <c r="KA12" s="26"/>
      <c r="KB12" s="48"/>
      <c r="KC12" s="45"/>
      <c r="KD12" s="46"/>
      <c r="KE12" s="46"/>
      <c r="KG12" s="26"/>
      <c r="KH12" s="48"/>
      <c r="KI12" s="45"/>
      <c r="KJ12" s="46"/>
      <c r="KK12" s="46"/>
      <c r="KM12" s="26"/>
      <c r="KN12" s="48"/>
      <c r="KO12" s="45"/>
      <c r="KP12" s="46" t="e">
        <f>KM12/KN12</f>
        <v>#DIV/0!</v>
      </c>
      <c r="KQ12" s="46" t="e">
        <f>KN12/KO12</f>
        <v>#DIV/0!</v>
      </c>
      <c r="KS12" s="26"/>
      <c r="KT12" s="48"/>
      <c r="KU12" s="45"/>
      <c r="KV12" s="46" t="e">
        <f>KS12/KT12</f>
        <v>#DIV/0!</v>
      </c>
      <c r="KW12" s="46" t="e">
        <f>KT12/KU12</f>
        <v>#DIV/0!</v>
      </c>
      <c r="KY12" s="26"/>
      <c r="KZ12" s="48"/>
      <c r="LA12" s="45"/>
      <c r="LB12" s="46" t="e">
        <f>KY12/KZ12</f>
        <v>#DIV/0!</v>
      </c>
      <c r="LC12" s="46" t="e">
        <f>KZ12/LA12</f>
        <v>#DIV/0!</v>
      </c>
      <c r="LE12" s="26"/>
      <c r="LF12" s="48"/>
      <c r="LG12" s="45"/>
      <c r="LH12" s="46" t="e">
        <f>LE12/LF12</f>
        <v>#DIV/0!</v>
      </c>
      <c r="LI12" s="46" t="e">
        <f>LF12/LG12</f>
        <v>#DIV/0!</v>
      </c>
      <c r="LK12" s="26"/>
      <c r="LL12" s="48"/>
      <c r="LM12" s="45"/>
      <c r="LN12" s="46" t="e">
        <f>LK12/LL12</f>
        <v>#DIV/0!</v>
      </c>
      <c r="LO12" s="46" t="e">
        <f>LL12/LM12</f>
        <v>#DIV/0!</v>
      </c>
      <c r="LQ12" s="26"/>
      <c r="LR12" s="48"/>
      <c r="LS12" s="45"/>
      <c r="LT12" s="46" t="e">
        <f>LQ12/LR12</f>
        <v>#DIV/0!</v>
      </c>
      <c r="LU12" s="46" t="e">
        <f>LR12/LS12</f>
        <v>#DIV/0!</v>
      </c>
      <c r="LW12" s="26"/>
      <c r="LX12" s="48"/>
      <c r="LY12" s="45"/>
      <c r="LZ12" s="46" t="e">
        <f>LW12/LX12</f>
        <v>#DIV/0!</v>
      </c>
      <c r="MA12" s="46" t="e">
        <f>LX12/LY12</f>
        <v>#DIV/0!</v>
      </c>
      <c r="MC12" s="26">
        <f>150+150+150+150+150</f>
        <v>750</v>
      </c>
      <c r="MD12" s="48">
        <f>1.73+1.87+2.07+2.47+3.6</f>
        <v>11.74</v>
      </c>
      <c r="ME12" s="45">
        <v>5</v>
      </c>
      <c r="MF12" s="46">
        <f>MC12/MD12</f>
        <v>63.884156729131178</v>
      </c>
      <c r="MG12" s="46">
        <f>MD12/ME12</f>
        <v>2.3479999999999999</v>
      </c>
      <c r="MI12" s="26"/>
      <c r="MJ12" s="48"/>
      <c r="MK12" s="45"/>
      <c r="ML12" s="46" t="e">
        <f>MI12/MJ12</f>
        <v>#DIV/0!</v>
      </c>
      <c r="MM12" s="46" t="e">
        <f>MJ12/MK12</f>
        <v>#DIV/0!</v>
      </c>
      <c r="MO12" s="26"/>
      <c r="MP12" s="48"/>
      <c r="MQ12" s="45"/>
      <c r="MR12" s="46" t="e">
        <f>MO12/MP12</f>
        <v>#DIV/0!</v>
      </c>
      <c r="MS12" s="46" t="e">
        <f>MP12/MQ12</f>
        <v>#DIV/0!</v>
      </c>
      <c r="MU12" s="26"/>
      <c r="MV12" s="48"/>
      <c r="MW12" s="45"/>
      <c r="MX12" s="46" t="e">
        <f>MU12/MV12</f>
        <v>#DIV/0!</v>
      </c>
      <c r="MY12" s="46" t="e">
        <f>MV12/MW12</f>
        <v>#DIV/0!</v>
      </c>
      <c r="NA12" s="823">
        <f>200+200+200</f>
        <v>600</v>
      </c>
      <c r="NB12" s="823">
        <f>3.8+2.4+4.07</f>
        <v>10.27</v>
      </c>
      <c r="NC12" s="823">
        <v>3</v>
      </c>
      <c r="ND12" s="46">
        <f>NA12/NB12</f>
        <v>58.422590068159693</v>
      </c>
      <c r="NE12" s="46">
        <f>NB12/NC12</f>
        <v>3.4233333333333333</v>
      </c>
      <c r="NG12" s="823">
        <v>500</v>
      </c>
      <c r="NH12" s="823">
        <v>5.0199999999999996</v>
      </c>
      <c r="NI12" s="823">
        <v>1</v>
      </c>
      <c r="NJ12" s="46">
        <f>NG12/NH12</f>
        <v>99.601593625498012</v>
      </c>
      <c r="NK12" s="46">
        <f>NH12/NI12</f>
        <v>5.0199999999999996</v>
      </c>
      <c r="NM12" s="823"/>
      <c r="NN12" s="823"/>
      <c r="NO12" s="823"/>
      <c r="NP12" s="46" t="e">
        <f>NM12/NN12</f>
        <v>#DIV/0!</v>
      </c>
      <c r="NQ12" s="46" t="e">
        <f>NN12/NO12</f>
        <v>#DIV/0!</v>
      </c>
      <c r="NS12" s="823"/>
      <c r="NT12" s="823"/>
      <c r="NU12" s="823"/>
      <c r="NV12" s="46" t="e">
        <f>NS12/NT12</f>
        <v>#DIV/0!</v>
      </c>
      <c r="NW12" s="46" t="e">
        <f>NT12/NU12</f>
        <v>#DIV/0!</v>
      </c>
      <c r="NY12" s="910"/>
      <c r="NZ12" s="910"/>
      <c r="OA12" s="910"/>
      <c r="OB12" s="46" t="e">
        <f>NY12/NZ12</f>
        <v>#DIV/0!</v>
      </c>
      <c r="OC12" s="46" t="e">
        <f>NZ12/OA12</f>
        <v>#DIV/0!</v>
      </c>
      <c r="OE12" s="823"/>
      <c r="OF12" s="823"/>
      <c r="OG12" s="823"/>
      <c r="OH12" s="46" t="e">
        <f>OE12/OF12</f>
        <v>#DIV/0!</v>
      </c>
      <c r="OI12" s="46" t="e">
        <f>OF12/OG12</f>
        <v>#DIV/0!</v>
      </c>
    </row>
    <row r="13" spans="2:399">
      <c r="B13" s="11"/>
      <c r="C13" s="12" t="s">
        <v>19</v>
      </c>
      <c r="D13" s="13" t="s">
        <v>20</v>
      </c>
      <c r="E13" s="29">
        <f>500+600+300+500+400</f>
        <v>2300</v>
      </c>
      <c r="F13" s="32">
        <f>10.11+8.37+5.89+6.54+5.7</f>
        <v>36.61</v>
      </c>
      <c r="G13" s="33">
        <v>5</v>
      </c>
      <c r="H13" s="34">
        <f t="shared" ref="H13:H14" si="216">E13/F13</f>
        <v>62.824364927615406</v>
      </c>
      <c r="I13" s="34">
        <f t="shared" ref="I13:I14" si="217">F13/G13</f>
        <v>7.3220000000000001</v>
      </c>
      <c r="J13" s="30"/>
      <c r="K13" s="29">
        <f>500+500+500+500+400</f>
        <v>2400</v>
      </c>
      <c r="L13" s="32">
        <f>8.13+6.43+6.48+9.27+7.48</f>
        <v>37.79</v>
      </c>
      <c r="M13" s="33">
        <v>5</v>
      </c>
      <c r="N13" s="34">
        <f t="shared" ref="N13:N14" si="218">K13/L13</f>
        <v>63.508864779042078</v>
      </c>
      <c r="O13" s="34">
        <f t="shared" ref="O13:O14" si="219">L13/M13</f>
        <v>7.5579999999999998</v>
      </c>
      <c r="P13" s="30"/>
      <c r="Q13" s="29">
        <v>2600</v>
      </c>
      <c r="R13" s="32">
        <v>35.299999999999997</v>
      </c>
      <c r="S13" s="33">
        <v>5</v>
      </c>
      <c r="T13" s="34">
        <f t="shared" ref="T13:T14" si="220">Q13/R13</f>
        <v>73.654390934844201</v>
      </c>
      <c r="U13" s="34">
        <f t="shared" ref="U13:U14" si="221">R13/S13</f>
        <v>7.06</v>
      </c>
      <c r="V13" s="30"/>
      <c r="W13" s="29">
        <f>400+400+400+500+500</f>
        <v>2200</v>
      </c>
      <c r="X13" s="32">
        <f>6.86+6.13+5.46+6.35+6.32</f>
        <v>31.119999999999997</v>
      </c>
      <c r="Y13" s="33">
        <v>5</v>
      </c>
      <c r="Z13" s="34">
        <f t="shared" ref="Z13:Z14" si="222">W13/X13</f>
        <v>70.694087403598971</v>
      </c>
      <c r="AA13" s="34">
        <f t="shared" ref="AA13:AA14" si="223">X13/Y13</f>
        <v>6.2239999999999993</v>
      </c>
      <c r="AB13" s="30"/>
      <c r="AC13" s="29">
        <f>700+600+700+500+500</f>
        <v>3000</v>
      </c>
      <c r="AD13" s="32">
        <f>7.8+7.9+6.8+7.8+7.9</f>
        <v>38.200000000000003</v>
      </c>
      <c r="AE13" s="33">
        <v>5</v>
      </c>
      <c r="AF13" s="34">
        <f t="shared" ref="AF13:AF14" si="224">AC13/AD13</f>
        <v>78.534031413612553</v>
      </c>
      <c r="AG13" s="34">
        <f t="shared" ref="AG13:AG14" si="225">AD13/AE13</f>
        <v>7.6400000000000006</v>
      </c>
      <c r="AH13" s="30"/>
      <c r="AI13" s="29"/>
      <c r="AJ13" s="32"/>
      <c r="AK13" s="33"/>
      <c r="AL13" s="34"/>
      <c r="AM13" s="34"/>
      <c r="AN13" s="30"/>
      <c r="AO13" s="29">
        <f>600+600+500+500+500</f>
        <v>2700</v>
      </c>
      <c r="AP13" s="32">
        <f>8+7.23+8.75+10.97+10.75</f>
        <v>45.7</v>
      </c>
      <c r="AQ13" s="33">
        <v>5</v>
      </c>
      <c r="AR13" s="34">
        <f t="shared" ref="AR13:AR15" si="226">AO13/AP13</f>
        <v>59.08096280087527</v>
      </c>
      <c r="AS13" s="34">
        <f t="shared" ref="AS13:AS15" si="227">AP13/AQ13</f>
        <v>9.14</v>
      </c>
      <c r="AT13" s="30"/>
      <c r="AU13" s="29">
        <f>500+500+500+500+500</f>
        <v>2500</v>
      </c>
      <c r="AV13" s="32">
        <f>5.7+5.76+5.95+6.1+7.22</f>
        <v>30.729999999999997</v>
      </c>
      <c r="AW13" s="33">
        <v>5</v>
      </c>
      <c r="AX13" s="34">
        <f t="shared" ref="AX13:AX15" si="228">AU13/AV13</f>
        <v>81.353726000650838</v>
      </c>
      <c r="AY13" s="34">
        <f t="shared" ref="AY13:AY15" si="229">AV13/AW13</f>
        <v>6.145999999999999</v>
      </c>
      <c r="AZ13" s="592"/>
      <c r="BA13" s="29">
        <f>600+600+600+500+500</f>
        <v>2800</v>
      </c>
      <c r="BB13" s="32">
        <f>10.29+10.35+8.96+9.49+8.67</f>
        <v>47.760000000000005</v>
      </c>
      <c r="BC13" s="33">
        <v>5</v>
      </c>
      <c r="BD13" s="34">
        <f t="shared" ref="BD13:BD18" si="230">BA13/BB13</f>
        <v>58.626465661641532</v>
      </c>
      <c r="BE13" s="34">
        <f t="shared" ref="BE13:BE18" si="231">BB13/BC13</f>
        <v>9.5520000000000014</v>
      </c>
      <c r="BF13" s="592"/>
      <c r="BG13" s="29"/>
      <c r="BH13" s="32"/>
      <c r="BI13" s="33"/>
      <c r="BJ13" s="34"/>
      <c r="BK13" s="34"/>
      <c r="BL13" s="592"/>
      <c r="BM13" s="29"/>
      <c r="BN13" s="32"/>
      <c r="BO13" s="33"/>
      <c r="BP13" s="34"/>
      <c r="BQ13" s="34"/>
      <c r="BR13" s="30"/>
      <c r="BS13" s="29">
        <f>500+500+500+500+400</f>
        <v>2400</v>
      </c>
      <c r="BT13" s="32">
        <f>11.89+10.06+9.76+6.8+9.76</f>
        <v>48.269999999999996</v>
      </c>
      <c r="BU13" s="33">
        <v>5</v>
      </c>
      <c r="BV13" s="34">
        <f t="shared" ref="BV13:BV14" si="232">BS13/BT13</f>
        <v>49.720323182100685</v>
      </c>
      <c r="BW13" s="34">
        <f t="shared" ref="BW13:BW14" si="233">BT13/BU13</f>
        <v>9.6539999999999999</v>
      </c>
      <c r="BX13" s="592"/>
      <c r="BY13" s="29">
        <f>500+500+500+500+500</f>
        <v>2500</v>
      </c>
      <c r="BZ13" s="32">
        <f>6.4+7.2+5.8+9.5+7.5</f>
        <v>36.400000000000006</v>
      </c>
      <c r="CA13" s="33">
        <v>5</v>
      </c>
      <c r="CB13" s="34">
        <f t="shared" ref="CB13:CB14" si="234">BY13/BZ13</f>
        <v>68.681318681318672</v>
      </c>
      <c r="CC13" s="34">
        <f t="shared" ref="CC13:CC14" si="235">BZ13/CA13</f>
        <v>7.2800000000000011</v>
      </c>
      <c r="CD13" s="592"/>
      <c r="CE13" s="29">
        <v>2000</v>
      </c>
      <c r="CF13" s="32">
        <v>52</v>
      </c>
      <c r="CG13" s="33">
        <v>5</v>
      </c>
      <c r="CH13" s="34">
        <f t="shared" ref="CH13:CH14" si="236">CE13/CF13</f>
        <v>38.46153846153846</v>
      </c>
      <c r="CI13" s="34">
        <f t="shared" ref="CI13:CI14" si="237">CF13/CG13</f>
        <v>10.4</v>
      </c>
      <c r="CJ13" s="592"/>
      <c r="CK13" s="29">
        <f>500+500+400+600+600</f>
        <v>2600</v>
      </c>
      <c r="CL13" s="32">
        <f>11.09+11.16+6.02+8.92+9.57</f>
        <v>46.76</v>
      </c>
      <c r="CM13" s="33">
        <v>5</v>
      </c>
      <c r="CN13" s="34">
        <f t="shared" ref="CN13:CN14" si="238">CK13/CL13</f>
        <v>55.603079555175363</v>
      </c>
      <c r="CO13" s="34">
        <f t="shared" ref="CO13:CO14" si="239">CL13/CM13</f>
        <v>9.3520000000000003</v>
      </c>
      <c r="CP13" s="592"/>
      <c r="CQ13" s="29"/>
      <c r="CR13" s="32"/>
      <c r="CS13" s="33"/>
      <c r="CT13" s="34"/>
      <c r="CU13" s="34"/>
      <c r="CV13" s="592"/>
      <c r="CW13" s="29">
        <f>500+500+500+500+500</f>
        <v>2500</v>
      </c>
      <c r="CX13" s="32">
        <f>6.4+7.2+5.8+9.5+7.5</f>
        <v>36.400000000000006</v>
      </c>
      <c r="CY13" s="33">
        <v>5</v>
      </c>
      <c r="CZ13" s="34">
        <f t="shared" ref="CZ13:CZ15" si="240">CW13/CX13</f>
        <v>68.681318681318672</v>
      </c>
      <c r="DA13" s="34">
        <f t="shared" ref="DA13:DA15" si="241">CX13/CY13</f>
        <v>7.2800000000000011</v>
      </c>
      <c r="DB13" s="592"/>
      <c r="DC13" s="29">
        <f>500+500+500+500+500</f>
        <v>2500</v>
      </c>
      <c r="DD13" s="32">
        <f>11.24+8.14+3.18+14.08+3.84</f>
        <v>40.480000000000004</v>
      </c>
      <c r="DE13" s="33">
        <v>5</v>
      </c>
      <c r="DF13" s="34">
        <f t="shared" ref="DF13:DF15" si="242">DC13/DD13</f>
        <v>61.758893280632407</v>
      </c>
      <c r="DG13" s="34">
        <f t="shared" ref="DG13:DG15" si="243">DD13/DE13</f>
        <v>8.0960000000000001</v>
      </c>
      <c r="DH13" s="592"/>
      <c r="DI13" s="29">
        <v>2100</v>
      </c>
      <c r="DJ13" s="32">
        <v>25.58</v>
      </c>
      <c r="DK13" s="33">
        <v>3</v>
      </c>
      <c r="DL13" s="34">
        <f t="shared" ref="DL13:DL15" si="244">DI13/DJ13</f>
        <v>82.095387021110241</v>
      </c>
      <c r="DM13" s="34">
        <f t="shared" ref="DM13:DM15" si="245">DJ13/DK13</f>
        <v>8.5266666666666655</v>
      </c>
      <c r="DN13" s="592"/>
      <c r="DO13" s="29">
        <f>2500</f>
        <v>2500</v>
      </c>
      <c r="DP13" s="32">
        <v>31.5</v>
      </c>
      <c r="DQ13" s="33">
        <v>5</v>
      </c>
      <c r="DR13" s="34">
        <f t="shared" ref="DR13:DR14" si="246">DO13/DP13</f>
        <v>79.365079365079367</v>
      </c>
      <c r="DS13" s="34">
        <f t="shared" ref="DS13:DS14" si="247">DP13/DQ13</f>
        <v>6.3</v>
      </c>
      <c r="DT13" s="592"/>
      <c r="DU13" s="29"/>
      <c r="DV13" s="32"/>
      <c r="DW13" s="33"/>
      <c r="DX13" s="34"/>
      <c r="DY13" s="34"/>
      <c r="DZ13" s="592"/>
      <c r="EA13" s="29"/>
      <c r="EB13" s="32"/>
      <c r="EC13" s="33"/>
      <c r="ED13" s="34"/>
      <c r="EE13" s="34"/>
      <c r="EF13" s="592"/>
      <c r="EG13" s="29"/>
      <c r="EH13" s="32"/>
      <c r="EI13" s="33"/>
      <c r="EJ13" s="34"/>
      <c r="EK13" s="34"/>
      <c r="EL13" s="592"/>
      <c r="EM13" s="29"/>
      <c r="EN13" s="32"/>
      <c r="EO13" s="33"/>
      <c r="EP13" s="34"/>
      <c r="EQ13" s="34"/>
      <c r="ER13" s="30"/>
      <c r="ES13" s="29">
        <f>500+500+500+500+500</f>
        <v>2500</v>
      </c>
      <c r="ET13" s="32">
        <f>6.4+7.2+5.8+9.5+7.5</f>
        <v>36.400000000000006</v>
      </c>
      <c r="EU13" s="33">
        <v>5</v>
      </c>
      <c r="EV13" s="34">
        <f t="shared" si="18"/>
        <v>68.681318681318672</v>
      </c>
      <c r="EW13" s="34">
        <f t="shared" si="18"/>
        <v>7.2800000000000011</v>
      </c>
      <c r="EX13" s="30"/>
      <c r="EY13" s="35">
        <v>2000</v>
      </c>
      <c r="EZ13" s="34">
        <v>52</v>
      </c>
      <c r="FA13" s="37">
        <v>5</v>
      </c>
      <c r="FB13" s="34">
        <f t="shared" si="118"/>
        <v>38.46153846153846</v>
      </c>
      <c r="FC13" s="34">
        <f t="shared" si="118"/>
        <v>10.4</v>
      </c>
      <c r="FE13" s="26">
        <v>2600</v>
      </c>
      <c r="FF13" s="26">
        <v>35.299999999999997</v>
      </c>
      <c r="FG13" s="28">
        <v>5</v>
      </c>
      <c r="FH13" s="38">
        <f t="shared" si="96"/>
        <v>73.654390934844201</v>
      </c>
      <c r="FI13" s="39">
        <f t="shared" si="96"/>
        <v>7.06</v>
      </c>
      <c r="FK13" s="27">
        <f>500+500+400+400+400</f>
        <v>2200</v>
      </c>
      <c r="FL13" s="40">
        <f>7.42+8.79+8.72+7.59+6.81</f>
        <v>39.33</v>
      </c>
      <c r="FM13" s="27">
        <f>5</f>
        <v>5</v>
      </c>
      <c r="FN13" s="40">
        <f t="shared" si="97"/>
        <v>55.936943808797359</v>
      </c>
      <c r="FO13" s="40">
        <f t="shared" si="97"/>
        <v>7.8659999999999997</v>
      </c>
      <c r="FQ13" s="26">
        <f>500+500+500+500+500</f>
        <v>2500</v>
      </c>
      <c r="FR13" s="40">
        <f>6.97+8.37+5.82+6.04+7.51</f>
        <v>34.71</v>
      </c>
      <c r="FS13" s="27">
        <f>5</f>
        <v>5</v>
      </c>
      <c r="FT13" s="40">
        <f t="shared" si="19"/>
        <v>72.025352924229324</v>
      </c>
      <c r="FU13" s="40">
        <f t="shared" si="19"/>
        <v>6.9420000000000002</v>
      </c>
      <c r="FW13" s="26">
        <f>500+600+600+600+600</f>
        <v>2900</v>
      </c>
      <c r="FX13" s="27">
        <f>7.34+7.36+9.04+8.46+7.54</f>
        <v>39.74</v>
      </c>
      <c r="FY13" s="27">
        <f>5</f>
        <v>5</v>
      </c>
      <c r="FZ13" s="40">
        <f t="shared" si="20"/>
        <v>72.97433316557624</v>
      </c>
      <c r="GA13" s="40">
        <f t="shared" si="20"/>
        <v>7.9480000000000004</v>
      </c>
      <c r="GC13" s="26">
        <f>600+600+600+600+600</f>
        <v>3000</v>
      </c>
      <c r="GD13" s="27">
        <f>7.69+8.94+8.58+7+8.13</f>
        <v>40.340000000000003</v>
      </c>
      <c r="GE13" s="27">
        <f>5</f>
        <v>5</v>
      </c>
      <c r="GF13" s="40">
        <f t="shared" si="21"/>
        <v>74.367873078829945</v>
      </c>
      <c r="GG13" s="40">
        <f t="shared" si="21"/>
        <v>8.0680000000000014</v>
      </c>
      <c r="GI13" s="26">
        <f>500+500+500+500+500</f>
        <v>2500</v>
      </c>
      <c r="GJ13" s="27">
        <f>6.79+6.54+6.97+8.58+7.95</f>
        <v>36.830000000000005</v>
      </c>
      <c r="GK13" s="27">
        <f>5</f>
        <v>5</v>
      </c>
      <c r="GL13" s="40">
        <f t="shared" si="22"/>
        <v>67.879446103719786</v>
      </c>
      <c r="GM13" s="40">
        <f t="shared" si="22"/>
        <v>7.3660000000000014</v>
      </c>
      <c r="GO13" s="26">
        <f>500+500+500+500+500</f>
        <v>2500</v>
      </c>
      <c r="GP13" s="40">
        <f>9.13+12.41+10.13+10.1+10.11</f>
        <v>51.88</v>
      </c>
      <c r="GQ13" s="27">
        <v>5</v>
      </c>
      <c r="GR13" s="40">
        <f t="shared" si="98"/>
        <v>48.188126445643789</v>
      </c>
      <c r="GS13" s="40">
        <f t="shared" si="98"/>
        <v>10.376000000000001</v>
      </c>
      <c r="GU13" s="95">
        <f>500+500+500+500+500</f>
        <v>2500</v>
      </c>
      <c r="GV13" s="95">
        <f>4.48+5.32+5.74+6.95+5.9</f>
        <v>28.39</v>
      </c>
      <c r="GW13" s="100">
        <v>5</v>
      </c>
      <c r="GX13" s="101">
        <f t="shared" si="23"/>
        <v>88.059175766114834</v>
      </c>
      <c r="GY13" s="101">
        <f t="shared" si="23"/>
        <v>5.6779999999999999</v>
      </c>
      <c r="GZ13" s="43"/>
      <c r="HA13" s="26">
        <f>500+500+500+500+500</f>
        <v>2500</v>
      </c>
      <c r="HB13" s="39">
        <f>17.06+14.92+17.7+17.2+18</f>
        <v>84.88</v>
      </c>
      <c r="HC13" s="28">
        <v>5</v>
      </c>
      <c r="HD13" s="105">
        <f t="shared" si="24"/>
        <v>29.453345900094252</v>
      </c>
      <c r="HE13" s="39">
        <f t="shared" si="24"/>
        <v>16.975999999999999</v>
      </c>
      <c r="HG13" s="26">
        <f>500+500+500</f>
        <v>1500</v>
      </c>
      <c r="HH13" s="40">
        <f>8.08+6.43+6.83</f>
        <v>21.34</v>
      </c>
      <c r="HI13" s="27">
        <f>3</f>
        <v>3</v>
      </c>
      <c r="HJ13" s="34">
        <f t="shared" si="25"/>
        <v>70.290534208059981</v>
      </c>
      <c r="HK13" s="34">
        <f t="shared" si="25"/>
        <v>7.1133333333333333</v>
      </c>
      <c r="HM13" s="26">
        <f>500+600+300+500+400</f>
        <v>2300</v>
      </c>
      <c r="HN13" s="26">
        <f>10.11+8.37+5.89+6.54+5.7</f>
        <v>36.61</v>
      </c>
      <c r="HO13" s="46">
        <v>5</v>
      </c>
      <c r="HP13" s="47">
        <f t="shared" si="99"/>
        <v>62.824364927615406</v>
      </c>
      <c r="HQ13" s="47">
        <f t="shared" si="99"/>
        <v>7.3220000000000001</v>
      </c>
      <c r="HS13" s="26">
        <f>500+500+500+500+400</f>
        <v>2400</v>
      </c>
      <c r="HT13" s="26">
        <f>8.13+6.43+6.48+9.27+7.48</f>
        <v>37.79</v>
      </c>
      <c r="HU13" s="46">
        <v>5</v>
      </c>
      <c r="HV13" s="48">
        <f t="shared" si="26"/>
        <v>63.508864779042078</v>
      </c>
      <c r="HW13" s="48">
        <f t="shared" si="26"/>
        <v>7.5579999999999998</v>
      </c>
      <c r="HY13" s="45">
        <f>600+600+600+600+600</f>
        <v>3000</v>
      </c>
      <c r="HZ13" s="45">
        <f>9.92+11.39+8.45+8.82+10.21</f>
        <v>48.79</v>
      </c>
      <c r="IA13" s="45">
        <f>5</f>
        <v>5</v>
      </c>
      <c r="IB13" s="48">
        <f t="shared" si="141"/>
        <v>61.488009838081574</v>
      </c>
      <c r="IC13" s="48">
        <f t="shared" si="141"/>
        <v>9.7579999999999991</v>
      </c>
      <c r="IE13" s="45">
        <f>600+600+600+600+600</f>
        <v>3000</v>
      </c>
      <c r="IF13" s="45">
        <f>8.18+6.74+7.61+7.81+8.68</f>
        <v>39.019999999999996</v>
      </c>
      <c r="IG13" s="45">
        <f>5</f>
        <v>5</v>
      </c>
      <c r="IH13" s="48">
        <f t="shared" si="27"/>
        <v>76.883649410558689</v>
      </c>
      <c r="II13" s="48">
        <f t="shared" si="27"/>
        <v>7.8039999999999994</v>
      </c>
      <c r="IK13" s="26">
        <f>500+500+500+500+500</f>
        <v>2500</v>
      </c>
      <c r="IL13" s="40">
        <f>9.18+7.06+9+7.53+8.19</f>
        <v>40.959999999999994</v>
      </c>
      <c r="IM13" s="45">
        <f>5</f>
        <v>5</v>
      </c>
      <c r="IN13" s="48">
        <f t="shared" si="28"/>
        <v>61.035156250000007</v>
      </c>
      <c r="IO13" s="48">
        <f t="shared" si="28"/>
        <v>8.1919999999999984</v>
      </c>
      <c r="IQ13" s="26">
        <f>600+600+600</f>
        <v>1800</v>
      </c>
      <c r="IR13" s="40">
        <f>6.26+7.3+7.69</f>
        <v>21.25</v>
      </c>
      <c r="IS13" s="45">
        <v>3</v>
      </c>
      <c r="IT13" s="48">
        <f t="shared" ref="IT13:IT18" si="248">IQ13/IR13</f>
        <v>84.705882352941174</v>
      </c>
      <c r="IU13" s="48">
        <f>IR13/IS13</f>
        <v>7.083333333333333</v>
      </c>
      <c r="IW13" s="26">
        <f>600+600+700+700+700</f>
        <v>3300</v>
      </c>
      <c r="IX13" s="40">
        <f>7.64+7.55+8.01+6.99+6.61</f>
        <v>36.799999999999997</v>
      </c>
      <c r="IY13" s="45">
        <v>5</v>
      </c>
      <c r="IZ13" s="46">
        <f t="shared" si="210"/>
        <v>89.673913043478265</v>
      </c>
      <c r="JA13" s="46">
        <f t="shared" si="211"/>
        <v>7.3599999999999994</v>
      </c>
      <c r="JC13" s="26">
        <f>600+600+600+600+600</f>
        <v>3000</v>
      </c>
      <c r="JD13" s="40">
        <f>6.56+6.47+5.84+5.35+5.75</f>
        <v>29.97</v>
      </c>
      <c r="JE13" s="45">
        <v>5</v>
      </c>
      <c r="JF13" s="46">
        <f t="shared" si="212"/>
        <v>100.10010010010011</v>
      </c>
      <c r="JG13" s="46">
        <f t="shared" si="213"/>
        <v>5.9939999999999998</v>
      </c>
      <c r="JI13" s="26">
        <f>600+600+600+600+600</f>
        <v>3000</v>
      </c>
      <c r="JJ13" s="40">
        <f>5.46+6.18+6.23+6.65+7.06</f>
        <v>31.580000000000002</v>
      </c>
      <c r="JK13" s="45">
        <v>5</v>
      </c>
      <c r="JL13" s="46">
        <f t="shared" ref="JL13" si="249">JI13/JJ13</f>
        <v>94.996833438885361</v>
      </c>
      <c r="JM13" s="46">
        <f t="shared" ref="JM13" si="250">JJ13/JK13</f>
        <v>6.3160000000000007</v>
      </c>
      <c r="JO13" s="26">
        <f>500+500+500+500+500</f>
        <v>2500</v>
      </c>
      <c r="JP13" s="40">
        <f>5.79+7.93+6.19+5.73+6.9</f>
        <v>32.54</v>
      </c>
      <c r="JQ13" s="45">
        <v>5</v>
      </c>
      <c r="JR13" s="46">
        <f t="shared" si="214"/>
        <v>76.828518746158579</v>
      </c>
      <c r="JS13" s="46">
        <f t="shared" si="215"/>
        <v>6.508</v>
      </c>
      <c r="JU13" s="26">
        <f>500+500+500+600+600</f>
        <v>2700</v>
      </c>
      <c r="JV13" s="40">
        <f>7.95+8.23+8.66+7.44+8.64</f>
        <v>40.92</v>
      </c>
      <c r="JW13" s="45">
        <v>5</v>
      </c>
      <c r="JX13" s="46">
        <f t="shared" ref="JX13:JX15" si="251">JU13/JV13</f>
        <v>65.982404692082113</v>
      </c>
      <c r="JY13" s="46">
        <f t="shared" ref="JY13:JY15" si="252">JV13/JW13</f>
        <v>8.1840000000000011</v>
      </c>
      <c r="KA13" s="26">
        <f>500+500+500+500+500</f>
        <v>2500</v>
      </c>
      <c r="KB13" s="40">
        <f>8.27+8.1+8.31+8.38+8.41</f>
        <v>41.47</v>
      </c>
      <c r="KC13" s="45">
        <v>5</v>
      </c>
      <c r="KD13" s="46">
        <f t="shared" ref="KD13" si="253">KA13/KB13</f>
        <v>60.284543043163737</v>
      </c>
      <c r="KE13" s="46">
        <f t="shared" ref="KE13" si="254">KB13/KC13</f>
        <v>8.2940000000000005</v>
      </c>
      <c r="KG13" s="26">
        <f>600+600+500+500+700</f>
        <v>2900</v>
      </c>
      <c r="KH13" s="40">
        <f>7.02+8.2+6.67+5.6+8.35</f>
        <v>35.840000000000003</v>
      </c>
      <c r="KI13" s="45">
        <v>5</v>
      </c>
      <c r="KJ13" s="46">
        <f t="shared" ref="KJ13" si="255">KG13/KH13</f>
        <v>80.915178571428569</v>
      </c>
      <c r="KK13" s="46">
        <f t="shared" ref="KK13" si="256">KH13/KI13</f>
        <v>7.168000000000001</v>
      </c>
      <c r="KM13" s="26">
        <f>500+500+500+500+500</f>
        <v>2500</v>
      </c>
      <c r="KN13" s="40">
        <f>7.68+7.25+8.4+7.13+6.53</f>
        <v>36.989999999999995</v>
      </c>
      <c r="KO13" s="45">
        <v>5</v>
      </c>
      <c r="KP13" s="46">
        <f>KM13/KN13</f>
        <v>67.585834009191686</v>
      </c>
      <c r="KQ13" s="46">
        <f t="shared" ref="KQ13" si="257">KN13/KO13</f>
        <v>7.3979999999999988</v>
      </c>
      <c r="KS13" s="26">
        <f>600+600+600+600+600</f>
        <v>3000</v>
      </c>
      <c r="KT13" s="40">
        <f>9.6+11.6+10.5+9.8+10.2</f>
        <v>51.7</v>
      </c>
      <c r="KU13" s="45">
        <f>5</f>
        <v>5</v>
      </c>
      <c r="KV13" s="46">
        <f>KS13/KT13</f>
        <v>58.027079303675045</v>
      </c>
      <c r="KW13" s="46">
        <f t="shared" ref="KW13" si="258">KT13/KU13</f>
        <v>10.34</v>
      </c>
      <c r="KY13" s="26"/>
      <c r="KZ13" s="40"/>
      <c r="LA13" s="45"/>
      <c r="LB13" s="46" t="e">
        <f>KY13/KZ13</f>
        <v>#DIV/0!</v>
      </c>
      <c r="LC13" s="46" t="e">
        <f t="shared" ref="LC13" si="259">KZ13/LA13</f>
        <v>#DIV/0!</v>
      </c>
      <c r="LE13" s="26"/>
      <c r="LF13" s="40"/>
      <c r="LG13" s="45"/>
      <c r="LH13" s="46" t="e">
        <f>LE13/LF13</f>
        <v>#DIV/0!</v>
      </c>
      <c r="LI13" s="46" t="e">
        <f t="shared" ref="LI13" si="260">LF13/LG13</f>
        <v>#DIV/0!</v>
      </c>
      <c r="LK13" s="26">
        <f>500+500+500+500+500</f>
        <v>2500</v>
      </c>
      <c r="LL13" s="40">
        <f>6.33+6.58+6.2+4.67+6.34</f>
        <v>30.12</v>
      </c>
      <c r="LM13" s="45">
        <v>5</v>
      </c>
      <c r="LN13" s="46">
        <f>LK13/LL13</f>
        <v>83.001328021248341</v>
      </c>
      <c r="LO13" s="46">
        <f t="shared" ref="LO13" si="261">LL13/LM13</f>
        <v>6.024</v>
      </c>
      <c r="LQ13" s="26"/>
      <c r="LR13" s="40"/>
      <c r="LS13" s="45"/>
      <c r="LT13" s="46" t="e">
        <f>LQ13/LR13</f>
        <v>#DIV/0!</v>
      </c>
      <c r="LU13" s="46" t="e">
        <f t="shared" ref="LU13" si="262">LR13/LS13</f>
        <v>#DIV/0!</v>
      </c>
      <c r="LW13" s="26">
        <f>700+700+700+600+600</f>
        <v>3300</v>
      </c>
      <c r="LX13" s="40">
        <f>7.1+7.1+8.01+7.23+7.17</f>
        <v>36.61</v>
      </c>
      <c r="LY13" s="45">
        <v>5</v>
      </c>
      <c r="LZ13" s="46">
        <f>LW13/LX13</f>
        <v>90.139306200491674</v>
      </c>
      <c r="MA13" s="46">
        <f t="shared" ref="MA13" si="263">LX13/LY13</f>
        <v>7.3220000000000001</v>
      </c>
      <c r="MC13" s="26">
        <f>500+500+500+500+400</f>
        <v>2400</v>
      </c>
      <c r="MD13" s="40">
        <f>5.82+5.18+6.87+5.2+4.37</f>
        <v>27.44</v>
      </c>
      <c r="ME13" s="45">
        <v>5</v>
      </c>
      <c r="MF13" s="46">
        <f>MC13/MD13</f>
        <v>87.463556851311949</v>
      </c>
      <c r="MG13" s="46">
        <f t="shared" ref="MG13" si="264">MD13/ME13</f>
        <v>5.4880000000000004</v>
      </c>
      <c r="MI13" s="26">
        <f>400+400+400+500+500</f>
        <v>2200</v>
      </c>
      <c r="MJ13" s="40">
        <f>6.92+6.28+6.17+7.8+7.8</f>
        <v>34.97</v>
      </c>
      <c r="MK13" s="45">
        <v>5</v>
      </c>
      <c r="ML13" s="46">
        <f>MI13/MJ13</f>
        <v>62.911066628538748</v>
      </c>
      <c r="MM13" s="46">
        <f t="shared" ref="MM13" si="265">MJ13/MK13</f>
        <v>6.9939999999999998</v>
      </c>
      <c r="MO13" s="26"/>
      <c r="MP13" s="40"/>
      <c r="MQ13" s="45"/>
      <c r="MR13" s="46" t="e">
        <f>MO13/MP13</f>
        <v>#DIV/0!</v>
      </c>
      <c r="MS13" s="46" t="e">
        <f t="shared" ref="MS13" si="266">MP13/MQ13</f>
        <v>#DIV/0!</v>
      </c>
      <c r="MU13" s="26"/>
      <c r="MV13" s="40"/>
      <c r="MW13" s="45"/>
      <c r="MX13" s="46" t="e">
        <f>MU13/MV13</f>
        <v>#DIV/0!</v>
      </c>
      <c r="MY13" s="46" t="e">
        <f t="shared" ref="MY13" si="267">MV13/MW13</f>
        <v>#DIV/0!</v>
      </c>
      <c r="NA13" s="823">
        <f>400+400+400+500+500</f>
        <v>2200</v>
      </c>
      <c r="NB13" s="823">
        <f>9.01+9.21+9.49+7.26+7.5</f>
        <v>42.47</v>
      </c>
      <c r="NC13" s="823">
        <v>5</v>
      </c>
      <c r="ND13" s="46">
        <f>NA13/NB13</f>
        <v>51.801271485754654</v>
      </c>
      <c r="NE13" s="46">
        <f t="shared" ref="NE13" si="268">NB13/NC13</f>
        <v>8.4939999999999998</v>
      </c>
      <c r="NG13" s="823">
        <f>500+600+500+500+300</f>
        <v>2400</v>
      </c>
      <c r="NH13" s="823">
        <f>3+3+7.01+7.01+6.22</f>
        <v>26.24</v>
      </c>
      <c r="NI13" s="823">
        <v>5</v>
      </c>
      <c r="NJ13" s="46">
        <f>NG13/NH13</f>
        <v>91.463414634146346</v>
      </c>
      <c r="NK13" s="46">
        <f t="shared" ref="NK13" si="269">NH13/NI13</f>
        <v>5.2479999999999993</v>
      </c>
      <c r="NM13" s="823">
        <f>500+500+500+500+500</f>
        <v>2500</v>
      </c>
      <c r="NN13" s="823">
        <f>8.65+6.71+7.25+8.33+8.17</f>
        <v>39.11</v>
      </c>
      <c r="NO13" s="823">
        <v>5</v>
      </c>
      <c r="NP13" s="46">
        <f>NM13/NN13</f>
        <v>63.922270519048837</v>
      </c>
      <c r="NQ13" s="46">
        <f t="shared" ref="NQ13" si="270">NN13/NO13</f>
        <v>7.8220000000000001</v>
      </c>
      <c r="NS13" s="823">
        <f>500+500+500+500+500</f>
        <v>2500</v>
      </c>
      <c r="NT13" s="823">
        <f>6.03+6.56+6.25+7.69+7.25</f>
        <v>33.78</v>
      </c>
      <c r="NU13" s="823">
        <v>5</v>
      </c>
      <c r="NV13" s="46">
        <f>NS13/NT13</f>
        <v>74.008288928359974</v>
      </c>
      <c r="NW13" s="46">
        <f t="shared" ref="NW13" si="271">NT13/NU13</f>
        <v>6.7560000000000002</v>
      </c>
      <c r="NY13" s="910">
        <f>600+600+600+600+600</f>
        <v>3000</v>
      </c>
      <c r="NZ13" s="910">
        <f>6.91+8.36+8.04+6.44+7.81</f>
        <v>37.56</v>
      </c>
      <c r="OA13" s="910">
        <v>5</v>
      </c>
      <c r="OB13" s="46">
        <f>NY13/NZ13</f>
        <v>79.87220447284345</v>
      </c>
      <c r="OC13" s="46">
        <f t="shared" ref="OC13" si="272">NZ13/OA13</f>
        <v>7.5120000000000005</v>
      </c>
      <c r="OE13" s="823">
        <f>600+600+600+600+600</f>
        <v>3000</v>
      </c>
      <c r="OF13" s="823">
        <f>6.85+6.9+6.81+6.82+6.89</f>
        <v>34.269999999999996</v>
      </c>
      <c r="OG13" s="823">
        <v>5</v>
      </c>
      <c r="OH13" s="46">
        <f>OE13/OF13</f>
        <v>87.540122556171582</v>
      </c>
      <c r="OI13" s="46">
        <f t="shared" ref="OI13" si="273">OF13/OG13</f>
        <v>6.8539999999999992</v>
      </c>
    </row>
    <row r="14" spans="2:399">
      <c r="B14" s="11"/>
      <c r="C14" s="12"/>
      <c r="D14" s="13" t="s">
        <v>21</v>
      </c>
      <c r="E14" s="29">
        <f>200+500+150+300+200</f>
        <v>1350</v>
      </c>
      <c r="F14" s="32">
        <f>2.48+4.01+2.13+2.8+3.61</f>
        <v>15.030000000000001</v>
      </c>
      <c r="G14" s="33">
        <v>5</v>
      </c>
      <c r="H14" s="34">
        <f t="shared" si="216"/>
        <v>89.820359281437121</v>
      </c>
      <c r="I14" s="34">
        <f t="shared" si="217"/>
        <v>3.0060000000000002</v>
      </c>
      <c r="J14" s="30"/>
      <c r="K14" s="29">
        <f>300+300+300+200+200</f>
        <v>1300</v>
      </c>
      <c r="L14" s="32">
        <f>3.15+3.32+3.32+3.76+2.78</f>
        <v>16.329999999999998</v>
      </c>
      <c r="M14" s="33">
        <v>5</v>
      </c>
      <c r="N14" s="34">
        <f t="shared" si="218"/>
        <v>79.608083282302516</v>
      </c>
      <c r="O14" s="34">
        <f t="shared" si="219"/>
        <v>3.2659999999999996</v>
      </c>
      <c r="P14" s="30"/>
      <c r="Q14" s="29">
        <v>1500</v>
      </c>
      <c r="R14" s="32">
        <v>14.5</v>
      </c>
      <c r="S14" s="33">
        <v>4</v>
      </c>
      <c r="T14" s="34">
        <f t="shared" si="220"/>
        <v>103.44827586206897</v>
      </c>
      <c r="U14" s="34">
        <f t="shared" si="221"/>
        <v>3.625</v>
      </c>
      <c r="V14" s="30"/>
      <c r="W14" s="29">
        <f>500+500+500+500+500</f>
        <v>2500</v>
      </c>
      <c r="X14" s="32">
        <f>4.8+5.08+5.38+4.91+4.59</f>
        <v>24.759999999999998</v>
      </c>
      <c r="Y14" s="33">
        <v>5</v>
      </c>
      <c r="Z14" s="34">
        <f t="shared" si="222"/>
        <v>100.96930533117933</v>
      </c>
      <c r="AA14" s="34">
        <f t="shared" si="223"/>
        <v>4.952</v>
      </c>
      <c r="AB14" s="30"/>
      <c r="AC14" s="29">
        <f>500+400+400+400</f>
        <v>1700</v>
      </c>
      <c r="AD14" s="32">
        <f>3.7+3.8+3.9+3.3</f>
        <v>14.7</v>
      </c>
      <c r="AE14" s="33">
        <v>4</v>
      </c>
      <c r="AF14" s="34">
        <f t="shared" si="224"/>
        <v>115.64625850340137</v>
      </c>
      <c r="AG14" s="34">
        <f t="shared" si="225"/>
        <v>3.6749999999999998</v>
      </c>
      <c r="AH14" s="30"/>
      <c r="AI14" s="29"/>
      <c r="AJ14" s="32"/>
      <c r="AK14" s="33"/>
      <c r="AL14" s="34"/>
      <c r="AM14" s="34"/>
      <c r="AN14" s="30"/>
      <c r="AO14" s="29">
        <f>500+500+200+200+300</f>
        <v>1700</v>
      </c>
      <c r="AP14" s="32">
        <f>4.78+4.75+3.15+3.03+3.35</f>
        <v>19.060000000000002</v>
      </c>
      <c r="AQ14" s="33">
        <v>5</v>
      </c>
      <c r="AR14" s="34">
        <f t="shared" si="226"/>
        <v>89.192025183630633</v>
      </c>
      <c r="AS14" s="34">
        <f t="shared" si="227"/>
        <v>3.8120000000000003</v>
      </c>
      <c r="AT14" s="30"/>
      <c r="AU14" s="29">
        <f>200+200+200+200+200</f>
        <v>1000</v>
      </c>
      <c r="AV14" s="32">
        <f>1.67+2.09+2.2+1.91+2.44</f>
        <v>10.31</v>
      </c>
      <c r="AW14" s="33">
        <v>5</v>
      </c>
      <c r="AX14" s="34">
        <f t="shared" si="228"/>
        <v>96.993210475266721</v>
      </c>
      <c r="AY14" s="34">
        <f t="shared" si="229"/>
        <v>2.0620000000000003</v>
      </c>
      <c r="AZ14" s="592"/>
      <c r="BA14" s="29">
        <f>100+200+200+150+100</f>
        <v>750</v>
      </c>
      <c r="BB14" s="32">
        <f>2.87+2.26+3.21+2.83+1.45</f>
        <v>12.62</v>
      </c>
      <c r="BC14" s="33">
        <v>5</v>
      </c>
      <c r="BD14" s="34">
        <f t="shared" si="230"/>
        <v>59.429477020602221</v>
      </c>
      <c r="BE14" s="34">
        <f t="shared" si="231"/>
        <v>2.524</v>
      </c>
      <c r="BF14" s="592"/>
      <c r="BG14" s="29"/>
      <c r="BH14" s="32"/>
      <c r="BI14" s="33"/>
      <c r="BJ14" s="34"/>
      <c r="BK14" s="34"/>
      <c r="BL14" s="592"/>
      <c r="BM14" s="29"/>
      <c r="BN14" s="32"/>
      <c r="BO14" s="33"/>
      <c r="BP14" s="34"/>
      <c r="BQ14" s="34"/>
      <c r="BR14" s="30"/>
      <c r="BS14" s="29">
        <f>200+200+200+200+200</f>
        <v>1000</v>
      </c>
      <c r="BT14" s="32">
        <f>3.3+2.66+2.82+3.23+3.41</f>
        <v>15.42</v>
      </c>
      <c r="BU14" s="33">
        <v>5</v>
      </c>
      <c r="BV14" s="34">
        <f t="shared" si="232"/>
        <v>64.850843060959789</v>
      </c>
      <c r="BW14" s="34">
        <f t="shared" si="233"/>
        <v>3.0840000000000001</v>
      </c>
      <c r="BX14" s="592"/>
      <c r="BY14" s="29">
        <f>200+200+200+200+200</f>
        <v>1000</v>
      </c>
      <c r="BZ14" s="32">
        <f>2.5+1.8+2.2+2.4+2.9</f>
        <v>11.8</v>
      </c>
      <c r="CA14" s="33">
        <v>5</v>
      </c>
      <c r="CB14" s="34">
        <f t="shared" si="234"/>
        <v>84.745762711864401</v>
      </c>
      <c r="CC14" s="34">
        <f t="shared" si="235"/>
        <v>2.3600000000000003</v>
      </c>
      <c r="CD14" s="592"/>
      <c r="CE14" s="29">
        <v>1600</v>
      </c>
      <c r="CF14" s="32">
        <v>19.3</v>
      </c>
      <c r="CG14" s="33">
        <v>5</v>
      </c>
      <c r="CH14" s="34">
        <f t="shared" si="236"/>
        <v>82.901554404145074</v>
      </c>
      <c r="CI14" s="34">
        <f t="shared" si="237"/>
        <v>3.8600000000000003</v>
      </c>
      <c r="CJ14" s="592"/>
      <c r="CK14" s="29">
        <f>200+200+200+200+200</f>
        <v>1000</v>
      </c>
      <c r="CL14" s="32">
        <f>2.5+2.3+2.37+2.45+2.4</f>
        <v>12.020000000000001</v>
      </c>
      <c r="CM14" s="33">
        <v>5</v>
      </c>
      <c r="CN14" s="34">
        <f t="shared" si="238"/>
        <v>83.194675540765388</v>
      </c>
      <c r="CO14" s="34">
        <f t="shared" si="239"/>
        <v>2.4040000000000004</v>
      </c>
      <c r="CP14" s="592"/>
      <c r="CQ14" s="29"/>
      <c r="CR14" s="32"/>
      <c r="CS14" s="33"/>
      <c r="CT14" s="34"/>
      <c r="CU14" s="34"/>
      <c r="CV14" s="592"/>
      <c r="CW14" s="29">
        <f>200+200+200+200+200</f>
        <v>1000</v>
      </c>
      <c r="CX14" s="32">
        <f>2.5+1.8+2.2+2.4+2.9</f>
        <v>11.8</v>
      </c>
      <c r="CY14" s="33">
        <v>5</v>
      </c>
      <c r="CZ14" s="34">
        <f t="shared" si="240"/>
        <v>84.745762711864401</v>
      </c>
      <c r="DA14" s="34">
        <f t="shared" si="241"/>
        <v>2.3600000000000003</v>
      </c>
      <c r="DB14" s="592"/>
      <c r="DC14" s="29">
        <f>300+300+300+300+300</f>
        <v>1500</v>
      </c>
      <c r="DD14" s="32">
        <f>4.92+5.82+5.88+6.52+4.92</f>
        <v>28.060000000000002</v>
      </c>
      <c r="DE14" s="33">
        <v>5</v>
      </c>
      <c r="DF14" s="34">
        <f t="shared" si="242"/>
        <v>53.456878118317888</v>
      </c>
      <c r="DG14" s="34">
        <f t="shared" si="243"/>
        <v>5.6120000000000001</v>
      </c>
      <c r="DH14" s="592"/>
      <c r="DI14" s="29">
        <v>2200</v>
      </c>
      <c r="DJ14" s="32">
        <v>18.71</v>
      </c>
      <c r="DK14" s="33">
        <v>5</v>
      </c>
      <c r="DL14" s="34">
        <f t="shared" si="244"/>
        <v>117.58417958311063</v>
      </c>
      <c r="DM14" s="34">
        <f t="shared" si="245"/>
        <v>3.742</v>
      </c>
      <c r="DN14" s="592"/>
      <c r="DO14" s="29">
        <v>2500</v>
      </c>
      <c r="DP14" s="32">
        <v>22.29</v>
      </c>
      <c r="DQ14" s="33">
        <v>5</v>
      </c>
      <c r="DR14" s="34">
        <f t="shared" si="246"/>
        <v>112.15791834903544</v>
      </c>
      <c r="DS14" s="34">
        <f t="shared" si="247"/>
        <v>4.4580000000000002</v>
      </c>
      <c r="DT14" s="592"/>
      <c r="DU14" s="29"/>
      <c r="DV14" s="32"/>
      <c r="DW14" s="33"/>
      <c r="DX14" s="34"/>
      <c r="DY14" s="34"/>
      <c r="DZ14" s="592"/>
      <c r="EA14" s="29"/>
      <c r="EB14" s="32"/>
      <c r="EC14" s="33"/>
      <c r="ED14" s="34"/>
      <c r="EE14" s="34"/>
      <c r="EF14" s="592"/>
      <c r="EG14" s="29"/>
      <c r="EH14" s="32"/>
      <c r="EI14" s="33"/>
      <c r="EJ14" s="34"/>
      <c r="EK14" s="34"/>
      <c r="EL14" s="592"/>
      <c r="EM14" s="29"/>
      <c r="EN14" s="32"/>
      <c r="EO14" s="33"/>
      <c r="EP14" s="34"/>
      <c r="EQ14" s="34"/>
      <c r="ER14" s="30"/>
      <c r="ES14" s="29">
        <f>200+200+200+200+200</f>
        <v>1000</v>
      </c>
      <c r="ET14" s="32">
        <f>2.5+1.8+2.2+2.4+2.9</f>
        <v>11.8</v>
      </c>
      <c r="EU14" s="33">
        <v>5</v>
      </c>
      <c r="EV14" s="34">
        <f t="shared" si="18"/>
        <v>84.745762711864401</v>
      </c>
      <c r="EW14" s="34">
        <f t="shared" si="18"/>
        <v>2.3600000000000003</v>
      </c>
      <c r="EX14" s="30"/>
      <c r="EY14" s="35">
        <v>1600</v>
      </c>
      <c r="EZ14" s="34">
        <v>19.3</v>
      </c>
      <c r="FA14" s="37">
        <v>5</v>
      </c>
      <c r="FB14" s="34">
        <f t="shared" si="118"/>
        <v>82.901554404145074</v>
      </c>
      <c r="FC14" s="34">
        <f t="shared" si="118"/>
        <v>3.8600000000000003</v>
      </c>
      <c r="FE14" s="26">
        <v>1500</v>
      </c>
      <c r="FF14" s="27">
        <v>14.5</v>
      </c>
      <c r="FG14" s="28">
        <v>4</v>
      </c>
      <c r="FH14" s="38">
        <f t="shared" si="96"/>
        <v>103.44827586206897</v>
      </c>
      <c r="FI14" s="39">
        <f t="shared" si="96"/>
        <v>3.625</v>
      </c>
      <c r="FK14" s="27">
        <f>200+200+200+200+200</f>
        <v>1000</v>
      </c>
      <c r="FL14" s="40">
        <f>2.31+1.74+3.4+3.32+2.71</f>
        <v>13.48</v>
      </c>
      <c r="FM14" s="27">
        <f>5</f>
        <v>5</v>
      </c>
      <c r="FN14" s="40">
        <f t="shared" si="97"/>
        <v>74.183976261127597</v>
      </c>
      <c r="FO14" s="40">
        <f t="shared" si="97"/>
        <v>2.6960000000000002</v>
      </c>
      <c r="FQ14" s="26">
        <f>200+200+200+200+200</f>
        <v>1000</v>
      </c>
      <c r="FR14" s="40">
        <f>2.7+3.06+2.75+2.81+2.35</f>
        <v>13.67</v>
      </c>
      <c r="FS14" s="27">
        <f>5</f>
        <v>5</v>
      </c>
      <c r="FT14" s="40">
        <f t="shared" si="19"/>
        <v>73.152889539136794</v>
      </c>
      <c r="FU14" s="40">
        <f t="shared" si="19"/>
        <v>2.734</v>
      </c>
      <c r="FW14" s="26">
        <f>200+200+200+200+200</f>
        <v>1000</v>
      </c>
      <c r="FX14" s="27">
        <f>2+2.48+2.79+2.27+2.58</f>
        <v>12.120000000000001</v>
      </c>
      <c r="FY14" s="27">
        <f>5</f>
        <v>5</v>
      </c>
      <c r="FZ14" s="40">
        <f t="shared" si="20"/>
        <v>82.508250825082499</v>
      </c>
      <c r="GA14" s="40">
        <f t="shared" si="20"/>
        <v>2.4240000000000004</v>
      </c>
      <c r="GC14" s="26"/>
      <c r="GD14" s="27"/>
      <c r="GE14" s="27"/>
      <c r="GF14" s="40"/>
      <c r="GG14" s="40"/>
      <c r="GI14" s="26">
        <f>200+200+200+200+200</f>
        <v>1000</v>
      </c>
      <c r="GJ14" s="27">
        <f>3.04+2.57+2.88+2.67+2.59</f>
        <v>13.749999999999998</v>
      </c>
      <c r="GK14" s="27">
        <f>5</f>
        <v>5</v>
      </c>
      <c r="GL14" s="40">
        <f t="shared" si="22"/>
        <v>72.727272727272734</v>
      </c>
      <c r="GM14" s="40">
        <f t="shared" si="22"/>
        <v>2.7499999999999996</v>
      </c>
      <c r="GO14" s="26">
        <f>400+400+400+400+400</f>
        <v>2000</v>
      </c>
      <c r="GP14" s="40">
        <f>6.08+4.9+3.01+4.9+4.9</f>
        <v>23.79</v>
      </c>
      <c r="GQ14" s="27">
        <f>5</f>
        <v>5</v>
      </c>
      <c r="GR14" s="40">
        <f t="shared" si="98"/>
        <v>84.068936527952928</v>
      </c>
      <c r="GS14" s="40">
        <f t="shared" si="98"/>
        <v>4.758</v>
      </c>
      <c r="GU14" s="95">
        <f>200+500+200+400+600</f>
        <v>1900</v>
      </c>
      <c r="GV14" s="99">
        <f>4.35+4.74+2.53+3.95+6.34</f>
        <v>21.91</v>
      </c>
      <c r="GW14" s="100">
        <v>5</v>
      </c>
      <c r="GX14" s="101">
        <f t="shared" si="23"/>
        <v>86.718393427658597</v>
      </c>
      <c r="GY14" s="101">
        <f t="shared" si="23"/>
        <v>4.3819999999999997</v>
      </c>
      <c r="GZ14" s="43"/>
      <c r="HA14" s="26">
        <f>300</f>
        <v>300</v>
      </c>
      <c r="HB14" s="39">
        <f>1.2</f>
        <v>1.2</v>
      </c>
      <c r="HC14" s="28">
        <v>1</v>
      </c>
      <c r="HD14" s="105">
        <f t="shared" si="24"/>
        <v>250</v>
      </c>
      <c r="HE14" s="39">
        <f t="shared" si="24"/>
        <v>1.2</v>
      </c>
      <c r="HG14" s="26">
        <f>500+500+500+500+500</f>
        <v>2500</v>
      </c>
      <c r="HH14" s="40">
        <f>6.08+5.9+4.01+4.9+4.9</f>
        <v>25.79</v>
      </c>
      <c r="HI14" s="27">
        <f>5</f>
        <v>5</v>
      </c>
      <c r="HJ14" s="34">
        <f t="shared" si="25"/>
        <v>96.936797208220241</v>
      </c>
      <c r="HK14" s="34">
        <f t="shared" si="25"/>
        <v>5.1579999999999995</v>
      </c>
      <c r="HM14" s="26">
        <f>200+500+150+300+200</f>
        <v>1350</v>
      </c>
      <c r="HN14" s="45">
        <f>2.48+4.01+2.13+2.8+3.61</f>
        <v>15.030000000000001</v>
      </c>
      <c r="HO14" s="46">
        <v>5</v>
      </c>
      <c r="HP14" s="47">
        <f t="shared" si="99"/>
        <v>89.820359281437121</v>
      </c>
      <c r="HQ14" s="47">
        <f t="shared" si="99"/>
        <v>3.0060000000000002</v>
      </c>
      <c r="HS14" s="26">
        <f>300+300+300+200+200</f>
        <v>1300</v>
      </c>
      <c r="HT14" s="45">
        <f>3.15+3.32+3.32+3.76+2.78</f>
        <v>16.329999999999998</v>
      </c>
      <c r="HU14" s="46">
        <v>5</v>
      </c>
      <c r="HV14" s="48">
        <f t="shared" si="26"/>
        <v>79.608083282302516</v>
      </c>
      <c r="HW14" s="48">
        <f t="shared" si="26"/>
        <v>3.2659999999999996</v>
      </c>
      <c r="HY14" s="45">
        <f>300+300+300+300+300</f>
        <v>1500</v>
      </c>
      <c r="HZ14" s="45">
        <f>3.59+3.93+3.13+3.67+3.61</f>
        <v>17.93</v>
      </c>
      <c r="IA14" s="45">
        <f>5</f>
        <v>5</v>
      </c>
      <c r="IB14" s="48">
        <f t="shared" si="141"/>
        <v>83.658672615727838</v>
      </c>
      <c r="IC14" s="48">
        <f t="shared" si="141"/>
        <v>3.5859999999999999</v>
      </c>
      <c r="IE14" s="45">
        <f>300+500+500+500+500</f>
        <v>2300</v>
      </c>
      <c r="IF14" s="45">
        <f>2.73+4.91+4.44+4.91+5.36</f>
        <v>22.35</v>
      </c>
      <c r="IG14" s="45">
        <f>5</f>
        <v>5</v>
      </c>
      <c r="IH14" s="48">
        <f t="shared" si="27"/>
        <v>102.90827740492169</v>
      </c>
      <c r="II14" s="48">
        <f t="shared" si="27"/>
        <v>4.4700000000000006</v>
      </c>
      <c r="IK14" s="26">
        <f>500+500+500+500+500</f>
        <v>2500</v>
      </c>
      <c r="IL14" s="48">
        <f>5.18+4.28+3.64+5.24+3.3</f>
        <v>21.640000000000004</v>
      </c>
      <c r="IM14" s="45">
        <f>5</f>
        <v>5</v>
      </c>
      <c r="IN14" s="48">
        <f t="shared" si="28"/>
        <v>115.52680221811458</v>
      </c>
      <c r="IO14" s="48">
        <f t="shared" si="28"/>
        <v>4.3280000000000012</v>
      </c>
      <c r="IQ14" s="26">
        <f>200+200+200+200+200</f>
        <v>1000</v>
      </c>
      <c r="IR14" s="48">
        <f>2.34+2.11+2.17+2.46+2.27</f>
        <v>11.349999999999998</v>
      </c>
      <c r="IS14" s="45">
        <v>5</v>
      </c>
      <c r="IT14" s="48">
        <f t="shared" si="248"/>
        <v>88.105726872246706</v>
      </c>
      <c r="IU14" s="48">
        <f>IR14/IS14</f>
        <v>2.2699999999999996</v>
      </c>
      <c r="IW14" s="26">
        <f>500+500+500+500+500</f>
        <v>2500</v>
      </c>
      <c r="IX14" s="48">
        <f>4.79+4.66+4.52+4.91+4.61</f>
        <v>23.49</v>
      </c>
      <c r="IY14" s="45">
        <v>5</v>
      </c>
      <c r="IZ14" s="46">
        <f t="shared" si="210"/>
        <v>106.42826734780759</v>
      </c>
      <c r="JA14" s="46">
        <f t="shared" si="211"/>
        <v>4.6979999999999995</v>
      </c>
      <c r="JC14" s="26">
        <f>500+500+500+500+500</f>
        <v>2500</v>
      </c>
      <c r="JD14" s="48">
        <f>6.7+6.09+5.86+4.91+5.11</f>
        <v>28.669999999999998</v>
      </c>
      <c r="JE14" s="45">
        <v>5</v>
      </c>
      <c r="JF14" s="46">
        <f t="shared" si="212"/>
        <v>87.199162888036284</v>
      </c>
      <c r="JG14" s="46">
        <f t="shared" si="213"/>
        <v>5.734</v>
      </c>
      <c r="JI14" s="26">
        <f>500+500+500+500+500</f>
        <v>2500</v>
      </c>
      <c r="JJ14" s="48">
        <f>4.49+5.01+4.61+4.21+4.35</f>
        <v>22.67</v>
      </c>
      <c r="JK14" s="45">
        <v>5</v>
      </c>
      <c r="JL14" s="46">
        <f t="shared" ref="JL14:JL18" si="274">JI14/JJ14</f>
        <v>110.27790030877811</v>
      </c>
      <c r="JM14" s="46">
        <f t="shared" ref="JM14:JM18" si="275">JJ14/JK14</f>
        <v>4.5340000000000007</v>
      </c>
      <c r="JO14" s="26">
        <f>400+300+200+200+400</f>
        <v>1500</v>
      </c>
      <c r="JP14" s="48">
        <f>3.6+2.54+2.88+2.49+3.98</f>
        <v>15.49</v>
      </c>
      <c r="JQ14" s="45">
        <v>5</v>
      </c>
      <c r="JR14" s="46">
        <f t="shared" si="214"/>
        <v>96.836668818592642</v>
      </c>
      <c r="JS14" s="46">
        <f t="shared" si="215"/>
        <v>3.0979999999999999</v>
      </c>
      <c r="JU14" s="26"/>
      <c r="JV14" s="48"/>
      <c r="JW14" s="45"/>
      <c r="JX14" s="46"/>
      <c r="JY14" s="46"/>
      <c r="KA14" s="26"/>
      <c r="KB14" s="48"/>
      <c r="KC14" s="45"/>
      <c r="KD14" s="46"/>
      <c r="KE14" s="46"/>
      <c r="KG14" s="26"/>
      <c r="KH14" s="48"/>
      <c r="KI14" s="45"/>
      <c r="KJ14" s="46"/>
      <c r="KK14" s="46"/>
      <c r="KM14" s="26"/>
      <c r="KN14" s="48"/>
      <c r="KO14" s="45"/>
      <c r="KP14" s="46" t="e">
        <f t="shared" ref="KP14" si="276">KM14/KN14</f>
        <v>#DIV/0!</v>
      </c>
      <c r="KQ14" s="46" t="e">
        <f>KN14/KO14</f>
        <v>#DIV/0!</v>
      </c>
      <c r="KS14" s="26"/>
      <c r="KT14" s="48"/>
      <c r="KU14" s="45"/>
      <c r="KV14" s="46" t="e">
        <f t="shared" ref="KV14:KV15" si="277">KS14/KT14</f>
        <v>#DIV/0!</v>
      </c>
      <c r="KW14" s="46" t="e">
        <f>KT14/KU14</f>
        <v>#DIV/0!</v>
      </c>
      <c r="KY14" s="26"/>
      <c r="KZ14" s="48"/>
      <c r="LA14" s="45"/>
      <c r="LB14" s="46" t="e">
        <f t="shared" ref="LB14:LB15" si="278">KY14/KZ14</f>
        <v>#DIV/0!</v>
      </c>
      <c r="LC14" s="46" t="e">
        <f>KZ14/LA14</f>
        <v>#DIV/0!</v>
      </c>
      <c r="LE14" s="26"/>
      <c r="LF14" s="48"/>
      <c r="LG14" s="45"/>
      <c r="LH14" s="46" t="e">
        <f t="shared" ref="LH14:LH15" si="279">LE14/LF14</f>
        <v>#DIV/0!</v>
      </c>
      <c r="LI14" s="46" t="e">
        <f>LF14/LG14</f>
        <v>#DIV/0!</v>
      </c>
      <c r="LK14" s="26"/>
      <c r="LL14" s="48"/>
      <c r="LM14" s="45"/>
      <c r="LN14" s="46" t="e">
        <f t="shared" ref="LN14:LN15" si="280">LK14/LL14</f>
        <v>#DIV/0!</v>
      </c>
      <c r="LO14" s="46" t="e">
        <f>LL14/LM14</f>
        <v>#DIV/0!</v>
      </c>
      <c r="LQ14" s="26"/>
      <c r="LR14" s="48"/>
      <c r="LS14" s="45"/>
      <c r="LT14" s="46" t="e">
        <f t="shared" ref="LT14:LT15" si="281">LQ14/LR14</f>
        <v>#DIV/0!</v>
      </c>
      <c r="LU14" s="46" t="e">
        <f>LR14/LS14</f>
        <v>#DIV/0!</v>
      </c>
      <c r="LW14" s="26"/>
      <c r="LX14" s="48"/>
      <c r="LY14" s="45"/>
      <c r="LZ14" s="46" t="e">
        <f t="shared" ref="LZ14:LZ15" si="282">LW14/LX14</f>
        <v>#DIV/0!</v>
      </c>
      <c r="MA14" s="46" t="e">
        <f>LX14/LY14</f>
        <v>#DIV/0!</v>
      </c>
      <c r="MC14" s="26"/>
      <c r="MD14" s="48"/>
      <c r="ME14" s="45"/>
      <c r="MF14" s="46" t="e">
        <f t="shared" ref="MF14:MF15" si="283">MC14/MD14</f>
        <v>#DIV/0!</v>
      </c>
      <c r="MG14" s="46" t="e">
        <f>MD14/ME14</f>
        <v>#DIV/0!</v>
      </c>
      <c r="MI14" s="26"/>
      <c r="MJ14" s="48"/>
      <c r="MK14" s="45"/>
      <c r="ML14" s="46" t="e">
        <f t="shared" ref="ML14:ML15" si="284">MI14/MJ14</f>
        <v>#DIV/0!</v>
      </c>
      <c r="MM14" s="46" t="e">
        <f>MJ14/MK14</f>
        <v>#DIV/0!</v>
      </c>
      <c r="MO14" s="26"/>
      <c r="MP14" s="48"/>
      <c r="MQ14" s="45"/>
      <c r="MR14" s="46" t="e">
        <f t="shared" ref="MR14:MR15" si="285">MO14/MP14</f>
        <v>#DIV/0!</v>
      </c>
      <c r="MS14" s="46" t="e">
        <f>MP14/MQ14</f>
        <v>#DIV/0!</v>
      </c>
      <c r="MU14" s="26"/>
      <c r="MV14" s="48"/>
      <c r="MW14" s="45"/>
      <c r="MX14" s="46" t="e">
        <f t="shared" ref="MX14:MX15" si="286">MU14/MV14</f>
        <v>#DIV/0!</v>
      </c>
      <c r="MY14" s="46" t="e">
        <f>MV14/MW14</f>
        <v>#DIV/0!</v>
      </c>
      <c r="NA14" s="823"/>
      <c r="NB14" s="823"/>
      <c r="NC14" s="823"/>
      <c r="ND14" s="46" t="e">
        <f t="shared" ref="ND14:ND15" si="287">NA14/NB14</f>
        <v>#DIV/0!</v>
      </c>
      <c r="NE14" s="46" t="e">
        <f>NB14/NC14</f>
        <v>#DIV/0!</v>
      </c>
      <c r="NG14" s="823">
        <f>300+200+300+200+200</f>
        <v>1200</v>
      </c>
      <c r="NH14" s="823">
        <f>6.1+3.51+6.19+3.02+3.64</f>
        <v>22.46</v>
      </c>
      <c r="NI14" s="823">
        <v>5</v>
      </c>
      <c r="NJ14" s="46">
        <f t="shared" ref="NJ14:NJ15" si="288">NG14/NH14</f>
        <v>53.428317008014247</v>
      </c>
      <c r="NK14" s="46">
        <f>NH14/NI14</f>
        <v>4.492</v>
      </c>
      <c r="NM14" s="823"/>
      <c r="NN14" s="823"/>
      <c r="NO14" s="823"/>
      <c r="NP14" s="46" t="e">
        <f t="shared" ref="NP14:NP15" si="289">NM14/NN14</f>
        <v>#DIV/0!</v>
      </c>
      <c r="NQ14" s="46" t="e">
        <f>NN14/NO14</f>
        <v>#DIV/0!</v>
      </c>
      <c r="NS14" s="823"/>
      <c r="NT14" s="823"/>
      <c r="NU14" s="823"/>
      <c r="NV14" s="46" t="e">
        <f t="shared" ref="NV14:NV15" si="290">NS14/NT14</f>
        <v>#DIV/0!</v>
      </c>
      <c r="NW14" s="46" t="e">
        <f>NT14/NU14</f>
        <v>#DIV/0!</v>
      </c>
      <c r="NY14" s="910"/>
      <c r="NZ14" s="910"/>
      <c r="OA14" s="910"/>
      <c r="OB14" s="46" t="e">
        <f t="shared" ref="OB14:OB15" si="291">NY14/NZ14</f>
        <v>#DIV/0!</v>
      </c>
      <c r="OC14" s="46" t="e">
        <f>NZ14/OA14</f>
        <v>#DIV/0!</v>
      </c>
      <c r="OE14" s="823"/>
      <c r="OF14" s="823"/>
      <c r="OG14" s="823"/>
      <c r="OH14" s="46" t="e">
        <f t="shared" ref="OH14:OH15" si="292">OE14/OF14</f>
        <v>#DIV/0!</v>
      </c>
      <c r="OI14" s="46" t="e">
        <f>OF14/OG14</f>
        <v>#DIV/0!</v>
      </c>
    </row>
    <row r="15" spans="2:399">
      <c r="B15" s="11"/>
      <c r="C15" s="12" t="s">
        <v>22</v>
      </c>
      <c r="D15" s="13" t="s">
        <v>20</v>
      </c>
      <c r="E15" s="29"/>
      <c r="F15" s="32"/>
      <c r="G15" s="33"/>
      <c r="H15" s="34"/>
      <c r="I15" s="34"/>
      <c r="J15" s="30"/>
      <c r="K15" s="29"/>
      <c r="L15" s="32"/>
      <c r="M15" s="33"/>
      <c r="N15" s="34"/>
      <c r="O15" s="34"/>
      <c r="P15" s="30"/>
      <c r="Q15" s="29">
        <v>5800</v>
      </c>
      <c r="R15" s="32">
        <v>40.700000000000003</v>
      </c>
      <c r="S15" s="33">
        <v>5</v>
      </c>
      <c r="T15" s="34">
        <f t="shared" ref="T15:T16" si="293">Q15/R15</f>
        <v>142.50614250614251</v>
      </c>
      <c r="U15" s="34">
        <f t="shared" ref="U15:U16" si="294">R15/S15</f>
        <v>8.14</v>
      </c>
      <c r="V15" s="30"/>
      <c r="W15" s="29"/>
      <c r="X15" s="32"/>
      <c r="Y15" s="33"/>
      <c r="Z15" s="34"/>
      <c r="AA15" s="34"/>
      <c r="AB15" s="30"/>
      <c r="AC15" s="29">
        <f>1500+1500+1500+1000+1000</f>
        <v>6500</v>
      </c>
      <c r="AD15" s="32">
        <f>7.8+7.7+7.9+7.6+7.7</f>
        <v>38.700000000000003</v>
      </c>
      <c r="AE15" s="33">
        <v>5</v>
      </c>
      <c r="AF15" s="34">
        <f t="shared" ref="AF15" si="295">AC15/AD15</f>
        <v>167.95865633074933</v>
      </c>
      <c r="AG15" s="34">
        <f t="shared" ref="AG15" si="296">AD15/AE15</f>
        <v>7.74</v>
      </c>
      <c r="AH15" s="30"/>
      <c r="AI15" s="29"/>
      <c r="AJ15" s="32"/>
      <c r="AK15" s="33"/>
      <c r="AL15" s="34"/>
      <c r="AM15" s="34"/>
      <c r="AN15" s="30"/>
      <c r="AO15" s="29">
        <f>1000+1000+1500+1500+600</f>
        <v>5600</v>
      </c>
      <c r="AP15" s="32">
        <f>9.46+8.6+7.31+9.61+3.84</f>
        <v>38.820000000000007</v>
      </c>
      <c r="AQ15" s="33">
        <v>5</v>
      </c>
      <c r="AR15" s="34">
        <f t="shared" si="226"/>
        <v>144.25553838227714</v>
      </c>
      <c r="AS15" s="34">
        <f t="shared" si="227"/>
        <v>7.7640000000000011</v>
      </c>
      <c r="AT15" s="30"/>
      <c r="AU15" s="29">
        <f>1500+2000+2000+2000+1000</f>
        <v>8500</v>
      </c>
      <c r="AV15" s="32">
        <f>9+10.35+11.9+9.31+9.05</f>
        <v>49.61</v>
      </c>
      <c r="AW15" s="33">
        <v>5</v>
      </c>
      <c r="AX15" s="34">
        <f t="shared" si="228"/>
        <v>171.33642410804273</v>
      </c>
      <c r="AY15" s="34">
        <f t="shared" si="229"/>
        <v>9.9220000000000006</v>
      </c>
      <c r="AZ15" s="592"/>
      <c r="BA15" s="29"/>
      <c r="BB15" s="32"/>
      <c r="BC15" s="33"/>
      <c r="BD15" s="34"/>
      <c r="BE15" s="34"/>
      <c r="BF15" s="592"/>
      <c r="BG15" s="29"/>
      <c r="BH15" s="32"/>
      <c r="BI15" s="33"/>
      <c r="BJ15" s="34"/>
      <c r="BK15" s="34"/>
      <c r="BL15" s="592"/>
      <c r="BM15" s="29"/>
      <c r="BN15" s="32"/>
      <c r="BO15" s="33"/>
      <c r="BP15" s="34"/>
      <c r="BQ15" s="34"/>
      <c r="BR15" s="30"/>
      <c r="BS15" s="29"/>
      <c r="BT15" s="32"/>
      <c r="BU15" s="33"/>
      <c r="BV15" s="34"/>
      <c r="BW15" s="34"/>
      <c r="BX15" s="592"/>
      <c r="BY15" s="29">
        <f>1500+2000+2500+1000+1500</f>
        <v>8500</v>
      </c>
      <c r="BZ15" s="32">
        <f>11.5+10.8+11+9.8+10.5</f>
        <v>53.599999999999994</v>
      </c>
      <c r="CA15" s="33">
        <v>5</v>
      </c>
      <c r="CB15" s="34">
        <f t="shared" ref="CB15" si="297">BY15/BZ15</f>
        <v>158.58208955223881</v>
      </c>
      <c r="CC15" s="34">
        <f t="shared" ref="CC15" si="298">BZ15/CA15</f>
        <v>10.719999999999999</v>
      </c>
      <c r="CD15" s="592"/>
      <c r="CE15" s="29"/>
      <c r="CF15" s="32"/>
      <c r="CG15" s="33"/>
      <c r="CH15" s="34"/>
      <c r="CI15" s="34"/>
      <c r="CJ15" s="592"/>
      <c r="CK15" s="29"/>
      <c r="CL15" s="32"/>
      <c r="CM15" s="33"/>
      <c r="CN15" s="34"/>
      <c r="CO15" s="34"/>
      <c r="CP15" s="592"/>
      <c r="CQ15" s="29"/>
      <c r="CR15" s="32"/>
      <c r="CS15" s="33"/>
      <c r="CT15" s="34"/>
      <c r="CU15" s="34"/>
      <c r="CV15" s="592"/>
      <c r="CW15" s="29">
        <f>1500+2000+2500+1000+1500</f>
        <v>8500</v>
      </c>
      <c r="CX15" s="32">
        <f>11.5+10.8+11+9.8+10.5</f>
        <v>53.599999999999994</v>
      </c>
      <c r="CY15" s="33">
        <v>5</v>
      </c>
      <c r="CZ15" s="34">
        <f t="shared" si="240"/>
        <v>158.58208955223881</v>
      </c>
      <c r="DA15" s="34">
        <f t="shared" si="241"/>
        <v>10.719999999999999</v>
      </c>
      <c r="DB15" s="592"/>
      <c r="DC15" s="29">
        <f>1000+1000+1000+1000+1000</f>
        <v>5000</v>
      </c>
      <c r="DD15" s="32">
        <f>14.36+19.34+14.34+20.44+24.44</f>
        <v>92.92</v>
      </c>
      <c r="DE15" s="33">
        <v>5</v>
      </c>
      <c r="DF15" s="34">
        <f t="shared" si="242"/>
        <v>53.809728798966852</v>
      </c>
      <c r="DG15" s="34">
        <f t="shared" si="243"/>
        <v>18.584</v>
      </c>
      <c r="DH15" s="592"/>
      <c r="DI15" s="29">
        <v>4000</v>
      </c>
      <c r="DJ15" s="32">
        <v>18.559999999999999</v>
      </c>
      <c r="DK15" s="33">
        <v>3</v>
      </c>
      <c r="DL15" s="34">
        <f t="shared" si="244"/>
        <v>215.51724137931035</v>
      </c>
      <c r="DM15" s="34">
        <f t="shared" si="245"/>
        <v>6.1866666666666665</v>
      </c>
      <c r="DN15" s="592"/>
      <c r="DO15" s="29"/>
      <c r="DP15" s="32"/>
      <c r="DQ15" s="33"/>
      <c r="DR15" s="34"/>
      <c r="DS15" s="34"/>
      <c r="DT15" s="592"/>
      <c r="DU15" s="29"/>
      <c r="DV15" s="32"/>
      <c r="DW15" s="33"/>
      <c r="DX15" s="34"/>
      <c r="DY15" s="34"/>
      <c r="DZ15" s="592"/>
      <c r="EA15" s="29"/>
      <c r="EB15" s="32"/>
      <c r="EC15" s="33"/>
      <c r="ED15" s="34"/>
      <c r="EE15" s="34"/>
      <c r="EF15" s="592"/>
      <c r="EG15" s="29"/>
      <c r="EH15" s="32"/>
      <c r="EI15" s="33"/>
      <c r="EJ15" s="34"/>
      <c r="EK15" s="34"/>
      <c r="EL15" s="592"/>
      <c r="EM15" s="29"/>
      <c r="EN15" s="32"/>
      <c r="EO15" s="33"/>
      <c r="EP15" s="34"/>
      <c r="EQ15" s="34"/>
      <c r="ER15" s="30"/>
      <c r="ES15" s="29">
        <f>1500+2000+2500+1000+1500</f>
        <v>8500</v>
      </c>
      <c r="ET15" s="32">
        <f>11.5+10.8+11+9.8+10.5</f>
        <v>53.599999999999994</v>
      </c>
      <c r="EU15" s="33">
        <v>5</v>
      </c>
      <c r="EV15" s="34">
        <f t="shared" si="18"/>
        <v>158.58208955223881</v>
      </c>
      <c r="EW15" s="34">
        <f t="shared" si="18"/>
        <v>10.719999999999999</v>
      </c>
      <c r="EX15" s="30"/>
      <c r="EY15" s="35"/>
      <c r="EZ15" s="34"/>
      <c r="FA15" s="37"/>
      <c r="FB15" s="34"/>
      <c r="FC15" s="34"/>
      <c r="FE15" s="26">
        <v>5800</v>
      </c>
      <c r="FF15" s="27">
        <v>40.700000000000003</v>
      </c>
      <c r="FG15" s="28">
        <v>5</v>
      </c>
      <c r="FH15" s="38">
        <f t="shared" si="96"/>
        <v>142.50614250614251</v>
      </c>
      <c r="FI15" s="39">
        <f t="shared" si="96"/>
        <v>8.14</v>
      </c>
      <c r="FK15" s="27">
        <f>2000+2000+1500</f>
        <v>5500</v>
      </c>
      <c r="FL15" s="40">
        <f>11.52+10.82+7.91</f>
        <v>30.25</v>
      </c>
      <c r="FM15" s="27">
        <v>3</v>
      </c>
      <c r="FN15" s="40">
        <f t="shared" si="97"/>
        <v>181.81818181818181</v>
      </c>
      <c r="FO15" s="40">
        <f t="shared" si="97"/>
        <v>10.083333333333334</v>
      </c>
      <c r="FQ15" s="26">
        <f>1500+1500+1000+1500+1500</f>
        <v>7000</v>
      </c>
      <c r="FR15" s="40">
        <f>11.3+11.35+6.48+8.65+7.75</f>
        <v>45.53</v>
      </c>
      <c r="FS15" s="27">
        <f>5</f>
        <v>5</v>
      </c>
      <c r="FT15" s="40">
        <f t="shared" si="19"/>
        <v>153.74478365912586</v>
      </c>
      <c r="FU15" s="40">
        <f t="shared" si="19"/>
        <v>9.1059999999999999</v>
      </c>
      <c r="FW15" s="26">
        <f>800+1000+1000+1000+1000</f>
        <v>4800</v>
      </c>
      <c r="FX15" s="27">
        <f>6.24+6.54+6.6+7.17+6.9</f>
        <v>33.450000000000003</v>
      </c>
      <c r="FY15" s="27">
        <f>5</f>
        <v>5</v>
      </c>
      <c r="FZ15" s="40">
        <f t="shared" si="20"/>
        <v>143.49775784753362</v>
      </c>
      <c r="GA15" s="40">
        <f t="shared" si="20"/>
        <v>6.69</v>
      </c>
      <c r="GC15" s="26">
        <f>800+800+800+800+2000</f>
        <v>5200</v>
      </c>
      <c r="GD15" s="27">
        <f>9.66+6.01+5.58+5.43+12.22</f>
        <v>38.9</v>
      </c>
      <c r="GE15" s="27">
        <f>5</f>
        <v>5</v>
      </c>
      <c r="GF15" s="40">
        <f t="shared" si="21"/>
        <v>133.67609254498714</v>
      </c>
      <c r="GG15" s="40">
        <f t="shared" si="21"/>
        <v>7.7799999999999994</v>
      </c>
      <c r="GI15" s="26">
        <f>1500+1500+1500+1500+1000</f>
        <v>7000</v>
      </c>
      <c r="GJ15" s="27">
        <f>9.85+7.8+9.5+7.77+5.19</f>
        <v>40.11</v>
      </c>
      <c r="GK15" s="27">
        <f>5</f>
        <v>5</v>
      </c>
      <c r="GL15" s="40">
        <f t="shared" si="22"/>
        <v>174.52006980802793</v>
      </c>
      <c r="GM15" s="40">
        <f t="shared" si="22"/>
        <v>8.0220000000000002</v>
      </c>
      <c r="GO15" s="26">
        <f>2000+2000+2000+1500+1500</f>
        <v>9000</v>
      </c>
      <c r="GP15" s="40">
        <f>11.52+10.82+10.82+7.91+7.91</f>
        <v>48.97999999999999</v>
      </c>
      <c r="GQ15" s="27">
        <f>5</f>
        <v>5</v>
      </c>
      <c r="GR15" s="40">
        <f t="shared" si="98"/>
        <v>183.74846876276035</v>
      </c>
      <c r="GS15" s="40">
        <f t="shared" si="98"/>
        <v>9.7959999999999976</v>
      </c>
      <c r="GU15" s="95">
        <f>1000</f>
        <v>1000</v>
      </c>
      <c r="GV15" s="99">
        <f>7.46</f>
        <v>7.46</v>
      </c>
      <c r="GW15" s="100">
        <v>1</v>
      </c>
      <c r="GX15" s="101">
        <f t="shared" si="23"/>
        <v>134.04825737265415</v>
      </c>
      <c r="GY15" s="101">
        <f t="shared" si="23"/>
        <v>7.46</v>
      </c>
      <c r="GZ15" s="43"/>
      <c r="HA15" s="26">
        <f>2000+2000</f>
        <v>4000</v>
      </c>
      <c r="HB15" s="39">
        <f>10.05+8.55</f>
        <v>18.600000000000001</v>
      </c>
      <c r="HC15" s="28">
        <v>2</v>
      </c>
      <c r="HD15" s="105">
        <f t="shared" si="24"/>
        <v>215.05376344086019</v>
      </c>
      <c r="HE15" s="39">
        <f t="shared" si="24"/>
        <v>9.3000000000000007</v>
      </c>
      <c r="HG15" s="26">
        <f>2500+2500+2500</f>
        <v>7500</v>
      </c>
      <c r="HH15" s="40">
        <f>14.59+12.59+11.81</f>
        <v>38.99</v>
      </c>
      <c r="HI15" s="27">
        <f>3</f>
        <v>3</v>
      </c>
      <c r="HJ15" s="34">
        <f t="shared" si="25"/>
        <v>192.35701461913311</v>
      </c>
      <c r="HK15" s="34">
        <f t="shared" si="25"/>
        <v>12.996666666666668</v>
      </c>
      <c r="HM15" s="26"/>
      <c r="HN15" s="45"/>
      <c r="HO15" s="46"/>
      <c r="HP15" s="47"/>
      <c r="HQ15" s="47"/>
      <c r="HS15" s="26"/>
      <c r="HT15" s="45"/>
      <c r="HU15" s="46"/>
      <c r="HV15" s="48"/>
      <c r="HW15" s="48"/>
      <c r="HY15" s="45">
        <f>2000+2000+2000+2000</f>
        <v>8000</v>
      </c>
      <c r="HZ15" s="45">
        <f>8.63+8.08+9.39+7.61</f>
        <v>33.71</v>
      </c>
      <c r="IA15" s="45">
        <f>4</f>
        <v>4</v>
      </c>
      <c r="IB15" s="48">
        <f t="shared" si="141"/>
        <v>237.3183031741323</v>
      </c>
      <c r="IC15" s="48">
        <f t="shared" si="141"/>
        <v>8.4275000000000002</v>
      </c>
      <c r="IE15" s="45">
        <f>1000+1000+1000+1000+1000</f>
        <v>5000</v>
      </c>
      <c r="IF15" s="45">
        <f>7.57+8.74+8.42+7.98+8.93</f>
        <v>41.640000000000008</v>
      </c>
      <c r="IG15" s="45">
        <f>5</f>
        <v>5</v>
      </c>
      <c r="IH15" s="48">
        <f t="shared" si="27"/>
        <v>120.07684918347741</v>
      </c>
      <c r="II15" s="48">
        <f t="shared" si="27"/>
        <v>8.3280000000000012</v>
      </c>
      <c r="IK15" s="26">
        <f>1500+1500+1500+1500+1500</f>
        <v>7500</v>
      </c>
      <c r="IL15" s="40">
        <f>5.17+6.53+7.74+6.34+6.74</f>
        <v>32.519999999999996</v>
      </c>
      <c r="IM15" s="45">
        <f>5</f>
        <v>5</v>
      </c>
      <c r="IN15" s="48">
        <f t="shared" si="28"/>
        <v>230.62730627306277</v>
      </c>
      <c r="IO15" s="48">
        <f t="shared" si="28"/>
        <v>6.5039999999999996</v>
      </c>
      <c r="IQ15" s="26">
        <f>1000+1500</f>
        <v>2500</v>
      </c>
      <c r="IR15" s="40">
        <f>8.02+10.83</f>
        <v>18.850000000000001</v>
      </c>
      <c r="IS15" s="45">
        <v>2</v>
      </c>
      <c r="IT15" s="48">
        <f t="shared" si="248"/>
        <v>132.62599469496021</v>
      </c>
      <c r="IU15" s="48">
        <f t="shared" ref="IU15:IU18" si="299">IR15/IS15</f>
        <v>9.4250000000000007</v>
      </c>
      <c r="IW15" s="26">
        <f>1500+1500+1000+1300+1000</f>
        <v>6300</v>
      </c>
      <c r="IX15" s="40">
        <f>8.85+5.12+7.23+5.64+7.76</f>
        <v>34.6</v>
      </c>
      <c r="IY15" s="45">
        <v>5</v>
      </c>
      <c r="IZ15" s="46">
        <f t="shared" si="210"/>
        <v>182.08092485549133</v>
      </c>
      <c r="JA15" s="46">
        <f t="shared" si="211"/>
        <v>6.92</v>
      </c>
      <c r="JC15" s="26">
        <f>3000+3000+2500+2000+2000</f>
        <v>12500</v>
      </c>
      <c r="JD15" s="40">
        <f>11.5+16.32+17.8+11.6+10.8</f>
        <v>68.02000000000001</v>
      </c>
      <c r="JE15" s="45">
        <v>5</v>
      </c>
      <c r="JF15" s="46">
        <f t="shared" si="212"/>
        <v>183.76947956483386</v>
      </c>
      <c r="JG15" s="46">
        <f t="shared" si="213"/>
        <v>13.604000000000003</v>
      </c>
      <c r="JI15" s="26">
        <f>2000+2000+1500+500+1500</f>
        <v>7500</v>
      </c>
      <c r="JJ15" s="40">
        <f>9.84+9.64+8.32+8.06+8.44</f>
        <v>44.3</v>
      </c>
      <c r="JK15" s="45">
        <v>5</v>
      </c>
      <c r="JL15" s="46">
        <f t="shared" si="274"/>
        <v>169.30022573363433</v>
      </c>
      <c r="JM15" s="46">
        <f t="shared" si="275"/>
        <v>8.86</v>
      </c>
      <c r="JO15" s="26">
        <f>1500+1500+2000+2000+1500</f>
        <v>8500</v>
      </c>
      <c r="JP15" s="40">
        <f>8.95+8.51+9.56+9.72+8.3</f>
        <v>45.040000000000006</v>
      </c>
      <c r="JQ15" s="45">
        <v>5</v>
      </c>
      <c r="JR15" s="46">
        <f t="shared" si="214"/>
        <v>188.72113676731792</v>
      </c>
      <c r="JS15" s="46">
        <f t="shared" si="215"/>
        <v>9.0080000000000009</v>
      </c>
      <c r="JU15" s="26">
        <f>1500+1500+2000+2000+2000</f>
        <v>9000</v>
      </c>
      <c r="JV15" s="40">
        <f>7.95+12.81+13.48+11.02+9.62</f>
        <v>54.88</v>
      </c>
      <c r="JW15" s="45">
        <v>5</v>
      </c>
      <c r="JX15" s="46">
        <f t="shared" si="251"/>
        <v>163.9941690962099</v>
      </c>
      <c r="JY15" s="46">
        <f t="shared" si="252"/>
        <v>10.976000000000001</v>
      </c>
      <c r="KA15" s="26">
        <f>3000+2500+2500+3000+3500</f>
        <v>14500</v>
      </c>
      <c r="KB15" s="40">
        <f>18.71+18.23+17.67+19.98+23.21</f>
        <v>97.800000000000011</v>
      </c>
      <c r="KC15" s="45">
        <v>5</v>
      </c>
      <c r="KD15" s="46">
        <f t="shared" ref="KD15" si="300">KA15/KB15</f>
        <v>148.26175869120652</v>
      </c>
      <c r="KE15" s="46">
        <f t="shared" ref="KE15" si="301">KB15/KC15</f>
        <v>19.560000000000002</v>
      </c>
      <c r="KG15" s="26">
        <f>3000+3000</f>
        <v>6000</v>
      </c>
      <c r="KH15" s="40">
        <f>14.72+11.28</f>
        <v>26</v>
      </c>
      <c r="KI15" s="45">
        <v>2</v>
      </c>
      <c r="KJ15" s="46">
        <f t="shared" ref="KJ15" si="302">KG15/KH15</f>
        <v>230.76923076923077</v>
      </c>
      <c r="KK15" s="46">
        <f t="shared" ref="KK15" si="303">KH15/KI15</f>
        <v>13</v>
      </c>
      <c r="KM15" s="26"/>
      <c r="KN15" s="40"/>
      <c r="KO15" s="45"/>
      <c r="KP15" s="46" t="e">
        <f t="shared" ref="KP15:KQ15" si="304">KM15/KN15</f>
        <v>#DIV/0!</v>
      </c>
      <c r="KQ15" s="46" t="e">
        <f t="shared" si="304"/>
        <v>#DIV/0!</v>
      </c>
      <c r="KS15" s="26">
        <f>2000+2000+2000+2000+2000</f>
        <v>10000</v>
      </c>
      <c r="KT15" s="40">
        <f>12.7+12.25+13+12.98+12.57</f>
        <v>63.500000000000007</v>
      </c>
      <c r="KU15" s="45">
        <v>5</v>
      </c>
      <c r="KV15" s="46">
        <f t="shared" si="277"/>
        <v>157.4803149606299</v>
      </c>
      <c r="KW15" s="46">
        <f t="shared" ref="KW15" si="305">KT15/KU15</f>
        <v>12.700000000000001</v>
      </c>
      <c r="KY15" s="26"/>
      <c r="KZ15" s="40"/>
      <c r="LA15" s="45"/>
      <c r="LB15" s="46" t="e">
        <f t="shared" si="278"/>
        <v>#DIV/0!</v>
      </c>
      <c r="LC15" s="46" t="e">
        <f t="shared" ref="LC15" si="306">KZ15/LA15</f>
        <v>#DIV/0!</v>
      </c>
      <c r="LE15" s="26"/>
      <c r="LF15" s="40"/>
      <c r="LG15" s="45"/>
      <c r="LH15" s="46" t="e">
        <f t="shared" si="279"/>
        <v>#DIV/0!</v>
      </c>
      <c r="LI15" s="46" t="e">
        <f t="shared" ref="LI15" si="307">LF15/LG15</f>
        <v>#DIV/0!</v>
      </c>
      <c r="LK15" s="26"/>
      <c r="LL15" s="40"/>
      <c r="LM15" s="45"/>
      <c r="LN15" s="46" t="e">
        <f t="shared" si="280"/>
        <v>#DIV/0!</v>
      </c>
      <c r="LO15" s="46" t="e">
        <f t="shared" ref="LO15" si="308">LL15/LM15</f>
        <v>#DIV/0!</v>
      </c>
      <c r="LQ15" s="26"/>
      <c r="LR15" s="40"/>
      <c r="LS15" s="45"/>
      <c r="LT15" s="46" t="e">
        <f t="shared" si="281"/>
        <v>#DIV/0!</v>
      </c>
      <c r="LU15" s="46" t="e">
        <f t="shared" ref="LU15" si="309">LR15/LS15</f>
        <v>#DIV/0!</v>
      </c>
      <c r="LW15" s="26">
        <f>1500+1500+1000+1500+1000</f>
        <v>6500</v>
      </c>
      <c r="LX15" s="40">
        <f>7.15+7.27+5.57+5.99+6.02</f>
        <v>32</v>
      </c>
      <c r="LY15" s="45">
        <v>5</v>
      </c>
      <c r="LZ15" s="46">
        <f t="shared" si="282"/>
        <v>203.125</v>
      </c>
      <c r="MA15" s="46">
        <f t="shared" ref="MA15" si="310">LX15/LY15</f>
        <v>6.4</v>
      </c>
      <c r="MC15" s="26">
        <f>2000+2000+2000+2000+1000</f>
        <v>9000</v>
      </c>
      <c r="MD15" s="40">
        <f>7.58+6.86+9.51+7.37+6.27</f>
        <v>37.590000000000003</v>
      </c>
      <c r="ME15" s="45">
        <v>5</v>
      </c>
      <c r="MF15" s="46">
        <f t="shared" si="283"/>
        <v>239.42537909018353</v>
      </c>
      <c r="MG15" s="46">
        <f t="shared" ref="MG15" si="311">MD15/ME15</f>
        <v>7.5180000000000007</v>
      </c>
      <c r="MI15" s="26">
        <f>2500+3000+3000+2500+2500</f>
        <v>13500</v>
      </c>
      <c r="MJ15" s="40">
        <f>10.67+15.56+12.64+11.15+14.32</f>
        <v>64.34</v>
      </c>
      <c r="MK15" s="45">
        <v>5</v>
      </c>
      <c r="ML15" s="46">
        <f t="shared" si="284"/>
        <v>209.82281628846749</v>
      </c>
      <c r="MM15" s="46">
        <f t="shared" ref="MM15" si="312">MJ15/MK15</f>
        <v>12.868</v>
      </c>
      <c r="MO15" s="26"/>
      <c r="MP15" s="40"/>
      <c r="MQ15" s="45"/>
      <c r="MR15" s="46" t="e">
        <f t="shared" si="285"/>
        <v>#DIV/0!</v>
      </c>
      <c r="MS15" s="46" t="e">
        <f t="shared" ref="MS15" si="313">MP15/MQ15</f>
        <v>#DIV/0!</v>
      </c>
      <c r="MU15" s="26"/>
      <c r="MV15" s="40"/>
      <c r="MW15" s="45"/>
      <c r="MX15" s="46" t="e">
        <f t="shared" si="286"/>
        <v>#DIV/0!</v>
      </c>
      <c r="MY15" s="46" t="e">
        <f t="shared" ref="MY15" si="314">MV15/MW15</f>
        <v>#DIV/0!</v>
      </c>
      <c r="NA15" s="823">
        <f>2000+2000</f>
        <v>4000</v>
      </c>
      <c r="NB15" s="823">
        <f>8.25+8.22</f>
        <v>16.47</v>
      </c>
      <c r="NC15" s="823">
        <v>2</v>
      </c>
      <c r="ND15" s="46">
        <f t="shared" si="287"/>
        <v>242.86581663630847</v>
      </c>
      <c r="NE15" s="46">
        <f t="shared" ref="NE15" si="315">NB15/NC15</f>
        <v>8.2349999999999994</v>
      </c>
      <c r="NG15" s="823">
        <f>1300+2000+2500+2500+2000</f>
        <v>10300</v>
      </c>
      <c r="NH15" s="823">
        <f>7.15+6.2+11.6+11.17+14.01</f>
        <v>50.13</v>
      </c>
      <c r="NI15" s="823">
        <v>5</v>
      </c>
      <c r="NJ15" s="46">
        <f t="shared" si="288"/>
        <v>205.46578894873329</v>
      </c>
      <c r="NK15" s="46">
        <f t="shared" ref="NK15" si="316">NH15/NI15</f>
        <v>10.026</v>
      </c>
      <c r="NM15" s="823">
        <f>1500+1500+2500+2500+1500</f>
        <v>9500</v>
      </c>
      <c r="NN15" s="823">
        <f>10.37+10.39+10.96+13.38+10.63</f>
        <v>55.730000000000004</v>
      </c>
      <c r="NO15" s="823">
        <v>5</v>
      </c>
      <c r="NP15" s="46">
        <f t="shared" si="289"/>
        <v>170.46474071415753</v>
      </c>
      <c r="NQ15" s="46">
        <f t="shared" ref="NQ15" si="317">NN15/NO15</f>
        <v>11.146000000000001</v>
      </c>
      <c r="NS15" s="823">
        <f>1000+1000+1000+1000+1000</f>
        <v>5000</v>
      </c>
      <c r="NT15" s="823">
        <f>6.23+5.79+6.95+5.85+7.66</f>
        <v>32.480000000000004</v>
      </c>
      <c r="NU15" s="823">
        <v>5</v>
      </c>
      <c r="NV15" s="46">
        <f t="shared" si="290"/>
        <v>153.94088669950736</v>
      </c>
      <c r="NW15" s="46">
        <f t="shared" ref="NW15" si="318">NT15/NU15</f>
        <v>6.4960000000000004</v>
      </c>
      <c r="NY15" s="910">
        <f>1000+1000+1000+1000+1000</f>
        <v>5000</v>
      </c>
      <c r="NZ15" s="910">
        <f>5.57+4.55+4.06+5.45+4.87</f>
        <v>24.5</v>
      </c>
      <c r="OA15" s="910">
        <v>5</v>
      </c>
      <c r="OB15" s="46">
        <f t="shared" si="291"/>
        <v>204.08163265306123</v>
      </c>
      <c r="OC15" s="46">
        <f t="shared" ref="OC15" si="319">NZ15/OA15</f>
        <v>4.9000000000000004</v>
      </c>
      <c r="OE15" s="823">
        <f>1000+1000+1000+1000+1000</f>
        <v>5000</v>
      </c>
      <c r="OF15" s="823">
        <f>6.21+6.44+6.12+6.3+6.2</f>
        <v>31.27</v>
      </c>
      <c r="OG15" s="823">
        <v>5</v>
      </c>
      <c r="OH15" s="46">
        <f t="shared" si="292"/>
        <v>159.89766549408378</v>
      </c>
      <c r="OI15" s="46">
        <f t="shared" ref="OI15" si="320">OF15/OG15</f>
        <v>6.2539999999999996</v>
      </c>
    </row>
    <row r="16" spans="2:399" ht="15" thickBot="1">
      <c r="B16" s="14"/>
      <c r="C16" s="15"/>
      <c r="D16" s="18" t="s">
        <v>23</v>
      </c>
      <c r="E16" s="29"/>
      <c r="F16" s="32"/>
      <c r="G16" s="33"/>
      <c r="H16" s="34"/>
      <c r="I16" s="34"/>
      <c r="J16" s="30"/>
      <c r="K16" s="29"/>
      <c r="L16" s="32"/>
      <c r="M16" s="33"/>
      <c r="N16" s="34"/>
      <c r="O16" s="34"/>
      <c r="P16" s="30"/>
      <c r="Q16" s="29">
        <v>4600</v>
      </c>
      <c r="R16" s="32">
        <v>13.7</v>
      </c>
      <c r="S16" s="33">
        <v>5</v>
      </c>
      <c r="T16" s="34">
        <f t="shared" si="293"/>
        <v>335.76642335766422</v>
      </c>
      <c r="U16" s="34">
        <f t="shared" si="294"/>
        <v>2.7399999999999998</v>
      </c>
      <c r="V16" s="30"/>
      <c r="W16" s="29">
        <f>300+300+400+400+200</f>
        <v>1600</v>
      </c>
      <c r="X16" s="32">
        <f>0.79+0.64+1.72+1.04+1.74</f>
        <v>5.9300000000000006</v>
      </c>
      <c r="Y16" s="33">
        <v>5</v>
      </c>
      <c r="Z16" s="34">
        <f t="shared" ref="Z16" si="321">W16/X16</f>
        <v>269.81450252951095</v>
      </c>
      <c r="AA16" s="34">
        <f t="shared" ref="AA16" si="322">X16/Y16</f>
        <v>1.1860000000000002</v>
      </c>
      <c r="AB16" s="30"/>
      <c r="AC16" s="29">
        <f>800+1000+1200+700+1500</f>
        <v>5200</v>
      </c>
      <c r="AD16" s="32">
        <f>2.8+2.9+2.6+2.7+2.7</f>
        <v>13.7</v>
      </c>
      <c r="AE16" s="33">
        <v>5</v>
      </c>
      <c r="AF16" s="34">
        <f t="shared" ref="AF16" si="323">AC16/AD16</f>
        <v>379.56204379562047</v>
      </c>
      <c r="AG16" s="34">
        <f t="shared" ref="AG16" si="324">AD16/AE16</f>
        <v>2.7399999999999998</v>
      </c>
      <c r="AH16" s="30"/>
      <c r="AI16" s="29"/>
      <c r="AJ16" s="32"/>
      <c r="AK16" s="33"/>
      <c r="AL16" s="34"/>
      <c r="AM16" s="34"/>
      <c r="AN16" s="30"/>
      <c r="AO16" s="29"/>
      <c r="AP16" s="32"/>
      <c r="AQ16" s="33"/>
      <c r="AR16" s="34"/>
      <c r="AS16" s="34"/>
      <c r="AT16" s="30"/>
      <c r="AU16" s="29">
        <f>1000+2000+1500+800+3000</f>
        <v>8300</v>
      </c>
      <c r="AV16" s="32">
        <f>3.61+5.08+4.19+2.36+5.94</f>
        <v>21.18</v>
      </c>
      <c r="AW16" s="33">
        <v>5</v>
      </c>
      <c r="AX16" s="34">
        <f t="shared" ref="AX16" si="325">AU16/AV16</f>
        <v>391.87913125590183</v>
      </c>
      <c r="AY16" s="34">
        <f t="shared" ref="AY16" si="326">AV16/AW16</f>
        <v>4.2359999999999998</v>
      </c>
      <c r="AZ16" s="592"/>
      <c r="BA16" s="29">
        <f>1000+1000</f>
        <v>2000</v>
      </c>
      <c r="BB16" s="32">
        <f>2.81+3</f>
        <v>5.8100000000000005</v>
      </c>
      <c r="BC16" s="33">
        <v>2</v>
      </c>
      <c r="BD16" s="34">
        <f t="shared" si="230"/>
        <v>344.23407917383815</v>
      </c>
      <c r="BE16" s="34">
        <f t="shared" si="231"/>
        <v>2.9050000000000002</v>
      </c>
      <c r="BF16" s="592"/>
      <c r="BG16" s="29"/>
      <c r="BH16" s="32"/>
      <c r="BI16" s="33"/>
      <c r="BJ16" s="34"/>
      <c r="BK16" s="34"/>
      <c r="BL16" s="592"/>
      <c r="BM16" s="29"/>
      <c r="BN16" s="32"/>
      <c r="BO16" s="33"/>
      <c r="BP16" s="34"/>
      <c r="BQ16" s="34"/>
      <c r="BR16" s="30"/>
      <c r="BS16" s="29">
        <f>1000+1000+1500</f>
        <v>3500</v>
      </c>
      <c r="BT16" s="32">
        <f>3.71+4.3+6.54</f>
        <v>14.55</v>
      </c>
      <c r="BU16" s="33">
        <v>3</v>
      </c>
      <c r="BV16" s="34">
        <f t="shared" ref="BV16:BV17" si="327">BS16/BT16</f>
        <v>240.54982817869416</v>
      </c>
      <c r="BW16" s="34">
        <f t="shared" ref="BW16:BW17" si="328">BT16/BU16</f>
        <v>4.8500000000000005</v>
      </c>
      <c r="BX16" s="592"/>
      <c r="BY16" s="29"/>
      <c r="BZ16" s="32"/>
      <c r="CA16" s="33"/>
      <c r="CB16" s="34"/>
      <c r="CC16" s="34"/>
      <c r="CD16" s="592"/>
      <c r="CE16" s="29">
        <v>4500</v>
      </c>
      <c r="CF16" s="32">
        <v>13.28</v>
      </c>
      <c r="CG16" s="33">
        <v>5</v>
      </c>
      <c r="CH16" s="34">
        <f t="shared" ref="CH16" si="329">CE16/CF16</f>
        <v>338.85542168674698</v>
      </c>
      <c r="CI16" s="34">
        <f t="shared" ref="CI16" si="330">CF16/CG16</f>
        <v>2.6559999999999997</v>
      </c>
      <c r="CJ16" s="592"/>
      <c r="CK16" s="29">
        <f>800+600+800+1000+1200</f>
        <v>4400</v>
      </c>
      <c r="CL16" s="32">
        <f>3.11+3.06+3.026+4.32+5.16</f>
        <v>18.676000000000002</v>
      </c>
      <c r="CM16" s="33">
        <v>5</v>
      </c>
      <c r="CN16" s="34">
        <f t="shared" ref="CN16" si="331">CK16/CL16</f>
        <v>235.59648747055041</v>
      </c>
      <c r="CO16" s="34">
        <f t="shared" ref="CO16" si="332">CL16/CM16</f>
        <v>3.7352000000000003</v>
      </c>
      <c r="CP16" s="592"/>
      <c r="CQ16" s="29"/>
      <c r="CR16" s="32"/>
      <c r="CS16" s="33"/>
      <c r="CT16" s="34"/>
      <c r="CU16" s="34"/>
      <c r="CV16" s="592"/>
      <c r="CW16" s="29"/>
      <c r="CX16" s="32"/>
      <c r="CY16" s="33"/>
      <c r="CZ16" s="34"/>
      <c r="DA16" s="34"/>
      <c r="DB16" s="592"/>
      <c r="DC16" s="29">
        <f>500+700+800+1000+300</f>
        <v>3300</v>
      </c>
      <c r="DD16" s="32">
        <f>5.58+7.78+7.28+9.96+4.03</f>
        <v>34.630000000000003</v>
      </c>
      <c r="DE16" s="33">
        <v>5</v>
      </c>
      <c r="DF16" s="34">
        <f t="shared" ref="DF16" si="333">DC16/DD16</f>
        <v>95.293098469535082</v>
      </c>
      <c r="DG16" s="34">
        <f t="shared" ref="DG16" si="334">DD16/DE16</f>
        <v>6.9260000000000002</v>
      </c>
      <c r="DH16" s="592"/>
      <c r="DI16" s="29">
        <v>3900</v>
      </c>
      <c r="DJ16" s="32">
        <v>10.57</v>
      </c>
      <c r="DK16" s="33">
        <v>5</v>
      </c>
      <c r="DL16" s="34">
        <f t="shared" ref="DL16" si="335">DI16/DJ16</f>
        <v>368.96877956480603</v>
      </c>
      <c r="DM16" s="34">
        <f t="shared" ref="DM16" si="336">DJ16/DK16</f>
        <v>2.1139999999999999</v>
      </c>
      <c r="DN16" s="592"/>
      <c r="DO16" s="29">
        <v>4000</v>
      </c>
      <c r="DP16" s="32">
        <v>14.86</v>
      </c>
      <c r="DQ16" s="33">
        <v>5</v>
      </c>
      <c r="DR16" s="34">
        <f t="shared" ref="DR16" si="337">DO16/DP16</f>
        <v>269.17900403768505</v>
      </c>
      <c r="DS16" s="34">
        <f t="shared" ref="DS16" si="338">DP16/DQ16</f>
        <v>2.972</v>
      </c>
      <c r="DT16" s="592"/>
      <c r="DU16" s="29"/>
      <c r="DV16" s="32"/>
      <c r="DW16" s="33"/>
      <c r="DX16" s="34"/>
      <c r="DY16" s="34"/>
      <c r="DZ16" s="592"/>
      <c r="EA16" s="29"/>
      <c r="EB16" s="32"/>
      <c r="EC16" s="33"/>
      <c r="ED16" s="34"/>
      <c r="EE16" s="34"/>
      <c r="EF16" s="592"/>
      <c r="EG16" s="29"/>
      <c r="EH16" s="32"/>
      <c r="EI16" s="33"/>
      <c r="EJ16" s="34"/>
      <c r="EK16" s="34"/>
      <c r="EL16" s="592"/>
      <c r="EM16" s="29"/>
      <c r="EN16" s="32"/>
      <c r="EO16" s="33"/>
      <c r="EP16" s="34"/>
      <c r="EQ16" s="34"/>
      <c r="ER16" s="30"/>
      <c r="ES16" s="29"/>
      <c r="ET16" s="32"/>
      <c r="EU16" s="33"/>
      <c r="EV16" s="34"/>
      <c r="EW16" s="34"/>
      <c r="EX16" s="30"/>
      <c r="EY16" s="35">
        <v>4500</v>
      </c>
      <c r="EZ16" s="34">
        <v>13.28</v>
      </c>
      <c r="FA16" s="37">
        <v>5</v>
      </c>
      <c r="FB16" s="34">
        <f t="shared" si="118"/>
        <v>338.85542168674698</v>
      </c>
      <c r="FC16" s="34">
        <f t="shared" si="118"/>
        <v>2.6559999999999997</v>
      </c>
      <c r="FE16" s="26">
        <v>4600</v>
      </c>
      <c r="FF16" s="27">
        <v>13.7</v>
      </c>
      <c r="FG16" s="28">
        <v>5</v>
      </c>
      <c r="FH16" s="38">
        <f t="shared" si="96"/>
        <v>335.76642335766422</v>
      </c>
      <c r="FI16" s="39">
        <f t="shared" si="96"/>
        <v>2.7399999999999998</v>
      </c>
      <c r="FK16" s="27">
        <f>700+300+600+500+800</f>
        <v>2900</v>
      </c>
      <c r="FL16" s="40">
        <f>4.79+1.38+2.41+1.98+2.93</f>
        <v>13.49</v>
      </c>
      <c r="FM16" s="27">
        <f>5</f>
        <v>5</v>
      </c>
      <c r="FN16" s="40">
        <f t="shared" si="97"/>
        <v>214.97405485544849</v>
      </c>
      <c r="FO16" s="40">
        <f t="shared" si="97"/>
        <v>2.698</v>
      </c>
      <c r="FQ16" s="26">
        <f>800+600+400+300+300</f>
        <v>2400</v>
      </c>
      <c r="FR16" s="40">
        <f>3.8+2.25+2.8+1.92+0.98</f>
        <v>11.75</v>
      </c>
      <c r="FS16" s="27">
        <f>5</f>
        <v>5</v>
      </c>
      <c r="FT16" s="40">
        <f t="shared" si="19"/>
        <v>204.25531914893617</v>
      </c>
      <c r="FU16" s="40">
        <f t="shared" si="19"/>
        <v>2.35</v>
      </c>
      <c r="FW16" s="26">
        <f>800+500+600+700+300</f>
        <v>2900</v>
      </c>
      <c r="FX16" s="27">
        <f>2.3+2+2.59+1.97+1.3</f>
        <v>10.16</v>
      </c>
      <c r="FY16" s="27">
        <f>5</f>
        <v>5</v>
      </c>
      <c r="FZ16" s="40">
        <f t="shared" si="20"/>
        <v>285.43307086614175</v>
      </c>
      <c r="GA16" s="40">
        <f t="shared" si="20"/>
        <v>2.032</v>
      </c>
      <c r="GC16" s="26">
        <f>300+500+800+400+600</f>
        <v>2600</v>
      </c>
      <c r="GD16" s="27">
        <f>2.82+1.8+2.82+2.66+2.12</f>
        <v>12.219999999999999</v>
      </c>
      <c r="GE16" s="27">
        <f>5</f>
        <v>5</v>
      </c>
      <c r="GF16" s="40">
        <f t="shared" si="21"/>
        <v>212.76595744680853</v>
      </c>
      <c r="GG16" s="40">
        <f t="shared" si="21"/>
        <v>2.444</v>
      </c>
      <c r="GI16" s="26"/>
      <c r="GJ16" s="27"/>
      <c r="GK16" s="27"/>
      <c r="GL16" s="40"/>
      <c r="GM16" s="40"/>
      <c r="GO16" s="26">
        <f>1000+1200+1500+1000+500</f>
        <v>5200</v>
      </c>
      <c r="GP16" s="27">
        <f>3.33+3.7+3.9+3.33+1.98</f>
        <v>16.239999999999998</v>
      </c>
      <c r="GQ16" s="27">
        <f>5</f>
        <v>5</v>
      </c>
      <c r="GR16" s="40">
        <f t="shared" si="98"/>
        <v>320.19704433497537</v>
      </c>
      <c r="GS16" s="40">
        <f t="shared" si="98"/>
        <v>3.2479999999999998</v>
      </c>
      <c r="GU16" s="95"/>
      <c r="GV16" s="99"/>
      <c r="GW16" s="100"/>
      <c r="GX16" s="101"/>
      <c r="GY16" s="101"/>
      <c r="GZ16" s="43"/>
      <c r="HA16" s="26">
        <f>450+350+300+1000+800</f>
        <v>2900</v>
      </c>
      <c r="HB16" s="39">
        <f>1.45+1+0.6+2.8+2.6</f>
        <v>8.4499999999999993</v>
      </c>
      <c r="HC16" s="28">
        <v>5</v>
      </c>
      <c r="HD16" s="105">
        <f t="shared" si="24"/>
        <v>343.19526627218937</v>
      </c>
      <c r="HE16" s="39">
        <f t="shared" si="24"/>
        <v>1.69</v>
      </c>
      <c r="HG16" s="26">
        <f>500+500+700+500+600</f>
        <v>2800</v>
      </c>
      <c r="HH16" s="27">
        <v>8.6999999999999993</v>
      </c>
      <c r="HI16" s="27">
        <v>5</v>
      </c>
      <c r="HJ16" s="34">
        <f t="shared" si="25"/>
        <v>321.83908045977012</v>
      </c>
      <c r="HK16" s="34">
        <f t="shared" si="25"/>
        <v>1.7399999999999998</v>
      </c>
      <c r="HM16" s="26"/>
      <c r="HN16" s="45"/>
      <c r="HO16" s="46"/>
      <c r="HP16" s="47"/>
      <c r="HQ16" s="47"/>
      <c r="HS16" s="26"/>
      <c r="HT16" s="45"/>
      <c r="HU16" s="46"/>
      <c r="HV16" s="48"/>
      <c r="HW16" s="48"/>
      <c r="HY16" s="45">
        <f>600+600+500+1000+500</f>
        <v>3200</v>
      </c>
      <c r="HZ16" s="45">
        <f>3.06+3.06+1.48+4.11+1.48</f>
        <v>13.190000000000001</v>
      </c>
      <c r="IA16" s="45">
        <f>5</f>
        <v>5</v>
      </c>
      <c r="IB16" s="48">
        <f t="shared" si="141"/>
        <v>242.60803639120545</v>
      </c>
      <c r="IC16" s="48">
        <f t="shared" si="141"/>
        <v>2.6380000000000003</v>
      </c>
      <c r="IE16" s="45">
        <f>500+600+700+800+1000</f>
        <v>3600</v>
      </c>
      <c r="IF16" s="45">
        <f>2.01+2.56+2.72+2.53+3.3</f>
        <v>13.120000000000001</v>
      </c>
      <c r="IG16" s="45">
        <f>5</f>
        <v>5</v>
      </c>
      <c r="IH16" s="48">
        <f t="shared" si="27"/>
        <v>274.39024390243901</v>
      </c>
      <c r="II16" s="48">
        <f t="shared" si="27"/>
        <v>2.6240000000000001</v>
      </c>
      <c r="IK16" s="26">
        <f>700+800+1000+300+400</f>
        <v>3200</v>
      </c>
      <c r="IL16" s="45">
        <f>2.65+2.86+2.99+1.31+2.43</f>
        <v>12.24</v>
      </c>
      <c r="IM16" s="45">
        <f>5</f>
        <v>5</v>
      </c>
      <c r="IN16" s="48">
        <f t="shared" si="28"/>
        <v>261.43790849673201</v>
      </c>
      <c r="IO16" s="48">
        <f t="shared" si="28"/>
        <v>2.448</v>
      </c>
      <c r="IQ16" s="26">
        <f>400+800+300+1000+500</f>
        <v>3000</v>
      </c>
      <c r="IR16" s="45">
        <f>1.79+3.47+1.38+3.08+3.18</f>
        <v>12.899999999999999</v>
      </c>
      <c r="IS16" s="45">
        <v>5</v>
      </c>
      <c r="IT16" s="48">
        <f t="shared" si="248"/>
        <v>232.55813953488374</v>
      </c>
      <c r="IU16" s="48">
        <f t="shared" si="299"/>
        <v>2.5799999999999996</v>
      </c>
      <c r="IW16" s="26">
        <f>300+500+500+400+400</f>
        <v>2100</v>
      </c>
      <c r="IX16" s="45">
        <f>1.65+2.68+1.95+4.7+4.68</f>
        <v>15.66</v>
      </c>
      <c r="IY16" s="45">
        <v>5</v>
      </c>
      <c r="IZ16" s="46">
        <f t="shared" si="210"/>
        <v>134.09961685823754</v>
      </c>
      <c r="JA16" s="46">
        <f t="shared" si="211"/>
        <v>3.1320000000000001</v>
      </c>
      <c r="JC16" s="26">
        <f>400+500+600+1000+800</f>
        <v>3300</v>
      </c>
      <c r="JD16" s="45">
        <f>1.75+2.57+2.68+3.83+4.45</f>
        <v>15.280000000000001</v>
      </c>
      <c r="JE16" s="45">
        <v>5</v>
      </c>
      <c r="JF16" s="46">
        <f t="shared" si="212"/>
        <v>215.96858638743453</v>
      </c>
      <c r="JG16" s="46">
        <f t="shared" si="213"/>
        <v>3.056</v>
      </c>
      <c r="JI16" s="26"/>
      <c r="JJ16" s="45"/>
      <c r="JK16" s="45"/>
      <c r="JL16" s="46"/>
      <c r="JM16" s="46"/>
      <c r="JO16" s="26"/>
      <c r="JP16" s="45"/>
      <c r="JQ16" s="45"/>
      <c r="JR16" s="46"/>
      <c r="JS16" s="46"/>
      <c r="JU16" s="26"/>
      <c r="JV16" s="45"/>
      <c r="JW16" s="45"/>
      <c r="JX16" s="46"/>
      <c r="JY16" s="46"/>
      <c r="KA16" s="26"/>
      <c r="KB16" s="45"/>
      <c r="KC16" s="45"/>
      <c r="KD16" s="46"/>
      <c r="KE16" s="46"/>
      <c r="KG16" s="26">
        <f>1000+800+1200+1500+1500</f>
        <v>6000</v>
      </c>
      <c r="KH16" s="45">
        <f>3.2+3.3+4.51+2.12+6.96</f>
        <v>20.09</v>
      </c>
      <c r="KI16" s="45">
        <v>5</v>
      </c>
      <c r="KJ16" s="46">
        <f>KG16/KH16</f>
        <v>298.65604778496765</v>
      </c>
      <c r="KK16" s="46">
        <f>KH16/KI16</f>
        <v>4.0179999999999998</v>
      </c>
      <c r="KM16" s="26"/>
      <c r="KN16" s="45"/>
      <c r="KO16" s="45"/>
      <c r="KP16" s="46" t="e">
        <f>KM16/KN16</f>
        <v>#DIV/0!</v>
      </c>
      <c r="KQ16" s="46" t="e">
        <f>KN16/KO16</f>
        <v>#DIV/0!</v>
      </c>
      <c r="KS16" s="26">
        <f>1500+1000+800+700+500</f>
        <v>4500</v>
      </c>
      <c r="KT16" s="45">
        <f>10.6+8.6+7.2+6.98+3.45</f>
        <v>36.83</v>
      </c>
      <c r="KU16" s="45">
        <v>5</v>
      </c>
      <c r="KV16" s="46">
        <f>KS16/KT16</f>
        <v>122.18300298669564</v>
      </c>
      <c r="KW16" s="46">
        <f>KT16/KU16</f>
        <v>7.3659999999999997</v>
      </c>
      <c r="KY16" s="26"/>
      <c r="KZ16" s="45"/>
      <c r="LA16" s="45"/>
      <c r="LB16" s="46" t="e">
        <f>KY16/KZ16</f>
        <v>#DIV/0!</v>
      </c>
      <c r="LC16" s="46" t="e">
        <f>KZ16/LA16</f>
        <v>#DIV/0!</v>
      </c>
      <c r="LE16" s="26"/>
      <c r="LF16" s="45"/>
      <c r="LG16" s="45"/>
      <c r="LH16" s="46" t="e">
        <f>LE16/LF16</f>
        <v>#DIV/0!</v>
      </c>
      <c r="LI16" s="46" t="e">
        <f>LF16/LG16</f>
        <v>#DIV/0!</v>
      </c>
      <c r="LK16" s="26"/>
      <c r="LL16" s="45"/>
      <c r="LM16" s="45"/>
      <c r="LN16" s="46" t="e">
        <f>LK16/LL16</f>
        <v>#DIV/0!</v>
      </c>
      <c r="LO16" s="46" t="e">
        <f>LL16/LM16</f>
        <v>#DIV/0!</v>
      </c>
      <c r="LQ16" s="26">
        <f>600+600+600+500+500</f>
        <v>2800</v>
      </c>
      <c r="LR16" s="45">
        <f>1.9+1.95+1.72+2.37+2.37</f>
        <v>10.309999999999999</v>
      </c>
      <c r="LS16" s="45">
        <v>5</v>
      </c>
      <c r="LT16" s="46">
        <f>LQ16/LR16</f>
        <v>271.58098933074689</v>
      </c>
      <c r="LU16" s="46">
        <f>LR16/LS16</f>
        <v>2.0619999999999998</v>
      </c>
      <c r="LW16" s="26"/>
      <c r="LX16" s="45"/>
      <c r="LY16" s="45"/>
      <c r="LZ16" s="46" t="e">
        <f>LW16/LX16</f>
        <v>#DIV/0!</v>
      </c>
      <c r="MA16" s="46" t="e">
        <f>LX16/LY16</f>
        <v>#DIV/0!</v>
      </c>
      <c r="MC16" s="26">
        <f>700+300+700+500+600</f>
        <v>2800</v>
      </c>
      <c r="MD16" s="45">
        <f>2.33+1.36+2.5+2.19+1.6</f>
        <v>9.98</v>
      </c>
      <c r="ME16" s="45">
        <v>5</v>
      </c>
      <c r="MF16" s="46">
        <f>MC16/MD16</f>
        <v>280.56112224448896</v>
      </c>
      <c r="MG16" s="46">
        <f>MD16/ME16</f>
        <v>1.996</v>
      </c>
      <c r="MI16" s="26"/>
      <c r="MJ16" s="45"/>
      <c r="MK16" s="45"/>
      <c r="ML16" s="46" t="e">
        <f>MI16/MJ16</f>
        <v>#DIV/0!</v>
      </c>
      <c r="MM16" s="46" t="e">
        <f>MJ16/MK16</f>
        <v>#DIV/0!</v>
      </c>
      <c r="MO16" s="26"/>
      <c r="MP16" s="45"/>
      <c r="MQ16" s="45"/>
      <c r="MR16" s="46" t="e">
        <f>MO16/MP16</f>
        <v>#DIV/0!</v>
      </c>
      <c r="MS16" s="46" t="e">
        <f>MP16/MQ16</f>
        <v>#DIV/0!</v>
      </c>
      <c r="MU16" s="26"/>
      <c r="MV16" s="45"/>
      <c r="MW16" s="45"/>
      <c r="MX16" s="46" t="e">
        <f>MU16/MV16</f>
        <v>#DIV/0!</v>
      </c>
      <c r="MY16" s="46" t="e">
        <f>MV16/MW16</f>
        <v>#DIV/0!</v>
      </c>
      <c r="NA16" s="823">
        <f>400+400+400+1500+1500</f>
        <v>4200</v>
      </c>
      <c r="NB16" s="823">
        <f>1.58+1.36+2.28</f>
        <v>5.2200000000000006</v>
      </c>
      <c r="NC16" s="823">
        <v>3</v>
      </c>
      <c r="ND16" s="46">
        <f>NA16/NB16</f>
        <v>804.59770114942523</v>
      </c>
      <c r="NE16" s="46">
        <f>NB16/NC16</f>
        <v>1.7400000000000002</v>
      </c>
      <c r="NG16" s="884">
        <f>1000+2000+1000+500+1500</f>
        <v>6000</v>
      </c>
      <c r="NH16" s="884">
        <f>2.08+4.38+2.03+1.58+3.26</f>
        <v>13.33</v>
      </c>
      <c r="NI16" s="884">
        <v>5</v>
      </c>
      <c r="NJ16" s="885">
        <f>NG16/NH16</f>
        <v>450.11252813203299</v>
      </c>
      <c r="NK16" s="46">
        <f>NH16/NI16</f>
        <v>2.6659999999999999</v>
      </c>
      <c r="NM16" s="823"/>
      <c r="NN16" s="823"/>
      <c r="NO16" s="823"/>
      <c r="NP16" s="46" t="e">
        <f>NM16/NN16</f>
        <v>#DIV/0!</v>
      </c>
      <c r="NQ16" s="46" t="e">
        <f>NN16/NO16</f>
        <v>#DIV/0!</v>
      </c>
      <c r="NS16" s="823">
        <f>300+700+500+600+300</f>
        <v>2400</v>
      </c>
      <c r="NT16" s="823">
        <f>1.57+3.27+2.24+3.1+1.52</f>
        <v>11.7</v>
      </c>
      <c r="NU16" s="823">
        <v>5</v>
      </c>
      <c r="NV16" s="46">
        <f>NS16/NT16</f>
        <v>205.12820512820514</v>
      </c>
      <c r="NW16" s="46">
        <f>NT16/NU16</f>
        <v>2.34</v>
      </c>
      <c r="NY16" s="910">
        <f>150+150+300+300+700</f>
        <v>1600</v>
      </c>
      <c r="NZ16" s="910">
        <f>1.45+2.12+2.26+2.3+4.6</f>
        <v>12.729999999999999</v>
      </c>
      <c r="OA16" s="910">
        <v>5</v>
      </c>
      <c r="OB16" s="46">
        <f>NY16/NZ16</f>
        <v>125.68735271013355</v>
      </c>
      <c r="OC16" s="46">
        <f>NZ16/OA16</f>
        <v>2.5459999999999998</v>
      </c>
      <c r="OE16" s="823"/>
      <c r="OF16" s="823"/>
      <c r="OG16" s="823"/>
      <c r="OH16" s="46" t="e">
        <f>OE16/OF16</f>
        <v>#DIV/0!</v>
      </c>
      <c r="OI16" s="46" t="e">
        <f>OF16/OG16</f>
        <v>#DIV/0!</v>
      </c>
    </row>
    <row r="17" spans="1:399">
      <c r="B17" s="109" t="s">
        <v>24</v>
      </c>
      <c r="C17" s="16" t="s">
        <v>25</v>
      </c>
      <c r="D17" s="10" t="s">
        <v>26</v>
      </c>
      <c r="E17" s="29">
        <f>250+400+300+350+200</f>
        <v>1500</v>
      </c>
      <c r="F17" s="32">
        <f>1.65+3.33+2.46+3.05+1.48</f>
        <v>11.97</v>
      </c>
      <c r="G17" s="33">
        <v>5</v>
      </c>
      <c r="H17" s="34">
        <f t="shared" ref="H17" si="339">E17/F17</f>
        <v>125.31328320802004</v>
      </c>
      <c r="I17" s="34">
        <f t="shared" ref="I17" si="340">F17/G17</f>
        <v>2.3940000000000001</v>
      </c>
      <c r="J17" s="30"/>
      <c r="K17" s="29">
        <f>2500+2000+500+1000+800</f>
        <v>6800</v>
      </c>
      <c r="L17" s="32">
        <f>20+18+10+12+10.4</f>
        <v>70.400000000000006</v>
      </c>
      <c r="M17" s="33">
        <v>5</v>
      </c>
      <c r="N17" s="34">
        <f t="shared" ref="N17" si="341">K17/L17</f>
        <v>96.590909090909079</v>
      </c>
      <c r="O17" s="34">
        <f t="shared" ref="O17" si="342">L17/M17</f>
        <v>14.080000000000002</v>
      </c>
      <c r="P17" s="30"/>
      <c r="Q17" s="29"/>
      <c r="R17" s="32"/>
      <c r="S17" s="33"/>
      <c r="T17" s="34"/>
      <c r="U17" s="34"/>
      <c r="V17" s="30"/>
      <c r="W17" s="29">
        <f>1000+2000+2000+1000+1500</f>
        <v>7500</v>
      </c>
      <c r="X17" s="32">
        <f>18+22+23+19+12</f>
        <v>94</v>
      </c>
      <c r="Y17" s="33">
        <v>5</v>
      </c>
      <c r="Z17" s="34">
        <f t="shared" ref="Z17" si="343">W17/X17</f>
        <v>79.787234042553195</v>
      </c>
      <c r="AA17" s="34">
        <f t="shared" ref="AA17" si="344">X17/Y17</f>
        <v>18.8</v>
      </c>
      <c r="AB17" s="30"/>
      <c r="AC17" s="29"/>
      <c r="AD17" s="32"/>
      <c r="AE17" s="33"/>
      <c r="AF17" s="34"/>
      <c r="AG17" s="34"/>
      <c r="AH17" s="30"/>
      <c r="AI17" s="29"/>
      <c r="AJ17" s="32"/>
      <c r="AK17" s="33"/>
      <c r="AL17" s="34"/>
      <c r="AM17" s="34"/>
      <c r="AN17" s="30"/>
      <c r="AO17" s="29">
        <f>2000+4000+1000+3000+1500</f>
        <v>11500</v>
      </c>
      <c r="AP17" s="32">
        <f>11+12+8+13+9</f>
        <v>53</v>
      </c>
      <c r="AQ17" s="33">
        <v>5</v>
      </c>
      <c r="AR17" s="34">
        <f t="shared" ref="AR17" si="345">AO17/AP17</f>
        <v>216.98113207547169</v>
      </c>
      <c r="AS17" s="34">
        <f t="shared" ref="AS17" si="346">AP17/AQ17</f>
        <v>10.6</v>
      </c>
      <c r="AT17" s="30"/>
      <c r="AU17" s="29">
        <f>900+600+600+700+800</f>
        <v>3600</v>
      </c>
      <c r="AV17" s="32">
        <f>8.83+6.64+8.24+7.09+7.97</f>
        <v>38.770000000000003</v>
      </c>
      <c r="AW17" s="33">
        <v>5</v>
      </c>
      <c r="AX17" s="34">
        <f t="shared" ref="AX17:AX18" si="347">AU17/AV17</f>
        <v>92.855300490069638</v>
      </c>
      <c r="AY17" s="34">
        <f t="shared" ref="AY17:AY18" si="348">AV17/AW17</f>
        <v>7.7540000000000004</v>
      </c>
      <c r="AZ17" s="592"/>
      <c r="BA17" s="29">
        <f>400+400+300+200+200</f>
        <v>1500</v>
      </c>
      <c r="BB17" s="32">
        <f>4.85+5.15+3.57+2.34+2.44</f>
        <v>18.350000000000001</v>
      </c>
      <c r="BC17" s="33">
        <v>5</v>
      </c>
      <c r="BD17" s="34">
        <f t="shared" si="230"/>
        <v>81.743869209809262</v>
      </c>
      <c r="BE17" s="34">
        <f t="shared" si="231"/>
        <v>3.6700000000000004</v>
      </c>
      <c r="BF17" s="592"/>
      <c r="BG17" s="29"/>
      <c r="BH17" s="32"/>
      <c r="BI17" s="33"/>
      <c r="BJ17" s="34"/>
      <c r="BK17" s="34"/>
      <c r="BL17" s="592"/>
      <c r="BM17" s="29"/>
      <c r="BN17" s="32"/>
      <c r="BO17" s="33"/>
      <c r="BP17" s="34"/>
      <c r="BQ17" s="34"/>
      <c r="BR17" s="30"/>
      <c r="BS17" s="29">
        <f>300+300+500+600+300</f>
        <v>2000</v>
      </c>
      <c r="BT17" s="32">
        <f>5.3+4.67+6.11+8.1+5.23</f>
        <v>29.41</v>
      </c>
      <c r="BU17" s="33">
        <v>5</v>
      </c>
      <c r="BV17" s="34">
        <f t="shared" si="327"/>
        <v>68.004080244814688</v>
      </c>
      <c r="BW17" s="34">
        <f t="shared" si="328"/>
        <v>5.8819999999999997</v>
      </c>
      <c r="BX17" s="592"/>
      <c r="BY17" s="29">
        <f>1500+2000+2500+1800+1000</f>
        <v>8800</v>
      </c>
      <c r="BZ17" s="32">
        <f>11.5+12.5+13.8+11.4+12.8</f>
        <v>62</v>
      </c>
      <c r="CA17" s="33">
        <v>5</v>
      </c>
      <c r="CB17" s="34">
        <f t="shared" ref="CB17" si="349">BY17/BZ17</f>
        <v>141.93548387096774</v>
      </c>
      <c r="CC17" s="34">
        <f t="shared" ref="CC17" si="350">BZ17/CA17</f>
        <v>12.4</v>
      </c>
      <c r="CD17" s="592"/>
      <c r="CE17" s="29">
        <v>2700</v>
      </c>
      <c r="CF17" s="32">
        <v>44</v>
      </c>
      <c r="CG17" s="33">
        <v>5</v>
      </c>
      <c r="CH17" s="34">
        <f t="shared" ref="CH17:CH18" si="351">CE17/CF17</f>
        <v>61.363636363636367</v>
      </c>
      <c r="CI17" s="34">
        <f t="shared" ref="CI17:CI18" si="352">CF17/CG17</f>
        <v>8.8000000000000007</v>
      </c>
      <c r="CJ17" s="592"/>
      <c r="CK17" s="29">
        <f>300+500+600+400+600</f>
        <v>2400</v>
      </c>
      <c r="CL17" s="32">
        <f>5.22+8.73+12.51+9.26+9.68</f>
        <v>45.4</v>
      </c>
      <c r="CM17" s="33">
        <v>5</v>
      </c>
      <c r="CN17" s="34">
        <f t="shared" ref="CN17:CN18" si="353">CK17/CL17</f>
        <v>52.863436123348016</v>
      </c>
      <c r="CO17" s="34">
        <f t="shared" ref="CO17:CO18" si="354">CL17/CM17</f>
        <v>9.08</v>
      </c>
      <c r="CP17" s="592"/>
      <c r="CQ17" s="29"/>
      <c r="CR17" s="32"/>
      <c r="CS17" s="33"/>
      <c r="CT17" s="34"/>
      <c r="CU17" s="34"/>
      <c r="CV17" s="592"/>
      <c r="CW17" s="29">
        <f>1500+2000+2500+1800+1000</f>
        <v>8800</v>
      </c>
      <c r="CX17" s="32">
        <f>11.5+12.5+13.8+11.4+12.8</f>
        <v>62</v>
      </c>
      <c r="CY17" s="33">
        <v>5</v>
      </c>
      <c r="CZ17" s="34">
        <f t="shared" ref="CZ17:CZ18" si="355">CW17/CX17</f>
        <v>141.93548387096774</v>
      </c>
      <c r="DA17" s="34">
        <f t="shared" ref="DA17:DA18" si="356">CX17/CY17</f>
        <v>12.4</v>
      </c>
      <c r="DB17" s="592"/>
      <c r="DC17" s="29">
        <f>1000+1000+1000+500+600</f>
        <v>4100</v>
      </c>
      <c r="DD17" s="32">
        <f>30.24+31.44+26.59+60.98+10.76</f>
        <v>160.01</v>
      </c>
      <c r="DE17" s="33">
        <v>5</v>
      </c>
      <c r="DF17" s="34">
        <f t="shared" ref="DF17:DF18" si="357">DC17/DD17</f>
        <v>25.623398537591402</v>
      </c>
      <c r="DG17" s="34">
        <f t="shared" ref="DG17:DG18" si="358">DD17/DE17</f>
        <v>32.001999999999995</v>
      </c>
      <c r="DH17" s="592"/>
      <c r="DI17" s="29">
        <v>3900</v>
      </c>
      <c r="DJ17" s="32">
        <v>38.81</v>
      </c>
      <c r="DK17" s="33">
        <v>5</v>
      </c>
      <c r="DL17" s="34">
        <f t="shared" ref="DL17:DL18" si="359">DI17/DJ17</f>
        <v>100.4895645452203</v>
      </c>
      <c r="DM17" s="34">
        <f t="shared" ref="DM17:DM18" si="360">DJ17/DK17</f>
        <v>7.7620000000000005</v>
      </c>
      <c r="DN17" s="592"/>
      <c r="DO17" s="29">
        <v>4700</v>
      </c>
      <c r="DP17" s="32">
        <v>34.6</v>
      </c>
      <c r="DQ17" s="33">
        <v>5</v>
      </c>
      <c r="DR17" s="34">
        <f t="shared" ref="DR17" si="361">DO17/DP17</f>
        <v>135.83815028901734</v>
      </c>
      <c r="DS17" s="34">
        <f t="shared" ref="DS17" si="362">DP17/DQ17</f>
        <v>6.92</v>
      </c>
      <c r="DT17" s="592"/>
      <c r="DU17" s="29"/>
      <c r="DV17" s="32"/>
      <c r="DW17" s="33"/>
      <c r="DX17" s="34"/>
      <c r="DY17" s="34"/>
      <c r="DZ17" s="592"/>
      <c r="EA17" s="29"/>
      <c r="EB17" s="32"/>
      <c r="EC17" s="33"/>
      <c r="ED17" s="34"/>
      <c r="EE17" s="34"/>
      <c r="EF17" s="592"/>
      <c r="EG17" s="29"/>
      <c r="EH17" s="32"/>
      <c r="EI17" s="33"/>
      <c r="EJ17" s="34"/>
      <c r="EK17" s="34"/>
      <c r="EL17" s="592"/>
      <c r="EM17" s="29"/>
      <c r="EN17" s="32"/>
      <c r="EO17" s="33"/>
      <c r="EP17" s="34"/>
      <c r="EQ17" s="34"/>
      <c r="ER17" s="30"/>
      <c r="ES17" s="29">
        <f>1500+2000+2500+1800+1000</f>
        <v>8800</v>
      </c>
      <c r="ET17" s="32">
        <f>11.5+12.5+13.8+11.4+12.8</f>
        <v>62</v>
      </c>
      <c r="EU17" s="33">
        <v>5</v>
      </c>
      <c r="EV17" s="34">
        <f t="shared" si="18"/>
        <v>141.93548387096774</v>
      </c>
      <c r="EW17" s="34">
        <f t="shared" si="18"/>
        <v>12.4</v>
      </c>
      <c r="EX17" s="30"/>
      <c r="EY17" s="35">
        <v>2700</v>
      </c>
      <c r="EZ17" s="34">
        <v>44</v>
      </c>
      <c r="FA17" s="37">
        <v>5</v>
      </c>
      <c r="FB17" s="34">
        <f t="shared" si="118"/>
        <v>61.363636363636367</v>
      </c>
      <c r="FC17" s="34">
        <f t="shared" si="118"/>
        <v>8.8000000000000007</v>
      </c>
      <c r="FE17" s="26"/>
      <c r="FF17" s="27"/>
      <c r="FG17" s="28"/>
      <c r="FH17" s="38"/>
      <c r="FI17" s="39"/>
      <c r="FK17" s="27">
        <f>400+800+500+500+500</f>
        <v>2700</v>
      </c>
      <c r="FL17" s="40">
        <f>7.63+12.38+6.12+6.75+6.96</f>
        <v>39.840000000000003</v>
      </c>
      <c r="FM17" s="27">
        <f>5</f>
        <v>5</v>
      </c>
      <c r="FN17" s="40">
        <f t="shared" si="97"/>
        <v>67.771084337349393</v>
      </c>
      <c r="FO17" s="40">
        <f t="shared" si="97"/>
        <v>7.9680000000000009</v>
      </c>
      <c r="FQ17" s="26">
        <f>500+300+400+500+600</f>
        <v>2300</v>
      </c>
      <c r="FR17" s="40">
        <f>7.76+5.11+9.21+7+9.63</f>
        <v>38.71</v>
      </c>
      <c r="FS17" s="27">
        <f>5</f>
        <v>5</v>
      </c>
      <c r="FT17" s="40">
        <f t="shared" si="19"/>
        <v>59.416171531903899</v>
      </c>
      <c r="FU17" s="40">
        <f t="shared" si="19"/>
        <v>7.742</v>
      </c>
      <c r="FW17" s="26">
        <f>700+300+300+500+600</f>
        <v>2400</v>
      </c>
      <c r="FX17" s="27">
        <f>16.43+5.19+4.21+9.13+11.2</f>
        <v>46.16</v>
      </c>
      <c r="FY17" s="27">
        <f>5</f>
        <v>5</v>
      </c>
      <c r="FZ17" s="40">
        <f t="shared" si="20"/>
        <v>51.99306759098787</v>
      </c>
      <c r="GA17" s="40">
        <f t="shared" si="20"/>
        <v>9.2319999999999993</v>
      </c>
      <c r="GC17" s="26">
        <f>2000+500+600+400+800</f>
        <v>4300</v>
      </c>
      <c r="GD17" s="27">
        <f>36.1+9.13+10.2+8.2+17.2</f>
        <v>80.830000000000013</v>
      </c>
      <c r="GE17" s="27">
        <f>5</f>
        <v>5</v>
      </c>
      <c r="GF17" s="40">
        <f t="shared" si="21"/>
        <v>53.198070023506119</v>
      </c>
      <c r="GG17" s="40">
        <f t="shared" si="21"/>
        <v>16.166000000000004</v>
      </c>
      <c r="GI17" s="26">
        <f>800+600+500+600+500</f>
        <v>3000</v>
      </c>
      <c r="GJ17" s="27">
        <f>13.67+9.47+6.85+7.11+6.38</f>
        <v>43.480000000000004</v>
      </c>
      <c r="GK17" s="27">
        <f>5</f>
        <v>5</v>
      </c>
      <c r="GL17" s="40">
        <f t="shared" si="22"/>
        <v>68.99724011039558</v>
      </c>
      <c r="GM17" s="40">
        <f t="shared" si="22"/>
        <v>8.6960000000000015</v>
      </c>
      <c r="GO17" s="26">
        <f>800+1500+1000+600+400</f>
        <v>4300</v>
      </c>
      <c r="GP17" s="40">
        <f>7+12.7+11.3+7.4+6.35</f>
        <v>44.75</v>
      </c>
      <c r="GQ17" s="27">
        <f>5</f>
        <v>5</v>
      </c>
      <c r="GR17" s="40">
        <f t="shared" si="98"/>
        <v>96.089385474860336</v>
      </c>
      <c r="GS17" s="40">
        <f t="shared" si="98"/>
        <v>8.9499999999999993</v>
      </c>
      <c r="GU17" s="95"/>
      <c r="GV17" s="99"/>
      <c r="GW17" s="100"/>
      <c r="GX17" s="101"/>
      <c r="GY17" s="101"/>
      <c r="GZ17" s="43"/>
      <c r="HA17" s="26">
        <f>500+500+500+400</f>
        <v>1900</v>
      </c>
      <c r="HB17" s="39">
        <f>1.6+1.7+2.05+1.02</f>
        <v>6.3699999999999992</v>
      </c>
      <c r="HC17" s="28">
        <v>4</v>
      </c>
      <c r="HD17" s="105">
        <f t="shared" si="24"/>
        <v>298.27315541601257</v>
      </c>
      <c r="HE17" s="39">
        <f t="shared" si="24"/>
        <v>1.5924999999999998</v>
      </c>
      <c r="HG17" s="26">
        <f>1000+800+500+600+1000</f>
        <v>3900</v>
      </c>
      <c r="HH17" s="40">
        <f>12.07+11.35+7.75+9.51+13.05</f>
        <v>53.730000000000004</v>
      </c>
      <c r="HI17" s="27">
        <f>5</f>
        <v>5</v>
      </c>
      <c r="HJ17" s="34">
        <f t="shared" si="25"/>
        <v>72.58514796203238</v>
      </c>
      <c r="HK17" s="34">
        <f t="shared" si="25"/>
        <v>10.746</v>
      </c>
      <c r="HM17" s="26">
        <f>250+400+300+350+200</f>
        <v>1500</v>
      </c>
      <c r="HN17" s="45">
        <f>1.65+3.33+2.46+3.05+1.48</f>
        <v>11.97</v>
      </c>
      <c r="HO17" s="46">
        <v>5</v>
      </c>
      <c r="HP17" s="47">
        <f t="shared" si="99"/>
        <v>125.31328320802004</v>
      </c>
      <c r="HQ17" s="47">
        <f t="shared" si="99"/>
        <v>2.3940000000000001</v>
      </c>
      <c r="HS17" s="26">
        <f>2500+2000+500+1000+800</f>
        <v>6800</v>
      </c>
      <c r="HT17" s="45">
        <f>20+18+10+12+10.4</f>
        <v>70.400000000000006</v>
      </c>
      <c r="HU17" s="46">
        <v>5</v>
      </c>
      <c r="HV17" s="48">
        <f t="shared" si="26"/>
        <v>96.590909090909079</v>
      </c>
      <c r="HW17" s="48">
        <f t="shared" si="26"/>
        <v>14.080000000000002</v>
      </c>
      <c r="HY17" s="45">
        <f>500+500+300+700+350</f>
        <v>2350</v>
      </c>
      <c r="HZ17" s="45">
        <f>5.65+7.52+4.2+6.71+5.52</f>
        <v>29.6</v>
      </c>
      <c r="IA17" s="45">
        <f>5</f>
        <v>5</v>
      </c>
      <c r="IB17" s="48">
        <f t="shared" si="141"/>
        <v>79.391891891891888</v>
      </c>
      <c r="IC17" s="48">
        <f t="shared" si="141"/>
        <v>5.92</v>
      </c>
      <c r="IE17" s="45">
        <f>400+600+300+500+150</f>
        <v>1950</v>
      </c>
      <c r="IF17" s="45">
        <f>6.1+10.38+5.93+7.79+2.57</f>
        <v>32.769999999999996</v>
      </c>
      <c r="IG17" s="45">
        <f>5</f>
        <v>5</v>
      </c>
      <c r="IH17" s="48">
        <f t="shared" si="27"/>
        <v>59.505645407384812</v>
      </c>
      <c r="II17" s="48">
        <f t="shared" si="27"/>
        <v>6.5539999999999994</v>
      </c>
      <c r="IK17" s="26">
        <f>200+500+500+700+400</f>
        <v>2300</v>
      </c>
      <c r="IL17" s="48">
        <f>6.15+8.7+7.95+10.22+6.61</f>
        <v>39.630000000000003</v>
      </c>
      <c r="IM17" s="45">
        <f>5</f>
        <v>5</v>
      </c>
      <c r="IN17" s="48">
        <f t="shared" si="28"/>
        <v>58.036840777188992</v>
      </c>
      <c r="IO17" s="48">
        <f t="shared" si="28"/>
        <v>7.9260000000000002</v>
      </c>
      <c r="IQ17" s="26">
        <f>600+500+500</f>
        <v>1600</v>
      </c>
      <c r="IR17" s="48">
        <f>5.74+3.57+5.53</f>
        <v>14.84</v>
      </c>
      <c r="IS17" s="45">
        <v>3</v>
      </c>
      <c r="IT17" s="48">
        <f t="shared" si="248"/>
        <v>107.81671159029649</v>
      </c>
      <c r="IU17" s="48">
        <f t="shared" si="299"/>
        <v>4.9466666666666663</v>
      </c>
      <c r="IW17" s="26">
        <f>700+600+200+500+300</f>
        <v>2300</v>
      </c>
      <c r="IX17" s="48">
        <f>8.85+9.79+3.53+7.68+6.5</f>
        <v>36.35</v>
      </c>
      <c r="IY17" s="45">
        <v>5</v>
      </c>
      <c r="IZ17" s="46">
        <f t="shared" si="210"/>
        <v>63.27372764786795</v>
      </c>
      <c r="JA17" s="46">
        <f t="shared" si="211"/>
        <v>7.2700000000000005</v>
      </c>
      <c r="JC17" s="26">
        <f>600+600+1300+600+700</f>
        <v>3800</v>
      </c>
      <c r="JD17" s="48">
        <f>10.6+8.69+14.2+10.02+10.02</f>
        <v>53.529999999999987</v>
      </c>
      <c r="JE17" s="45">
        <v>5</v>
      </c>
      <c r="JF17" s="46">
        <f t="shared" si="212"/>
        <v>70.988230898561568</v>
      </c>
      <c r="JG17" s="46">
        <f t="shared" si="213"/>
        <v>10.705999999999998</v>
      </c>
      <c r="JI17" s="26">
        <f>2000+500+500+400+600</f>
        <v>4000</v>
      </c>
      <c r="JJ17" s="48">
        <f>19.09+12.13+7.91+6.26+8.37</f>
        <v>53.759999999999991</v>
      </c>
      <c r="JK17" s="45">
        <v>5</v>
      </c>
      <c r="JL17" s="46">
        <f t="shared" si="274"/>
        <v>74.404761904761912</v>
      </c>
      <c r="JM17" s="46">
        <f t="shared" si="275"/>
        <v>10.751999999999999</v>
      </c>
      <c r="JO17" s="26">
        <f>900+1500+1000+1000+800</f>
        <v>5200</v>
      </c>
      <c r="JP17" s="48">
        <f>8.1+10.3+9.51+9.48+7.56</f>
        <v>44.95</v>
      </c>
      <c r="JQ17" s="45">
        <v>5</v>
      </c>
      <c r="JR17" s="46">
        <f t="shared" si="214"/>
        <v>115.68409343715238</v>
      </c>
      <c r="JS17" s="46">
        <f t="shared" si="215"/>
        <v>8.99</v>
      </c>
      <c r="JU17" s="26">
        <f>1200+1000+700+1000+2000</f>
        <v>5900</v>
      </c>
      <c r="JV17" s="48">
        <f>12.03+10.89+9.74+11.31+17.6</f>
        <v>61.570000000000007</v>
      </c>
      <c r="JW17" s="45">
        <v>5</v>
      </c>
      <c r="JX17" s="46">
        <f t="shared" ref="JX17:JX20" si="363">JU17/JV17</f>
        <v>95.825889231768713</v>
      </c>
      <c r="JY17" s="46">
        <f t="shared" ref="JY17:JY20" si="364">JV17/JW17</f>
        <v>12.314000000000002</v>
      </c>
      <c r="KA17" s="26">
        <f>1000+900+1200+800+700</f>
        <v>4600</v>
      </c>
      <c r="KB17" s="48">
        <f>6.1+5.81+7.98+9.21+6.24</f>
        <v>35.340000000000003</v>
      </c>
      <c r="KC17" s="45">
        <v>5</v>
      </c>
      <c r="KD17" s="46">
        <f t="shared" ref="KD17:KD20" si="365">KA17/KB17</f>
        <v>130.16411997736276</v>
      </c>
      <c r="KE17" s="46">
        <f t="shared" ref="KE17:KE20" si="366">KB17/KC17</f>
        <v>7.0680000000000005</v>
      </c>
      <c r="KG17" s="26">
        <f>300+400+500+700+1500</f>
        <v>3400</v>
      </c>
      <c r="KH17" s="48">
        <f>4.23+13.74+8+10.25+13.65</f>
        <v>49.87</v>
      </c>
      <c r="KI17" s="45">
        <v>5</v>
      </c>
      <c r="KJ17" s="46">
        <f t="shared" ref="KJ17:KJ20" si="367">KG17/KH17</f>
        <v>68.177260878283548</v>
      </c>
      <c r="KK17" s="46">
        <f t="shared" ref="KK17:KK20" si="368">KH17/KI17</f>
        <v>9.9740000000000002</v>
      </c>
      <c r="KM17" s="26">
        <f>500+600+600+700+500</f>
        <v>2900</v>
      </c>
      <c r="KN17" s="48">
        <f>5.84+7.69+8.39+10.35+5.32</f>
        <v>37.590000000000003</v>
      </c>
      <c r="KO17" s="45">
        <v>5</v>
      </c>
      <c r="KP17" s="46">
        <f t="shared" ref="KP17:KQ32" si="369">KM17/KN17</f>
        <v>77.148177706836918</v>
      </c>
      <c r="KQ17" s="46">
        <f>KN17/KO17</f>
        <v>7.5180000000000007</v>
      </c>
      <c r="KS17" s="26">
        <f>500+700+800+900+1000</f>
        <v>3900</v>
      </c>
      <c r="KT17" s="48">
        <f>8.33+9.7+9.98+10.7+10.3</f>
        <v>49.010000000000005</v>
      </c>
      <c r="KU17" s="45">
        <v>5</v>
      </c>
      <c r="KV17" s="46">
        <f t="shared" ref="KV17:KV51" si="370">KS17/KT17</f>
        <v>79.575596816976116</v>
      </c>
      <c r="KW17" s="46">
        <f>KT17/KU17</f>
        <v>9.8020000000000014</v>
      </c>
      <c r="KY17" s="26"/>
      <c r="KZ17" s="48"/>
      <c r="LA17" s="45"/>
      <c r="LB17" s="46" t="e">
        <f t="shared" ref="LB17:LB51" si="371">KY17/KZ17</f>
        <v>#DIV/0!</v>
      </c>
      <c r="LC17" s="46" t="e">
        <f>KZ17/LA17</f>
        <v>#DIV/0!</v>
      </c>
      <c r="LE17" s="26"/>
      <c r="LF17" s="48"/>
      <c r="LG17" s="45"/>
      <c r="LH17" s="46" t="e">
        <f t="shared" ref="LH17:LH51" si="372">LE17/LF17</f>
        <v>#DIV/0!</v>
      </c>
      <c r="LI17" s="46" t="e">
        <f>LF17/LG17</f>
        <v>#DIV/0!</v>
      </c>
      <c r="LK17" s="26">
        <f>1000+700</f>
        <v>1700</v>
      </c>
      <c r="LL17" s="48">
        <f>9.5+9.72</f>
        <v>19.22</v>
      </c>
      <c r="LM17" s="45">
        <v>2</v>
      </c>
      <c r="LN17" s="46">
        <f t="shared" ref="LN17:LN51" si="373">LK17/LL17</f>
        <v>88.449531737773157</v>
      </c>
      <c r="LO17" s="46">
        <f>LL17/LM17</f>
        <v>9.61</v>
      </c>
      <c r="LQ17" s="26"/>
      <c r="LR17" s="48"/>
      <c r="LS17" s="45"/>
      <c r="LT17" s="46" t="e">
        <f t="shared" ref="LT17:LT51" si="374">LQ17/LR17</f>
        <v>#DIV/0!</v>
      </c>
      <c r="LU17" s="46" t="e">
        <f>LR17/LS17</f>
        <v>#DIV/0!</v>
      </c>
      <c r="LW17" s="26">
        <f>600+700+800</f>
        <v>2100</v>
      </c>
      <c r="LX17" s="48">
        <f>3.76+6.23+8.21</f>
        <v>18.200000000000003</v>
      </c>
      <c r="LY17" s="45">
        <v>3</v>
      </c>
      <c r="LZ17" s="46">
        <f t="shared" ref="LZ17:LZ51" si="375">LW17/LX17</f>
        <v>115.38461538461537</v>
      </c>
      <c r="MA17" s="46">
        <f>LX17/LY17</f>
        <v>6.0666666666666673</v>
      </c>
      <c r="MC17" s="26">
        <f>1000+300+500+500+500</f>
        <v>2800</v>
      </c>
      <c r="MD17" s="48">
        <f>9.5+3.8+5.2+4.95+6.32</f>
        <v>29.77</v>
      </c>
      <c r="ME17" s="45">
        <v>5</v>
      </c>
      <c r="MF17" s="46">
        <f t="shared" ref="MF17:MF51" si="376">MC17/MD17</f>
        <v>94.054417198522003</v>
      </c>
      <c r="MG17" s="46">
        <f>MD17/ME17</f>
        <v>5.9539999999999997</v>
      </c>
      <c r="MI17" s="26">
        <f>500+1500+1000+800+1000</f>
        <v>4800</v>
      </c>
      <c r="MJ17" s="48">
        <f>9.06+12.17+14.38+13.18+12.22</f>
        <v>61.01</v>
      </c>
      <c r="MK17" s="45">
        <v>5</v>
      </c>
      <c r="ML17" s="46">
        <f t="shared" ref="ML17:ML51" si="377">MI17/MJ17</f>
        <v>78.675626946402232</v>
      </c>
      <c r="MM17" s="46">
        <f>MJ17/MK17</f>
        <v>12.202</v>
      </c>
      <c r="MO17" s="26"/>
      <c r="MP17" s="48"/>
      <c r="MQ17" s="45"/>
      <c r="MR17" s="46" t="e">
        <f t="shared" ref="MR17:MR51" si="378">MO17/MP17</f>
        <v>#DIV/0!</v>
      </c>
      <c r="MS17" s="46" t="e">
        <f>MP17/MQ17</f>
        <v>#DIV/0!</v>
      </c>
      <c r="MU17" s="26"/>
      <c r="MV17" s="48"/>
      <c r="MW17" s="45"/>
      <c r="MX17" s="46" t="e">
        <f t="shared" ref="MX17:MX51" si="379">MU17/MV17</f>
        <v>#DIV/0!</v>
      </c>
      <c r="MY17" s="46" t="e">
        <f>MV17/MW17</f>
        <v>#DIV/0!</v>
      </c>
      <c r="NA17" s="884">
        <f>1000+1200+700+500+500</f>
        <v>3900</v>
      </c>
      <c r="NB17" s="884">
        <f>13.93+13.66+11.4+11.6+10.35</f>
        <v>60.940000000000005</v>
      </c>
      <c r="NC17" s="884">
        <v>5</v>
      </c>
      <c r="ND17" s="885">
        <f t="shared" ref="ND17:ND51" si="380">NA17/NB17</f>
        <v>63.997374466688541</v>
      </c>
      <c r="NE17" s="885">
        <f>NB17/NC17</f>
        <v>12.188000000000001</v>
      </c>
      <c r="NG17" s="884">
        <f>500+1000+700+800+600</f>
        <v>3600</v>
      </c>
      <c r="NH17" s="884">
        <f>6.39+7.34+10.32+8.67+11.42</f>
        <v>44.14</v>
      </c>
      <c r="NI17" s="884">
        <v>5</v>
      </c>
      <c r="NJ17" s="885">
        <f t="shared" ref="NJ17:NJ51" si="381">NG17/NH17</f>
        <v>81.558676937018575</v>
      </c>
      <c r="NK17" s="46">
        <f>NH17/NI17</f>
        <v>8.8279999999999994</v>
      </c>
      <c r="NM17" s="823">
        <f>200+200+400+500+500</f>
        <v>1800</v>
      </c>
      <c r="NN17" s="823">
        <f>5.1+7.2+8.7+6.8+12.1</f>
        <v>39.9</v>
      </c>
      <c r="NO17" s="823">
        <v>5</v>
      </c>
      <c r="NP17" s="46">
        <f t="shared" ref="NP17:NP51" si="382">NM17/NN17</f>
        <v>45.112781954887218</v>
      </c>
      <c r="NQ17" s="46">
        <f>NN17/NO17</f>
        <v>7.9799999999999995</v>
      </c>
      <c r="NS17" s="823">
        <f>500+400+500+600+800</f>
        <v>2800</v>
      </c>
      <c r="NT17" s="823">
        <f>8.78+5.79+8.79+6.73+11.36</f>
        <v>41.45</v>
      </c>
      <c r="NU17" s="823">
        <v>5</v>
      </c>
      <c r="NV17" s="46">
        <f t="shared" ref="NV17:NV51" si="383">NS17/NT17</f>
        <v>67.551266586248488</v>
      </c>
      <c r="NW17" s="46">
        <f>NT17/NU17</f>
        <v>8.2900000000000009</v>
      </c>
      <c r="NY17" s="910">
        <f>300+500+300+300+500</f>
        <v>1900</v>
      </c>
      <c r="NZ17" s="910">
        <f>9.97+12.97+7.63+7.64+13.25</f>
        <v>51.46</v>
      </c>
      <c r="OA17" s="910">
        <v>5</v>
      </c>
      <c r="OB17" s="46">
        <f t="shared" ref="OB17:OB51" si="384">NY17/NZ17</f>
        <v>36.921881072677806</v>
      </c>
      <c r="OC17" s="46">
        <f>NZ17/OA17</f>
        <v>10.292</v>
      </c>
      <c r="OE17" s="823">
        <f>600+600+600+600+600</f>
        <v>3000</v>
      </c>
      <c r="OF17" s="823">
        <f>5.56+5.7+6.03+6.13+6.05</f>
        <v>29.47</v>
      </c>
      <c r="OG17" s="823">
        <v>5</v>
      </c>
      <c r="OH17" s="46">
        <f t="shared" ref="OH17:OH51" si="385">OE17/OF17</f>
        <v>101.79843909060061</v>
      </c>
      <c r="OI17" s="46">
        <f>OF17/OG17</f>
        <v>5.8940000000000001</v>
      </c>
    </row>
    <row r="18" spans="1:399">
      <c r="B18" s="11"/>
      <c r="C18" s="16"/>
      <c r="D18" s="13" t="s">
        <v>27</v>
      </c>
      <c r="E18" s="29"/>
      <c r="F18" s="32"/>
      <c r="G18" s="33"/>
      <c r="H18" s="34"/>
      <c r="I18" s="34"/>
      <c r="J18" s="30"/>
      <c r="K18" s="29"/>
      <c r="L18" s="32"/>
      <c r="M18" s="33"/>
      <c r="N18" s="34"/>
      <c r="O18" s="34"/>
      <c r="P18" s="30"/>
      <c r="Q18" s="29"/>
      <c r="R18" s="32"/>
      <c r="S18" s="33"/>
      <c r="T18" s="34"/>
      <c r="U18" s="34"/>
      <c r="V18" s="30"/>
      <c r="W18" s="29"/>
      <c r="X18" s="32"/>
      <c r="Y18" s="33"/>
      <c r="Z18" s="34"/>
      <c r="AA18" s="34"/>
      <c r="AB18" s="30"/>
      <c r="AC18" s="29"/>
      <c r="AD18" s="32"/>
      <c r="AE18" s="33"/>
      <c r="AF18" s="34"/>
      <c r="AG18" s="34"/>
      <c r="AH18" s="30"/>
      <c r="AI18" s="29"/>
      <c r="AJ18" s="32"/>
      <c r="AK18" s="33"/>
      <c r="AL18" s="34"/>
      <c r="AM18" s="34"/>
      <c r="AN18" s="30"/>
      <c r="AO18" s="29">
        <f>500+300+500+400+200</f>
        <v>1900</v>
      </c>
      <c r="AP18" s="32">
        <f>3.51+1.94+3.68+2.73+1.44</f>
        <v>13.299999999999999</v>
      </c>
      <c r="AQ18" s="33">
        <v>5</v>
      </c>
      <c r="AR18" s="34">
        <f t="shared" ref="AR18" si="386">AO18/AP18</f>
        <v>142.85714285714286</v>
      </c>
      <c r="AS18" s="34">
        <f t="shared" ref="AS18" si="387">AP18/AQ18</f>
        <v>2.6599999999999997</v>
      </c>
      <c r="AT18" s="30"/>
      <c r="AU18" s="29">
        <f>200+200+250+250+300</f>
        <v>1200</v>
      </c>
      <c r="AV18" s="32">
        <f>1.41+1.53+1.68+2.78+2.31</f>
        <v>9.7100000000000009</v>
      </c>
      <c r="AW18" s="33">
        <v>5</v>
      </c>
      <c r="AX18" s="34">
        <f t="shared" si="347"/>
        <v>123.58393408856847</v>
      </c>
      <c r="AY18" s="34">
        <f t="shared" si="348"/>
        <v>1.9420000000000002</v>
      </c>
      <c r="AZ18" s="592"/>
      <c r="BA18" s="29">
        <f>100+500+300+150+150</f>
        <v>1200</v>
      </c>
      <c r="BB18" s="32">
        <f>3.06+7.98+4.18+3.46+3.24</f>
        <v>21.92</v>
      </c>
      <c r="BC18" s="33">
        <v>5</v>
      </c>
      <c r="BD18" s="34">
        <f t="shared" si="230"/>
        <v>54.744525547445249</v>
      </c>
      <c r="BE18" s="34">
        <f t="shared" si="231"/>
        <v>4.3840000000000003</v>
      </c>
      <c r="BF18" s="592"/>
      <c r="BG18" s="29"/>
      <c r="BH18" s="32"/>
      <c r="BI18" s="33"/>
      <c r="BJ18" s="34"/>
      <c r="BK18" s="34"/>
      <c r="BL18" s="592"/>
      <c r="BM18" s="29"/>
      <c r="BN18" s="32"/>
      <c r="BO18" s="33"/>
      <c r="BP18" s="34"/>
      <c r="BQ18" s="34"/>
      <c r="BR18" s="30"/>
      <c r="BS18" s="29"/>
      <c r="BT18" s="32"/>
      <c r="BU18" s="33"/>
      <c r="BV18" s="34"/>
      <c r="BW18" s="34"/>
      <c r="BX18" s="592"/>
      <c r="BY18" s="29">
        <f>200+200+250+250+300</f>
        <v>1200</v>
      </c>
      <c r="BZ18" s="32">
        <f>1.5+1.8+2.2+2.3+1.7</f>
        <v>9.5</v>
      </c>
      <c r="CA18" s="33">
        <v>5</v>
      </c>
      <c r="CB18" s="34">
        <f t="shared" ref="CB18" si="388">BY18/BZ18</f>
        <v>126.31578947368421</v>
      </c>
      <c r="CC18" s="34">
        <f t="shared" ref="CC18" si="389">BZ18/CA18</f>
        <v>1.9</v>
      </c>
      <c r="CD18" s="592"/>
      <c r="CE18" s="29">
        <v>1700</v>
      </c>
      <c r="CF18" s="32">
        <v>14</v>
      </c>
      <c r="CG18" s="33">
        <v>5</v>
      </c>
      <c r="CH18" s="34">
        <f t="shared" si="351"/>
        <v>121.42857142857143</v>
      </c>
      <c r="CI18" s="34">
        <f t="shared" si="352"/>
        <v>2.8</v>
      </c>
      <c r="CJ18" s="592"/>
      <c r="CK18" s="29">
        <f>350+350+300+100+150</f>
        <v>1250</v>
      </c>
      <c r="CL18" s="32">
        <f>3.72+3.27+2.55+1.96+1.87</f>
        <v>13.370000000000001</v>
      </c>
      <c r="CM18" s="33">
        <v>5</v>
      </c>
      <c r="CN18" s="34">
        <f t="shared" si="353"/>
        <v>93.492894540014959</v>
      </c>
      <c r="CO18" s="34">
        <f t="shared" si="354"/>
        <v>2.6740000000000004</v>
      </c>
      <c r="CP18" s="592"/>
      <c r="CQ18" s="29"/>
      <c r="CR18" s="32"/>
      <c r="CS18" s="33"/>
      <c r="CT18" s="34"/>
      <c r="CU18" s="34"/>
      <c r="CV18" s="592"/>
      <c r="CW18" s="29">
        <f>200+200+250+250+300</f>
        <v>1200</v>
      </c>
      <c r="CX18" s="32">
        <f>1.5+1.8+2.2+2.3+1.7</f>
        <v>9.5</v>
      </c>
      <c r="CY18" s="33">
        <v>5</v>
      </c>
      <c r="CZ18" s="34">
        <f t="shared" si="355"/>
        <v>126.31578947368421</v>
      </c>
      <c r="DA18" s="34">
        <f t="shared" si="356"/>
        <v>1.9</v>
      </c>
      <c r="DB18" s="592"/>
      <c r="DC18" s="29">
        <f>350+250+200+500+300</f>
        <v>1600</v>
      </c>
      <c r="DD18" s="32">
        <f>1.92+2.19+1.53+4.24+2.2</f>
        <v>12.079999999999998</v>
      </c>
      <c r="DE18" s="33">
        <v>5</v>
      </c>
      <c r="DF18" s="34">
        <f t="shared" si="357"/>
        <v>132.45033112582783</v>
      </c>
      <c r="DG18" s="34">
        <f t="shared" si="358"/>
        <v>2.4159999999999995</v>
      </c>
      <c r="DH18" s="592"/>
      <c r="DI18" s="29">
        <v>400</v>
      </c>
      <c r="DJ18" s="32">
        <v>2.6</v>
      </c>
      <c r="DK18" s="33">
        <v>1</v>
      </c>
      <c r="DL18" s="34">
        <f t="shared" si="359"/>
        <v>153.84615384615384</v>
      </c>
      <c r="DM18" s="34">
        <f t="shared" si="360"/>
        <v>2.6</v>
      </c>
      <c r="DN18" s="592"/>
      <c r="DO18" s="29"/>
      <c r="DP18" s="32"/>
      <c r="DQ18" s="33"/>
      <c r="DR18" s="34"/>
      <c r="DS18" s="34"/>
      <c r="DT18" s="592"/>
      <c r="DU18" s="29"/>
      <c r="DV18" s="32"/>
      <c r="DW18" s="33"/>
      <c r="DX18" s="34"/>
      <c r="DY18" s="34"/>
      <c r="DZ18" s="592"/>
      <c r="EA18" s="29"/>
      <c r="EB18" s="32"/>
      <c r="EC18" s="33"/>
      <c r="ED18" s="34"/>
      <c r="EE18" s="34"/>
      <c r="EF18" s="592"/>
      <c r="EG18" s="29"/>
      <c r="EH18" s="32"/>
      <c r="EI18" s="33"/>
      <c r="EJ18" s="34"/>
      <c r="EK18" s="34"/>
      <c r="EL18" s="592"/>
      <c r="EM18" s="29"/>
      <c r="EN18" s="32"/>
      <c r="EO18" s="33"/>
      <c r="EP18" s="34"/>
      <c r="EQ18" s="34"/>
      <c r="ER18" s="30"/>
      <c r="ES18" s="29">
        <f>200+200+250+250+300</f>
        <v>1200</v>
      </c>
      <c r="ET18" s="32">
        <f>1.5+1.8+2.2+2.3+1.7</f>
        <v>9.5</v>
      </c>
      <c r="EU18" s="33">
        <v>5</v>
      </c>
      <c r="EV18" s="34">
        <f t="shared" si="18"/>
        <v>126.31578947368421</v>
      </c>
      <c r="EW18" s="34">
        <f t="shared" si="18"/>
        <v>1.9</v>
      </c>
      <c r="EX18" s="30"/>
      <c r="EY18" s="35">
        <v>1700</v>
      </c>
      <c r="EZ18" s="34">
        <v>14</v>
      </c>
      <c r="FA18" s="37">
        <v>5</v>
      </c>
      <c r="FB18" s="34">
        <f t="shared" si="118"/>
        <v>121.42857142857143</v>
      </c>
      <c r="FC18" s="34">
        <f t="shared" si="118"/>
        <v>2.8</v>
      </c>
      <c r="FE18" s="26"/>
      <c r="FF18" s="27"/>
      <c r="FG18" s="28"/>
      <c r="FH18" s="38"/>
      <c r="FI18" s="39"/>
      <c r="FK18" s="27">
        <f>100+100+300+300+300</f>
        <v>1100</v>
      </c>
      <c r="FL18" s="40">
        <f>1.64+1.6+2.86+3.06+3.13</f>
        <v>12.29</v>
      </c>
      <c r="FM18" s="27">
        <f>5</f>
        <v>5</v>
      </c>
      <c r="FN18" s="40">
        <f t="shared" si="97"/>
        <v>89.503661513425556</v>
      </c>
      <c r="FO18" s="40">
        <f t="shared" si="97"/>
        <v>2.4579999999999997</v>
      </c>
      <c r="FQ18" s="26">
        <f>200+200+250+250+200</f>
        <v>1100</v>
      </c>
      <c r="FR18" s="40">
        <f>1.96+1.51+2.71+1.88+2.06</f>
        <v>10.119999999999999</v>
      </c>
      <c r="FS18" s="27">
        <f>5</f>
        <v>5</v>
      </c>
      <c r="FT18" s="40">
        <f t="shared" si="19"/>
        <v>108.69565217391305</v>
      </c>
      <c r="FU18" s="40">
        <f t="shared" si="19"/>
        <v>2.024</v>
      </c>
      <c r="FW18" s="26">
        <f>200+200+200+100+200</f>
        <v>900</v>
      </c>
      <c r="FX18" s="27">
        <f>1.53+1.91+2.63+1.38+2.58</f>
        <v>10.030000000000001</v>
      </c>
      <c r="FY18" s="27">
        <f>5</f>
        <v>5</v>
      </c>
      <c r="FZ18" s="40">
        <f t="shared" si="20"/>
        <v>89.73080757726818</v>
      </c>
      <c r="GA18" s="40">
        <f t="shared" si="20"/>
        <v>2.0060000000000002</v>
      </c>
      <c r="GC18" s="26">
        <f>300+250</f>
        <v>550</v>
      </c>
      <c r="GD18" s="27">
        <f>2.15+1.92</f>
        <v>4.07</v>
      </c>
      <c r="GE18" s="27">
        <f>2</f>
        <v>2</v>
      </c>
      <c r="GF18" s="40">
        <f t="shared" si="21"/>
        <v>135.13513513513513</v>
      </c>
      <c r="GG18" s="40">
        <f t="shared" si="21"/>
        <v>2.0350000000000001</v>
      </c>
      <c r="GI18" s="26">
        <f>150+250+250+200+100</f>
        <v>950</v>
      </c>
      <c r="GJ18" s="27">
        <f>1.07+1.8+1.45+1.25+0.83</f>
        <v>6.4</v>
      </c>
      <c r="GK18" s="27">
        <f>5</f>
        <v>5</v>
      </c>
      <c r="GL18" s="40">
        <f t="shared" si="22"/>
        <v>148.4375</v>
      </c>
      <c r="GM18" s="40">
        <f t="shared" si="22"/>
        <v>1.28</v>
      </c>
      <c r="GO18" s="26">
        <f>250+250+150+150+100</f>
        <v>900</v>
      </c>
      <c r="GP18" s="27">
        <f>2.71+1.88+1.2+1.2+0.86</f>
        <v>7.8500000000000005</v>
      </c>
      <c r="GQ18" s="27">
        <f>5</f>
        <v>5</v>
      </c>
      <c r="GR18" s="40">
        <f t="shared" si="98"/>
        <v>114.64968152866241</v>
      </c>
      <c r="GS18" s="40">
        <f t="shared" si="98"/>
        <v>1.57</v>
      </c>
      <c r="GU18" s="95">
        <f>200+200+500+400+300</f>
        <v>1600</v>
      </c>
      <c r="GV18" s="99">
        <f>1.02+0.83+1.43+0.97+0.77</f>
        <v>5.0199999999999996</v>
      </c>
      <c r="GW18" s="100">
        <v>5</v>
      </c>
      <c r="GX18" s="101">
        <f t="shared" si="23"/>
        <v>318.72509960159363</v>
      </c>
      <c r="GY18" s="101">
        <f t="shared" si="23"/>
        <v>1.004</v>
      </c>
      <c r="GZ18" s="43"/>
      <c r="HA18" s="26"/>
      <c r="HB18" s="39"/>
      <c r="HC18" s="28"/>
      <c r="HD18" s="105"/>
      <c r="HE18" s="39"/>
      <c r="HG18" s="26"/>
      <c r="HH18" s="27"/>
      <c r="HI18" s="27"/>
      <c r="HJ18" s="34"/>
      <c r="HK18" s="34"/>
      <c r="HM18" s="26"/>
      <c r="HN18" s="45"/>
      <c r="HO18" s="46"/>
      <c r="HP18" s="47"/>
      <c r="HQ18" s="47"/>
      <c r="HS18" s="26"/>
      <c r="HT18" s="45"/>
      <c r="HU18" s="46"/>
      <c r="HV18" s="48"/>
      <c r="HW18" s="48"/>
      <c r="HY18" s="27">
        <f>100+100+260</f>
        <v>460</v>
      </c>
      <c r="HZ18" s="45">
        <f>1.59+1.64+2.54</f>
        <v>5.77</v>
      </c>
      <c r="IA18" s="45">
        <f>3</f>
        <v>3</v>
      </c>
      <c r="IB18" s="48">
        <f t="shared" si="141"/>
        <v>79.722703639514734</v>
      </c>
      <c r="IC18" s="48">
        <f t="shared" si="141"/>
        <v>1.9233333333333331</v>
      </c>
      <c r="IE18" s="27">
        <f>250+200+200</f>
        <v>650</v>
      </c>
      <c r="IF18" s="45">
        <f>2.31+2.56+1.8</f>
        <v>6.67</v>
      </c>
      <c r="IG18" s="45">
        <f>3</f>
        <v>3</v>
      </c>
      <c r="IH18" s="48">
        <f t="shared" si="27"/>
        <v>97.451274362818594</v>
      </c>
      <c r="II18" s="48">
        <f t="shared" si="27"/>
        <v>2.2233333333333332</v>
      </c>
      <c r="IK18" s="26">
        <f>400+200+150+100</f>
        <v>850</v>
      </c>
      <c r="IL18" s="45">
        <f>6.37+3.04+2.6+1.24</f>
        <v>13.25</v>
      </c>
      <c r="IM18" s="45">
        <f>4</f>
        <v>4</v>
      </c>
      <c r="IN18" s="48">
        <f t="shared" si="28"/>
        <v>64.15094339622641</v>
      </c>
      <c r="IO18" s="48">
        <f t="shared" si="28"/>
        <v>3.3125</v>
      </c>
      <c r="IQ18" s="26">
        <f>200+200</f>
        <v>400</v>
      </c>
      <c r="IR18" s="45">
        <f>2.22+2.62</f>
        <v>4.84</v>
      </c>
      <c r="IS18" s="45">
        <v>2</v>
      </c>
      <c r="IT18" s="48">
        <f t="shared" si="248"/>
        <v>82.644628099173559</v>
      </c>
      <c r="IU18" s="48">
        <f t="shared" si="299"/>
        <v>2.42</v>
      </c>
      <c r="IW18" s="26">
        <f>150+250+300+250+250</f>
        <v>1200</v>
      </c>
      <c r="IX18" s="45">
        <f>2.12+2.45+2.66+2.36+2.44</f>
        <v>12.03</v>
      </c>
      <c r="IY18" s="45">
        <v>5</v>
      </c>
      <c r="IZ18" s="46">
        <f t="shared" si="210"/>
        <v>99.750623441396513</v>
      </c>
      <c r="JA18" s="46">
        <f t="shared" si="211"/>
        <v>2.4059999999999997</v>
      </c>
      <c r="JC18" s="26"/>
      <c r="JD18" s="45"/>
      <c r="JE18" s="45"/>
      <c r="JF18" s="46"/>
      <c r="JG18" s="46"/>
      <c r="JI18" s="26">
        <f>200+200+150+100+150</f>
        <v>800</v>
      </c>
      <c r="JJ18" s="45">
        <f>2.53+2.22+1.64+1.28+1.41</f>
        <v>9.08</v>
      </c>
      <c r="JK18" s="45">
        <v>5</v>
      </c>
      <c r="JL18" s="46">
        <f t="shared" si="274"/>
        <v>88.105726872246692</v>
      </c>
      <c r="JM18" s="46">
        <f t="shared" si="275"/>
        <v>1.8160000000000001</v>
      </c>
      <c r="JO18" s="26">
        <f>500+400+300+250+200</f>
        <v>1650</v>
      </c>
      <c r="JP18" s="45">
        <f>6.06+2.06+1.78+1.62+1.55</f>
        <v>13.07</v>
      </c>
      <c r="JQ18" s="45">
        <v>5</v>
      </c>
      <c r="JR18" s="46">
        <f t="shared" si="214"/>
        <v>126.24330527926548</v>
      </c>
      <c r="JS18" s="46">
        <f t="shared" si="215"/>
        <v>2.6139999999999999</v>
      </c>
      <c r="JU18" s="26">
        <f>500+400+600+600+500</f>
        <v>2600</v>
      </c>
      <c r="JV18" s="45">
        <f>5.56+5.31+6.21+6.19+5.41</f>
        <v>28.68</v>
      </c>
      <c r="JW18" s="45">
        <v>5</v>
      </c>
      <c r="JX18" s="46">
        <f t="shared" si="363"/>
        <v>90.655509065550902</v>
      </c>
      <c r="JY18" s="46">
        <f t="shared" si="364"/>
        <v>5.7359999999999998</v>
      </c>
      <c r="KA18" s="26">
        <f>500+400+350+300+250</f>
        <v>1800</v>
      </c>
      <c r="KB18" s="45">
        <f>4.21+3.99+3.76+2.56+2.41</f>
        <v>16.93</v>
      </c>
      <c r="KC18" s="45">
        <v>5</v>
      </c>
      <c r="KD18" s="46">
        <f t="shared" si="365"/>
        <v>106.32014176018902</v>
      </c>
      <c r="KE18" s="46">
        <f t="shared" si="366"/>
        <v>3.3860000000000001</v>
      </c>
      <c r="KG18" s="26">
        <f>200+250+300+150+400</f>
        <v>1300</v>
      </c>
      <c r="KH18" s="45">
        <f>3.92+3.46+5.84+2.25+4.18</f>
        <v>19.649999999999999</v>
      </c>
      <c r="KI18" s="45">
        <v>5</v>
      </c>
      <c r="KJ18" s="46">
        <f t="shared" si="367"/>
        <v>66.157760814249372</v>
      </c>
      <c r="KK18" s="46">
        <f t="shared" si="368"/>
        <v>3.9299999999999997</v>
      </c>
      <c r="KM18" s="26"/>
      <c r="KN18" s="45"/>
      <c r="KO18" s="45"/>
      <c r="KP18" s="46" t="e">
        <f t="shared" si="369"/>
        <v>#DIV/0!</v>
      </c>
      <c r="KQ18" s="46" t="e">
        <f t="shared" si="369"/>
        <v>#DIV/0!</v>
      </c>
      <c r="KS18" s="26"/>
      <c r="KT18" s="45"/>
      <c r="KU18" s="45"/>
      <c r="KV18" s="46" t="e">
        <f t="shared" si="370"/>
        <v>#DIV/0!</v>
      </c>
      <c r="KW18" s="46" t="e">
        <f t="shared" ref="KW18:KW20" si="390">KT18/KU18</f>
        <v>#DIV/0!</v>
      </c>
      <c r="KY18" s="26"/>
      <c r="KZ18" s="45"/>
      <c r="LA18" s="45"/>
      <c r="LB18" s="46" t="e">
        <f t="shared" si="371"/>
        <v>#DIV/0!</v>
      </c>
      <c r="LC18" s="46" t="e">
        <f t="shared" ref="LC18:LC20" si="391">KZ18/LA18</f>
        <v>#DIV/0!</v>
      </c>
      <c r="LE18" s="26"/>
      <c r="LF18" s="45"/>
      <c r="LG18" s="45"/>
      <c r="LH18" s="46" t="e">
        <f t="shared" si="372"/>
        <v>#DIV/0!</v>
      </c>
      <c r="LI18" s="46" t="e">
        <f t="shared" ref="LI18:LI20" si="392">LF18/LG18</f>
        <v>#DIV/0!</v>
      </c>
      <c r="LK18" s="26"/>
      <c r="LL18" s="45"/>
      <c r="LM18" s="45"/>
      <c r="LN18" s="46" t="e">
        <f t="shared" si="373"/>
        <v>#DIV/0!</v>
      </c>
      <c r="LO18" s="46" t="e">
        <f t="shared" ref="LO18:LO20" si="393">LL18/LM18</f>
        <v>#DIV/0!</v>
      </c>
      <c r="LQ18" s="26"/>
      <c r="LR18" s="45"/>
      <c r="LS18" s="45"/>
      <c r="LT18" s="46" t="e">
        <f t="shared" si="374"/>
        <v>#DIV/0!</v>
      </c>
      <c r="LU18" s="46" t="e">
        <f t="shared" ref="LU18:LU20" si="394">LR18/LS18</f>
        <v>#DIV/0!</v>
      </c>
      <c r="LW18" s="26"/>
      <c r="LX18" s="45"/>
      <c r="LY18" s="45"/>
      <c r="LZ18" s="46" t="e">
        <f t="shared" si="375"/>
        <v>#DIV/0!</v>
      </c>
      <c r="MA18" s="46" t="e">
        <f t="shared" ref="MA18:MA20" si="395">LX18/LY18</f>
        <v>#DIV/0!</v>
      </c>
      <c r="MC18" s="26">
        <f>200+200+200+200+200</f>
        <v>1000</v>
      </c>
      <c r="MD18" s="45">
        <f>2.76+1.82+2.12+2.98+2.23</f>
        <v>11.91</v>
      </c>
      <c r="ME18" s="45">
        <v>5</v>
      </c>
      <c r="MF18" s="46">
        <f t="shared" si="376"/>
        <v>83.963056255247693</v>
      </c>
      <c r="MG18" s="46">
        <f t="shared" ref="MG18:MG20" si="396">MD18/ME18</f>
        <v>2.3820000000000001</v>
      </c>
      <c r="MI18" s="26"/>
      <c r="MJ18" s="45"/>
      <c r="MK18" s="45"/>
      <c r="ML18" s="46" t="e">
        <f t="shared" si="377"/>
        <v>#DIV/0!</v>
      </c>
      <c r="MM18" s="46" t="e">
        <f t="shared" ref="MM18:MM20" si="397">MJ18/MK18</f>
        <v>#DIV/0!</v>
      </c>
      <c r="MO18" s="26"/>
      <c r="MP18" s="45"/>
      <c r="MQ18" s="45"/>
      <c r="MR18" s="46" t="e">
        <f t="shared" si="378"/>
        <v>#DIV/0!</v>
      </c>
      <c r="MS18" s="46" t="e">
        <f t="shared" ref="MS18:MS20" si="398">MP18/MQ18</f>
        <v>#DIV/0!</v>
      </c>
      <c r="MU18" s="26"/>
      <c r="MV18" s="45"/>
      <c r="MW18" s="45"/>
      <c r="MX18" s="46" t="e">
        <f t="shared" si="379"/>
        <v>#DIV/0!</v>
      </c>
      <c r="MY18" s="46" t="e">
        <f t="shared" ref="MY18:MY20" si="399">MV18/MW18</f>
        <v>#DIV/0!</v>
      </c>
      <c r="NA18" s="824">
        <f>200+200+200</f>
        <v>600</v>
      </c>
      <c r="NB18" s="823">
        <f>3.11+2.94+3.91</f>
        <v>9.9600000000000009</v>
      </c>
      <c r="NC18" s="823">
        <v>3</v>
      </c>
      <c r="ND18" s="46">
        <f t="shared" si="380"/>
        <v>60.240963855421683</v>
      </c>
      <c r="NE18" s="46">
        <f t="shared" ref="NE18:NE20" si="400">NB18/NC18</f>
        <v>3.3200000000000003</v>
      </c>
      <c r="NG18" s="824">
        <f>150+200+250+100+400</f>
        <v>1100</v>
      </c>
      <c r="NH18" s="823">
        <f>2.04+2.63+3.21+1.41+2.38</f>
        <v>11.669999999999998</v>
      </c>
      <c r="NI18" s="823">
        <v>5</v>
      </c>
      <c r="NJ18" s="46">
        <f t="shared" si="381"/>
        <v>94.258783204798647</v>
      </c>
      <c r="NK18" s="46">
        <f t="shared" ref="NK18:NK20" si="401">NH18/NI18</f>
        <v>2.3339999999999996</v>
      </c>
      <c r="NM18" s="824">
        <f>200+250+300+100+100</f>
        <v>950</v>
      </c>
      <c r="NN18" s="823">
        <f>2+2.6+3.1+1.77+1.4</f>
        <v>10.87</v>
      </c>
      <c r="NO18" s="823">
        <v>5</v>
      </c>
      <c r="NP18" s="46">
        <f t="shared" si="382"/>
        <v>87.39650413983442</v>
      </c>
      <c r="NQ18" s="46">
        <f t="shared" ref="NQ18:NQ20" si="402">NN18/NO18</f>
        <v>2.1739999999999999</v>
      </c>
      <c r="NS18" s="824">
        <f>150+200+100+100+150</f>
        <v>700</v>
      </c>
      <c r="NT18" s="823">
        <f>2.01+1.49+1.53+1.73+2.46</f>
        <v>9.2199999999999989</v>
      </c>
      <c r="NU18" s="823">
        <v>5</v>
      </c>
      <c r="NV18" s="46">
        <f t="shared" si="383"/>
        <v>75.921908893709343</v>
      </c>
      <c r="NW18" s="46">
        <f t="shared" ref="NW18:NW20" si="403">NT18/NU18</f>
        <v>1.8439999999999999</v>
      </c>
      <c r="NY18" s="910"/>
      <c r="NZ18" s="910"/>
      <c r="OA18" s="910"/>
      <c r="OB18" s="46" t="e">
        <f t="shared" si="384"/>
        <v>#DIV/0!</v>
      </c>
      <c r="OC18" s="46" t="e">
        <f t="shared" ref="OC18:OC20" si="404">NZ18/OA18</f>
        <v>#DIV/0!</v>
      </c>
      <c r="OE18" s="824">
        <f>200+200+250+250+300</f>
        <v>1200</v>
      </c>
      <c r="OF18" s="823">
        <f>1.63+1.37+2.2+2.18+2.2</f>
        <v>9.5800000000000018</v>
      </c>
      <c r="OG18" s="823">
        <v>5</v>
      </c>
      <c r="OH18" s="46">
        <f t="shared" si="385"/>
        <v>125.26096033402921</v>
      </c>
      <c r="OI18" s="46">
        <f t="shared" ref="OI18:OI20" si="405">OF18/OG18</f>
        <v>1.9160000000000004</v>
      </c>
    </row>
    <row r="19" spans="1:399">
      <c r="A19">
        <f>381365-5000</f>
        <v>376365</v>
      </c>
      <c r="B19" s="11"/>
      <c r="C19" s="13"/>
      <c r="D19" s="13" t="s">
        <v>28</v>
      </c>
      <c r="E19" s="29"/>
      <c r="F19" s="32"/>
      <c r="G19" s="33"/>
      <c r="H19" s="34"/>
      <c r="I19" s="34"/>
      <c r="J19" s="30"/>
      <c r="K19" s="29"/>
      <c r="L19" s="32"/>
      <c r="M19" s="33"/>
      <c r="N19" s="34"/>
      <c r="O19" s="34"/>
      <c r="P19" s="30"/>
      <c r="Q19" s="29"/>
      <c r="R19" s="32"/>
      <c r="S19" s="33"/>
      <c r="T19" s="34"/>
      <c r="U19" s="34"/>
      <c r="V19" s="30"/>
      <c r="W19" s="29"/>
      <c r="X19" s="32"/>
      <c r="Y19" s="33"/>
      <c r="Z19" s="34"/>
      <c r="AA19" s="34"/>
      <c r="AB19" s="30"/>
      <c r="AC19" s="29"/>
      <c r="AD19" s="32"/>
      <c r="AE19" s="33"/>
      <c r="AF19" s="34"/>
      <c r="AG19" s="34"/>
      <c r="AH19" s="30"/>
      <c r="AI19" s="29"/>
      <c r="AJ19" s="32"/>
      <c r="AK19" s="33"/>
      <c r="AL19" s="34"/>
      <c r="AM19" s="34"/>
      <c r="AN19" s="30"/>
      <c r="AO19" s="29"/>
      <c r="AP19" s="32"/>
      <c r="AQ19" s="33"/>
      <c r="AR19" s="34"/>
      <c r="AS19" s="34"/>
      <c r="AT19" s="30"/>
      <c r="AU19" s="29"/>
      <c r="AV19" s="32"/>
      <c r="AW19" s="33"/>
      <c r="AX19" s="34"/>
      <c r="AY19" s="34"/>
      <c r="AZ19" s="592"/>
      <c r="BA19" s="29"/>
      <c r="BB19" s="32"/>
      <c r="BC19" s="33"/>
      <c r="BD19" s="34"/>
      <c r="BE19" s="34"/>
      <c r="BF19" s="592"/>
      <c r="BG19" s="29"/>
      <c r="BH19" s="32"/>
      <c r="BI19" s="33"/>
      <c r="BJ19" s="34"/>
      <c r="BK19" s="34"/>
      <c r="BL19" s="592"/>
      <c r="BM19" s="29"/>
      <c r="BN19" s="32"/>
      <c r="BO19" s="33"/>
      <c r="BP19" s="34"/>
      <c r="BQ19" s="34"/>
      <c r="BR19" s="30"/>
      <c r="BS19" s="29"/>
      <c r="BT19" s="32"/>
      <c r="BU19" s="33"/>
      <c r="BV19" s="34"/>
      <c r="BW19" s="34"/>
      <c r="BX19" s="592"/>
      <c r="BY19" s="29"/>
      <c r="BZ19" s="32"/>
      <c r="CA19" s="33"/>
      <c r="CB19" s="34"/>
      <c r="CC19" s="34"/>
      <c r="CD19" s="592"/>
      <c r="CE19" s="29">
        <v>2400</v>
      </c>
      <c r="CF19" s="32">
        <v>25</v>
      </c>
      <c r="CG19" s="33">
        <v>5</v>
      </c>
      <c r="CH19" s="34">
        <f t="shared" ref="CH19" si="406">CE19/CF19</f>
        <v>96</v>
      </c>
      <c r="CI19" s="34">
        <f t="shared" ref="CI19" si="407">CF19/CG19</f>
        <v>5</v>
      </c>
      <c r="CJ19" s="592"/>
      <c r="CK19" s="29">
        <f>200+400+300+300+600</f>
        <v>1800</v>
      </c>
      <c r="CL19" s="32">
        <f>2.9+5.81+6.07+6.14+9.17</f>
        <v>30.089999999999996</v>
      </c>
      <c r="CM19" s="33">
        <v>5</v>
      </c>
      <c r="CN19" s="34">
        <f t="shared" ref="CN19" si="408">CK19/CL19</f>
        <v>59.82053838484547</v>
      </c>
      <c r="CO19" s="34">
        <f t="shared" ref="CO19" si="409">CL19/CM19</f>
        <v>6.0179999999999989</v>
      </c>
      <c r="CP19" s="592"/>
      <c r="CQ19" s="29"/>
      <c r="CR19" s="32"/>
      <c r="CS19" s="33"/>
      <c r="CT19" s="34"/>
      <c r="CU19" s="34"/>
      <c r="CV19" s="592"/>
      <c r="CW19" s="29"/>
      <c r="CX19" s="32"/>
      <c r="CY19" s="33"/>
      <c r="CZ19" s="34"/>
      <c r="DA19" s="34"/>
      <c r="DB19" s="592"/>
      <c r="DC19" s="29"/>
      <c r="DD19" s="32"/>
      <c r="DE19" s="33"/>
      <c r="DF19" s="34"/>
      <c r="DG19" s="34"/>
      <c r="DH19" s="592"/>
      <c r="DI19" s="29"/>
      <c r="DJ19" s="32"/>
      <c r="DK19" s="33"/>
      <c r="DL19" s="34"/>
      <c r="DM19" s="34"/>
      <c r="DN19" s="592"/>
      <c r="DO19" s="29"/>
      <c r="DP19" s="32"/>
      <c r="DQ19" s="33"/>
      <c r="DR19" s="34"/>
      <c r="DS19" s="34"/>
      <c r="DT19" s="592"/>
      <c r="DU19" s="29"/>
      <c r="DV19" s="32"/>
      <c r="DW19" s="33"/>
      <c r="DX19" s="34"/>
      <c r="DY19" s="34"/>
      <c r="DZ19" s="592"/>
      <c r="EA19" s="29"/>
      <c r="EB19" s="32"/>
      <c r="EC19" s="33"/>
      <c r="ED19" s="34"/>
      <c r="EE19" s="34"/>
      <c r="EF19" s="592"/>
      <c r="EG19" s="29"/>
      <c r="EH19" s="32"/>
      <c r="EI19" s="33"/>
      <c r="EJ19" s="34"/>
      <c r="EK19" s="34"/>
      <c r="EL19" s="592"/>
      <c r="EM19" s="29"/>
      <c r="EN19" s="32"/>
      <c r="EO19" s="33"/>
      <c r="EP19" s="34"/>
      <c r="EQ19" s="34"/>
      <c r="ER19" s="30"/>
      <c r="ES19" s="29"/>
      <c r="ET19" s="32"/>
      <c r="EU19" s="33"/>
      <c r="EV19" s="34"/>
      <c r="EW19" s="34"/>
      <c r="EX19" s="30"/>
      <c r="EY19" s="35">
        <v>2400</v>
      </c>
      <c r="EZ19" s="34">
        <v>25</v>
      </c>
      <c r="FA19" s="37">
        <v>5</v>
      </c>
      <c r="FB19" s="34">
        <f t="shared" si="118"/>
        <v>96</v>
      </c>
      <c r="FC19" s="34">
        <f t="shared" si="118"/>
        <v>5</v>
      </c>
      <c r="FE19" s="26"/>
      <c r="FF19" s="27"/>
      <c r="FG19" s="28"/>
      <c r="FH19" s="38"/>
      <c r="FI19" s="39"/>
      <c r="FK19" s="27">
        <f>600+300+400+500+500</f>
        <v>2300</v>
      </c>
      <c r="FL19" s="40">
        <f>11.74+4.68+6.35+10.1+9.9</f>
        <v>42.77</v>
      </c>
      <c r="FM19" s="27">
        <f>5</f>
        <v>5</v>
      </c>
      <c r="FN19" s="40">
        <f t="shared" si="97"/>
        <v>53.776011222819733</v>
      </c>
      <c r="FO19" s="40">
        <f t="shared" si="97"/>
        <v>8.5540000000000003</v>
      </c>
      <c r="FQ19" s="26"/>
      <c r="FR19" s="40"/>
      <c r="FS19" s="27"/>
      <c r="FT19" s="40"/>
      <c r="FU19" s="40"/>
      <c r="FW19" s="26">
        <f>400+400</f>
        <v>800</v>
      </c>
      <c r="FX19" s="27">
        <f>5.47+6.92</f>
        <v>12.39</v>
      </c>
      <c r="FY19" s="27">
        <f>2</f>
        <v>2</v>
      </c>
      <c r="FZ19" s="40">
        <f t="shared" si="20"/>
        <v>64.568200161420492</v>
      </c>
      <c r="GA19" s="40">
        <f t="shared" si="20"/>
        <v>6.1950000000000003</v>
      </c>
      <c r="GC19" s="26">
        <f>400+500+500+500+400</f>
        <v>2300</v>
      </c>
      <c r="GD19" s="27">
        <f>5.12+7.41+8.06+8.06+5.12</f>
        <v>33.770000000000003</v>
      </c>
      <c r="GE19" s="27">
        <f>5</f>
        <v>5</v>
      </c>
      <c r="GF19" s="40">
        <f t="shared" si="21"/>
        <v>68.107787977494809</v>
      </c>
      <c r="GG19" s="40">
        <f t="shared" si="21"/>
        <v>6.7540000000000004</v>
      </c>
      <c r="GI19" s="26">
        <f>300</f>
        <v>300</v>
      </c>
      <c r="GJ19" s="27">
        <f>6.06</f>
        <v>6.06</v>
      </c>
      <c r="GK19" s="27">
        <f>1</f>
        <v>1</v>
      </c>
      <c r="GL19" s="40">
        <f t="shared" si="22"/>
        <v>49.504950495049506</v>
      </c>
      <c r="GM19" s="40">
        <f t="shared" si="22"/>
        <v>6.06</v>
      </c>
      <c r="GO19" s="26"/>
      <c r="GP19" s="40"/>
      <c r="GQ19" s="27"/>
      <c r="GR19" s="40"/>
      <c r="GS19" s="40"/>
      <c r="GU19" s="95"/>
      <c r="GV19" s="99"/>
      <c r="GW19" s="100"/>
      <c r="GX19" s="101"/>
      <c r="GY19" s="101"/>
      <c r="GZ19" s="43"/>
      <c r="HA19" s="26">
        <f>500</f>
        <v>500</v>
      </c>
      <c r="HB19" s="39">
        <f>1.57</f>
        <v>1.57</v>
      </c>
      <c r="HC19" s="28">
        <v>1</v>
      </c>
      <c r="HD19" s="105">
        <f t="shared" si="24"/>
        <v>318.4713375796178</v>
      </c>
      <c r="HE19" s="39">
        <f t="shared" si="24"/>
        <v>1.57</v>
      </c>
      <c r="HG19" s="26">
        <f>300+400</f>
        <v>700</v>
      </c>
      <c r="HH19" s="40">
        <f>5.61+6.68</f>
        <v>12.29</v>
      </c>
      <c r="HI19" s="27">
        <f>2</f>
        <v>2</v>
      </c>
      <c r="HJ19" s="34">
        <f t="shared" si="25"/>
        <v>56.956875508543533</v>
      </c>
      <c r="HK19" s="34">
        <f t="shared" si="25"/>
        <v>6.1449999999999996</v>
      </c>
      <c r="HM19" s="26"/>
      <c r="HN19" s="45"/>
      <c r="HO19" s="46"/>
      <c r="HP19" s="47"/>
      <c r="HQ19" s="47"/>
      <c r="HS19" s="26"/>
      <c r="HT19" s="45"/>
      <c r="HU19" s="46"/>
      <c r="HV19" s="48"/>
      <c r="HW19" s="48"/>
      <c r="HY19" s="45">
        <f>500+400+300+400</f>
        <v>1600</v>
      </c>
      <c r="HZ19" s="45">
        <f>8.57+6.71+5.61+6.02</f>
        <v>26.91</v>
      </c>
      <c r="IA19" s="45">
        <f>4</f>
        <v>4</v>
      </c>
      <c r="IB19" s="48">
        <f t="shared" si="141"/>
        <v>59.45745076179859</v>
      </c>
      <c r="IC19" s="48">
        <f t="shared" si="141"/>
        <v>6.7275</v>
      </c>
      <c r="IE19" s="45">
        <f>300+500+300</f>
        <v>1100</v>
      </c>
      <c r="IF19" s="45">
        <f>5.94+9.31+5.21</f>
        <v>20.46</v>
      </c>
      <c r="IG19" s="45">
        <f>3</f>
        <v>3</v>
      </c>
      <c r="IH19" s="48">
        <f t="shared" si="27"/>
        <v>53.763440860215049</v>
      </c>
      <c r="II19" s="48">
        <f t="shared" si="27"/>
        <v>6.82</v>
      </c>
      <c r="IK19" s="26"/>
      <c r="IL19" s="48"/>
      <c r="IM19" s="45"/>
      <c r="IN19" s="48"/>
      <c r="IO19" s="48"/>
      <c r="IQ19" s="26"/>
      <c r="IR19" s="48"/>
      <c r="IS19" s="45"/>
      <c r="IT19" s="48"/>
      <c r="IU19" s="48"/>
      <c r="IW19" s="26">
        <f>500+500+500+400+400</f>
        <v>2300</v>
      </c>
      <c r="IX19" s="48">
        <f>5.46+7.85+6.99+4.46+5.12</f>
        <v>29.88</v>
      </c>
      <c r="IY19" s="45">
        <v>5</v>
      </c>
      <c r="IZ19" s="46">
        <f t="shared" ref="IZ19" si="410">IW19/IX19</f>
        <v>76.974564926372153</v>
      </c>
      <c r="JA19" s="46">
        <f t="shared" ref="JA19" si="411">IX19/IY19</f>
        <v>5.976</v>
      </c>
      <c r="JC19" s="26">
        <f>400+500+400+200+500</f>
        <v>2000</v>
      </c>
      <c r="JD19" s="48">
        <f>3.93+5.9+3.52+4.49+4.52</f>
        <v>22.36</v>
      </c>
      <c r="JE19" s="45">
        <v>5</v>
      </c>
      <c r="JF19" s="46">
        <f t="shared" ref="JF19" si="412">JC19/JD19</f>
        <v>89.445438282647586</v>
      </c>
      <c r="JG19" s="46">
        <f t="shared" ref="JG19" si="413">JD19/JE19</f>
        <v>4.4719999999999995</v>
      </c>
      <c r="JI19" s="26">
        <f>400+700+400+200+150</f>
        <v>1850</v>
      </c>
      <c r="JJ19" s="48">
        <f>5.16+8.26+7.12+3.69+3.55</f>
        <v>27.78</v>
      </c>
      <c r="JK19" s="45">
        <v>5</v>
      </c>
      <c r="JL19" s="46">
        <f t="shared" ref="JL19" si="414">JI19/JJ19</f>
        <v>66.594672426205904</v>
      </c>
      <c r="JM19" s="46">
        <f t="shared" ref="JM19" si="415">JJ19/JK19</f>
        <v>5.556</v>
      </c>
      <c r="JO19" s="26">
        <f>500+500+500+600+200</f>
        <v>2300</v>
      </c>
      <c r="JP19" s="48">
        <f>6.12+6.15+5.59+6.15+2.13</f>
        <v>26.139999999999997</v>
      </c>
      <c r="JQ19" s="45">
        <v>5</v>
      </c>
      <c r="JR19" s="46">
        <f t="shared" ref="JR19" si="416">JO19/JP19</f>
        <v>87.987758224942624</v>
      </c>
      <c r="JS19" s="46">
        <f t="shared" ref="JS19" si="417">JP19/JQ19</f>
        <v>5.2279999999999998</v>
      </c>
      <c r="JU19" s="26">
        <f>700+600+700+600+500</f>
        <v>3100</v>
      </c>
      <c r="JV19" s="48">
        <f>5.56+5.34+5.2+6.19+5.19</f>
        <v>27.48</v>
      </c>
      <c r="JW19" s="45">
        <v>5</v>
      </c>
      <c r="JX19" s="46">
        <f t="shared" si="363"/>
        <v>112.80931586608442</v>
      </c>
      <c r="JY19" s="46">
        <f t="shared" si="364"/>
        <v>5.4960000000000004</v>
      </c>
      <c r="KA19" s="26">
        <f>600+300</f>
        <v>900</v>
      </c>
      <c r="KB19" s="48">
        <f>5.67+2.12</f>
        <v>7.79</v>
      </c>
      <c r="KC19" s="45">
        <v>2</v>
      </c>
      <c r="KD19" s="46">
        <f t="shared" si="365"/>
        <v>115.53273427471117</v>
      </c>
      <c r="KE19" s="46">
        <f t="shared" si="366"/>
        <v>3.895</v>
      </c>
      <c r="KG19" s="26"/>
      <c r="KH19" s="48"/>
      <c r="KI19" s="45"/>
      <c r="KJ19" s="46" t="e">
        <f t="shared" si="367"/>
        <v>#DIV/0!</v>
      </c>
      <c r="KK19" s="46" t="e">
        <f t="shared" si="368"/>
        <v>#DIV/0!</v>
      </c>
      <c r="KM19" s="26">
        <v>500</v>
      </c>
      <c r="KN19" s="48">
        <f>7.92</f>
        <v>7.92</v>
      </c>
      <c r="KO19" s="45">
        <v>1</v>
      </c>
      <c r="KP19" s="46">
        <f t="shared" si="369"/>
        <v>63.131313131313135</v>
      </c>
      <c r="KQ19" s="46">
        <f t="shared" si="369"/>
        <v>7.92</v>
      </c>
      <c r="KS19" s="26">
        <f>500+500+600+500+600</f>
        <v>2700</v>
      </c>
      <c r="KT19" s="48">
        <f>9.3+4.08+5.8+5.2+6.21</f>
        <v>30.59</v>
      </c>
      <c r="KU19" s="45">
        <v>5</v>
      </c>
      <c r="KV19" s="46">
        <f t="shared" si="370"/>
        <v>88.264138607388034</v>
      </c>
      <c r="KW19" s="46">
        <f t="shared" si="390"/>
        <v>6.1180000000000003</v>
      </c>
      <c r="KY19" s="26"/>
      <c r="KZ19" s="48"/>
      <c r="LA19" s="45"/>
      <c r="LB19" s="46" t="e">
        <f t="shared" si="371"/>
        <v>#DIV/0!</v>
      </c>
      <c r="LC19" s="46" t="e">
        <f t="shared" si="391"/>
        <v>#DIV/0!</v>
      </c>
      <c r="LE19" s="26"/>
      <c r="LF19" s="48"/>
      <c r="LG19" s="45"/>
      <c r="LH19" s="46" t="e">
        <f t="shared" si="372"/>
        <v>#DIV/0!</v>
      </c>
      <c r="LI19" s="46" t="e">
        <f t="shared" si="392"/>
        <v>#DIV/0!</v>
      </c>
      <c r="LK19" s="26"/>
      <c r="LL19" s="48"/>
      <c r="LM19" s="45"/>
      <c r="LN19" s="46" t="e">
        <f t="shared" si="373"/>
        <v>#DIV/0!</v>
      </c>
      <c r="LO19" s="46" t="e">
        <f t="shared" si="393"/>
        <v>#DIV/0!</v>
      </c>
      <c r="LQ19" s="26"/>
      <c r="LR19" s="48"/>
      <c r="LS19" s="45"/>
      <c r="LT19" s="46" t="e">
        <f t="shared" si="374"/>
        <v>#DIV/0!</v>
      </c>
      <c r="LU19" s="46" t="e">
        <f t="shared" si="394"/>
        <v>#DIV/0!</v>
      </c>
      <c r="LW19" s="26">
        <f>500+500</f>
        <v>1000</v>
      </c>
      <c r="LX19" s="48">
        <f>8.54+6.9</f>
        <v>15.44</v>
      </c>
      <c r="LY19" s="45">
        <v>2</v>
      </c>
      <c r="LZ19" s="46">
        <f t="shared" si="375"/>
        <v>64.766839378238345</v>
      </c>
      <c r="MA19" s="46">
        <f t="shared" si="395"/>
        <v>7.72</v>
      </c>
      <c r="MC19" s="26">
        <f>200+600+100</f>
        <v>900</v>
      </c>
      <c r="MD19" s="48">
        <f>3.19+8.08+1.38</f>
        <v>12.649999999999999</v>
      </c>
      <c r="ME19" s="45">
        <v>3</v>
      </c>
      <c r="MF19" s="46">
        <f t="shared" si="376"/>
        <v>71.146245059288546</v>
      </c>
      <c r="MG19" s="46">
        <f t="shared" si="396"/>
        <v>4.2166666666666659</v>
      </c>
      <c r="MI19" s="26">
        <f>200+300+500</f>
        <v>1000</v>
      </c>
      <c r="MJ19" s="48">
        <f>3.79+4.06+7.17</f>
        <v>15.02</v>
      </c>
      <c r="MK19" s="45">
        <v>3</v>
      </c>
      <c r="ML19" s="46">
        <f t="shared" si="377"/>
        <v>66.577896138482032</v>
      </c>
      <c r="MM19" s="46">
        <f t="shared" si="397"/>
        <v>5.0066666666666668</v>
      </c>
      <c r="MO19" s="26"/>
      <c r="MP19" s="48"/>
      <c r="MQ19" s="45"/>
      <c r="MR19" s="46" t="e">
        <f t="shared" si="378"/>
        <v>#DIV/0!</v>
      </c>
      <c r="MS19" s="46" t="e">
        <f t="shared" si="398"/>
        <v>#DIV/0!</v>
      </c>
      <c r="MU19" s="26"/>
      <c r="MV19" s="48"/>
      <c r="MW19" s="45"/>
      <c r="MX19" s="46" t="e">
        <f t="shared" si="379"/>
        <v>#DIV/0!</v>
      </c>
      <c r="MY19" s="46" t="e">
        <f t="shared" si="399"/>
        <v>#DIV/0!</v>
      </c>
      <c r="NA19" s="823">
        <f>200+400+400+400+400</f>
        <v>1800</v>
      </c>
      <c r="NB19" s="823">
        <f>4.69+3.69+5.35+9.51+6.79</f>
        <v>30.03</v>
      </c>
      <c r="NC19" s="823">
        <v>5</v>
      </c>
      <c r="ND19" s="46">
        <f t="shared" si="380"/>
        <v>59.940059940059939</v>
      </c>
      <c r="NE19" s="46">
        <f t="shared" si="400"/>
        <v>6.0060000000000002</v>
      </c>
      <c r="NG19" s="823"/>
      <c r="NH19" s="823"/>
      <c r="NI19" s="823"/>
      <c r="NJ19" s="46" t="e">
        <f t="shared" si="381"/>
        <v>#DIV/0!</v>
      </c>
      <c r="NK19" s="46" t="e">
        <f t="shared" si="401"/>
        <v>#DIV/0!</v>
      </c>
      <c r="NM19" s="823">
        <f>500+400+400</f>
        <v>1300</v>
      </c>
      <c r="NN19" s="823">
        <f>7.04+8.8+7.58</f>
        <v>23.42</v>
      </c>
      <c r="NO19" s="823">
        <v>3</v>
      </c>
      <c r="NP19" s="46">
        <f t="shared" si="382"/>
        <v>55.508112724167376</v>
      </c>
      <c r="NQ19" s="46">
        <f t="shared" si="402"/>
        <v>7.8066666666666675</v>
      </c>
      <c r="NS19" s="823">
        <f>500+500+500+500+500</f>
        <v>2500</v>
      </c>
      <c r="NT19" s="823">
        <f>4.01+4.21+4.89+4.12+4.19</f>
        <v>21.42</v>
      </c>
      <c r="NU19" s="823">
        <v>5</v>
      </c>
      <c r="NV19" s="46">
        <f t="shared" si="383"/>
        <v>116.71335200746965</v>
      </c>
      <c r="NW19" s="46">
        <f t="shared" si="403"/>
        <v>4.2840000000000007</v>
      </c>
      <c r="NY19" s="910">
        <f>500+500+500+500+500</f>
        <v>2500</v>
      </c>
      <c r="NZ19" s="910">
        <f>6.16+6.33+6.26+7.13+6.28</f>
        <v>32.159999999999997</v>
      </c>
      <c r="OA19" s="910">
        <v>5</v>
      </c>
      <c r="OB19" s="46">
        <f t="shared" si="384"/>
        <v>77.736318407960212</v>
      </c>
      <c r="OC19" s="46">
        <f t="shared" si="404"/>
        <v>6.4319999999999995</v>
      </c>
      <c r="OE19" s="823"/>
      <c r="OF19" s="823"/>
      <c r="OG19" s="823"/>
      <c r="OH19" s="46" t="e">
        <f t="shared" si="385"/>
        <v>#DIV/0!</v>
      </c>
      <c r="OI19" s="46" t="e">
        <f t="shared" si="405"/>
        <v>#DIV/0!</v>
      </c>
    </row>
    <row r="20" spans="1:399">
      <c r="B20" s="11"/>
      <c r="C20" s="16"/>
      <c r="D20" s="13" t="s">
        <v>29</v>
      </c>
      <c r="E20" s="29"/>
      <c r="F20" s="32"/>
      <c r="G20" s="33"/>
      <c r="H20" s="34"/>
      <c r="I20" s="34"/>
      <c r="J20" s="30"/>
      <c r="K20" s="29"/>
      <c r="L20" s="32"/>
      <c r="M20" s="33"/>
      <c r="N20" s="34"/>
      <c r="O20" s="34"/>
      <c r="P20" s="30"/>
      <c r="Q20" s="29"/>
      <c r="R20" s="32"/>
      <c r="S20" s="33"/>
      <c r="T20" s="34"/>
      <c r="U20" s="34"/>
      <c r="V20" s="30"/>
      <c r="W20" s="29"/>
      <c r="X20" s="32"/>
      <c r="Y20" s="33"/>
      <c r="Z20" s="34"/>
      <c r="AA20" s="34"/>
      <c r="AB20" s="30"/>
      <c r="AC20" s="29"/>
      <c r="AD20" s="32"/>
      <c r="AE20" s="33"/>
      <c r="AF20" s="34"/>
      <c r="AG20" s="34"/>
      <c r="AH20" s="30"/>
      <c r="AI20" s="29"/>
      <c r="AJ20" s="32"/>
      <c r="AK20" s="33"/>
      <c r="AL20" s="34"/>
      <c r="AM20" s="34"/>
      <c r="AN20" s="30"/>
      <c r="AO20" s="29"/>
      <c r="AP20" s="32"/>
      <c r="AQ20" s="33"/>
      <c r="AR20" s="34"/>
      <c r="AS20" s="34"/>
      <c r="AT20" s="30"/>
      <c r="AU20" s="29">
        <f>400+300+100+200+50</f>
        <v>1050</v>
      </c>
      <c r="AV20" s="32">
        <f>2.06+1.62+1.08+1.21+0.46</f>
        <v>6.43</v>
      </c>
      <c r="AW20" s="33">
        <v>5</v>
      </c>
      <c r="AX20" s="34">
        <f t="shared" ref="AX20:AX22" si="418">AU20/AV20</f>
        <v>163.29704510108866</v>
      </c>
      <c r="AY20" s="34">
        <f t="shared" ref="AY20:AY22" si="419">AV20/AW20</f>
        <v>1.286</v>
      </c>
      <c r="AZ20" s="592"/>
      <c r="BA20" s="29"/>
      <c r="BB20" s="32"/>
      <c r="BC20" s="33"/>
      <c r="BD20" s="34"/>
      <c r="BE20" s="34"/>
      <c r="BF20" s="592"/>
      <c r="BG20" s="29"/>
      <c r="BH20" s="32"/>
      <c r="BI20" s="33"/>
      <c r="BJ20" s="34"/>
      <c r="BK20" s="34"/>
      <c r="BL20" s="592"/>
      <c r="BM20" s="29"/>
      <c r="BN20" s="32"/>
      <c r="BO20" s="33"/>
      <c r="BP20" s="34"/>
      <c r="BQ20" s="34"/>
      <c r="BR20" s="30"/>
      <c r="BS20" s="29">
        <f>200+300+300+500+400+500</f>
        <v>2200</v>
      </c>
      <c r="BT20" s="32">
        <f>0.14+3.68+3.38+4.84+3.72</f>
        <v>15.76</v>
      </c>
      <c r="BU20" s="33">
        <v>5</v>
      </c>
      <c r="BV20" s="34">
        <f t="shared" ref="BV20" si="420">BS20/BT20</f>
        <v>139.59390862944161</v>
      </c>
      <c r="BW20" s="34">
        <f t="shared" ref="BW20" si="421">BT20/BU20</f>
        <v>3.1520000000000001</v>
      </c>
      <c r="BX20" s="592"/>
      <c r="BY20" s="29">
        <f>400+300+100+200+250</f>
        <v>1250</v>
      </c>
      <c r="BZ20" s="32">
        <f>2.1+2.2+2.1+1.8+2.9</f>
        <v>11.100000000000001</v>
      </c>
      <c r="CA20" s="33">
        <v>5</v>
      </c>
      <c r="CB20" s="34">
        <f t="shared" ref="CB20" si="422">BY20/BZ20</f>
        <v>112.61261261261259</v>
      </c>
      <c r="CC20" s="34">
        <f t="shared" ref="CC20" si="423">BZ20/CA20</f>
        <v>2.2200000000000002</v>
      </c>
      <c r="CD20" s="592"/>
      <c r="CE20" s="29">
        <v>1900</v>
      </c>
      <c r="CF20" s="32">
        <v>14</v>
      </c>
      <c r="CG20" s="33">
        <v>5</v>
      </c>
      <c r="CH20" s="34">
        <f t="shared" ref="CH20" si="424">CE20/CF20</f>
        <v>135.71428571428572</v>
      </c>
      <c r="CI20" s="34">
        <f t="shared" ref="CI20" si="425">CF20/CG20</f>
        <v>2.8</v>
      </c>
      <c r="CJ20" s="592"/>
      <c r="CK20" s="29">
        <f>100+100+100+100+50</f>
        <v>450</v>
      </c>
      <c r="CL20" s="32">
        <f>1.86+1.77+1.4+1.89+1.68</f>
        <v>8.6</v>
      </c>
      <c r="CM20" s="33">
        <v>5</v>
      </c>
      <c r="CN20" s="34">
        <f t="shared" ref="CN20" si="426">CK20/CL20</f>
        <v>52.325581395348841</v>
      </c>
      <c r="CO20" s="34">
        <f t="shared" ref="CO20" si="427">CL20/CM20</f>
        <v>1.72</v>
      </c>
      <c r="CP20" s="592"/>
      <c r="CQ20" s="29"/>
      <c r="CR20" s="32"/>
      <c r="CS20" s="33"/>
      <c r="CT20" s="34"/>
      <c r="CU20" s="34"/>
      <c r="CV20" s="592"/>
      <c r="CW20" s="29">
        <f>400+300+100+200+250</f>
        <v>1250</v>
      </c>
      <c r="CX20" s="32">
        <f>2.1+2.2+2.1+1.8+2.9</f>
        <v>11.100000000000001</v>
      </c>
      <c r="CY20" s="33">
        <v>5</v>
      </c>
      <c r="CZ20" s="34">
        <f t="shared" ref="CZ20" si="428">CW20/CX20</f>
        <v>112.61261261261259</v>
      </c>
      <c r="DA20" s="34">
        <f t="shared" ref="DA20" si="429">CX20/CY20</f>
        <v>2.2200000000000002</v>
      </c>
      <c r="DB20" s="592"/>
      <c r="DC20" s="29"/>
      <c r="DD20" s="32"/>
      <c r="DE20" s="33"/>
      <c r="DF20" s="34"/>
      <c r="DG20" s="34"/>
      <c r="DH20" s="592"/>
      <c r="DI20" s="29">
        <v>530</v>
      </c>
      <c r="DJ20" s="32">
        <v>5.85</v>
      </c>
      <c r="DK20" s="33">
        <v>5</v>
      </c>
      <c r="DL20" s="34">
        <f t="shared" ref="DL20" si="430">DI20/DJ20</f>
        <v>90.598290598290603</v>
      </c>
      <c r="DM20" s="34">
        <f t="shared" ref="DM20" si="431">DJ20/DK20</f>
        <v>1.17</v>
      </c>
      <c r="DN20" s="592"/>
      <c r="DO20" s="29"/>
      <c r="DP20" s="32"/>
      <c r="DQ20" s="33"/>
      <c r="DR20" s="34"/>
      <c r="DS20" s="34"/>
      <c r="DT20" s="592"/>
      <c r="DU20" s="29"/>
      <c r="DV20" s="32"/>
      <c r="DW20" s="33"/>
      <c r="DX20" s="34"/>
      <c r="DY20" s="34"/>
      <c r="DZ20" s="592"/>
      <c r="EA20" s="29"/>
      <c r="EB20" s="32"/>
      <c r="EC20" s="33"/>
      <c r="ED20" s="34"/>
      <c r="EE20" s="34"/>
      <c r="EF20" s="592"/>
      <c r="EG20" s="29"/>
      <c r="EH20" s="32"/>
      <c r="EI20" s="33"/>
      <c r="EJ20" s="34"/>
      <c r="EK20" s="34"/>
      <c r="EL20" s="592"/>
      <c r="EM20" s="29"/>
      <c r="EN20" s="32"/>
      <c r="EO20" s="33"/>
      <c r="EP20" s="34"/>
      <c r="EQ20" s="34"/>
      <c r="ER20" s="30"/>
      <c r="ES20" s="29">
        <f>400+300+100+200+250</f>
        <v>1250</v>
      </c>
      <c r="ET20" s="32">
        <f>2.1+2.2+2.1+1.8+2.9</f>
        <v>11.100000000000001</v>
      </c>
      <c r="EU20" s="33">
        <v>5</v>
      </c>
      <c r="EV20" s="34">
        <f t="shared" si="18"/>
        <v>112.61261261261259</v>
      </c>
      <c r="EW20" s="34">
        <f t="shared" si="18"/>
        <v>2.2200000000000002</v>
      </c>
      <c r="EX20" s="30"/>
      <c r="EY20" s="35">
        <v>1900</v>
      </c>
      <c r="EZ20" s="34">
        <v>14</v>
      </c>
      <c r="FA20" s="37">
        <v>5</v>
      </c>
      <c r="FB20" s="34">
        <f t="shared" si="118"/>
        <v>135.71428571428572</v>
      </c>
      <c r="FC20" s="34">
        <f t="shared" si="118"/>
        <v>2.8</v>
      </c>
      <c r="FE20" s="26"/>
      <c r="FF20" s="27"/>
      <c r="FG20" s="28"/>
      <c r="FH20" s="38"/>
      <c r="FI20" s="39"/>
      <c r="FK20" s="27">
        <f>150+100+50+50+50</f>
        <v>400</v>
      </c>
      <c r="FL20" s="40">
        <f>1.77+1.65+1.51+1.43+1.44</f>
        <v>7.7999999999999989</v>
      </c>
      <c r="FM20" s="27">
        <f>5</f>
        <v>5</v>
      </c>
      <c r="FN20" s="40">
        <f t="shared" si="97"/>
        <v>51.282051282051292</v>
      </c>
      <c r="FO20" s="40">
        <f t="shared" si="97"/>
        <v>1.5599999999999998</v>
      </c>
      <c r="FQ20" s="26"/>
      <c r="FR20" s="40"/>
      <c r="FS20" s="27"/>
      <c r="FT20" s="40"/>
      <c r="FU20" s="40"/>
      <c r="FW20" s="26">
        <f>100+400+200+200</f>
        <v>900</v>
      </c>
      <c r="FX20" s="27">
        <f>1.46+2.82+2.13+1.87</f>
        <v>8.2799999999999994</v>
      </c>
      <c r="FY20" s="27">
        <f>4</f>
        <v>4</v>
      </c>
      <c r="FZ20" s="40">
        <f t="shared" si="20"/>
        <v>108.69565217391305</v>
      </c>
      <c r="GA20" s="40">
        <f t="shared" si="20"/>
        <v>2.0699999999999998</v>
      </c>
      <c r="GC20" s="26">
        <f>50+200+50+50</f>
        <v>350</v>
      </c>
      <c r="GD20" s="27">
        <f>1.01+1.26+1.2+1.55</f>
        <v>5.0199999999999996</v>
      </c>
      <c r="GE20" s="27">
        <f>4</f>
        <v>4</v>
      </c>
      <c r="GF20" s="40">
        <f t="shared" si="21"/>
        <v>69.721115537848618</v>
      </c>
      <c r="GG20" s="40">
        <f t="shared" si="21"/>
        <v>1.2549999999999999</v>
      </c>
      <c r="GI20" s="26"/>
      <c r="GJ20" s="27"/>
      <c r="GK20" s="27"/>
      <c r="GL20" s="40"/>
      <c r="GM20" s="40"/>
      <c r="GO20" s="26">
        <f>100+100+100+50+50</f>
        <v>400</v>
      </c>
      <c r="GP20" s="27">
        <f>1.77+1.65+1.51+1.43+1.44</f>
        <v>7.7999999999999989</v>
      </c>
      <c r="GQ20" s="27">
        <f>5</f>
        <v>5</v>
      </c>
      <c r="GR20" s="40">
        <f t="shared" si="98"/>
        <v>51.282051282051292</v>
      </c>
      <c r="GS20" s="40">
        <f t="shared" si="98"/>
        <v>1.5599999999999998</v>
      </c>
      <c r="GU20" s="95"/>
      <c r="GV20" s="99"/>
      <c r="GW20" s="100"/>
      <c r="GX20" s="101"/>
      <c r="GY20" s="101"/>
      <c r="GZ20" s="43"/>
      <c r="HA20" s="26"/>
      <c r="HB20" s="39"/>
      <c r="HC20" s="28"/>
      <c r="HD20" s="105"/>
      <c r="HE20" s="39" t="s">
        <v>220</v>
      </c>
      <c r="HG20" s="26"/>
      <c r="HH20" s="27"/>
      <c r="HI20" s="27"/>
      <c r="HJ20" s="34"/>
      <c r="HK20" s="34"/>
      <c r="HM20" s="26"/>
      <c r="HN20" s="45"/>
      <c r="HO20" s="46"/>
      <c r="HP20" s="47"/>
      <c r="HQ20" s="47"/>
      <c r="HS20" s="26"/>
      <c r="HT20" s="45"/>
      <c r="HU20" s="46"/>
      <c r="HV20" s="48"/>
      <c r="HW20" s="48"/>
      <c r="HY20" s="45"/>
      <c r="HZ20" s="45"/>
      <c r="IA20" s="45"/>
      <c r="IB20" s="48"/>
      <c r="IC20" s="48"/>
      <c r="IE20" s="45">
        <f>200+200+200+200+200</f>
        <v>1000</v>
      </c>
      <c r="IF20" s="45">
        <f>1.95+2.4+2.1+1.71+2.22</f>
        <v>10.38</v>
      </c>
      <c r="IG20" s="45">
        <f>5</f>
        <v>5</v>
      </c>
      <c r="IH20" s="48">
        <f t="shared" si="27"/>
        <v>96.339113680154142</v>
      </c>
      <c r="II20" s="48">
        <f t="shared" si="27"/>
        <v>2.0760000000000001</v>
      </c>
      <c r="IK20" s="26">
        <f>100+200+200</f>
        <v>500</v>
      </c>
      <c r="IL20" s="45">
        <f>1.42+1.35+1.46</f>
        <v>4.2300000000000004</v>
      </c>
      <c r="IM20" s="45">
        <f>3</f>
        <v>3</v>
      </c>
      <c r="IN20" s="48">
        <f t="shared" si="28"/>
        <v>118.20330969267138</v>
      </c>
      <c r="IO20" s="48">
        <f t="shared" si="28"/>
        <v>1.4100000000000001</v>
      </c>
      <c r="IQ20" s="26">
        <f>100+100</f>
        <v>200</v>
      </c>
      <c r="IR20" s="45">
        <f>1.35+1.35</f>
        <v>2.7</v>
      </c>
      <c r="IS20" s="45">
        <v>2</v>
      </c>
      <c r="IT20" s="48">
        <f t="shared" ref="IT20:IT31" si="432">IQ20/IR20</f>
        <v>74.074074074074076</v>
      </c>
      <c r="IU20" s="48">
        <f t="shared" ref="IU20:IU31" si="433">IR20/IS20</f>
        <v>1.35</v>
      </c>
      <c r="IW20" s="26">
        <f>50+100+50+100+50</f>
        <v>350</v>
      </c>
      <c r="IX20" s="45">
        <f>1.18+1.24+1.38+0.87+1.05</f>
        <v>5.72</v>
      </c>
      <c r="IY20" s="45">
        <v>5</v>
      </c>
      <c r="IZ20" s="46">
        <f t="shared" ref="IZ20:IZ31" si="434">IW20/IX20</f>
        <v>61.188811188811194</v>
      </c>
      <c r="JA20" s="46">
        <f t="shared" ref="JA20:JA31" si="435">IX20/IY20</f>
        <v>1.1439999999999999</v>
      </c>
      <c r="JC20" s="26"/>
      <c r="JD20" s="45"/>
      <c r="JE20" s="45"/>
      <c r="JF20" s="46"/>
      <c r="JG20" s="46"/>
      <c r="JI20" s="26">
        <f>100+100+100+100+100</f>
        <v>500</v>
      </c>
      <c r="JJ20" s="45">
        <f>0.97+0.86+0.77+0.79+0.81</f>
        <v>4.2</v>
      </c>
      <c r="JK20" s="45">
        <v>5</v>
      </c>
      <c r="JL20" s="46">
        <f t="shared" ref="JL20:JL31" si="436">JI20/JJ20</f>
        <v>119.04761904761904</v>
      </c>
      <c r="JM20" s="46">
        <f t="shared" ref="JM20:JM31" si="437">JJ20/JK20</f>
        <v>0.84000000000000008</v>
      </c>
      <c r="JO20" s="26">
        <f>100+100+200+200+150</f>
        <v>750</v>
      </c>
      <c r="JP20" s="45">
        <f>2.32+2.29+2.28+2.31+2.21</f>
        <v>11.41</v>
      </c>
      <c r="JQ20" s="45">
        <v>5</v>
      </c>
      <c r="JR20" s="46">
        <f t="shared" ref="JR20:JR31" si="438">JO20/JP20</f>
        <v>65.731814198071859</v>
      </c>
      <c r="JS20" s="46">
        <f t="shared" ref="JS20:JS31" si="439">JP20/JQ20</f>
        <v>2.282</v>
      </c>
      <c r="JU20" s="26">
        <f>400+200+300+100+200</f>
        <v>1200</v>
      </c>
      <c r="JV20" s="45">
        <f>3.32+2.1+2.8+1.9+1.98</f>
        <v>12.1</v>
      </c>
      <c r="JW20" s="45">
        <v>5</v>
      </c>
      <c r="JX20" s="46">
        <f t="shared" si="363"/>
        <v>99.173553719008268</v>
      </c>
      <c r="JY20" s="46">
        <f t="shared" si="364"/>
        <v>2.42</v>
      </c>
      <c r="KA20" s="26">
        <f>300+200+350</f>
        <v>850</v>
      </c>
      <c r="KB20" s="45">
        <f>2.31+2.2+2.72</f>
        <v>7.23</v>
      </c>
      <c r="KC20" s="45">
        <v>3</v>
      </c>
      <c r="KD20" s="46">
        <f t="shared" si="365"/>
        <v>117.56569847856154</v>
      </c>
      <c r="KE20" s="46">
        <f t="shared" si="366"/>
        <v>2.41</v>
      </c>
      <c r="KG20" s="26">
        <f>200+250+400</f>
        <v>850</v>
      </c>
      <c r="KH20" s="27">
        <f>1.81+2.66+3.7</f>
        <v>8.1700000000000017</v>
      </c>
      <c r="KI20" s="45">
        <v>3</v>
      </c>
      <c r="KJ20" s="46">
        <f t="shared" si="367"/>
        <v>104.03916768665849</v>
      </c>
      <c r="KK20" s="46">
        <f t="shared" si="368"/>
        <v>2.723333333333334</v>
      </c>
      <c r="KM20" s="26">
        <f>200+200+200+100+100</f>
        <v>800</v>
      </c>
      <c r="KN20" s="27">
        <f>5.08+1.91</f>
        <v>6.99</v>
      </c>
      <c r="KO20" s="45">
        <v>5</v>
      </c>
      <c r="KP20" s="46">
        <f t="shared" si="369"/>
        <v>114.44921316165951</v>
      </c>
      <c r="KQ20" s="46">
        <f t="shared" si="369"/>
        <v>1.3980000000000001</v>
      </c>
      <c r="KS20" s="26"/>
      <c r="KT20" s="27"/>
      <c r="KU20" s="45"/>
      <c r="KV20" s="46" t="e">
        <f t="shared" si="370"/>
        <v>#DIV/0!</v>
      </c>
      <c r="KW20" s="46" t="e">
        <f t="shared" si="390"/>
        <v>#DIV/0!</v>
      </c>
      <c r="KY20" s="26"/>
      <c r="KZ20" s="27"/>
      <c r="LA20" s="45"/>
      <c r="LB20" s="46" t="e">
        <f t="shared" si="371"/>
        <v>#DIV/0!</v>
      </c>
      <c r="LC20" s="46" t="e">
        <f t="shared" si="391"/>
        <v>#DIV/0!</v>
      </c>
      <c r="LE20" s="26"/>
      <c r="LF20" s="27"/>
      <c r="LG20" s="45"/>
      <c r="LH20" s="46" t="e">
        <f t="shared" si="372"/>
        <v>#DIV/0!</v>
      </c>
      <c r="LI20" s="46" t="e">
        <f t="shared" si="392"/>
        <v>#DIV/0!</v>
      </c>
      <c r="LK20" s="26"/>
      <c r="LL20" s="27"/>
      <c r="LM20" s="45"/>
      <c r="LN20" s="46" t="e">
        <f t="shared" si="373"/>
        <v>#DIV/0!</v>
      </c>
      <c r="LO20" s="46" t="e">
        <f t="shared" si="393"/>
        <v>#DIV/0!</v>
      </c>
      <c r="LQ20" s="26">
        <f>100+100+100+100+100</f>
        <v>500</v>
      </c>
      <c r="LR20" s="27">
        <f>1.29+1.03+1.18+1.3+1.07</f>
        <v>5.87</v>
      </c>
      <c r="LS20" s="45">
        <v>5</v>
      </c>
      <c r="LT20" s="46">
        <f t="shared" si="374"/>
        <v>85.178875638841561</v>
      </c>
      <c r="LU20" s="46">
        <f t="shared" si="394"/>
        <v>1.1739999999999999</v>
      </c>
      <c r="LW20" s="26">
        <f>100+100+100+100+100</f>
        <v>500</v>
      </c>
      <c r="LX20" s="27">
        <f>1.37+1.5+1.3+1.35+1.28</f>
        <v>6.8</v>
      </c>
      <c r="LY20" s="45">
        <v>5</v>
      </c>
      <c r="LZ20" s="46">
        <f t="shared" si="375"/>
        <v>73.529411764705884</v>
      </c>
      <c r="MA20" s="46">
        <f t="shared" si="395"/>
        <v>1.3599999999999999</v>
      </c>
      <c r="MC20" s="26">
        <f>150+200+150+200+150</f>
        <v>850</v>
      </c>
      <c r="MD20" s="27">
        <f>1.33+1.41+1.27+1.61+1.2</f>
        <v>6.82</v>
      </c>
      <c r="ME20" s="45">
        <v>5</v>
      </c>
      <c r="MF20" s="46">
        <f t="shared" si="376"/>
        <v>124.63343108504398</v>
      </c>
      <c r="MG20" s="46">
        <f t="shared" si="396"/>
        <v>1.3640000000000001</v>
      </c>
      <c r="MI20" s="26"/>
      <c r="MJ20" s="27"/>
      <c r="MK20" s="45"/>
      <c r="ML20" s="46" t="e">
        <f t="shared" si="377"/>
        <v>#DIV/0!</v>
      </c>
      <c r="MM20" s="46" t="e">
        <f t="shared" si="397"/>
        <v>#DIV/0!</v>
      </c>
      <c r="MO20" s="26"/>
      <c r="MP20" s="27"/>
      <c r="MQ20" s="45"/>
      <c r="MR20" s="46" t="e">
        <f t="shared" si="378"/>
        <v>#DIV/0!</v>
      </c>
      <c r="MS20" s="46" t="e">
        <f t="shared" si="398"/>
        <v>#DIV/0!</v>
      </c>
      <c r="MU20" s="26"/>
      <c r="MV20" s="27"/>
      <c r="MW20" s="45"/>
      <c r="MX20" s="46" t="e">
        <f t="shared" si="379"/>
        <v>#DIV/0!</v>
      </c>
      <c r="MY20" s="46" t="e">
        <f t="shared" si="399"/>
        <v>#DIV/0!</v>
      </c>
      <c r="NA20" s="823">
        <f>200+200+200+200+300</f>
        <v>1100</v>
      </c>
      <c r="NB20" s="823">
        <f>1.87+1.59+1.78+1.88+3.76</f>
        <v>10.879999999999999</v>
      </c>
      <c r="NC20" s="823">
        <v>5</v>
      </c>
      <c r="ND20" s="46">
        <f t="shared" si="380"/>
        <v>101.10294117647059</v>
      </c>
      <c r="NE20" s="46">
        <f t="shared" si="400"/>
        <v>2.1759999999999997</v>
      </c>
      <c r="NG20" s="823"/>
      <c r="NH20" s="823"/>
      <c r="NI20" s="823"/>
      <c r="NJ20" s="46" t="e">
        <f t="shared" si="381"/>
        <v>#DIV/0!</v>
      </c>
      <c r="NK20" s="46" t="e">
        <f t="shared" si="401"/>
        <v>#DIV/0!</v>
      </c>
      <c r="NM20" s="823">
        <f>200+150+200+200+200</f>
        <v>950</v>
      </c>
      <c r="NN20" s="823">
        <f>2.1+2.4+1.65+1.72+2.01</f>
        <v>9.879999999999999</v>
      </c>
      <c r="NO20" s="823">
        <v>5</v>
      </c>
      <c r="NP20" s="46">
        <f t="shared" si="382"/>
        <v>96.15384615384616</v>
      </c>
      <c r="NQ20" s="46">
        <f t="shared" si="402"/>
        <v>1.9759999999999998</v>
      </c>
      <c r="NS20" s="823">
        <f>100+150+200+200+200</f>
        <v>850</v>
      </c>
      <c r="NT20" s="823">
        <f>1.51+1.46+2.09+2.01+2.1</f>
        <v>9.17</v>
      </c>
      <c r="NU20" s="823">
        <v>5</v>
      </c>
      <c r="NV20" s="46">
        <f t="shared" si="383"/>
        <v>92.693565976008728</v>
      </c>
      <c r="NW20" s="46">
        <f t="shared" si="403"/>
        <v>1.8340000000000001</v>
      </c>
      <c r="NY20" s="910">
        <f>200+200+200+200+200</f>
        <v>1000</v>
      </c>
      <c r="NZ20" s="910">
        <f>1.1+0.85+0.98+1.12+1.12</f>
        <v>5.1700000000000008</v>
      </c>
      <c r="OA20" s="910">
        <v>5</v>
      </c>
      <c r="OB20" s="46">
        <f t="shared" si="384"/>
        <v>193.42359767891679</v>
      </c>
      <c r="OC20" s="46">
        <f t="shared" si="404"/>
        <v>1.0340000000000003</v>
      </c>
      <c r="OE20" s="823">
        <f>200+200+100+100+250</f>
        <v>850</v>
      </c>
      <c r="OF20" s="823">
        <f>1.37+1.3+1.23+1.2+1.6</f>
        <v>6.6999999999999993</v>
      </c>
      <c r="OG20" s="823">
        <v>5</v>
      </c>
      <c r="OH20" s="46">
        <f t="shared" si="385"/>
        <v>126.86567164179105</v>
      </c>
      <c r="OI20" s="46">
        <f t="shared" si="405"/>
        <v>1.3399999999999999</v>
      </c>
    </row>
    <row r="21" spans="1:399">
      <c r="B21" s="11"/>
      <c r="C21" s="13" t="s">
        <v>30</v>
      </c>
      <c r="D21" s="13" t="s">
        <v>26</v>
      </c>
      <c r="E21" s="29">
        <f>200+500+400+200+300</f>
        <v>1600</v>
      </c>
      <c r="F21" s="32">
        <f>1.61+2.54+1.99+2.69+1.3</f>
        <v>10.130000000000001</v>
      </c>
      <c r="G21" s="33">
        <v>5</v>
      </c>
      <c r="H21" s="34">
        <f t="shared" ref="H21" si="440">E21/F21</f>
        <v>157.9466929911155</v>
      </c>
      <c r="I21" s="34">
        <f t="shared" ref="I21" si="441">F21/G21</f>
        <v>2.0260000000000002</v>
      </c>
      <c r="J21" s="30"/>
      <c r="K21" s="29"/>
      <c r="L21" s="32"/>
      <c r="M21" s="33"/>
      <c r="N21" s="34"/>
      <c r="O21" s="34"/>
      <c r="P21" s="30"/>
      <c r="Q21" s="29"/>
      <c r="R21" s="32"/>
      <c r="S21" s="33"/>
      <c r="T21" s="34"/>
      <c r="U21" s="34"/>
      <c r="V21" s="30"/>
      <c r="W21" s="29"/>
      <c r="X21" s="32"/>
      <c r="Y21" s="33"/>
      <c r="Z21" s="34"/>
      <c r="AA21" s="34"/>
      <c r="AB21" s="30"/>
      <c r="AC21" s="29"/>
      <c r="AD21" s="32"/>
      <c r="AE21" s="33"/>
      <c r="AF21" s="34"/>
      <c r="AG21" s="34"/>
      <c r="AH21" s="30"/>
      <c r="AI21" s="29"/>
      <c r="AJ21" s="32"/>
      <c r="AK21" s="33"/>
      <c r="AL21" s="34"/>
      <c r="AM21" s="34"/>
      <c r="AN21" s="30"/>
      <c r="AO21" s="29"/>
      <c r="AP21" s="32"/>
      <c r="AQ21" s="33"/>
      <c r="AR21" s="34"/>
      <c r="AS21" s="34"/>
      <c r="AT21" s="30"/>
      <c r="AU21" s="29"/>
      <c r="AV21" s="32"/>
      <c r="AW21" s="33"/>
      <c r="AX21" s="34"/>
      <c r="AY21" s="34"/>
      <c r="AZ21" s="592"/>
      <c r="BA21" s="29"/>
      <c r="BB21" s="32"/>
      <c r="BC21" s="33"/>
      <c r="BD21" s="34"/>
      <c r="BE21" s="34"/>
      <c r="BF21" s="592"/>
      <c r="BG21" s="29"/>
      <c r="BH21" s="32"/>
      <c r="BI21" s="33"/>
      <c r="BJ21" s="34"/>
      <c r="BK21" s="34"/>
      <c r="BL21" s="592"/>
      <c r="BM21" s="29"/>
      <c r="BN21" s="32"/>
      <c r="BO21" s="33"/>
      <c r="BP21" s="34"/>
      <c r="BQ21" s="34"/>
      <c r="BR21" s="30"/>
      <c r="BS21" s="29"/>
      <c r="BT21" s="32"/>
      <c r="BU21" s="33"/>
      <c r="BV21" s="34"/>
      <c r="BW21" s="34"/>
      <c r="BX21" s="592"/>
      <c r="BY21" s="29"/>
      <c r="BZ21" s="32"/>
      <c r="CA21" s="33"/>
      <c r="CB21" s="34"/>
      <c r="CC21" s="34"/>
      <c r="CD21" s="592"/>
      <c r="CE21" s="29">
        <v>9500</v>
      </c>
      <c r="CF21" s="32">
        <v>84</v>
      </c>
      <c r="CG21" s="33">
        <v>5</v>
      </c>
      <c r="CH21" s="34">
        <f t="shared" ref="CH21" si="442">CE21/CF21</f>
        <v>113.0952380952381</v>
      </c>
      <c r="CI21" s="34">
        <f t="shared" ref="CI21" si="443">CF21/CG21</f>
        <v>16.8</v>
      </c>
      <c r="CJ21" s="592"/>
      <c r="CK21" s="29"/>
      <c r="CL21" s="32"/>
      <c r="CM21" s="33"/>
      <c r="CN21" s="34"/>
      <c r="CO21" s="34"/>
      <c r="CP21" s="592"/>
      <c r="CQ21" s="29"/>
      <c r="CR21" s="32"/>
      <c r="CS21" s="33"/>
      <c r="CT21" s="34"/>
      <c r="CU21" s="34"/>
      <c r="CV21" s="592"/>
      <c r="CW21" s="29"/>
      <c r="CX21" s="32"/>
      <c r="CY21" s="33"/>
      <c r="CZ21" s="34"/>
      <c r="DA21" s="34"/>
      <c r="DB21" s="592"/>
      <c r="DC21" s="29"/>
      <c r="DD21" s="32"/>
      <c r="DE21" s="33"/>
      <c r="DF21" s="34"/>
      <c r="DG21" s="34"/>
      <c r="DH21" s="592"/>
      <c r="DI21" s="29"/>
      <c r="DJ21" s="32"/>
      <c r="DK21" s="33"/>
      <c r="DL21" s="34"/>
      <c r="DM21" s="34"/>
      <c r="DN21" s="592"/>
      <c r="DO21" s="29"/>
      <c r="DP21" s="32"/>
      <c r="DQ21" s="33"/>
      <c r="DR21" s="34"/>
      <c r="DS21" s="34"/>
      <c r="DT21" s="592"/>
      <c r="DU21" s="29"/>
      <c r="DV21" s="32"/>
      <c r="DW21" s="33"/>
      <c r="DX21" s="34"/>
      <c r="DY21" s="34"/>
      <c r="DZ21" s="592"/>
      <c r="EA21" s="29"/>
      <c r="EB21" s="32"/>
      <c r="EC21" s="33"/>
      <c r="ED21" s="34"/>
      <c r="EE21" s="34"/>
      <c r="EF21" s="592"/>
      <c r="EG21" s="29"/>
      <c r="EH21" s="32"/>
      <c r="EI21" s="33"/>
      <c r="EJ21" s="34"/>
      <c r="EK21" s="34"/>
      <c r="EL21" s="592"/>
      <c r="EM21" s="29"/>
      <c r="EN21" s="32"/>
      <c r="EO21" s="33"/>
      <c r="EP21" s="34"/>
      <c r="EQ21" s="34"/>
      <c r="ER21" s="30"/>
      <c r="ES21" s="29"/>
      <c r="ET21" s="32"/>
      <c r="EU21" s="33"/>
      <c r="EV21" s="34"/>
      <c r="EW21" s="34"/>
      <c r="EX21" s="30"/>
      <c r="EY21" s="35">
        <v>9500</v>
      </c>
      <c r="EZ21" s="34">
        <v>84</v>
      </c>
      <c r="FA21" s="37">
        <v>5</v>
      </c>
      <c r="FB21" s="34">
        <f t="shared" si="118"/>
        <v>113.0952380952381</v>
      </c>
      <c r="FC21" s="34">
        <f t="shared" si="118"/>
        <v>16.8</v>
      </c>
      <c r="FE21" s="26"/>
      <c r="FF21" s="27"/>
      <c r="FG21" s="28"/>
      <c r="FH21" s="38"/>
      <c r="FI21" s="39"/>
      <c r="FK21" s="27">
        <f>500+400</f>
        <v>900</v>
      </c>
      <c r="FL21" s="40">
        <f>7.74+5.99</f>
        <v>13.73</v>
      </c>
      <c r="FM21" s="27">
        <f>2</f>
        <v>2</v>
      </c>
      <c r="FN21" s="40">
        <f t="shared" si="97"/>
        <v>65.549890750182087</v>
      </c>
      <c r="FO21" s="40">
        <f t="shared" si="97"/>
        <v>6.8650000000000002</v>
      </c>
      <c r="FQ21" s="26">
        <f>500+500+700+600</f>
        <v>2300</v>
      </c>
      <c r="FR21" s="40">
        <f>8.12+7.5+11.23+10.26</f>
        <v>37.11</v>
      </c>
      <c r="FS21" s="27">
        <f>4</f>
        <v>4</v>
      </c>
      <c r="FT21" s="40">
        <f t="shared" si="19"/>
        <v>61.977903530045808</v>
      </c>
      <c r="FU21" s="40">
        <f t="shared" si="19"/>
        <v>9.2774999999999999</v>
      </c>
      <c r="FW21" s="26">
        <f>500+600</f>
        <v>1100</v>
      </c>
      <c r="FX21" s="27">
        <f>7.38+7.71</f>
        <v>15.09</v>
      </c>
      <c r="FY21" s="27">
        <f>2</f>
        <v>2</v>
      </c>
      <c r="FZ21" s="40">
        <f t="shared" si="20"/>
        <v>72.895957587806492</v>
      </c>
      <c r="GA21" s="40">
        <f t="shared" si="20"/>
        <v>7.5449999999999999</v>
      </c>
      <c r="GC21" s="26"/>
      <c r="GD21" s="27"/>
      <c r="GE21" s="27"/>
      <c r="GF21" s="40"/>
      <c r="GG21" s="40"/>
      <c r="GI21" s="26">
        <f>2000+700</f>
        <v>2700</v>
      </c>
      <c r="GJ21" s="27">
        <f>15.5+11.71</f>
        <v>27.21</v>
      </c>
      <c r="GK21" s="27">
        <f>2</f>
        <v>2</v>
      </c>
      <c r="GL21" s="40">
        <f t="shared" si="22"/>
        <v>99.228224917309817</v>
      </c>
      <c r="GM21" s="40">
        <f t="shared" si="22"/>
        <v>13.605</v>
      </c>
      <c r="GO21" s="26">
        <f>1500+2000</f>
        <v>3500</v>
      </c>
      <c r="GP21" s="40">
        <f>14.7+15.5</f>
        <v>30.2</v>
      </c>
      <c r="GQ21" s="27">
        <f>2</f>
        <v>2</v>
      </c>
      <c r="GR21" s="40">
        <f t="shared" si="98"/>
        <v>115.89403973509934</v>
      </c>
      <c r="GS21" s="40">
        <f t="shared" si="98"/>
        <v>15.1</v>
      </c>
      <c r="GU21" s="95"/>
      <c r="GV21" s="99"/>
      <c r="GW21" s="100"/>
      <c r="GX21" s="101"/>
      <c r="GY21" s="101"/>
      <c r="GZ21" s="43"/>
      <c r="HA21" s="26">
        <f>500+500+500+600+400</f>
        <v>2500</v>
      </c>
      <c r="HB21" s="39">
        <f>4.95+1.3+2.5+2.5+1.2</f>
        <v>12.45</v>
      </c>
      <c r="HC21" s="28">
        <v>5</v>
      </c>
      <c r="HD21" s="106">
        <f t="shared" si="24"/>
        <v>200.80321285140565</v>
      </c>
      <c r="HE21" s="106">
        <f t="shared" si="24"/>
        <v>2.4899999999999998</v>
      </c>
      <c r="HG21" s="26">
        <f>800+400+500+500</f>
        <v>2200</v>
      </c>
      <c r="HH21" s="40">
        <f>9.6+8.28+9.16+10.77</f>
        <v>37.81</v>
      </c>
      <c r="HI21" s="27">
        <f>4</f>
        <v>4</v>
      </c>
      <c r="HJ21" s="34">
        <f t="shared" si="25"/>
        <v>58.185665167944983</v>
      </c>
      <c r="HK21" s="34">
        <f t="shared" si="25"/>
        <v>9.4525000000000006</v>
      </c>
      <c r="HM21" s="26">
        <f>200+500+400+200+300</f>
        <v>1600</v>
      </c>
      <c r="HN21" s="45">
        <f>1.61+2.54+1.99+2.69+1.3</f>
        <v>10.130000000000001</v>
      </c>
      <c r="HO21" s="46">
        <v>5</v>
      </c>
      <c r="HP21" s="47">
        <f t="shared" si="99"/>
        <v>157.9466929911155</v>
      </c>
      <c r="HQ21" s="47">
        <f t="shared" si="99"/>
        <v>2.0260000000000002</v>
      </c>
      <c r="HS21" s="26"/>
      <c r="HT21" s="45"/>
      <c r="HU21" s="46"/>
      <c r="HV21" s="48"/>
      <c r="HW21" s="48"/>
      <c r="HY21" s="45">
        <f>1500</f>
        <v>1500</v>
      </c>
      <c r="HZ21" s="45">
        <f>20.15</f>
        <v>20.149999999999999</v>
      </c>
      <c r="IA21" s="45">
        <f>1</f>
        <v>1</v>
      </c>
      <c r="IB21" s="48">
        <f t="shared" si="141"/>
        <v>74.441687344913163</v>
      </c>
      <c r="IC21" s="48">
        <f t="shared" si="141"/>
        <v>20.149999999999999</v>
      </c>
      <c r="IE21" s="45">
        <f>200+200+200+150+100</f>
        <v>850</v>
      </c>
      <c r="IF21" s="45">
        <f>1.46+1.82+1.19+1.27+2.11</f>
        <v>7.85</v>
      </c>
      <c r="IG21" s="45">
        <f>5</f>
        <v>5</v>
      </c>
      <c r="IH21" s="48">
        <f t="shared" si="27"/>
        <v>108.28025477707007</v>
      </c>
      <c r="II21" s="48">
        <f t="shared" si="27"/>
        <v>1.5699999999999998</v>
      </c>
      <c r="IK21" s="26">
        <f>500+500+500+400+300</f>
        <v>2200</v>
      </c>
      <c r="IL21" s="40">
        <f>9.14+9.02+8.06+11.6+7.8</f>
        <v>45.62</v>
      </c>
      <c r="IM21" s="45">
        <f>5</f>
        <v>5</v>
      </c>
      <c r="IN21" s="48">
        <f t="shared" si="28"/>
        <v>48.22446295484437</v>
      </c>
      <c r="IO21" s="48">
        <f t="shared" si="28"/>
        <v>9.1239999999999988</v>
      </c>
      <c r="IQ21" s="26"/>
      <c r="IR21" s="40"/>
      <c r="IS21" s="45"/>
      <c r="IT21" s="48"/>
      <c r="IU21" s="48"/>
      <c r="IW21" s="26">
        <f>400+400+500+400+400</f>
        <v>2100</v>
      </c>
      <c r="IX21" s="40">
        <f>4.58+4.86+6.08+4.57+4.61</f>
        <v>24.700000000000003</v>
      </c>
      <c r="IY21" s="45">
        <v>5</v>
      </c>
      <c r="IZ21" s="46">
        <f t="shared" si="434"/>
        <v>85.020242914979747</v>
      </c>
      <c r="JA21" s="46">
        <f t="shared" si="435"/>
        <v>4.9400000000000004</v>
      </c>
      <c r="JC21" s="26">
        <f>900+800</f>
        <v>1700</v>
      </c>
      <c r="JD21" s="40">
        <f>14.52+14.3</f>
        <v>28.82</v>
      </c>
      <c r="JE21" s="45">
        <v>2</v>
      </c>
      <c r="JF21" s="46">
        <f t="shared" ref="JF21:JF31" si="444">JC21/JD21</f>
        <v>58.986814712005554</v>
      </c>
      <c r="JG21" s="46">
        <f t="shared" ref="JG21:JG31" si="445">JD21/JE21</f>
        <v>14.41</v>
      </c>
      <c r="JI21" s="26">
        <f>200+600+700+200+600</f>
        <v>2300</v>
      </c>
      <c r="JJ21" s="40">
        <f>4.43+11.81+10.23+4.72+9.01</f>
        <v>40.200000000000003</v>
      </c>
      <c r="JK21" s="45">
        <v>5</v>
      </c>
      <c r="JL21" s="46">
        <f t="shared" si="436"/>
        <v>57.2139303482587</v>
      </c>
      <c r="JM21" s="46">
        <f t="shared" si="437"/>
        <v>8.0400000000000009</v>
      </c>
      <c r="JO21" s="26"/>
      <c r="JP21" s="40"/>
      <c r="JQ21" s="45"/>
      <c r="JR21" s="46"/>
      <c r="JS21" s="46"/>
      <c r="JU21" s="26"/>
      <c r="JV21" s="40"/>
      <c r="JW21" s="45"/>
      <c r="JX21" s="46"/>
      <c r="JY21" s="46"/>
      <c r="KA21" s="26"/>
      <c r="KB21" s="40"/>
      <c r="KC21" s="45"/>
      <c r="KD21" s="46"/>
      <c r="KE21" s="46"/>
      <c r="KG21" s="26"/>
      <c r="KH21" s="40"/>
      <c r="KI21" s="45"/>
      <c r="KJ21" s="46"/>
      <c r="KK21" s="46"/>
      <c r="KM21" s="26"/>
      <c r="KN21" s="40"/>
      <c r="KO21" s="45"/>
      <c r="KP21" s="46" t="e">
        <f t="shared" si="369"/>
        <v>#DIV/0!</v>
      </c>
      <c r="KQ21" s="46" t="e">
        <f>KN21/KO21</f>
        <v>#DIV/0!</v>
      </c>
      <c r="KS21" s="26">
        <f>1000+600+800+1200+1000</f>
        <v>4600</v>
      </c>
      <c r="KT21" s="40">
        <f>6.5+8.58+9.53+8.69+10</f>
        <v>43.3</v>
      </c>
      <c r="KU21" s="45">
        <v>5</v>
      </c>
      <c r="KV21" s="46">
        <f t="shared" si="370"/>
        <v>106.23556581986143</v>
      </c>
      <c r="KW21" s="46">
        <f>KT21/KU21</f>
        <v>8.66</v>
      </c>
      <c r="KY21" s="26"/>
      <c r="KZ21" s="40"/>
      <c r="LA21" s="45"/>
      <c r="LB21" s="46" t="e">
        <f t="shared" si="371"/>
        <v>#DIV/0!</v>
      </c>
      <c r="LC21" s="46" t="e">
        <f>KZ21/LA21</f>
        <v>#DIV/0!</v>
      </c>
      <c r="LE21" s="26"/>
      <c r="LF21" s="40"/>
      <c r="LG21" s="45"/>
      <c r="LH21" s="46" t="e">
        <f t="shared" si="372"/>
        <v>#DIV/0!</v>
      </c>
      <c r="LI21" s="46" t="e">
        <f>LF21/LG21</f>
        <v>#DIV/0!</v>
      </c>
      <c r="LK21" s="26"/>
      <c r="LL21" s="40"/>
      <c r="LM21" s="45"/>
      <c r="LN21" s="46" t="e">
        <f t="shared" si="373"/>
        <v>#DIV/0!</v>
      </c>
      <c r="LO21" s="46" t="e">
        <f>LL21/LM21</f>
        <v>#DIV/0!</v>
      </c>
      <c r="LQ21" s="26"/>
      <c r="LR21" s="40"/>
      <c r="LS21" s="45"/>
      <c r="LT21" s="46" t="e">
        <f t="shared" si="374"/>
        <v>#DIV/0!</v>
      </c>
      <c r="LU21" s="46" t="e">
        <f>LR21/LS21</f>
        <v>#DIV/0!</v>
      </c>
      <c r="LW21" s="26"/>
      <c r="LX21" s="40"/>
      <c r="LY21" s="45"/>
      <c r="LZ21" s="46" t="e">
        <f t="shared" si="375"/>
        <v>#DIV/0!</v>
      </c>
      <c r="MA21" s="46" t="e">
        <f>LX21/LY21</f>
        <v>#DIV/0!</v>
      </c>
      <c r="MC21" s="26"/>
      <c r="MD21" s="40"/>
      <c r="ME21" s="45"/>
      <c r="MF21" s="46" t="e">
        <f t="shared" si="376"/>
        <v>#DIV/0!</v>
      </c>
      <c r="MG21" s="46" t="e">
        <f>MD21/ME21</f>
        <v>#DIV/0!</v>
      </c>
      <c r="MI21" s="26"/>
      <c r="MJ21" s="40"/>
      <c r="MK21" s="45"/>
      <c r="ML21" s="46" t="e">
        <f t="shared" si="377"/>
        <v>#DIV/0!</v>
      </c>
      <c r="MM21" s="46" t="e">
        <f>MJ21/MK21</f>
        <v>#DIV/0!</v>
      </c>
      <c r="MO21" s="26"/>
      <c r="MP21" s="40"/>
      <c r="MQ21" s="45"/>
      <c r="MR21" s="46" t="e">
        <f t="shared" si="378"/>
        <v>#DIV/0!</v>
      </c>
      <c r="MS21" s="46" t="e">
        <f>MP21/MQ21</f>
        <v>#DIV/0!</v>
      </c>
      <c r="MU21" s="26"/>
      <c r="MV21" s="40"/>
      <c r="MW21" s="45"/>
      <c r="MX21" s="46" t="e">
        <f t="shared" si="379"/>
        <v>#DIV/0!</v>
      </c>
      <c r="MY21" s="46" t="e">
        <f>MV21/MW21</f>
        <v>#DIV/0!</v>
      </c>
      <c r="NA21" s="823">
        <f>500+200+800+600</f>
        <v>2100</v>
      </c>
      <c r="NB21" s="823">
        <f>9.65+2.32+9.3+8.6</f>
        <v>29.870000000000005</v>
      </c>
      <c r="NC21" s="823">
        <v>4</v>
      </c>
      <c r="ND21" s="46">
        <f t="shared" si="380"/>
        <v>70.304653498493465</v>
      </c>
      <c r="NE21" s="46">
        <f>NB21/NC21</f>
        <v>7.4675000000000011</v>
      </c>
      <c r="NG21" s="823"/>
      <c r="NH21" s="823"/>
      <c r="NI21" s="823"/>
      <c r="NJ21" s="46" t="e">
        <f t="shared" si="381"/>
        <v>#DIV/0!</v>
      </c>
      <c r="NK21" s="46" t="e">
        <f>NH21/NI21</f>
        <v>#DIV/0!</v>
      </c>
      <c r="NM21" s="823"/>
      <c r="NN21" s="823"/>
      <c r="NO21" s="823"/>
      <c r="NP21" s="46" t="e">
        <f t="shared" si="382"/>
        <v>#DIV/0!</v>
      </c>
      <c r="NQ21" s="46" t="e">
        <f>NN21/NO21</f>
        <v>#DIV/0!</v>
      </c>
      <c r="NS21" s="823">
        <f>300+300+500+500+500</f>
        <v>2100</v>
      </c>
      <c r="NT21" s="823">
        <f>9.01+7.02+7.29+6.2+5.2</f>
        <v>34.72</v>
      </c>
      <c r="NU21" s="823">
        <v>5</v>
      </c>
      <c r="NV21" s="46">
        <f t="shared" si="383"/>
        <v>60.483870967741936</v>
      </c>
      <c r="NW21" s="46">
        <f>NT21/NU21</f>
        <v>6.944</v>
      </c>
      <c r="NY21" s="910">
        <f>600+600+500+500+600</f>
        <v>2800</v>
      </c>
      <c r="NZ21" s="910">
        <f>13.18+14.24+13.21+14.15+14.31</f>
        <v>69.09</v>
      </c>
      <c r="OA21" s="910">
        <v>5</v>
      </c>
      <c r="OB21" s="46">
        <f t="shared" si="384"/>
        <v>40.526849037487331</v>
      </c>
      <c r="OC21" s="46">
        <f>NZ21/OA21</f>
        <v>13.818000000000001</v>
      </c>
      <c r="OE21" s="823"/>
      <c r="OF21" s="823"/>
      <c r="OG21" s="823"/>
      <c r="OH21" s="46" t="e">
        <f t="shared" si="385"/>
        <v>#DIV/0!</v>
      </c>
      <c r="OI21" s="46" t="e">
        <f>OF21/OG21</f>
        <v>#DIV/0!</v>
      </c>
    </row>
    <row r="22" spans="1:399">
      <c r="B22" s="11"/>
      <c r="C22" s="16"/>
      <c r="D22" s="13" t="s">
        <v>27</v>
      </c>
      <c r="E22" s="29"/>
      <c r="F22" s="32"/>
      <c r="G22" s="33"/>
      <c r="H22" s="34"/>
      <c r="I22" s="34"/>
      <c r="J22" s="30"/>
      <c r="K22" s="29"/>
      <c r="L22" s="32"/>
      <c r="M22" s="33"/>
      <c r="N22" s="34"/>
      <c r="O22" s="34"/>
      <c r="P22" s="30"/>
      <c r="Q22" s="29"/>
      <c r="R22" s="32"/>
      <c r="S22" s="33"/>
      <c r="T22" s="34"/>
      <c r="U22" s="34"/>
      <c r="V22" s="30"/>
      <c r="W22" s="29"/>
      <c r="X22" s="32"/>
      <c r="Y22" s="33"/>
      <c r="Z22" s="34"/>
      <c r="AA22" s="34"/>
      <c r="AB22" s="30"/>
      <c r="AC22" s="29"/>
      <c r="AD22" s="32"/>
      <c r="AE22" s="33"/>
      <c r="AF22" s="34"/>
      <c r="AG22" s="34"/>
      <c r="AH22" s="30"/>
      <c r="AI22" s="29"/>
      <c r="AJ22" s="32"/>
      <c r="AK22" s="33"/>
      <c r="AL22" s="34"/>
      <c r="AM22" s="34"/>
      <c r="AN22" s="30"/>
      <c r="AO22" s="29"/>
      <c r="AP22" s="32"/>
      <c r="AQ22" s="33"/>
      <c r="AR22" s="34"/>
      <c r="AS22" s="34"/>
      <c r="AT22" s="30"/>
      <c r="AU22" s="29">
        <f>300+300+300+200+200</f>
        <v>1300</v>
      </c>
      <c r="AV22" s="32">
        <f>2.43+1.97+2.16+1.4+1.02</f>
        <v>8.98</v>
      </c>
      <c r="AW22" s="33">
        <v>5</v>
      </c>
      <c r="AX22" s="34">
        <f t="shared" si="418"/>
        <v>144.76614699331847</v>
      </c>
      <c r="AY22" s="34">
        <f t="shared" si="419"/>
        <v>1.796</v>
      </c>
      <c r="AZ22" s="592"/>
      <c r="BA22" s="29">
        <f>200+200+200+200+200</f>
        <v>1000</v>
      </c>
      <c r="BB22" s="32">
        <f>2.78+5.26+2.92+2.3+3.82</f>
        <v>17.079999999999998</v>
      </c>
      <c r="BC22" s="33">
        <v>5</v>
      </c>
      <c r="BD22" s="34">
        <f t="shared" ref="BD22" si="446">BA22/BB22</f>
        <v>58.548009367681502</v>
      </c>
      <c r="BE22" s="34">
        <f t="shared" ref="BE22" si="447">BB22/BC22</f>
        <v>3.4159999999999995</v>
      </c>
      <c r="BF22" s="592"/>
      <c r="BG22" s="29"/>
      <c r="BH22" s="32"/>
      <c r="BI22" s="33"/>
      <c r="BJ22" s="34"/>
      <c r="BK22" s="34"/>
      <c r="BL22" s="592"/>
      <c r="BM22" s="29"/>
      <c r="BN22" s="32"/>
      <c r="BO22" s="33"/>
      <c r="BP22" s="34"/>
      <c r="BQ22" s="34"/>
      <c r="BR22" s="30"/>
      <c r="BS22" s="29">
        <f>600+400+500+500+2000+800</f>
        <v>4800</v>
      </c>
      <c r="BT22" s="32">
        <f>16.07+12.4+19.01+22.08+16.8</f>
        <v>86.36</v>
      </c>
      <c r="BU22" s="33">
        <v>5</v>
      </c>
      <c r="BV22" s="34">
        <f t="shared" ref="BV22" si="448">BS22/BT22</f>
        <v>55.581287633163505</v>
      </c>
      <c r="BW22" s="34">
        <f t="shared" ref="BW22" si="449">BT22/BU22</f>
        <v>17.271999999999998</v>
      </c>
      <c r="BX22" s="592"/>
      <c r="BY22" s="29">
        <f>300+300+300+200+200</f>
        <v>1300</v>
      </c>
      <c r="BZ22" s="32">
        <f>2.5+2.2+2.3+2.1+1.9</f>
        <v>11</v>
      </c>
      <c r="CA22" s="33">
        <v>5</v>
      </c>
      <c r="CB22" s="34">
        <f t="shared" ref="CB22:CB38" si="450">BY22/BZ22</f>
        <v>118.18181818181819</v>
      </c>
      <c r="CC22" s="34">
        <f t="shared" ref="CC22:CC38" si="451">BZ22/CA22</f>
        <v>2.2000000000000002</v>
      </c>
      <c r="CD22" s="592"/>
      <c r="CE22" s="29">
        <v>1200</v>
      </c>
      <c r="CF22" s="32">
        <v>14</v>
      </c>
      <c r="CG22" s="33">
        <v>5</v>
      </c>
      <c r="CH22" s="34">
        <f t="shared" ref="CH22" si="452">CE22/CF22</f>
        <v>85.714285714285708</v>
      </c>
      <c r="CI22" s="34">
        <f t="shared" ref="CI22" si="453">CF22/CG22</f>
        <v>2.8</v>
      </c>
      <c r="CJ22" s="592"/>
      <c r="CK22" s="29">
        <f>200+300+300+500+300</f>
        <v>1600</v>
      </c>
      <c r="CL22" s="32">
        <f>2.05+2.58+2.86+4.17+3.23</f>
        <v>14.89</v>
      </c>
      <c r="CM22" s="33">
        <v>5</v>
      </c>
      <c r="CN22" s="34">
        <f t="shared" ref="CN22" si="454">CK22/CL22</f>
        <v>107.45466756212222</v>
      </c>
      <c r="CO22" s="34">
        <f t="shared" ref="CO22" si="455">CL22/CM22</f>
        <v>2.9780000000000002</v>
      </c>
      <c r="CP22" s="592"/>
      <c r="CQ22" s="29"/>
      <c r="CR22" s="32"/>
      <c r="CS22" s="33"/>
      <c r="CT22" s="34"/>
      <c r="CU22" s="34"/>
      <c r="CV22" s="592"/>
      <c r="CW22" s="29">
        <f>300+300+300+200+200</f>
        <v>1300</v>
      </c>
      <c r="CX22" s="32">
        <f>2.5+2.2+2.3+2.1+1.9</f>
        <v>11</v>
      </c>
      <c r="CY22" s="33">
        <v>5</v>
      </c>
      <c r="CZ22" s="34">
        <f t="shared" ref="CZ22" si="456">CW22/CX22</f>
        <v>118.18181818181819</v>
      </c>
      <c r="DA22" s="34">
        <f t="shared" ref="DA22" si="457">CX22/CY22</f>
        <v>2.2000000000000002</v>
      </c>
      <c r="DB22" s="592"/>
      <c r="DC22" s="29">
        <f>300+150+250+200+400</f>
        <v>1300</v>
      </c>
      <c r="DD22" s="32">
        <f>1.32+0.86+1.15+0.89+2.2</f>
        <v>6.42</v>
      </c>
      <c r="DE22" s="33">
        <v>5</v>
      </c>
      <c r="DF22" s="34">
        <f t="shared" ref="DF22" si="458">DC22/DD22</f>
        <v>202.49221183800623</v>
      </c>
      <c r="DG22" s="34">
        <f t="shared" ref="DG22" si="459">DD22/DE22</f>
        <v>1.284</v>
      </c>
      <c r="DH22" s="592"/>
      <c r="DI22" s="29">
        <v>2200</v>
      </c>
      <c r="DJ22" s="32">
        <v>8.8699999999999992</v>
      </c>
      <c r="DK22" s="33">
        <v>5</v>
      </c>
      <c r="DL22" s="34">
        <f t="shared" ref="DL22" si="460">DI22/DJ22</f>
        <v>248.02705749718154</v>
      </c>
      <c r="DM22" s="34">
        <f t="shared" ref="DM22" si="461">DJ22/DK22</f>
        <v>1.7739999999999998</v>
      </c>
      <c r="DN22" s="592"/>
      <c r="DO22" s="29">
        <v>2000</v>
      </c>
      <c r="DP22" s="32">
        <v>8.02</v>
      </c>
      <c r="DQ22" s="33">
        <v>5</v>
      </c>
      <c r="DR22" s="34">
        <f t="shared" ref="DR22" si="462">DO22/DP22</f>
        <v>249.37655860349128</v>
      </c>
      <c r="DS22" s="34">
        <f t="shared" ref="DS22" si="463">DP22/DQ22</f>
        <v>1.6039999999999999</v>
      </c>
      <c r="DT22" s="592"/>
      <c r="DU22" s="29"/>
      <c r="DV22" s="32"/>
      <c r="DW22" s="33"/>
      <c r="DX22" s="34"/>
      <c r="DY22" s="34"/>
      <c r="DZ22" s="592"/>
      <c r="EA22" s="29"/>
      <c r="EB22" s="32"/>
      <c r="EC22" s="33"/>
      <c r="ED22" s="34"/>
      <c r="EE22" s="34"/>
      <c r="EF22" s="592"/>
      <c r="EG22" s="29"/>
      <c r="EH22" s="32"/>
      <c r="EI22" s="33"/>
      <c r="EJ22" s="34"/>
      <c r="EK22" s="34"/>
      <c r="EL22" s="592"/>
      <c r="EM22" s="29"/>
      <c r="EN22" s="32"/>
      <c r="EO22" s="33"/>
      <c r="EP22" s="34"/>
      <c r="EQ22" s="34"/>
      <c r="ER22" s="30"/>
      <c r="ES22" s="29">
        <f>300+300+300+200+200</f>
        <v>1300</v>
      </c>
      <c r="ET22" s="32">
        <f>2.5+2.2+2.3+2.1+1.9</f>
        <v>11</v>
      </c>
      <c r="EU22" s="33">
        <v>5</v>
      </c>
      <c r="EV22" s="34">
        <f t="shared" si="18"/>
        <v>118.18181818181819</v>
      </c>
      <c r="EW22" s="34">
        <f t="shared" si="18"/>
        <v>2.2000000000000002</v>
      </c>
      <c r="EX22" s="30"/>
      <c r="EY22" s="35">
        <v>1200</v>
      </c>
      <c r="EZ22" s="34">
        <v>14</v>
      </c>
      <c r="FA22" s="37">
        <v>5</v>
      </c>
      <c r="FB22" s="34">
        <f t="shared" si="118"/>
        <v>85.714285714285708</v>
      </c>
      <c r="FC22" s="34">
        <f t="shared" si="118"/>
        <v>2.8</v>
      </c>
      <c r="FE22" s="26"/>
      <c r="FF22" s="27"/>
      <c r="FG22" s="28"/>
      <c r="FH22" s="38"/>
      <c r="FI22" s="39"/>
      <c r="FK22" s="27">
        <f>200+150+250+200+100</f>
        <v>900</v>
      </c>
      <c r="FL22" s="40">
        <f>1.97+1.59+2.15+1.58+1.67</f>
        <v>8.9600000000000009</v>
      </c>
      <c r="FM22" s="27">
        <f>5</f>
        <v>5</v>
      </c>
      <c r="FN22" s="40">
        <f t="shared" si="97"/>
        <v>100.44642857142856</v>
      </c>
      <c r="FO22" s="40">
        <f t="shared" si="97"/>
        <v>1.7920000000000003</v>
      </c>
      <c r="FQ22" s="26">
        <f>250+150+100+300+50</f>
        <v>850</v>
      </c>
      <c r="FR22" s="40">
        <f>2.13+1.29+1.48+2.6+1.11</f>
        <v>8.61</v>
      </c>
      <c r="FS22" s="27">
        <f>5</f>
        <v>5</v>
      </c>
      <c r="FT22" s="40">
        <f t="shared" si="19"/>
        <v>98.722415795586528</v>
      </c>
      <c r="FU22" s="40">
        <f t="shared" si="19"/>
        <v>1.722</v>
      </c>
      <c r="FW22" s="26">
        <f>250+150+200+150+250</f>
        <v>1000</v>
      </c>
      <c r="FX22" s="27">
        <f>2.61+2.04+2.66+1.59+2.21</f>
        <v>11.11</v>
      </c>
      <c r="FY22" s="27">
        <f>5</f>
        <v>5</v>
      </c>
      <c r="FZ22" s="40">
        <f t="shared" si="20"/>
        <v>90.009000900090015</v>
      </c>
      <c r="GA22" s="40">
        <f t="shared" si="20"/>
        <v>2.222</v>
      </c>
      <c r="GC22" s="26">
        <f>200+200+250+400+200</f>
        <v>1250</v>
      </c>
      <c r="GD22" s="27">
        <f>1.45+1.5+1.68+2.8+1.46</f>
        <v>8.89</v>
      </c>
      <c r="GE22" s="27">
        <f>5</f>
        <v>5</v>
      </c>
      <c r="GF22" s="40">
        <f t="shared" si="21"/>
        <v>140.60742407199101</v>
      </c>
      <c r="GG22" s="40">
        <f t="shared" si="21"/>
        <v>1.778</v>
      </c>
      <c r="GI22" s="26">
        <f>350+400+300+400+300</f>
        <v>1750</v>
      </c>
      <c r="GJ22" s="27">
        <f>1.86+2.43+1.71+2.49+2.01</f>
        <v>10.5</v>
      </c>
      <c r="GK22" s="27">
        <f>5</f>
        <v>5</v>
      </c>
      <c r="GL22" s="40">
        <f t="shared" si="22"/>
        <v>166.66666666666666</v>
      </c>
      <c r="GM22" s="40">
        <f t="shared" si="22"/>
        <v>2.1</v>
      </c>
      <c r="GO22" s="26">
        <f>300+300+400+400+300</f>
        <v>1700</v>
      </c>
      <c r="GP22" s="40">
        <f>2.6+2.6+2.9+2.9+2.6</f>
        <v>13.6</v>
      </c>
      <c r="GQ22" s="27">
        <f>5</f>
        <v>5</v>
      </c>
      <c r="GR22" s="40">
        <f t="shared" si="98"/>
        <v>125</v>
      </c>
      <c r="GS22" s="40">
        <f t="shared" si="98"/>
        <v>2.7199999999999998</v>
      </c>
      <c r="GU22" s="95">
        <f>200+200+300+500+350</f>
        <v>1550</v>
      </c>
      <c r="GV22" s="99">
        <f>0.92+0.9+0.97+1.62+1.13</f>
        <v>5.54</v>
      </c>
      <c r="GW22" s="100">
        <v>5</v>
      </c>
      <c r="GX22" s="101">
        <f t="shared" si="23"/>
        <v>279.78339350180505</v>
      </c>
      <c r="GY22" s="101">
        <f t="shared" si="23"/>
        <v>1.1080000000000001</v>
      </c>
      <c r="GZ22" s="43"/>
      <c r="HA22" s="26"/>
      <c r="HB22" s="39"/>
      <c r="HC22" s="28"/>
      <c r="HD22" s="106"/>
      <c r="HE22" s="106"/>
      <c r="HG22" s="26">
        <f>200+250+300+200+200</f>
        <v>1150</v>
      </c>
      <c r="HH22" s="27">
        <f>1.5+1.5+1.68+2.8+2.46</f>
        <v>9.94</v>
      </c>
      <c r="HI22" s="27">
        <f>5</f>
        <v>5</v>
      </c>
      <c r="HJ22" s="34">
        <f t="shared" si="25"/>
        <v>115.69416498993964</v>
      </c>
      <c r="HK22" s="34">
        <f t="shared" si="25"/>
        <v>1.988</v>
      </c>
      <c r="HM22" s="26"/>
      <c r="HN22" s="45"/>
      <c r="HO22" s="46"/>
      <c r="HP22" s="47"/>
      <c r="HQ22" s="47"/>
      <c r="HS22" s="26"/>
      <c r="HT22" s="45"/>
      <c r="HU22" s="46"/>
      <c r="HV22" s="48"/>
      <c r="HW22" s="48"/>
      <c r="HY22" s="45">
        <f>400+250+300</f>
        <v>950</v>
      </c>
      <c r="HZ22" s="45">
        <f>3.18+1.67+1.82</f>
        <v>6.67</v>
      </c>
      <c r="IA22" s="45">
        <f>3</f>
        <v>3</v>
      </c>
      <c r="IB22" s="48">
        <f t="shared" si="141"/>
        <v>142.4287856071964</v>
      </c>
      <c r="IC22" s="48">
        <f t="shared" si="141"/>
        <v>2.2233333333333332</v>
      </c>
      <c r="IE22" s="45">
        <f>700+500+500+500+600</f>
        <v>2800</v>
      </c>
      <c r="IF22" s="45">
        <f>13.92+7.9+7.33+8.56+10.25</f>
        <v>47.96</v>
      </c>
      <c r="IG22" s="45">
        <f>5</f>
        <v>5</v>
      </c>
      <c r="IH22" s="48">
        <f t="shared" si="27"/>
        <v>58.381984987489574</v>
      </c>
      <c r="II22" s="48">
        <f t="shared" si="27"/>
        <v>9.5920000000000005</v>
      </c>
      <c r="IK22" s="26">
        <f>250+250+250+150+200</f>
        <v>1100</v>
      </c>
      <c r="IL22" s="40">
        <f>2.37+2.07+2.29+1.29+2.04</f>
        <v>10.059999999999999</v>
      </c>
      <c r="IM22" s="45">
        <f>5</f>
        <v>5</v>
      </c>
      <c r="IN22" s="48">
        <f t="shared" si="28"/>
        <v>109.34393638170975</v>
      </c>
      <c r="IO22" s="48">
        <f t="shared" si="28"/>
        <v>2.0119999999999996</v>
      </c>
      <c r="IQ22" s="26">
        <f>200+200+100+200+200</f>
        <v>900</v>
      </c>
      <c r="IR22" s="40">
        <f>2.3+1.11+1.34+1.4+0.99</f>
        <v>7.1400000000000006</v>
      </c>
      <c r="IS22" s="45">
        <v>5</v>
      </c>
      <c r="IT22" s="48">
        <f t="shared" si="432"/>
        <v>126.05042016806722</v>
      </c>
      <c r="IU22" s="48">
        <f t="shared" si="433"/>
        <v>1.4280000000000002</v>
      </c>
      <c r="IW22" s="26">
        <f>400+200+100+200+300</f>
        <v>1200</v>
      </c>
      <c r="IX22" s="40">
        <f>2.98+1.66+1.74+1.32+1.95</f>
        <v>9.65</v>
      </c>
      <c r="IY22" s="45">
        <v>5</v>
      </c>
      <c r="IZ22" s="46">
        <f t="shared" si="434"/>
        <v>124.35233160621762</v>
      </c>
      <c r="JA22" s="46">
        <f t="shared" si="435"/>
        <v>1.9300000000000002</v>
      </c>
      <c r="JC22" s="26"/>
      <c r="JD22" s="40"/>
      <c r="JE22" s="45"/>
      <c r="JF22" s="46"/>
      <c r="JG22" s="46"/>
      <c r="JI22" s="26"/>
      <c r="JJ22" s="40"/>
      <c r="JK22" s="45"/>
      <c r="JL22" s="46"/>
      <c r="JM22" s="46"/>
      <c r="JO22" s="26">
        <f>500+300+350+300+250</f>
        <v>1700</v>
      </c>
      <c r="JP22" s="40">
        <f>2.9+1.83+1.9+1.56+1.7</f>
        <v>9.89</v>
      </c>
      <c r="JQ22" s="45">
        <v>5</v>
      </c>
      <c r="JR22" s="46">
        <f t="shared" si="438"/>
        <v>171.89079878665316</v>
      </c>
      <c r="JS22" s="46">
        <f t="shared" si="439"/>
        <v>1.9780000000000002</v>
      </c>
      <c r="JU22" s="26">
        <f>500+500+500+500+500</f>
        <v>2500</v>
      </c>
      <c r="JV22" s="40">
        <f>5.82+5.79+5.8+4.92+5.8</f>
        <v>28.13</v>
      </c>
      <c r="JW22" s="45">
        <v>5</v>
      </c>
      <c r="JX22" s="46">
        <f t="shared" ref="JX22" si="464">JU22/JV22</f>
        <v>88.873089228581591</v>
      </c>
      <c r="JY22" s="46">
        <f t="shared" ref="JY22" si="465">JV22/JW22</f>
        <v>5.6259999999999994</v>
      </c>
      <c r="KA22" s="26">
        <f>300+300+100+100+400</f>
        <v>1200</v>
      </c>
      <c r="KB22" s="40">
        <f>3.21+3.33+2.98+2.89+3.35</f>
        <v>15.76</v>
      </c>
      <c r="KC22" s="45">
        <v>5</v>
      </c>
      <c r="KD22" s="46">
        <f t="shared" ref="KD22:KD23" si="466">KA22/KB22</f>
        <v>76.142131979695435</v>
      </c>
      <c r="KE22" s="46">
        <f t="shared" ref="KE22:KE23" si="467">KB22/KC22</f>
        <v>3.1520000000000001</v>
      </c>
      <c r="KG22" s="26"/>
      <c r="KH22" s="40"/>
      <c r="KI22" s="45"/>
      <c r="KJ22" s="46" t="e">
        <f t="shared" ref="KJ22:KJ28" si="468">KG22/KH22</f>
        <v>#DIV/0!</v>
      </c>
      <c r="KK22" s="46" t="e">
        <f t="shared" ref="KK22:KK28" si="469">KH22/KI22</f>
        <v>#DIV/0!</v>
      </c>
      <c r="KM22" s="26">
        <f>400+400+500+500+150</f>
        <v>1950</v>
      </c>
      <c r="KN22" s="40">
        <f>4.24+7.79+1.23</f>
        <v>13.260000000000002</v>
      </c>
      <c r="KO22" s="45">
        <v>5</v>
      </c>
      <c r="KP22" s="46">
        <f t="shared" si="369"/>
        <v>147.05882352941174</v>
      </c>
      <c r="KQ22" s="46">
        <f t="shared" ref="KQ22:KQ27" si="470">KN22/KO22</f>
        <v>2.6520000000000001</v>
      </c>
      <c r="KS22" s="26">
        <f>500+400+450+200+500</f>
        <v>2050</v>
      </c>
      <c r="KT22" s="40">
        <f>3.68+1.91+1.98+1.24+3.25</f>
        <v>12.06</v>
      </c>
      <c r="KU22" s="45">
        <v>5</v>
      </c>
      <c r="KV22" s="46">
        <f t="shared" si="370"/>
        <v>169.98341625207297</v>
      </c>
      <c r="KW22" s="46">
        <f t="shared" ref="KW22" si="471">KT22/KU22</f>
        <v>2.4119999999999999</v>
      </c>
      <c r="KY22" s="26"/>
      <c r="KZ22" s="40"/>
      <c r="LA22" s="45"/>
      <c r="LB22" s="46" t="e">
        <f t="shared" si="371"/>
        <v>#DIV/0!</v>
      </c>
      <c r="LC22" s="46" t="e">
        <f t="shared" ref="LC22" si="472">KZ22/LA22</f>
        <v>#DIV/0!</v>
      </c>
      <c r="LE22" s="26"/>
      <c r="LF22" s="40"/>
      <c r="LG22" s="45"/>
      <c r="LH22" s="46" t="e">
        <f t="shared" si="372"/>
        <v>#DIV/0!</v>
      </c>
      <c r="LI22" s="46" t="e">
        <f t="shared" ref="LI22" si="473">LF22/LG22</f>
        <v>#DIV/0!</v>
      </c>
      <c r="LK22" s="26"/>
      <c r="LL22" s="40"/>
      <c r="LM22" s="45"/>
      <c r="LN22" s="46" t="e">
        <f t="shared" si="373"/>
        <v>#DIV/0!</v>
      </c>
      <c r="LO22" s="46" t="e">
        <f t="shared" ref="LO22" si="474">LL22/LM22</f>
        <v>#DIV/0!</v>
      </c>
      <c r="LQ22" s="26"/>
      <c r="LR22" s="40"/>
      <c r="LS22" s="45"/>
      <c r="LT22" s="46" t="e">
        <f t="shared" si="374"/>
        <v>#DIV/0!</v>
      </c>
      <c r="LU22" s="46" t="e">
        <f t="shared" ref="LU22" si="475">LR22/LS22</f>
        <v>#DIV/0!</v>
      </c>
      <c r="LW22" s="26"/>
      <c r="LX22" s="40"/>
      <c r="LY22" s="45"/>
      <c r="LZ22" s="46" t="e">
        <f t="shared" si="375"/>
        <v>#DIV/0!</v>
      </c>
      <c r="MA22" s="46" t="e">
        <f t="shared" ref="MA22" si="476">LX22/LY22</f>
        <v>#DIV/0!</v>
      </c>
      <c r="MC22" s="26"/>
      <c r="MD22" s="40"/>
      <c r="ME22" s="45"/>
      <c r="MF22" s="46" t="e">
        <f t="shared" si="376"/>
        <v>#DIV/0!</v>
      </c>
      <c r="MG22" s="46" t="e">
        <f t="shared" ref="MG22" si="477">MD22/ME22</f>
        <v>#DIV/0!</v>
      </c>
      <c r="MI22" s="26"/>
      <c r="MJ22" s="40"/>
      <c r="MK22" s="45"/>
      <c r="ML22" s="46" t="e">
        <f t="shared" si="377"/>
        <v>#DIV/0!</v>
      </c>
      <c r="MM22" s="46" t="e">
        <f t="shared" ref="MM22" si="478">MJ22/MK22</f>
        <v>#DIV/0!</v>
      </c>
      <c r="MO22" s="26"/>
      <c r="MP22" s="40"/>
      <c r="MQ22" s="45"/>
      <c r="MR22" s="46" t="e">
        <f t="shared" si="378"/>
        <v>#DIV/0!</v>
      </c>
      <c r="MS22" s="46" t="e">
        <f t="shared" ref="MS22" si="479">MP22/MQ22</f>
        <v>#DIV/0!</v>
      </c>
      <c r="MU22" s="26"/>
      <c r="MV22" s="40"/>
      <c r="MW22" s="45"/>
      <c r="MX22" s="46" t="e">
        <f t="shared" si="379"/>
        <v>#DIV/0!</v>
      </c>
      <c r="MY22" s="46" t="e">
        <f t="shared" ref="MY22" si="480">MV22/MW22</f>
        <v>#DIV/0!</v>
      </c>
      <c r="NA22" s="823">
        <f>200+200+200+200+150</f>
        <v>950</v>
      </c>
      <c r="NB22" s="823">
        <f>1.93+1.55+2.54+2.39+2.28</f>
        <v>10.69</v>
      </c>
      <c r="NC22" s="823">
        <v>5</v>
      </c>
      <c r="ND22" s="46">
        <f t="shared" si="380"/>
        <v>88.868101028999064</v>
      </c>
      <c r="NE22" s="46">
        <f t="shared" ref="NE22" si="481">NB22/NC22</f>
        <v>2.1379999999999999</v>
      </c>
      <c r="NG22" s="884">
        <f>200+150+100+200+200</f>
        <v>850</v>
      </c>
      <c r="NH22" s="884">
        <f>1.65+1.49+1.11+1.85+1.97</f>
        <v>8.07</v>
      </c>
      <c r="NI22" s="884">
        <v>5</v>
      </c>
      <c r="NJ22" s="46">
        <f t="shared" si="381"/>
        <v>105.32837670384139</v>
      </c>
      <c r="NK22" s="46">
        <f t="shared" ref="NK22" si="482">NH22/NI22</f>
        <v>1.6140000000000001</v>
      </c>
      <c r="NM22" s="823">
        <f>150+150+150+150+150</f>
        <v>750</v>
      </c>
      <c r="NN22" s="823">
        <f>1.9+2.2+2.4+2.6+2.8</f>
        <v>11.899999999999999</v>
      </c>
      <c r="NO22" s="823">
        <v>5</v>
      </c>
      <c r="NP22" s="46">
        <f t="shared" si="382"/>
        <v>63.025210084033624</v>
      </c>
      <c r="NQ22" s="46">
        <f t="shared" ref="NQ22" si="483">NN22/NO22</f>
        <v>2.38</v>
      </c>
      <c r="NS22" s="823">
        <f>200+200+300+200+300</f>
        <v>1200</v>
      </c>
      <c r="NT22" s="823">
        <f>1.28+1.67+2.17+2.42+3.47</f>
        <v>11.01</v>
      </c>
      <c r="NU22" s="823">
        <v>5</v>
      </c>
      <c r="NV22" s="46">
        <f t="shared" si="383"/>
        <v>108.99182561307902</v>
      </c>
      <c r="NW22" s="46">
        <f t="shared" ref="NW22" si="484">NT22/NU22</f>
        <v>2.202</v>
      </c>
      <c r="NY22" s="910">
        <f>200+200+300+200+200</f>
        <v>1100</v>
      </c>
      <c r="NZ22" s="910">
        <f>1.38+1.65+1.45+1.25+1.32</f>
        <v>7.05</v>
      </c>
      <c r="OA22" s="910">
        <v>5</v>
      </c>
      <c r="OB22" s="46">
        <f t="shared" si="384"/>
        <v>156.02836879432624</v>
      </c>
      <c r="OC22" s="46">
        <f t="shared" ref="OC22" si="485">NZ22/OA22</f>
        <v>1.41</v>
      </c>
      <c r="OE22" s="823">
        <f>200+150+300+400+300</f>
        <v>1350</v>
      </c>
      <c r="OF22" s="823">
        <f>1.12+1.11+2.86+3.35+2.84</f>
        <v>11.28</v>
      </c>
      <c r="OG22" s="823">
        <v>5</v>
      </c>
      <c r="OH22" s="46">
        <f t="shared" si="385"/>
        <v>119.68085106382979</v>
      </c>
      <c r="OI22" s="46">
        <f t="shared" ref="OI22" si="486">OF22/OG22</f>
        <v>2.2559999999999998</v>
      </c>
    </row>
    <row r="23" spans="1:399">
      <c r="B23" s="11"/>
      <c r="C23" s="16"/>
      <c r="D23" s="13" t="s">
        <v>28</v>
      </c>
      <c r="E23" s="29"/>
      <c r="F23" s="32"/>
      <c r="G23" s="33"/>
      <c r="H23" s="34"/>
      <c r="I23" s="34"/>
      <c r="J23" s="30"/>
      <c r="K23" s="29"/>
      <c r="L23" s="32"/>
      <c r="M23" s="33"/>
      <c r="N23" s="34"/>
      <c r="O23" s="34"/>
      <c r="P23" s="30"/>
      <c r="Q23" s="29"/>
      <c r="R23" s="32"/>
      <c r="S23" s="33"/>
      <c r="T23" s="34"/>
      <c r="U23" s="34"/>
      <c r="V23" s="30"/>
      <c r="W23" s="29">
        <f>50+50+150+100+200</f>
        <v>550</v>
      </c>
      <c r="X23" s="32">
        <f>0.75+0.85+0.42+0.57+1.14</f>
        <v>3.7299999999999995</v>
      </c>
      <c r="Y23" s="33">
        <v>5</v>
      </c>
      <c r="Z23" s="34">
        <f t="shared" ref="Z23" si="487">W23/X23</f>
        <v>147.45308310991959</v>
      </c>
      <c r="AA23" s="34">
        <f t="shared" ref="AA23" si="488">X23/Y23</f>
        <v>0.74599999999999989</v>
      </c>
      <c r="AB23" s="30"/>
      <c r="AC23" s="29"/>
      <c r="AD23" s="32"/>
      <c r="AE23" s="33"/>
      <c r="AF23" s="34"/>
      <c r="AG23" s="34"/>
      <c r="AH23" s="30"/>
      <c r="AI23" s="29"/>
      <c r="AJ23" s="32"/>
      <c r="AK23" s="33"/>
      <c r="AL23" s="34"/>
      <c r="AM23" s="34"/>
      <c r="AN23" s="30"/>
      <c r="AO23" s="29"/>
      <c r="AP23" s="32"/>
      <c r="AQ23" s="33"/>
      <c r="AR23" s="34"/>
      <c r="AS23" s="34"/>
      <c r="AT23" s="30"/>
      <c r="AU23" s="29"/>
      <c r="AV23" s="32"/>
      <c r="AW23" s="33"/>
      <c r="AX23" s="34"/>
      <c r="AY23" s="34"/>
      <c r="AZ23" s="592"/>
      <c r="BA23" s="29"/>
      <c r="BB23" s="32"/>
      <c r="BC23" s="33"/>
      <c r="BD23" s="34"/>
      <c r="BE23" s="34"/>
      <c r="BF23" s="592"/>
      <c r="BG23" s="29"/>
      <c r="BH23" s="32"/>
      <c r="BI23" s="33"/>
      <c r="BJ23" s="34"/>
      <c r="BK23" s="34"/>
      <c r="BL23" s="592"/>
      <c r="BM23" s="29"/>
      <c r="BN23" s="32"/>
      <c r="BO23" s="33"/>
      <c r="BP23" s="34"/>
      <c r="BQ23" s="34"/>
      <c r="BR23" s="30"/>
      <c r="BS23" s="29">
        <f>150+250+500+300+300+250</f>
        <v>1750</v>
      </c>
      <c r="BT23" s="32">
        <f>4.18+4.72+8.38+9+8.94</f>
        <v>35.22</v>
      </c>
      <c r="BU23" s="33">
        <v>5</v>
      </c>
      <c r="BV23" s="34">
        <f t="shared" ref="BV23:BV24" si="489">BS23/BT23</f>
        <v>49.687677455990915</v>
      </c>
      <c r="BW23" s="34">
        <f t="shared" ref="BW23:BW24" si="490">BT23/BU23</f>
        <v>7.0439999999999996</v>
      </c>
      <c r="BX23" s="592"/>
      <c r="BY23" s="29"/>
      <c r="BZ23" s="32"/>
      <c r="CA23" s="33"/>
      <c r="CB23" s="34"/>
      <c r="CC23" s="34"/>
      <c r="CD23" s="592"/>
      <c r="CE23" s="29"/>
      <c r="CF23" s="32"/>
      <c r="CG23" s="33"/>
      <c r="CH23" s="34"/>
      <c r="CI23" s="34"/>
      <c r="CJ23" s="592"/>
      <c r="CK23" s="29">
        <f>600+1000</f>
        <v>1600</v>
      </c>
      <c r="CL23" s="32">
        <f>7.02+15.2</f>
        <v>22.22</v>
      </c>
      <c r="CM23" s="33">
        <v>2</v>
      </c>
      <c r="CN23" s="34">
        <f t="shared" ref="CN23" si="491">CK23/CL23</f>
        <v>72.007200720072007</v>
      </c>
      <c r="CO23" s="34">
        <f t="shared" ref="CO23" si="492">CL23/CM23</f>
        <v>11.11</v>
      </c>
      <c r="CP23" s="592"/>
      <c r="CQ23" s="29"/>
      <c r="CR23" s="32"/>
      <c r="CS23" s="33"/>
      <c r="CT23" s="34"/>
      <c r="CU23" s="34"/>
      <c r="CV23" s="592"/>
      <c r="CW23" s="29"/>
      <c r="CX23" s="32"/>
      <c r="CY23" s="33"/>
      <c r="CZ23" s="34"/>
      <c r="DA23" s="34"/>
      <c r="DB23" s="592"/>
      <c r="DC23" s="29"/>
      <c r="DD23" s="32"/>
      <c r="DE23" s="33"/>
      <c r="DF23" s="34"/>
      <c r="DG23" s="34"/>
      <c r="DH23" s="592"/>
      <c r="DI23" s="29"/>
      <c r="DJ23" s="32"/>
      <c r="DK23" s="33"/>
      <c r="DL23" s="34"/>
      <c r="DM23" s="34"/>
      <c r="DN23" s="592"/>
      <c r="DO23" s="29">
        <v>600</v>
      </c>
      <c r="DP23" s="32">
        <v>2.2400000000000002</v>
      </c>
      <c r="DQ23" s="33">
        <v>1</v>
      </c>
      <c r="DR23" s="34">
        <f t="shared" ref="DR23" si="493">DO23/DP23</f>
        <v>267.85714285714283</v>
      </c>
      <c r="DS23" s="34">
        <f t="shared" ref="DS23" si="494">DP23/DQ23</f>
        <v>2.2400000000000002</v>
      </c>
      <c r="DT23" s="592"/>
      <c r="DU23" s="29"/>
      <c r="DV23" s="32"/>
      <c r="DW23" s="33"/>
      <c r="DX23" s="34"/>
      <c r="DY23" s="34"/>
      <c r="DZ23" s="592"/>
      <c r="EA23" s="29"/>
      <c r="EB23" s="32"/>
      <c r="EC23" s="33"/>
      <c r="ED23" s="34"/>
      <c r="EE23" s="34"/>
      <c r="EF23" s="592"/>
      <c r="EG23" s="29"/>
      <c r="EH23" s="32"/>
      <c r="EI23" s="33"/>
      <c r="EJ23" s="34"/>
      <c r="EK23" s="34"/>
      <c r="EL23" s="592"/>
      <c r="EM23" s="29"/>
      <c r="EN23" s="32"/>
      <c r="EO23" s="33"/>
      <c r="EP23" s="34"/>
      <c r="EQ23" s="34"/>
      <c r="ER23" s="30"/>
      <c r="ES23" s="29"/>
      <c r="ET23" s="32"/>
      <c r="EU23" s="33"/>
      <c r="EV23" s="34"/>
      <c r="EW23" s="34"/>
      <c r="EX23" s="30"/>
      <c r="EY23" s="35"/>
      <c r="EZ23" s="34"/>
      <c r="FA23" s="37"/>
      <c r="FB23" s="34"/>
      <c r="FC23" s="34"/>
      <c r="FE23" s="26"/>
      <c r="FF23" s="27"/>
      <c r="FG23" s="28"/>
      <c r="FH23" s="38"/>
      <c r="FI23" s="39"/>
      <c r="FK23" s="27"/>
      <c r="FL23" s="40"/>
      <c r="FM23" s="27"/>
      <c r="FN23" s="40"/>
      <c r="FO23" s="40"/>
      <c r="FQ23" s="26"/>
      <c r="FR23" s="40"/>
      <c r="FS23" s="27"/>
      <c r="FT23" s="40"/>
      <c r="FU23" s="40"/>
      <c r="FW23" s="26"/>
      <c r="FX23" s="27"/>
      <c r="FY23" s="27"/>
      <c r="FZ23" s="40"/>
      <c r="GA23" s="40"/>
      <c r="GC23" s="26"/>
      <c r="GD23" s="27"/>
      <c r="GE23" s="27"/>
      <c r="GF23" s="40"/>
      <c r="GG23" s="40"/>
      <c r="GI23" s="26">
        <f>250+200+300+300</f>
        <v>1050</v>
      </c>
      <c r="GJ23" s="27">
        <f>3.04+2+4.62+4.62</f>
        <v>14.280000000000001</v>
      </c>
      <c r="GK23" s="27">
        <f>4</f>
        <v>4</v>
      </c>
      <c r="GL23" s="40">
        <f t="shared" si="22"/>
        <v>73.52941176470587</v>
      </c>
      <c r="GM23" s="40">
        <f t="shared" si="22"/>
        <v>3.5700000000000003</v>
      </c>
      <c r="GO23" s="26">
        <f>300+300+400+400+300</f>
        <v>1700</v>
      </c>
      <c r="GP23" s="40">
        <f>4.62+4.62+3.9+3.9+4.62</f>
        <v>21.66</v>
      </c>
      <c r="GQ23" s="27">
        <f>5</f>
        <v>5</v>
      </c>
      <c r="GR23" s="40">
        <f t="shared" si="98"/>
        <v>78.485687903970458</v>
      </c>
      <c r="GS23" s="40">
        <f t="shared" si="98"/>
        <v>4.3319999999999999</v>
      </c>
      <c r="GU23" s="95"/>
      <c r="GV23" s="99"/>
      <c r="GW23" s="100"/>
      <c r="GX23" s="101"/>
      <c r="GY23" s="101"/>
      <c r="GZ23" s="43"/>
      <c r="HA23" s="26"/>
      <c r="HB23" s="39"/>
      <c r="HC23" s="28"/>
      <c r="HD23" s="106"/>
      <c r="HE23" s="106"/>
      <c r="HG23" s="26">
        <f>600</f>
        <v>600</v>
      </c>
      <c r="HH23" s="40">
        <f>6.15</f>
        <v>6.15</v>
      </c>
      <c r="HI23" s="27">
        <f>1</f>
        <v>1</v>
      </c>
      <c r="HJ23" s="34">
        <f t="shared" si="25"/>
        <v>97.560975609756099</v>
      </c>
      <c r="HK23" s="34">
        <f t="shared" si="25"/>
        <v>6.15</v>
      </c>
      <c r="HM23" s="26"/>
      <c r="HN23" s="45"/>
      <c r="HO23" s="46"/>
      <c r="HP23" s="47"/>
      <c r="HQ23" s="47"/>
      <c r="HS23" s="26"/>
      <c r="HT23" s="45"/>
      <c r="HU23" s="46"/>
      <c r="HV23" s="48"/>
      <c r="HW23" s="48"/>
      <c r="HY23" s="45"/>
      <c r="HZ23" s="45"/>
      <c r="IA23" s="45"/>
      <c r="IB23" s="48"/>
      <c r="IC23" s="48"/>
      <c r="IE23" s="45"/>
      <c r="IF23" s="45"/>
      <c r="IG23" s="45"/>
      <c r="IH23" s="48"/>
      <c r="II23" s="48"/>
      <c r="IK23" s="26">
        <f>300+300</f>
        <v>600</v>
      </c>
      <c r="IL23" s="40">
        <f>5.16+6.74</f>
        <v>11.9</v>
      </c>
      <c r="IM23" s="45">
        <f>2</f>
        <v>2</v>
      </c>
      <c r="IN23" s="48">
        <f t="shared" si="28"/>
        <v>50.420168067226889</v>
      </c>
      <c r="IO23" s="48">
        <f t="shared" si="28"/>
        <v>5.95</v>
      </c>
      <c r="IQ23" s="26"/>
      <c r="IR23" s="40"/>
      <c r="IS23" s="45"/>
      <c r="IT23" s="48"/>
      <c r="IU23" s="48"/>
      <c r="IW23" s="26"/>
      <c r="IX23" s="40"/>
      <c r="IY23" s="45"/>
      <c r="IZ23" s="46"/>
      <c r="JA23" s="46"/>
      <c r="JC23" s="26"/>
      <c r="JD23" s="40"/>
      <c r="JE23" s="45"/>
      <c r="JF23" s="46"/>
      <c r="JG23" s="46"/>
      <c r="JI23" s="26">
        <f>200+800+500+100+800</f>
        <v>2400</v>
      </c>
      <c r="JJ23" s="40">
        <f>3.56+6.28+7.51+8.16+6.54</f>
        <v>32.050000000000004</v>
      </c>
      <c r="JK23" s="45">
        <v>5</v>
      </c>
      <c r="JL23" s="46">
        <f t="shared" si="436"/>
        <v>74.882995319812778</v>
      </c>
      <c r="JM23" s="46">
        <f t="shared" si="437"/>
        <v>6.410000000000001</v>
      </c>
      <c r="JO23" s="26"/>
      <c r="JP23" s="40"/>
      <c r="JQ23" s="45"/>
      <c r="JR23" s="46"/>
      <c r="JS23" s="46"/>
      <c r="JU23" s="26"/>
      <c r="JV23" s="40"/>
      <c r="JW23" s="45"/>
      <c r="JX23" s="46"/>
      <c r="JY23" s="46"/>
      <c r="KA23" s="26"/>
      <c r="KB23" s="40"/>
      <c r="KC23" s="45"/>
      <c r="KD23" s="46" t="e">
        <f t="shared" si="466"/>
        <v>#DIV/0!</v>
      </c>
      <c r="KE23" s="46" t="e">
        <f t="shared" si="467"/>
        <v>#DIV/0!</v>
      </c>
      <c r="KG23" s="26"/>
      <c r="KH23" s="40"/>
      <c r="KI23" s="45"/>
      <c r="KJ23" s="46" t="e">
        <f t="shared" si="468"/>
        <v>#DIV/0!</v>
      </c>
      <c r="KK23" s="46" t="e">
        <f t="shared" si="469"/>
        <v>#DIV/0!</v>
      </c>
      <c r="KM23" s="26">
        <f>500</f>
        <v>500</v>
      </c>
      <c r="KN23" s="40">
        <f>5.9</f>
        <v>5.9</v>
      </c>
      <c r="KO23" s="45">
        <v>1</v>
      </c>
      <c r="KP23" s="46">
        <f t="shared" si="369"/>
        <v>84.745762711864401</v>
      </c>
      <c r="KQ23" s="46">
        <f>KN23/KO23</f>
        <v>5.9</v>
      </c>
      <c r="KS23" s="26"/>
      <c r="KT23" s="40"/>
      <c r="KU23" s="45"/>
      <c r="KV23" s="46" t="e">
        <f t="shared" si="370"/>
        <v>#DIV/0!</v>
      </c>
      <c r="KW23" s="46" t="e">
        <f>KT23/KU23</f>
        <v>#DIV/0!</v>
      </c>
      <c r="KY23" s="26"/>
      <c r="KZ23" s="40"/>
      <c r="LA23" s="45"/>
      <c r="LB23" s="46" t="e">
        <f t="shared" si="371"/>
        <v>#DIV/0!</v>
      </c>
      <c r="LC23" s="46" t="e">
        <f>KZ23/LA23</f>
        <v>#DIV/0!</v>
      </c>
      <c r="LE23" s="26"/>
      <c r="LF23" s="40"/>
      <c r="LG23" s="45"/>
      <c r="LH23" s="46" t="e">
        <f t="shared" si="372"/>
        <v>#DIV/0!</v>
      </c>
      <c r="LI23" s="46" t="e">
        <f>LF23/LG23</f>
        <v>#DIV/0!</v>
      </c>
      <c r="LK23" s="26"/>
      <c r="LL23" s="40"/>
      <c r="LM23" s="45"/>
      <c r="LN23" s="46" t="e">
        <f t="shared" si="373"/>
        <v>#DIV/0!</v>
      </c>
      <c r="LO23" s="46" t="e">
        <f>LL23/LM23</f>
        <v>#DIV/0!</v>
      </c>
      <c r="LQ23" s="26"/>
      <c r="LR23" s="40"/>
      <c r="LS23" s="45"/>
      <c r="LT23" s="46" t="e">
        <f t="shared" si="374"/>
        <v>#DIV/0!</v>
      </c>
      <c r="LU23" s="46" t="e">
        <f>LR23/LS23</f>
        <v>#DIV/0!</v>
      </c>
      <c r="LW23" s="26"/>
      <c r="LX23" s="40"/>
      <c r="LY23" s="45"/>
      <c r="LZ23" s="46" t="e">
        <f t="shared" si="375"/>
        <v>#DIV/0!</v>
      </c>
      <c r="MA23" s="46" t="e">
        <f>LX23/LY23</f>
        <v>#DIV/0!</v>
      </c>
      <c r="MC23" s="26">
        <f>200+200+150+150+100</f>
        <v>800</v>
      </c>
      <c r="MD23" s="40">
        <f>1.49+2.34+1.63+1.22+1.12</f>
        <v>7.8</v>
      </c>
      <c r="ME23" s="45">
        <v>5</v>
      </c>
      <c r="MF23" s="46">
        <f t="shared" si="376"/>
        <v>102.56410256410257</v>
      </c>
      <c r="MG23" s="46">
        <f>MD23/ME23</f>
        <v>1.56</v>
      </c>
      <c r="MI23" s="26">
        <f>500+150</f>
        <v>650</v>
      </c>
      <c r="MJ23" s="40">
        <f>5.95+5.47</f>
        <v>11.42</v>
      </c>
      <c r="MK23" s="45">
        <v>2</v>
      </c>
      <c r="ML23" s="46">
        <f t="shared" si="377"/>
        <v>56.917688266199647</v>
      </c>
      <c r="MM23" s="46">
        <f>MJ23/MK23</f>
        <v>5.71</v>
      </c>
      <c r="MO23" s="26"/>
      <c r="MP23" s="40"/>
      <c r="MQ23" s="45"/>
      <c r="MR23" s="46" t="e">
        <f t="shared" si="378"/>
        <v>#DIV/0!</v>
      </c>
      <c r="MS23" s="46" t="e">
        <f>MP23/MQ23</f>
        <v>#DIV/0!</v>
      </c>
      <c r="MU23" s="26"/>
      <c r="MV23" s="40"/>
      <c r="MW23" s="45"/>
      <c r="MX23" s="46" t="e">
        <f t="shared" si="379"/>
        <v>#DIV/0!</v>
      </c>
      <c r="MY23" s="46" t="e">
        <f>MV23/MW23</f>
        <v>#DIV/0!</v>
      </c>
      <c r="NA23" s="823">
        <v>500</v>
      </c>
      <c r="NB23" s="823">
        <v>14.75</v>
      </c>
      <c r="NC23" s="823">
        <v>1</v>
      </c>
      <c r="ND23" s="46">
        <f t="shared" si="380"/>
        <v>33.898305084745765</v>
      </c>
      <c r="NE23" s="46">
        <f>NB23/NC23</f>
        <v>14.75</v>
      </c>
      <c r="NG23" s="823"/>
      <c r="NH23" s="823"/>
      <c r="NI23" s="823"/>
      <c r="NJ23" s="46" t="e">
        <f t="shared" si="381"/>
        <v>#DIV/0!</v>
      </c>
      <c r="NK23" s="46" t="e">
        <f>NH23/NI23</f>
        <v>#DIV/0!</v>
      </c>
      <c r="NM23" s="823">
        <f>400+400</f>
        <v>800</v>
      </c>
      <c r="NN23" s="823">
        <f>7.04+8.8</f>
        <v>15.84</v>
      </c>
      <c r="NO23" s="823">
        <v>2</v>
      </c>
      <c r="NP23" s="46">
        <f t="shared" si="382"/>
        <v>50.505050505050505</v>
      </c>
      <c r="NQ23" s="46">
        <f>NN23/NO23</f>
        <v>7.92</v>
      </c>
      <c r="NS23" s="823"/>
      <c r="NT23" s="823"/>
      <c r="NU23" s="823"/>
      <c r="NV23" s="46" t="e">
        <f t="shared" si="383"/>
        <v>#DIV/0!</v>
      </c>
      <c r="NW23" s="46" t="e">
        <f>NT23/NU23</f>
        <v>#DIV/0!</v>
      </c>
      <c r="NY23" s="910">
        <f>500+500+500+500+500</f>
        <v>2500</v>
      </c>
      <c r="NZ23" s="910">
        <f>6.16+7.14+6.18+6.31+8.31</f>
        <v>34.1</v>
      </c>
      <c r="OA23" s="910">
        <v>5</v>
      </c>
      <c r="OB23" s="46">
        <f t="shared" si="384"/>
        <v>73.313782991202345</v>
      </c>
      <c r="OC23" s="46">
        <f>NZ23/OA23</f>
        <v>6.82</v>
      </c>
      <c r="OE23" s="823"/>
      <c r="OF23" s="823"/>
      <c r="OG23" s="823"/>
      <c r="OH23" s="46" t="e">
        <f t="shared" si="385"/>
        <v>#DIV/0!</v>
      </c>
      <c r="OI23" s="46" t="e">
        <f>OF23/OG23</f>
        <v>#DIV/0!</v>
      </c>
    </row>
    <row r="24" spans="1:399">
      <c r="B24" s="11"/>
      <c r="C24" s="16"/>
      <c r="D24" s="13" t="s">
        <v>29</v>
      </c>
      <c r="E24" s="29"/>
      <c r="F24" s="32"/>
      <c r="G24" s="33"/>
      <c r="H24" s="34"/>
      <c r="I24" s="34"/>
      <c r="J24" s="30"/>
      <c r="K24" s="29"/>
      <c r="L24" s="32"/>
      <c r="M24" s="33"/>
      <c r="N24" s="34"/>
      <c r="O24" s="34"/>
      <c r="P24" s="30"/>
      <c r="Q24" s="29"/>
      <c r="R24" s="32"/>
      <c r="S24" s="33"/>
      <c r="T24" s="34"/>
      <c r="U24" s="34"/>
      <c r="V24" s="30"/>
      <c r="W24" s="29"/>
      <c r="X24" s="32"/>
      <c r="Y24" s="33"/>
      <c r="Z24" s="34"/>
      <c r="AA24" s="34"/>
      <c r="AB24" s="30"/>
      <c r="AC24" s="29"/>
      <c r="AD24" s="32"/>
      <c r="AE24" s="33"/>
      <c r="AF24" s="34"/>
      <c r="AG24" s="34"/>
      <c r="AH24" s="30"/>
      <c r="AI24" s="29"/>
      <c r="AJ24" s="32"/>
      <c r="AK24" s="33"/>
      <c r="AL24" s="34"/>
      <c r="AM24" s="34"/>
      <c r="AN24" s="30"/>
      <c r="AO24" s="29">
        <f>500+200+300+200+200</f>
        <v>1400</v>
      </c>
      <c r="AP24" s="32">
        <f>2.26+1.44+1.09+1.47+1.08</f>
        <v>7.34</v>
      </c>
      <c r="AQ24" s="33">
        <v>5</v>
      </c>
      <c r="AR24" s="34">
        <f t="shared" ref="AR24:AR31" si="495">AO24/AP24</f>
        <v>190.73569482288829</v>
      </c>
      <c r="AS24" s="34">
        <f t="shared" ref="AS24:AS31" si="496">AP24/AQ24</f>
        <v>1.468</v>
      </c>
      <c r="AT24" s="30"/>
      <c r="AU24" s="29">
        <f>400+300+200+100+300</f>
        <v>1300</v>
      </c>
      <c r="AV24" s="32">
        <f>2.19+1.35+1.11+0.98+1.4</f>
        <v>7.0300000000000011</v>
      </c>
      <c r="AW24" s="33">
        <v>5</v>
      </c>
      <c r="AX24" s="34">
        <f t="shared" ref="AX24:AX41" si="497">AU24/AV24</f>
        <v>184.92176386913226</v>
      </c>
      <c r="AY24" s="34">
        <f t="shared" ref="AY24:AY51" si="498">AV24/AW24</f>
        <v>1.4060000000000001</v>
      </c>
      <c r="AZ24" s="592"/>
      <c r="BA24" s="29"/>
      <c r="BB24" s="32"/>
      <c r="BC24" s="33"/>
      <c r="BD24" s="34"/>
      <c r="BE24" s="34"/>
      <c r="BF24" s="592"/>
      <c r="BG24" s="29"/>
      <c r="BH24" s="32"/>
      <c r="BI24" s="33"/>
      <c r="BJ24" s="34"/>
      <c r="BK24" s="34"/>
      <c r="BL24" s="592"/>
      <c r="BM24" s="29"/>
      <c r="BN24" s="32"/>
      <c r="BO24" s="33"/>
      <c r="BP24" s="34"/>
      <c r="BQ24" s="34"/>
      <c r="BR24" s="30"/>
      <c r="BS24" s="29">
        <f>100+100+100+100+100</f>
        <v>500</v>
      </c>
      <c r="BT24" s="32">
        <f>2.84+1.18+2.22+0.8+1.84</f>
        <v>8.8800000000000008</v>
      </c>
      <c r="BU24" s="33">
        <v>5</v>
      </c>
      <c r="BV24" s="34">
        <f t="shared" si="489"/>
        <v>56.306306306306304</v>
      </c>
      <c r="BW24" s="34">
        <f t="shared" si="490"/>
        <v>1.7760000000000002</v>
      </c>
      <c r="BX24" s="592"/>
      <c r="BY24" s="29">
        <f>500+300+400+450+500</f>
        <v>2150</v>
      </c>
      <c r="BZ24" s="32">
        <f>2.19+1.35+1.11+0.98+1.4</f>
        <v>7.0300000000000011</v>
      </c>
      <c r="CA24" s="33">
        <v>5</v>
      </c>
      <c r="CB24" s="34">
        <f t="shared" si="450"/>
        <v>305.83214793741104</v>
      </c>
      <c r="CC24" s="34">
        <f t="shared" si="451"/>
        <v>1.4060000000000001</v>
      </c>
      <c r="CD24" s="592"/>
      <c r="CE24" s="29">
        <v>1200</v>
      </c>
      <c r="CF24" s="32">
        <v>9.2799999999999994</v>
      </c>
      <c r="CG24" s="33">
        <v>5</v>
      </c>
      <c r="CH24" s="34">
        <f t="shared" ref="CH24:CH25" si="499">CE24/CF24</f>
        <v>129.31034482758622</v>
      </c>
      <c r="CI24" s="34">
        <f t="shared" ref="CI24:CI25" si="500">CF24/CG24</f>
        <v>1.8559999999999999</v>
      </c>
      <c r="CJ24" s="592"/>
      <c r="CK24" s="29">
        <f>100+150+100+300+300</f>
        <v>950</v>
      </c>
      <c r="CL24" s="32">
        <f>0.83+1.64+1.02+3.34+1.77</f>
        <v>8.6</v>
      </c>
      <c r="CM24" s="33">
        <v>5</v>
      </c>
      <c r="CN24" s="34">
        <f t="shared" ref="CN24:CN25" si="501">CK24/CL24</f>
        <v>110.46511627906978</v>
      </c>
      <c r="CO24" s="34">
        <f t="shared" ref="CO24:CO25" si="502">CL24/CM24</f>
        <v>1.72</v>
      </c>
      <c r="CP24" s="592"/>
      <c r="CQ24" s="29"/>
      <c r="CR24" s="32"/>
      <c r="CS24" s="33"/>
      <c r="CT24" s="34"/>
      <c r="CU24" s="34"/>
      <c r="CV24" s="592"/>
      <c r="CW24" s="29">
        <f>500+300+400+450+500</f>
        <v>2150</v>
      </c>
      <c r="CX24" s="32">
        <f>2.19+1.35+1.11+0.98+1.4</f>
        <v>7.0300000000000011</v>
      </c>
      <c r="CY24" s="33">
        <v>5</v>
      </c>
      <c r="CZ24" s="34">
        <f t="shared" ref="CZ24:CZ25" si="503">CW24/CX24</f>
        <v>305.83214793741104</v>
      </c>
      <c r="DA24" s="34">
        <f t="shared" ref="DA24:DA25" si="504">CX24/CY24</f>
        <v>1.4060000000000001</v>
      </c>
      <c r="DB24" s="592"/>
      <c r="DC24" s="29">
        <f>150+100+150+200+40</f>
        <v>640</v>
      </c>
      <c r="DD24" s="32">
        <f>1.9+1.38+1.9+2.5+1.82</f>
        <v>9.5</v>
      </c>
      <c r="DE24" s="33">
        <v>5</v>
      </c>
      <c r="DF24" s="34">
        <f t="shared" ref="DF24:DF25" si="505">DC24/DD24</f>
        <v>67.368421052631575</v>
      </c>
      <c r="DG24" s="34">
        <f t="shared" ref="DG24:DG25" si="506">DD24/DE24</f>
        <v>1.9</v>
      </c>
      <c r="DH24" s="592"/>
      <c r="DI24" s="29">
        <v>950</v>
      </c>
      <c r="DJ24" s="32">
        <f>0.83+1.07+1.84+1.49+1.83</f>
        <v>7.0600000000000005</v>
      </c>
      <c r="DK24" s="33">
        <v>5</v>
      </c>
      <c r="DL24" s="34">
        <f t="shared" ref="DL24:DL25" si="507">DI24/DJ24</f>
        <v>134.56090651558074</v>
      </c>
      <c r="DM24" s="34">
        <f t="shared" ref="DM24:DM25" si="508">DJ24/DK24</f>
        <v>1.4120000000000001</v>
      </c>
      <c r="DN24" s="592"/>
      <c r="DO24" s="29">
        <v>1200</v>
      </c>
      <c r="DP24" s="32">
        <v>4.68</v>
      </c>
      <c r="DQ24" s="33">
        <v>5</v>
      </c>
      <c r="DR24" s="34">
        <f t="shared" ref="DR24:DR25" si="509">DO24/DP24</f>
        <v>256.41025641025641</v>
      </c>
      <c r="DS24" s="34">
        <f t="shared" ref="DS24:DS25" si="510">DP24/DQ24</f>
        <v>0.93599999999999994</v>
      </c>
      <c r="DT24" s="592"/>
      <c r="DU24" s="29"/>
      <c r="DV24" s="32"/>
      <c r="DW24" s="33"/>
      <c r="DX24" s="34"/>
      <c r="DY24" s="34"/>
      <c r="DZ24" s="592"/>
      <c r="EA24" s="29"/>
      <c r="EB24" s="32"/>
      <c r="EC24" s="33"/>
      <c r="ED24" s="34"/>
      <c r="EE24" s="34"/>
      <c r="EF24" s="592"/>
      <c r="EG24" s="29"/>
      <c r="EH24" s="32"/>
      <c r="EI24" s="33"/>
      <c r="EJ24" s="34"/>
      <c r="EK24" s="34"/>
      <c r="EL24" s="592"/>
      <c r="EM24" s="29"/>
      <c r="EN24" s="32"/>
      <c r="EO24" s="33"/>
      <c r="EP24" s="34"/>
      <c r="EQ24" s="34"/>
      <c r="ER24" s="30"/>
      <c r="ES24" s="29">
        <f>500+300+400+450+500</f>
        <v>2150</v>
      </c>
      <c r="ET24" s="32">
        <f>2.19+1.35+1.11+0.98+1.4</f>
        <v>7.0300000000000011</v>
      </c>
      <c r="EU24" s="33">
        <v>5</v>
      </c>
      <c r="EV24" s="34">
        <f>ES24/ET24</f>
        <v>305.83214793741104</v>
      </c>
      <c r="EW24" s="34">
        <f t="shared" si="18"/>
        <v>1.4060000000000001</v>
      </c>
      <c r="EX24" s="30"/>
      <c r="EY24" s="35">
        <v>1200</v>
      </c>
      <c r="EZ24" s="34">
        <v>9.2799999999999994</v>
      </c>
      <c r="FA24" s="37">
        <v>5</v>
      </c>
      <c r="FB24" s="34">
        <f>EY24/EZ24</f>
        <v>129.31034482758622</v>
      </c>
      <c r="FC24" s="34">
        <f>EZ24/FA24</f>
        <v>1.8559999999999999</v>
      </c>
      <c r="FE24" s="26"/>
      <c r="FF24" s="27"/>
      <c r="FG24" s="28"/>
      <c r="FH24" s="38"/>
      <c r="FI24" s="39"/>
      <c r="FK24" s="27">
        <f>100+100+100+200+300</f>
        <v>800</v>
      </c>
      <c r="FL24" s="40">
        <f>4.32+4.54+2.9+3.56+5.3</f>
        <v>20.62</v>
      </c>
      <c r="FM24" s="27">
        <f>5</f>
        <v>5</v>
      </c>
      <c r="FN24" s="40">
        <f t="shared" si="97"/>
        <v>38.797284190106687</v>
      </c>
      <c r="FO24" s="40">
        <f t="shared" si="97"/>
        <v>4.1240000000000006</v>
      </c>
      <c r="FQ24" s="26">
        <f>50+50+150+200+200</f>
        <v>650</v>
      </c>
      <c r="FR24" s="40">
        <f>0.82+0.81+0.89+0.88+0.96</f>
        <v>4.3599999999999994</v>
      </c>
      <c r="FS24" s="27">
        <f>5</f>
        <v>5</v>
      </c>
      <c r="FT24" s="40">
        <f t="shared" si="19"/>
        <v>149.08256880733947</v>
      </c>
      <c r="FU24" s="40">
        <f t="shared" si="19"/>
        <v>0.87199999999999989</v>
      </c>
      <c r="FW24" s="26"/>
      <c r="FX24" s="27"/>
      <c r="FY24" s="27"/>
      <c r="FZ24" s="40"/>
      <c r="GA24" s="40"/>
      <c r="GC24" s="26">
        <f>150+100+200+300+250</f>
        <v>1000</v>
      </c>
      <c r="GD24" s="27">
        <f>1.14+0.77+1.23+1.75+1.63</f>
        <v>6.52</v>
      </c>
      <c r="GE24" s="27">
        <f>5</f>
        <v>5</v>
      </c>
      <c r="GF24" s="40">
        <f t="shared" si="21"/>
        <v>153.37423312883436</v>
      </c>
      <c r="GG24" s="40">
        <f t="shared" si="21"/>
        <v>1.3039999999999998</v>
      </c>
      <c r="GI24" s="26">
        <f>50+100+100+30+100</f>
        <v>380</v>
      </c>
      <c r="GJ24" s="27">
        <f>1.08+0.94+1.1+0.56+1.65</f>
        <v>5.33</v>
      </c>
      <c r="GK24" s="27">
        <f>5</f>
        <v>5</v>
      </c>
      <c r="GL24" s="40">
        <f t="shared" si="22"/>
        <v>71.294559099437151</v>
      </c>
      <c r="GM24" s="40">
        <f t="shared" si="22"/>
        <v>1.0660000000000001</v>
      </c>
      <c r="GO24" s="26">
        <f>150+150+100+100+100</f>
        <v>600</v>
      </c>
      <c r="GP24" s="40">
        <f>2.1+2.92+0.75+1.47+1.45</f>
        <v>8.69</v>
      </c>
      <c r="GQ24" s="27">
        <f>5</f>
        <v>5</v>
      </c>
      <c r="GR24" s="40">
        <f t="shared" si="98"/>
        <v>69.04487917146146</v>
      </c>
      <c r="GS24" s="40">
        <f t="shared" si="98"/>
        <v>1.738</v>
      </c>
      <c r="GU24" s="95"/>
      <c r="GV24" s="99"/>
      <c r="GW24" s="100"/>
      <c r="GX24" s="101"/>
      <c r="GY24" s="101"/>
      <c r="GZ24" s="43"/>
      <c r="HA24" s="26"/>
      <c r="HB24" s="39"/>
      <c r="HC24" s="28"/>
      <c r="HD24" s="106"/>
      <c r="HE24" s="106"/>
      <c r="HG24" s="26">
        <f>100+100+100+100+100</f>
        <v>500</v>
      </c>
      <c r="HH24" s="40">
        <f>1.1+1.92+0.75+1.47+1.45</f>
        <v>6.69</v>
      </c>
      <c r="HI24" s="27">
        <f>5</f>
        <v>5</v>
      </c>
      <c r="HJ24" s="34">
        <f t="shared" si="25"/>
        <v>74.738415545590428</v>
      </c>
      <c r="HK24" s="34">
        <f t="shared" si="25"/>
        <v>1.3380000000000001</v>
      </c>
      <c r="HM24" s="26"/>
      <c r="HN24" s="45"/>
      <c r="HO24" s="46"/>
      <c r="HP24" s="47"/>
      <c r="HQ24" s="47"/>
      <c r="HS24" s="26"/>
      <c r="HT24" s="45"/>
      <c r="HU24" s="46"/>
      <c r="HV24" s="48"/>
      <c r="HW24" s="48"/>
      <c r="HY24" s="45">
        <f>150+200+100+50</f>
        <v>500</v>
      </c>
      <c r="HZ24" s="45">
        <f>2.18+2.76+1.81+0.92</f>
        <v>7.67</v>
      </c>
      <c r="IA24" s="45">
        <f>4</f>
        <v>4</v>
      </c>
      <c r="IB24" s="48">
        <f t="shared" si="141"/>
        <v>65.189048239895698</v>
      </c>
      <c r="IC24" s="48">
        <f t="shared" si="141"/>
        <v>1.9175</v>
      </c>
      <c r="IE24" s="45">
        <f>50+30+100+100+150</f>
        <v>430</v>
      </c>
      <c r="IF24" s="45">
        <f>0.86+0.7+1.13+1.15+1.38</f>
        <v>5.22</v>
      </c>
      <c r="IG24" s="45">
        <f>5</f>
        <v>5</v>
      </c>
      <c r="IH24" s="48">
        <f t="shared" si="27"/>
        <v>82.375478927203062</v>
      </c>
      <c r="II24" s="48">
        <f t="shared" si="27"/>
        <v>1.044</v>
      </c>
      <c r="IK24" s="26">
        <f>200+200+200+100+200</f>
        <v>900</v>
      </c>
      <c r="IL24" s="40">
        <f>1.05+1.1+1.22+1.04+1.05</f>
        <v>5.46</v>
      </c>
      <c r="IM24" s="45">
        <f>5</f>
        <v>5</v>
      </c>
      <c r="IN24" s="48">
        <f t="shared" si="28"/>
        <v>164.83516483516485</v>
      </c>
      <c r="IO24" s="48">
        <f t="shared" si="28"/>
        <v>1.0920000000000001</v>
      </c>
      <c r="IQ24" s="26">
        <f>100+100+100+100+100</f>
        <v>500</v>
      </c>
      <c r="IR24" s="40">
        <f>1.34+1.37+1.34+1.38+1.5</f>
        <v>6.93</v>
      </c>
      <c r="IS24" s="45">
        <v>5</v>
      </c>
      <c r="IT24" s="48">
        <f t="shared" si="432"/>
        <v>72.150072150072148</v>
      </c>
      <c r="IU24" s="48">
        <f t="shared" si="433"/>
        <v>1.3859999999999999</v>
      </c>
      <c r="IW24" s="26">
        <f>100+100+200+150+50</f>
        <v>600</v>
      </c>
      <c r="IX24" s="40">
        <f>1.16+1.49+0.98+0.7+0.32</f>
        <v>4.6500000000000004</v>
      </c>
      <c r="IY24" s="45">
        <v>5</v>
      </c>
      <c r="IZ24" s="46">
        <f t="shared" si="434"/>
        <v>129.03225806451613</v>
      </c>
      <c r="JA24" s="46">
        <f t="shared" si="435"/>
        <v>0.93</v>
      </c>
      <c r="JC24" s="26">
        <f>150+100+100+100+100</f>
        <v>550</v>
      </c>
      <c r="JD24" s="40">
        <f>2.41+2.24+2.31+2.22+2.42</f>
        <v>11.600000000000001</v>
      </c>
      <c r="JE24" s="45">
        <v>5</v>
      </c>
      <c r="JF24" s="46">
        <f t="shared" si="444"/>
        <v>47.41379310344827</v>
      </c>
      <c r="JG24" s="46">
        <f t="shared" si="445"/>
        <v>2.3200000000000003</v>
      </c>
      <c r="JI24" s="26">
        <f>100+50+100+100+100</f>
        <v>450</v>
      </c>
      <c r="JJ24" s="40">
        <f>1.05+1.29+1.23+1.11+1.19</f>
        <v>5.8699999999999992</v>
      </c>
      <c r="JK24" s="45">
        <v>5</v>
      </c>
      <c r="JL24" s="46">
        <f t="shared" si="436"/>
        <v>76.660988074957416</v>
      </c>
      <c r="JM24" s="46">
        <f t="shared" si="437"/>
        <v>1.1739999999999999</v>
      </c>
      <c r="JO24" s="26">
        <f>200+350+250+350+150</f>
        <v>1300</v>
      </c>
      <c r="JP24" s="40">
        <f>1.47+1.47+1.38+1.51+0.28</f>
        <v>6.11</v>
      </c>
      <c r="JQ24" s="45">
        <v>5</v>
      </c>
      <c r="JR24" s="46">
        <f t="shared" si="438"/>
        <v>212.7659574468085</v>
      </c>
      <c r="JS24" s="46">
        <f t="shared" si="439"/>
        <v>1.222</v>
      </c>
      <c r="JU24" s="26">
        <f>100+200+200+250+150</f>
        <v>900</v>
      </c>
      <c r="JV24" s="40">
        <f>0.92+1.12+1.15+1.92+1.48</f>
        <v>6.59</v>
      </c>
      <c r="JW24" s="45">
        <v>5</v>
      </c>
      <c r="JX24" s="46">
        <f t="shared" ref="JX24:JY27" si="511">JU24/JV24</f>
        <v>136.57056145675267</v>
      </c>
      <c r="JY24" s="46">
        <f t="shared" ref="JY24:JY25" si="512">JV24/JW24</f>
        <v>1.3180000000000001</v>
      </c>
      <c r="KA24" s="26">
        <f>200+200+200+200+200</f>
        <v>1000</v>
      </c>
      <c r="KB24" s="40">
        <f>1.15+1.21+1.19+1.18+1.16</f>
        <v>5.89</v>
      </c>
      <c r="KC24" s="45">
        <v>5</v>
      </c>
      <c r="KD24" s="46">
        <f t="shared" ref="KD24:KD26" si="513">KA24/KB24</f>
        <v>169.77928692699493</v>
      </c>
      <c r="KE24" s="46">
        <f t="shared" ref="KE24:KE26" si="514">KB24/KC24</f>
        <v>1.1779999999999999</v>
      </c>
      <c r="KG24" s="26">
        <f>50+100+150+200+300</f>
        <v>800</v>
      </c>
      <c r="KH24" s="40">
        <f>0.13+0.22+0.72+2.08+1.34</f>
        <v>4.49</v>
      </c>
      <c r="KI24" s="45">
        <v>5</v>
      </c>
      <c r="KJ24" s="46">
        <f t="shared" si="468"/>
        <v>178.17371937639197</v>
      </c>
      <c r="KK24" s="46">
        <f t="shared" si="469"/>
        <v>0.89800000000000002</v>
      </c>
      <c r="KM24" s="26">
        <f>100+100+100+100+200</f>
        <v>600</v>
      </c>
      <c r="KN24" s="40">
        <f>3.83+1.1</f>
        <v>4.93</v>
      </c>
      <c r="KO24" s="45">
        <v>5</v>
      </c>
      <c r="KP24" s="46">
        <f t="shared" si="369"/>
        <v>121.70385395537527</v>
      </c>
      <c r="KQ24" s="46">
        <f>KN24/KO24</f>
        <v>0.98599999999999999</v>
      </c>
      <c r="KS24" s="26">
        <f>200+150+150+200+300</f>
        <v>1000</v>
      </c>
      <c r="KT24" s="40">
        <f>2.3+2.28+2.25+1.67+1.73</f>
        <v>10.23</v>
      </c>
      <c r="KU24" s="45">
        <v>5</v>
      </c>
      <c r="KV24" s="46">
        <f t="shared" si="370"/>
        <v>97.75171065493646</v>
      </c>
      <c r="KW24" s="46">
        <f>KT24/KU24</f>
        <v>2.0460000000000003</v>
      </c>
      <c r="KY24" s="26"/>
      <c r="KZ24" s="40"/>
      <c r="LA24" s="45"/>
      <c r="LB24" s="46" t="e">
        <f t="shared" si="371"/>
        <v>#DIV/0!</v>
      </c>
      <c r="LC24" s="46" t="e">
        <f>KZ24/LA24</f>
        <v>#DIV/0!</v>
      </c>
      <c r="LE24" s="26"/>
      <c r="LF24" s="40"/>
      <c r="LG24" s="45"/>
      <c r="LH24" s="46" t="e">
        <f t="shared" si="372"/>
        <v>#DIV/0!</v>
      </c>
      <c r="LI24" s="46" t="e">
        <f>LF24/LG24</f>
        <v>#DIV/0!</v>
      </c>
      <c r="LK24" s="26">
        <f>200+200+200+200+200</f>
        <v>1000</v>
      </c>
      <c r="LL24" s="40">
        <f>1.09+1.06+1.03+1.09+1.08</f>
        <v>5.3500000000000005</v>
      </c>
      <c r="LM24" s="45">
        <v>5</v>
      </c>
      <c r="LN24" s="46">
        <f t="shared" si="373"/>
        <v>186.91588785046727</v>
      </c>
      <c r="LO24" s="46">
        <f>LL24/LM24</f>
        <v>1.07</v>
      </c>
      <c r="LQ24" s="26"/>
      <c r="LR24" s="40"/>
      <c r="LS24" s="45"/>
      <c r="LT24" s="46" t="e">
        <f t="shared" si="374"/>
        <v>#DIV/0!</v>
      </c>
      <c r="LU24" s="46" t="e">
        <f>LR24/LS24</f>
        <v>#DIV/0!</v>
      </c>
      <c r="LW24" s="26">
        <f>100+100+100</f>
        <v>300</v>
      </c>
      <c r="LX24" s="40">
        <f>0.9+1.74+1.19</f>
        <v>3.83</v>
      </c>
      <c r="LY24" s="45">
        <v>3</v>
      </c>
      <c r="LZ24" s="46">
        <f t="shared" si="375"/>
        <v>78.32898172323759</v>
      </c>
      <c r="MA24" s="46">
        <f>LX24/LY24</f>
        <v>1.2766666666666666</v>
      </c>
      <c r="MC24" s="26"/>
      <c r="MD24" s="40"/>
      <c r="ME24" s="45"/>
      <c r="MF24" s="46" t="e">
        <f t="shared" si="376"/>
        <v>#DIV/0!</v>
      </c>
      <c r="MG24" s="46" t="e">
        <f>MD24/ME24</f>
        <v>#DIV/0!</v>
      </c>
      <c r="MI24" s="26">
        <f>50+50+50+50+50</f>
        <v>250</v>
      </c>
      <c r="MJ24" s="40">
        <f>1+0.89+0.87+1.02+0.91</f>
        <v>4.6900000000000004</v>
      </c>
      <c r="MK24" s="45">
        <v>5</v>
      </c>
      <c r="ML24" s="46">
        <f t="shared" si="377"/>
        <v>53.304904051172706</v>
      </c>
      <c r="MM24" s="46">
        <f>MJ24/MK24</f>
        <v>0.93800000000000006</v>
      </c>
      <c r="MO24" s="26"/>
      <c r="MP24" s="40"/>
      <c r="MQ24" s="45"/>
      <c r="MR24" s="46" t="e">
        <f t="shared" si="378"/>
        <v>#DIV/0!</v>
      </c>
      <c r="MS24" s="46" t="e">
        <f>MP24/MQ24</f>
        <v>#DIV/0!</v>
      </c>
      <c r="MU24" s="26"/>
      <c r="MV24" s="40"/>
      <c r="MW24" s="45"/>
      <c r="MX24" s="46" t="e">
        <f t="shared" si="379"/>
        <v>#DIV/0!</v>
      </c>
      <c r="MY24" s="46" t="e">
        <f>MV24/MW24</f>
        <v>#DIV/0!</v>
      </c>
      <c r="NA24" s="823">
        <f>200+100+100+50+150</f>
        <v>600</v>
      </c>
      <c r="NB24" s="823">
        <f>1.31+0.89+1.75+0.74+1.09</f>
        <v>5.78</v>
      </c>
      <c r="NC24" s="823">
        <v>5</v>
      </c>
      <c r="ND24" s="46">
        <f t="shared" si="380"/>
        <v>103.80622837370242</v>
      </c>
      <c r="NE24" s="46">
        <f>NB24/NC24</f>
        <v>1.1560000000000001</v>
      </c>
      <c r="NG24" s="884">
        <f>100+200+300+150+300</f>
        <v>1050</v>
      </c>
      <c r="NH24" s="884">
        <f>1.36+1.6+2.03+1.63+2.32</f>
        <v>8.94</v>
      </c>
      <c r="NI24" s="884">
        <v>5</v>
      </c>
      <c r="NJ24" s="46">
        <f t="shared" si="381"/>
        <v>117.4496644295302</v>
      </c>
      <c r="NK24" s="46">
        <f>NH24/NI24</f>
        <v>1.7879999999999998</v>
      </c>
      <c r="NM24" s="823">
        <f>100+100+100+100+100</f>
        <v>500</v>
      </c>
      <c r="NN24" s="823">
        <f>2.1+2.49+1.92+2.23+1.97</f>
        <v>10.71</v>
      </c>
      <c r="NO24" s="823">
        <v>5</v>
      </c>
      <c r="NP24" s="46">
        <f t="shared" si="382"/>
        <v>46.685340802987859</v>
      </c>
      <c r="NQ24" s="46">
        <f>NN24/NO24</f>
        <v>2.1420000000000003</v>
      </c>
      <c r="NS24" s="823">
        <f>100+100+50+50+100</f>
        <v>400</v>
      </c>
      <c r="NT24" s="823">
        <f>2.35+1.47+1.42+1.41+2.39</f>
        <v>9.0400000000000009</v>
      </c>
      <c r="NU24" s="823">
        <v>5</v>
      </c>
      <c r="NV24" s="46">
        <f t="shared" si="383"/>
        <v>44.247787610619461</v>
      </c>
      <c r="NW24" s="46">
        <f>NT24/NU24</f>
        <v>1.8080000000000003</v>
      </c>
      <c r="NY24" s="910">
        <f>200+200+200+200+200</f>
        <v>1000</v>
      </c>
      <c r="NZ24" s="910">
        <f>0.85+0.84+0.84+0.84+0.84</f>
        <v>4.21</v>
      </c>
      <c r="OA24" s="910">
        <v>5</v>
      </c>
      <c r="OB24" s="46">
        <f t="shared" si="384"/>
        <v>237.52969121140143</v>
      </c>
      <c r="OC24" s="46">
        <f>NZ24/OA24</f>
        <v>0.84199999999999997</v>
      </c>
      <c r="OE24" s="823"/>
      <c r="OF24" s="823"/>
      <c r="OG24" s="823"/>
      <c r="OH24" s="46" t="e">
        <f t="shared" si="385"/>
        <v>#DIV/0!</v>
      </c>
      <c r="OI24" s="46" t="e">
        <f>OF24/OG24</f>
        <v>#DIV/0!</v>
      </c>
    </row>
    <row r="25" spans="1:399">
      <c r="B25" s="11"/>
      <c r="C25" s="16" t="s">
        <v>31</v>
      </c>
      <c r="D25" s="13" t="s">
        <v>14</v>
      </c>
      <c r="E25" s="29">
        <f>150+300+50+100+100</f>
        <v>700</v>
      </c>
      <c r="F25" s="32">
        <f>1.53+2.64+0.86+1.14+1.99</f>
        <v>8.16</v>
      </c>
      <c r="G25" s="33">
        <v>5</v>
      </c>
      <c r="H25" s="34">
        <f t="shared" ref="H25" si="515">E25/F25</f>
        <v>85.784313725490193</v>
      </c>
      <c r="I25" s="34">
        <f t="shared" ref="I25" si="516">F25/G25</f>
        <v>1.6320000000000001</v>
      </c>
      <c r="J25" s="30"/>
      <c r="K25" s="29">
        <f>50+100+150+500+200</f>
        <v>1000</v>
      </c>
      <c r="L25" s="32">
        <f>1.18+1.73+1.89+2.71+3.7</f>
        <v>11.21</v>
      </c>
      <c r="M25" s="33">
        <v>5</v>
      </c>
      <c r="N25" s="34">
        <f t="shared" ref="N25" si="517">K25/L25</f>
        <v>89.206066012488847</v>
      </c>
      <c r="O25" s="34">
        <f t="shared" ref="O25" si="518">L25/M25</f>
        <v>2.242</v>
      </c>
      <c r="P25" s="30"/>
      <c r="Q25" s="29"/>
      <c r="R25" s="32"/>
      <c r="S25" s="33"/>
      <c r="T25" s="34"/>
      <c r="U25" s="34"/>
      <c r="V25" s="30"/>
      <c r="W25" s="29">
        <f>100+150+20+30+200</f>
        <v>500</v>
      </c>
      <c r="X25" s="32">
        <f>0.82+1.45+0.52+0.57+2.25</f>
        <v>5.6099999999999994</v>
      </c>
      <c r="Y25" s="33">
        <v>5</v>
      </c>
      <c r="Z25" s="34">
        <f t="shared" ref="Z25" si="519">W25/X25</f>
        <v>89.126559714795022</v>
      </c>
      <c r="AA25" s="34">
        <f t="shared" ref="AA25" si="520">X25/Y25</f>
        <v>1.1219999999999999</v>
      </c>
      <c r="AB25" s="30"/>
      <c r="AC25" s="29"/>
      <c r="AD25" s="32"/>
      <c r="AE25" s="33"/>
      <c r="AF25" s="34"/>
      <c r="AG25" s="34"/>
      <c r="AH25" s="30"/>
      <c r="AI25" s="29"/>
      <c r="AJ25" s="32"/>
      <c r="AK25" s="33"/>
      <c r="AL25" s="34"/>
      <c r="AM25" s="34"/>
      <c r="AN25" s="30"/>
      <c r="AO25" s="29">
        <f>300+100+200+150+50</f>
        <v>800</v>
      </c>
      <c r="AP25" s="32">
        <f>1.91+1.24+1.67+1.3+0.82</f>
        <v>6.94</v>
      </c>
      <c r="AQ25" s="33">
        <v>5</v>
      </c>
      <c r="AR25" s="34">
        <f t="shared" si="495"/>
        <v>115.27377521613832</v>
      </c>
      <c r="AS25" s="34">
        <f t="shared" si="496"/>
        <v>1.3880000000000001</v>
      </c>
      <c r="AT25" s="30"/>
      <c r="AU25" s="29">
        <f>150+100+100+400+300</f>
        <v>1050</v>
      </c>
      <c r="AV25" s="32">
        <f>1.43+1.6+1.7+2.7+2.05</f>
        <v>9.48</v>
      </c>
      <c r="AW25" s="33">
        <v>5</v>
      </c>
      <c r="AX25" s="34">
        <f t="shared" si="497"/>
        <v>110.75949367088607</v>
      </c>
      <c r="AY25" s="34">
        <f t="shared" si="498"/>
        <v>1.8960000000000001</v>
      </c>
      <c r="AZ25" s="592"/>
      <c r="BA25" s="29">
        <f>100+50+50+100+100</f>
        <v>400</v>
      </c>
      <c r="BB25" s="32">
        <f>1.71+1.52+1.78+2.3+1.56</f>
        <v>8.8699999999999992</v>
      </c>
      <c r="BC25" s="33">
        <v>5</v>
      </c>
      <c r="BD25" s="34">
        <f t="shared" ref="BD25" si="521">BA25/BB25</f>
        <v>45.095828635851191</v>
      </c>
      <c r="BE25" s="34">
        <f t="shared" ref="BE25" si="522">BB25/BC25</f>
        <v>1.7739999999999998</v>
      </c>
      <c r="BF25" s="592"/>
      <c r="BG25" s="29"/>
      <c r="BH25" s="32"/>
      <c r="BI25" s="33"/>
      <c r="BJ25" s="34"/>
      <c r="BK25" s="34"/>
      <c r="BL25" s="592"/>
      <c r="BM25" s="29"/>
      <c r="BN25" s="32"/>
      <c r="BO25" s="33"/>
      <c r="BP25" s="34"/>
      <c r="BQ25" s="34"/>
      <c r="BR25" s="30"/>
      <c r="BS25" s="29">
        <f>100+50+30+100+50</f>
        <v>330</v>
      </c>
      <c r="BT25" s="32">
        <f>1.81+1.29+1.01+2.37+1.66</f>
        <v>8.14</v>
      </c>
      <c r="BU25" s="33">
        <v>5</v>
      </c>
      <c r="BV25" s="34">
        <f t="shared" ref="BV25:BV41" si="523">BS25/BT25</f>
        <v>40.54054054054054</v>
      </c>
      <c r="BW25" s="34">
        <f t="shared" ref="BW25:BW51" si="524">BT25/BU25</f>
        <v>1.6280000000000001</v>
      </c>
      <c r="BX25" s="592"/>
      <c r="BY25" s="29">
        <f>100+50+100+100+100</f>
        <v>450</v>
      </c>
      <c r="BZ25" s="32">
        <f>1.43+1.6+1.7+2.7+2.05</f>
        <v>9.48</v>
      </c>
      <c r="CA25" s="33">
        <v>5</v>
      </c>
      <c r="CB25" s="34">
        <f t="shared" si="450"/>
        <v>47.468354430379748</v>
      </c>
      <c r="CC25" s="34">
        <f t="shared" si="451"/>
        <v>1.8960000000000001</v>
      </c>
      <c r="CD25" s="592"/>
      <c r="CE25" s="29">
        <v>4715</v>
      </c>
      <c r="CF25" s="32">
        <v>32</v>
      </c>
      <c r="CG25" s="33">
        <v>5</v>
      </c>
      <c r="CH25" s="34">
        <f t="shared" si="499"/>
        <v>147.34375</v>
      </c>
      <c r="CI25" s="34">
        <f t="shared" si="500"/>
        <v>6.4</v>
      </c>
      <c r="CJ25" s="592"/>
      <c r="CK25" s="29">
        <f>200+100+100+20+200</f>
        <v>620</v>
      </c>
      <c r="CL25" s="32">
        <f>1.89+1.35+1.1+0.9+2.75</f>
        <v>7.99</v>
      </c>
      <c r="CM25" s="33">
        <v>5</v>
      </c>
      <c r="CN25" s="34">
        <f t="shared" si="501"/>
        <v>77.596996245306627</v>
      </c>
      <c r="CO25" s="34">
        <f t="shared" si="502"/>
        <v>1.5980000000000001</v>
      </c>
      <c r="CP25" s="592"/>
      <c r="CQ25" s="29"/>
      <c r="CR25" s="32"/>
      <c r="CS25" s="33"/>
      <c r="CT25" s="34"/>
      <c r="CU25" s="34"/>
      <c r="CV25" s="592"/>
      <c r="CW25" s="29">
        <f>100+50+100+100+100</f>
        <v>450</v>
      </c>
      <c r="CX25" s="32">
        <f>1.43+1.6+1.7+2.7+2.05</f>
        <v>9.48</v>
      </c>
      <c r="CY25" s="33">
        <v>5</v>
      </c>
      <c r="CZ25" s="34">
        <f t="shared" si="503"/>
        <v>47.468354430379748</v>
      </c>
      <c r="DA25" s="34">
        <f t="shared" si="504"/>
        <v>1.8960000000000001</v>
      </c>
      <c r="DB25" s="592"/>
      <c r="DC25" s="29">
        <f>100+100+100+150+100</f>
        <v>550</v>
      </c>
      <c r="DD25" s="32">
        <f>1.15+1.53+0.82+1.85+0.94</f>
        <v>6.2899999999999991</v>
      </c>
      <c r="DE25" s="33">
        <v>5</v>
      </c>
      <c r="DF25" s="34">
        <f t="shared" si="505"/>
        <v>87.440381558028633</v>
      </c>
      <c r="DG25" s="34">
        <f t="shared" si="506"/>
        <v>1.2579999999999998</v>
      </c>
      <c r="DH25" s="592"/>
      <c r="DI25" s="29">
        <v>750</v>
      </c>
      <c r="DJ25" s="32">
        <v>5.47</v>
      </c>
      <c r="DK25" s="33">
        <v>5</v>
      </c>
      <c r="DL25" s="34">
        <f t="shared" si="507"/>
        <v>137.11151736745887</v>
      </c>
      <c r="DM25" s="34">
        <f t="shared" si="508"/>
        <v>1.0939999999999999</v>
      </c>
      <c r="DN25" s="592"/>
      <c r="DO25" s="29">
        <v>650</v>
      </c>
      <c r="DP25" s="32">
        <v>6.33</v>
      </c>
      <c r="DQ25" s="33">
        <v>5</v>
      </c>
      <c r="DR25" s="34">
        <f t="shared" si="509"/>
        <v>102.68562401263823</v>
      </c>
      <c r="DS25" s="34">
        <f t="shared" si="510"/>
        <v>1.266</v>
      </c>
      <c r="DT25" s="592"/>
      <c r="DU25" s="29"/>
      <c r="DV25" s="32"/>
      <c r="DW25" s="33"/>
      <c r="DX25" s="34"/>
      <c r="DY25" s="34"/>
      <c r="DZ25" s="592"/>
      <c r="EA25" s="29"/>
      <c r="EB25" s="32"/>
      <c r="EC25" s="33"/>
      <c r="ED25" s="34"/>
      <c r="EE25" s="34"/>
      <c r="EF25" s="592"/>
      <c r="EG25" s="29"/>
      <c r="EH25" s="32"/>
      <c r="EI25" s="33"/>
      <c r="EJ25" s="34"/>
      <c r="EK25" s="34"/>
      <c r="EL25" s="592"/>
      <c r="EM25" s="29"/>
      <c r="EN25" s="32"/>
      <c r="EO25" s="33"/>
      <c r="EP25" s="34"/>
      <c r="EQ25" s="34"/>
      <c r="ER25" s="30"/>
      <c r="ES25" s="29">
        <f>100+50+100+100+100</f>
        <v>450</v>
      </c>
      <c r="ET25" s="32">
        <f>1.43+1.6+1.7+2.7+2.05</f>
        <v>9.48</v>
      </c>
      <c r="EU25" s="33">
        <v>5</v>
      </c>
      <c r="EV25" s="34">
        <f t="shared" si="18"/>
        <v>47.468354430379748</v>
      </c>
      <c r="EW25" s="34">
        <f t="shared" si="18"/>
        <v>1.8960000000000001</v>
      </c>
      <c r="EX25" s="30"/>
      <c r="EY25" s="35">
        <v>300</v>
      </c>
      <c r="EZ25" s="34">
        <v>7</v>
      </c>
      <c r="FA25" s="37">
        <v>5</v>
      </c>
      <c r="FB25" s="34">
        <f t="shared" si="118"/>
        <v>42.857142857142854</v>
      </c>
      <c r="FC25" s="34">
        <f t="shared" si="118"/>
        <v>1.4</v>
      </c>
      <c r="FE25" s="26"/>
      <c r="FF25" s="27"/>
      <c r="FG25" s="28"/>
      <c r="FH25" s="38"/>
      <c r="FI25" s="39"/>
      <c r="FK25" s="27">
        <f>200+100+100+50+20</f>
        <v>470</v>
      </c>
      <c r="FL25" s="40">
        <f>1.47+1.52+1.19+1+0.72</f>
        <v>5.8999999999999995</v>
      </c>
      <c r="FM25" s="27">
        <f>5</f>
        <v>5</v>
      </c>
      <c r="FN25" s="40">
        <f t="shared" si="97"/>
        <v>79.661016949152554</v>
      </c>
      <c r="FO25" s="40">
        <f t="shared" si="97"/>
        <v>1.18</v>
      </c>
      <c r="FQ25" s="26">
        <f>50+100+20+150+250</f>
        <v>570</v>
      </c>
      <c r="FR25" s="40">
        <f>1.02+1.27+0.62+1.16+2.05</f>
        <v>6.12</v>
      </c>
      <c r="FS25" s="27">
        <f>5</f>
        <v>5</v>
      </c>
      <c r="FT25" s="40">
        <f t="shared" si="19"/>
        <v>93.137254901960787</v>
      </c>
      <c r="FU25" s="40">
        <f t="shared" si="19"/>
        <v>1.224</v>
      </c>
      <c r="FW25" s="26">
        <f>100+100+50+30+50</f>
        <v>330</v>
      </c>
      <c r="FX25" s="27">
        <f>0.68+1.18+1.14+0.74+1.07</f>
        <v>4.8100000000000005</v>
      </c>
      <c r="FY25" s="27">
        <f>5</f>
        <v>5</v>
      </c>
      <c r="FZ25" s="40">
        <f t="shared" si="20"/>
        <v>68.607068607068598</v>
      </c>
      <c r="GA25" s="40">
        <f t="shared" si="20"/>
        <v>0.96200000000000008</v>
      </c>
      <c r="GC25" s="26">
        <f>200+150+100+50+30</f>
        <v>530</v>
      </c>
      <c r="GD25" s="27">
        <f>1.56+1.16+1.17+0.9+0.75</f>
        <v>5.54</v>
      </c>
      <c r="GE25" s="27">
        <f>5</f>
        <v>5</v>
      </c>
      <c r="GF25" s="40">
        <f t="shared" si="21"/>
        <v>95.667870036101078</v>
      </c>
      <c r="GG25" s="40">
        <f t="shared" si="21"/>
        <v>1.1080000000000001</v>
      </c>
      <c r="GI25" s="26">
        <f>100+100+50+30+150</f>
        <v>430</v>
      </c>
      <c r="GJ25" s="27">
        <f>1.75+1.12+0.83+0.73+1.37</f>
        <v>5.8</v>
      </c>
      <c r="GK25" s="27">
        <f>5</f>
        <v>5</v>
      </c>
      <c r="GL25" s="40">
        <f t="shared" si="22"/>
        <v>74.137931034482762</v>
      </c>
      <c r="GM25" s="40">
        <f t="shared" si="22"/>
        <v>1.1599999999999999</v>
      </c>
      <c r="GO25" s="26">
        <f>200+100+200+300+100</f>
        <v>900</v>
      </c>
      <c r="GP25" s="40">
        <f>2.4+1.27+2.4+1.27+0.6</f>
        <v>7.9399999999999995</v>
      </c>
      <c r="GQ25" s="27">
        <f>5</f>
        <v>5</v>
      </c>
      <c r="GR25" s="40">
        <f t="shared" si="98"/>
        <v>113.35012594458439</v>
      </c>
      <c r="GS25" s="40">
        <f t="shared" si="98"/>
        <v>1.5879999999999999</v>
      </c>
      <c r="GU25" s="95">
        <f>700+700+600+400+200</f>
        <v>2600</v>
      </c>
      <c r="GV25" s="99">
        <f>1.86+1.79+1.6+1.07+0.67</f>
        <v>6.99</v>
      </c>
      <c r="GW25" s="100">
        <v>5</v>
      </c>
      <c r="GX25" s="101">
        <f t="shared" si="23"/>
        <v>371.95994277539342</v>
      </c>
      <c r="GY25" s="101">
        <f t="shared" si="23"/>
        <v>1.3980000000000001</v>
      </c>
      <c r="GZ25" s="43"/>
      <c r="HA25" s="26"/>
      <c r="HB25" s="39"/>
      <c r="HC25" s="28"/>
      <c r="HD25" s="106"/>
      <c r="HE25" s="106"/>
      <c r="HG25" s="26">
        <f>200+50+100+200+100</f>
        <v>650</v>
      </c>
      <c r="HH25" s="27">
        <f>1.9+1.16+1.17+1.9+1.75</f>
        <v>7.879999999999999</v>
      </c>
      <c r="HI25" s="27">
        <f>5</f>
        <v>5</v>
      </c>
      <c r="HJ25" s="34">
        <f t="shared" si="25"/>
        <v>82.487309644670063</v>
      </c>
      <c r="HK25" s="34">
        <f t="shared" si="25"/>
        <v>1.5759999999999998</v>
      </c>
      <c r="HM25" s="26">
        <f>150+300+50+100+100</f>
        <v>700</v>
      </c>
      <c r="HN25" s="45">
        <f>1.53+2.64+0.86+1.14+1.99</f>
        <v>8.16</v>
      </c>
      <c r="HO25" s="46">
        <v>5</v>
      </c>
      <c r="HP25" s="47">
        <f t="shared" si="99"/>
        <v>85.784313725490193</v>
      </c>
      <c r="HQ25" s="47">
        <f t="shared" si="99"/>
        <v>1.6320000000000001</v>
      </c>
      <c r="HS25" s="26">
        <f>50+100+150+500+200</f>
        <v>1000</v>
      </c>
      <c r="HT25" s="45">
        <f>1.18+1.73+1.89+2.71+3.7</f>
        <v>11.21</v>
      </c>
      <c r="HU25" s="46">
        <v>5</v>
      </c>
      <c r="HV25" s="48">
        <f t="shared" si="26"/>
        <v>89.206066012488847</v>
      </c>
      <c r="HW25" s="48">
        <f t="shared" si="26"/>
        <v>2.242</v>
      </c>
      <c r="HY25" s="45">
        <f>50+100+100</f>
        <v>250</v>
      </c>
      <c r="HZ25" s="45">
        <f>0.07+1.07+1.56</f>
        <v>2.7</v>
      </c>
      <c r="IA25" s="45">
        <f>3</f>
        <v>3</v>
      </c>
      <c r="IB25" s="48">
        <f t="shared" si="141"/>
        <v>92.592592592592581</v>
      </c>
      <c r="IC25" s="48">
        <f t="shared" si="141"/>
        <v>0.9</v>
      </c>
      <c r="IE25" s="45">
        <f>150+100+50+30+200</f>
        <v>530</v>
      </c>
      <c r="IF25" s="45">
        <f>1.73+1.08+0.81+0.51+1.71</f>
        <v>5.84</v>
      </c>
      <c r="IG25" s="45">
        <f>5</f>
        <v>5</v>
      </c>
      <c r="IH25" s="48">
        <f t="shared" si="27"/>
        <v>90.753424657534254</v>
      </c>
      <c r="II25" s="48">
        <f t="shared" si="27"/>
        <v>1.1679999999999999</v>
      </c>
      <c r="IK25" s="26">
        <f>150+100+60+50+40</f>
        <v>400</v>
      </c>
      <c r="IL25" s="48">
        <f>1.12+0.92+0.74+0.7+0.52</f>
        <v>4</v>
      </c>
      <c r="IM25" s="45">
        <f>5</f>
        <v>5</v>
      </c>
      <c r="IN25" s="48">
        <f t="shared" si="28"/>
        <v>100</v>
      </c>
      <c r="IO25" s="48">
        <f t="shared" si="28"/>
        <v>0.8</v>
      </c>
      <c r="IQ25" s="26">
        <f>200+100+20+30+50</f>
        <v>400</v>
      </c>
      <c r="IR25" s="48">
        <f>2.07+1.46+0.63+0.82+0.72</f>
        <v>5.7</v>
      </c>
      <c r="IS25" s="45">
        <v>5</v>
      </c>
      <c r="IT25" s="48">
        <f t="shared" si="432"/>
        <v>70.175438596491219</v>
      </c>
      <c r="IU25" s="48">
        <f t="shared" si="433"/>
        <v>1.1400000000000001</v>
      </c>
      <c r="IW25" s="26">
        <f>100+50+20+150+30</f>
        <v>350</v>
      </c>
      <c r="IX25" s="48">
        <f>0.85+0.71+0.55+1.24+1.19</f>
        <v>4.5400000000000009</v>
      </c>
      <c r="IY25" s="45">
        <v>5</v>
      </c>
      <c r="IZ25" s="46">
        <f t="shared" si="434"/>
        <v>77.092511013215841</v>
      </c>
      <c r="JA25" s="46">
        <f t="shared" si="435"/>
        <v>0.90800000000000014</v>
      </c>
      <c r="JC25" s="26">
        <f>100+100+50+30+20</f>
        <v>300</v>
      </c>
      <c r="JD25" s="48">
        <f>1.29+1.08+0.67+0.56+0.43</f>
        <v>4.03</v>
      </c>
      <c r="JE25" s="45">
        <v>5</v>
      </c>
      <c r="JF25" s="46">
        <f t="shared" si="444"/>
        <v>74.441687344913149</v>
      </c>
      <c r="JG25" s="46">
        <f t="shared" si="445"/>
        <v>0.80600000000000005</v>
      </c>
      <c r="JI25" s="26">
        <f>100+100+50+50+150</f>
        <v>450</v>
      </c>
      <c r="JJ25" s="48">
        <f>1.2+0.96+0.34+0.66+1.32</f>
        <v>4.4800000000000004</v>
      </c>
      <c r="JK25" s="45">
        <v>5</v>
      </c>
      <c r="JL25" s="46">
        <f t="shared" si="436"/>
        <v>100.44642857142856</v>
      </c>
      <c r="JM25" s="46">
        <f t="shared" si="437"/>
        <v>0.89600000000000013</v>
      </c>
      <c r="JO25" s="26">
        <f>200+200+100+150+150</f>
        <v>800</v>
      </c>
      <c r="JP25" s="48">
        <f>1.93+1.62+1.49+1.62+1.67</f>
        <v>8.33</v>
      </c>
      <c r="JQ25" s="45">
        <v>5</v>
      </c>
      <c r="JR25" s="46">
        <f t="shared" si="438"/>
        <v>96.038415366146452</v>
      </c>
      <c r="JS25" s="46">
        <f t="shared" si="439"/>
        <v>1.6659999999999999</v>
      </c>
      <c r="JU25" s="26">
        <f>50+100+100+400+150</f>
        <v>800</v>
      </c>
      <c r="JV25" s="48">
        <f>1.24+2.12+2+3.46+1.56</f>
        <v>10.38</v>
      </c>
      <c r="JW25" s="45">
        <v>5</v>
      </c>
      <c r="JX25" s="46">
        <f t="shared" si="511"/>
        <v>77.071290944123305</v>
      </c>
      <c r="JY25" s="46">
        <f t="shared" si="512"/>
        <v>2.0760000000000001</v>
      </c>
      <c r="KA25" s="26">
        <f>100+150+200+250+150</f>
        <v>850</v>
      </c>
      <c r="KB25" s="48">
        <f>1.08+1.1+1.25+1.29+1.35</f>
        <v>6.07</v>
      </c>
      <c r="KC25" s="45">
        <v>5</v>
      </c>
      <c r="KD25" s="46">
        <f t="shared" si="513"/>
        <v>140.0329489291598</v>
      </c>
      <c r="KE25" s="46">
        <f t="shared" si="514"/>
        <v>1.214</v>
      </c>
      <c r="KG25" s="26">
        <f>200+100+50</f>
        <v>350</v>
      </c>
      <c r="KH25" s="48">
        <f>2.57+0.93+0.9</f>
        <v>4.4000000000000004</v>
      </c>
      <c r="KI25" s="45">
        <v>3</v>
      </c>
      <c r="KJ25" s="46">
        <f t="shared" si="468"/>
        <v>79.545454545454533</v>
      </c>
      <c r="KK25" s="46">
        <f t="shared" si="469"/>
        <v>1.4666666666666668</v>
      </c>
      <c r="KM25" s="26">
        <f>150+150+100+100+100</f>
        <v>600</v>
      </c>
      <c r="KN25" s="48">
        <f>4.81+4.27</f>
        <v>9.0799999999999983</v>
      </c>
      <c r="KO25" s="45">
        <v>5</v>
      </c>
      <c r="KP25" s="46">
        <f t="shared" si="369"/>
        <v>66.079295154185033</v>
      </c>
      <c r="KQ25" s="46">
        <f t="shared" si="470"/>
        <v>1.8159999999999996</v>
      </c>
      <c r="KS25" s="26">
        <f>100+150+200+100+200</f>
        <v>750</v>
      </c>
      <c r="KT25" s="48">
        <f>0.2+0.65+0.81+0.65+0.85</f>
        <v>3.16</v>
      </c>
      <c r="KU25" s="45">
        <v>5</v>
      </c>
      <c r="KV25" s="46">
        <f t="shared" si="370"/>
        <v>237.34177215189871</v>
      </c>
      <c r="KW25" s="46">
        <f t="shared" ref="KW25:KW27" si="525">KT25/KU25</f>
        <v>0.63200000000000001</v>
      </c>
      <c r="KY25" s="26"/>
      <c r="KZ25" s="48"/>
      <c r="LA25" s="45"/>
      <c r="LB25" s="46" t="e">
        <f t="shared" si="371"/>
        <v>#DIV/0!</v>
      </c>
      <c r="LC25" s="46" t="e">
        <f t="shared" ref="LC25:LC27" si="526">KZ25/LA25</f>
        <v>#DIV/0!</v>
      </c>
      <c r="LE25" s="26"/>
      <c r="LF25" s="48"/>
      <c r="LG25" s="45"/>
      <c r="LH25" s="46" t="e">
        <f t="shared" si="372"/>
        <v>#DIV/0!</v>
      </c>
      <c r="LI25" s="46" t="e">
        <f t="shared" ref="LI25:LI27" si="527">LF25/LG25</f>
        <v>#DIV/0!</v>
      </c>
      <c r="LK25" s="26">
        <f>300+200+200+100+50</f>
        <v>850</v>
      </c>
      <c r="LL25" s="48">
        <f>6.02+6.03+5.48+2.63+0.67</f>
        <v>20.830000000000002</v>
      </c>
      <c r="LM25" s="45">
        <v>5</v>
      </c>
      <c r="LN25" s="46">
        <f t="shared" si="373"/>
        <v>40.806529044647142</v>
      </c>
      <c r="LO25" s="46">
        <f t="shared" ref="LO25:LO27" si="528">LL25/LM25</f>
        <v>4.1660000000000004</v>
      </c>
      <c r="LQ25" s="26"/>
      <c r="LR25" s="48"/>
      <c r="LS25" s="45"/>
      <c r="LT25" s="46" t="e">
        <f t="shared" si="374"/>
        <v>#DIV/0!</v>
      </c>
      <c r="LU25" s="46" t="e">
        <f t="shared" ref="LU25:LU27" si="529">LR25/LS25</f>
        <v>#DIV/0!</v>
      </c>
      <c r="LW25" s="26">
        <f>100+100+100+150+250</f>
        <v>700</v>
      </c>
      <c r="LX25" s="48">
        <f>0.94+0.86+0.67+1.41+1.72</f>
        <v>5.6</v>
      </c>
      <c r="LY25" s="45">
        <v>5</v>
      </c>
      <c r="LZ25" s="46">
        <f t="shared" si="375"/>
        <v>125.00000000000001</v>
      </c>
      <c r="MA25" s="46">
        <f t="shared" ref="MA25:MA27" si="530">LX25/LY25</f>
        <v>1.1199999999999999</v>
      </c>
      <c r="MC25" s="26">
        <f>100+50+20+100</f>
        <v>270</v>
      </c>
      <c r="MD25" s="48">
        <f>0.82+0.5+0.35+0.95</f>
        <v>2.62</v>
      </c>
      <c r="ME25" s="45">
        <v>4</v>
      </c>
      <c r="MF25" s="46">
        <f t="shared" si="376"/>
        <v>103.05343511450381</v>
      </c>
      <c r="MG25" s="46">
        <f t="shared" ref="MG25:MG27" si="531">MD25/ME25</f>
        <v>0.65500000000000003</v>
      </c>
      <c r="MI25" s="26">
        <f>200+150+100+100+100</f>
        <v>650</v>
      </c>
      <c r="MJ25" s="48">
        <f>1.55+1.37+1.35+1.3+0.82</f>
        <v>6.39</v>
      </c>
      <c r="MK25" s="45">
        <v>5</v>
      </c>
      <c r="ML25" s="46">
        <f t="shared" si="377"/>
        <v>101.72143974960876</v>
      </c>
      <c r="MM25" s="46">
        <f t="shared" ref="MM25:MM27" si="532">MJ25/MK25</f>
        <v>1.278</v>
      </c>
      <c r="MO25" s="26"/>
      <c r="MP25" s="48"/>
      <c r="MQ25" s="45"/>
      <c r="MR25" s="46" t="e">
        <f t="shared" si="378"/>
        <v>#DIV/0!</v>
      </c>
      <c r="MS25" s="46" t="e">
        <f t="shared" ref="MS25:MS27" si="533">MP25/MQ25</f>
        <v>#DIV/0!</v>
      </c>
      <c r="MU25" s="26"/>
      <c r="MV25" s="48"/>
      <c r="MW25" s="45"/>
      <c r="MX25" s="46" t="e">
        <f t="shared" si="379"/>
        <v>#DIV/0!</v>
      </c>
      <c r="MY25" s="46" t="e">
        <f t="shared" ref="MY25:MY27" si="534">MV25/MW25</f>
        <v>#DIV/0!</v>
      </c>
      <c r="NA25" s="823">
        <f>200+200+100+100+150</f>
        <v>750</v>
      </c>
      <c r="NB25" s="823">
        <f>1.89+1.37+2.76+2.54+4.1</f>
        <v>12.659999999999998</v>
      </c>
      <c r="NC25" s="823">
        <v>5</v>
      </c>
      <c r="ND25" s="46">
        <f t="shared" si="380"/>
        <v>59.241706161137451</v>
      </c>
      <c r="NE25" s="46">
        <f t="shared" ref="NE25:NE27" si="535">NB25/NC25</f>
        <v>2.5319999999999996</v>
      </c>
      <c r="NG25" s="884">
        <f>100+50+100+150+150</f>
        <v>550</v>
      </c>
      <c r="NH25" s="884">
        <f>1.42+0.85+1.47+1.88+1.33</f>
        <v>6.95</v>
      </c>
      <c r="NI25" s="884">
        <v>5</v>
      </c>
      <c r="NJ25" s="46">
        <f t="shared" si="381"/>
        <v>79.136690647482013</v>
      </c>
      <c r="NK25" s="46">
        <f t="shared" ref="NK25:NK27" si="536">NH25/NI25</f>
        <v>1.3900000000000001</v>
      </c>
      <c r="NM25" s="823">
        <f>100+100+100+150+150</f>
        <v>600</v>
      </c>
      <c r="NN25" s="823">
        <f>1.6+1.2+1.4+2.79+2.83</f>
        <v>9.82</v>
      </c>
      <c r="NO25" s="823">
        <v>5</v>
      </c>
      <c r="NP25" s="46">
        <f t="shared" si="382"/>
        <v>61.099796334012218</v>
      </c>
      <c r="NQ25" s="46">
        <f t="shared" ref="NQ25:NQ27" si="537">NN25/NO25</f>
        <v>1.964</v>
      </c>
      <c r="NS25" s="823">
        <f>100+100+100+100+100</f>
        <v>500</v>
      </c>
      <c r="NT25" s="823">
        <f>0.84+1.52+0.93+0.72+0.84</f>
        <v>4.8499999999999996</v>
      </c>
      <c r="NU25" s="823">
        <v>5</v>
      </c>
      <c r="NV25" s="46">
        <f>NS25/NT25</f>
        <v>103.09278350515464</v>
      </c>
      <c r="NW25" s="46">
        <f>NT25/NU25</f>
        <v>0.97</v>
      </c>
      <c r="NY25" s="910">
        <f>100+100+100+100+100</f>
        <v>500</v>
      </c>
      <c r="NZ25" s="910">
        <f>0.2+0.29+0.31+0.47+0.33</f>
        <v>1.6</v>
      </c>
      <c r="OA25" s="910">
        <v>5</v>
      </c>
      <c r="OB25" s="46">
        <f t="shared" si="384"/>
        <v>312.5</v>
      </c>
      <c r="OC25" s="46">
        <f t="shared" ref="OC25:OC27" si="538">NZ25/OA25</f>
        <v>0.32</v>
      </c>
      <c r="OE25" s="823">
        <f>200+200+150+100+100</f>
        <v>750</v>
      </c>
      <c r="OF25" s="824">
        <f>1.96+2.93+1.67+1.37+1.36</f>
        <v>9.2900000000000009</v>
      </c>
      <c r="OG25" s="823">
        <v>5</v>
      </c>
      <c r="OH25" s="46">
        <f t="shared" si="385"/>
        <v>80.731969860064581</v>
      </c>
      <c r="OI25" s="46">
        <f t="shared" ref="OI25:OI27" si="539">OF25/OG25</f>
        <v>1.8580000000000001</v>
      </c>
    </row>
    <row r="26" spans="1:399">
      <c r="B26" s="11"/>
      <c r="C26" s="16" t="s">
        <v>32</v>
      </c>
      <c r="D26" s="716" t="s">
        <v>14</v>
      </c>
      <c r="E26" s="45">
        <f>1600+1800+2500+1800+2300</f>
        <v>10000</v>
      </c>
      <c r="F26" s="45">
        <f>6.5+8+10+7.5+9</f>
        <v>41</v>
      </c>
      <c r="G26" s="46">
        <v>5</v>
      </c>
      <c r="H26" s="48">
        <f>E26/F26</f>
        <v>243.90243902439025</v>
      </c>
      <c r="I26" s="48">
        <f>F26/G26</f>
        <v>8.1999999999999993</v>
      </c>
      <c r="J26" s="30"/>
      <c r="K26" s="45">
        <f>600+2600+2000</f>
        <v>5200</v>
      </c>
      <c r="L26" s="45">
        <f>8+13+10</f>
        <v>31</v>
      </c>
      <c r="M26" s="46">
        <v>3</v>
      </c>
      <c r="N26" s="48">
        <f>K26/L26</f>
        <v>167.74193548387098</v>
      </c>
      <c r="O26" s="48">
        <f>L26/M26</f>
        <v>10.333333333333334</v>
      </c>
      <c r="P26" s="30"/>
      <c r="Q26" s="45">
        <f>500+600+400</f>
        <v>1500</v>
      </c>
      <c r="R26" s="45">
        <f>3+3.8+2.5</f>
        <v>9.3000000000000007</v>
      </c>
      <c r="S26" s="46">
        <v>3</v>
      </c>
      <c r="T26" s="48">
        <f>Q26/R26</f>
        <v>161.29032258064515</v>
      </c>
      <c r="U26" s="48">
        <f>R26/S26</f>
        <v>3.1</v>
      </c>
      <c r="V26" s="30"/>
      <c r="W26" s="45">
        <f>580+700+720+880+1000</f>
        <v>3880</v>
      </c>
      <c r="X26" s="45">
        <f>2.9+3.5+3.6+4.4+5</f>
        <v>19.399999999999999</v>
      </c>
      <c r="Y26" s="46">
        <v>5</v>
      </c>
      <c r="Z26" s="48">
        <f>W26/X26</f>
        <v>200.00000000000003</v>
      </c>
      <c r="AA26" s="48">
        <f>X26/Y26</f>
        <v>3.88</v>
      </c>
      <c r="AB26" s="30"/>
      <c r="AC26" s="45"/>
      <c r="AD26" s="45"/>
      <c r="AE26" s="46"/>
      <c r="AF26" s="48"/>
      <c r="AG26" s="48"/>
      <c r="AH26" s="30"/>
      <c r="AI26" s="45"/>
      <c r="AJ26" s="45"/>
      <c r="AK26" s="46"/>
      <c r="AL26" s="48"/>
      <c r="AM26" s="48"/>
      <c r="AN26" s="30"/>
      <c r="AO26" s="45">
        <f>760+1960+1560+1920+1860</f>
        <v>8060</v>
      </c>
      <c r="AP26" s="45">
        <f>8.8+9.8+7.8+9.6+9.3</f>
        <v>45.3</v>
      </c>
      <c r="AQ26" s="46">
        <v>5</v>
      </c>
      <c r="AR26" s="48">
        <f t="shared" si="495"/>
        <v>177.92494481236204</v>
      </c>
      <c r="AS26" s="48">
        <f t="shared" si="496"/>
        <v>9.0599999999999987</v>
      </c>
      <c r="AT26" s="30"/>
      <c r="AU26" s="45"/>
      <c r="AV26" s="45"/>
      <c r="AW26" s="46"/>
      <c r="AX26" s="48"/>
      <c r="AY26" s="48"/>
      <c r="AZ26" s="593"/>
      <c r="BA26" s="45">
        <f>2000+1000+1500+800+400</f>
        <v>5700</v>
      </c>
      <c r="BB26" s="45">
        <f>4.12+3.28+3.81+2.53+2.24</f>
        <v>15.98</v>
      </c>
      <c r="BC26" s="46">
        <v>5</v>
      </c>
      <c r="BD26" s="34">
        <f t="shared" ref="BD26" si="540">BA26/BB26</f>
        <v>356.69586983729658</v>
      </c>
      <c r="BE26" s="34">
        <f t="shared" ref="BE26" si="541">BB26/BC26</f>
        <v>3.1960000000000002</v>
      </c>
      <c r="BF26" s="592"/>
      <c r="BG26" s="45"/>
      <c r="BH26" s="45"/>
      <c r="BI26" s="46"/>
      <c r="BJ26" s="34"/>
      <c r="BK26" s="34"/>
      <c r="BL26" s="592"/>
      <c r="BM26" s="45"/>
      <c r="BN26" s="45"/>
      <c r="BO26" s="46"/>
      <c r="BP26" s="34"/>
      <c r="BQ26" s="34"/>
      <c r="BR26" s="30"/>
      <c r="BS26" s="45">
        <f>1250+600+750+1000</f>
        <v>3600</v>
      </c>
      <c r="BT26" s="45">
        <f>8.2+4.02+4.64+6.2</f>
        <v>23.06</v>
      </c>
      <c r="BU26" s="46">
        <v>4</v>
      </c>
      <c r="BV26" s="34">
        <f t="shared" si="523"/>
        <v>156.11448395490027</v>
      </c>
      <c r="BW26" s="34">
        <f t="shared" si="524"/>
        <v>5.7649999999999997</v>
      </c>
      <c r="BX26" s="592"/>
      <c r="BY26" s="45"/>
      <c r="BZ26" s="45"/>
      <c r="CA26" s="46"/>
      <c r="CB26" s="34"/>
      <c r="CC26" s="34"/>
      <c r="CD26" s="592"/>
      <c r="CE26" s="45">
        <v>2300</v>
      </c>
      <c r="CF26" s="45">
        <v>8</v>
      </c>
      <c r="CG26" s="46">
        <v>5</v>
      </c>
      <c r="CH26" s="34">
        <f t="shared" ref="CH26" si="542">CE26/CF26</f>
        <v>287.5</v>
      </c>
      <c r="CI26" s="34">
        <f t="shared" ref="CI26" si="543">CF26/CG26</f>
        <v>1.6</v>
      </c>
      <c r="CJ26" s="592"/>
      <c r="CK26" s="45"/>
      <c r="CL26" s="45"/>
      <c r="CM26" s="46"/>
      <c r="CN26" s="34"/>
      <c r="CO26" s="34"/>
      <c r="CP26" s="592"/>
      <c r="CQ26" s="45"/>
      <c r="CR26" s="45"/>
      <c r="CS26" s="46"/>
      <c r="CT26" s="34"/>
      <c r="CU26" s="34"/>
      <c r="CV26" s="592"/>
      <c r="CW26" s="45"/>
      <c r="CX26" s="45"/>
      <c r="CY26" s="46"/>
      <c r="CZ26" s="34"/>
      <c r="DA26" s="34"/>
      <c r="DB26" s="592"/>
      <c r="DC26" s="45"/>
      <c r="DD26" s="45"/>
      <c r="DE26" s="46"/>
      <c r="DF26" s="34"/>
      <c r="DG26" s="34"/>
      <c r="DH26" s="592"/>
      <c r="DI26" s="45"/>
      <c r="DJ26" s="45"/>
      <c r="DK26" s="46"/>
      <c r="DL26" s="34"/>
      <c r="DM26" s="34"/>
      <c r="DN26" s="592"/>
      <c r="DO26" s="45">
        <v>6520</v>
      </c>
      <c r="DP26" s="45">
        <v>34.1</v>
      </c>
      <c r="DQ26" s="46">
        <v>5</v>
      </c>
      <c r="DR26" s="34">
        <f t="shared" ref="DR26" si="544">DO26/DP26</f>
        <v>191.2023460410557</v>
      </c>
      <c r="DS26" s="34">
        <f t="shared" ref="DS26" si="545">DP26/DQ26</f>
        <v>6.82</v>
      </c>
      <c r="DT26" s="592"/>
      <c r="DU26" s="45"/>
      <c r="DV26" s="45"/>
      <c r="DW26" s="46"/>
      <c r="DX26" s="34"/>
      <c r="DY26" s="34"/>
      <c r="DZ26" s="592"/>
      <c r="EA26" s="45"/>
      <c r="EB26" s="45"/>
      <c r="EC26" s="46"/>
      <c r="ED26" s="34"/>
      <c r="EE26" s="34"/>
      <c r="EF26" s="592"/>
      <c r="EG26" s="45"/>
      <c r="EH26" s="45"/>
      <c r="EI26" s="46"/>
      <c r="EJ26" s="34"/>
      <c r="EK26" s="34"/>
      <c r="EL26" s="592"/>
      <c r="EM26" s="45"/>
      <c r="EN26" s="45"/>
      <c r="EO26" s="46"/>
      <c r="EP26" s="34"/>
      <c r="EQ26" s="34"/>
      <c r="ER26" s="30"/>
      <c r="ES26" s="45">
        <f>1500+2000+1500+1500+2000</f>
        <v>8500</v>
      </c>
      <c r="ET26" s="45">
        <f>6.4+7.1+6.8+6.4+7.5</f>
        <v>34.200000000000003</v>
      </c>
      <c r="EU26" s="46">
        <v>5</v>
      </c>
      <c r="EV26" s="48">
        <f>ES26/ET26</f>
        <v>248.53801169590642</v>
      </c>
      <c r="EW26" s="48">
        <f>ET26/EU26</f>
        <v>6.8400000000000007</v>
      </c>
      <c r="EX26" s="30"/>
      <c r="EY26" s="35">
        <v>4715</v>
      </c>
      <c r="EZ26" s="34">
        <v>32</v>
      </c>
      <c r="FA26" s="37">
        <v>5</v>
      </c>
      <c r="FB26" s="34">
        <f t="shared" si="118"/>
        <v>147.34375</v>
      </c>
      <c r="FC26" s="34">
        <f t="shared" si="118"/>
        <v>6.4</v>
      </c>
      <c r="FE26" s="26">
        <f>500+600+400</f>
        <v>1500</v>
      </c>
      <c r="FF26" s="28">
        <f>3+3.8+2.5</f>
        <v>9.3000000000000007</v>
      </c>
      <c r="FG26" s="28">
        <v>3</v>
      </c>
      <c r="FH26" s="38">
        <f t="shared" si="96"/>
        <v>161.29032258064515</v>
      </c>
      <c r="FI26" s="39">
        <f t="shared" si="96"/>
        <v>3.1</v>
      </c>
      <c r="FK26" s="27"/>
      <c r="FL26" s="40"/>
      <c r="FM26" s="27"/>
      <c r="FN26" s="40"/>
      <c r="FO26" s="40"/>
      <c r="FQ26" s="26">
        <f>720+750+520+670+880</f>
        <v>3540</v>
      </c>
      <c r="FR26" s="40">
        <f>4.8+5+3.5+4.5+5.9</f>
        <v>23.700000000000003</v>
      </c>
      <c r="FS26" s="27">
        <f>5</f>
        <v>5</v>
      </c>
      <c r="FT26" s="40">
        <f t="shared" si="19"/>
        <v>149.36708860759492</v>
      </c>
      <c r="FU26" s="40">
        <f t="shared" si="19"/>
        <v>4.74</v>
      </c>
      <c r="FW26" s="26"/>
      <c r="FX26" s="27"/>
      <c r="FY26" s="27"/>
      <c r="FZ26" s="40"/>
      <c r="GA26" s="40"/>
      <c r="GC26" s="26"/>
      <c r="GD26" s="27"/>
      <c r="GE26" s="27"/>
      <c r="GF26" s="40"/>
      <c r="GG26" s="40"/>
      <c r="GI26" s="26">
        <f>2000+1500+1500+2000+2500</f>
        <v>9500</v>
      </c>
      <c r="GJ26" s="27">
        <f>4.03+4.15+3.93+5+5.1</f>
        <v>22.21</v>
      </c>
      <c r="GK26" s="27">
        <f>5</f>
        <v>5</v>
      </c>
      <c r="GL26" s="40">
        <f t="shared" si="22"/>
        <v>427.73525438991442</v>
      </c>
      <c r="GM26" s="40">
        <f t="shared" si="22"/>
        <v>4.4420000000000002</v>
      </c>
      <c r="GO26" s="26"/>
      <c r="GP26" s="40"/>
      <c r="GQ26" s="27"/>
      <c r="GR26" s="40"/>
      <c r="GS26" s="40"/>
      <c r="GU26" s="95">
        <f>1000+500+1630+1130+880</f>
        <v>5140</v>
      </c>
      <c r="GV26" s="99">
        <f>3.92+4.5+6.5+4.5+3.5</f>
        <v>22.92</v>
      </c>
      <c r="GW26" s="100">
        <v>5</v>
      </c>
      <c r="GX26" s="101">
        <f t="shared" si="23"/>
        <v>224.25828970331585</v>
      </c>
      <c r="GY26" s="101">
        <f t="shared" si="23"/>
        <v>4.5840000000000005</v>
      </c>
      <c r="GZ26" s="43"/>
      <c r="HA26" s="26">
        <f>500+200+400</f>
        <v>1100</v>
      </c>
      <c r="HB26" s="39">
        <f>3+1.8+2.1</f>
        <v>6.9</v>
      </c>
      <c r="HC26" s="28">
        <v>3</v>
      </c>
      <c r="HD26" s="106">
        <f t="shared" si="24"/>
        <v>159.42028985507247</v>
      </c>
      <c r="HE26" s="106">
        <f t="shared" si="24"/>
        <v>2.3000000000000003</v>
      </c>
      <c r="HG26" s="26">
        <f>1095+765+990+780+735</f>
        <v>4365</v>
      </c>
      <c r="HH26" s="40">
        <f>7.3+5.1+6.6+5.2+4.9</f>
        <v>29.1</v>
      </c>
      <c r="HI26" s="27">
        <f>5</f>
        <v>5</v>
      </c>
      <c r="HJ26" s="34">
        <f t="shared" si="25"/>
        <v>150</v>
      </c>
      <c r="HK26" s="34">
        <f t="shared" si="25"/>
        <v>5.82</v>
      </c>
      <c r="HM26" s="26">
        <f>1600+1800+2500+1800+2300</f>
        <v>10000</v>
      </c>
      <c r="HN26" s="45">
        <f>6.5+8+10+7.5+9</f>
        <v>41</v>
      </c>
      <c r="HO26" s="46">
        <v>5</v>
      </c>
      <c r="HP26" s="47">
        <f t="shared" si="99"/>
        <v>243.90243902439025</v>
      </c>
      <c r="HQ26" s="47">
        <f t="shared" si="99"/>
        <v>8.1999999999999993</v>
      </c>
      <c r="HS26" s="26">
        <f>600+2600+2000</f>
        <v>5200</v>
      </c>
      <c r="HT26" s="45">
        <f>8+13+10</f>
        <v>31</v>
      </c>
      <c r="HU26" s="46">
        <v>3</v>
      </c>
      <c r="HV26" s="48">
        <f t="shared" si="26"/>
        <v>167.74193548387098</v>
      </c>
      <c r="HW26" s="48">
        <f t="shared" si="26"/>
        <v>10.333333333333334</v>
      </c>
      <c r="HY26" s="45">
        <f>1100+1200+1000+670+1400</f>
        <v>5370</v>
      </c>
      <c r="HZ26" s="45">
        <f>5.5+6+5+4.5+7</f>
        <v>28</v>
      </c>
      <c r="IA26" s="45">
        <f>5</f>
        <v>5</v>
      </c>
      <c r="IB26" s="48">
        <f t="shared" si="141"/>
        <v>191.78571428571428</v>
      </c>
      <c r="IC26" s="48">
        <f t="shared" si="141"/>
        <v>5.6</v>
      </c>
      <c r="IE26" s="45">
        <f>1925+1575+1775+1625+1550</f>
        <v>8450</v>
      </c>
      <c r="IF26" s="45">
        <f>7.7+6.5+7.1+6.5+6.2</f>
        <v>34</v>
      </c>
      <c r="IG26" s="45">
        <f>5</f>
        <v>5</v>
      </c>
      <c r="IH26" s="48">
        <f t="shared" si="27"/>
        <v>248.52941176470588</v>
      </c>
      <c r="II26" s="48">
        <f t="shared" si="27"/>
        <v>6.8</v>
      </c>
      <c r="IK26" s="26">
        <f>800+1100+1520+1260+600</f>
        <v>5280</v>
      </c>
      <c r="IL26" s="48">
        <f>4+5.5+7.6+6.3+3</f>
        <v>26.400000000000002</v>
      </c>
      <c r="IM26" s="45">
        <f>5</f>
        <v>5</v>
      </c>
      <c r="IN26" s="48">
        <f t="shared" si="28"/>
        <v>199.99999999999997</v>
      </c>
      <c r="IO26" s="48">
        <f t="shared" si="28"/>
        <v>5.28</v>
      </c>
      <c r="IQ26" s="26">
        <f>960+1500+1000+1050+750</f>
        <v>5260</v>
      </c>
      <c r="IR26" s="48">
        <f>3.2+5+5+3.5+2.5</f>
        <v>19.2</v>
      </c>
      <c r="IS26" s="45">
        <v>5</v>
      </c>
      <c r="IT26" s="48">
        <f t="shared" si="432"/>
        <v>273.95833333333337</v>
      </c>
      <c r="IU26" s="48">
        <f t="shared" si="433"/>
        <v>3.84</v>
      </c>
      <c r="IW26" s="26"/>
      <c r="IX26" s="48"/>
      <c r="IY26" s="45"/>
      <c r="IZ26" s="46"/>
      <c r="JA26" s="46"/>
      <c r="JC26" s="26"/>
      <c r="JD26" s="48"/>
      <c r="JE26" s="45"/>
      <c r="JF26" s="46"/>
      <c r="JG26" s="46"/>
      <c r="JI26" s="26"/>
      <c r="JJ26" s="48"/>
      <c r="JK26" s="45"/>
      <c r="JL26" s="46"/>
      <c r="JM26" s="46"/>
      <c r="JO26" s="26">
        <f>600+1000+1250+1500+1400</f>
        <v>5750</v>
      </c>
      <c r="JP26" s="48">
        <f>4+5+6.5+7.5+7</f>
        <v>30</v>
      </c>
      <c r="JQ26" s="45">
        <v>5</v>
      </c>
      <c r="JR26" s="46">
        <f t="shared" si="438"/>
        <v>191.66666666666666</v>
      </c>
      <c r="JS26" s="48">
        <f>JP26/JQ26</f>
        <v>6</v>
      </c>
      <c r="JU26" s="26"/>
      <c r="JV26" s="48"/>
      <c r="JW26" s="45"/>
      <c r="JX26" s="46"/>
      <c r="JY26" s="48"/>
      <c r="KA26" s="26">
        <f>1200+600+3000+1800+700</f>
        <v>7300</v>
      </c>
      <c r="KB26" s="48">
        <f>6+3+15+9+3.5</f>
        <v>36.5</v>
      </c>
      <c r="KC26" s="45">
        <v>5</v>
      </c>
      <c r="KD26" s="46">
        <f t="shared" si="513"/>
        <v>200</v>
      </c>
      <c r="KE26" s="48">
        <f t="shared" si="514"/>
        <v>7.3</v>
      </c>
      <c r="KG26" s="26">
        <f>1100+1200+1400+1500+1800</f>
        <v>7000</v>
      </c>
      <c r="KH26" s="48">
        <f>5.5+6+7+7.5+9</f>
        <v>35</v>
      </c>
      <c r="KI26" s="45">
        <v>5</v>
      </c>
      <c r="KJ26" s="46">
        <f t="shared" si="468"/>
        <v>200</v>
      </c>
      <c r="KK26" s="48">
        <f t="shared" si="469"/>
        <v>7</v>
      </c>
      <c r="KM26" s="26"/>
      <c r="KN26" s="48"/>
      <c r="KO26" s="45"/>
      <c r="KP26" s="46" t="e">
        <f t="shared" si="369"/>
        <v>#DIV/0!</v>
      </c>
      <c r="KQ26" s="46" t="e">
        <f t="shared" si="470"/>
        <v>#DIV/0!</v>
      </c>
      <c r="KS26" s="26"/>
      <c r="KT26" s="48"/>
      <c r="KU26" s="45"/>
      <c r="KV26" s="46" t="e">
        <f t="shared" si="370"/>
        <v>#DIV/0!</v>
      </c>
      <c r="KW26" s="46" t="e">
        <f t="shared" si="525"/>
        <v>#DIV/0!</v>
      </c>
      <c r="KY26" s="26"/>
      <c r="KZ26" s="48"/>
      <c r="LA26" s="45"/>
      <c r="LB26" s="46" t="e">
        <f t="shared" si="371"/>
        <v>#DIV/0!</v>
      </c>
      <c r="LC26" s="46" t="e">
        <f t="shared" si="526"/>
        <v>#DIV/0!</v>
      </c>
      <c r="LE26" s="26"/>
      <c r="LF26" s="48"/>
      <c r="LG26" s="45"/>
      <c r="LH26" s="46" t="e">
        <f t="shared" si="372"/>
        <v>#DIV/0!</v>
      </c>
      <c r="LI26" s="46" t="e">
        <f t="shared" si="527"/>
        <v>#DIV/0!</v>
      </c>
      <c r="LK26" s="26"/>
      <c r="LL26" s="48"/>
      <c r="LM26" s="45"/>
      <c r="LN26" s="46" t="e">
        <f t="shared" si="373"/>
        <v>#DIV/0!</v>
      </c>
      <c r="LO26" s="46" t="e">
        <f t="shared" si="528"/>
        <v>#DIV/0!</v>
      </c>
      <c r="LQ26" s="26"/>
      <c r="LR26" s="48"/>
      <c r="LS26" s="45"/>
      <c r="LT26" s="46" t="e">
        <f t="shared" si="374"/>
        <v>#DIV/0!</v>
      </c>
      <c r="LU26" s="46" t="e">
        <f t="shared" si="529"/>
        <v>#DIV/0!</v>
      </c>
      <c r="LW26" s="26">
        <f>1125+1500+2000+1250+1125</f>
        <v>7000</v>
      </c>
      <c r="LX26" s="48">
        <f>4.5+6+8+5+4.3</f>
        <v>27.8</v>
      </c>
      <c r="LY26" s="45">
        <v>5</v>
      </c>
      <c r="LZ26" s="46">
        <f t="shared" si="375"/>
        <v>251.79856115107913</v>
      </c>
      <c r="MA26" s="46">
        <f t="shared" si="530"/>
        <v>5.5600000000000005</v>
      </c>
      <c r="MC26" s="26"/>
      <c r="MD26" s="48"/>
      <c r="ME26" s="45"/>
      <c r="MF26" s="46" t="e">
        <f t="shared" si="376"/>
        <v>#DIV/0!</v>
      </c>
      <c r="MG26" s="46" t="e">
        <f t="shared" si="531"/>
        <v>#DIV/0!</v>
      </c>
      <c r="MI26" s="26">
        <f>1440+1560+1520+1580+1420</f>
        <v>7520</v>
      </c>
      <c r="MJ26" s="48">
        <f>7.2+7.8+7.6+7.9+7.1</f>
        <v>37.6</v>
      </c>
      <c r="MK26" s="45">
        <v>5</v>
      </c>
      <c r="ML26" s="46">
        <f t="shared" si="377"/>
        <v>200</v>
      </c>
      <c r="MM26" s="46">
        <f t="shared" si="532"/>
        <v>7.5200000000000005</v>
      </c>
      <c r="MO26" s="26"/>
      <c r="MP26" s="48"/>
      <c r="MQ26" s="45"/>
      <c r="MR26" s="46" t="e">
        <f t="shared" si="378"/>
        <v>#DIV/0!</v>
      </c>
      <c r="MS26" s="46" t="e">
        <f t="shared" si="533"/>
        <v>#DIV/0!</v>
      </c>
      <c r="MU26" s="26"/>
      <c r="MV26" s="48"/>
      <c r="MW26" s="45"/>
      <c r="MX26" s="46" t="e">
        <f t="shared" si="379"/>
        <v>#DIV/0!</v>
      </c>
      <c r="MY26" s="46" t="e">
        <f t="shared" si="534"/>
        <v>#DIV/0!</v>
      </c>
      <c r="NA26" s="823">
        <f>1020+920+1370+1600+870</f>
        <v>5780</v>
      </c>
      <c r="NB26" s="823">
        <f>4.1+3.7+5.5+6.4+3.5</f>
        <v>23.200000000000003</v>
      </c>
      <c r="NC26" s="823">
        <v>5</v>
      </c>
      <c r="ND26" s="46">
        <f t="shared" si="380"/>
        <v>249.13793103448273</v>
      </c>
      <c r="NE26" s="46">
        <f t="shared" si="535"/>
        <v>4.6400000000000006</v>
      </c>
      <c r="NG26" s="884">
        <f>800+1000+1200+900+680</f>
        <v>4580</v>
      </c>
      <c r="NH26" s="884">
        <f>4+5+6+4.5+4.3</f>
        <v>23.8</v>
      </c>
      <c r="NI26" s="884">
        <v>5</v>
      </c>
      <c r="NJ26" s="46">
        <f t="shared" si="381"/>
        <v>192.43697478991595</v>
      </c>
      <c r="NK26" s="46">
        <f t="shared" si="536"/>
        <v>4.76</v>
      </c>
      <c r="NM26" s="823"/>
      <c r="NN26" s="823"/>
      <c r="NO26" s="823"/>
      <c r="NP26" s="46" t="e">
        <f t="shared" si="382"/>
        <v>#DIV/0!</v>
      </c>
      <c r="NQ26" s="46" t="e">
        <f t="shared" si="537"/>
        <v>#DIV/0!</v>
      </c>
      <c r="NS26" s="823"/>
      <c r="NT26" s="823"/>
      <c r="NU26" s="823"/>
      <c r="NV26" s="46" t="e">
        <f t="shared" si="383"/>
        <v>#DIV/0!</v>
      </c>
      <c r="NW26" s="46" t="e">
        <f t="shared" ref="NW26:NW27" si="546">NT26/NU26</f>
        <v>#DIV/0!</v>
      </c>
      <c r="NY26" s="910"/>
      <c r="NZ26" s="910"/>
      <c r="OA26" s="910"/>
      <c r="OB26" s="46" t="e">
        <f t="shared" si="384"/>
        <v>#DIV/0!</v>
      </c>
      <c r="OC26" s="46" t="e">
        <f t="shared" si="538"/>
        <v>#DIV/0!</v>
      </c>
      <c r="OE26" s="823"/>
      <c r="OF26" s="823"/>
      <c r="OG26" s="823"/>
      <c r="OH26" s="46" t="e">
        <f t="shared" si="385"/>
        <v>#DIV/0!</v>
      </c>
      <c r="OI26" s="46" t="e">
        <f t="shared" si="539"/>
        <v>#DIV/0!</v>
      </c>
    </row>
    <row r="27" spans="1:399">
      <c r="B27" s="717" t="s">
        <v>376</v>
      </c>
      <c r="C27" s="718" t="s">
        <v>372</v>
      </c>
      <c r="D27" s="719" t="s">
        <v>14</v>
      </c>
      <c r="E27" s="45"/>
      <c r="F27" s="45"/>
      <c r="G27" s="46"/>
      <c r="H27" s="48"/>
      <c r="I27" s="48"/>
      <c r="J27" s="30"/>
      <c r="K27" s="45"/>
      <c r="L27" s="45"/>
      <c r="M27" s="46"/>
      <c r="N27" s="48"/>
      <c r="O27" s="48"/>
      <c r="P27" s="30"/>
      <c r="Q27" s="45"/>
      <c r="R27" s="45"/>
      <c r="S27" s="46"/>
      <c r="T27" s="48"/>
      <c r="U27" s="48"/>
      <c r="V27" s="30"/>
      <c r="W27" s="45"/>
      <c r="X27" s="45"/>
      <c r="Y27" s="46"/>
      <c r="Z27" s="48"/>
      <c r="AA27" s="48"/>
      <c r="AB27" s="30"/>
      <c r="AC27" s="45"/>
      <c r="AD27" s="45"/>
      <c r="AE27" s="46"/>
      <c r="AF27" s="48"/>
      <c r="AG27" s="48"/>
      <c r="AH27" s="30"/>
      <c r="AI27" s="45"/>
      <c r="AJ27" s="45"/>
      <c r="AK27" s="46"/>
      <c r="AL27" s="48"/>
      <c r="AM27" s="48"/>
      <c r="AN27" s="30"/>
      <c r="AO27" s="45"/>
      <c r="AP27" s="45"/>
      <c r="AQ27" s="46"/>
      <c r="AR27" s="48"/>
      <c r="AS27" s="48"/>
      <c r="AT27" s="30"/>
      <c r="AU27" s="45"/>
      <c r="AV27" s="45"/>
      <c r="AW27" s="46"/>
      <c r="AX27" s="48"/>
      <c r="AY27" s="48"/>
      <c r="AZ27" s="593"/>
      <c r="BA27" s="45"/>
      <c r="BB27" s="45"/>
      <c r="BC27" s="46"/>
      <c r="BD27" s="34"/>
      <c r="BE27" s="34"/>
      <c r="BF27" s="592"/>
      <c r="BG27" s="45"/>
      <c r="BH27" s="45"/>
      <c r="BI27" s="46"/>
      <c r="BJ27" s="34"/>
      <c r="BK27" s="34"/>
      <c r="BL27" s="592"/>
      <c r="BM27" s="45"/>
      <c r="BN27" s="45"/>
      <c r="BO27" s="46"/>
      <c r="BP27" s="34"/>
      <c r="BQ27" s="34"/>
      <c r="BR27" s="30"/>
      <c r="BS27" s="45"/>
      <c r="BT27" s="45"/>
      <c r="BU27" s="46"/>
      <c r="BV27" s="34"/>
      <c r="BW27" s="34"/>
      <c r="BX27" s="592"/>
      <c r="BY27" s="45"/>
      <c r="BZ27" s="45"/>
      <c r="CA27" s="46"/>
      <c r="CB27" s="34"/>
      <c r="CC27" s="34"/>
      <c r="CD27" s="592"/>
      <c r="CE27" s="45"/>
      <c r="CF27" s="45"/>
      <c r="CG27" s="46"/>
      <c r="CH27" s="34"/>
      <c r="CI27" s="34"/>
      <c r="CJ27" s="592"/>
      <c r="CK27" s="45"/>
      <c r="CL27" s="45"/>
      <c r="CM27" s="46"/>
      <c r="CN27" s="34"/>
      <c r="CO27" s="34"/>
      <c r="CP27" s="592"/>
      <c r="CQ27" s="45"/>
      <c r="CR27" s="45"/>
      <c r="CS27" s="46"/>
      <c r="CT27" s="34"/>
      <c r="CU27" s="34"/>
      <c r="CV27" s="592"/>
      <c r="CW27" s="45"/>
      <c r="CX27" s="45"/>
      <c r="CY27" s="46"/>
      <c r="CZ27" s="34"/>
      <c r="DA27" s="34"/>
      <c r="DB27" s="592"/>
      <c r="DC27" s="45"/>
      <c r="DD27" s="45"/>
      <c r="DE27" s="46"/>
      <c r="DF27" s="34"/>
      <c r="DG27" s="34"/>
      <c r="DH27" s="592"/>
      <c r="DI27" s="45"/>
      <c r="DJ27" s="45"/>
      <c r="DK27" s="46"/>
      <c r="DL27" s="34"/>
      <c r="DM27" s="34"/>
      <c r="DN27" s="592"/>
      <c r="DO27" s="45"/>
      <c r="DP27" s="45"/>
      <c r="DQ27" s="46"/>
      <c r="DR27" s="34"/>
      <c r="DS27" s="34"/>
      <c r="DT27" s="592"/>
      <c r="DU27" s="45"/>
      <c r="DV27" s="45"/>
      <c r="DW27" s="46"/>
      <c r="DX27" s="34"/>
      <c r="DY27" s="34"/>
      <c r="DZ27" s="592"/>
      <c r="EA27" s="45"/>
      <c r="EB27" s="45"/>
      <c r="EC27" s="46"/>
      <c r="ED27" s="34"/>
      <c r="EE27" s="34"/>
      <c r="EF27" s="592"/>
      <c r="EG27" s="45"/>
      <c r="EH27" s="45"/>
      <c r="EI27" s="46"/>
      <c r="EJ27" s="34"/>
      <c r="EK27" s="34"/>
      <c r="EL27" s="592"/>
      <c r="EM27" s="45"/>
      <c r="EN27" s="45"/>
      <c r="EO27" s="46"/>
      <c r="EP27" s="34"/>
      <c r="EQ27" s="34"/>
      <c r="ER27" s="30"/>
      <c r="ES27" s="45"/>
      <c r="ET27" s="45"/>
      <c r="EU27" s="46"/>
      <c r="EV27" s="48"/>
      <c r="EW27" s="48"/>
      <c r="EX27" s="30"/>
      <c r="EY27" s="35"/>
      <c r="EZ27" s="34"/>
      <c r="FA27" s="37"/>
      <c r="FB27" s="34"/>
      <c r="FC27" s="34"/>
      <c r="FE27" s="26"/>
      <c r="FF27" s="28"/>
      <c r="FG27" s="28"/>
      <c r="FH27" s="38"/>
      <c r="FI27" s="39"/>
      <c r="FK27" s="27"/>
      <c r="FL27" s="40"/>
      <c r="FM27" s="27"/>
      <c r="FN27" s="40"/>
      <c r="FO27" s="40"/>
      <c r="FQ27" s="26"/>
      <c r="FR27" s="40"/>
      <c r="FS27" s="27"/>
      <c r="FT27" s="40"/>
      <c r="FU27" s="40"/>
      <c r="FW27" s="26"/>
      <c r="FX27" s="27"/>
      <c r="FY27" s="27"/>
      <c r="FZ27" s="40"/>
      <c r="GA27" s="40"/>
      <c r="GC27" s="26"/>
      <c r="GD27" s="27"/>
      <c r="GE27" s="27"/>
      <c r="GF27" s="40"/>
      <c r="GG27" s="40"/>
      <c r="GI27" s="26"/>
      <c r="GJ27" s="27"/>
      <c r="GK27" s="27"/>
      <c r="GL27" s="40"/>
      <c r="GM27" s="40"/>
      <c r="GO27" s="26"/>
      <c r="GP27" s="40"/>
      <c r="GQ27" s="27"/>
      <c r="GR27" s="40"/>
      <c r="GS27" s="40"/>
      <c r="GU27" s="95"/>
      <c r="GV27" s="99"/>
      <c r="GW27" s="100"/>
      <c r="GX27" s="101"/>
      <c r="GY27" s="101"/>
      <c r="GZ27" s="43"/>
      <c r="HA27" s="26"/>
      <c r="HB27" s="39"/>
      <c r="HC27" s="28"/>
      <c r="HD27" s="106"/>
      <c r="HE27" s="106"/>
      <c r="HG27" s="26"/>
      <c r="HH27" s="40"/>
      <c r="HI27" s="27"/>
      <c r="HJ27" s="34"/>
      <c r="HK27" s="34"/>
      <c r="HM27" s="26"/>
      <c r="HN27" s="45"/>
      <c r="HO27" s="46"/>
      <c r="HP27" s="47"/>
      <c r="HQ27" s="47"/>
      <c r="HS27" s="26"/>
      <c r="HT27" s="45"/>
      <c r="HU27" s="46"/>
      <c r="HV27" s="48"/>
      <c r="HW27" s="48"/>
      <c r="HY27" s="45"/>
      <c r="HZ27" s="45"/>
      <c r="IA27" s="45"/>
      <c r="IB27" s="48"/>
      <c r="IC27" s="48"/>
      <c r="IE27" s="45"/>
      <c r="IF27" s="45"/>
      <c r="IG27" s="45"/>
      <c r="IH27" s="48"/>
      <c r="II27" s="48"/>
      <c r="IK27" s="26"/>
      <c r="IL27" s="48"/>
      <c r="IM27" s="45"/>
      <c r="IN27" s="48"/>
      <c r="IO27" s="48"/>
      <c r="IQ27" s="26"/>
      <c r="IR27" s="48"/>
      <c r="IS27" s="45"/>
      <c r="IT27" s="48"/>
      <c r="IU27" s="48"/>
      <c r="IW27" s="26"/>
      <c r="IX27" s="48"/>
      <c r="IY27" s="45"/>
      <c r="IZ27" s="46"/>
      <c r="JA27" s="46"/>
      <c r="JC27" s="26"/>
      <c r="JD27" s="48"/>
      <c r="JE27" s="45"/>
      <c r="JF27" s="46"/>
      <c r="JG27" s="46"/>
      <c r="JI27" s="26"/>
      <c r="JJ27" s="48"/>
      <c r="JK27" s="45"/>
      <c r="JL27" s="46"/>
      <c r="JM27" s="46"/>
      <c r="JO27" s="733"/>
      <c r="JP27" s="734"/>
      <c r="JQ27" s="735"/>
      <c r="JR27" s="736"/>
      <c r="JS27" s="734"/>
      <c r="JU27" s="733">
        <f>700+700+500+300+300</f>
        <v>2500</v>
      </c>
      <c r="JV27" s="734">
        <f>1.57+1.91+1.27+0.77+1.04</f>
        <v>6.56</v>
      </c>
      <c r="JW27" s="735">
        <v>5</v>
      </c>
      <c r="JX27" s="736">
        <f t="shared" si="511"/>
        <v>381.09756097560978</v>
      </c>
      <c r="JY27" s="736">
        <f t="shared" si="511"/>
        <v>1.3119999999999998</v>
      </c>
      <c r="KA27" s="733">
        <f>200+300+500+100+50</f>
        <v>1150</v>
      </c>
      <c r="KB27" s="734">
        <f>2.94+3.89+4.2+2.89+1.98</f>
        <v>15.900000000000002</v>
      </c>
      <c r="KC27" s="735">
        <v>5</v>
      </c>
      <c r="KD27" s="736">
        <f t="shared" ref="KD27:KD28" si="547">KA27/KB27</f>
        <v>72.327044025157221</v>
      </c>
      <c r="KE27" s="736">
        <f t="shared" ref="KE27:KE28" si="548">KB27/KC27</f>
        <v>3.1800000000000006</v>
      </c>
      <c r="KG27" s="733">
        <f>100+200+300+200+400</f>
        <v>1200</v>
      </c>
      <c r="KH27" s="734">
        <f>1.5+1.31+2.58+0.77+3.46</f>
        <v>9.620000000000001</v>
      </c>
      <c r="KI27" s="735">
        <v>5</v>
      </c>
      <c r="KJ27" s="736">
        <f t="shared" si="468"/>
        <v>124.74012474012473</v>
      </c>
      <c r="KK27" s="736">
        <f t="shared" si="469"/>
        <v>1.9240000000000002</v>
      </c>
      <c r="KM27" s="733"/>
      <c r="KN27" s="734"/>
      <c r="KO27" s="735"/>
      <c r="KP27" s="46" t="e">
        <f t="shared" si="369"/>
        <v>#DIV/0!</v>
      </c>
      <c r="KQ27" s="46" t="e">
        <f t="shared" si="470"/>
        <v>#DIV/0!</v>
      </c>
      <c r="KS27" s="733">
        <f>500+300+200+100+150</f>
        <v>1250</v>
      </c>
      <c r="KT27" s="734">
        <f>2.5+2.2+1.2+0.95+0.85</f>
        <v>7.7</v>
      </c>
      <c r="KU27" s="735">
        <v>5</v>
      </c>
      <c r="KV27" s="46">
        <f t="shared" si="370"/>
        <v>162.33766233766232</v>
      </c>
      <c r="KW27" s="46">
        <f t="shared" si="525"/>
        <v>1.54</v>
      </c>
      <c r="KY27" s="733"/>
      <c r="KZ27" s="734"/>
      <c r="LA27" s="735"/>
      <c r="LB27" s="46" t="e">
        <f t="shared" si="371"/>
        <v>#DIV/0!</v>
      </c>
      <c r="LC27" s="46" t="e">
        <f t="shared" si="526"/>
        <v>#DIV/0!</v>
      </c>
      <c r="LE27" s="733"/>
      <c r="LF27" s="734"/>
      <c r="LG27" s="735"/>
      <c r="LH27" s="46" t="e">
        <f t="shared" si="372"/>
        <v>#DIV/0!</v>
      </c>
      <c r="LI27" s="46" t="e">
        <f t="shared" si="527"/>
        <v>#DIV/0!</v>
      </c>
      <c r="LK27" s="733">
        <f>100+200+200+50+50</f>
        <v>600</v>
      </c>
      <c r="LL27" s="734">
        <f>1.75+1.83+2.28+1.11+1.09</f>
        <v>8.06</v>
      </c>
      <c r="LM27" s="735">
        <v>5</v>
      </c>
      <c r="LN27" s="46">
        <f t="shared" si="373"/>
        <v>74.441687344913149</v>
      </c>
      <c r="LO27" s="46">
        <f t="shared" si="528"/>
        <v>1.6120000000000001</v>
      </c>
      <c r="LQ27" s="733">
        <f>300+300+300</f>
        <v>900</v>
      </c>
      <c r="LR27" s="734">
        <f>2.87+2.87+2.87</f>
        <v>8.61</v>
      </c>
      <c r="LS27" s="735">
        <v>3</v>
      </c>
      <c r="LT27" s="46">
        <f t="shared" si="374"/>
        <v>104.52961672473869</v>
      </c>
      <c r="LU27" s="46">
        <f t="shared" si="529"/>
        <v>2.8699999999999997</v>
      </c>
      <c r="LW27" s="733"/>
      <c r="LX27" s="734"/>
      <c r="LY27" s="735"/>
      <c r="LZ27" s="46" t="e">
        <f t="shared" si="375"/>
        <v>#DIV/0!</v>
      </c>
      <c r="MA27" s="46" t="e">
        <f t="shared" si="530"/>
        <v>#DIV/0!</v>
      </c>
      <c r="MC27" s="733"/>
      <c r="MD27" s="734"/>
      <c r="ME27" s="735"/>
      <c r="MF27" s="46" t="e">
        <f t="shared" si="376"/>
        <v>#DIV/0!</v>
      </c>
      <c r="MG27" s="46" t="e">
        <f t="shared" si="531"/>
        <v>#DIV/0!</v>
      </c>
      <c r="MI27" s="733">
        <f>250+250+200+200+150</f>
        <v>1050</v>
      </c>
      <c r="MJ27" s="734">
        <f>1.07+1.07+1.97+0.99+0.92</f>
        <v>6.0200000000000005</v>
      </c>
      <c r="MK27" s="735">
        <v>5</v>
      </c>
      <c r="ML27" s="46">
        <f t="shared" si="377"/>
        <v>174.41860465116278</v>
      </c>
      <c r="MM27" s="46">
        <f t="shared" si="532"/>
        <v>1.2040000000000002</v>
      </c>
      <c r="MO27" s="733"/>
      <c r="MP27" s="734"/>
      <c r="MQ27" s="735"/>
      <c r="MR27" s="46" t="e">
        <f t="shared" si="378"/>
        <v>#DIV/0!</v>
      </c>
      <c r="MS27" s="46" t="e">
        <f t="shared" si="533"/>
        <v>#DIV/0!</v>
      </c>
      <c r="MU27" s="733"/>
      <c r="MV27" s="734"/>
      <c r="MW27" s="735"/>
      <c r="MX27" s="46" t="e">
        <f t="shared" si="379"/>
        <v>#DIV/0!</v>
      </c>
      <c r="MY27" s="46" t="e">
        <f t="shared" si="534"/>
        <v>#DIV/0!</v>
      </c>
      <c r="NA27" s="823"/>
      <c r="NB27" s="823"/>
      <c r="NC27" s="823"/>
      <c r="ND27" s="46" t="e">
        <f t="shared" si="380"/>
        <v>#DIV/0!</v>
      </c>
      <c r="NE27" s="46" t="e">
        <f t="shared" si="535"/>
        <v>#DIV/0!</v>
      </c>
      <c r="NG27" s="823">
        <f>200+150+100+50+30</f>
        <v>530</v>
      </c>
      <c r="NH27" s="823">
        <f>1.27+1.14+1.05+0.76+0.47</f>
        <v>4.6899999999999995</v>
      </c>
      <c r="NI27" s="823">
        <v>5</v>
      </c>
      <c r="NJ27" s="46">
        <f t="shared" si="381"/>
        <v>113.00639658848615</v>
      </c>
      <c r="NK27" s="46">
        <f t="shared" si="536"/>
        <v>0.93799999999999994</v>
      </c>
      <c r="NM27" s="823">
        <f>150+250+50+350+150</f>
        <v>950</v>
      </c>
      <c r="NN27" s="823">
        <f>0.24+0.54+0.14+1.73+1.11</f>
        <v>3.76</v>
      </c>
      <c r="NO27" s="823">
        <v>5</v>
      </c>
      <c r="NP27" s="46">
        <f t="shared" si="382"/>
        <v>252.65957446808511</v>
      </c>
      <c r="NQ27" s="46">
        <f t="shared" si="537"/>
        <v>0.752</v>
      </c>
      <c r="NS27" s="823"/>
      <c r="NT27" s="823"/>
      <c r="NU27" s="823"/>
      <c r="NV27" s="46" t="e">
        <f t="shared" si="383"/>
        <v>#DIV/0!</v>
      </c>
      <c r="NW27" s="46" t="e">
        <f t="shared" si="546"/>
        <v>#DIV/0!</v>
      </c>
      <c r="NY27" s="910">
        <f>500+500+500+700+700</f>
        <v>2900</v>
      </c>
      <c r="NZ27" s="910">
        <f>1.84+2.09+2.17+3.03+3.13</f>
        <v>12.259999999999998</v>
      </c>
      <c r="OA27" s="910">
        <v>5</v>
      </c>
      <c r="OB27" s="46">
        <f t="shared" si="384"/>
        <v>236.54159869494293</v>
      </c>
      <c r="OC27" s="46">
        <f t="shared" si="538"/>
        <v>2.4519999999999995</v>
      </c>
      <c r="OE27" s="823">
        <f>150+150+150+200+250</f>
        <v>900</v>
      </c>
      <c r="OF27" s="824">
        <f>1.1+1.31+1.36+1.81+2.78</f>
        <v>8.36</v>
      </c>
      <c r="OG27" s="823">
        <v>5</v>
      </c>
      <c r="OH27" s="46">
        <f t="shared" si="385"/>
        <v>107.6555023923445</v>
      </c>
      <c r="OI27" s="46">
        <f t="shared" si="539"/>
        <v>1.6719999999999999</v>
      </c>
    </row>
    <row r="28" spans="1:399">
      <c r="B28" s="717" t="s">
        <v>376</v>
      </c>
      <c r="C28" s="720" t="s">
        <v>373</v>
      </c>
      <c r="D28" s="719" t="s">
        <v>14</v>
      </c>
      <c r="E28" s="45"/>
      <c r="F28" s="45"/>
      <c r="G28" s="46"/>
      <c r="H28" s="48"/>
      <c r="I28" s="48"/>
      <c r="J28" s="30"/>
      <c r="K28" s="45"/>
      <c r="L28" s="45"/>
      <c r="M28" s="46"/>
      <c r="N28" s="48"/>
      <c r="O28" s="48"/>
      <c r="P28" s="30"/>
      <c r="Q28" s="45"/>
      <c r="R28" s="45"/>
      <c r="S28" s="46"/>
      <c r="T28" s="48"/>
      <c r="U28" s="48"/>
      <c r="V28" s="30"/>
      <c r="W28" s="45"/>
      <c r="X28" s="45"/>
      <c r="Y28" s="46"/>
      <c r="Z28" s="48"/>
      <c r="AA28" s="48"/>
      <c r="AB28" s="30"/>
      <c r="AC28" s="45"/>
      <c r="AD28" s="45"/>
      <c r="AE28" s="46"/>
      <c r="AF28" s="48"/>
      <c r="AG28" s="48"/>
      <c r="AH28" s="30"/>
      <c r="AI28" s="45"/>
      <c r="AJ28" s="45"/>
      <c r="AK28" s="46"/>
      <c r="AL28" s="48"/>
      <c r="AM28" s="48"/>
      <c r="AN28" s="30"/>
      <c r="AO28" s="45"/>
      <c r="AP28" s="45"/>
      <c r="AQ28" s="46"/>
      <c r="AR28" s="48"/>
      <c r="AS28" s="48"/>
      <c r="AT28" s="30"/>
      <c r="AU28" s="45"/>
      <c r="AV28" s="45"/>
      <c r="AW28" s="46"/>
      <c r="AX28" s="48"/>
      <c r="AY28" s="48"/>
      <c r="AZ28" s="593"/>
      <c r="BA28" s="45"/>
      <c r="BB28" s="45"/>
      <c r="BC28" s="46"/>
      <c r="BD28" s="34"/>
      <c r="BE28" s="34"/>
      <c r="BF28" s="592"/>
      <c r="BG28" s="45"/>
      <c r="BH28" s="45"/>
      <c r="BI28" s="46"/>
      <c r="BJ28" s="34"/>
      <c r="BK28" s="34"/>
      <c r="BL28" s="592"/>
      <c r="BM28" s="45"/>
      <c r="BN28" s="45"/>
      <c r="BO28" s="46"/>
      <c r="BP28" s="34"/>
      <c r="BQ28" s="34"/>
      <c r="BR28" s="30"/>
      <c r="BS28" s="45"/>
      <c r="BT28" s="45"/>
      <c r="BU28" s="46"/>
      <c r="BV28" s="34"/>
      <c r="BW28" s="34"/>
      <c r="BX28" s="592"/>
      <c r="BY28" s="45"/>
      <c r="BZ28" s="45"/>
      <c r="CA28" s="46"/>
      <c r="CB28" s="34"/>
      <c r="CC28" s="34"/>
      <c r="CD28" s="592"/>
      <c r="CE28" s="45"/>
      <c r="CF28" s="45"/>
      <c r="CG28" s="46"/>
      <c r="CH28" s="34"/>
      <c r="CI28" s="34"/>
      <c r="CJ28" s="592"/>
      <c r="CK28" s="45"/>
      <c r="CL28" s="45"/>
      <c r="CM28" s="46"/>
      <c r="CN28" s="34"/>
      <c r="CO28" s="34"/>
      <c r="CP28" s="592"/>
      <c r="CQ28" s="45"/>
      <c r="CR28" s="45"/>
      <c r="CS28" s="46"/>
      <c r="CT28" s="34"/>
      <c r="CU28" s="34"/>
      <c r="CV28" s="592"/>
      <c r="CW28" s="45"/>
      <c r="CX28" s="45"/>
      <c r="CY28" s="46"/>
      <c r="CZ28" s="34"/>
      <c r="DA28" s="34"/>
      <c r="DB28" s="592"/>
      <c r="DC28" s="45"/>
      <c r="DD28" s="45"/>
      <c r="DE28" s="46"/>
      <c r="DF28" s="34"/>
      <c r="DG28" s="34"/>
      <c r="DH28" s="592"/>
      <c r="DI28" s="45"/>
      <c r="DJ28" s="45"/>
      <c r="DK28" s="46"/>
      <c r="DL28" s="34"/>
      <c r="DM28" s="34"/>
      <c r="DN28" s="592"/>
      <c r="DO28" s="45"/>
      <c r="DP28" s="45"/>
      <c r="DQ28" s="46"/>
      <c r="DR28" s="34"/>
      <c r="DS28" s="34"/>
      <c r="DT28" s="592"/>
      <c r="DU28" s="45"/>
      <c r="DV28" s="45"/>
      <c r="DW28" s="46"/>
      <c r="DX28" s="34"/>
      <c r="DY28" s="34"/>
      <c r="DZ28" s="592"/>
      <c r="EA28" s="45"/>
      <c r="EB28" s="45"/>
      <c r="EC28" s="46"/>
      <c r="ED28" s="34"/>
      <c r="EE28" s="34"/>
      <c r="EF28" s="592"/>
      <c r="EG28" s="45"/>
      <c r="EH28" s="45"/>
      <c r="EI28" s="46"/>
      <c r="EJ28" s="34"/>
      <c r="EK28" s="34"/>
      <c r="EL28" s="592"/>
      <c r="EM28" s="45"/>
      <c r="EN28" s="45"/>
      <c r="EO28" s="46"/>
      <c r="EP28" s="34"/>
      <c r="EQ28" s="34"/>
      <c r="ER28" s="30"/>
      <c r="ES28" s="45"/>
      <c r="ET28" s="45"/>
      <c r="EU28" s="46"/>
      <c r="EV28" s="48"/>
      <c r="EW28" s="48"/>
      <c r="EX28" s="30"/>
      <c r="EY28" s="35"/>
      <c r="EZ28" s="34"/>
      <c r="FA28" s="37"/>
      <c r="FB28" s="34"/>
      <c r="FC28" s="34"/>
      <c r="FE28" s="26"/>
      <c r="FF28" s="28"/>
      <c r="FG28" s="28"/>
      <c r="FH28" s="38"/>
      <c r="FI28" s="39"/>
      <c r="FK28" s="27"/>
      <c r="FL28" s="40"/>
      <c r="FM28" s="27"/>
      <c r="FN28" s="40"/>
      <c r="FO28" s="40"/>
      <c r="FQ28" s="26"/>
      <c r="FR28" s="40"/>
      <c r="FS28" s="27"/>
      <c r="FT28" s="40"/>
      <c r="FU28" s="40"/>
      <c r="FW28" s="26"/>
      <c r="FX28" s="27"/>
      <c r="FY28" s="27"/>
      <c r="FZ28" s="40"/>
      <c r="GA28" s="40"/>
      <c r="GC28" s="26"/>
      <c r="GD28" s="27"/>
      <c r="GE28" s="27"/>
      <c r="GF28" s="40"/>
      <c r="GG28" s="40"/>
      <c r="GI28" s="26"/>
      <c r="GJ28" s="27"/>
      <c r="GK28" s="27"/>
      <c r="GL28" s="40"/>
      <c r="GM28" s="40"/>
      <c r="GO28" s="26"/>
      <c r="GP28" s="40"/>
      <c r="GQ28" s="27"/>
      <c r="GR28" s="40"/>
      <c r="GS28" s="40"/>
      <c r="GU28" s="95"/>
      <c r="GV28" s="99"/>
      <c r="GW28" s="100"/>
      <c r="GX28" s="101"/>
      <c r="GY28" s="101"/>
      <c r="GZ28" s="43"/>
      <c r="HA28" s="26"/>
      <c r="HB28" s="39"/>
      <c r="HC28" s="28"/>
      <c r="HD28" s="106"/>
      <c r="HE28" s="106"/>
      <c r="HG28" s="26"/>
      <c r="HH28" s="40"/>
      <c r="HI28" s="27"/>
      <c r="HJ28" s="34"/>
      <c r="HK28" s="34"/>
      <c r="HM28" s="26"/>
      <c r="HN28" s="45"/>
      <c r="HO28" s="46"/>
      <c r="HP28" s="47"/>
      <c r="HQ28" s="47"/>
      <c r="HS28" s="26"/>
      <c r="HT28" s="45"/>
      <c r="HU28" s="46"/>
      <c r="HV28" s="48"/>
      <c r="HW28" s="48"/>
      <c r="HY28" s="45"/>
      <c r="HZ28" s="45"/>
      <c r="IA28" s="45"/>
      <c r="IB28" s="48"/>
      <c r="IC28" s="48"/>
      <c r="IE28" s="45"/>
      <c r="IF28" s="45"/>
      <c r="IG28" s="45"/>
      <c r="IH28" s="48"/>
      <c r="II28" s="48"/>
      <c r="IK28" s="26"/>
      <c r="IL28" s="48"/>
      <c r="IM28" s="45"/>
      <c r="IN28" s="48"/>
      <c r="IO28" s="48"/>
      <c r="IQ28" s="26"/>
      <c r="IR28" s="48"/>
      <c r="IS28" s="45"/>
      <c r="IT28" s="48"/>
      <c r="IU28" s="48"/>
      <c r="IW28" s="26"/>
      <c r="IX28" s="48"/>
      <c r="IY28" s="45"/>
      <c r="IZ28" s="46"/>
      <c r="JA28" s="46"/>
      <c r="JC28" s="26"/>
      <c r="JD28" s="48"/>
      <c r="JE28" s="45"/>
      <c r="JF28" s="46"/>
      <c r="JG28" s="46"/>
      <c r="JI28" s="26"/>
      <c r="JJ28" s="48"/>
      <c r="JK28" s="45"/>
      <c r="JL28" s="46"/>
      <c r="JM28" s="46"/>
      <c r="JO28" s="733">
        <f>300+300+300+300+300</f>
        <v>1500</v>
      </c>
      <c r="JP28" s="734">
        <f>0.9+1.08+1.06+0.95+1.06</f>
        <v>5.0500000000000007</v>
      </c>
      <c r="JQ28" s="735">
        <v>5</v>
      </c>
      <c r="JR28" s="736">
        <f t="shared" si="438"/>
        <v>297.02970297029697</v>
      </c>
      <c r="JS28" s="734">
        <f t="shared" ref="JS28" si="549">JP28/JQ28</f>
        <v>1.0100000000000002</v>
      </c>
      <c r="JU28" s="733">
        <f>200+200+200+200+200</f>
        <v>1000</v>
      </c>
      <c r="JV28" s="734">
        <f>0.9+1.08+1.06+0.95+1.06</f>
        <v>5.0500000000000007</v>
      </c>
      <c r="JW28" s="735">
        <v>5</v>
      </c>
      <c r="JX28" s="736">
        <f t="shared" ref="JX28" si="550">JU28/JV28</f>
        <v>198.019801980198</v>
      </c>
      <c r="JY28" s="734">
        <f t="shared" ref="JY28" si="551">JV28/JW28</f>
        <v>1.0100000000000002</v>
      </c>
      <c r="KA28" s="733">
        <f>200+200+200+200+200</f>
        <v>1000</v>
      </c>
      <c r="KB28" s="734">
        <f>0.56+0.58+0.57+0.56+0.55</f>
        <v>2.8200000000000003</v>
      </c>
      <c r="KC28" s="735">
        <v>5</v>
      </c>
      <c r="KD28" s="736">
        <f t="shared" si="547"/>
        <v>354.60992907801415</v>
      </c>
      <c r="KE28" s="734">
        <f t="shared" si="548"/>
        <v>0.56400000000000006</v>
      </c>
      <c r="KG28" s="733">
        <f>200+200+200+200+200</f>
        <v>1000</v>
      </c>
      <c r="KH28" s="734">
        <f>0.87+0.88+0.21+0.07+0.11</f>
        <v>2.1399999999999997</v>
      </c>
      <c r="KI28" s="735">
        <v>5</v>
      </c>
      <c r="KJ28" s="736">
        <f t="shared" si="468"/>
        <v>467.28971962616828</v>
      </c>
      <c r="KK28" s="734">
        <f t="shared" si="469"/>
        <v>0.42799999999999994</v>
      </c>
      <c r="KM28" s="733">
        <f>200+200+200</f>
        <v>600</v>
      </c>
      <c r="KN28" s="734">
        <f>2.01+0.98</f>
        <v>2.9899999999999998</v>
      </c>
      <c r="KO28" s="735">
        <v>3</v>
      </c>
      <c r="KP28" s="46">
        <f t="shared" si="369"/>
        <v>200.66889632107024</v>
      </c>
      <c r="KQ28" s="46">
        <f>KN28/KO28</f>
        <v>0.99666666666666659</v>
      </c>
      <c r="KS28" s="733">
        <f>200+200+200+200+200</f>
        <v>1000</v>
      </c>
      <c r="KT28" s="734">
        <f>1.19+0.84+0.81+0.8+0.82</f>
        <v>4.46</v>
      </c>
      <c r="KU28" s="735">
        <v>5</v>
      </c>
      <c r="KV28" s="46">
        <f t="shared" si="370"/>
        <v>224.2152466367713</v>
      </c>
      <c r="KW28" s="46">
        <f>KT28/KU28</f>
        <v>0.89200000000000002</v>
      </c>
      <c r="KY28" s="733"/>
      <c r="KZ28" s="734"/>
      <c r="LA28" s="735"/>
      <c r="LB28" s="46" t="e">
        <f t="shared" si="371"/>
        <v>#DIV/0!</v>
      </c>
      <c r="LC28" s="46" t="e">
        <f>KZ28/LA28</f>
        <v>#DIV/0!</v>
      </c>
      <c r="LE28" s="733"/>
      <c r="LF28" s="734"/>
      <c r="LG28" s="735"/>
      <c r="LH28" s="46" t="e">
        <f t="shared" si="372"/>
        <v>#DIV/0!</v>
      </c>
      <c r="LI28" s="46" t="e">
        <f>LF28/LG28</f>
        <v>#DIV/0!</v>
      </c>
      <c r="LK28" s="733">
        <f>200+200+200+200+200</f>
        <v>1000</v>
      </c>
      <c r="LL28" s="734">
        <f>0.95+1.16+1.04+0.89+0.96</f>
        <v>5</v>
      </c>
      <c r="LM28" s="735">
        <v>5</v>
      </c>
      <c r="LN28" s="46">
        <f t="shared" si="373"/>
        <v>200</v>
      </c>
      <c r="LO28" s="46">
        <f>LL28/LM28</f>
        <v>1</v>
      </c>
      <c r="LQ28" s="733"/>
      <c r="LR28" s="734"/>
      <c r="LS28" s="735"/>
      <c r="LT28" s="46" t="e">
        <f t="shared" si="374"/>
        <v>#DIV/0!</v>
      </c>
      <c r="LU28" s="46" t="e">
        <f>LR28/LS28</f>
        <v>#DIV/0!</v>
      </c>
      <c r="LW28" s="733"/>
      <c r="LX28" s="734"/>
      <c r="LY28" s="735"/>
      <c r="LZ28" s="46" t="e">
        <f t="shared" si="375"/>
        <v>#DIV/0!</v>
      </c>
      <c r="MA28" s="46" t="e">
        <f>LX28/LY28</f>
        <v>#DIV/0!</v>
      </c>
      <c r="MC28" s="733">
        <f>200+200+100+200+100</f>
        <v>800</v>
      </c>
      <c r="MD28" s="734">
        <f>0.7+0.7+0.72+0.65+0.97</f>
        <v>3.74</v>
      </c>
      <c r="ME28" s="735">
        <v>5</v>
      </c>
      <c r="MF28" s="46">
        <f t="shared" si="376"/>
        <v>213.903743315508</v>
      </c>
      <c r="MG28" s="46">
        <f>MD28/ME28</f>
        <v>0.748</v>
      </c>
      <c r="MI28" s="733">
        <f>200+200+200+200+200</f>
        <v>1000</v>
      </c>
      <c r="MJ28" s="734">
        <f>0.97+0.96+0.98+1.27+1.33</f>
        <v>5.51</v>
      </c>
      <c r="MK28" s="735">
        <v>5</v>
      </c>
      <c r="ML28" s="46">
        <f t="shared" si="377"/>
        <v>181.48820326678768</v>
      </c>
      <c r="MM28" s="46">
        <f>MJ28/MK28</f>
        <v>1.1019999999999999</v>
      </c>
      <c r="MO28" s="733"/>
      <c r="MP28" s="734"/>
      <c r="MQ28" s="735"/>
      <c r="MR28" s="46" t="e">
        <f t="shared" si="378"/>
        <v>#DIV/0!</v>
      </c>
      <c r="MS28" s="46" t="e">
        <f>MP28/MQ28</f>
        <v>#DIV/0!</v>
      </c>
      <c r="MU28" s="733"/>
      <c r="MV28" s="734"/>
      <c r="MW28" s="735"/>
      <c r="MX28" s="46" t="e">
        <f t="shared" si="379"/>
        <v>#DIV/0!</v>
      </c>
      <c r="MY28" s="46" t="e">
        <f>MV28/MW28</f>
        <v>#DIV/0!</v>
      </c>
      <c r="NA28" s="823">
        <f>100+100+100+100+100</f>
        <v>500</v>
      </c>
      <c r="NB28" s="823">
        <f>1.14+1.26+1.26+1.12+1.09</f>
        <v>5.87</v>
      </c>
      <c r="NC28" s="823">
        <v>5</v>
      </c>
      <c r="ND28" s="46">
        <f t="shared" si="380"/>
        <v>85.178875638841561</v>
      </c>
      <c r="NE28" s="46">
        <f>NB28/NC28</f>
        <v>1.1739999999999999</v>
      </c>
      <c r="NG28" s="884">
        <f>200+100+150+100+200</f>
        <v>750</v>
      </c>
      <c r="NH28" s="884">
        <f>0.95+0.96+0.81+0.52+1.03</f>
        <v>4.2699999999999996</v>
      </c>
      <c r="NI28" s="884">
        <v>5</v>
      </c>
      <c r="NJ28" s="46">
        <f t="shared" si="381"/>
        <v>175.64402810304452</v>
      </c>
      <c r="NK28" s="46">
        <f>NH28/NI28</f>
        <v>0.85399999999999987</v>
      </c>
      <c r="NM28" s="823">
        <f>150+150+150+150+150</f>
        <v>750</v>
      </c>
      <c r="NN28" s="823">
        <f>1.3+1.2+0.66+0.66+0.68</f>
        <v>4.5</v>
      </c>
      <c r="NO28" s="823">
        <v>5</v>
      </c>
      <c r="NP28" s="46">
        <f t="shared" si="382"/>
        <v>166.66666666666666</v>
      </c>
      <c r="NQ28" s="46">
        <f>NN28/NO28</f>
        <v>0.9</v>
      </c>
      <c r="NS28" s="823">
        <f>100+100+100+100+100</f>
        <v>500</v>
      </c>
      <c r="NT28" s="823">
        <f>0.55+1.03+1.01+1+1.04</f>
        <v>4.63</v>
      </c>
      <c r="NU28" s="823">
        <v>5</v>
      </c>
      <c r="NV28" s="46">
        <f>NS28/NT28</f>
        <v>107.99136069114471</v>
      </c>
      <c r="NW28" s="46">
        <f>NT28/NU28</f>
        <v>0.92599999999999993</v>
      </c>
      <c r="NY28" s="910">
        <f>100+100+100+100+100</f>
        <v>500</v>
      </c>
      <c r="NZ28" s="910">
        <f>1+0.87+0.9+0.87+0.8</f>
        <v>4.4400000000000004</v>
      </c>
      <c r="OA28" s="910">
        <v>5</v>
      </c>
      <c r="OB28" s="46">
        <f t="shared" si="384"/>
        <v>112.61261261261261</v>
      </c>
      <c r="OC28" s="46">
        <f>NZ28/OA28</f>
        <v>0.88800000000000012</v>
      </c>
      <c r="OE28" s="823"/>
      <c r="OF28" s="823"/>
      <c r="OG28" s="823"/>
      <c r="OH28" s="46" t="e">
        <f t="shared" si="385"/>
        <v>#DIV/0!</v>
      </c>
      <c r="OI28" s="46" t="e">
        <f>OF28/OG28</f>
        <v>#DIV/0!</v>
      </c>
    </row>
    <row r="29" spans="1:399">
      <c r="B29" s="717" t="s">
        <v>376</v>
      </c>
      <c r="C29" s="720" t="s">
        <v>374</v>
      </c>
      <c r="D29" s="719" t="s">
        <v>14</v>
      </c>
      <c r="E29" s="45"/>
      <c r="F29" s="45"/>
      <c r="G29" s="46"/>
      <c r="H29" s="48"/>
      <c r="I29" s="48"/>
      <c r="J29" s="30"/>
      <c r="K29" s="45"/>
      <c r="L29" s="45"/>
      <c r="M29" s="46"/>
      <c r="N29" s="48"/>
      <c r="O29" s="48"/>
      <c r="P29" s="30"/>
      <c r="Q29" s="45"/>
      <c r="R29" s="45"/>
      <c r="S29" s="46"/>
      <c r="T29" s="48"/>
      <c r="U29" s="48"/>
      <c r="V29" s="30"/>
      <c r="W29" s="45"/>
      <c r="X29" s="45"/>
      <c r="Y29" s="46"/>
      <c r="Z29" s="48"/>
      <c r="AA29" s="48"/>
      <c r="AB29" s="30"/>
      <c r="AC29" s="45"/>
      <c r="AD29" s="45"/>
      <c r="AE29" s="46"/>
      <c r="AF29" s="48"/>
      <c r="AG29" s="48"/>
      <c r="AH29" s="30"/>
      <c r="AI29" s="45"/>
      <c r="AJ29" s="45"/>
      <c r="AK29" s="46"/>
      <c r="AL29" s="48"/>
      <c r="AM29" s="48"/>
      <c r="AN29" s="30"/>
      <c r="AO29" s="45"/>
      <c r="AP29" s="45"/>
      <c r="AQ29" s="46"/>
      <c r="AR29" s="48"/>
      <c r="AS29" s="48"/>
      <c r="AT29" s="30"/>
      <c r="AU29" s="45"/>
      <c r="AV29" s="45"/>
      <c r="AW29" s="46"/>
      <c r="AX29" s="48"/>
      <c r="AY29" s="48"/>
      <c r="AZ29" s="593"/>
      <c r="BA29" s="45"/>
      <c r="BB29" s="45"/>
      <c r="BC29" s="46"/>
      <c r="BD29" s="34"/>
      <c r="BE29" s="34"/>
      <c r="BF29" s="592"/>
      <c r="BG29" s="45"/>
      <c r="BH29" s="45"/>
      <c r="BI29" s="46"/>
      <c r="BJ29" s="34"/>
      <c r="BK29" s="34"/>
      <c r="BL29" s="592"/>
      <c r="BM29" s="45"/>
      <c r="BN29" s="45"/>
      <c r="BO29" s="46"/>
      <c r="BP29" s="34"/>
      <c r="BQ29" s="34"/>
      <c r="BR29" s="30"/>
      <c r="BS29" s="45"/>
      <c r="BT29" s="45"/>
      <c r="BU29" s="46"/>
      <c r="BV29" s="34"/>
      <c r="BW29" s="34"/>
      <c r="BX29" s="592"/>
      <c r="BY29" s="45"/>
      <c r="BZ29" s="45"/>
      <c r="CA29" s="46"/>
      <c r="CB29" s="34"/>
      <c r="CC29" s="34"/>
      <c r="CD29" s="592"/>
      <c r="CE29" s="45"/>
      <c r="CF29" s="45"/>
      <c r="CG29" s="46"/>
      <c r="CH29" s="34"/>
      <c r="CI29" s="34"/>
      <c r="CJ29" s="592"/>
      <c r="CK29" s="45"/>
      <c r="CL29" s="45"/>
      <c r="CM29" s="46"/>
      <c r="CN29" s="34"/>
      <c r="CO29" s="34"/>
      <c r="CP29" s="592"/>
      <c r="CQ29" s="45"/>
      <c r="CR29" s="45"/>
      <c r="CS29" s="46"/>
      <c r="CT29" s="34"/>
      <c r="CU29" s="34"/>
      <c r="CV29" s="592"/>
      <c r="CW29" s="45"/>
      <c r="CX29" s="45"/>
      <c r="CY29" s="46"/>
      <c r="CZ29" s="34"/>
      <c r="DA29" s="34"/>
      <c r="DB29" s="592"/>
      <c r="DC29" s="45"/>
      <c r="DD29" s="45"/>
      <c r="DE29" s="46"/>
      <c r="DF29" s="34"/>
      <c r="DG29" s="34"/>
      <c r="DH29" s="592"/>
      <c r="DI29" s="45"/>
      <c r="DJ29" s="45"/>
      <c r="DK29" s="46"/>
      <c r="DL29" s="34"/>
      <c r="DM29" s="34"/>
      <c r="DN29" s="592"/>
      <c r="DO29" s="45"/>
      <c r="DP29" s="45"/>
      <c r="DQ29" s="46"/>
      <c r="DR29" s="34"/>
      <c r="DS29" s="34"/>
      <c r="DT29" s="592"/>
      <c r="DU29" s="45"/>
      <c r="DV29" s="45"/>
      <c r="DW29" s="46"/>
      <c r="DX29" s="34"/>
      <c r="DY29" s="34"/>
      <c r="DZ29" s="592"/>
      <c r="EA29" s="45"/>
      <c r="EB29" s="45"/>
      <c r="EC29" s="46"/>
      <c r="ED29" s="34"/>
      <c r="EE29" s="34"/>
      <c r="EF29" s="592"/>
      <c r="EG29" s="45"/>
      <c r="EH29" s="45"/>
      <c r="EI29" s="46"/>
      <c r="EJ29" s="34"/>
      <c r="EK29" s="34"/>
      <c r="EL29" s="592"/>
      <c r="EM29" s="45"/>
      <c r="EN29" s="45"/>
      <c r="EO29" s="46"/>
      <c r="EP29" s="34"/>
      <c r="EQ29" s="34"/>
      <c r="ER29" s="30"/>
      <c r="ES29" s="45"/>
      <c r="ET29" s="45"/>
      <c r="EU29" s="46"/>
      <c r="EV29" s="48"/>
      <c r="EW29" s="48"/>
      <c r="EX29" s="30"/>
      <c r="EY29" s="35"/>
      <c r="EZ29" s="34"/>
      <c r="FA29" s="37"/>
      <c r="FB29" s="34"/>
      <c r="FC29" s="34"/>
      <c r="FE29" s="26"/>
      <c r="FF29" s="28"/>
      <c r="FG29" s="28"/>
      <c r="FH29" s="38"/>
      <c r="FI29" s="39"/>
      <c r="FK29" s="27"/>
      <c r="FL29" s="40"/>
      <c r="FM29" s="27"/>
      <c r="FN29" s="40"/>
      <c r="FO29" s="40"/>
      <c r="FQ29" s="26"/>
      <c r="FR29" s="40"/>
      <c r="FS29" s="27"/>
      <c r="FT29" s="40"/>
      <c r="FU29" s="40"/>
      <c r="FW29" s="26"/>
      <c r="FX29" s="27"/>
      <c r="FY29" s="27"/>
      <c r="FZ29" s="40"/>
      <c r="GA29" s="40"/>
      <c r="GC29" s="26"/>
      <c r="GD29" s="27"/>
      <c r="GE29" s="27"/>
      <c r="GF29" s="40"/>
      <c r="GG29" s="40"/>
      <c r="GI29" s="26"/>
      <c r="GJ29" s="27"/>
      <c r="GK29" s="27"/>
      <c r="GL29" s="40"/>
      <c r="GM29" s="40"/>
      <c r="GO29" s="26"/>
      <c r="GP29" s="40"/>
      <c r="GQ29" s="27"/>
      <c r="GR29" s="40"/>
      <c r="GS29" s="40"/>
      <c r="GU29" s="95"/>
      <c r="GV29" s="99"/>
      <c r="GW29" s="100"/>
      <c r="GX29" s="101"/>
      <c r="GY29" s="101"/>
      <c r="GZ29" s="43"/>
      <c r="HA29" s="26"/>
      <c r="HB29" s="39"/>
      <c r="HC29" s="28"/>
      <c r="HD29" s="106"/>
      <c r="HE29" s="106"/>
      <c r="HG29" s="26"/>
      <c r="HH29" s="40"/>
      <c r="HI29" s="27"/>
      <c r="HJ29" s="34"/>
      <c r="HK29" s="34"/>
      <c r="HM29" s="26"/>
      <c r="HN29" s="45"/>
      <c r="HO29" s="46"/>
      <c r="HP29" s="47"/>
      <c r="HQ29" s="47"/>
      <c r="HS29" s="26"/>
      <c r="HT29" s="45"/>
      <c r="HU29" s="46"/>
      <c r="HV29" s="48"/>
      <c r="HW29" s="48"/>
      <c r="HY29" s="45"/>
      <c r="HZ29" s="45"/>
      <c r="IA29" s="45"/>
      <c r="IB29" s="48"/>
      <c r="IC29" s="48"/>
      <c r="IE29" s="45"/>
      <c r="IF29" s="45"/>
      <c r="IG29" s="45"/>
      <c r="IH29" s="48"/>
      <c r="II29" s="48"/>
      <c r="IK29" s="26"/>
      <c r="IL29" s="48"/>
      <c r="IM29" s="45"/>
      <c r="IN29" s="48"/>
      <c r="IO29" s="48"/>
      <c r="IQ29" s="26"/>
      <c r="IR29" s="48"/>
      <c r="IS29" s="45"/>
      <c r="IT29" s="48"/>
      <c r="IU29" s="48"/>
      <c r="IW29" s="26"/>
      <c r="IX29" s="48"/>
      <c r="IY29" s="45"/>
      <c r="IZ29" s="46"/>
      <c r="JA29" s="46"/>
      <c r="JC29" s="26"/>
      <c r="JD29" s="48"/>
      <c r="JE29" s="45"/>
      <c r="JF29" s="46"/>
      <c r="JG29" s="46"/>
      <c r="JI29" s="26"/>
      <c r="JJ29" s="48"/>
      <c r="JK29" s="45"/>
      <c r="JL29" s="46"/>
      <c r="JM29" s="46"/>
      <c r="JO29" s="733"/>
      <c r="JP29" s="734"/>
      <c r="JQ29" s="735"/>
      <c r="JR29" s="736"/>
      <c r="JS29" s="734"/>
      <c r="JU29" s="733"/>
      <c r="JV29" s="734"/>
      <c r="JW29" s="735"/>
      <c r="JX29" s="736"/>
      <c r="JY29" s="736"/>
      <c r="KA29" s="733"/>
      <c r="KB29" s="734"/>
      <c r="KC29" s="735"/>
      <c r="KD29" s="736"/>
      <c r="KE29" s="736"/>
      <c r="KG29" s="733"/>
      <c r="KH29" s="734"/>
      <c r="KI29" s="735"/>
      <c r="KJ29" s="736"/>
      <c r="KK29" s="736"/>
      <c r="KM29" s="733"/>
      <c r="KN29" s="734"/>
      <c r="KO29" s="735"/>
      <c r="KP29" s="46" t="e">
        <f t="shared" si="369"/>
        <v>#DIV/0!</v>
      </c>
      <c r="KQ29" s="46" t="e">
        <f t="shared" ref="KQ29" si="552">KN29/KO29</f>
        <v>#DIV/0!</v>
      </c>
      <c r="KS29" s="733"/>
      <c r="KT29" s="734"/>
      <c r="KU29" s="735"/>
      <c r="KV29" s="46" t="e">
        <f t="shared" si="370"/>
        <v>#DIV/0!</v>
      </c>
      <c r="KW29" s="46" t="e">
        <f t="shared" ref="KW29" si="553">KT29/KU29</f>
        <v>#DIV/0!</v>
      </c>
      <c r="KY29" s="733"/>
      <c r="KZ29" s="734"/>
      <c r="LA29" s="735"/>
      <c r="LB29" s="46" t="e">
        <f t="shared" si="371"/>
        <v>#DIV/0!</v>
      </c>
      <c r="LC29" s="46" t="e">
        <f t="shared" ref="LC29" si="554">KZ29/LA29</f>
        <v>#DIV/0!</v>
      </c>
      <c r="LE29" s="733"/>
      <c r="LF29" s="734"/>
      <c r="LG29" s="735"/>
      <c r="LH29" s="46" t="e">
        <f t="shared" si="372"/>
        <v>#DIV/0!</v>
      </c>
      <c r="LI29" s="46" t="e">
        <f t="shared" ref="LI29" si="555">LF29/LG29</f>
        <v>#DIV/0!</v>
      </c>
      <c r="LK29" s="733"/>
      <c r="LL29" s="734"/>
      <c r="LM29" s="735"/>
      <c r="LN29" s="46" t="e">
        <f t="shared" si="373"/>
        <v>#DIV/0!</v>
      </c>
      <c r="LO29" s="46" t="e">
        <f t="shared" ref="LO29" si="556">LL29/LM29</f>
        <v>#DIV/0!</v>
      </c>
      <c r="LQ29" s="733"/>
      <c r="LR29" s="734"/>
      <c r="LS29" s="735"/>
      <c r="LT29" s="46" t="e">
        <f t="shared" si="374"/>
        <v>#DIV/0!</v>
      </c>
      <c r="LU29" s="46" t="e">
        <f t="shared" ref="LU29" si="557">LR29/LS29</f>
        <v>#DIV/0!</v>
      </c>
      <c r="LW29" s="733"/>
      <c r="LX29" s="734"/>
      <c r="LY29" s="735"/>
      <c r="LZ29" s="46" t="e">
        <f t="shared" si="375"/>
        <v>#DIV/0!</v>
      </c>
      <c r="MA29" s="46" t="e">
        <f t="shared" ref="MA29" si="558">LX29/LY29</f>
        <v>#DIV/0!</v>
      </c>
      <c r="MC29" s="733"/>
      <c r="MD29" s="734"/>
      <c r="ME29" s="735"/>
      <c r="MF29" s="46" t="e">
        <f t="shared" si="376"/>
        <v>#DIV/0!</v>
      </c>
      <c r="MG29" s="46" t="e">
        <f t="shared" ref="MG29" si="559">MD29/ME29</f>
        <v>#DIV/0!</v>
      </c>
      <c r="MI29" s="733"/>
      <c r="MJ29" s="734"/>
      <c r="MK29" s="735"/>
      <c r="ML29" s="46" t="e">
        <f t="shared" si="377"/>
        <v>#DIV/0!</v>
      </c>
      <c r="MM29" s="46" t="e">
        <f t="shared" ref="MM29" si="560">MJ29/MK29</f>
        <v>#DIV/0!</v>
      </c>
      <c r="MO29" s="733"/>
      <c r="MP29" s="734"/>
      <c r="MQ29" s="735"/>
      <c r="MR29" s="46" t="e">
        <f t="shared" si="378"/>
        <v>#DIV/0!</v>
      </c>
      <c r="MS29" s="46" t="e">
        <f t="shared" ref="MS29" si="561">MP29/MQ29</f>
        <v>#DIV/0!</v>
      </c>
      <c r="MU29" s="733"/>
      <c r="MV29" s="734"/>
      <c r="MW29" s="735"/>
      <c r="MX29" s="46" t="e">
        <f t="shared" si="379"/>
        <v>#DIV/0!</v>
      </c>
      <c r="MY29" s="46" t="e">
        <f t="shared" ref="MY29" si="562">MV29/MW29</f>
        <v>#DIV/0!</v>
      </c>
      <c r="NA29" s="823"/>
      <c r="NB29" s="823"/>
      <c r="NC29" s="823"/>
      <c r="ND29" s="46" t="e">
        <f t="shared" si="380"/>
        <v>#DIV/0!</v>
      </c>
      <c r="NE29" s="46" t="e">
        <f t="shared" ref="NE29" si="563">NB29/NC29</f>
        <v>#DIV/0!</v>
      </c>
      <c r="NG29" s="823"/>
      <c r="NH29" s="823"/>
      <c r="NI29" s="823"/>
      <c r="NJ29" s="46" t="e">
        <f t="shared" si="381"/>
        <v>#DIV/0!</v>
      </c>
      <c r="NK29" s="46" t="e">
        <f t="shared" ref="NK29" si="564">NH29/NI29</f>
        <v>#DIV/0!</v>
      </c>
      <c r="NM29" s="823">
        <f>50+50+50</f>
        <v>150</v>
      </c>
      <c r="NN29" s="823">
        <f>0.24+0.24+0.24</f>
        <v>0.72</v>
      </c>
      <c r="NO29" s="823">
        <v>3</v>
      </c>
      <c r="NP29" s="46">
        <f t="shared" si="382"/>
        <v>208.33333333333334</v>
      </c>
      <c r="NQ29" s="46">
        <f t="shared" ref="NQ29" si="565">NN29/NO29</f>
        <v>0.24</v>
      </c>
      <c r="NS29" s="823">
        <f>100+100+100+100+100</f>
        <v>500</v>
      </c>
      <c r="NT29" s="823">
        <f>0.22+0.21+0.31+0.27+0.29</f>
        <v>1.3</v>
      </c>
      <c r="NU29" s="823">
        <v>5</v>
      </c>
      <c r="NV29" s="46">
        <f t="shared" si="383"/>
        <v>384.61538461538458</v>
      </c>
      <c r="NW29" s="46">
        <f t="shared" ref="NW29" si="566">NT29/NU29</f>
        <v>0.26</v>
      </c>
      <c r="NY29" s="910">
        <f>50+50+50+40+40</f>
        <v>230</v>
      </c>
      <c r="NZ29" s="910">
        <f>0.04+0.06+0.06+0.03+0.02</f>
        <v>0.21</v>
      </c>
      <c r="OA29" s="910">
        <v>5</v>
      </c>
      <c r="OB29" s="46">
        <f t="shared" si="384"/>
        <v>1095.2380952380952</v>
      </c>
      <c r="OC29" s="46">
        <f t="shared" ref="OC29" si="567">NZ29/OA29</f>
        <v>4.1999999999999996E-2</v>
      </c>
      <c r="OE29" s="823"/>
      <c r="OF29" s="823"/>
      <c r="OG29" s="823"/>
      <c r="OH29" s="46" t="e">
        <f t="shared" si="385"/>
        <v>#DIV/0!</v>
      </c>
      <c r="OI29" s="46" t="e">
        <f t="shared" ref="OI29" si="568">OF29/OG29</f>
        <v>#DIV/0!</v>
      </c>
    </row>
    <row r="30" spans="1:399" ht="15" thickBot="1">
      <c r="B30" s="717" t="s">
        <v>376</v>
      </c>
      <c r="C30" s="720" t="s">
        <v>375</v>
      </c>
      <c r="D30" s="719" t="s">
        <v>14</v>
      </c>
      <c r="E30" s="45"/>
      <c r="F30" s="45"/>
      <c r="G30" s="46"/>
      <c r="H30" s="48"/>
      <c r="I30" s="48"/>
      <c r="J30" s="30"/>
      <c r="K30" s="45"/>
      <c r="L30" s="45"/>
      <c r="M30" s="46"/>
      <c r="N30" s="48"/>
      <c r="O30" s="48"/>
      <c r="P30" s="30"/>
      <c r="Q30" s="45"/>
      <c r="R30" s="45"/>
      <c r="S30" s="46"/>
      <c r="T30" s="48"/>
      <c r="U30" s="48"/>
      <c r="V30" s="30"/>
      <c r="W30" s="45"/>
      <c r="X30" s="45"/>
      <c r="Y30" s="46"/>
      <c r="Z30" s="48"/>
      <c r="AA30" s="48"/>
      <c r="AB30" s="30"/>
      <c r="AC30" s="45"/>
      <c r="AD30" s="45"/>
      <c r="AE30" s="46"/>
      <c r="AF30" s="48"/>
      <c r="AG30" s="48"/>
      <c r="AH30" s="30"/>
      <c r="AI30" s="45"/>
      <c r="AJ30" s="45"/>
      <c r="AK30" s="46"/>
      <c r="AL30" s="48"/>
      <c r="AM30" s="48"/>
      <c r="AN30" s="30"/>
      <c r="AO30" s="45"/>
      <c r="AP30" s="45"/>
      <c r="AQ30" s="46"/>
      <c r="AR30" s="48"/>
      <c r="AS30" s="48"/>
      <c r="AT30" s="30"/>
      <c r="AU30" s="45"/>
      <c r="AV30" s="45"/>
      <c r="AW30" s="46"/>
      <c r="AX30" s="48"/>
      <c r="AY30" s="48"/>
      <c r="AZ30" s="593"/>
      <c r="BA30" s="45"/>
      <c r="BB30" s="45"/>
      <c r="BC30" s="46"/>
      <c r="BD30" s="34"/>
      <c r="BE30" s="34"/>
      <c r="BF30" s="592"/>
      <c r="BG30" s="45"/>
      <c r="BH30" s="45"/>
      <c r="BI30" s="46"/>
      <c r="BJ30" s="34"/>
      <c r="BK30" s="34"/>
      <c r="BL30" s="592"/>
      <c r="BM30" s="45"/>
      <c r="BN30" s="45"/>
      <c r="BO30" s="46"/>
      <c r="BP30" s="34"/>
      <c r="BQ30" s="34"/>
      <c r="BR30" s="30"/>
      <c r="BS30" s="45"/>
      <c r="BT30" s="45"/>
      <c r="BU30" s="46"/>
      <c r="BV30" s="34"/>
      <c r="BW30" s="34"/>
      <c r="BX30" s="592"/>
      <c r="BY30" s="45"/>
      <c r="BZ30" s="45"/>
      <c r="CA30" s="46"/>
      <c r="CB30" s="34"/>
      <c r="CC30" s="34"/>
      <c r="CD30" s="592"/>
      <c r="CE30" s="45"/>
      <c r="CF30" s="45"/>
      <c r="CG30" s="46"/>
      <c r="CH30" s="34"/>
      <c r="CI30" s="34"/>
      <c r="CJ30" s="592"/>
      <c r="CK30" s="45"/>
      <c r="CL30" s="45"/>
      <c r="CM30" s="46"/>
      <c r="CN30" s="34"/>
      <c r="CO30" s="34"/>
      <c r="CP30" s="592"/>
      <c r="CQ30" s="45"/>
      <c r="CR30" s="45"/>
      <c r="CS30" s="46"/>
      <c r="CT30" s="34"/>
      <c r="CU30" s="34"/>
      <c r="CV30" s="592"/>
      <c r="CW30" s="45"/>
      <c r="CX30" s="45"/>
      <c r="CY30" s="46"/>
      <c r="CZ30" s="34"/>
      <c r="DA30" s="34"/>
      <c r="DB30" s="592"/>
      <c r="DC30" s="45"/>
      <c r="DD30" s="45"/>
      <c r="DE30" s="46"/>
      <c r="DF30" s="34"/>
      <c r="DG30" s="34"/>
      <c r="DH30" s="592"/>
      <c r="DI30" s="45"/>
      <c r="DJ30" s="45"/>
      <c r="DK30" s="46"/>
      <c r="DL30" s="34"/>
      <c r="DM30" s="34"/>
      <c r="DN30" s="592"/>
      <c r="DO30" s="45"/>
      <c r="DP30" s="45"/>
      <c r="DQ30" s="46"/>
      <c r="DR30" s="34"/>
      <c r="DS30" s="34"/>
      <c r="DT30" s="592"/>
      <c r="DU30" s="45"/>
      <c r="DV30" s="45"/>
      <c r="DW30" s="46"/>
      <c r="DX30" s="34"/>
      <c r="DY30" s="34"/>
      <c r="DZ30" s="592"/>
      <c r="EA30" s="45"/>
      <c r="EB30" s="45"/>
      <c r="EC30" s="46"/>
      <c r="ED30" s="34"/>
      <c r="EE30" s="34"/>
      <c r="EF30" s="592"/>
      <c r="EG30" s="45"/>
      <c r="EH30" s="45"/>
      <c r="EI30" s="46"/>
      <c r="EJ30" s="34"/>
      <c r="EK30" s="34"/>
      <c r="EL30" s="592"/>
      <c r="EM30" s="45"/>
      <c r="EN30" s="45"/>
      <c r="EO30" s="46"/>
      <c r="EP30" s="34"/>
      <c r="EQ30" s="34"/>
      <c r="ER30" s="30"/>
      <c r="ES30" s="45"/>
      <c r="ET30" s="45"/>
      <c r="EU30" s="46"/>
      <c r="EV30" s="48"/>
      <c r="EW30" s="48"/>
      <c r="EX30" s="30"/>
      <c r="EY30" s="35"/>
      <c r="EZ30" s="34"/>
      <c r="FA30" s="37"/>
      <c r="FB30" s="34"/>
      <c r="FC30" s="34"/>
      <c r="FE30" s="26"/>
      <c r="FF30" s="28"/>
      <c r="FG30" s="28"/>
      <c r="FH30" s="38"/>
      <c r="FI30" s="39"/>
      <c r="FK30" s="27"/>
      <c r="FL30" s="40"/>
      <c r="FM30" s="27"/>
      <c r="FN30" s="40"/>
      <c r="FO30" s="40"/>
      <c r="FQ30" s="26"/>
      <c r="FR30" s="40"/>
      <c r="FS30" s="27"/>
      <c r="FT30" s="40"/>
      <c r="FU30" s="40"/>
      <c r="FW30" s="26"/>
      <c r="FX30" s="27"/>
      <c r="FY30" s="27"/>
      <c r="FZ30" s="40"/>
      <c r="GA30" s="40"/>
      <c r="GC30" s="26"/>
      <c r="GD30" s="27"/>
      <c r="GE30" s="27"/>
      <c r="GF30" s="40"/>
      <c r="GG30" s="40"/>
      <c r="GI30" s="26"/>
      <c r="GJ30" s="27"/>
      <c r="GK30" s="27"/>
      <c r="GL30" s="40"/>
      <c r="GM30" s="40"/>
      <c r="GO30" s="26"/>
      <c r="GP30" s="40"/>
      <c r="GQ30" s="27"/>
      <c r="GR30" s="40"/>
      <c r="GS30" s="40"/>
      <c r="GU30" s="95"/>
      <c r="GV30" s="99"/>
      <c r="GW30" s="100"/>
      <c r="GX30" s="101"/>
      <c r="GY30" s="101"/>
      <c r="GZ30" s="43"/>
      <c r="HA30" s="26"/>
      <c r="HB30" s="39"/>
      <c r="HC30" s="28"/>
      <c r="HD30" s="106"/>
      <c r="HE30" s="106"/>
      <c r="HG30" s="26"/>
      <c r="HH30" s="40"/>
      <c r="HI30" s="27"/>
      <c r="HJ30" s="34"/>
      <c r="HK30" s="34"/>
      <c r="HM30" s="26"/>
      <c r="HN30" s="45"/>
      <c r="HO30" s="46"/>
      <c r="HP30" s="47"/>
      <c r="HQ30" s="47"/>
      <c r="HS30" s="26"/>
      <c r="HT30" s="45"/>
      <c r="HU30" s="46"/>
      <c r="HV30" s="48"/>
      <c r="HW30" s="48"/>
      <c r="HY30" s="45"/>
      <c r="HZ30" s="45"/>
      <c r="IA30" s="45"/>
      <c r="IB30" s="48"/>
      <c r="IC30" s="48"/>
      <c r="IE30" s="45"/>
      <c r="IF30" s="45"/>
      <c r="IG30" s="45"/>
      <c r="IH30" s="48"/>
      <c r="II30" s="48"/>
      <c r="IK30" s="26"/>
      <c r="IL30" s="48"/>
      <c r="IM30" s="45"/>
      <c r="IN30" s="48"/>
      <c r="IO30" s="48"/>
      <c r="IQ30" s="26"/>
      <c r="IR30" s="48"/>
      <c r="IS30" s="45"/>
      <c r="IT30" s="48"/>
      <c r="IU30" s="48"/>
      <c r="IW30" s="26"/>
      <c r="IX30" s="48"/>
      <c r="IY30" s="45"/>
      <c r="IZ30" s="46"/>
      <c r="JA30" s="46"/>
      <c r="JC30" s="26"/>
      <c r="JD30" s="48"/>
      <c r="JE30" s="45"/>
      <c r="JF30" s="46"/>
      <c r="JG30" s="46"/>
      <c r="JI30" s="26"/>
      <c r="JJ30" s="48"/>
      <c r="JK30" s="45"/>
      <c r="JL30" s="46"/>
      <c r="JM30" s="46"/>
      <c r="JO30" s="733"/>
      <c r="JP30" s="734"/>
      <c r="JQ30" s="735"/>
      <c r="JR30" s="736"/>
      <c r="JS30" s="734"/>
      <c r="JU30" s="733"/>
      <c r="JV30" s="734"/>
      <c r="JW30" s="735"/>
      <c r="JX30" s="736"/>
      <c r="JY30" s="736"/>
      <c r="KA30" s="733"/>
      <c r="KB30" s="734"/>
      <c r="KC30" s="735"/>
      <c r="KD30" s="736"/>
      <c r="KE30" s="736"/>
      <c r="KG30" s="733"/>
      <c r="KH30" s="734"/>
      <c r="KI30" s="735"/>
      <c r="KJ30" s="736"/>
      <c r="KK30" s="736"/>
      <c r="KM30" s="733"/>
      <c r="KN30" s="734"/>
      <c r="KO30" s="735"/>
      <c r="KP30" s="46" t="e">
        <f t="shared" si="369"/>
        <v>#DIV/0!</v>
      </c>
      <c r="KQ30" s="46" t="e">
        <f>KN30/KO30</f>
        <v>#DIV/0!</v>
      </c>
      <c r="KS30" s="733">
        <f>200+200+200+200+200</f>
        <v>1000</v>
      </c>
      <c r="KT30" s="734">
        <f>0.51+0.49+0.52+0.5+0.56</f>
        <v>2.58</v>
      </c>
      <c r="KU30" s="735">
        <v>5</v>
      </c>
      <c r="KV30" s="46">
        <f t="shared" si="370"/>
        <v>387.59689922480618</v>
      </c>
      <c r="KW30" s="46">
        <f>KT30/KU30</f>
        <v>0.51600000000000001</v>
      </c>
      <c r="KY30" s="733"/>
      <c r="KZ30" s="734"/>
      <c r="LA30" s="735"/>
      <c r="LB30" s="46" t="e">
        <f t="shared" si="371"/>
        <v>#DIV/0!</v>
      </c>
      <c r="LC30" s="46" t="e">
        <f>KZ30/LA30</f>
        <v>#DIV/0!</v>
      </c>
      <c r="LE30" s="733"/>
      <c r="LF30" s="734"/>
      <c r="LG30" s="735"/>
      <c r="LH30" s="46" t="e">
        <f t="shared" si="372"/>
        <v>#DIV/0!</v>
      </c>
      <c r="LI30" s="46" t="e">
        <f>LF30/LG30</f>
        <v>#DIV/0!</v>
      </c>
      <c r="LK30" s="733"/>
      <c r="LL30" s="734"/>
      <c r="LM30" s="735"/>
      <c r="LN30" s="46" t="e">
        <f t="shared" si="373"/>
        <v>#DIV/0!</v>
      </c>
      <c r="LO30" s="46" t="e">
        <f>LL30/LM30</f>
        <v>#DIV/0!</v>
      </c>
      <c r="LQ30" s="733"/>
      <c r="LR30" s="734"/>
      <c r="LS30" s="735"/>
      <c r="LT30" s="46" t="e">
        <f t="shared" si="374"/>
        <v>#DIV/0!</v>
      </c>
      <c r="LU30" s="46" t="e">
        <f>LR30/LS30</f>
        <v>#DIV/0!</v>
      </c>
      <c r="LW30" s="733"/>
      <c r="LX30" s="734"/>
      <c r="LY30" s="735"/>
      <c r="LZ30" s="46" t="e">
        <f t="shared" si="375"/>
        <v>#DIV/0!</v>
      </c>
      <c r="MA30" s="46" t="e">
        <f>LX30/LY30</f>
        <v>#DIV/0!</v>
      </c>
      <c r="MC30" s="733">
        <f>150+200+150+150+200</f>
        <v>850</v>
      </c>
      <c r="MD30" s="734">
        <f>0.95+1.03+0.92+0.92+1.09</f>
        <v>4.91</v>
      </c>
      <c r="ME30" s="735">
        <v>5</v>
      </c>
      <c r="MF30" s="46">
        <f t="shared" si="376"/>
        <v>173.11608961303463</v>
      </c>
      <c r="MG30" s="46">
        <f>MD30/ME30</f>
        <v>0.98199999999999998</v>
      </c>
      <c r="MI30" s="733">
        <f>100+100+200+150+100</f>
        <v>650</v>
      </c>
      <c r="MJ30" s="734">
        <f>1.05+1.09+0.93+0.8+1.07</f>
        <v>4.9400000000000004</v>
      </c>
      <c r="MK30" s="735">
        <v>5</v>
      </c>
      <c r="ML30" s="46">
        <f t="shared" si="377"/>
        <v>131.57894736842104</v>
      </c>
      <c r="MM30" s="46">
        <f>MJ30/MK30</f>
        <v>0.9880000000000001</v>
      </c>
      <c r="MO30" s="733"/>
      <c r="MP30" s="734"/>
      <c r="MQ30" s="735"/>
      <c r="MR30" s="46" t="e">
        <f t="shared" si="378"/>
        <v>#DIV/0!</v>
      </c>
      <c r="MS30" s="46" t="e">
        <f>MP30/MQ30</f>
        <v>#DIV/0!</v>
      </c>
      <c r="MU30" s="733"/>
      <c r="MV30" s="734"/>
      <c r="MW30" s="735"/>
      <c r="MX30" s="46" t="e">
        <f t="shared" si="379"/>
        <v>#DIV/0!</v>
      </c>
      <c r="MY30" s="46" t="e">
        <f>MV30/MW30</f>
        <v>#DIV/0!</v>
      </c>
      <c r="NA30" s="823"/>
      <c r="NB30" s="823"/>
      <c r="NC30" s="823"/>
      <c r="ND30" s="46" t="e">
        <f t="shared" si="380"/>
        <v>#DIV/0!</v>
      </c>
      <c r="NE30" s="46" t="e">
        <f>NB30/NC30</f>
        <v>#DIV/0!</v>
      </c>
      <c r="NG30" s="823">
        <f>200+250+100</f>
        <v>550</v>
      </c>
      <c r="NH30" s="823">
        <f>0.7+1.03+0.6</f>
        <v>2.33</v>
      </c>
      <c r="NI30" s="823">
        <v>3</v>
      </c>
      <c r="NJ30" s="46">
        <f t="shared" si="381"/>
        <v>236.05150214592274</v>
      </c>
      <c r="NK30" s="46">
        <f>NH30/NI30</f>
        <v>0.77666666666666673</v>
      </c>
      <c r="NM30" s="823"/>
      <c r="NN30" s="823"/>
      <c r="NO30" s="823"/>
      <c r="NP30" s="46" t="e">
        <f t="shared" si="382"/>
        <v>#DIV/0!</v>
      </c>
      <c r="NQ30" s="46" t="e">
        <f>NN30/NO30</f>
        <v>#DIV/0!</v>
      </c>
      <c r="NS30" s="823"/>
      <c r="NT30" s="823"/>
      <c r="NU30" s="823"/>
      <c r="NV30" s="46" t="e">
        <f t="shared" si="383"/>
        <v>#DIV/0!</v>
      </c>
      <c r="NW30" s="46" t="e">
        <f>NT30/NU30</f>
        <v>#DIV/0!</v>
      </c>
      <c r="NY30" s="910">
        <f>250+250+250+250+250</f>
        <v>1250</v>
      </c>
      <c r="NZ30" s="910">
        <f>1.87+1.62+1.52+1.73+1.68</f>
        <v>8.42</v>
      </c>
      <c r="OA30" s="910">
        <v>5</v>
      </c>
      <c r="OB30" s="46">
        <f t="shared" si="384"/>
        <v>148.45605700712588</v>
      </c>
      <c r="OC30" s="46">
        <f>NZ30/OA30</f>
        <v>1.6839999999999999</v>
      </c>
      <c r="OE30" s="823"/>
      <c r="OF30" s="823"/>
      <c r="OG30" s="823"/>
      <c r="OH30" s="46" t="e">
        <f t="shared" si="385"/>
        <v>#DIV/0!</v>
      </c>
      <c r="OI30" s="46" t="e">
        <f>OF30/OG30</f>
        <v>#DIV/0!</v>
      </c>
    </row>
    <row r="31" spans="1:399" s="30" customFormat="1">
      <c r="B31" s="19" t="s">
        <v>253</v>
      </c>
      <c r="C31" s="41" t="s">
        <v>33</v>
      </c>
      <c r="D31" s="42" t="s">
        <v>14</v>
      </c>
      <c r="E31" s="29"/>
      <c r="F31" s="32"/>
      <c r="G31" s="33"/>
      <c r="H31" s="34"/>
      <c r="I31" s="34"/>
      <c r="K31" s="29"/>
      <c r="L31" s="32"/>
      <c r="M31" s="33"/>
      <c r="N31" s="34"/>
      <c r="O31" s="34"/>
      <c r="Q31" s="29">
        <v>700</v>
      </c>
      <c r="R31" s="32">
        <v>2</v>
      </c>
      <c r="S31" s="33">
        <v>2</v>
      </c>
      <c r="T31" s="48">
        <f>Q31/R31</f>
        <v>350</v>
      </c>
      <c r="U31" s="48">
        <f>R31/S31</f>
        <v>1</v>
      </c>
      <c r="W31" s="29"/>
      <c r="X31" s="32"/>
      <c r="Y31" s="33"/>
      <c r="Z31" s="34"/>
      <c r="AA31" s="34"/>
      <c r="AC31" s="29">
        <f>600+450</f>
        <v>1050</v>
      </c>
      <c r="AD31" s="32">
        <f>1.5+0.9</f>
        <v>2.4</v>
      </c>
      <c r="AE31" s="33">
        <v>2</v>
      </c>
      <c r="AF31" s="48">
        <f>AC31/AD31</f>
        <v>437.5</v>
      </c>
      <c r="AG31" s="48">
        <f>AD31/AE31</f>
        <v>1.2</v>
      </c>
      <c r="AI31" s="29"/>
      <c r="AJ31" s="32"/>
      <c r="AK31" s="33"/>
      <c r="AL31" s="48"/>
      <c r="AM31" s="48"/>
      <c r="AO31" s="29">
        <f>300+300+200+100+100</f>
        <v>1000</v>
      </c>
      <c r="AP31" s="32">
        <f>1.26+1.46+0.77+0.82+0.88</f>
        <v>5.1899999999999995</v>
      </c>
      <c r="AQ31" s="33">
        <v>5</v>
      </c>
      <c r="AR31" s="48">
        <f t="shared" si="495"/>
        <v>192.67822736030831</v>
      </c>
      <c r="AS31" s="48">
        <f t="shared" si="496"/>
        <v>1.0379999999999998</v>
      </c>
      <c r="AU31" s="29">
        <f>250+200+100+50+150</f>
        <v>750</v>
      </c>
      <c r="AV31" s="32">
        <f>1.9+1.91+1.66+0.69+1.43</f>
        <v>7.59</v>
      </c>
      <c r="AW31" s="33">
        <v>5</v>
      </c>
      <c r="AX31" s="48">
        <f t="shared" si="497"/>
        <v>98.814229249011859</v>
      </c>
      <c r="AY31" s="48">
        <f t="shared" si="498"/>
        <v>1.518</v>
      </c>
      <c r="AZ31" s="593"/>
      <c r="BA31" s="29">
        <f>300+350+150+150+150</f>
        <v>1100</v>
      </c>
      <c r="BB31" s="32">
        <f>3.34+4.44+1.41+1.4+1.34</f>
        <v>11.93</v>
      </c>
      <c r="BC31" s="33">
        <v>5</v>
      </c>
      <c r="BD31" s="48">
        <f t="shared" ref="BD31:BD41" si="569">BA31/BB31</f>
        <v>92.204526404023468</v>
      </c>
      <c r="BE31" s="48">
        <f t="shared" ref="BE31:BE51" si="570">BB31/BC31</f>
        <v>2.3860000000000001</v>
      </c>
      <c r="BF31" s="593"/>
      <c r="BG31" s="29"/>
      <c r="BH31" s="32"/>
      <c r="BI31" s="33"/>
      <c r="BJ31" s="48"/>
      <c r="BK31" s="48"/>
      <c r="BL31" s="593"/>
      <c r="BM31" s="29"/>
      <c r="BN31" s="32"/>
      <c r="BO31" s="33"/>
      <c r="BP31" s="48"/>
      <c r="BQ31" s="48"/>
      <c r="BS31" s="29">
        <f>500+500+400+400+300</f>
        <v>2100</v>
      </c>
      <c r="BT31" s="32">
        <f>2.11+2.12+1.88+1.77+1.75</f>
        <v>9.6300000000000008</v>
      </c>
      <c r="BU31" s="33">
        <v>5</v>
      </c>
      <c r="BV31" s="48">
        <f t="shared" si="523"/>
        <v>218.06853582554515</v>
      </c>
      <c r="BW31" s="48">
        <f t="shared" si="524"/>
        <v>1.9260000000000002</v>
      </c>
      <c r="BX31" s="593"/>
      <c r="BY31" s="29">
        <f>350+450+500+150+50</f>
        <v>1500</v>
      </c>
      <c r="BZ31" s="32">
        <f>2.1+1.9+1.8+1.5+0.5</f>
        <v>7.8</v>
      </c>
      <c r="CA31" s="33">
        <v>5</v>
      </c>
      <c r="CB31" s="48">
        <f t="shared" si="450"/>
        <v>192.30769230769232</v>
      </c>
      <c r="CC31" s="48">
        <f t="shared" si="451"/>
        <v>1.56</v>
      </c>
      <c r="CD31" s="593"/>
      <c r="CE31" s="29"/>
      <c r="CF31" s="32"/>
      <c r="CG31" s="33"/>
      <c r="CH31" s="48"/>
      <c r="CI31" s="48"/>
      <c r="CJ31" s="593"/>
      <c r="CK31" s="29"/>
      <c r="CL31" s="32"/>
      <c r="CM31" s="33"/>
      <c r="CN31" s="48"/>
      <c r="CO31" s="48"/>
      <c r="CP31" s="593"/>
      <c r="CQ31" s="29"/>
      <c r="CR31" s="32"/>
      <c r="CS31" s="33"/>
      <c r="CT31" s="48"/>
      <c r="CU31" s="48"/>
      <c r="CV31" s="593"/>
      <c r="CW31" s="29">
        <f>350+450+500+150+50</f>
        <v>1500</v>
      </c>
      <c r="CX31" s="32">
        <f>2.1+1.9+1.8+1.5+0.5</f>
        <v>7.8</v>
      </c>
      <c r="CY31" s="33">
        <v>5</v>
      </c>
      <c r="CZ31" s="48">
        <f t="shared" ref="CZ31" si="571">CW31/CX31</f>
        <v>192.30769230769232</v>
      </c>
      <c r="DA31" s="48">
        <f t="shared" ref="DA31" si="572">CX31/CY31</f>
        <v>1.56</v>
      </c>
      <c r="DB31" s="593"/>
      <c r="DC31" s="29">
        <f>100+200+300+500+150</f>
        <v>1250</v>
      </c>
      <c r="DD31" s="32">
        <f>0.43+0.49+0.62+0.77+0.46</f>
        <v>2.77</v>
      </c>
      <c r="DE31" s="33">
        <v>5</v>
      </c>
      <c r="DF31" s="34">
        <f t="shared" ref="DF31" si="573">DC31/DD31</f>
        <v>451.26353790613717</v>
      </c>
      <c r="DG31" s="34">
        <f t="shared" ref="DG31" si="574">DD31/DE31</f>
        <v>0.55400000000000005</v>
      </c>
      <c r="DH31" s="593"/>
      <c r="DI31" s="29">
        <v>900</v>
      </c>
      <c r="DJ31" s="32">
        <v>19.59</v>
      </c>
      <c r="DK31" s="33">
        <v>5</v>
      </c>
      <c r="DL31" s="48">
        <f t="shared" ref="DL31" si="575">DI31/DJ31</f>
        <v>45.94180704441041</v>
      </c>
      <c r="DM31" s="48">
        <f t="shared" ref="DM31" si="576">DJ31/DK31</f>
        <v>3.9180000000000001</v>
      </c>
      <c r="DN31" s="593"/>
      <c r="DO31" s="29">
        <v>900</v>
      </c>
      <c r="DP31" s="32">
        <v>7.41</v>
      </c>
      <c r="DQ31" s="33">
        <v>5</v>
      </c>
      <c r="DR31" s="48">
        <f t="shared" ref="DR31" si="577">DO31/DP31</f>
        <v>121.4574898785425</v>
      </c>
      <c r="DS31" s="48">
        <f t="shared" ref="DS31" si="578">DP31/DQ31</f>
        <v>1.482</v>
      </c>
      <c r="DT31" s="593"/>
      <c r="DU31" s="29"/>
      <c r="DV31" s="32"/>
      <c r="DW31" s="33"/>
      <c r="DX31" s="48"/>
      <c r="DY31" s="48"/>
      <c r="DZ31" s="593"/>
      <c r="EA31" s="29"/>
      <c r="EB31" s="32"/>
      <c r="EC31" s="33"/>
      <c r="ED31" s="48"/>
      <c r="EE31" s="48"/>
      <c r="EF31" s="593"/>
      <c r="EG31" s="29"/>
      <c r="EH31" s="32"/>
      <c r="EI31" s="33"/>
      <c r="EJ31" s="48"/>
      <c r="EK31" s="48"/>
      <c r="EL31" s="593"/>
      <c r="EM31" s="29"/>
      <c r="EN31" s="32"/>
      <c r="EO31" s="33"/>
      <c r="EP31" s="48"/>
      <c r="EQ31" s="48"/>
      <c r="ES31" s="29">
        <f>350+450+500+150+50</f>
        <v>1500</v>
      </c>
      <c r="ET31" s="32">
        <f>2.1+1.9+1.8+1.5+0.5</f>
        <v>7.8</v>
      </c>
      <c r="EU31" s="33">
        <v>5</v>
      </c>
      <c r="EV31" s="34">
        <f>ES31/ET31</f>
        <v>192.30769230769232</v>
      </c>
      <c r="EW31" s="34">
        <f t="shared" si="18"/>
        <v>1.56</v>
      </c>
      <c r="EY31" s="35"/>
      <c r="EZ31" s="34"/>
      <c r="FA31" s="37"/>
      <c r="FB31" s="34"/>
      <c r="FC31" s="34"/>
      <c r="FE31" s="31"/>
      <c r="FF31" s="32"/>
      <c r="FG31" s="33"/>
      <c r="FH31" s="37"/>
      <c r="FI31" s="36"/>
      <c r="FK31" s="32"/>
      <c r="FL31" s="34"/>
      <c r="FM31" s="32"/>
      <c r="FN31" s="34"/>
      <c r="FO31" s="34"/>
      <c r="FQ31" s="31"/>
      <c r="FR31" s="34"/>
      <c r="FS31" s="32"/>
      <c r="FT31" s="34"/>
      <c r="FU31" s="34"/>
      <c r="FW31" s="31">
        <f>400+100+200+500+400</f>
        <v>1600</v>
      </c>
      <c r="FX31" s="32">
        <f>1.59+0.35+0.76+1.93+1.46</f>
        <v>6.09</v>
      </c>
      <c r="FY31" s="32">
        <f>5</f>
        <v>5</v>
      </c>
      <c r="FZ31" s="34">
        <f t="shared" si="20"/>
        <v>262.72577996715927</v>
      </c>
      <c r="GA31" s="34">
        <f t="shared" si="20"/>
        <v>1.218</v>
      </c>
      <c r="GC31" s="31">
        <f>300+300+150+150+150</f>
        <v>1050</v>
      </c>
      <c r="GD31" s="32">
        <f>1.87+2.03+0.96+0.96+0.84</f>
        <v>6.6599999999999993</v>
      </c>
      <c r="GE31" s="32">
        <f>5</f>
        <v>5</v>
      </c>
      <c r="GF31" s="34">
        <f t="shared" si="21"/>
        <v>157.65765765765767</v>
      </c>
      <c r="GG31" s="34">
        <f t="shared" si="21"/>
        <v>1.3319999999999999</v>
      </c>
      <c r="GI31" s="31">
        <f>300+300+400+400+300</f>
        <v>1700</v>
      </c>
      <c r="GJ31" s="32">
        <f>2.26+2.06+3.47+2.35+1.96</f>
        <v>12.100000000000001</v>
      </c>
      <c r="GK31" s="32">
        <f>5</f>
        <v>5</v>
      </c>
      <c r="GL31" s="34">
        <f t="shared" si="22"/>
        <v>140.49586776859502</v>
      </c>
      <c r="GM31" s="34">
        <f t="shared" si="22"/>
        <v>2.4200000000000004</v>
      </c>
      <c r="GO31" s="31">
        <f>150+150+200+200+150</f>
        <v>850</v>
      </c>
      <c r="GP31" s="34">
        <f>0.45+0.45+0.65+0.65+0.45</f>
        <v>2.6500000000000004</v>
      </c>
      <c r="GQ31" s="32">
        <f>5</f>
        <v>5</v>
      </c>
      <c r="GR31" s="34">
        <f t="shared" si="98"/>
        <v>320.75471698113205</v>
      </c>
      <c r="GS31" s="34">
        <f t="shared" si="98"/>
        <v>0.53</v>
      </c>
      <c r="GU31" s="29">
        <f>100+150+40+150+150</f>
        <v>590</v>
      </c>
      <c r="GV31" s="102">
        <f>0.88+1.57+0.06+0.3+1.4</f>
        <v>4.21</v>
      </c>
      <c r="GW31" s="103">
        <v>5</v>
      </c>
      <c r="GX31" s="104">
        <f t="shared" si="23"/>
        <v>140.14251781472683</v>
      </c>
      <c r="GY31" s="104">
        <f t="shared" si="23"/>
        <v>0.84199999999999997</v>
      </c>
      <c r="GZ31" s="44"/>
      <c r="HA31" s="26">
        <f>150+50+40+200+30</f>
        <v>470</v>
      </c>
      <c r="HB31" s="39">
        <f>4.45+1+0.9+2.9+0.75</f>
        <v>10</v>
      </c>
      <c r="HC31" s="28">
        <v>5</v>
      </c>
      <c r="HD31" s="106">
        <f t="shared" si="24"/>
        <v>47</v>
      </c>
      <c r="HE31" s="106">
        <f t="shared" si="24"/>
        <v>2</v>
      </c>
      <c r="HG31" s="31">
        <f>250+200+150+100+200</f>
        <v>900</v>
      </c>
      <c r="HH31" s="34">
        <f>1.53+1.16+1.02+0.94+1.33</f>
        <v>5.98</v>
      </c>
      <c r="HI31" s="32">
        <f>5</f>
        <v>5</v>
      </c>
      <c r="HJ31" s="34">
        <f t="shared" si="25"/>
        <v>150.50167224080266</v>
      </c>
      <c r="HK31" s="34">
        <f t="shared" si="25"/>
        <v>1.1960000000000002</v>
      </c>
      <c r="HM31" s="26">
        <f>250+200+150+100+200</f>
        <v>900</v>
      </c>
      <c r="HN31" s="45">
        <f>1.53+1.16+1.02+0.94+1.33</f>
        <v>5.98</v>
      </c>
      <c r="HO31" s="46">
        <f>5</f>
        <v>5</v>
      </c>
      <c r="HP31" s="47"/>
      <c r="HQ31" s="47"/>
      <c r="HS31" s="26"/>
      <c r="HT31" s="45"/>
      <c r="HU31" s="46"/>
      <c r="HV31" s="48"/>
      <c r="HW31" s="48"/>
      <c r="HY31" s="45"/>
      <c r="HZ31" s="45"/>
      <c r="IA31" s="45"/>
      <c r="IB31" s="48"/>
      <c r="IC31" s="48"/>
      <c r="IE31" s="45"/>
      <c r="IF31" s="45"/>
      <c r="IG31" s="45"/>
      <c r="IH31" s="48"/>
      <c r="II31" s="48"/>
      <c r="IK31" s="26">
        <f>300+300+250+250+200</f>
        <v>1300</v>
      </c>
      <c r="IL31" s="48">
        <f>0.85+0.76+0.72+0.79+0.57</f>
        <v>3.69</v>
      </c>
      <c r="IM31" s="45">
        <f>5</f>
        <v>5</v>
      </c>
      <c r="IN31" s="48">
        <f t="shared" si="28"/>
        <v>352.30352303523034</v>
      </c>
      <c r="IO31" s="48">
        <f t="shared" si="28"/>
        <v>0.73799999999999999</v>
      </c>
      <c r="IQ31" s="26">
        <f>500+500+500+500+500</f>
        <v>2500</v>
      </c>
      <c r="IR31" s="48">
        <f>1.26+1.17+0.96+1.14+0.87</f>
        <v>5.3999999999999995</v>
      </c>
      <c r="IS31" s="45">
        <v>5</v>
      </c>
      <c r="IT31" s="48">
        <f t="shared" si="432"/>
        <v>462.96296296296299</v>
      </c>
      <c r="IU31" s="48">
        <f t="shared" si="433"/>
        <v>1.0799999999999998</v>
      </c>
      <c r="IW31" s="26">
        <f>250+250+300+200+250</f>
        <v>1250</v>
      </c>
      <c r="IX31" s="48">
        <f>1.44+1.19+1.55+1.31+1.79</f>
        <v>7.28</v>
      </c>
      <c r="IY31" s="45">
        <v>5</v>
      </c>
      <c r="IZ31" s="46">
        <f t="shared" si="434"/>
        <v>171.7032967032967</v>
      </c>
      <c r="JA31" s="46">
        <f t="shared" si="435"/>
        <v>1.456</v>
      </c>
      <c r="JC31" s="26">
        <f>150+200+100+100+50</f>
        <v>600</v>
      </c>
      <c r="JD31" s="48">
        <f>1.86+1.83+0.93+0.96+0.91</f>
        <v>6.49</v>
      </c>
      <c r="JE31" s="45">
        <v>5</v>
      </c>
      <c r="JF31" s="46">
        <f t="shared" si="444"/>
        <v>92.449922958397536</v>
      </c>
      <c r="JG31" s="46">
        <f t="shared" si="445"/>
        <v>1.298</v>
      </c>
      <c r="JI31" s="26">
        <f>250+200+150+200+150</f>
        <v>950</v>
      </c>
      <c r="JJ31" s="48">
        <f>2.41+2+1.56+2.18+1.86</f>
        <v>10.01</v>
      </c>
      <c r="JK31" s="45">
        <v>5</v>
      </c>
      <c r="JL31" s="46">
        <f t="shared" si="436"/>
        <v>94.905094905094913</v>
      </c>
      <c r="JM31" s="46">
        <f t="shared" si="437"/>
        <v>2.0019999999999998</v>
      </c>
      <c r="JO31" s="26">
        <f>250+150+200+50+100</f>
        <v>750</v>
      </c>
      <c r="JP31" s="48">
        <f>2.13+1.52+2.03+1.21+1.57</f>
        <v>8.4599999999999991</v>
      </c>
      <c r="JQ31" s="45">
        <v>5</v>
      </c>
      <c r="JR31" s="46">
        <f t="shared" si="438"/>
        <v>88.652482269503551</v>
      </c>
      <c r="JS31" s="46">
        <f t="shared" si="439"/>
        <v>1.6919999999999997</v>
      </c>
      <c r="JU31" s="745">
        <f>50+100+150+200+200</f>
        <v>700</v>
      </c>
      <c r="JV31" s="48">
        <f>0.79+1.06+1.13+1.43+1.6</f>
        <v>6.01</v>
      </c>
      <c r="JW31" s="45">
        <v>5</v>
      </c>
      <c r="JX31" s="46">
        <f t="shared" ref="JX31:JX38" si="579">JU31/JV31</f>
        <v>116.47254575707156</v>
      </c>
      <c r="JY31" s="46">
        <f t="shared" ref="JY31:JY38" si="580">JV31/JW31</f>
        <v>1.202</v>
      </c>
      <c r="KA31" s="745">
        <f>300+200+500+250+100</f>
        <v>1350</v>
      </c>
      <c r="KB31" s="48">
        <f>1.67+0.89+1.58+1.21+1.1</f>
        <v>6.4500000000000011</v>
      </c>
      <c r="KC31" s="45">
        <v>5</v>
      </c>
      <c r="KD31" s="46">
        <f t="shared" ref="KD31:KD33" si="581">KA31/KB31</f>
        <v>209.30232558139531</v>
      </c>
      <c r="KE31" s="46">
        <f t="shared" ref="KE31:KE33" si="582">KB31/KC31</f>
        <v>1.2900000000000003</v>
      </c>
      <c r="KG31" s="745">
        <f>150+300+250+150+250</f>
        <v>1100</v>
      </c>
      <c r="KH31" s="48">
        <f>0.54+0.75+0.89+0.64+0.9</f>
        <v>3.72</v>
      </c>
      <c r="KI31" s="45">
        <v>5</v>
      </c>
      <c r="KJ31" s="46">
        <f t="shared" ref="KJ31:KJ35" si="583">KG31/KH31</f>
        <v>295.69892473118279</v>
      </c>
      <c r="KK31" s="46">
        <f t="shared" ref="KK31:KK36" si="584">KH31/KI31</f>
        <v>0.74399999999999999</v>
      </c>
      <c r="KM31" s="782">
        <f>300+500+500+600+600</f>
        <v>2500</v>
      </c>
      <c r="KN31" s="48">
        <f>0.39+0.87+0.71+1.08+1.06</f>
        <v>4.1099999999999994</v>
      </c>
      <c r="KO31" s="45">
        <v>5</v>
      </c>
      <c r="KP31" s="46">
        <f t="shared" si="369"/>
        <v>608.27250608272516</v>
      </c>
      <c r="KQ31" s="46">
        <f t="shared" ref="KQ31:KQ36" si="585">KN31/KO31</f>
        <v>0.82199999999999984</v>
      </c>
      <c r="KS31" s="745"/>
      <c r="KT31" s="48"/>
      <c r="KU31" s="45"/>
      <c r="KV31" s="46" t="e">
        <f t="shared" si="370"/>
        <v>#DIV/0!</v>
      </c>
      <c r="KW31" s="46" t="e">
        <f t="shared" ref="KW31" si="586">KT31/KU31</f>
        <v>#DIV/0!</v>
      </c>
      <c r="KY31" s="745"/>
      <c r="KZ31" s="48"/>
      <c r="LA31" s="45"/>
      <c r="LB31" s="46" t="e">
        <f t="shared" si="371"/>
        <v>#DIV/0!</v>
      </c>
      <c r="LC31" s="46" t="e">
        <f t="shared" ref="LC31" si="587">KZ31/LA31</f>
        <v>#DIV/0!</v>
      </c>
      <c r="LE31" s="745"/>
      <c r="LF31" s="48"/>
      <c r="LG31" s="45"/>
      <c r="LH31" s="46" t="e">
        <f t="shared" si="372"/>
        <v>#DIV/0!</v>
      </c>
      <c r="LI31" s="46" t="e">
        <f t="shared" ref="LI31" si="588">LF31/LG31</f>
        <v>#DIV/0!</v>
      </c>
      <c r="LK31" s="745">
        <f>500+500+300+300+300</f>
        <v>1900</v>
      </c>
      <c r="LL31" s="48">
        <f>1.23+1.8+0.98+0.84+0.83</f>
        <v>5.68</v>
      </c>
      <c r="LM31" s="45">
        <v>5</v>
      </c>
      <c r="LN31" s="46">
        <f t="shared" si="373"/>
        <v>334.50704225352115</v>
      </c>
      <c r="LO31" s="46">
        <f t="shared" ref="LO31" si="589">LL31/LM31</f>
        <v>1.1359999999999999</v>
      </c>
      <c r="LQ31" s="745">
        <f>200+200+200+300+300</f>
        <v>1200</v>
      </c>
      <c r="LR31" s="48">
        <f>3.36+3.36+3.36+2.9+2.9</f>
        <v>15.88</v>
      </c>
      <c r="LS31" s="45">
        <v>5</v>
      </c>
      <c r="LT31" s="46">
        <f t="shared" si="374"/>
        <v>75.566750629722918</v>
      </c>
      <c r="LU31" s="46">
        <f t="shared" ref="LU31" si="590">LR31/LS31</f>
        <v>3.1760000000000002</v>
      </c>
      <c r="LW31" s="745">
        <f>150+150+200+200+100</f>
        <v>800</v>
      </c>
      <c r="LX31" s="48">
        <f>1+0.62+1.17+1.34+0.82</f>
        <v>4.95</v>
      </c>
      <c r="LY31" s="45">
        <v>5</v>
      </c>
      <c r="LZ31" s="46">
        <f t="shared" si="375"/>
        <v>161.61616161616161</v>
      </c>
      <c r="MA31" s="46">
        <f t="shared" ref="MA31" si="591">LX31/LY31</f>
        <v>0.99</v>
      </c>
      <c r="MC31" s="745">
        <f>150+100+50+50+100</f>
        <v>450</v>
      </c>
      <c r="MD31" s="48">
        <f>1.58+0.9+0.91+0.77+1.1</f>
        <v>5.26</v>
      </c>
      <c r="ME31" s="45">
        <v>5</v>
      </c>
      <c r="MF31" s="46">
        <f t="shared" si="376"/>
        <v>85.551330798479086</v>
      </c>
      <c r="MG31" s="46">
        <f t="shared" ref="MG31" si="592">MD31/ME31</f>
        <v>1.052</v>
      </c>
      <c r="MI31" s="745">
        <f>150+150+200+200+300</f>
        <v>1000</v>
      </c>
      <c r="MJ31" s="48">
        <f>1.24+1.23+1.86+1.74+2.99</f>
        <v>9.06</v>
      </c>
      <c r="MK31" s="45">
        <v>5</v>
      </c>
      <c r="ML31" s="46">
        <f t="shared" si="377"/>
        <v>110.37527593818984</v>
      </c>
      <c r="MM31" s="46">
        <f t="shared" ref="MM31" si="593">MJ31/MK31</f>
        <v>1.8120000000000001</v>
      </c>
      <c r="MO31" s="745"/>
      <c r="MP31" s="48"/>
      <c r="MQ31" s="45"/>
      <c r="MR31" s="46" t="e">
        <f t="shared" si="378"/>
        <v>#DIV/0!</v>
      </c>
      <c r="MS31" s="46" t="e">
        <f t="shared" ref="MS31" si="594">MP31/MQ31</f>
        <v>#DIV/0!</v>
      </c>
      <c r="MU31" s="745"/>
      <c r="MV31" s="48"/>
      <c r="MW31" s="45"/>
      <c r="MX31" s="46" t="e">
        <f t="shared" si="379"/>
        <v>#DIV/0!</v>
      </c>
      <c r="MY31" s="46" t="e">
        <f t="shared" ref="MY31" si="595">MV31/MW31</f>
        <v>#DIV/0!</v>
      </c>
      <c r="NA31" s="823">
        <f>400+400+300+300+100</f>
        <v>1500</v>
      </c>
      <c r="NB31" s="823">
        <f>0.71+0.93+0.53+0.65+0.21</f>
        <v>3.03</v>
      </c>
      <c r="NC31" s="823">
        <v>5</v>
      </c>
      <c r="ND31" s="46">
        <f t="shared" si="380"/>
        <v>495.04950495049508</v>
      </c>
      <c r="NE31" s="46">
        <f t="shared" ref="NE31" si="596">NB31/NC31</f>
        <v>0.60599999999999998</v>
      </c>
      <c r="NG31" s="823"/>
      <c r="NH31" s="823"/>
      <c r="NI31" s="823"/>
      <c r="NJ31" s="46" t="e">
        <f t="shared" si="381"/>
        <v>#DIV/0!</v>
      </c>
      <c r="NK31" s="46" t="e">
        <f t="shared" ref="NK31" si="597">NH31/NI31</f>
        <v>#DIV/0!</v>
      </c>
      <c r="NM31" s="823"/>
      <c r="NN31" s="823"/>
      <c r="NO31" s="823"/>
      <c r="NP31" s="46" t="e">
        <f t="shared" si="382"/>
        <v>#DIV/0!</v>
      </c>
      <c r="NQ31" s="46" t="e">
        <f t="shared" ref="NQ31" si="598">NN31/NO31</f>
        <v>#DIV/0!</v>
      </c>
      <c r="NS31" s="823"/>
      <c r="NT31" s="823"/>
      <c r="NU31" s="823"/>
      <c r="NV31" s="46" t="e">
        <f t="shared" si="383"/>
        <v>#DIV/0!</v>
      </c>
      <c r="NW31" s="46" t="e">
        <f t="shared" ref="NW31" si="599">NT31/NU31</f>
        <v>#DIV/0!</v>
      </c>
      <c r="NY31" s="910"/>
      <c r="NZ31" s="910"/>
      <c r="OA31" s="910"/>
      <c r="OB31" s="46" t="e">
        <f t="shared" si="384"/>
        <v>#DIV/0!</v>
      </c>
      <c r="OC31" s="46" t="e">
        <f t="shared" ref="OC31" si="600">NZ31/OA31</f>
        <v>#DIV/0!</v>
      </c>
      <c r="OE31" s="823"/>
      <c r="OF31" s="823"/>
      <c r="OG31" s="823"/>
      <c r="OH31" s="46" t="e">
        <f t="shared" si="385"/>
        <v>#DIV/0!</v>
      </c>
      <c r="OI31" s="46" t="e">
        <f t="shared" ref="OI31" si="601">OF31/OG31</f>
        <v>#DIV/0!</v>
      </c>
    </row>
    <row r="32" spans="1:399">
      <c r="B32" s="20"/>
      <c r="C32" s="21" t="s">
        <v>34</v>
      </c>
      <c r="D32" s="13" t="s">
        <v>14</v>
      </c>
      <c r="E32" s="26"/>
      <c r="F32" s="27"/>
      <c r="G32" s="27"/>
      <c r="H32" s="34"/>
      <c r="I32" s="34"/>
      <c r="J32" s="30"/>
      <c r="K32" s="26"/>
      <c r="L32" s="27"/>
      <c r="M32" s="27"/>
      <c r="N32" s="34"/>
      <c r="O32" s="34"/>
      <c r="P32" s="30"/>
      <c r="Q32" s="26"/>
      <c r="R32" s="27"/>
      <c r="S32" s="27"/>
      <c r="T32" s="34"/>
      <c r="U32" s="34"/>
      <c r="V32" s="30"/>
      <c r="W32" s="26"/>
      <c r="X32" s="27"/>
      <c r="Y32" s="27"/>
      <c r="Z32" s="34"/>
      <c r="AA32" s="34"/>
      <c r="AB32" s="30"/>
      <c r="AC32" s="26"/>
      <c r="AD32" s="27"/>
      <c r="AE32" s="27"/>
      <c r="AF32" s="34"/>
      <c r="AG32" s="34"/>
      <c r="AH32" s="30"/>
      <c r="AI32" s="26"/>
      <c r="AJ32" s="27"/>
      <c r="AK32" s="27"/>
      <c r="AL32" s="34"/>
      <c r="AM32" s="34"/>
      <c r="AN32" s="30"/>
      <c r="AO32" s="26">
        <f>100+300+300+300+300</f>
        <v>1300</v>
      </c>
      <c r="AP32" s="27">
        <f>0.46+0.72+0.63+0.7+0.71</f>
        <v>3.2199999999999998</v>
      </c>
      <c r="AQ32" s="27">
        <v>5</v>
      </c>
      <c r="AR32" s="48">
        <f t="shared" ref="AR32:AR33" si="602">AO32/AP32</f>
        <v>403.7267080745342</v>
      </c>
      <c r="AS32" s="48">
        <f t="shared" ref="AS32:AS33" si="603">AP32/AQ32</f>
        <v>0.64399999999999991</v>
      </c>
      <c r="AT32" s="30"/>
      <c r="AU32" s="26">
        <f>300+300+300+200+200</f>
        <v>1300</v>
      </c>
      <c r="AV32" s="27">
        <f>1+0.86+0.87+0.71+1.8</f>
        <v>5.24</v>
      </c>
      <c r="AW32" s="27">
        <v>5</v>
      </c>
      <c r="AX32" s="48">
        <f t="shared" si="497"/>
        <v>248.09160305343511</v>
      </c>
      <c r="AY32" s="48">
        <f t="shared" si="498"/>
        <v>1.048</v>
      </c>
      <c r="AZ32" s="593"/>
      <c r="BA32" s="26">
        <f>300+300+300+200+200</f>
        <v>1300</v>
      </c>
      <c r="BB32" s="27">
        <f>1.05+1.27+1.05+0.71+0.78</f>
        <v>4.8600000000000003</v>
      </c>
      <c r="BC32" s="27">
        <v>5</v>
      </c>
      <c r="BD32" s="48">
        <f t="shared" si="569"/>
        <v>267.48971193415639</v>
      </c>
      <c r="BE32" s="48">
        <f t="shared" si="570"/>
        <v>0.97200000000000009</v>
      </c>
      <c r="BF32" s="593"/>
      <c r="BG32" s="26"/>
      <c r="BH32" s="27"/>
      <c r="BI32" s="27"/>
      <c r="BJ32" s="48"/>
      <c r="BK32" s="48"/>
      <c r="BL32" s="593"/>
      <c r="BM32" s="26"/>
      <c r="BN32" s="27"/>
      <c r="BO32" s="27"/>
      <c r="BP32" s="48"/>
      <c r="BQ32" s="48"/>
      <c r="BR32" s="30"/>
      <c r="BS32" s="26">
        <f>300+200+300+300+200</f>
        <v>1300</v>
      </c>
      <c r="BT32" s="27">
        <f>1.25+1.02+1.02+1.22+1.04</f>
        <v>5.55</v>
      </c>
      <c r="BU32" s="27">
        <v>5</v>
      </c>
      <c r="BV32" s="48">
        <f t="shared" si="523"/>
        <v>234.23423423423424</v>
      </c>
      <c r="BW32" s="48">
        <f t="shared" si="524"/>
        <v>1.1099999999999999</v>
      </c>
      <c r="BX32" s="593"/>
      <c r="BY32" s="26"/>
      <c r="BZ32" s="27"/>
      <c r="CA32" s="27"/>
      <c r="CB32" s="48"/>
      <c r="CC32" s="48"/>
      <c r="CD32" s="593"/>
      <c r="CE32" s="26"/>
      <c r="CF32" s="27"/>
      <c r="CG32" s="27"/>
      <c r="CH32" s="48"/>
      <c r="CI32" s="48"/>
      <c r="CJ32" s="593"/>
      <c r="CK32" s="26"/>
      <c r="CL32" s="27"/>
      <c r="CM32" s="27"/>
      <c r="CN32" s="48"/>
      <c r="CO32" s="48"/>
      <c r="CP32" s="593"/>
      <c r="CQ32" s="26"/>
      <c r="CR32" s="27"/>
      <c r="CS32" s="27"/>
      <c r="CT32" s="48"/>
      <c r="CU32" s="48"/>
      <c r="CV32" s="593"/>
      <c r="CW32" s="26"/>
      <c r="CX32" s="27"/>
      <c r="CY32" s="27"/>
      <c r="CZ32" s="48"/>
      <c r="DA32" s="48"/>
      <c r="DB32" s="593"/>
      <c r="DC32" s="26"/>
      <c r="DD32" s="27"/>
      <c r="DE32" s="27"/>
      <c r="DF32" s="48"/>
      <c r="DG32" s="48"/>
      <c r="DH32" s="593"/>
      <c r="DI32" s="26"/>
      <c r="DJ32" s="27"/>
      <c r="DK32" s="27"/>
      <c r="DL32" s="48"/>
      <c r="DM32" s="48"/>
      <c r="DN32" s="593"/>
      <c r="DO32" s="26"/>
      <c r="DP32" s="27"/>
      <c r="DQ32" s="27"/>
      <c r="DR32" s="48"/>
      <c r="DS32" s="48"/>
      <c r="DT32" s="593"/>
      <c r="DU32" s="26"/>
      <c r="DV32" s="27"/>
      <c r="DW32" s="27"/>
      <c r="DX32" s="48"/>
      <c r="DY32" s="48"/>
      <c r="DZ32" s="593"/>
      <c r="EA32" s="26"/>
      <c r="EB32" s="27"/>
      <c r="EC32" s="27"/>
      <c r="ED32" s="48"/>
      <c r="EE32" s="48"/>
      <c r="EF32" s="593"/>
      <c r="EG32" s="26"/>
      <c r="EH32" s="27"/>
      <c r="EI32" s="27"/>
      <c r="EJ32" s="48"/>
      <c r="EK32" s="48"/>
      <c r="EL32" s="593"/>
      <c r="EM32" s="26"/>
      <c r="EN32" s="27"/>
      <c r="EO32" s="27"/>
      <c r="EP32" s="48"/>
      <c r="EQ32" s="48"/>
      <c r="ER32" s="30"/>
      <c r="ES32" s="26">
        <f>400+200+200+300+100</f>
        <v>1200</v>
      </c>
      <c r="ET32" s="27">
        <f>1.01+0.78+0.66+0.81+0.53</f>
        <v>3.79</v>
      </c>
      <c r="EU32" s="27">
        <v>5</v>
      </c>
      <c r="EV32" s="34">
        <f>ES32/ET32</f>
        <v>316.62269129287597</v>
      </c>
      <c r="EW32" s="34">
        <f>ET32/EU32</f>
        <v>0.75800000000000001</v>
      </c>
      <c r="EX32" s="30"/>
      <c r="EY32" s="35"/>
      <c r="EZ32" s="34"/>
      <c r="FA32" s="37"/>
      <c r="FB32" s="34"/>
      <c r="FC32" s="34"/>
      <c r="FE32" s="26"/>
      <c r="FF32" s="27"/>
      <c r="FG32" s="28"/>
      <c r="FH32" s="38"/>
      <c r="FI32" s="39"/>
      <c r="FK32" s="27"/>
      <c r="FL32" s="40"/>
      <c r="FM32" s="27"/>
      <c r="FN32" s="40"/>
      <c r="FO32" s="40"/>
      <c r="FQ32" s="31"/>
      <c r="FR32" s="34"/>
      <c r="FS32" s="32"/>
      <c r="FT32" s="34"/>
      <c r="FU32" s="34"/>
      <c r="FW32" s="26"/>
      <c r="FX32" s="27"/>
      <c r="FY32" s="27"/>
      <c r="FZ32" s="40"/>
      <c r="GA32" s="40"/>
      <c r="GC32" s="26"/>
      <c r="GD32" s="27"/>
      <c r="GE32" s="27"/>
      <c r="GF32" s="40"/>
      <c r="GG32" s="40"/>
      <c r="GI32" s="26">
        <f>300+300+200+200+100</f>
        <v>1100</v>
      </c>
      <c r="GJ32" s="27">
        <f>0.99+0.99+0.67+0.6+0.51</f>
        <v>3.76</v>
      </c>
      <c r="GK32" s="27">
        <f>5</f>
        <v>5</v>
      </c>
      <c r="GL32" s="40">
        <f>GI32/GJ32</f>
        <v>292.55319148936172</v>
      </c>
      <c r="GM32" s="40">
        <f t="shared" si="22"/>
        <v>0.752</v>
      </c>
      <c r="GO32" s="26">
        <f>100+200+200+300+300</f>
        <v>1100</v>
      </c>
      <c r="GP32" s="27">
        <f>0.33+0.76+0.76+0.14+0.14</f>
        <v>2.1300000000000003</v>
      </c>
      <c r="GQ32" s="27">
        <f>5</f>
        <v>5</v>
      </c>
      <c r="GR32" s="40">
        <f>GO32/GP32</f>
        <v>516.431924882629</v>
      </c>
      <c r="GS32" s="40">
        <f t="shared" si="98"/>
        <v>0.42600000000000005</v>
      </c>
      <c r="GU32" s="95">
        <f>50+50+100+50+100</f>
        <v>350</v>
      </c>
      <c r="GV32" s="99">
        <f>0.57+0.3+0.89+0.82+0.91</f>
        <v>3.4899999999999998</v>
      </c>
      <c r="GW32" s="100">
        <v>5</v>
      </c>
      <c r="GX32" s="101">
        <f>GU32/GV32</f>
        <v>100.2865329512894</v>
      </c>
      <c r="GY32" s="101">
        <f t="shared" si="23"/>
        <v>0.69799999999999995</v>
      </c>
      <c r="GZ32" s="43"/>
      <c r="HA32" s="26">
        <f>200+50+150+40+20</f>
        <v>460</v>
      </c>
      <c r="HB32" s="39">
        <f>3+1.1+0.9+0.3+0.25</f>
        <v>5.55</v>
      </c>
      <c r="HC32" s="28">
        <v>5</v>
      </c>
      <c r="HD32" s="106">
        <f t="shared" si="24"/>
        <v>82.882882882882882</v>
      </c>
      <c r="HE32" s="106">
        <f t="shared" si="24"/>
        <v>1.1099999999999999</v>
      </c>
      <c r="HG32" s="26">
        <v>900</v>
      </c>
      <c r="HH32" s="27">
        <v>5.6</v>
      </c>
      <c r="HI32" s="27">
        <v>5</v>
      </c>
      <c r="HJ32" s="34">
        <f>HG32/HH32</f>
        <v>160.71428571428572</v>
      </c>
      <c r="HK32" s="34">
        <f t="shared" si="25"/>
        <v>1.1199999999999999</v>
      </c>
      <c r="HM32" s="26">
        <v>900</v>
      </c>
      <c r="HN32" s="45">
        <v>5.6</v>
      </c>
      <c r="HO32" s="46">
        <v>5</v>
      </c>
      <c r="HP32" s="47"/>
      <c r="HQ32" s="47"/>
      <c r="HS32" s="26"/>
      <c r="HT32" s="45"/>
      <c r="HU32" s="46"/>
      <c r="HV32" s="48"/>
      <c r="HW32" s="48"/>
      <c r="HY32" s="45"/>
      <c r="HZ32" s="45"/>
      <c r="IA32" s="45"/>
      <c r="IB32" s="48"/>
      <c r="IC32" s="48"/>
      <c r="IE32" s="45"/>
      <c r="IF32" s="45"/>
      <c r="IG32" s="45"/>
      <c r="IH32" s="48"/>
      <c r="II32" s="48"/>
      <c r="IK32" s="26"/>
      <c r="IL32" s="45"/>
      <c r="IM32" s="45"/>
      <c r="IN32" s="48"/>
      <c r="IO32" s="48"/>
      <c r="IQ32" s="26"/>
      <c r="IR32" s="45"/>
      <c r="IS32" s="45"/>
      <c r="IT32" s="48"/>
      <c r="IU32" s="48"/>
      <c r="IW32" s="26"/>
      <c r="IX32" s="45"/>
      <c r="IY32" s="45"/>
      <c r="IZ32" s="46"/>
      <c r="JA32" s="46"/>
      <c r="JC32" s="26">
        <f>400+400+500+200+200</f>
        <v>1700</v>
      </c>
      <c r="JD32" s="45">
        <f>0.76+0.79+0.95+0.63+0.49</f>
        <v>3.62</v>
      </c>
      <c r="JE32" s="45">
        <v>5</v>
      </c>
      <c r="JF32" s="46">
        <f t="shared" ref="JF32:JF50" si="604">JC32/JD32</f>
        <v>469.61325966850825</v>
      </c>
      <c r="JG32" s="46">
        <f t="shared" ref="JG32:JG50" si="605">JD32/JE32</f>
        <v>0.72399999999999998</v>
      </c>
      <c r="JI32" s="26">
        <f>500+500+300+300+300</f>
        <v>1900</v>
      </c>
      <c r="JJ32" s="45">
        <f>1.37+1.48+0.79+3.91+2.16</f>
        <v>9.7100000000000009</v>
      </c>
      <c r="JK32" s="45">
        <v>5</v>
      </c>
      <c r="JL32" s="46">
        <f t="shared" ref="JL32" si="606">JI32/JJ32</f>
        <v>195.6745623069001</v>
      </c>
      <c r="JM32" s="46">
        <f t="shared" ref="JM32" si="607">JJ32/JK32</f>
        <v>1.9420000000000002</v>
      </c>
      <c r="JO32" s="26">
        <f>200+200+100+100+50</f>
        <v>650</v>
      </c>
      <c r="JP32" s="45">
        <f>1.41+1.4+0.76+0.65+0.57</f>
        <v>4.79</v>
      </c>
      <c r="JQ32" s="45">
        <v>5</v>
      </c>
      <c r="JR32" s="46">
        <f t="shared" ref="JR32:JR33" si="608">JO32/JP32</f>
        <v>135.69937369519832</v>
      </c>
      <c r="JS32" s="46">
        <f t="shared" ref="JS32:JS33" si="609">JP32/JQ32</f>
        <v>0.95799999999999996</v>
      </c>
      <c r="JU32" s="26">
        <f>50+100+200+600+250</f>
        <v>1200</v>
      </c>
      <c r="JV32" s="45">
        <f>0.1+0.19+0.44+1.97+1.24</f>
        <v>3.9400000000000004</v>
      </c>
      <c r="JW32" s="45">
        <v>5</v>
      </c>
      <c r="JX32" s="46">
        <f t="shared" si="579"/>
        <v>304.56852791878168</v>
      </c>
      <c r="JY32" s="46">
        <f t="shared" si="580"/>
        <v>0.78800000000000003</v>
      </c>
      <c r="KA32" s="26">
        <f>50+50+50+50+50</f>
        <v>250</v>
      </c>
      <c r="KB32" s="45">
        <f>1.61+1.35+1.45+1.42+1.38</f>
        <v>7.21</v>
      </c>
      <c r="KC32" s="45">
        <v>5</v>
      </c>
      <c r="KD32" s="46">
        <f t="shared" si="581"/>
        <v>34.674063800277395</v>
      </c>
      <c r="KE32" s="46">
        <f t="shared" si="582"/>
        <v>1.4419999999999999</v>
      </c>
      <c r="KG32" s="26"/>
      <c r="KH32" s="45"/>
      <c r="KI32" s="45"/>
      <c r="KJ32" s="46" t="e">
        <f t="shared" si="583"/>
        <v>#DIV/0!</v>
      </c>
      <c r="KK32" s="46" t="e">
        <f t="shared" si="584"/>
        <v>#DIV/0!</v>
      </c>
      <c r="KM32" s="26"/>
      <c r="KN32" s="45"/>
      <c r="KO32" s="45"/>
      <c r="KP32" s="46" t="e">
        <f t="shared" si="369"/>
        <v>#DIV/0!</v>
      </c>
      <c r="KQ32" s="46" t="e">
        <f>KN32/KO32</f>
        <v>#DIV/0!</v>
      </c>
      <c r="KS32" s="26"/>
      <c r="KT32" s="45"/>
      <c r="KU32" s="45"/>
      <c r="KV32" s="46" t="e">
        <f t="shared" si="370"/>
        <v>#DIV/0!</v>
      </c>
      <c r="KW32" s="46" t="e">
        <f>KT32/KU32</f>
        <v>#DIV/0!</v>
      </c>
      <c r="KY32" s="26"/>
      <c r="KZ32" s="45"/>
      <c r="LA32" s="45"/>
      <c r="LB32" s="46" t="e">
        <f t="shared" si="371"/>
        <v>#DIV/0!</v>
      </c>
      <c r="LC32" s="46" t="e">
        <f>KZ32/LA32</f>
        <v>#DIV/0!</v>
      </c>
      <c r="LE32" s="26"/>
      <c r="LF32" s="45"/>
      <c r="LG32" s="45"/>
      <c r="LH32" s="46" t="e">
        <f t="shared" si="372"/>
        <v>#DIV/0!</v>
      </c>
      <c r="LI32" s="46" t="e">
        <f>LF32/LG32</f>
        <v>#DIV/0!</v>
      </c>
      <c r="LK32" s="26"/>
      <c r="LL32" s="45"/>
      <c r="LM32" s="45"/>
      <c r="LN32" s="46" t="e">
        <f t="shared" si="373"/>
        <v>#DIV/0!</v>
      </c>
      <c r="LO32" s="46" t="e">
        <f>LL32/LM32</f>
        <v>#DIV/0!</v>
      </c>
      <c r="LQ32" s="26"/>
      <c r="LR32" s="45"/>
      <c r="LS32" s="45"/>
      <c r="LT32" s="46" t="e">
        <f t="shared" si="374"/>
        <v>#DIV/0!</v>
      </c>
      <c r="LU32" s="46" t="e">
        <f>LR32/LS32</f>
        <v>#DIV/0!</v>
      </c>
      <c r="LW32" s="26">
        <f>200+200+300+300+300</f>
        <v>1300</v>
      </c>
      <c r="LX32" s="27">
        <f>0.92+0.92+1.12+1.15+1.12</f>
        <v>5.2299999999999995</v>
      </c>
      <c r="LY32" s="45">
        <v>5</v>
      </c>
      <c r="LZ32" s="46">
        <f t="shared" si="375"/>
        <v>248.56596558317401</v>
      </c>
      <c r="MA32" s="46">
        <f>LX32/LY32</f>
        <v>1.0459999999999998</v>
      </c>
      <c r="MC32" s="26">
        <f>200+200+200+200+200</f>
        <v>1000</v>
      </c>
      <c r="MD32" s="45">
        <f>2.28+1.43+1.57+1.15+1.28</f>
        <v>7.71</v>
      </c>
      <c r="ME32" s="45">
        <v>5</v>
      </c>
      <c r="MF32" s="46">
        <f t="shared" si="376"/>
        <v>129.70168612191958</v>
      </c>
      <c r="MG32" s="46">
        <f>MD32/ME32</f>
        <v>1.542</v>
      </c>
      <c r="MI32" s="26">
        <f>200+200+300+150+200</f>
        <v>1050</v>
      </c>
      <c r="MJ32" s="45">
        <f>1.02+1.05+1.36+0.95+0.66</f>
        <v>5.0400000000000009</v>
      </c>
      <c r="MK32" s="45">
        <v>5</v>
      </c>
      <c r="ML32" s="46">
        <f t="shared" si="377"/>
        <v>208.33333333333329</v>
      </c>
      <c r="MM32" s="46">
        <f>MJ32/MK32</f>
        <v>1.0080000000000002</v>
      </c>
      <c r="MO32" s="26"/>
      <c r="MP32" s="45"/>
      <c r="MQ32" s="45"/>
      <c r="MR32" s="46" t="e">
        <f t="shared" si="378"/>
        <v>#DIV/0!</v>
      </c>
      <c r="MS32" s="46" t="e">
        <f>MP32/MQ32</f>
        <v>#DIV/0!</v>
      </c>
      <c r="MU32" s="26"/>
      <c r="MV32" s="45"/>
      <c r="MW32" s="45"/>
      <c r="MX32" s="46" t="e">
        <f t="shared" si="379"/>
        <v>#DIV/0!</v>
      </c>
      <c r="MY32" s="46" t="e">
        <f>MV32/MW32</f>
        <v>#DIV/0!</v>
      </c>
      <c r="NA32" s="823"/>
      <c r="NB32" s="823"/>
      <c r="NC32" s="823"/>
      <c r="ND32" s="46" t="e">
        <f t="shared" si="380"/>
        <v>#DIV/0!</v>
      </c>
      <c r="NE32" s="46" t="e">
        <f>NB32/NC32</f>
        <v>#DIV/0!</v>
      </c>
      <c r="NG32" s="823"/>
      <c r="NH32" s="823"/>
      <c r="NI32" s="823"/>
      <c r="NJ32" s="46" t="e">
        <f t="shared" si="381"/>
        <v>#DIV/0!</v>
      </c>
      <c r="NK32" s="46" t="e">
        <f>NH32/NI32</f>
        <v>#DIV/0!</v>
      </c>
      <c r="NM32" s="823"/>
      <c r="NN32" s="823"/>
      <c r="NO32" s="823"/>
      <c r="NP32" s="46" t="e">
        <f t="shared" si="382"/>
        <v>#DIV/0!</v>
      </c>
      <c r="NQ32" s="46" t="e">
        <f>NN32/NO32</f>
        <v>#DIV/0!</v>
      </c>
      <c r="NS32" s="823"/>
      <c r="NT32" s="823"/>
      <c r="NU32" s="823"/>
      <c r="NV32" s="46" t="e">
        <f t="shared" si="383"/>
        <v>#DIV/0!</v>
      </c>
      <c r="NW32" s="46" t="e">
        <f>NT32/NU32</f>
        <v>#DIV/0!</v>
      </c>
      <c r="NY32" s="910"/>
      <c r="NZ32" s="910"/>
      <c r="OA32" s="910"/>
      <c r="OB32" s="46" t="e">
        <f t="shared" si="384"/>
        <v>#DIV/0!</v>
      </c>
      <c r="OC32" s="46" t="e">
        <f>NZ32/OA32</f>
        <v>#DIV/0!</v>
      </c>
      <c r="OE32" s="823"/>
      <c r="OF32" s="823"/>
      <c r="OG32" s="823"/>
      <c r="OH32" s="46" t="e">
        <f t="shared" si="385"/>
        <v>#DIV/0!</v>
      </c>
      <c r="OI32" s="46" t="e">
        <f>OF32/OG32</f>
        <v>#DIV/0!</v>
      </c>
    </row>
    <row r="33" spans="2:399">
      <c r="B33" s="20"/>
      <c r="C33" s="21" t="s">
        <v>35</v>
      </c>
      <c r="D33" s="13" t="s">
        <v>36</v>
      </c>
      <c r="E33" s="29">
        <f>200+200+200+200</f>
        <v>800</v>
      </c>
      <c r="F33" s="32">
        <f>0.75+1.01+0.65+0.74</f>
        <v>3.1500000000000004</v>
      </c>
      <c r="G33" s="33">
        <v>4</v>
      </c>
      <c r="H33" s="34">
        <f t="shared" ref="H33:H39" si="610">E33/F33</f>
        <v>253.96825396825395</v>
      </c>
      <c r="I33" s="34">
        <f t="shared" ref="I33:I39" si="611">F33/G33</f>
        <v>0.78750000000000009</v>
      </c>
      <c r="J33" s="30"/>
      <c r="K33" s="29"/>
      <c r="L33" s="32"/>
      <c r="M33" s="33"/>
      <c r="N33" s="34"/>
      <c r="O33" s="34"/>
      <c r="P33" s="30"/>
      <c r="Q33" s="29"/>
      <c r="R33" s="32"/>
      <c r="S33" s="33"/>
      <c r="T33" s="34"/>
      <c r="U33" s="34"/>
      <c r="V33" s="30"/>
      <c r="W33" s="29"/>
      <c r="X33" s="32"/>
      <c r="Y33" s="33"/>
      <c r="Z33" s="34"/>
      <c r="AA33" s="34"/>
      <c r="AB33" s="30"/>
      <c r="AC33" s="29"/>
      <c r="AD33" s="32"/>
      <c r="AE33" s="33"/>
      <c r="AF33" s="34"/>
      <c r="AG33" s="34"/>
      <c r="AH33" s="30"/>
      <c r="AI33" s="29"/>
      <c r="AJ33" s="32"/>
      <c r="AK33" s="33"/>
      <c r="AL33" s="34"/>
      <c r="AM33" s="34"/>
      <c r="AN33" s="30"/>
      <c r="AO33" s="29">
        <f>100+100+100+100+150</f>
        <v>550</v>
      </c>
      <c r="AP33" s="32">
        <f>0.45+0.57+0.37+0.41+0.8</f>
        <v>2.6</v>
      </c>
      <c r="AQ33" s="33">
        <v>5</v>
      </c>
      <c r="AR33" s="48">
        <f t="shared" si="602"/>
        <v>211.53846153846152</v>
      </c>
      <c r="AS33" s="48">
        <f t="shared" si="603"/>
        <v>0.52</v>
      </c>
      <c r="AT33" s="30"/>
      <c r="AU33" s="29">
        <f>100+100+100+100+100</f>
        <v>500</v>
      </c>
      <c r="AV33" s="32">
        <f>0.08+0.42+0.74+0.94+0.62</f>
        <v>2.8</v>
      </c>
      <c r="AW33" s="33">
        <v>5</v>
      </c>
      <c r="AX33" s="48">
        <f t="shared" si="497"/>
        <v>178.57142857142858</v>
      </c>
      <c r="AY33" s="48">
        <f t="shared" si="498"/>
        <v>0.55999999999999994</v>
      </c>
      <c r="AZ33" s="593"/>
      <c r="BA33" s="29">
        <f>150+150+150+150+150</f>
        <v>750</v>
      </c>
      <c r="BB33" s="32">
        <f>0.41+0.87+0.66+0.66+0.66</f>
        <v>3.2600000000000002</v>
      </c>
      <c r="BC33" s="33">
        <v>5</v>
      </c>
      <c r="BD33" s="48">
        <f t="shared" si="569"/>
        <v>230.06134969325151</v>
      </c>
      <c r="BE33" s="48">
        <f t="shared" si="570"/>
        <v>0.65200000000000002</v>
      </c>
      <c r="BF33" s="593"/>
      <c r="BG33" s="29"/>
      <c r="BH33" s="32"/>
      <c r="BI33" s="33"/>
      <c r="BJ33" s="48"/>
      <c r="BK33" s="48"/>
      <c r="BL33" s="593"/>
      <c r="BM33" s="29"/>
      <c r="BN33" s="32"/>
      <c r="BO33" s="33"/>
      <c r="BP33" s="48"/>
      <c r="BQ33" s="48"/>
      <c r="BR33" s="30"/>
      <c r="BS33" s="29">
        <f>200+200+200+200+200</f>
        <v>1000</v>
      </c>
      <c r="BT33" s="32">
        <f>1.05+1.08+1.13+0.95+1.11</f>
        <v>5.32</v>
      </c>
      <c r="BU33" s="33">
        <v>5</v>
      </c>
      <c r="BV33" s="48">
        <f t="shared" si="523"/>
        <v>187.96992481203006</v>
      </c>
      <c r="BW33" s="48">
        <f t="shared" si="524"/>
        <v>1.0640000000000001</v>
      </c>
      <c r="BX33" s="593"/>
      <c r="BY33" s="29">
        <f>100+100+100+100+100</f>
        <v>500</v>
      </c>
      <c r="BZ33" s="32">
        <f>0.08+0.42+0.74+0.94+0.62</f>
        <v>2.8</v>
      </c>
      <c r="CA33" s="33">
        <v>5</v>
      </c>
      <c r="CB33" s="48">
        <f t="shared" si="450"/>
        <v>178.57142857142858</v>
      </c>
      <c r="CC33" s="48">
        <f t="shared" si="451"/>
        <v>0.55999999999999994</v>
      </c>
      <c r="CD33" s="593"/>
      <c r="CE33" s="29">
        <v>1000</v>
      </c>
      <c r="CF33" s="32">
        <v>4.09</v>
      </c>
      <c r="CG33" s="33">
        <v>5</v>
      </c>
      <c r="CH33" s="48">
        <f t="shared" ref="CH33:CH36" si="612">CE33/CF33</f>
        <v>244.49877750611248</v>
      </c>
      <c r="CI33" s="48">
        <f t="shared" ref="CI33:CI36" si="613">CF33/CG33</f>
        <v>0.81799999999999995</v>
      </c>
      <c r="CJ33" s="593"/>
      <c r="CK33" s="29"/>
      <c r="CL33" s="32"/>
      <c r="CM33" s="33"/>
      <c r="CN33" s="48"/>
      <c r="CO33" s="48"/>
      <c r="CP33" s="593"/>
      <c r="CQ33" s="29"/>
      <c r="CR33" s="32"/>
      <c r="CS33" s="33"/>
      <c r="CT33" s="48"/>
      <c r="CU33" s="48"/>
      <c r="CV33" s="593"/>
      <c r="CW33" s="29">
        <f>100+100+100+100+100</f>
        <v>500</v>
      </c>
      <c r="CX33" s="32">
        <f>0.08+0.42+0.74+0.94+0.62</f>
        <v>2.8</v>
      </c>
      <c r="CY33" s="33">
        <v>5</v>
      </c>
      <c r="CZ33" s="48">
        <f t="shared" ref="CZ33:CZ39" si="614">CW33/CX33</f>
        <v>178.57142857142858</v>
      </c>
      <c r="DA33" s="48">
        <f t="shared" ref="DA33:DA39" si="615">CX33/CY33</f>
        <v>0.55999999999999994</v>
      </c>
      <c r="DB33" s="593"/>
      <c r="DC33" s="29"/>
      <c r="DD33" s="32"/>
      <c r="DE33" s="33"/>
      <c r="DF33" s="48"/>
      <c r="DG33" s="48"/>
      <c r="DH33" s="593"/>
      <c r="DI33" s="29">
        <v>600</v>
      </c>
      <c r="DJ33" s="32">
        <v>2.2999999999999998</v>
      </c>
      <c r="DK33" s="33">
        <v>5</v>
      </c>
      <c r="DL33" s="48">
        <f t="shared" ref="DL33:DL39" si="616">DI33/DJ33</f>
        <v>260.86956521739131</v>
      </c>
      <c r="DM33" s="48">
        <f t="shared" ref="DM33:DM39" si="617">DJ33/DK33</f>
        <v>0.45999999999999996</v>
      </c>
      <c r="DN33" s="593"/>
      <c r="DO33" s="29">
        <v>500</v>
      </c>
      <c r="DP33" s="32">
        <v>3.09</v>
      </c>
      <c r="DQ33" s="33">
        <v>5</v>
      </c>
      <c r="DR33" s="48">
        <f t="shared" ref="DR33:DR39" si="618">DO33/DP33</f>
        <v>161.81229773462783</v>
      </c>
      <c r="DS33" s="48">
        <f t="shared" ref="DS33:DS39" si="619">DP33/DQ33</f>
        <v>0.61799999999999999</v>
      </c>
      <c r="DT33" s="593"/>
      <c r="DU33" s="29"/>
      <c r="DV33" s="32"/>
      <c r="DW33" s="33"/>
      <c r="DX33" s="48"/>
      <c r="DY33" s="48"/>
      <c r="DZ33" s="593"/>
      <c r="EA33" s="29"/>
      <c r="EB33" s="32"/>
      <c r="EC33" s="33"/>
      <c r="ED33" s="48"/>
      <c r="EE33" s="48"/>
      <c r="EF33" s="593"/>
      <c r="EG33" s="29"/>
      <c r="EH33" s="32"/>
      <c r="EI33" s="33"/>
      <c r="EJ33" s="48"/>
      <c r="EK33" s="48"/>
      <c r="EL33" s="593"/>
      <c r="EM33" s="29"/>
      <c r="EN33" s="32"/>
      <c r="EO33" s="33"/>
      <c r="EP33" s="48"/>
      <c r="EQ33" s="48"/>
      <c r="ER33" s="30"/>
      <c r="ES33" s="29">
        <f>100+100+100+100+100</f>
        <v>500</v>
      </c>
      <c r="ET33" s="32">
        <f>0.08+0.42+0.74+0.94+0.62</f>
        <v>2.8</v>
      </c>
      <c r="EU33" s="33">
        <v>5</v>
      </c>
      <c r="EV33" s="34">
        <f t="shared" si="18"/>
        <v>178.57142857142858</v>
      </c>
      <c r="EW33" s="34">
        <f t="shared" si="18"/>
        <v>0.55999999999999994</v>
      </c>
      <c r="EX33" s="30"/>
      <c r="EY33" s="35"/>
      <c r="EZ33" s="34"/>
      <c r="FA33" s="37"/>
      <c r="FB33" s="34"/>
      <c r="FC33" s="34"/>
      <c r="FE33" s="26"/>
      <c r="FF33" s="27"/>
      <c r="FG33" s="28"/>
      <c r="FH33" s="38"/>
      <c r="FI33" s="39"/>
      <c r="FK33" s="27"/>
      <c r="FL33" s="40"/>
      <c r="FM33" s="27"/>
      <c r="FN33" s="40"/>
      <c r="FO33" s="40"/>
      <c r="FQ33" s="26"/>
      <c r="FR33" s="40"/>
      <c r="FS33" s="27"/>
      <c r="FT33" s="40"/>
      <c r="FU33" s="40"/>
      <c r="FW33" s="26"/>
      <c r="FX33" s="27"/>
      <c r="FY33" s="27"/>
      <c r="FZ33" s="40"/>
      <c r="GA33" s="40"/>
      <c r="GC33" s="26">
        <f>200+200+200+200+200</f>
        <v>1000</v>
      </c>
      <c r="GD33" s="27">
        <f>0.5+0.5+0.5+0.5+0.5</f>
        <v>2.5</v>
      </c>
      <c r="GE33" s="27">
        <f>5</f>
        <v>5</v>
      </c>
      <c r="GF33" s="40">
        <f t="shared" si="21"/>
        <v>400</v>
      </c>
      <c r="GG33" s="40">
        <f t="shared" si="21"/>
        <v>0.5</v>
      </c>
      <c r="GI33" s="26">
        <f>200+200+200+200+200</f>
        <v>1000</v>
      </c>
      <c r="GJ33" s="27">
        <f>0.56+0.57+0.62+0.66+0.57</f>
        <v>2.98</v>
      </c>
      <c r="GK33" s="27">
        <f>5</f>
        <v>5</v>
      </c>
      <c r="GL33" s="40">
        <f t="shared" si="22"/>
        <v>335.57046979865771</v>
      </c>
      <c r="GM33" s="40">
        <f t="shared" si="22"/>
        <v>0.59599999999999997</v>
      </c>
      <c r="GO33" s="26">
        <f>200+200+200+100+100</f>
        <v>800</v>
      </c>
      <c r="GP33" s="40">
        <f>0.89+0.89+0.89+0.43+0.33</f>
        <v>3.43</v>
      </c>
      <c r="GQ33" s="27">
        <f>5</f>
        <v>5</v>
      </c>
      <c r="GR33" s="40">
        <f t="shared" si="98"/>
        <v>233.23615160349854</v>
      </c>
      <c r="GS33" s="40">
        <f t="shared" si="98"/>
        <v>0.68600000000000005</v>
      </c>
      <c r="GU33" s="95">
        <f>150+150+100+100+100</f>
        <v>600</v>
      </c>
      <c r="GV33" s="99">
        <f>0.74+0.57+0.66+0.57+0.75</f>
        <v>3.29</v>
      </c>
      <c r="GW33" s="100">
        <v>5</v>
      </c>
      <c r="GX33" s="101">
        <f t="shared" si="23"/>
        <v>182.370820668693</v>
      </c>
      <c r="GY33" s="101">
        <f t="shared" si="23"/>
        <v>0.65800000000000003</v>
      </c>
      <c r="GZ33" s="43"/>
      <c r="HA33" s="26">
        <f>100+100+100+100+100</f>
        <v>500</v>
      </c>
      <c r="HB33" s="39">
        <f>0.5+0.5+0.65+0.5+0.85</f>
        <v>3</v>
      </c>
      <c r="HC33" s="28">
        <v>5</v>
      </c>
      <c r="HD33" s="106">
        <f t="shared" si="24"/>
        <v>166.66666666666666</v>
      </c>
      <c r="HE33" s="106">
        <f t="shared" si="24"/>
        <v>0.6</v>
      </c>
      <c r="HG33" s="26">
        <f>200+200+200+200+200</f>
        <v>1000</v>
      </c>
      <c r="HH33" s="40">
        <f>0.93+1.03+1.33+1.4+1.13</f>
        <v>5.8199999999999994</v>
      </c>
      <c r="HI33" s="27">
        <f>5</f>
        <v>5</v>
      </c>
      <c r="HJ33" s="34">
        <f t="shared" si="25"/>
        <v>171.82130584192441</v>
      </c>
      <c r="HK33" s="34">
        <f t="shared" si="25"/>
        <v>1.1639999999999999</v>
      </c>
      <c r="HM33" s="26">
        <f>200+200+200+200</f>
        <v>800</v>
      </c>
      <c r="HN33" s="45">
        <f>0.75+1.01+0.65+0.74</f>
        <v>3.1500000000000004</v>
      </c>
      <c r="HO33" s="46">
        <v>4</v>
      </c>
      <c r="HP33" s="47">
        <f t="shared" si="99"/>
        <v>253.96825396825395</v>
      </c>
      <c r="HQ33" s="47">
        <f t="shared" si="99"/>
        <v>0.78750000000000009</v>
      </c>
      <c r="HS33" s="26"/>
      <c r="HT33" s="45"/>
      <c r="HU33" s="46"/>
      <c r="HV33" s="48"/>
      <c r="HW33" s="48"/>
      <c r="HY33" s="45"/>
      <c r="HZ33" s="45"/>
      <c r="IA33" s="45"/>
      <c r="IB33" s="48"/>
      <c r="IC33" s="48"/>
      <c r="IE33" s="45">
        <f>200+200+200+200+200</f>
        <v>1000</v>
      </c>
      <c r="IF33" s="45">
        <f>3.01</f>
        <v>3.01</v>
      </c>
      <c r="IG33" s="45">
        <f>5</f>
        <v>5</v>
      </c>
      <c r="IH33" s="48">
        <f t="shared" si="27"/>
        <v>332.22591362126246</v>
      </c>
      <c r="II33" s="48">
        <f t="shared" si="27"/>
        <v>0.60199999999999998</v>
      </c>
      <c r="IK33" s="26"/>
      <c r="IL33" s="48"/>
      <c r="IM33" s="45"/>
      <c r="IN33" s="48"/>
      <c r="IO33" s="48"/>
      <c r="IQ33" s="26"/>
      <c r="IR33" s="48"/>
      <c r="IS33" s="45"/>
      <c r="IT33" s="48"/>
      <c r="IU33" s="48"/>
      <c r="IW33" s="26">
        <f>150*5</f>
        <v>750</v>
      </c>
      <c r="IX33" s="48">
        <v>2.13</v>
      </c>
      <c r="IY33" s="45">
        <v>5</v>
      </c>
      <c r="IZ33" s="46">
        <f t="shared" ref="IZ33" si="620">IW33/IX33</f>
        <v>352.11267605633805</v>
      </c>
      <c r="JA33" s="46">
        <f t="shared" ref="JA33" si="621">IX33/IY33</f>
        <v>0.42599999999999999</v>
      </c>
      <c r="JC33" s="26">
        <f>200+200+200+200+200</f>
        <v>1000</v>
      </c>
      <c r="JD33" s="48">
        <f>0.66+0.91+0.69+0.89+0.87</f>
        <v>4.0199999999999996</v>
      </c>
      <c r="JE33" s="45">
        <v>5</v>
      </c>
      <c r="JF33" s="46">
        <f t="shared" si="604"/>
        <v>248.75621890547265</v>
      </c>
      <c r="JG33" s="46">
        <f t="shared" si="605"/>
        <v>0.80399999999999994</v>
      </c>
      <c r="JI33" s="26"/>
      <c r="JJ33" s="48"/>
      <c r="JK33" s="45"/>
      <c r="JL33" s="46"/>
      <c r="JM33" s="46"/>
      <c r="JO33" s="26">
        <f>150+150+200+150+200</f>
        <v>850</v>
      </c>
      <c r="JP33" s="48">
        <f>0.71+0.8+1.06+0.67+1.13</f>
        <v>4.37</v>
      </c>
      <c r="JQ33" s="45">
        <v>5</v>
      </c>
      <c r="JR33" s="46">
        <f t="shared" si="608"/>
        <v>194.50800915331808</v>
      </c>
      <c r="JS33" s="46">
        <f t="shared" si="609"/>
        <v>0.874</v>
      </c>
      <c r="JU33" s="26"/>
      <c r="JV33" s="48"/>
      <c r="JW33" s="45"/>
      <c r="JX33" s="46"/>
      <c r="JY33" s="46"/>
      <c r="KA33" s="26">
        <f>200+200+200+200+200</f>
        <v>1000</v>
      </c>
      <c r="KB33" s="48">
        <f>0.63+0.69+0.58+0.73+0.71</f>
        <v>3.34</v>
      </c>
      <c r="KC33" s="45">
        <v>5</v>
      </c>
      <c r="KD33" s="46">
        <f t="shared" si="581"/>
        <v>299.40119760479041</v>
      </c>
      <c r="KE33" s="46">
        <f t="shared" si="582"/>
        <v>0.66799999999999993</v>
      </c>
      <c r="KG33" s="26">
        <f>200+200+200+200+200</f>
        <v>1000</v>
      </c>
      <c r="KH33" s="48">
        <f>0.73+0.69+0.5+0.77+0.53</f>
        <v>3.2199999999999998</v>
      </c>
      <c r="KI33" s="45">
        <v>5</v>
      </c>
      <c r="KJ33" s="46">
        <f t="shared" si="583"/>
        <v>310.55900621118013</v>
      </c>
      <c r="KK33" s="46">
        <f t="shared" si="584"/>
        <v>0.64399999999999991</v>
      </c>
      <c r="KM33" s="26"/>
      <c r="KN33" s="48"/>
      <c r="KO33" s="45"/>
      <c r="KP33" s="46" t="e">
        <f t="shared" ref="KP33:KP51" si="622">KM33/KN33</f>
        <v>#DIV/0!</v>
      </c>
      <c r="KQ33" s="46" t="e">
        <f>KN33/KO33</f>
        <v>#DIV/0!</v>
      </c>
      <c r="KS33" s="26"/>
      <c r="KT33" s="48"/>
      <c r="KU33" s="45"/>
      <c r="KV33" s="46" t="e">
        <f t="shared" si="370"/>
        <v>#DIV/0!</v>
      </c>
      <c r="KW33" s="46" t="e">
        <f>KT33/KU33</f>
        <v>#DIV/0!</v>
      </c>
      <c r="KY33" s="26"/>
      <c r="KZ33" s="48"/>
      <c r="LA33" s="45"/>
      <c r="LB33" s="46" t="e">
        <f t="shared" si="371"/>
        <v>#DIV/0!</v>
      </c>
      <c r="LC33" s="46" t="e">
        <f>KZ33/LA33</f>
        <v>#DIV/0!</v>
      </c>
      <c r="LE33" s="26"/>
      <c r="LF33" s="48"/>
      <c r="LG33" s="45"/>
      <c r="LH33" s="46" t="e">
        <f t="shared" si="372"/>
        <v>#DIV/0!</v>
      </c>
      <c r="LI33" s="46" t="e">
        <f>LF33/LG33</f>
        <v>#DIV/0!</v>
      </c>
      <c r="LK33" s="26"/>
      <c r="LL33" s="48"/>
      <c r="LM33" s="45"/>
      <c r="LN33" s="46" t="e">
        <f t="shared" si="373"/>
        <v>#DIV/0!</v>
      </c>
      <c r="LO33" s="46" t="e">
        <f>LL33/LM33</f>
        <v>#DIV/0!</v>
      </c>
      <c r="LQ33" s="26"/>
      <c r="LR33" s="48"/>
      <c r="LS33" s="45"/>
      <c r="LT33" s="46" t="e">
        <f t="shared" si="374"/>
        <v>#DIV/0!</v>
      </c>
      <c r="LU33" s="46" t="e">
        <f>LR33/LS33</f>
        <v>#DIV/0!</v>
      </c>
      <c r="LW33" s="26">
        <f>200+200+200+200+200</f>
        <v>1000</v>
      </c>
      <c r="LX33" s="48">
        <f>0.61+0.62+0.75+0.55+0.82</f>
        <v>3.35</v>
      </c>
      <c r="LY33" s="45">
        <v>5</v>
      </c>
      <c r="LZ33" s="46">
        <f t="shared" si="375"/>
        <v>298.50746268656718</v>
      </c>
      <c r="MA33" s="46">
        <f>LX33/LY33</f>
        <v>0.67</v>
      </c>
      <c r="MC33" s="26">
        <f>200+200+200+200+200</f>
        <v>1000</v>
      </c>
      <c r="MD33" s="48">
        <f>0.87+0.91+0.85+0.52+0.9</f>
        <v>4.05</v>
      </c>
      <c r="ME33" s="45">
        <v>5</v>
      </c>
      <c r="MF33" s="46">
        <f t="shared" si="376"/>
        <v>246.9135802469136</v>
      </c>
      <c r="MG33" s="46">
        <f>MD33/ME33</f>
        <v>0.80999999999999994</v>
      </c>
      <c r="MI33" s="26">
        <f>200+200+200+200+200</f>
        <v>1000</v>
      </c>
      <c r="MJ33" s="48">
        <f>0.72+0.7+0.76+0.78+0.76</f>
        <v>3.7199999999999998</v>
      </c>
      <c r="MK33" s="45">
        <v>5</v>
      </c>
      <c r="ML33" s="46">
        <f t="shared" si="377"/>
        <v>268.81720430107526</v>
      </c>
      <c r="MM33" s="46">
        <f>MJ33/MK33</f>
        <v>0.74399999999999999</v>
      </c>
      <c r="MO33" s="26"/>
      <c r="MP33" s="48"/>
      <c r="MQ33" s="45"/>
      <c r="MR33" s="46" t="e">
        <f t="shared" si="378"/>
        <v>#DIV/0!</v>
      </c>
      <c r="MS33" s="46" t="e">
        <f>MP33/MQ33</f>
        <v>#DIV/0!</v>
      </c>
      <c r="MU33" s="26"/>
      <c r="MV33" s="48"/>
      <c r="MW33" s="45"/>
      <c r="MX33" s="46" t="e">
        <f t="shared" si="379"/>
        <v>#DIV/0!</v>
      </c>
      <c r="MY33" s="46" t="e">
        <f>MV33/MW33</f>
        <v>#DIV/0!</v>
      </c>
      <c r="NA33" s="823">
        <f>150+150+150+150+150</f>
        <v>750</v>
      </c>
      <c r="NB33" s="823">
        <f>0.63+0.49+0.47+0.6+0.61</f>
        <v>2.8</v>
      </c>
      <c r="NC33" s="823">
        <v>5</v>
      </c>
      <c r="ND33" s="46">
        <f t="shared" si="380"/>
        <v>267.85714285714289</v>
      </c>
      <c r="NE33" s="46">
        <f>NB33/NC33</f>
        <v>0.55999999999999994</v>
      </c>
      <c r="NG33" s="823"/>
      <c r="NH33" s="823"/>
      <c r="NI33" s="823"/>
      <c r="NJ33" s="46" t="e">
        <f t="shared" si="381"/>
        <v>#DIV/0!</v>
      </c>
      <c r="NK33" s="46" t="e">
        <f>NH33/NI33</f>
        <v>#DIV/0!</v>
      </c>
      <c r="NM33" s="823"/>
      <c r="NN33" s="823"/>
      <c r="NO33" s="823"/>
      <c r="NP33" s="46" t="e">
        <f t="shared" si="382"/>
        <v>#DIV/0!</v>
      </c>
      <c r="NQ33" s="46" t="e">
        <f>NN33/NO33</f>
        <v>#DIV/0!</v>
      </c>
      <c r="NS33" s="823"/>
      <c r="NT33" s="823"/>
      <c r="NU33" s="823"/>
      <c r="NV33" s="46" t="e">
        <f t="shared" si="383"/>
        <v>#DIV/0!</v>
      </c>
      <c r="NW33" s="46" t="e">
        <f>NT33/NU33</f>
        <v>#DIV/0!</v>
      </c>
      <c r="NY33" s="910"/>
      <c r="NZ33" s="910"/>
      <c r="OA33" s="910"/>
      <c r="OB33" s="46" t="e">
        <f t="shared" si="384"/>
        <v>#DIV/0!</v>
      </c>
      <c r="OC33" s="46" t="e">
        <f>NZ33/OA33</f>
        <v>#DIV/0!</v>
      </c>
      <c r="OE33" s="823"/>
      <c r="OF33" s="823"/>
      <c r="OG33" s="823"/>
      <c r="OH33" s="46" t="e">
        <f t="shared" si="385"/>
        <v>#DIV/0!</v>
      </c>
      <c r="OI33" s="46" t="e">
        <f>OF33/OG33</f>
        <v>#DIV/0!</v>
      </c>
    </row>
    <row r="34" spans="2:399">
      <c r="B34" s="20"/>
      <c r="C34" s="21" t="s">
        <v>37</v>
      </c>
      <c r="D34" s="13" t="s">
        <v>36</v>
      </c>
      <c r="E34" s="29">
        <f>300+300+300+200+200</f>
        <v>1300</v>
      </c>
      <c r="F34" s="32">
        <f>0.69+0.65+0.79+0.49+0.61</f>
        <v>3.23</v>
      </c>
      <c r="G34" s="33">
        <v>5</v>
      </c>
      <c r="H34" s="34">
        <f t="shared" si="610"/>
        <v>402.47678018575851</v>
      </c>
      <c r="I34" s="34">
        <f t="shared" si="611"/>
        <v>0.64600000000000002</v>
      </c>
      <c r="J34" s="30"/>
      <c r="K34" s="29"/>
      <c r="L34" s="32"/>
      <c r="M34" s="33"/>
      <c r="N34" s="34"/>
      <c r="O34" s="34"/>
      <c r="P34" s="30"/>
      <c r="Q34" s="29">
        <v>1000</v>
      </c>
      <c r="R34" s="32">
        <v>6.5</v>
      </c>
      <c r="S34" s="33">
        <v>5</v>
      </c>
      <c r="T34" s="34">
        <f t="shared" ref="T34" si="623">Q34/R34</f>
        <v>153.84615384615384</v>
      </c>
      <c r="U34" s="34">
        <f t="shared" ref="U34" si="624">R34/S34</f>
        <v>1.3</v>
      </c>
      <c r="V34" s="30"/>
      <c r="W34" s="29">
        <f>200+200+200+300+300</f>
        <v>1200</v>
      </c>
      <c r="X34" s="32">
        <f>0.82+0.68+0.97+1.23+1.23</f>
        <v>4.93</v>
      </c>
      <c r="Y34" s="33">
        <v>5</v>
      </c>
      <c r="Z34" s="34">
        <f t="shared" ref="Z34" si="625">W34/X34</f>
        <v>243.40770791075053</v>
      </c>
      <c r="AA34" s="34">
        <f t="shared" ref="AA34" si="626">X34/Y34</f>
        <v>0.98599999999999999</v>
      </c>
      <c r="AB34" s="30"/>
      <c r="AC34" s="29">
        <f>200+150+200+200+200+200</f>
        <v>1150</v>
      </c>
      <c r="AD34" s="32">
        <f>1.2+1.3+1.6+1.2+1.5</f>
        <v>6.8</v>
      </c>
      <c r="AE34" s="33">
        <v>5</v>
      </c>
      <c r="AF34" s="34">
        <f t="shared" ref="AF34:AF35" si="627">AC34/AD34</f>
        <v>169.11764705882354</v>
      </c>
      <c r="AG34" s="34">
        <f t="shared" ref="AG34:AG35" si="628">AD34/AE34</f>
        <v>1.3599999999999999</v>
      </c>
      <c r="AH34" s="30"/>
      <c r="AI34" s="29"/>
      <c r="AJ34" s="32"/>
      <c r="AK34" s="33"/>
      <c r="AL34" s="34"/>
      <c r="AM34" s="34"/>
      <c r="AN34" s="30"/>
      <c r="AO34" s="29">
        <f>200+200+200+200+200</f>
        <v>1000</v>
      </c>
      <c r="AP34" s="32">
        <f>1.83+1.98+1.97+2.04+1.73</f>
        <v>9.5500000000000007</v>
      </c>
      <c r="AQ34" s="33">
        <v>5</v>
      </c>
      <c r="AR34" s="34">
        <f t="shared" ref="AR34:AR37" si="629">AO34/AP34</f>
        <v>104.71204188481674</v>
      </c>
      <c r="AS34" s="34">
        <f t="shared" ref="AS34:AS37" si="630">AP34/AQ34</f>
        <v>1.9100000000000001</v>
      </c>
      <c r="AT34" s="30"/>
      <c r="AU34" s="29">
        <f>150+150+150+150+150</f>
        <v>750</v>
      </c>
      <c r="AV34" s="32">
        <f>1.87+1.78+1.73+1.44+1.7</f>
        <v>8.52</v>
      </c>
      <c r="AW34" s="33">
        <v>5</v>
      </c>
      <c r="AX34" s="34">
        <f t="shared" si="497"/>
        <v>88.028169014084511</v>
      </c>
      <c r="AY34" s="34">
        <f t="shared" si="498"/>
        <v>1.704</v>
      </c>
      <c r="AZ34" s="592"/>
      <c r="BA34" s="29">
        <f>100+100+100+100+100</f>
        <v>500</v>
      </c>
      <c r="BB34" s="32">
        <f>3.32+4+3.74+2.76+3.04</f>
        <v>16.86</v>
      </c>
      <c r="BC34" s="33">
        <v>5</v>
      </c>
      <c r="BD34" s="34">
        <f t="shared" si="569"/>
        <v>29.655990510083036</v>
      </c>
      <c r="BE34" s="34">
        <f t="shared" si="570"/>
        <v>3.3719999999999999</v>
      </c>
      <c r="BF34" s="592"/>
      <c r="BG34" s="29"/>
      <c r="BH34" s="32"/>
      <c r="BI34" s="33"/>
      <c r="BJ34" s="34"/>
      <c r="BK34" s="34"/>
      <c r="BL34" s="592"/>
      <c r="BM34" s="29"/>
      <c r="BN34" s="32"/>
      <c r="BO34" s="33"/>
      <c r="BP34" s="34"/>
      <c r="BQ34" s="34"/>
      <c r="BR34" s="30"/>
      <c r="BS34" s="29">
        <f>200+200+200+200+200</f>
        <v>1000</v>
      </c>
      <c r="BT34" s="32">
        <f>1.8+1.62+1.76+1.08+0.89</f>
        <v>7.1499999999999995</v>
      </c>
      <c r="BU34" s="33">
        <v>5</v>
      </c>
      <c r="BV34" s="34">
        <f t="shared" si="523"/>
        <v>139.86013986013987</v>
      </c>
      <c r="BW34" s="34">
        <f t="shared" si="524"/>
        <v>1.43</v>
      </c>
      <c r="BX34" s="592"/>
      <c r="BY34" s="29">
        <f>150+150+150+150+150</f>
        <v>750</v>
      </c>
      <c r="BZ34" s="32">
        <f>1.87+1.78+1.73+1.44+1.7</f>
        <v>8.52</v>
      </c>
      <c r="CA34" s="33">
        <v>5</v>
      </c>
      <c r="CB34" s="34">
        <f t="shared" si="450"/>
        <v>88.028169014084511</v>
      </c>
      <c r="CC34" s="34">
        <f t="shared" si="451"/>
        <v>1.704</v>
      </c>
      <c r="CD34" s="592"/>
      <c r="CE34" s="29">
        <v>530</v>
      </c>
      <c r="CF34" s="32">
        <v>2</v>
      </c>
      <c r="CG34" s="33">
        <v>5</v>
      </c>
      <c r="CH34" s="34">
        <f t="shared" si="612"/>
        <v>265</v>
      </c>
      <c r="CI34" s="34">
        <f t="shared" si="613"/>
        <v>0.4</v>
      </c>
      <c r="CJ34" s="592"/>
      <c r="CK34" s="29">
        <f>300+300+300+300+200</f>
        <v>1400</v>
      </c>
      <c r="CL34" s="32">
        <f>0.69+0.75+0.75+0.68+0.68</f>
        <v>3.5500000000000003</v>
      </c>
      <c r="CM34" s="33">
        <v>5</v>
      </c>
      <c r="CN34" s="34">
        <f t="shared" ref="CN34:CN37" si="631">CK34/CL34</f>
        <v>394.36619718309856</v>
      </c>
      <c r="CO34" s="34">
        <f t="shared" ref="CO34:CO37" si="632">CL34/CM34</f>
        <v>0.71000000000000008</v>
      </c>
      <c r="CP34" s="592"/>
      <c r="CQ34" s="29"/>
      <c r="CR34" s="32"/>
      <c r="CS34" s="33"/>
      <c r="CT34" s="34"/>
      <c r="CU34" s="34"/>
      <c r="CV34" s="592"/>
      <c r="CW34" s="29">
        <f>150+150+150+150+150</f>
        <v>750</v>
      </c>
      <c r="CX34" s="32">
        <f>1.87+1.78+1.73+1.44+1.7</f>
        <v>8.52</v>
      </c>
      <c r="CY34" s="33">
        <v>5</v>
      </c>
      <c r="CZ34" s="34">
        <f t="shared" si="614"/>
        <v>88.028169014084511</v>
      </c>
      <c r="DA34" s="34">
        <f t="shared" si="615"/>
        <v>1.704</v>
      </c>
      <c r="DB34" s="592"/>
      <c r="DC34" s="29">
        <f>200+200+200+200+200</f>
        <v>1000</v>
      </c>
      <c r="DD34" s="32">
        <f>2.56+2.82+2.46+1.68+1.8</f>
        <v>11.32</v>
      </c>
      <c r="DE34" s="33">
        <v>5</v>
      </c>
      <c r="DF34" s="34">
        <f t="shared" ref="DF34" si="633">DC34/DD34</f>
        <v>88.339222614840992</v>
      </c>
      <c r="DG34" s="34">
        <f t="shared" ref="DG34" si="634">DD34/DE34</f>
        <v>2.2640000000000002</v>
      </c>
      <c r="DH34" s="592"/>
      <c r="DI34" s="29">
        <v>500</v>
      </c>
      <c r="DJ34" s="32">
        <v>11.63</v>
      </c>
      <c r="DK34" s="33">
        <v>5</v>
      </c>
      <c r="DL34" s="34">
        <f t="shared" si="616"/>
        <v>42.992261392949267</v>
      </c>
      <c r="DM34" s="34">
        <f t="shared" si="617"/>
        <v>2.3260000000000001</v>
      </c>
      <c r="DN34" s="592"/>
      <c r="DO34" s="29">
        <v>500</v>
      </c>
      <c r="DP34" s="32">
        <v>6.89</v>
      </c>
      <c r="DQ34" s="33">
        <v>5</v>
      </c>
      <c r="DR34" s="34">
        <f t="shared" si="618"/>
        <v>72.568940493468801</v>
      </c>
      <c r="DS34" s="34">
        <f t="shared" si="619"/>
        <v>1.3779999999999999</v>
      </c>
      <c r="DT34" s="592"/>
      <c r="DU34" s="29"/>
      <c r="DV34" s="32"/>
      <c r="DW34" s="33"/>
      <c r="DX34" s="34"/>
      <c r="DY34" s="34"/>
      <c r="DZ34" s="592"/>
      <c r="EA34" s="29"/>
      <c r="EB34" s="32"/>
      <c r="EC34" s="33"/>
      <c r="ED34" s="34"/>
      <c r="EE34" s="34"/>
      <c r="EF34" s="592"/>
      <c r="EG34" s="29"/>
      <c r="EH34" s="32"/>
      <c r="EI34" s="33"/>
      <c r="EJ34" s="34"/>
      <c r="EK34" s="34"/>
      <c r="EL34" s="592"/>
      <c r="EM34" s="29"/>
      <c r="EN34" s="32"/>
      <c r="EO34" s="33"/>
      <c r="EP34" s="34"/>
      <c r="EQ34" s="34"/>
      <c r="ER34" s="30"/>
      <c r="ES34" s="29">
        <f>150+150+150+150+150</f>
        <v>750</v>
      </c>
      <c r="ET34" s="32">
        <f>1.87+1.78+1.73+1.44+1.7</f>
        <v>8.52</v>
      </c>
      <c r="EU34" s="33">
        <v>5</v>
      </c>
      <c r="EV34" s="34">
        <f t="shared" si="18"/>
        <v>88.028169014084511</v>
      </c>
      <c r="EW34" s="34">
        <f t="shared" si="18"/>
        <v>1.704</v>
      </c>
      <c r="EX34" s="30"/>
      <c r="EY34" s="35">
        <v>1000</v>
      </c>
      <c r="EZ34" s="34">
        <v>4.09</v>
      </c>
      <c r="FA34" s="37">
        <v>5</v>
      </c>
      <c r="FB34" s="34">
        <f t="shared" si="118"/>
        <v>244.49877750611248</v>
      </c>
      <c r="FC34" s="34">
        <f t="shared" si="118"/>
        <v>0.81799999999999995</v>
      </c>
      <c r="FE34" s="26">
        <f>200+200+200+200+200</f>
        <v>1000</v>
      </c>
      <c r="FF34" s="27">
        <v>6.5</v>
      </c>
      <c r="FG34" s="28">
        <v>5</v>
      </c>
      <c r="FH34" s="38">
        <f t="shared" si="96"/>
        <v>153.84615384615384</v>
      </c>
      <c r="FI34" s="39">
        <f t="shared" si="96"/>
        <v>1.3</v>
      </c>
      <c r="FK34" s="27">
        <f>300+200+200+200+200</f>
        <v>1100</v>
      </c>
      <c r="FL34" s="40">
        <f>0.69+0.44+0.41+0.45+0.45</f>
        <v>2.44</v>
      </c>
      <c r="FM34" s="27">
        <f>5</f>
        <v>5</v>
      </c>
      <c r="FN34" s="40">
        <f t="shared" si="97"/>
        <v>450.81967213114757</v>
      </c>
      <c r="FO34" s="40">
        <f t="shared" si="97"/>
        <v>0.48799999999999999</v>
      </c>
      <c r="FQ34" s="26">
        <f>200+200+200+200+200</f>
        <v>1000</v>
      </c>
      <c r="FR34" s="40">
        <f>1.29+1.16+1.26+1.2+1.35</f>
        <v>6.26</v>
      </c>
      <c r="FS34" s="27">
        <f>5</f>
        <v>5</v>
      </c>
      <c r="FT34" s="40">
        <f t="shared" si="19"/>
        <v>159.7444089456869</v>
      </c>
      <c r="FU34" s="40">
        <f t="shared" si="19"/>
        <v>1.252</v>
      </c>
      <c r="FW34" s="26">
        <f>200+200+200+200+200</f>
        <v>1000</v>
      </c>
      <c r="FX34" s="27">
        <f>1.64+1.83+1.7+1.58+1.57</f>
        <v>8.32</v>
      </c>
      <c r="FY34" s="27">
        <f>5</f>
        <v>5</v>
      </c>
      <c r="FZ34" s="40">
        <f t="shared" si="20"/>
        <v>120.19230769230769</v>
      </c>
      <c r="GA34" s="40">
        <f t="shared" si="20"/>
        <v>1.6640000000000001</v>
      </c>
      <c r="GC34" s="26">
        <f>200+200+200+200+200</f>
        <v>1000</v>
      </c>
      <c r="GD34" s="27">
        <f>1.87+1.92+1.84+1.2+1.88</f>
        <v>8.7100000000000009</v>
      </c>
      <c r="GE34" s="27">
        <f>5</f>
        <v>5</v>
      </c>
      <c r="GF34" s="40">
        <f t="shared" si="21"/>
        <v>114.81056257175659</v>
      </c>
      <c r="GG34" s="40">
        <f t="shared" si="21"/>
        <v>1.7420000000000002</v>
      </c>
      <c r="GI34" s="26">
        <f>200+200+200+200+200</f>
        <v>1000</v>
      </c>
      <c r="GJ34" s="27">
        <f>0.56+0.57+0.62+0.66+0.57</f>
        <v>2.98</v>
      </c>
      <c r="GK34" s="27">
        <f>5</f>
        <v>5</v>
      </c>
      <c r="GL34" s="40">
        <f t="shared" si="22"/>
        <v>335.57046979865771</v>
      </c>
      <c r="GM34" s="40">
        <f t="shared" si="22"/>
        <v>0.59599999999999997</v>
      </c>
      <c r="GO34" s="26">
        <f>200+200+200+200+200</f>
        <v>1000</v>
      </c>
      <c r="GP34" s="40">
        <f>1.58+1.47+1.43+1.76+1.63</f>
        <v>7.8699999999999992</v>
      </c>
      <c r="GQ34" s="27">
        <f>5</f>
        <v>5</v>
      </c>
      <c r="GR34" s="40">
        <f t="shared" si="98"/>
        <v>127.06480304955528</v>
      </c>
      <c r="GS34" s="40">
        <f t="shared" si="98"/>
        <v>1.5739999999999998</v>
      </c>
      <c r="GU34" s="95">
        <f>250+250+250+250+150</f>
        <v>1150</v>
      </c>
      <c r="GV34" s="99">
        <f>0.51+0.52+0.6+0.63+0.62</f>
        <v>2.88</v>
      </c>
      <c r="GW34" s="100">
        <v>5</v>
      </c>
      <c r="GX34" s="101">
        <f t="shared" si="23"/>
        <v>399.30555555555554</v>
      </c>
      <c r="GY34" s="101">
        <f t="shared" si="23"/>
        <v>0.57599999999999996</v>
      </c>
      <c r="GZ34" s="43"/>
      <c r="HA34" s="26">
        <f>200+200+150+200+200</f>
        <v>950</v>
      </c>
      <c r="HB34" s="39">
        <f>3.25+1.2+1.6+2.05+1.25</f>
        <v>9.3500000000000014</v>
      </c>
      <c r="HC34" s="28">
        <v>5</v>
      </c>
      <c r="HD34" s="106">
        <f t="shared" si="24"/>
        <v>101.6042780748663</v>
      </c>
      <c r="HE34" s="106">
        <f t="shared" si="24"/>
        <v>1.8700000000000003</v>
      </c>
      <c r="HG34" s="26">
        <v>750</v>
      </c>
      <c r="HH34" s="40">
        <v>6.9</v>
      </c>
      <c r="HI34" s="27">
        <v>5</v>
      </c>
      <c r="HJ34" s="34">
        <f t="shared" si="25"/>
        <v>108.69565217391303</v>
      </c>
      <c r="HK34" s="34">
        <f t="shared" si="25"/>
        <v>1.3800000000000001</v>
      </c>
      <c r="HM34" s="26">
        <f>300+300+300+200+200</f>
        <v>1300</v>
      </c>
      <c r="HN34" s="45">
        <f>0.69+0.65+0.79+0.49+0.61</f>
        <v>3.23</v>
      </c>
      <c r="HO34" s="46">
        <v>5</v>
      </c>
      <c r="HP34" s="47">
        <f t="shared" si="99"/>
        <v>402.47678018575851</v>
      </c>
      <c r="HQ34" s="47">
        <f t="shared" si="99"/>
        <v>0.64600000000000002</v>
      </c>
      <c r="HS34" s="26"/>
      <c r="HT34" s="45"/>
      <c r="HU34" s="46"/>
      <c r="HV34" s="48"/>
      <c r="HW34" s="48"/>
      <c r="HY34" s="45">
        <f>300+300+250+250+250</f>
        <v>1350</v>
      </c>
      <c r="HZ34" s="45">
        <f>1.57+1.71+1.09+1.12+1.12</f>
        <v>6.61</v>
      </c>
      <c r="IA34" s="45">
        <f>5</f>
        <v>5</v>
      </c>
      <c r="IB34" s="48">
        <f t="shared" si="141"/>
        <v>204.23600605143722</v>
      </c>
      <c r="IC34" s="48">
        <f t="shared" si="141"/>
        <v>1.3220000000000001</v>
      </c>
      <c r="IE34" s="45">
        <f>200+200+200+200+200</f>
        <v>1000</v>
      </c>
      <c r="IF34" s="45">
        <f>1.46+1.43+1.52+0.63+0.66</f>
        <v>5.7</v>
      </c>
      <c r="IG34" s="45">
        <f>5</f>
        <v>5</v>
      </c>
      <c r="IH34" s="48">
        <f t="shared" si="27"/>
        <v>175.43859649122805</v>
      </c>
      <c r="II34" s="48">
        <f t="shared" si="27"/>
        <v>1.1400000000000001</v>
      </c>
      <c r="IK34" s="26">
        <f>200+200+200+200+200</f>
        <v>1000</v>
      </c>
      <c r="IL34" s="40">
        <f>0.86+0.88+0.67+0.64+0.78</f>
        <v>3.83</v>
      </c>
      <c r="IM34" s="45">
        <f>5</f>
        <v>5</v>
      </c>
      <c r="IN34" s="48">
        <f t="shared" si="28"/>
        <v>261.09660574412533</v>
      </c>
      <c r="IO34" s="48">
        <f t="shared" si="28"/>
        <v>0.76600000000000001</v>
      </c>
      <c r="IQ34" s="26">
        <f>200+200+200+200+200</f>
        <v>1000</v>
      </c>
      <c r="IR34" s="40">
        <f>0.59+0.78+0.54+0.75+0.71</f>
        <v>3.37</v>
      </c>
      <c r="IS34" s="45">
        <v>5</v>
      </c>
      <c r="IT34" s="48">
        <f t="shared" ref="IT34:IT37" si="635">IQ34/IR34</f>
        <v>296.73590504451039</v>
      </c>
      <c r="IU34" s="48">
        <f t="shared" ref="IU34:IU37" si="636">IR34/IS34</f>
        <v>0.67400000000000004</v>
      </c>
      <c r="IW34" s="26">
        <f>150+150+200+200+150</f>
        <v>850</v>
      </c>
      <c r="IX34" s="40">
        <f>1.05+1.04+0.83+1.46+1.87</f>
        <v>6.25</v>
      </c>
      <c r="IY34" s="45">
        <v>5</v>
      </c>
      <c r="IZ34" s="46">
        <f t="shared" ref="IZ34:IZ37" si="637">IW34/IX34</f>
        <v>136</v>
      </c>
      <c r="JA34" s="46">
        <f t="shared" ref="JA34:JA37" si="638">IX34/IY34</f>
        <v>1.25</v>
      </c>
      <c r="JC34" s="26">
        <f>100+100+100+150+150</f>
        <v>600</v>
      </c>
      <c r="JD34" s="40">
        <f>1.45+1.07+1.18+1.54+1.52</f>
        <v>6.76</v>
      </c>
      <c r="JE34" s="45">
        <v>5</v>
      </c>
      <c r="JF34" s="46">
        <f t="shared" si="604"/>
        <v>88.757396449704146</v>
      </c>
      <c r="JG34" s="46">
        <f t="shared" si="605"/>
        <v>1.3519999999999999</v>
      </c>
      <c r="JI34" s="26">
        <f>100+100+100+100+100</f>
        <v>500</v>
      </c>
      <c r="JJ34" s="40">
        <f>1.2+1.19+1.23+1.21+1.2</f>
        <v>6.03</v>
      </c>
      <c r="JK34" s="45">
        <v>5</v>
      </c>
      <c r="JL34" s="46">
        <f t="shared" ref="JL34:JL37" si="639">JI34/JJ34</f>
        <v>82.918739635157536</v>
      </c>
      <c r="JM34" s="46">
        <f t="shared" ref="JM34:JM37" si="640">JJ34/JK34</f>
        <v>1.206</v>
      </c>
      <c r="JO34" s="26">
        <f>250+250+250+250+250</f>
        <v>1250</v>
      </c>
      <c r="JP34" s="40">
        <f>1.18+1.07+1.06+0.91+1.03</f>
        <v>5.25</v>
      </c>
      <c r="JQ34" s="45">
        <v>5</v>
      </c>
      <c r="JR34" s="46">
        <f t="shared" ref="JR34:JR38" si="641">JO34/JP34</f>
        <v>238.0952380952381</v>
      </c>
      <c r="JS34" s="46">
        <f t="shared" ref="JS34:JS37" si="642">JP34/JQ34</f>
        <v>1.05</v>
      </c>
      <c r="JU34" s="26">
        <f>200+200+200+200+200</f>
        <v>1000</v>
      </c>
      <c r="JV34" s="40">
        <f>0.94+0.87+0.93+0.85+1.03</f>
        <v>4.62</v>
      </c>
      <c r="JW34" s="45">
        <v>5</v>
      </c>
      <c r="JX34" s="46">
        <f t="shared" si="579"/>
        <v>216.45021645021646</v>
      </c>
      <c r="JY34" s="46">
        <f t="shared" si="580"/>
        <v>0.92400000000000004</v>
      </c>
      <c r="KA34" s="26">
        <f>200+200+200</f>
        <v>600</v>
      </c>
      <c r="KB34" s="40">
        <f>0.75+0.73+0.72</f>
        <v>2.2000000000000002</v>
      </c>
      <c r="KC34" s="45">
        <v>3</v>
      </c>
      <c r="KD34" s="46">
        <f t="shared" ref="KD34:KD35" si="643">KA34/KB34</f>
        <v>272.72727272727269</v>
      </c>
      <c r="KE34" s="46">
        <f t="shared" ref="KE34:KE35" si="644">KB34/KC34</f>
        <v>0.73333333333333339</v>
      </c>
      <c r="KG34" s="26">
        <f>300+300+300+300+300</f>
        <v>1500</v>
      </c>
      <c r="KH34" s="40">
        <f>0.54+0.6+0.65+0.65+0.68</f>
        <v>3.12</v>
      </c>
      <c r="KI34" s="45">
        <v>5</v>
      </c>
      <c r="KJ34" s="46">
        <f t="shared" si="583"/>
        <v>480.76923076923077</v>
      </c>
      <c r="KK34" s="46">
        <f t="shared" si="584"/>
        <v>0.624</v>
      </c>
      <c r="KM34" s="26"/>
      <c r="KN34" s="40"/>
      <c r="KO34" s="45"/>
      <c r="KP34" s="46" t="e">
        <f t="shared" si="622"/>
        <v>#DIV/0!</v>
      </c>
      <c r="KQ34" s="46" t="e">
        <f t="shared" si="585"/>
        <v>#DIV/0!</v>
      </c>
      <c r="KS34" s="26"/>
      <c r="KT34" s="40"/>
      <c r="KU34" s="45"/>
      <c r="KV34" s="46" t="e">
        <f t="shared" si="370"/>
        <v>#DIV/0!</v>
      </c>
      <c r="KW34" s="46" t="e">
        <f t="shared" ref="KW34:KW36" si="645">KT34/KU34</f>
        <v>#DIV/0!</v>
      </c>
      <c r="KY34" s="26"/>
      <c r="KZ34" s="40"/>
      <c r="LA34" s="45"/>
      <c r="LB34" s="46" t="e">
        <f t="shared" si="371"/>
        <v>#DIV/0!</v>
      </c>
      <c r="LC34" s="46" t="e">
        <f t="shared" ref="LC34:LC36" si="646">KZ34/LA34</f>
        <v>#DIV/0!</v>
      </c>
      <c r="LE34" s="26"/>
      <c r="LF34" s="40"/>
      <c r="LG34" s="45"/>
      <c r="LH34" s="46" t="e">
        <f t="shared" si="372"/>
        <v>#DIV/0!</v>
      </c>
      <c r="LI34" s="46" t="e">
        <f t="shared" ref="LI34:LI36" si="647">LF34/LG34</f>
        <v>#DIV/0!</v>
      </c>
      <c r="LK34" s="26">
        <f>200+200+200+200+200</f>
        <v>1000</v>
      </c>
      <c r="LL34" s="40">
        <f>1.31+1.15+1.37+1.17+1.48</f>
        <v>6.48</v>
      </c>
      <c r="LM34" s="45">
        <v>5</v>
      </c>
      <c r="LN34" s="46">
        <f t="shared" si="373"/>
        <v>154.32098765432099</v>
      </c>
      <c r="LO34" s="46">
        <f t="shared" ref="LO34:LO36" si="648">LL34/LM34</f>
        <v>1.296</v>
      </c>
      <c r="LQ34" s="26">
        <f>200+200+200+200+200</f>
        <v>1000</v>
      </c>
      <c r="LR34" s="40">
        <f>1.06+1.25+1.49+1.2+1.16</f>
        <v>6.16</v>
      </c>
      <c r="LS34" s="45">
        <v>5</v>
      </c>
      <c r="LT34" s="46">
        <f t="shared" si="374"/>
        <v>162.33766233766232</v>
      </c>
      <c r="LU34" s="46">
        <f t="shared" ref="LU34:LU36" si="649">LR34/LS34</f>
        <v>1.232</v>
      </c>
      <c r="LW34" s="26">
        <f>200+200+200+200+200</f>
        <v>1000</v>
      </c>
      <c r="LX34" s="40">
        <f>1.66+1.5+1.39+1.23+1.25</f>
        <v>7.0299999999999994</v>
      </c>
      <c r="LY34" s="45">
        <v>5</v>
      </c>
      <c r="LZ34" s="46">
        <f t="shared" si="375"/>
        <v>142.24751066856331</v>
      </c>
      <c r="MA34" s="46">
        <f t="shared" ref="MA34:MA36" si="650">LX34/LY34</f>
        <v>1.4059999999999999</v>
      </c>
      <c r="MC34" s="26">
        <f>200+200+200+200+200</f>
        <v>1000</v>
      </c>
      <c r="MD34" s="40">
        <f>1.47+1.37+1.6+1.32+1.33</f>
        <v>7.09</v>
      </c>
      <c r="ME34" s="45">
        <v>5</v>
      </c>
      <c r="MF34" s="46">
        <f t="shared" si="376"/>
        <v>141.04372355430183</v>
      </c>
      <c r="MG34" s="46">
        <f t="shared" ref="MG34:MG36" si="651">MD34/ME34</f>
        <v>1.4179999999999999</v>
      </c>
      <c r="MI34" s="26">
        <f>200+200+200+200+200</f>
        <v>1000</v>
      </c>
      <c r="MJ34" s="40">
        <f>1.34+1.32+1.25+1.37+1.31</f>
        <v>6.59</v>
      </c>
      <c r="MK34" s="45"/>
      <c r="ML34" s="46">
        <f t="shared" si="377"/>
        <v>151.74506828528072</v>
      </c>
      <c r="MM34" s="46" t="e">
        <f t="shared" ref="MM34:MM36" si="652">MJ34/MK34</f>
        <v>#DIV/0!</v>
      </c>
      <c r="MO34" s="26"/>
      <c r="MP34" s="40"/>
      <c r="MQ34" s="45"/>
      <c r="MR34" s="46" t="e">
        <f t="shared" si="378"/>
        <v>#DIV/0!</v>
      </c>
      <c r="MS34" s="46" t="e">
        <f t="shared" ref="MS34:MS36" si="653">MP34/MQ34</f>
        <v>#DIV/0!</v>
      </c>
      <c r="MU34" s="26"/>
      <c r="MV34" s="40"/>
      <c r="MW34" s="45"/>
      <c r="MX34" s="46" t="e">
        <f t="shared" si="379"/>
        <v>#DIV/0!</v>
      </c>
      <c r="MY34" s="46" t="e">
        <f t="shared" ref="MY34:MY36" si="654">MV34/MW34</f>
        <v>#DIV/0!</v>
      </c>
      <c r="NA34" s="823">
        <f>300+300+300+300+300</f>
        <v>1500</v>
      </c>
      <c r="NB34" s="823">
        <f>1.26+6.84+0.94+0.8+0.9</f>
        <v>10.74</v>
      </c>
      <c r="NC34" s="823">
        <v>5</v>
      </c>
      <c r="ND34" s="46">
        <f t="shared" si="380"/>
        <v>139.66480446927375</v>
      </c>
      <c r="NE34" s="46">
        <f t="shared" ref="NE34:NE36" si="655">NB34/NC34</f>
        <v>2.1480000000000001</v>
      </c>
      <c r="NG34" s="823"/>
      <c r="NH34" s="823"/>
      <c r="NI34" s="823"/>
      <c r="NJ34" s="46" t="e">
        <f t="shared" si="381"/>
        <v>#DIV/0!</v>
      </c>
      <c r="NK34" s="46" t="e">
        <f t="shared" ref="NK34:NK36" si="656">NH34/NI34</f>
        <v>#DIV/0!</v>
      </c>
      <c r="NM34" s="823">
        <f>300+300+300+300+300</f>
        <v>1500</v>
      </c>
      <c r="NN34" s="823">
        <f>0.7+0.7+0.71+0.85+0.83</f>
        <v>3.79</v>
      </c>
      <c r="NO34" s="823">
        <v>5</v>
      </c>
      <c r="NP34" s="46">
        <f t="shared" si="382"/>
        <v>395.77836411609496</v>
      </c>
      <c r="NQ34" s="46">
        <f t="shared" ref="NQ34:NQ36" si="657">NN34/NO34</f>
        <v>0.75800000000000001</v>
      </c>
      <c r="NS34" s="823">
        <f>300+300+200+200+200</f>
        <v>1200</v>
      </c>
      <c r="NT34" s="823">
        <f>1.18+1.05+0.84+0.99+1.06</f>
        <v>5.1199999999999992</v>
      </c>
      <c r="NU34" s="823">
        <v>5</v>
      </c>
      <c r="NV34" s="46">
        <f t="shared" si="383"/>
        <v>234.37500000000003</v>
      </c>
      <c r="NW34" s="46">
        <f t="shared" ref="NW34:NW36" si="658">NT34/NU34</f>
        <v>1.0239999999999998</v>
      </c>
      <c r="NY34" s="910">
        <f>100+100+100+100+100</f>
        <v>500</v>
      </c>
      <c r="NZ34" s="910">
        <f>0.76+0.73+0.71+0.7+0.69</f>
        <v>3.5900000000000003</v>
      </c>
      <c r="OA34" s="910">
        <v>5</v>
      </c>
      <c r="OB34" s="46">
        <f t="shared" si="384"/>
        <v>139.27576601671308</v>
      </c>
      <c r="OC34" s="46">
        <f t="shared" ref="OC34:OC36" si="659">NZ34/OA34</f>
        <v>0.71800000000000008</v>
      </c>
      <c r="OE34" s="823">
        <f>200+200+200+200+200</f>
        <v>1000</v>
      </c>
      <c r="OF34" s="823">
        <f>1.06+0.99+1.04+1.01+0.99</f>
        <v>5.09</v>
      </c>
      <c r="OG34" s="823">
        <v>5</v>
      </c>
      <c r="OH34" s="46">
        <f t="shared" si="385"/>
        <v>196.46365422396858</v>
      </c>
      <c r="OI34" s="46">
        <f t="shared" ref="OI34:OI36" si="660">OF34/OG34</f>
        <v>1.018</v>
      </c>
    </row>
    <row r="35" spans="2:399">
      <c r="B35" s="20"/>
      <c r="C35" s="21" t="s">
        <v>38</v>
      </c>
      <c r="D35" s="13" t="s">
        <v>14</v>
      </c>
      <c r="E35" s="29">
        <f>150+100+50+200+30</f>
        <v>530</v>
      </c>
      <c r="F35" s="32">
        <f>0.55+0.36+0.31+0.68+0.25</f>
        <v>2.15</v>
      </c>
      <c r="G35" s="33">
        <v>5</v>
      </c>
      <c r="H35" s="34">
        <f t="shared" si="610"/>
        <v>246.51162790697674</v>
      </c>
      <c r="I35" s="34">
        <f t="shared" si="611"/>
        <v>0.43</v>
      </c>
      <c r="J35" s="30"/>
      <c r="K35" s="29">
        <f>200+500+300+30+150</f>
        <v>1180</v>
      </c>
      <c r="L35" s="32">
        <f>0.41+0.52+0.63+0.22+0.37</f>
        <v>2.15</v>
      </c>
      <c r="M35" s="33">
        <v>5</v>
      </c>
      <c r="N35" s="34">
        <f t="shared" ref="N35" si="661">K35/L35</f>
        <v>548.83720930232562</v>
      </c>
      <c r="O35" s="34">
        <f t="shared" ref="O35" si="662">L35/M35</f>
        <v>0.43</v>
      </c>
      <c r="P35" s="30"/>
      <c r="Q35" s="29">
        <v>650</v>
      </c>
      <c r="R35" s="32">
        <v>4</v>
      </c>
      <c r="S35" s="33">
        <v>5</v>
      </c>
      <c r="T35" s="34">
        <f t="shared" ref="T35:T37" si="663">Q35/R35</f>
        <v>162.5</v>
      </c>
      <c r="U35" s="34">
        <f t="shared" ref="U35:U37" si="664">R35/S35</f>
        <v>0.8</v>
      </c>
      <c r="V35" s="30"/>
      <c r="W35" s="29">
        <f>30+50+100+150+20</f>
        <v>350</v>
      </c>
      <c r="X35" s="32">
        <f>0.23+0.28+0.45+0.46+0.13</f>
        <v>1.5499999999999998</v>
      </c>
      <c r="Y35" s="33">
        <v>5</v>
      </c>
      <c r="Z35" s="34">
        <f t="shared" ref="Z35:Z37" si="665">W35/X35</f>
        <v>225.80645161290326</v>
      </c>
      <c r="AA35" s="34">
        <f t="shared" ref="AA35:AA37" si="666">X35/Y35</f>
        <v>0.30999999999999994</v>
      </c>
      <c r="AB35" s="30"/>
      <c r="AC35" s="29">
        <f>200+100+150+150+150</f>
        <v>750</v>
      </c>
      <c r="AD35" s="32">
        <f>0.9+0.8+0.7+0.9+0.9</f>
        <v>4.2</v>
      </c>
      <c r="AE35" s="33">
        <v>5</v>
      </c>
      <c r="AF35" s="34">
        <f t="shared" si="627"/>
        <v>178.57142857142856</v>
      </c>
      <c r="AG35" s="34">
        <f t="shared" si="628"/>
        <v>0.84000000000000008</v>
      </c>
      <c r="AH35" s="30"/>
      <c r="AI35" s="29"/>
      <c r="AJ35" s="32"/>
      <c r="AK35" s="33"/>
      <c r="AL35" s="34"/>
      <c r="AM35" s="34"/>
      <c r="AN35" s="30"/>
      <c r="AO35" s="29">
        <f>30+50+100+100+100</f>
        <v>380</v>
      </c>
      <c r="AP35" s="32">
        <f>0.21+0.4+0.54+0.54+0.46</f>
        <v>2.15</v>
      </c>
      <c r="AQ35" s="33">
        <v>5</v>
      </c>
      <c r="AR35" s="34">
        <f t="shared" si="629"/>
        <v>176.74418604651163</v>
      </c>
      <c r="AS35" s="34">
        <f t="shared" si="630"/>
        <v>0.43</v>
      </c>
      <c r="AT35" s="30"/>
      <c r="AU35" s="29">
        <f>100+100+50+50+20</f>
        <v>320</v>
      </c>
      <c r="AV35" s="32">
        <f>0.45+0.42+0.28+0.13+0.11</f>
        <v>1.39</v>
      </c>
      <c r="AW35" s="33">
        <v>5</v>
      </c>
      <c r="AX35" s="34">
        <f t="shared" si="497"/>
        <v>230.21582733812951</v>
      </c>
      <c r="AY35" s="34">
        <f t="shared" si="498"/>
        <v>0.27799999999999997</v>
      </c>
      <c r="AZ35" s="592"/>
      <c r="BA35" s="29">
        <f>150+150+150+100+100</f>
        <v>650</v>
      </c>
      <c r="BB35" s="32">
        <f>1.96+1.48+1.94+1.3+1.14</f>
        <v>7.8199999999999994</v>
      </c>
      <c r="BC35" s="33">
        <v>5</v>
      </c>
      <c r="BD35" s="34">
        <f t="shared" si="569"/>
        <v>83.120204603580575</v>
      </c>
      <c r="BE35" s="34">
        <f t="shared" si="570"/>
        <v>1.5639999999999998</v>
      </c>
      <c r="BF35" s="592"/>
      <c r="BG35" s="29"/>
      <c r="BH35" s="32"/>
      <c r="BI35" s="33"/>
      <c r="BJ35" s="34"/>
      <c r="BK35" s="34"/>
      <c r="BL35" s="592"/>
      <c r="BM35" s="29"/>
      <c r="BN35" s="32"/>
      <c r="BO35" s="33"/>
      <c r="BP35" s="34"/>
      <c r="BQ35" s="34"/>
      <c r="BR35" s="30"/>
      <c r="BS35" s="29">
        <f>100+150+50+30+20</f>
        <v>350</v>
      </c>
      <c r="BT35" s="32">
        <f>0.83+0.55+0.23+0.08+0.13</f>
        <v>1.8199999999999998</v>
      </c>
      <c r="BU35" s="33">
        <v>5</v>
      </c>
      <c r="BV35" s="34">
        <f t="shared" si="523"/>
        <v>192.30769230769232</v>
      </c>
      <c r="BW35" s="34">
        <f t="shared" si="524"/>
        <v>0.36399999999999999</v>
      </c>
      <c r="BX35" s="592"/>
      <c r="BY35" s="29">
        <f>100+200+150+250+100</f>
        <v>800</v>
      </c>
      <c r="BZ35" s="32">
        <f>0.45+0.42+0.28+0.13+0.11</f>
        <v>1.39</v>
      </c>
      <c r="CA35" s="33">
        <v>5</v>
      </c>
      <c r="CB35" s="34">
        <f t="shared" si="450"/>
        <v>575.5395683453238</v>
      </c>
      <c r="CC35" s="34">
        <f t="shared" si="451"/>
        <v>0.27799999999999997</v>
      </c>
      <c r="CD35" s="592"/>
      <c r="CE35" s="29">
        <v>2100</v>
      </c>
      <c r="CF35" s="32">
        <v>16</v>
      </c>
      <c r="CG35" s="33">
        <v>5</v>
      </c>
      <c r="CH35" s="34">
        <f t="shared" si="612"/>
        <v>131.25</v>
      </c>
      <c r="CI35" s="34">
        <f t="shared" si="613"/>
        <v>3.2</v>
      </c>
      <c r="CJ35" s="592"/>
      <c r="CK35" s="29">
        <f>150+150+100+100+50</f>
        <v>550</v>
      </c>
      <c r="CL35" s="32">
        <f>0.77+0.7+0.36+0.45+0.28</f>
        <v>2.5600000000000005</v>
      </c>
      <c r="CM35" s="33">
        <v>5</v>
      </c>
      <c r="CN35" s="34">
        <f t="shared" si="631"/>
        <v>214.84374999999997</v>
      </c>
      <c r="CO35" s="34">
        <f t="shared" si="632"/>
        <v>0.51200000000000012</v>
      </c>
      <c r="CP35" s="592"/>
      <c r="CQ35" s="29"/>
      <c r="CR35" s="32"/>
      <c r="CS35" s="33"/>
      <c r="CT35" s="34"/>
      <c r="CU35" s="34"/>
      <c r="CV35" s="592"/>
      <c r="CW35" s="29">
        <f>100+200+150+250+100</f>
        <v>800</v>
      </c>
      <c r="CX35" s="32">
        <f>0.45+0.42+0.28+0.13+0.11</f>
        <v>1.39</v>
      </c>
      <c r="CY35" s="33">
        <v>5</v>
      </c>
      <c r="CZ35" s="34">
        <f t="shared" si="614"/>
        <v>575.5395683453238</v>
      </c>
      <c r="DA35" s="34">
        <f t="shared" si="615"/>
        <v>0.27799999999999997</v>
      </c>
      <c r="DB35" s="592"/>
      <c r="DC35" s="29">
        <f>100+200+200+200+50</f>
        <v>750</v>
      </c>
      <c r="DD35" s="32">
        <f>0.41+0.41+0.89+0.63+0.41</f>
        <v>2.75</v>
      </c>
      <c r="DE35" s="33">
        <v>5</v>
      </c>
      <c r="DF35" s="34">
        <f t="shared" ref="DF35:DF37" si="667">DC35/DD35</f>
        <v>272.72727272727275</v>
      </c>
      <c r="DG35" s="34">
        <f t="shared" ref="DG35:DG37" si="668">DD35/DE35</f>
        <v>0.55000000000000004</v>
      </c>
      <c r="DH35" s="592"/>
      <c r="DI35" s="29">
        <v>280</v>
      </c>
      <c r="DJ35" s="32">
        <v>1.74</v>
      </c>
      <c r="DK35" s="33">
        <v>5</v>
      </c>
      <c r="DL35" s="34">
        <f t="shared" si="616"/>
        <v>160.91954022988506</v>
      </c>
      <c r="DM35" s="34">
        <f t="shared" si="617"/>
        <v>0.34799999999999998</v>
      </c>
      <c r="DN35" s="592"/>
      <c r="DO35" s="29">
        <v>600</v>
      </c>
      <c r="DP35" s="32">
        <v>4.0199999999999996</v>
      </c>
      <c r="DQ35" s="33">
        <v>5</v>
      </c>
      <c r="DR35" s="34">
        <f t="shared" si="618"/>
        <v>149.25373134328359</v>
      </c>
      <c r="DS35" s="34">
        <f t="shared" si="619"/>
        <v>0.80399999999999994</v>
      </c>
      <c r="DT35" s="592"/>
      <c r="DU35" s="29"/>
      <c r="DV35" s="32"/>
      <c r="DW35" s="33"/>
      <c r="DX35" s="34"/>
      <c r="DY35" s="34"/>
      <c r="DZ35" s="592"/>
      <c r="EA35" s="29"/>
      <c r="EB35" s="32"/>
      <c r="EC35" s="33"/>
      <c r="ED35" s="34"/>
      <c r="EE35" s="34"/>
      <c r="EF35" s="592"/>
      <c r="EG35" s="29"/>
      <c r="EH35" s="32"/>
      <c r="EI35" s="33"/>
      <c r="EJ35" s="34"/>
      <c r="EK35" s="34"/>
      <c r="EL35" s="592"/>
      <c r="EM35" s="29"/>
      <c r="EN35" s="32"/>
      <c r="EO35" s="33"/>
      <c r="EP35" s="34"/>
      <c r="EQ35" s="34"/>
      <c r="ER35" s="30"/>
      <c r="ES35" s="29">
        <f>100+200+150+250+100</f>
        <v>800</v>
      </c>
      <c r="ET35" s="32">
        <f>0.45+0.42+0.28+0.13+0.11</f>
        <v>1.39</v>
      </c>
      <c r="EU35" s="33">
        <v>5</v>
      </c>
      <c r="EV35" s="34">
        <f t="shared" si="18"/>
        <v>575.5395683453238</v>
      </c>
      <c r="EW35" s="34">
        <f t="shared" si="18"/>
        <v>0.27799999999999997</v>
      </c>
      <c r="EX35" s="30"/>
      <c r="EY35" s="35">
        <v>530</v>
      </c>
      <c r="EZ35" s="34">
        <v>2</v>
      </c>
      <c r="FA35" s="37">
        <v>5</v>
      </c>
      <c r="FB35" s="34">
        <f>EY35/EZ35</f>
        <v>265</v>
      </c>
      <c r="FC35" s="34">
        <f t="shared" si="118"/>
        <v>0.4</v>
      </c>
      <c r="FE35" s="26">
        <v>650</v>
      </c>
      <c r="FF35" s="27">
        <v>4</v>
      </c>
      <c r="FG35" s="28">
        <v>5</v>
      </c>
      <c r="FH35" s="38">
        <f t="shared" si="96"/>
        <v>162.5</v>
      </c>
      <c r="FI35" s="39">
        <f t="shared" si="96"/>
        <v>0.8</v>
      </c>
      <c r="FK35" s="27">
        <f>200+150+100+150+50</f>
        <v>650</v>
      </c>
      <c r="FL35" s="40">
        <f>0.69+0.41+0.32+0.39+0.24</f>
        <v>2.0499999999999998</v>
      </c>
      <c r="FM35" s="27">
        <f>5</f>
        <v>5</v>
      </c>
      <c r="FN35" s="40">
        <f t="shared" si="97"/>
        <v>317.07317073170736</v>
      </c>
      <c r="FO35" s="40">
        <f t="shared" si="97"/>
        <v>0.41</v>
      </c>
      <c r="FQ35" s="26">
        <f>250+200+100+150+100</f>
        <v>800</v>
      </c>
      <c r="FR35" s="40">
        <f>0.71+0.42+0.29+0.29+0.29</f>
        <v>2</v>
      </c>
      <c r="FS35" s="27">
        <f>5</f>
        <v>5</v>
      </c>
      <c r="FT35" s="40">
        <f t="shared" si="19"/>
        <v>400</v>
      </c>
      <c r="FU35" s="40">
        <f t="shared" si="19"/>
        <v>0.4</v>
      </c>
      <c r="FW35" s="26">
        <f>100*5</f>
        <v>500</v>
      </c>
      <c r="FX35" s="27">
        <f>1.15*5</f>
        <v>5.75</v>
      </c>
      <c r="FY35" s="27">
        <f>5</f>
        <v>5</v>
      </c>
      <c r="FZ35" s="40">
        <f t="shared" si="20"/>
        <v>86.956521739130437</v>
      </c>
      <c r="GA35" s="40">
        <f t="shared" si="20"/>
        <v>1.1499999999999999</v>
      </c>
      <c r="GC35" s="26">
        <f>150+150+150+150+150</f>
        <v>750</v>
      </c>
      <c r="GD35" s="27">
        <f>1.61+1.61+1.61+1.61+1.61</f>
        <v>8.0500000000000007</v>
      </c>
      <c r="GE35" s="27">
        <f>5</f>
        <v>5</v>
      </c>
      <c r="GF35" s="40">
        <f t="shared" si="21"/>
        <v>93.167701863354026</v>
      </c>
      <c r="GG35" s="40">
        <f t="shared" si="21"/>
        <v>1.61</v>
      </c>
      <c r="GI35" s="26">
        <f>100+100+100+100+100</f>
        <v>500</v>
      </c>
      <c r="GJ35" s="27">
        <f>1.72+1.72+1.72+1.72+1.72</f>
        <v>8.6</v>
      </c>
      <c r="GK35" s="27">
        <f>5</f>
        <v>5</v>
      </c>
      <c r="GL35" s="40">
        <f t="shared" si="22"/>
        <v>58.139534883720934</v>
      </c>
      <c r="GM35" s="40">
        <f t="shared" si="22"/>
        <v>1.72</v>
      </c>
      <c r="GO35" s="26">
        <f>150+100+150+200+300</f>
        <v>900</v>
      </c>
      <c r="GP35" s="40">
        <f>0.4+0.37+0.4+0.72+0.2</f>
        <v>2.09</v>
      </c>
      <c r="GQ35" s="27">
        <f>5</f>
        <v>5</v>
      </c>
      <c r="GR35" s="40">
        <f t="shared" si="98"/>
        <v>430.62200956937801</v>
      </c>
      <c r="GS35" s="40">
        <f t="shared" si="98"/>
        <v>0.41799999999999998</v>
      </c>
      <c r="GU35" s="95">
        <f>50+50+100+150+50</f>
        <v>400</v>
      </c>
      <c r="GV35" s="99">
        <f>0.45+0.68+0.35+0.47+0.34</f>
        <v>2.29</v>
      </c>
      <c r="GW35" s="100">
        <v>5</v>
      </c>
      <c r="GX35" s="101">
        <f t="shared" si="23"/>
        <v>174.67248908296943</v>
      </c>
      <c r="GY35" s="101">
        <f t="shared" si="23"/>
        <v>0.45800000000000002</v>
      </c>
      <c r="GZ35" s="43"/>
      <c r="HA35" s="26">
        <f>100+50+20+30+100</f>
        <v>300</v>
      </c>
      <c r="HB35" s="39">
        <f>0.3+0.2+0.2+0.2+0.45</f>
        <v>1.3499999999999999</v>
      </c>
      <c r="HC35" s="28">
        <v>5</v>
      </c>
      <c r="HD35" s="106">
        <f t="shared" si="24"/>
        <v>222.22222222222226</v>
      </c>
      <c r="HE35" s="106">
        <f t="shared" si="24"/>
        <v>0.26999999999999996</v>
      </c>
      <c r="HG35" s="26">
        <f>200+100+150+50+100</f>
        <v>600</v>
      </c>
      <c r="HH35" s="40">
        <f>0.3+0.21+0.32+0.39+0.24</f>
        <v>1.4600000000000002</v>
      </c>
      <c r="HI35" s="27">
        <f>5</f>
        <v>5</v>
      </c>
      <c r="HJ35" s="34">
        <f t="shared" si="25"/>
        <v>410.95890410958901</v>
      </c>
      <c r="HK35" s="34">
        <f t="shared" si="25"/>
        <v>0.29200000000000004</v>
      </c>
      <c r="HM35" s="26">
        <f>150+100+50+200+30</f>
        <v>530</v>
      </c>
      <c r="HN35" s="45">
        <f>0.55+0.36+0.31+0.68+0.25</f>
        <v>2.15</v>
      </c>
      <c r="HO35" s="46">
        <v>5</v>
      </c>
      <c r="HP35" s="47">
        <f t="shared" si="99"/>
        <v>246.51162790697674</v>
      </c>
      <c r="HQ35" s="47">
        <f t="shared" si="99"/>
        <v>0.43</v>
      </c>
      <c r="HS35" s="26">
        <f>200+500+300+30+150</f>
        <v>1180</v>
      </c>
      <c r="HT35" s="45">
        <f>0.41+0.52+0.63+0.22+0.37</f>
        <v>2.15</v>
      </c>
      <c r="HU35" s="46">
        <v>5</v>
      </c>
      <c r="HV35" s="48">
        <f t="shared" si="26"/>
        <v>548.83720930232562</v>
      </c>
      <c r="HW35" s="48">
        <f t="shared" si="26"/>
        <v>0.43</v>
      </c>
      <c r="HY35" s="45">
        <f>700</f>
        <v>700</v>
      </c>
      <c r="HZ35" s="45">
        <f>3.08</f>
        <v>3.08</v>
      </c>
      <c r="IA35" s="45">
        <v>5</v>
      </c>
      <c r="IB35" s="48">
        <f t="shared" si="141"/>
        <v>227.27272727272728</v>
      </c>
      <c r="IC35" s="48">
        <f t="shared" si="141"/>
        <v>0.61599999999999999</v>
      </c>
      <c r="IE35" s="45">
        <f>50+50+50+50+50</f>
        <v>250</v>
      </c>
      <c r="IF35" s="45">
        <f>1.54</f>
        <v>1.54</v>
      </c>
      <c r="IG35" s="45">
        <f>5</f>
        <v>5</v>
      </c>
      <c r="IH35" s="48">
        <f t="shared" si="27"/>
        <v>162.33766233766232</v>
      </c>
      <c r="II35" s="48">
        <f t="shared" si="27"/>
        <v>0.308</v>
      </c>
      <c r="IK35" s="26">
        <f>100+100+100+100+100</f>
        <v>500</v>
      </c>
      <c r="IL35" s="48">
        <f>2.17</f>
        <v>2.17</v>
      </c>
      <c r="IM35" s="45">
        <f>5</f>
        <v>5</v>
      </c>
      <c r="IN35" s="48">
        <f t="shared" si="28"/>
        <v>230.41474654377882</v>
      </c>
      <c r="IO35" s="48">
        <f t="shared" si="28"/>
        <v>0.434</v>
      </c>
      <c r="IQ35" s="26">
        <f>100*5</f>
        <v>500</v>
      </c>
      <c r="IR35" s="48">
        <f>2.45*5</f>
        <v>12.25</v>
      </c>
      <c r="IS35" s="45">
        <v>5</v>
      </c>
      <c r="IT35" s="48">
        <f t="shared" si="635"/>
        <v>40.816326530612244</v>
      </c>
      <c r="IU35" s="48">
        <f t="shared" si="636"/>
        <v>2.4500000000000002</v>
      </c>
      <c r="IW35" s="26">
        <f>100*5</f>
        <v>500</v>
      </c>
      <c r="IX35" s="48">
        <f>1.69</f>
        <v>1.69</v>
      </c>
      <c r="IY35" s="45">
        <v>5</v>
      </c>
      <c r="IZ35" s="46">
        <f t="shared" si="637"/>
        <v>295.85798816568047</v>
      </c>
      <c r="JA35" s="46">
        <f t="shared" si="638"/>
        <v>0.33799999999999997</v>
      </c>
      <c r="JC35" s="26">
        <f>50+100+20+100+150</f>
        <v>420</v>
      </c>
      <c r="JD35" s="48">
        <f>0.32+0.46+0.11+0.42+0.66</f>
        <v>1.9700000000000002</v>
      </c>
      <c r="JE35" s="45">
        <v>5</v>
      </c>
      <c r="JF35" s="46">
        <f t="shared" si="604"/>
        <v>213.1979695431472</v>
      </c>
      <c r="JG35" s="46">
        <f t="shared" si="605"/>
        <v>0.39400000000000002</v>
      </c>
      <c r="JI35" s="26"/>
      <c r="JJ35" s="48"/>
      <c r="JK35" s="45"/>
      <c r="JL35" s="46"/>
      <c r="JM35" s="46"/>
      <c r="JO35" s="26">
        <f>50+100+20+30+100</f>
        <v>300</v>
      </c>
      <c r="JP35" s="48">
        <f>0.37+0.61+0.24+0.55+0.46</f>
        <v>2.23</v>
      </c>
      <c r="JQ35" s="45">
        <v>5</v>
      </c>
      <c r="JR35" s="46">
        <f t="shared" si="641"/>
        <v>134.52914798206277</v>
      </c>
      <c r="JS35" s="46">
        <f t="shared" si="642"/>
        <v>0.44600000000000001</v>
      </c>
      <c r="JU35" s="26">
        <f>150+100+50+30+20</f>
        <v>350</v>
      </c>
      <c r="JV35" s="48">
        <f>0.7+0.5+0.38+0.31+0.21</f>
        <v>2.1</v>
      </c>
      <c r="JW35" s="45">
        <v>5</v>
      </c>
      <c r="JX35" s="46">
        <f t="shared" si="579"/>
        <v>166.66666666666666</v>
      </c>
      <c r="JY35" s="46">
        <f t="shared" si="580"/>
        <v>0.42000000000000004</v>
      </c>
      <c r="KA35" s="26">
        <f>100+100+50+150+30</f>
        <v>430</v>
      </c>
      <c r="KB35" s="48">
        <f>0.67+0.68+0.52+0.81+0.32</f>
        <v>3</v>
      </c>
      <c r="KC35" s="45">
        <v>5</v>
      </c>
      <c r="KD35" s="46">
        <f t="shared" si="643"/>
        <v>143.33333333333334</v>
      </c>
      <c r="KE35" s="46">
        <f t="shared" si="644"/>
        <v>0.6</v>
      </c>
      <c r="KG35" s="26">
        <f>150+200+250+250</f>
        <v>850</v>
      </c>
      <c r="KH35" s="48">
        <f>0.06+0.07+0.42+0.53</f>
        <v>1.08</v>
      </c>
      <c r="KI35" s="45">
        <v>4</v>
      </c>
      <c r="KJ35" s="46">
        <f t="shared" si="583"/>
        <v>787.03703703703695</v>
      </c>
      <c r="KK35" s="46">
        <f t="shared" si="584"/>
        <v>0.27</v>
      </c>
      <c r="KM35" s="26">
        <f>100+100+100+200+200</f>
        <v>700</v>
      </c>
      <c r="KN35" s="48">
        <f>0.2+0.29</f>
        <v>0.49</v>
      </c>
      <c r="KO35" s="45">
        <v>5</v>
      </c>
      <c r="KP35" s="46">
        <f t="shared" si="622"/>
        <v>1428.5714285714287</v>
      </c>
      <c r="KQ35" s="46">
        <f t="shared" si="585"/>
        <v>9.8000000000000004E-2</v>
      </c>
      <c r="KS35" s="26">
        <f>200+150+150+100+50</f>
        <v>650</v>
      </c>
      <c r="KT35" s="48">
        <f>0.81+0.71+0.68+0.58+0.25</f>
        <v>3.0300000000000002</v>
      </c>
      <c r="KU35" s="45">
        <v>5</v>
      </c>
      <c r="KV35" s="46">
        <f t="shared" si="370"/>
        <v>214.52145214521451</v>
      </c>
      <c r="KW35" s="46">
        <f t="shared" si="645"/>
        <v>0.60600000000000009</v>
      </c>
      <c r="KY35" s="26"/>
      <c r="KZ35" s="48"/>
      <c r="LA35" s="45"/>
      <c r="LB35" s="46" t="e">
        <f t="shared" si="371"/>
        <v>#DIV/0!</v>
      </c>
      <c r="LC35" s="46" t="e">
        <f t="shared" si="646"/>
        <v>#DIV/0!</v>
      </c>
      <c r="LE35" s="26"/>
      <c r="LF35" s="48"/>
      <c r="LG35" s="45"/>
      <c r="LH35" s="46" t="e">
        <f t="shared" si="372"/>
        <v>#DIV/0!</v>
      </c>
      <c r="LI35" s="46" t="e">
        <f t="shared" si="647"/>
        <v>#DIV/0!</v>
      </c>
      <c r="LK35" s="26">
        <f>150+150+100+100+50</f>
        <v>550</v>
      </c>
      <c r="LL35" s="48">
        <f>0.37+0.34+0.33+0.33+0.24</f>
        <v>1.61</v>
      </c>
      <c r="LM35" s="45">
        <v>5</v>
      </c>
      <c r="LN35" s="46">
        <f t="shared" si="373"/>
        <v>341.61490683229812</v>
      </c>
      <c r="LO35" s="46">
        <f t="shared" si="648"/>
        <v>0.32200000000000001</v>
      </c>
      <c r="LQ35" s="26">
        <f>100+100+100+100+100</f>
        <v>500</v>
      </c>
      <c r="LR35" s="48">
        <f>1.74+1.74+1.74+1.74+1.74</f>
        <v>8.6999999999999993</v>
      </c>
      <c r="LS35" s="45">
        <v>5</v>
      </c>
      <c r="LT35" s="46">
        <f t="shared" si="374"/>
        <v>57.471264367816097</v>
      </c>
      <c r="LU35" s="46">
        <f t="shared" si="649"/>
        <v>1.7399999999999998</v>
      </c>
      <c r="LW35" s="26">
        <f>150+150+100+100+50</f>
        <v>550</v>
      </c>
      <c r="LX35" s="48">
        <f>0.62+0.66+0.55+0.63+0.31</f>
        <v>2.77</v>
      </c>
      <c r="LY35" s="45">
        <v>5</v>
      </c>
      <c r="LZ35" s="46">
        <f t="shared" si="375"/>
        <v>198.55595667870037</v>
      </c>
      <c r="MA35" s="46">
        <f t="shared" si="650"/>
        <v>0.55400000000000005</v>
      </c>
      <c r="MC35" s="26">
        <f>50+50+50+50+50</f>
        <v>250</v>
      </c>
      <c r="MD35" s="48">
        <f>0.48+0.48+0.48+0.48+0.48</f>
        <v>2.4</v>
      </c>
      <c r="ME35" s="45">
        <v>5</v>
      </c>
      <c r="MF35" s="46">
        <f t="shared" si="376"/>
        <v>104.16666666666667</v>
      </c>
      <c r="MG35" s="46">
        <f t="shared" si="651"/>
        <v>0.48</v>
      </c>
      <c r="MI35" s="26">
        <f>100+100+100+100+100</f>
        <v>500</v>
      </c>
      <c r="MJ35" s="48">
        <f>0.45+0.45+0.45+0.45+0.45</f>
        <v>2.25</v>
      </c>
      <c r="MK35" s="45">
        <v>5</v>
      </c>
      <c r="ML35" s="46">
        <f t="shared" si="377"/>
        <v>222.22222222222223</v>
      </c>
      <c r="MM35" s="46">
        <f t="shared" si="652"/>
        <v>0.45</v>
      </c>
      <c r="MO35" s="26"/>
      <c r="MP35" s="48"/>
      <c r="MQ35" s="45"/>
      <c r="MR35" s="46" t="e">
        <f t="shared" si="378"/>
        <v>#DIV/0!</v>
      </c>
      <c r="MS35" s="46" t="e">
        <f t="shared" si="653"/>
        <v>#DIV/0!</v>
      </c>
      <c r="MU35" s="26"/>
      <c r="MV35" s="48"/>
      <c r="MW35" s="45"/>
      <c r="MX35" s="46" t="e">
        <f t="shared" si="379"/>
        <v>#DIV/0!</v>
      </c>
      <c r="MY35" s="46" t="e">
        <f t="shared" si="654"/>
        <v>#DIV/0!</v>
      </c>
      <c r="NA35" s="823">
        <f>100+100+100+30+30</f>
        <v>360</v>
      </c>
      <c r="NB35" s="823">
        <f>0.76+0.38+1.46+0.58+0.58</f>
        <v>3.7600000000000002</v>
      </c>
      <c r="NC35" s="823">
        <v>5</v>
      </c>
      <c r="ND35" s="46">
        <f t="shared" si="380"/>
        <v>95.744680851063819</v>
      </c>
      <c r="NE35" s="46">
        <f t="shared" si="655"/>
        <v>0.752</v>
      </c>
      <c r="NG35" s="823">
        <f>200+150+100+30+50</f>
        <v>530</v>
      </c>
      <c r="NH35" s="823">
        <f>0.83+0.67+0.28+0.26+0.32</f>
        <v>2.36</v>
      </c>
      <c r="NI35" s="823">
        <v>5</v>
      </c>
      <c r="NJ35" s="46">
        <f t="shared" si="381"/>
        <v>224.57627118644069</v>
      </c>
      <c r="NK35" s="46">
        <f t="shared" si="656"/>
        <v>0.47199999999999998</v>
      </c>
      <c r="NM35" s="823">
        <f>200+200+300+100+100</f>
        <v>900</v>
      </c>
      <c r="NN35" s="823">
        <f>1.12+1.98+1.68+0.32+0.3</f>
        <v>5.4</v>
      </c>
      <c r="NO35" s="823">
        <v>5</v>
      </c>
      <c r="NP35" s="46">
        <f t="shared" si="382"/>
        <v>166.66666666666666</v>
      </c>
      <c r="NQ35" s="46">
        <f t="shared" si="657"/>
        <v>1.08</v>
      </c>
      <c r="NS35" s="823">
        <f>200+150+50+50+50</f>
        <v>500</v>
      </c>
      <c r="NT35" s="823">
        <f>0.4+0.34+0.22+0.22+0.19</f>
        <v>1.3699999999999999</v>
      </c>
      <c r="NU35" s="823">
        <v>5</v>
      </c>
      <c r="NV35" s="46">
        <f t="shared" si="383"/>
        <v>364.96350364963507</v>
      </c>
      <c r="NW35" s="46">
        <f t="shared" si="658"/>
        <v>0.27399999999999997</v>
      </c>
      <c r="NY35" s="910">
        <f>100+100+100+150+150</f>
        <v>600</v>
      </c>
      <c r="NZ35" s="910">
        <f>0.56+0.71+0.74+0.66+0.81</f>
        <v>3.48</v>
      </c>
      <c r="OA35" s="910">
        <v>5</v>
      </c>
      <c r="OB35" s="46">
        <f t="shared" si="384"/>
        <v>172.41379310344828</v>
      </c>
      <c r="OC35" s="46">
        <f t="shared" si="659"/>
        <v>0.69599999999999995</v>
      </c>
      <c r="OE35" s="823">
        <f>50+20+20+100+150</f>
        <v>340</v>
      </c>
      <c r="OF35" s="823">
        <f>0.47+0.25+0.27+0.64+0.93</f>
        <v>2.56</v>
      </c>
      <c r="OG35" s="823">
        <v>5</v>
      </c>
      <c r="OH35" s="46">
        <f t="shared" si="385"/>
        <v>132.8125</v>
      </c>
      <c r="OI35" s="46">
        <f t="shared" si="660"/>
        <v>0.51200000000000001</v>
      </c>
    </row>
    <row r="36" spans="2:399">
      <c r="B36" s="20"/>
      <c r="C36" s="902" t="s">
        <v>39</v>
      </c>
      <c r="D36" s="903" t="s">
        <v>14</v>
      </c>
      <c r="E36" s="29"/>
      <c r="F36" s="32"/>
      <c r="G36" s="33"/>
      <c r="H36" s="34"/>
      <c r="I36" s="34"/>
      <c r="J36" s="30"/>
      <c r="K36" s="29">
        <v>300</v>
      </c>
      <c r="L36" s="32">
        <v>2.12</v>
      </c>
      <c r="M36" s="33">
        <v>1</v>
      </c>
      <c r="N36" s="34">
        <f t="shared" ref="N36" si="669">K36/L36</f>
        <v>141.50943396226415</v>
      </c>
      <c r="O36" s="34">
        <f t="shared" ref="O36" si="670">L36/M36</f>
        <v>2.12</v>
      </c>
      <c r="P36" s="30"/>
      <c r="Q36" s="29">
        <v>2300</v>
      </c>
      <c r="R36" s="32">
        <v>14.2</v>
      </c>
      <c r="S36" s="33">
        <v>5</v>
      </c>
      <c r="T36" s="34">
        <f t="shared" si="663"/>
        <v>161.97183098591549</v>
      </c>
      <c r="U36" s="34">
        <f t="shared" si="664"/>
        <v>2.84</v>
      </c>
      <c r="V36" s="30"/>
      <c r="W36" s="29"/>
      <c r="X36" s="32"/>
      <c r="Y36" s="33"/>
      <c r="Z36" s="34"/>
      <c r="AA36" s="34"/>
      <c r="AB36" s="30"/>
      <c r="AC36" s="29">
        <f>450+450+500+600+500</f>
        <v>2500</v>
      </c>
      <c r="AD36" s="32">
        <f>2.3+2.1+2.2+2.2+2.3</f>
        <v>11.100000000000001</v>
      </c>
      <c r="AE36" s="33">
        <v>5</v>
      </c>
      <c r="AF36" s="34">
        <f t="shared" ref="AF36" si="671">AC36/AD36</f>
        <v>225.22522522522519</v>
      </c>
      <c r="AG36" s="34">
        <f t="shared" ref="AG36" si="672">AD36/AE36</f>
        <v>2.2200000000000002</v>
      </c>
      <c r="AH36" s="30"/>
      <c r="AI36" s="29"/>
      <c r="AJ36" s="32"/>
      <c r="AK36" s="33"/>
      <c r="AL36" s="34"/>
      <c r="AM36" s="34"/>
      <c r="AN36" s="30"/>
      <c r="AO36" s="29">
        <f>500+100+500+250+100</f>
        <v>1450</v>
      </c>
      <c r="AP36" s="32">
        <f>2.77+2+3+1.99+1.09</f>
        <v>10.85</v>
      </c>
      <c r="AQ36" s="33">
        <v>5</v>
      </c>
      <c r="AR36" s="34">
        <f t="shared" si="629"/>
        <v>133.64055299539172</v>
      </c>
      <c r="AS36" s="34">
        <f t="shared" si="630"/>
        <v>2.17</v>
      </c>
      <c r="AT36" s="30"/>
      <c r="AU36" s="29">
        <f>200+500+200+400+300</f>
        <v>1600</v>
      </c>
      <c r="AV36" s="32">
        <f>2.87+3.48+1.45+2.34+1.93</f>
        <v>12.07</v>
      </c>
      <c r="AW36" s="33">
        <v>5</v>
      </c>
      <c r="AX36" s="34">
        <f t="shared" si="497"/>
        <v>132.56006628003314</v>
      </c>
      <c r="AY36" s="34">
        <f t="shared" si="498"/>
        <v>2.4140000000000001</v>
      </c>
      <c r="AZ36" s="592"/>
      <c r="BA36" s="29">
        <f>500+600+200+200+150</f>
        <v>1650</v>
      </c>
      <c r="BB36" s="32">
        <f>2.47+3.69+3.15+3.29+2.64</f>
        <v>15.240000000000002</v>
      </c>
      <c r="BC36" s="33">
        <v>5</v>
      </c>
      <c r="BD36" s="34">
        <f t="shared" si="569"/>
        <v>108.26771653543305</v>
      </c>
      <c r="BE36" s="34">
        <f t="shared" si="570"/>
        <v>3.0480000000000005</v>
      </c>
      <c r="BF36" s="592"/>
      <c r="BG36" s="29"/>
      <c r="BH36" s="32"/>
      <c r="BI36" s="33"/>
      <c r="BJ36" s="34"/>
      <c r="BK36" s="34"/>
      <c r="BL36" s="592"/>
      <c r="BM36" s="29"/>
      <c r="BN36" s="32"/>
      <c r="BO36" s="33"/>
      <c r="BP36" s="34"/>
      <c r="BQ36" s="34"/>
      <c r="BR36" s="30"/>
      <c r="BS36" s="29">
        <f>200+300+400+200</f>
        <v>1100</v>
      </c>
      <c r="BT36" s="32">
        <f>1.84+2.69+2.69+1.63</f>
        <v>8.8500000000000014</v>
      </c>
      <c r="BU36" s="33">
        <v>4</v>
      </c>
      <c r="BV36" s="34">
        <f t="shared" si="523"/>
        <v>124.29378531073445</v>
      </c>
      <c r="BW36" s="34">
        <f t="shared" si="524"/>
        <v>2.2125000000000004</v>
      </c>
      <c r="BX36" s="592"/>
      <c r="BY36" s="29">
        <f>200+500+200+400+300</f>
        <v>1600</v>
      </c>
      <c r="BZ36" s="32">
        <f>2.87+3.48+1.45+2.34+1.93</f>
        <v>12.07</v>
      </c>
      <c r="CA36" s="33">
        <v>5</v>
      </c>
      <c r="CB36" s="34">
        <f t="shared" si="450"/>
        <v>132.56006628003314</v>
      </c>
      <c r="CC36" s="34">
        <f t="shared" si="451"/>
        <v>2.4140000000000001</v>
      </c>
      <c r="CD36" s="592"/>
      <c r="CE36" s="29">
        <v>750</v>
      </c>
      <c r="CF36" s="32">
        <v>8</v>
      </c>
      <c r="CG36" s="33">
        <v>5</v>
      </c>
      <c r="CH36" s="34">
        <f t="shared" si="612"/>
        <v>93.75</v>
      </c>
      <c r="CI36" s="34">
        <f t="shared" si="613"/>
        <v>1.6</v>
      </c>
      <c r="CJ36" s="592"/>
      <c r="CK36" s="29">
        <f>200+300+300+200+200</f>
        <v>1200</v>
      </c>
      <c r="CL36" s="32">
        <f>3.04+3.81+3.49+3.63+2.28</f>
        <v>16.25</v>
      </c>
      <c r="CM36" s="33">
        <v>5</v>
      </c>
      <c r="CN36" s="34">
        <f t="shared" si="631"/>
        <v>73.84615384615384</v>
      </c>
      <c r="CO36" s="34">
        <f t="shared" si="632"/>
        <v>3.25</v>
      </c>
      <c r="CP36" s="592"/>
      <c r="CQ36" s="29"/>
      <c r="CR36" s="32"/>
      <c r="CS36" s="33"/>
      <c r="CT36" s="34"/>
      <c r="CU36" s="34"/>
      <c r="CV36" s="592"/>
      <c r="CW36" s="29">
        <f>200+500+200+400+300</f>
        <v>1600</v>
      </c>
      <c r="CX36" s="32">
        <f>2.87+3.48+1.45+2.34+1.93</f>
        <v>12.07</v>
      </c>
      <c r="CY36" s="33">
        <v>5</v>
      </c>
      <c r="CZ36" s="34">
        <f t="shared" si="614"/>
        <v>132.56006628003314</v>
      </c>
      <c r="DA36" s="34">
        <f t="shared" si="615"/>
        <v>2.4140000000000001</v>
      </c>
      <c r="DB36" s="592"/>
      <c r="DC36" s="29">
        <f>300+500</f>
        <v>800</v>
      </c>
      <c r="DD36" s="32">
        <f>1.97+2.51</f>
        <v>4.4799999999999995</v>
      </c>
      <c r="DE36" s="33">
        <v>2</v>
      </c>
      <c r="DF36" s="34">
        <f t="shared" si="667"/>
        <v>178.57142857142858</v>
      </c>
      <c r="DG36" s="34">
        <f t="shared" si="668"/>
        <v>2.2399999999999998</v>
      </c>
      <c r="DH36" s="592"/>
      <c r="DI36" s="29">
        <v>1550</v>
      </c>
      <c r="DJ36" s="32">
        <v>14.33</v>
      </c>
      <c r="DK36" s="33">
        <v>5</v>
      </c>
      <c r="DL36" s="34">
        <f t="shared" si="616"/>
        <v>108.16468946266573</v>
      </c>
      <c r="DM36" s="34">
        <f t="shared" si="617"/>
        <v>2.8660000000000001</v>
      </c>
      <c r="DN36" s="592"/>
      <c r="DO36" s="29">
        <v>1900</v>
      </c>
      <c r="DP36" s="32">
        <v>12.53</v>
      </c>
      <c r="DQ36" s="33">
        <v>5</v>
      </c>
      <c r="DR36" s="34">
        <f t="shared" si="618"/>
        <v>151.63607342378293</v>
      </c>
      <c r="DS36" s="34">
        <f t="shared" si="619"/>
        <v>2.5059999999999998</v>
      </c>
      <c r="DT36" s="592"/>
      <c r="DU36" s="29"/>
      <c r="DV36" s="32"/>
      <c r="DW36" s="33"/>
      <c r="DX36" s="34"/>
      <c r="DY36" s="34"/>
      <c r="DZ36" s="592"/>
      <c r="EA36" s="29"/>
      <c r="EB36" s="32"/>
      <c r="EC36" s="33"/>
      <c r="ED36" s="34"/>
      <c r="EE36" s="34"/>
      <c r="EF36" s="592"/>
      <c r="EG36" s="29"/>
      <c r="EH36" s="32"/>
      <c r="EI36" s="33"/>
      <c r="EJ36" s="34"/>
      <c r="EK36" s="34"/>
      <c r="EL36" s="592"/>
      <c r="EM36" s="29"/>
      <c r="EN36" s="32"/>
      <c r="EO36" s="33"/>
      <c r="EP36" s="34"/>
      <c r="EQ36" s="34"/>
      <c r="ER36" s="30"/>
      <c r="ES36" s="29">
        <f>200+500+200+400+300</f>
        <v>1600</v>
      </c>
      <c r="ET36" s="32">
        <f>2.87+3.48+1.45+2.34+1.93</f>
        <v>12.07</v>
      </c>
      <c r="EU36" s="33">
        <v>5</v>
      </c>
      <c r="EV36" s="34">
        <f t="shared" si="18"/>
        <v>132.56006628003314</v>
      </c>
      <c r="EW36" s="34">
        <f t="shared" si="18"/>
        <v>2.4140000000000001</v>
      </c>
      <c r="EX36" s="30"/>
      <c r="EY36" s="35">
        <v>2100</v>
      </c>
      <c r="EZ36" s="34">
        <v>16</v>
      </c>
      <c r="FA36" s="37">
        <v>5</v>
      </c>
      <c r="FB36" s="34">
        <f t="shared" si="118"/>
        <v>131.25</v>
      </c>
      <c r="FC36" s="34">
        <f t="shared" si="118"/>
        <v>3.2</v>
      </c>
      <c r="FE36" s="26">
        <v>2300</v>
      </c>
      <c r="FF36" s="27">
        <v>14.2</v>
      </c>
      <c r="FG36" s="28">
        <v>5</v>
      </c>
      <c r="FH36" s="38">
        <f t="shared" si="96"/>
        <v>161.97183098591549</v>
      </c>
      <c r="FI36" s="39">
        <f t="shared" si="96"/>
        <v>2.84</v>
      </c>
      <c r="FK36" s="27">
        <f>500+500+300+400</f>
        <v>1700</v>
      </c>
      <c r="FL36" s="40">
        <f>3.05+4.08+2.57+3.12</f>
        <v>12.82</v>
      </c>
      <c r="FM36" s="27">
        <f>4</f>
        <v>4</v>
      </c>
      <c r="FN36" s="40">
        <f t="shared" si="97"/>
        <v>132.60530421216848</v>
      </c>
      <c r="FO36" s="40">
        <f t="shared" si="97"/>
        <v>3.2050000000000001</v>
      </c>
      <c r="FQ36" s="26">
        <f>500+500+200+200+200</f>
        <v>1600</v>
      </c>
      <c r="FR36" s="40">
        <f>2.59+2.66+1.56+1.75+1.8</f>
        <v>10.360000000000001</v>
      </c>
      <c r="FS36" s="27">
        <f>5</f>
        <v>5</v>
      </c>
      <c r="FT36" s="40">
        <f t="shared" si="19"/>
        <v>154.44015444015443</v>
      </c>
      <c r="FU36" s="40">
        <f t="shared" si="19"/>
        <v>2.0720000000000001</v>
      </c>
      <c r="FW36" s="26">
        <f>400+400+350+500+300</f>
        <v>1950</v>
      </c>
      <c r="FX36" s="27">
        <f>3.09+3.4+2.61+3.76+1.88</f>
        <v>14.739999999999998</v>
      </c>
      <c r="FY36" s="27">
        <f>5</f>
        <v>5</v>
      </c>
      <c r="FZ36" s="40">
        <f t="shared" si="20"/>
        <v>132.2930800542741</v>
      </c>
      <c r="GA36" s="40">
        <f t="shared" si="20"/>
        <v>2.9479999999999995</v>
      </c>
      <c r="GC36" s="26">
        <f>150+200+200+150+100</f>
        <v>800</v>
      </c>
      <c r="GD36" s="27">
        <f>2.27+2.5+2.02+1.85+1.25</f>
        <v>9.8899999999999988</v>
      </c>
      <c r="GE36" s="27">
        <f>5</f>
        <v>5</v>
      </c>
      <c r="GF36" s="40">
        <f t="shared" si="21"/>
        <v>80.889787664307391</v>
      </c>
      <c r="GG36" s="40">
        <f t="shared" si="21"/>
        <v>1.9779999999999998</v>
      </c>
      <c r="GI36" s="26">
        <f>250+200+400+250+400</f>
        <v>1500</v>
      </c>
      <c r="GJ36" s="27">
        <f>2.25+1.75+3.99+2.44+3.81</f>
        <v>14.24</v>
      </c>
      <c r="GK36" s="27">
        <f>5</f>
        <v>5</v>
      </c>
      <c r="GL36" s="40">
        <f t="shared" si="22"/>
        <v>105.33707865168539</v>
      </c>
      <c r="GM36" s="40">
        <f t="shared" si="22"/>
        <v>2.8479999999999999</v>
      </c>
      <c r="GO36" s="26">
        <f>250+250+200+200+100</f>
        <v>1000</v>
      </c>
      <c r="GP36" s="40">
        <f>2.1+2.3+1.56+1.75+0.8</f>
        <v>8.5100000000000016</v>
      </c>
      <c r="GQ36" s="27">
        <f>5</f>
        <v>5</v>
      </c>
      <c r="GR36" s="40">
        <f t="shared" si="98"/>
        <v>117.50881316098705</v>
      </c>
      <c r="GS36" s="40">
        <f t="shared" si="98"/>
        <v>1.7020000000000004</v>
      </c>
      <c r="GU36" s="95">
        <f>300+100+300+200+250</f>
        <v>1150</v>
      </c>
      <c r="GV36" s="99">
        <f>3.8+2.18+2.84+3.19+5.13</f>
        <v>17.14</v>
      </c>
      <c r="GW36" s="100">
        <v>5</v>
      </c>
      <c r="GX36" s="101">
        <f t="shared" si="23"/>
        <v>67.094515752625441</v>
      </c>
      <c r="GY36" s="101">
        <f t="shared" si="23"/>
        <v>3.4279999999999999</v>
      </c>
      <c r="GZ36" s="43"/>
      <c r="HA36" s="26">
        <f>300+200+150+100+400</f>
        <v>1150</v>
      </c>
      <c r="HB36" s="39">
        <f>2.8+2.95+2.2+1.65+6.5</f>
        <v>16.100000000000001</v>
      </c>
      <c r="HC36" s="28">
        <v>5</v>
      </c>
      <c r="HD36" s="106">
        <f t="shared" si="24"/>
        <v>71.428571428571416</v>
      </c>
      <c r="HE36" s="106">
        <f t="shared" si="24"/>
        <v>3.22</v>
      </c>
      <c r="HG36" s="26">
        <f>900</f>
        <v>900</v>
      </c>
      <c r="HH36" s="40">
        <f>6.95</f>
        <v>6.95</v>
      </c>
      <c r="HI36" s="27">
        <f>1</f>
        <v>1</v>
      </c>
      <c r="HJ36" s="34">
        <f t="shared" si="25"/>
        <v>129.49640287769785</v>
      </c>
      <c r="HK36" s="34">
        <f t="shared" si="25"/>
        <v>6.95</v>
      </c>
      <c r="HM36" s="26"/>
      <c r="HN36" s="45"/>
      <c r="HO36" s="46"/>
      <c r="HP36" s="47"/>
      <c r="HQ36" s="47"/>
      <c r="HS36" s="26">
        <v>300</v>
      </c>
      <c r="HT36" s="45">
        <v>2.12</v>
      </c>
      <c r="HU36" s="46">
        <v>1</v>
      </c>
      <c r="HV36" s="48">
        <f t="shared" si="26"/>
        <v>141.50943396226415</v>
      </c>
      <c r="HW36" s="48">
        <f>HT36/HU36</f>
        <v>2.12</v>
      </c>
      <c r="HY36" s="45">
        <f>150+200+150</f>
        <v>500</v>
      </c>
      <c r="HZ36" s="45">
        <f>1.4+1.59+1.46</f>
        <v>4.45</v>
      </c>
      <c r="IA36" s="45">
        <f>3</f>
        <v>3</v>
      </c>
      <c r="IB36" s="48">
        <f t="shared" si="141"/>
        <v>112.35955056179775</v>
      </c>
      <c r="IC36" s="48">
        <f t="shared" si="141"/>
        <v>1.4833333333333334</v>
      </c>
      <c r="IE36" s="45">
        <f>500+300+150+350+300</f>
        <v>1600</v>
      </c>
      <c r="IF36" s="45">
        <f>2.19+1.42+0.82+1.82+1.53</f>
        <v>7.78</v>
      </c>
      <c r="IG36" s="45">
        <f>5</f>
        <v>5</v>
      </c>
      <c r="IH36" s="48">
        <f t="shared" si="27"/>
        <v>205.65552699228792</v>
      </c>
      <c r="II36" s="48">
        <f t="shared" si="27"/>
        <v>1.556</v>
      </c>
      <c r="IK36" s="26">
        <f>500+150+200+300+400</f>
        <v>1550</v>
      </c>
      <c r="IL36" s="48">
        <f>3.78+1.87+2.15+2.53+3.03</f>
        <v>13.36</v>
      </c>
      <c r="IM36" s="45">
        <f>5</f>
        <v>5</v>
      </c>
      <c r="IN36" s="48">
        <f t="shared" si="28"/>
        <v>116.0179640718563</v>
      </c>
      <c r="IO36" s="48">
        <f t="shared" si="28"/>
        <v>2.6719999999999997</v>
      </c>
      <c r="IQ36" s="26">
        <f>600+700+500+400+300</f>
        <v>2500</v>
      </c>
      <c r="IR36" s="48">
        <f>1.93+2.28+1.6+1.41+1.09</f>
        <v>8.31</v>
      </c>
      <c r="IS36" s="45">
        <v>5</v>
      </c>
      <c r="IT36" s="48">
        <f t="shared" si="635"/>
        <v>300.84235860409143</v>
      </c>
      <c r="IU36" s="48">
        <f t="shared" si="636"/>
        <v>1.6620000000000001</v>
      </c>
      <c r="IW36" s="26">
        <f>150+300+200+300+200</f>
        <v>1150</v>
      </c>
      <c r="IX36" s="48">
        <f>1.48+2.86+1.69+2.71+1.66</f>
        <v>10.399999999999999</v>
      </c>
      <c r="IY36" s="45">
        <v>5</v>
      </c>
      <c r="IZ36" s="46">
        <f t="shared" si="637"/>
        <v>110.57692307692309</v>
      </c>
      <c r="JA36" s="46">
        <f t="shared" si="638"/>
        <v>2.0799999999999996</v>
      </c>
      <c r="JC36" s="26">
        <f>500+400+300+200+250</f>
        <v>1650</v>
      </c>
      <c r="JD36" s="48">
        <f>4.42+3.63+3.89+2.21+2.35</f>
        <v>16.500000000000004</v>
      </c>
      <c r="JE36" s="45">
        <v>5</v>
      </c>
      <c r="JF36" s="46">
        <f t="shared" si="604"/>
        <v>99.999999999999972</v>
      </c>
      <c r="JG36" s="46">
        <f t="shared" si="605"/>
        <v>3.3000000000000007</v>
      </c>
      <c r="JI36" s="26"/>
      <c r="JJ36" s="48"/>
      <c r="JK36" s="45"/>
      <c r="JL36" s="46"/>
      <c r="JM36" s="46"/>
      <c r="JO36" s="26">
        <f>400+300+500+100+200</f>
        <v>1500</v>
      </c>
      <c r="JP36" s="48">
        <f>5.78+4.24+6.1+2.3+3.4</f>
        <v>21.819999999999997</v>
      </c>
      <c r="JQ36" s="45">
        <v>5</v>
      </c>
      <c r="JR36" s="46">
        <f t="shared" si="641"/>
        <v>68.744271310724116</v>
      </c>
      <c r="JS36" s="46">
        <f t="shared" si="642"/>
        <v>4.363999999999999</v>
      </c>
      <c r="JU36" s="26"/>
      <c r="JV36" s="48"/>
      <c r="JW36" s="45"/>
      <c r="JX36" s="46"/>
      <c r="JY36" s="46"/>
      <c r="KA36" s="26"/>
      <c r="KB36" s="48"/>
      <c r="KC36" s="45"/>
      <c r="KD36" s="46"/>
      <c r="KE36" s="46"/>
      <c r="KG36" s="26">
        <f>50+100+200+300+400</f>
        <v>1050</v>
      </c>
      <c r="KH36" s="48">
        <f>0.67+0.97+1.66+2.11+2.08</f>
        <v>7.49</v>
      </c>
      <c r="KI36" s="45">
        <v>5</v>
      </c>
      <c r="KJ36" s="46"/>
      <c r="KK36" s="46">
        <f t="shared" si="584"/>
        <v>1.498</v>
      </c>
      <c r="KM36" s="26"/>
      <c r="KN36" s="48"/>
      <c r="KO36" s="45"/>
      <c r="KP36" s="46" t="e">
        <f t="shared" si="622"/>
        <v>#DIV/0!</v>
      </c>
      <c r="KQ36" s="46" t="e">
        <f t="shared" si="585"/>
        <v>#DIV/0!</v>
      </c>
      <c r="KS36" s="26"/>
      <c r="KT36" s="48"/>
      <c r="KU36" s="45"/>
      <c r="KV36" s="46" t="e">
        <f t="shared" si="370"/>
        <v>#DIV/0!</v>
      </c>
      <c r="KW36" s="46" t="e">
        <f t="shared" si="645"/>
        <v>#DIV/0!</v>
      </c>
      <c r="KY36" s="26"/>
      <c r="KZ36" s="48"/>
      <c r="LA36" s="45"/>
      <c r="LB36" s="46" t="e">
        <f t="shared" si="371"/>
        <v>#DIV/0!</v>
      </c>
      <c r="LC36" s="46" t="e">
        <f t="shared" si="646"/>
        <v>#DIV/0!</v>
      </c>
      <c r="LE36" s="26"/>
      <c r="LF36" s="48"/>
      <c r="LG36" s="45"/>
      <c r="LH36" s="46" t="e">
        <f t="shared" si="372"/>
        <v>#DIV/0!</v>
      </c>
      <c r="LI36" s="46" t="e">
        <f t="shared" si="647"/>
        <v>#DIV/0!</v>
      </c>
      <c r="LK36" s="26"/>
      <c r="LL36" s="48"/>
      <c r="LM36" s="45"/>
      <c r="LN36" s="46" t="e">
        <f t="shared" si="373"/>
        <v>#DIV/0!</v>
      </c>
      <c r="LO36" s="46" t="e">
        <f t="shared" si="648"/>
        <v>#DIV/0!</v>
      </c>
      <c r="LQ36" s="26">
        <f>200+200+200+300+300</f>
        <v>1200</v>
      </c>
      <c r="LR36" s="48">
        <f>1.76+1.67+1.88+2.17+2.5</f>
        <v>9.98</v>
      </c>
      <c r="LS36" s="45">
        <v>5</v>
      </c>
      <c r="LT36" s="46">
        <f t="shared" si="374"/>
        <v>120.24048096192384</v>
      </c>
      <c r="LU36" s="46">
        <f t="shared" si="649"/>
        <v>1.996</v>
      </c>
      <c r="LW36" s="26">
        <f>500+300+500+200+200</f>
        <v>1700</v>
      </c>
      <c r="LX36" s="48">
        <f>4.42+2.73+4.08+2.83+2.1</f>
        <v>16.16</v>
      </c>
      <c r="LY36" s="45">
        <v>5</v>
      </c>
      <c r="LZ36" s="46">
        <f t="shared" si="375"/>
        <v>105.19801980198019</v>
      </c>
      <c r="MA36" s="46">
        <f t="shared" si="650"/>
        <v>3.2320000000000002</v>
      </c>
      <c r="MC36" s="26">
        <f>200+100+200+100+300</f>
        <v>900</v>
      </c>
      <c r="MD36" s="48">
        <f>2.91+2.15+3.68+1.86+1.86</f>
        <v>12.459999999999999</v>
      </c>
      <c r="ME36" s="45">
        <v>5</v>
      </c>
      <c r="MF36" s="46">
        <f t="shared" si="376"/>
        <v>72.231139646869991</v>
      </c>
      <c r="MG36" s="46">
        <f t="shared" si="651"/>
        <v>2.492</v>
      </c>
      <c r="MI36" s="26">
        <f>200+200+200+300+400</f>
        <v>1300</v>
      </c>
      <c r="MJ36" s="48">
        <f>2.38+2.96+3.11+4.98+5.75</f>
        <v>19.18</v>
      </c>
      <c r="MK36" s="45">
        <v>5</v>
      </c>
      <c r="ML36" s="46">
        <f t="shared" si="377"/>
        <v>67.778936392075082</v>
      </c>
      <c r="MM36" s="46">
        <f t="shared" si="652"/>
        <v>3.8359999999999999</v>
      </c>
      <c r="MO36" s="26"/>
      <c r="MP36" s="48"/>
      <c r="MQ36" s="45"/>
      <c r="MR36" s="46" t="e">
        <f t="shared" si="378"/>
        <v>#DIV/0!</v>
      </c>
      <c r="MS36" s="46" t="e">
        <f t="shared" si="653"/>
        <v>#DIV/0!</v>
      </c>
      <c r="MU36" s="26"/>
      <c r="MV36" s="48"/>
      <c r="MW36" s="45"/>
      <c r="MX36" s="46" t="e">
        <f t="shared" si="379"/>
        <v>#DIV/0!</v>
      </c>
      <c r="MY36" s="46" t="e">
        <f t="shared" si="654"/>
        <v>#DIV/0!</v>
      </c>
      <c r="NA36" s="823">
        <f>300+300+200+300+300</f>
        <v>1400</v>
      </c>
      <c r="NB36" s="823">
        <f>8.3+6.92+4.2+8.92+8.48</f>
        <v>36.820000000000007</v>
      </c>
      <c r="NC36" s="823">
        <v>5</v>
      </c>
      <c r="ND36" s="46">
        <f t="shared" si="380"/>
        <v>38.022813688212921</v>
      </c>
      <c r="NE36" s="46">
        <f t="shared" si="655"/>
        <v>7.3640000000000017</v>
      </c>
      <c r="NG36" s="823">
        <f>500+200+300+400+100</f>
        <v>1500</v>
      </c>
      <c r="NH36" s="823">
        <f>4.41+2.21+2.28+2.39+1.01</f>
        <v>12.3</v>
      </c>
      <c r="NI36" s="823">
        <v>5</v>
      </c>
      <c r="NJ36" s="46">
        <f t="shared" si="381"/>
        <v>121.95121951219511</v>
      </c>
      <c r="NK36" s="46">
        <f t="shared" si="656"/>
        <v>2.46</v>
      </c>
      <c r="NM36" s="823">
        <f>150+150</f>
        <v>300</v>
      </c>
      <c r="NN36" s="823">
        <f>1.11+1.16</f>
        <v>2.27</v>
      </c>
      <c r="NO36" s="823">
        <v>2</v>
      </c>
      <c r="NP36" s="46">
        <f t="shared" si="382"/>
        <v>132.15859030837004</v>
      </c>
      <c r="NQ36" s="46">
        <f t="shared" si="657"/>
        <v>1.135</v>
      </c>
      <c r="NS36" s="823">
        <f>300+200+150</f>
        <v>650</v>
      </c>
      <c r="NT36" s="823">
        <f>1.61+1.94+1.24+3.18+4.35</f>
        <v>12.32</v>
      </c>
      <c r="NU36" s="824">
        <v>5</v>
      </c>
      <c r="NV36" s="46">
        <f t="shared" si="383"/>
        <v>52.759740259740262</v>
      </c>
      <c r="NW36" s="46">
        <f t="shared" si="658"/>
        <v>2.464</v>
      </c>
      <c r="NY36" s="910">
        <f>300+300+300+300+300</f>
        <v>1500</v>
      </c>
      <c r="NZ36" s="910">
        <f>2.56+2.98+2.66+2.58+2.86</f>
        <v>13.639999999999999</v>
      </c>
      <c r="OA36" s="910">
        <v>5</v>
      </c>
      <c r="OB36" s="46">
        <f t="shared" si="384"/>
        <v>109.97067448680353</v>
      </c>
      <c r="OC36" s="46">
        <f t="shared" si="659"/>
        <v>2.7279999999999998</v>
      </c>
      <c r="OE36" s="823">
        <f>500+200+200+200+500</f>
        <v>1600</v>
      </c>
      <c r="OF36" s="823">
        <f>3.19+1.49+1.41+1.45+3.32</f>
        <v>10.86</v>
      </c>
      <c r="OG36" s="823">
        <v>5</v>
      </c>
      <c r="OH36" s="46">
        <f t="shared" si="385"/>
        <v>147.32965009208104</v>
      </c>
      <c r="OI36" s="46">
        <f t="shared" si="660"/>
        <v>2.1719999999999997</v>
      </c>
    </row>
    <row r="37" spans="2:399">
      <c r="B37" s="20"/>
      <c r="C37" s="3" t="s">
        <v>40</v>
      </c>
      <c r="D37" s="13" t="s">
        <v>36</v>
      </c>
      <c r="E37" s="29">
        <f>200+200+200+200+200</f>
        <v>1000</v>
      </c>
      <c r="F37" s="32">
        <f>1.2+1.24+0.71+0.8</f>
        <v>3.95</v>
      </c>
      <c r="G37" s="33">
        <v>5</v>
      </c>
      <c r="H37" s="34">
        <f t="shared" si="610"/>
        <v>253.1645569620253</v>
      </c>
      <c r="I37" s="34">
        <f t="shared" si="611"/>
        <v>0.79</v>
      </c>
      <c r="J37" s="30"/>
      <c r="K37" s="29">
        <f>250+250+250+250+250</f>
        <v>1250</v>
      </c>
      <c r="L37" s="32">
        <f>0.51+0.59+0.49+0.49+0.51</f>
        <v>2.59</v>
      </c>
      <c r="M37" s="33">
        <v>5</v>
      </c>
      <c r="N37" s="34">
        <f t="shared" ref="N37" si="673">K37/L37</f>
        <v>482.62548262548268</v>
      </c>
      <c r="O37" s="34">
        <f t="shared" ref="O37" si="674">L37/M37</f>
        <v>0.51800000000000002</v>
      </c>
      <c r="P37" s="30"/>
      <c r="Q37" s="29">
        <v>900</v>
      </c>
      <c r="R37" s="32">
        <v>5.2</v>
      </c>
      <c r="S37" s="33">
        <v>5</v>
      </c>
      <c r="T37" s="34">
        <f t="shared" si="663"/>
        <v>173.07692307692307</v>
      </c>
      <c r="U37" s="34">
        <f t="shared" si="664"/>
        <v>1.04</v>
      </c>
      <c r="V37" s="30"/>
      <c r="W37" s="29">
        <v>1150</v>
      </c>
      <c r="X37" s="32">
        <f>0.66+0.71+0.78+0.66+0.76</f>
        <v>3.5700000000000003</v>
      </c>
      <c r="Y37" s="33">
        <v>5</v>
      </c>
      <c r="Z37" s="34">
        <f t="shared" si="665"/>
        <v>322.12885154061621</v>
      </c>
      <c r="AA37" s="34">
        <f t="shared" si="666"/>
        <v>0.71400000000000008</v>
      </c>
      <c r="AB37" s="30"/>
      <c r="AC37" s="29">
        <f>250+200+200+200+200</f>
        <v>1050</v>
      </c>
      <c r="AD37" s="32">
        <f>1+0.8+0.8+0.9+0.8</f>
        <v>4.3</v>
      </c>
      <c r="AE37" s="33">
        <v>5</v>
      </c>
      <c r="AF37" s="34">
        <f t="shared" ref="AF37" si="675">AC37/AD37</f>
        <v>244.18604651162792</v>
      </c>
      <c r="AG37" s="34">
        <f t="shared" ref="AG37" si="676">AD37/AE37</f>
        <v>0.86</v>
      </c>
      <c r="AH37" s="30"/>
      <c r="AI37" s="29"/>
      <c r="AJ37" s="32"/>
      <c r="AK37" s="33"/>
      <c r="AL37" s="34"/>
      <c r="AM37" s="34"/>
      <c r="AN37" s="30"/>
      <c r="AO37" s="29">
        <f>200+200+200+200+200</f>
        <v>1000</v>
      </c>
      <c r="AP37" s="32">
        <f>0.76+0.69+0.7+0.77+0.63</f>
        <v>3.55</v>
      </c>
      <c r="AQ37" s="33">
        <v>5</v>
      </c>
      <c r="AR37" s="34">
        <f t="shared" si="629"/>
        <v>281.69014084507046</v>
      </c>
      <c r="AS37" s="34">
        <f t="shared" si="630"/>
        <v>0.71</v>
      </c>
      <c r="AT37" s="30"/>
      <c r="AU37" s="29">
        <f>200+200+200+100+200</f>
        <v>900</v>
      </c>
      <c r="AV37" s="32">
        <f>0.69+0.69+0.66+0.68+0.74</f>
        <v>3.46</v>
      </c>
      <c r="AW37" s="33">
        <v>5</v>
      </c>
      <c r="AX37" s="34">
        <f t="shared" si="497"/>
        <v>260.11560693641621</v>
      </c>
      <c r="AY37" s="34">
        <f t="shared" si="498"/>
        <v>0.69199999999999995</v>
      </c>
      <c r="AZ37" s="592"/>
      <c r="BA37" s="29">
        <f>100+100+100+200+200</f>
        <v>700</v>
      </c>
      <c r="BB37" s="32">
        <f>0.87+0.72+0.79+1.21+1.2</f>
        <v>4.79</v>
      </c>
      <c r="BC37" s="33">
        <v>5</v>
      </c>
      <c r="BD37" s="34">
        <f t="shared" si="569"/>
        <v>146.13778705636744</v>
      </c>
      <c r="BE37" s="34">
        <f t="shared" si="570"/>
        <v>0.95799999999999996</v>
      </c>
      <c r="BF37" s="592"/>
      <c r="BG37" s="29"/>
      <c r="BH37" s="32"/>
      <c r="BI37" s="33"/>
      <c r="BJ37" s="34"/>
      <c r="BK37" s="34"/>
      <c r="BL37" s="592"/>
      <c r="BM37" s="29"/>
      <c r="BN37" s="32"/>
      <c r="BO37" s="33"/>
      <c r="BP37" s="34"/>
      <c r="BQ37" s="34"/>
      <c r="BR37" s="30"/>
      <c r="BS37" s="29">
        <f>100+100+150+150+100</f>
        <v>600</v>
      </c>
      <c r="BT37" s="32">
        <f>2.16+1.84+2.78+2.56+1.62</f>
        <v>10.96</v>
      </c>
      <c r="BU37" s="33">
        <v>5</v>
      </c>
      <c r="BV37" s="34">
        <f t="shared" si="523"/>
        <v>54.744525547445249</v>
      </c>
      <c r="BW37" s="34">
        <f t="shared" si="524"/>
        <v>2.1920000000000002</v>
      </c>
      <c r="BX37" s="592"/>
      <c r="BY37" s="29">
        <f>100+150+100+100+150</f>
        <v>600</v>
      </c>
      <c r="BZ37" s="32">
        <f>0.69+0.69+0.66+0.68+0.74</f>
        <v>3.46</v>
      </c>
      <c r="CA37" s="33">
        <v>5</v>
      </c>
      <c r="CB37" s="34">
        <f t="shared" si="450"/>
        <v>173.41040462427745</v>
      </c>
      <c r="CC37" s="34">
        <f t="shared" si="451"/>
        <v>0.69199999999999995</v>
      </c>
      <c r="CD37" s="592"/>
      <c r="CE37" s="29"/>
      <c r="CF37" s="32"/>
      <c r="CG37" s="33"/>
      <c r="CH37" s="34"/>
      <c r="CI37" s="34"/>
      <c r="CJ37" s="592"/>
      <c r="CK37" s="29">
        <f>100+100+100+100+100</f>
        <v>500</v>
      </c>
      <c r="CL37" s="32">
        <f>1.22+1.35+1.24+1.17+1.13</f>
        <v>6.11</v>
      </c>
      <c r="CM37" s="33">
        <v>5</v>
      </c>
      <c r="CN37" s="34">
        <f t="shared" si="631"/>
        <v>81.833060556464801</v>
      </c>
      <c r="CO37" s="34">
        <f t="shared" si="632"/>
        <v>1.222</v>
      </c>
      <c r="CP37" s="592"/>
      <c r="CQ37" s="29"/>
      <c r="CR37" s="32"/>
      <c r="CS37" s="33"/>
      <c r="CT37" s="34"/>
      <c r="CU37" s="34"/>
      <c r="CV37" s="592"/>
      <c r="CW37" s="29">
        <f>100+150+100+100+150</f>
        <v>600</v>
      </c>
      <c r="CX37" s="32">
        <f>0.69+0.69+0.66+0.68+0.74</f>
        <v>3.46</v>
      </c>
      <c r="CY37" s="33">
        <v>5</v>
      </c>
      <c r="CZ37" s="34">
        <f t="shared" si="614"/>
        <v>173.41040462427745</v>
      </c>
      <c r="DA37" s="34">
        <f t="shared" si="615"/>
        <v>0.69199999999999995</v>
      </c>
      <c r="DB37" s="592"/>
      <c r="DC37" s="29">
        <f>150+150+150+150+150</f>
        <v>750</v>
      </c>
      <c r="DD37" s="32">
        <f>2.4+2.42+2.2+2.5+2.5</f>
        <v>12.02</v>
      </c>
      <c r="DE37" s="33">
        <v>5</v>
      </c>
      <c r="DF37" s="34">
        <f t="shared" si="667"/>
        <v>62.396006655574048</v>
      </c>
      <c r="DG37" s="34">
        <f t="shared" si="668"/>
        <v>2.4039999999999999</v>
      </c>
      <c r="DH37" s="592"/>
      <c r="DI37" s="29">
        <v>800</v>
      </c>
      <c r="DJ37" s="32">
        <v>3.97</v>
      </c>
      <c r="DK37" s="33">
        <v>5</v>
      </c>
      <c r="DL37" s="34">
        <f t="shared" si="616"/>
        <v>201.51133501259446</v>
      </c>
      <c r="DM37" s="34">
        <f t="shared" si="617"/>
        <v>0.79400000000000004</v>
      </c>
      <c r="DN37" s="592"/>
      <c r="DO37" s="29">
        <v>800</v>
      </c>
      <c r="DP37" s="32">
        <v>3.54</v>
      </c>
      <c r="DQ37" s="33">
        <v>5</v>
      </c>
      <c r="DR37" s="34">
        <f t="shared" si="618"/>
        <v>225.98870056497174</v>
      </c>
      <c r="DS37" s="34">
        <f t="shared" si="619"/>
        <v>0.70799999999999996</v>
      </c>
      <c r="DT37" s="592"/>
      <c r="DU37" s="29"/>
      <c r="DV37" s="32"/>
      <c r="DW37" s="33"/>
      <c r="DX37" s="34"/>
      <c r="DY37" s="34"/>
      <c r="DZ37" s="592"/>
      <c r="EA37" s="29"/>
      <c r="EB37" s="32"/>
      <c r="EC37" s="33"/>
      <c r="ED37" s="34"/>
      <c r="EE37" s="34"/>
      <c r="EF37" s="592"/>
      <c r="EG37" s="29"/>
      <c r="EH37" s="32"/>
      <c r="EI37" s="33"/>
      <c r="EJ37" s="34"/>
      <c r="EK37" s="34"/>
      <c r="EL37" s="592"/>
      <c r="EM37" s="29"/>
      <c r="EN37" s="32"/>
      <c r="EO37" s="33"/>
      <c r="EP37" s="34"/>
      <c r="EQ37" s="34"/>
      <c r="ER37" s="30"/>
      <c r="ES37" s="29">
        <f>100+150+100+100+150</f>
        <v>600</v>
      </c>
      <c r="ET37" s="32">
        <f>0.69+0.69+0.66+0.68+0.74</f>
        <v>3.46</v>
      </c>
      <c r="EU37" s="33">
        <v>5</v>
      </c>
      <c r="EV37" s="34">
        <f t="shared" si="18"/>
        <v>173.41040462427745</v>
      </c>
      <c r="EW37" s="34">
        <f t="shared" si="18"/>
        <v>0.69199999999999995</v>
      </c>
      <c r="EX37" s="30"/>
      <c r="EY37" s="35">
        <v>750</v>
      </c>
      <c r="EZ37" s="34">
        <v>8</v>
      </c>
      <c r="FA37" s="37">
        <v>5</v>
      </c>
      <c r="FB37" s="34">
        <f t="shared" si="118"/>
        <v>93.75</v>
      </c>
      <c r="FC37" s="34">
        <f t="shared" si="118"/>
        <v>1.6</v>
      </c>
      <c r="FE37" s="26">
        <v>900</v>
      </c>
      <c r="FF37" s="27">
        <v>5.2</v>
      </c>
      <c r="FG37" s="28">
        <v>5</v>
      </c>
      <c r="FH37" s="38">
        <f t="shared" si="96"/>
        <v>173.07692307692307</v>
      </c>
      <c r="FI37" s="39">
        <f t="shared" si="96"/>
        <v>1.04</v>
      </c>
      <c r="FK37" s="27">
        <f>100+100+100+100+100</f>
        <v>500</v>
      </c>
      <c r="FL37" s="40">
        <f>1.31+1.22+1.47+1.52+1.32</f>
        <v>6.84</v>
      </c>
      <c r="FM37" s="27">
        <f>5</f>
        <v>5</v>
      </c>
      <c r="FN37" s="40">
        <f t="shared" si="97"/>
        <v>73.099415204678365</v>
      </c>
      <c r="FO37" s="40">
        <f t="shared" si="97"/>
        <v>1.3679999999999999</v>
      </c>
      <c r="FQ37" s="26">
        <f>100+100+100+100+100</f>
        <v>500</v>
      </c>
      <c r="FR37" s="40">
        <f>1.17+1.26+1.16+1.22+1.02</f>
        <v>5.83</v>
      </c>
      <c r="FS37" s="27">
        <f>5</f>
        <v>5</v>
      </c>
      <c r="FT37" s="40">
        <f t="shared" si="19"/>
        <v>85.763293310463126</v>
      </c>
      <c r="FU37" s="40">
        <f t="shared" si="19"/>
        <v>1.1659999999999999</v>
      </c>
      <c r="FW37" s="26">
        <f>200+200+200+200+200</f>
        <v>1000</v>
      </c>
      <c r="FX37" s="27">
        <f>1.17+1.12+1.16+1.04+1.15</f>
        <v>5.6400000000000006</v>
      </c>
      <c r="FY37" s="27">
        <f>5</f>
        <v>5</v>
      </c>
      <c r="FZ37" s="40">
        <f t="shared" si="20"/>
        <v>177.30496453900707</v>
      </c>
      <c r="GA37" s="40">
        <f t="shared" si="20"/>
        <v>1.1280000000000001</v>
      </c>
      <c r="GC37" s="26">
        <f>200+200+100+100+100</f>
        <v>700</v>
      </c>
      <c r="GD37" s="27">
        <f>1.36+1.1+1.02+0.89+0.92</f>
        <v>5.29</v>
      </c>
      <c r="GE37" s="27">
        <f>5</f>
        <v>5</v>
      </c>
      <c r="GF37" s="40">
        <f t="shared" si="21"/>
        <v>132.32514177693761</v>
      </c>
      <c r="GG37" s="40">
        <f t="shared" si="21"/>
        <v>1.0580000000000001</v>
      </c>
      <c r="GI37" s="26">
        <f>100+100+200+200+200</f>
        <v>800</v>
      </c>
      <c r="GJ37" s="27">
        <f>0.44+0.48+0.75+0.8+0.73</f>
        <v>3.1999999999999997</v>
      </c>
      <c r="GK37" s="27">
        <f>5</f>
        <v>5</v>
      </c>
      <c r="GL37" s="40">
        <f t="shared" si="22"/>
        <v>250.00000000000003</v>
      </c>
      <c r="GM37" s="40">
        <f t="shared" si="22"/>
        <v>0.6399999999999999</v>
      </c>
      <c r="GO37" s="26">
        <f>200+200+200+200+200</f>
        <v>1000</v>
      </c>
      <c r="GP37" s="40">
        <f>2.2+2.4+2.21+2.41+2.1</f>
        <v>11.319999999999999</v>
      </c>
      <c r="GQ37" s="27">
        <f>5</f>
        <v>5</v>
      </c>
      <c r="GR37" s="40">
        <f t="shared" si="98"/>
        <v>88.339222614841006</v>
      </c>
      <c r="GS37" s="40">
        <f t="shared" si="98"/>
        <v>2.2639999999999998</v>
      </c>
      <c r="GU37" s="95">
        <f>200+200+200+200+200</f>
        <v>1000</v>
      </c>
      <c r="GV37" s="99">
        <f>0.46+0.45+0.45+0.39+0.52</f>
        <v>2.27</v>
      </c>
      <c r="GW37" s="100">
        <v>5</v>
      </c>
      <c r="GX37" s="101">
        <f t="shared" si="23"/>
        <v>440.52863436123346</v>
      </c>
      <c r="GY37" s="101">
        <f t="shared" si="23"/>
        <v>0.45400000000000001</v>
      </c>
      <c r="GZ37" s="43"/>
      <c r="HA37" s="26">
        <f>200+200+200+200+200</f>
        <v>1000</v>
      </c>
      <c r="HB37" s="39">
        <f>0.5+0.49+0.54+0.62+0.76</f>
        <v>2.91</v>
      </c>
      <c r="HC37" s="28">
        <v>5</v>
      </c>
      <c r="HD37" s="106">
        <f t="shared" si="24"/>
        <v>343.64261168384877</v>
      </c>
      <c r="HE37" s="106">
        <v>0.6</v>
      </c>
      <c r="HG37" s="26">
        <f>200+200+200+200</f>
        <v>800</v>
      </c>
      <c r="HH37" s="40">
        <f>1.1+1.3+1.14+1.2</f>
        <v>4.74</v>
      </c>
      <c r="HI37" s="27">
        <f>4</f>
        <v>4</v>
      </c>
      <c r="HJ37" s="34">
        <f t="shared" si="25"/>
        <v>168.77637130801688</v>
      </c>
      <c r="HK37" s="34">
        <f t="shared" si="25"/>
        <v>1.1850000000000001</v>
      </c>
      <c r="HM37" s="26">
        <f>200+200+200+200+200</f>
        <v>1000</v>
      </c>
      <c r="HN37" s="45">
        <f>1.2+1.24+0.71+0.8</f>
        <v>3.95</v>
      </c>
      <c r="HO37" s="46">
        <v>5</v>
      </c>
      <c r="HP37" s="47">
        <f t="shared" si="99"/>
        <v>253.1645569620253</v>
      </c>
      <c r="HQ37" s="47">
        <f t="shared" si="99"/>
        <v>0.79</v>
      </c>
      <c r="HS37" s="26">
        <f>250+250+250+250+250</f>
        <v>1250</v>
      </c>
      <c r="HT37" s="45">
        <f>0.51+0.59+0.49+0.49+0.51</f>
        <v>2.59</v>
      </c>
      <c r="HU37" s="46">
        <v>5</v>
      </c>
      <c r="HV37" s="48">
        <f t="shared" si="26"/>
        <v>482.62548262548268</v>
      </c>
      <c r="HW37" s="48">
        <f t="shared" si="26"/>
        <v>0.51800000000000002</v>
      </c>
      <c r="HY37" s="45">
        <f>100+100+100</f>
        <v>300</v>
      </c>
      <c r="HZ37" s="45">
        <f>1.2+1.18+1.62</f>
        <v>4</v>
      </c>
      <c r="IA37" s="45">
        <f>3</f>
        <v>3</v>
      </c>
      <c r="IB37" s="48">
        <f t="shared" si="141"/>
        <v>75</v>
      </c>
      <c r="IC37" s="48">
        <f t="shared" si="141"/>
        <v>1.3333333333333333</v>
      </c>
      <c r="IE37" s="45">
        <f>100+100+100+100+100</f>
        <v>500</v>
      </c>
      <c r="IF37" s="45">
        <f>1.29+1.45+1.23+1.21+1.1</f>
        <v>6.2799999999999994</v>
      </c>
      <c r="IG37" s="45">
        <f>5</f>
        <v>5</v>
      </c>
      <c r="IH37" s="48">
        <f t="shared" si="27"/>
        <v>79.617834394904463</v>
      </c>
      <c r="II37" s="48">
        <f t="shared" si="27"/>
        <v>1.2559999999999998</v>
      </c>
      <c r="IK37" s="26">
        <f>100+100+100+100+100</f>
        <v>500</v>
      </c>
      <c r="IL37" s="48">
        <f>1.44+1.34+1.3+1.08+1.3</f>
        <v>6.46</v>
      </c>
      <c r="IM37" s="45">
        <f>5</f>
        <v>5</v>
      </c>
      <c r="IN37" s="48">
        <f t="shared" si="28"/>
        <v>77.399380804953566</v>
      </c>
      <c r="IO37" s="48">
        <f t="shared" si="28"/>
        <v>1.292</v>
      </c>
      <c r="IQ37" s="26">
        <f>200+200+200+200+200</f>
        <v>1000</v>
      </c>
      <c r="IR37" s="48">
        <f>1.36+1.42+1.34+1.49+1.42</f>
        <v>7.03</v>
      </c>
      <c r="IS37" s="45">
        <v>5</v>
      </c>
      <c r="IT37" s="48">
        <f t="shared" si="635"/>
        <v>142.24751066856331</v>
      </c>
      <c r="IU37" s="48">
        <f t="shared" si="636"/>
        <v>1.4060000000000001</v>
      </c>
      <c r="IW37" s="26">
        <f>200+150+200+200+200</f>
        <v>950</v>
      </c>
      <c r="IX37" s="48">
        <f>0.89+0.82+1.07+1.33+1.06</f>
        <v>5.17</v>
      </c>
      <c r="IY37" s="45">
        <v>5</v>
      </c>
      <c r="IZ37" s="46">
        <f t="shared" si="637"/>
        <v>183.752417794971</v>
      </c>
      <c r="JA37" s="46">
        <f t="shared" si="638"/>
        <v>1.034</v>
      </c>
      <c r="JC37" s="26">
        <f>200+200+200+200+200</f>
        <v>1000</v>
      </c>
      <c r="JD37" s="48">
        <f>1.12+1.02+1.18+1.45+1.5</f>
        <v>6.2700000000000005</v>
      </c>
      <c r="JE37" s="45">
        <v>5</v>
      </c>
      <c r="JF37" s="46">
        <f t="shared" si="604"/>
        <v>159.48963317384369</v>
      </c>
      <c r="JG37" s="46">
        <f t="shared" si="605"/>
        <v>1.254</v>
      </c>
      <c r="JI37" s="26">
        <f>200+200+200+200+200</f>
        <v>1000</v>
      </c>
      <c r="JJ37" s="48">
        <f>0.77+0.71+0.65+0.81+0.72</f>
        <v>3.66</v>
      </c>
      <c r="JK37" s="45">
        <v>5</v>
      </c>
      <c r="JL37" s="46">
        <f t="shared" si="639"/>
        <v>273.22404371584696</v>
      </c>
      <c r="JM37" s="46">
        <f t="shared" si="640"/>
        <v>0.73199999999999998</v>
      </c>
      <c r="JO37" s="26">
        <f>200+200+200+200+200</f>
        <v>1000</v>
      </c>
      <c r="JP37" s="48">
        <f>1.36+1.34+1.43+1.37+1.2</f>
        <v>6.7</v>
      </c>
      <c r="JQ37" s="45">
        <v>5</v>
      </c>
      <c r="JR37" s="46">
        <f t="shared" si="641"/>
        <v>149.25373134328359</v>
      </c>
      <c r="JS37" s="46">
        <f t="shared" si="642"/>
        <v>1.34</v>
      </c>
      <c r="JU37" s="26">
        <f>200+200+200+200+200</f>
        <v>1000</v>
      </c>
      <c r="JV37" s="48">
        <f>0.94+1.07+1.03+1.08+1.1</f>
        <v>5.2200000000000006</v>
      </c>
      <c r="JW37" s="45">
        <v>5</v>
      </c>
      <c r="JX37" s="46">
        <f t="shared" si="579"/>
        <v>191.57088122605361</v>
      </c>
      <c r="JY37" s="46">
        <f t="shared" si="580"/>
        <v>1.044</v>
      </c>
      <c r="KA37" s="26">
        <f>200+200+200+200+200</f>
        <v>1000</v>
      </c>
      <c r="KB37" s="48">
        <f>0.97+0.96+0.92+0.99+0.89</f>
        <v>4.7299999999999995</v>
      </c>
      <c r="KC37" s="45">
        <v>5</v>
      </c>
      <c r="KD37" s="46">
        <f t="shared" ref="KD37:KD39" si="677">KA37/KB37</f>
        <v>211.41649048625794</v>
      </c>
      <c r="KE37" s="46">
        <f t="shared" ref="KE37:KE39" si="678">KB37/KC37</f>
        <v>0.94599999999999995</v>
      </c>
      <c r="KG37" s="26">
        <f>200+200+200+200+200</f>
        <v>1000</v>
      </c>
      <c r="KH37" s="48">
        <f>0.62+0.65+0.63+0.69+0.8</f>
        <v>3.3899999999999997</v>
      </c>
      <c r="KI37" s="45">
        <v>5</v>
      </c>
      <c r="KJ37" s="46">
        <f t="shared" ref="KJ37:KJ39" si="679">KG37/KH37</f>
        <v>294.98525073746316</v>
      </c>
      <c r="KK37" s="46">
        <f t="shared" ref="KK37:KK39" si="680">KH37/KI37</f>
        <v>0.67799999999999994</v>
      </c>
      <c r="KM37" s="26">
        <f>200+200+200+200</f>
        <v>800</v>
      </c>
      <c r="KN37" s="48">
        <f>2+2.12</f>
        <v>4.12</v>
      </c>
      <c r="KO37" s="45">
        <v>4</v>
      </c>
      <c r="KP37" s="46">
        <f t="shared" si="622"/>
        <v>194.17475728155338</v>
      </c>
      <c r="KQ37" s="46">
        <f>KN37/KO37</f>
        <v>1.03</v>
      </c>
      <c r="KS37" s="26">
        <f>200+200+200+200+200</f>
        <v>1000</v>
      </c>
      <c r="KT37" s="48">
        <f>1.34+1.37+1.42+1.4+1.35</f>
        <v>6.879999999999999</v>
      </c>
      <c r="KU37" s="45">
        <v>5</v>
      </c>
      <c r="KV37" s="46">
        <f t="shared" si="370"/>
        <v>145.34883720930236</v>
      </c>
      <c r="KW37" s="46">
        <f>KT37/KU37</f>
        <v>1.3759999999999999</v>
      </c>
      <c r="KY37" s="26"/>
      <c r="KZ37" s="48"/>
      <c r="LA37" s="45"/>
      <c r="LB37" s="46" t="e">
        <f t="shared" si="371"/>
        <v>#DIV/0!</v>
      </c>
      <c r="LC37" s="46" t="e">
        <f>KZ37/LA37</f>
        <v>#DIV/0!</v>
      </c>
      <c r="LE37" s="26"/>
      <c r="LF37" s="48"/>
      <c r="LG37" s="45"/>
      <c r="LH37" s="46" t="e">
        <f t="shared" si="372"/>
        <v>#DIV/0!</v>
      </c>
      <c r="LI37" s="46" t="e">
        <f>LF37/LG37</f>
        <v>#DIV/0!</v>
      </c>
      <c r="LK37" s="26">
        <f>200+200+200+200+200</f>
        <v>1000</v>
      </c>
      <c r="LL37" s="48">
        <f>1.02+0.96+1.1+1.06+1.02</f>
        <v>5.16</v>
      </c>
      <c r="LM37" s="45">
        <v>5</v>
      </c>
      <c r="LN37" s="46">
        <f t="shared" si="373"/>
        <v>193.79844961240309</v>
      </c>
      <c r="LO37" s="46">
        <f>LL37/LM37</f>
        <v>1.032</v>
      </c>
      <c r="LQ37" s="26">
        <f>200+200+200+200+200</f>
        <v>1000</v>
      </c>
      <c r="LR37" s="48">
        <f>1.05+1.24+1.17+1.27+1.27</f>
        <v>6</v>
      </c>
      <c r="LS37" s="45">
        <v>5</v>
      </c>
      <c r="LT37" s="46">
        <f t="shared" si="374"/>
        <v>166.66666666666666</v>
      </c>
      <c r="LU37" s="46">
        <f>LR37/LS37</f>
        <v>1.2</v>
      </c>
      <c r="LW37" s="26">
        <f>200+200+200+200+200</f>
        <v>1000</v>
      </c>
      <c r="LX37" s="48">
        <f>0.79+0.95+0.9+0.86+0.86</f>
        <v>4.3600000000000003</v>
      </c>
      <c r="LY37" s="45">
        <v>5</v>
      </c>
      <c r="LZ37" s="46">
        <f t="shared" si="375"/>
        <v>229.35779816513761</v>
      </c>
      <c r="MA37" s="46">
        <f>LX37/LY37</f>
        <v>0.87200000000000011</v>
      </c>
      <c r="MC37" s="26">
        <f>100+100+200+200+200</f>
        <v>800</v>
      </c>
      <c r="MD37" s="48">
        <f>0.79+0.97+1.02+1.06+1.34</f>
        <v>5.1800000000000006</v>
      </c>
      <c r="ME37" s="45">
        <v>5</v>
      </c>
      <c r="MF37" s="46">
        <f t="shared" si="376"/>
        <v>154.44015444015443</v>
      </c>
      <c r="MG37" s="46">
        <f>MD37/ME37</f>
        <v>1.036</v>
      </c>
      <c r="MI37" s="26">
        <f>200+200+150+150+150</f>
        <v>850</v>
      </c>
      <c r="MJ37" s="48">
        <f>1.45+1.4+1.26+1.09+1.06</f>
        <v>6.26</v>
      </c>
      <c r="MK37" s="45">
        <v>5</v>
      </c>
      <c r="ML37" s="46">
        <f t="shared" si="377"/>
        <v>135.78274760383388</v>
      </c>
      <c r="MM37" s="46">
        <f>MJ37/MK37</f>
        <v>1.252</v>
      </c>
      <c r="MO37" s="26"/>
      <c r="MP37" s="48"/>
      <c r="MQ37" s="45"/>
      <c r="MR37" s="46" t="e">
        <f t="shared" si="378"/>
        <v>#DIV/0!</v>
      </c>
      <c r="MS37" s="46" t="e">
        <f>MP37/MQ37</f>
        <v>#DIV/0!</v>
      </c>
      <c r="MU37" s="26"/>
      <c r="MV37" s="48"/>
      <c r="MW37" s="45"/>
      <c r="MX37" s="46" t="e">
        <f t="shared" si="379"/>
        <v>#DIV/0!</v>
      </c>
      <c r="MY37" s="46" t="e">
        <f>MV37/MW37</f>
        <v>#DIV/0!</v>
      </c>
      <c r="NA37" s="823">
        <f>150+150+150+200+200</f>
        <v>850</v>
      </c>
      <c r="NB37" s="823">
        <f>1.33+1.26+1.69+2+1.77</f>
        <v>8.0499999999999989</v>
      </c>
      <c r="NC37" s="823">
        <v>5</v>
      </c>
      <c r="ND37" s="46">
        <f t="shared" si="380"/>
        <v>105.59006211180126</v>
      </c>
      <c r="NE37" s="46">
        <f>NB37/NC37</f>
        <v>1.6099999999999999</v>
      </c>
      <c r="NG37" s="823">
        <f>200+200+100+150+100+200</f>
        <v>950</v>
      </c>
      <c r="NH37" s="823">
        <f>1.24+1.57+0.99+1.33+0.92+1.68</f>
        <v>7.7299999999999995</v>
      </c>
      <c r="NI37" s="823">
        <v>6</v>
      </c>
      <c r="NJ37" s="46">
        <f t="shared" si="381"/>
        <v>122.89780077619665</v>
      </c>
      <c r="NK37" s="46">
        <f>NH37/NI37</f>
        <v>1.2883333333333333</v>
      </c>
      <c r="NM37" s="823">
        <f>100+100+200+200+200</f>
        <v>800</v>
      </c>
      <c r="NN37" s="823">
        <f>0.59+0.76+1.35+1.12+1.64</f>
        <v>5.46</v>
      </c>
      <c r="NO37" s="823">
        <v>5</v>
      </c>
      <c r="NP37" s="46">
        <f t="shared" si="382"/>
        <v>146.52014652014651</v>
      </c>
      <c r="NQ37" s="46">
        <f>NN37/NO37</f>
        <v>1.0920000000000001</v>
      </c>
      <c r="NS37" s="823">
        <f>200+200+200+100+100</f>
        <v>800</v>
      </c>
      <c r="NT37" s="823">
        <f>1.39+1.37+1.58+0.9+0.9</f>
        <v>6.1400000000000006</v>
      </c>
      <c r="NU37" s="823">
        <v>5</v>
      </c>
      <c r="NV37" s="46">
        <f t="shared" si="383"/>
        <v>130.29315960912052</v>
      </c>
      <c r="NW37" s="46">
        <f>NT37/NU37</f>
        <v>1.2280000000000002</v>
      </c>
      <c r="NY37" s="910">
        <f>100+100+100+100+100</f>
        <v>500</v>
      </c>
      <c r="NZ37" s="910">
        <f>1.39+1.27+1.37+1.31+1.36</f>
        <v>6.7</v>
      </c>
      <c r="OA37" s="910">
        <v>5</v>
      </c>
      <c r="OB37" s="46">
        <f t="shared" si="384"/>
        <v>74.626865671641795</v>
      </c>
      <c r="OC37" s="46">
        <f>NZ37/OA37</f>
        <v>1.34</v>
      </c>
      <c r="OE37" s="823">
        <f>200+200+200+200+200</f>
        <v>1000</v>
      </c>
      <c r="OF37" s="823">
        <f>1.15+1.18+1.2+1.17+1.16</f>
        <v>5.86</v>
      </c>
      <c r="OG37" s="823">
        <v>5</v>
      </c>
      <c r="OH37" s="46">
        <f t="shared" si="385"/>
        <v>170.64846416382252</v>
      </c>
      <c r="OI37" s="46">
        <f>OF37/OG37</f>
        <v>1.1720000000000002</v>
      </c>
    </row>
    <row r="38" spans="2:399">
      <c r="B38" s="20"/>
      <c r="C38" s="3" t="s">
        <v>41</v>
      </c>
      <c r="D38" s="13" t="s">
        <v>14</v>
      </c>
      <c r="E38" s="29"/>
      <c r="F38" s="32"/>
      <c r="G38" s="33"/>
      <c r="H38" s="34"/>
      <c r="I38" s="34"/>
      <c r="J38" s="30"/>
      <c r="K38" s="29"/>
      <c r="L38" s="32"/>
      <c r="M38" s="33"/>
      <c r="N38" s="34"/>
      <c r="O38" s="34"/>
      <c r="P38" s="30"/>
      <c r="Q38" s="29"/>
      <c r="R38" s="32"/>
      <c r="S38" s="33"/>
      <c r="T38" s="34"/>
      <c r="U38" s="34"/>
      <c r="V38" s="30"/>
      <c r="W38" s="29"/>
      <c r="X38" s="32"/>
      <c r="Y38" s="33"/>
      <c r="Z38" s="34"/>
      <c r="AA38" s="34"/>
      <c r="AB38" s="30"/>
      <c r="AC38" s="29"/>
      <c r="AD38" s="32"/>
      <c r="AE38" s="33"/>
      <c r="AF38" s="34"/>
      <c r="AG38" s="34"/>
      <c r="AH38" s="30"/>
      <c r="AI38" s="29"/>
      <c r="AJ38" s="32"/>
      <c r="AK38" s="33"/>
      <c r="AL38" s="34"/>
      <c r="AM38" s="34"/>
      <c r="AN38" s="30"/>
      <c r="AO38" s="29">
        <f>200+200+200+200+200</f>
        <v>1000</v>
      </c>
      <c r="AP38" s="32">
        <f>0.24+0.23+0.23+0.23+0.1</f>
        <v>1.03</v>
      </c>
      <c r="AQ38" s="33">
        <v>5</v>
      </c>
      <c r="AR38" s="34">
        <f t="shared" ref="AR38" si="681">AO38/AP38</f>
        <v>970.87378640776694</v>
      </c>
      <c r="AS38" s="34">
        <f t="shared" ref="AS38" si="682">AP38/AQ38</f>
        <v>0.20600000000000002</v>
      </c>
      <c r="AT38" s="30"/>
      <c r="AU38" s="29">
        <f>100+100+100+100+50</f>
        <v>450</v>
      </c>
      <c r="AV38" s="32">
        <f>0.3+0.3+0.24+0.28+0.2</f>
        <v>1.32</v>
      </c>
      <c r="AW38" s="33">
        <v>5</v>
      </c>
      <c r="AX38" s="34">
        <f t="shared" si="497"/>
        <v>340.90909090909088</v>
      </c>
      <c r="AY38" s="34">
        <f t="shared" si="498"/>
        <v>0.26400000000000001</v>
      </c>
      <c r="AZ38" s="592"/>
      <c r="BA38" s="29">
        <f>50+50+50+100+100</f>
        <v>350</v>
      </c>
      <c r="BB38" s="32">
        <f>0.92+0.72+0.94+0.94+1.2</f>
        <v>4.72</v>
      </c>
      <c r="BC38" s="33">
        <v>5</v>
      </c>
      <c r="BD38" s="34">
        <f t="shared" si="569"/>
        <v>74.152542372881356</v>
      </c>
      <c r="BE38" s="34">
        <f t="shared" si="570"/>
        <v>0.94399999999999995</v>
      </c>
      <c r="BF38" s="592"/>
      <c r="BG38" s="29"/>
      <c r="BH38" s="32"/>
      <c r="BI38" s="33"/>
      <c r="BJ38" s="34"/>
      <c r="BK38" s="34"/>
      <c r="BL38" s="592"/>
      <c r="BM38" s="29"/>
      <c r="BN38" s="32"/>
      <c r="BO38" s="33"/>
      <c r="BP38" s="34"/>
      <c r="BQ38" s="34"/>
      <c r="BR38" s="30"/>
      <c r="BS38" s="29">
        <f>100+100+100+100+100</f>
        <v>500</v>
      </c>
      <c r="BT38" s="32">
        <f>0.18+0.29+0.22+0.13+0.17</f>
        <v>0.99</v>
      </c>
      <c r="BU38" s="33">
        <v>5</v>
      </c>
      <c r="BV38" s="34">
        <f t="shared" si="523"/>
        <v>505.05050505050508</v>
      </c>
      <c r="BW38" s="34">
        <f t="shared" si="524"/>
        <v>0.19800000000000001</v>
      </c>
      <c r="BX38" s="592"/>
      <c r="BY38" s="29">
        <f>100+100+150</f>
        <v>350</v>
      </c>
      <c r="BZ38" s="32">
        <f>0.5+0.9+1.2</f>
        <v>2.5999999999999996</v>
      </c>
      <c r="CA38" s="33">
        <v>3</v>
      </c>
      <c r="CB38" s="34">
        <f t="shared" si="450"/>
        <v>134.61538461538464</v>
      </c>
      <c r="CC38" s="34">
        <f t="shared" si="451"/>
        <v>0.86666666666666659</v>
      </c>
      <c r="CD38" s="592"/>
      <c r="CE38" s="29"/>
      <c r="CF38" s="32"/>
      <c r="CG38" s="33"/>
      <c r="CH38" s="34"/>
      <c r="CI38" s="34"/>
      <c r="CJ38" s="592"/>
      <c r="CK38" s="29"/>
      <c r="CL38" s="32"/>
      <c r="CM38" s="33"/>
      <c r="CN38" s="34"/>
      <c r="CO38" s="34"/>
      <c r="CP38" s="592"/>
      <c r="CQ38" s="29"/>
      <c r="CR38" s="32"/>
      <c r="CS38" s="33"/>
      <c r="CT38" s="34"/>
      <c r="CU38" s="34"/>
      <c r="CV38" s="592"/>
      <c r="CW38" s="29">
        <f>100+100+150</f>
        <v>350</v>
      </c>
      <c r="CX38" s="32">
        <f>0.5+0.9+1.2</f>
        <v>2.5999999999999996</v>
      </c>
      <c r="CY38" s="33">
        <v>3</v>
      </c>
      <c r="CZ38" s="34">
        <f t="shared" si="614"/>
        <v>134.61538461538464</v>
      </c>
      <c r="DA38" s="34">
        <f t="shared" si="615"/>
        <v>0.86666666666666659</v>
      </c>
      <c r="DB38" s="592"/>
      <c r="DC38" s="29"/>
      <c r="DD38" s="32"/>
      <c r="DE38" s="33"/>
      <c r="DF38" s="34"/>
      <c r="DG38" s="34"/>
      <c r="DH38" s="592"/>
      <c r="DI38" s="29">
        <v>500</v>
      </c>
      <c r="DJ38" s="32">
        <f>0.34+0.31+0.33+0.32+0.3</f>
        <v>1.6</v>
      </c>
      <c r="DK38" s="33">
        <v>5</v>
      </c>
      <c r="DL38" s="34">
        <f t="shared" si="616"/>
        <v>312.5</v>
      </c>
      <c r="DM38" s="34">
        <f t="shared" si="617"/>
        <v>0.32</v>
      </c>
      <c r="DN38" s="592"/>
      <c r="DO38" s="29">
        <v>350</v>
      </c>
      <c r="DP38" s="32">
        <v>1.61</v>
      </c>
      <c r="DQ38" s="33">
        <v>5</v>
      </c>
      <c r="DR38" s="34">
        <f t="shared" si="618"/>
        <v>217.39130434782606</v>
      </c>
      <c r="DS38" s="34">
        <f t="shared" si="619"/>
        <v>0.32200000000000001</v>
      </c>
      <c r="DT38" s="592"/>
      <c r="DU38" s="29"/>
      <c r="DV38" s="32"/>
      <c r="DW38" s="33"/>
      <c r="DX38" s="34"/>
      <c r="DY38" s="34"/>
      <c r="DZ38" s="592"/>
      <c r="EA38" s="29"/>
      <c r="EB38" s="32"/>
      <c r="EC38" s="33"/>
      <c r="ED38" s="34"/>
      <c r="EE38" s="34"/>
      <c r="EF38" s="592"/>
      <c r="EG38" s="29"/>
      <c r="EH38" s="32"/>
      <c r="EI38" s="33"/>
      <c r="EJ38" s="34"/>
      <c r="EK38" s="34"/>
      <c r="EL38" s="592"/>
      <c r="EM38" s="29"/>
      <c r="EN38" s="32"/>
      <c r="EO38" s="33"/>
      <c r="EP38" s="34"/>
      <c r="EQ38" s="34"/>
      <c r="ER38" s="30"/>
      <c r="ES38" s="29">
        <f>100+100+150</f>
        <v>350</v>
      </c>
      <c r="ET38" s="32">
        <f>0.5+0.9+1.2</f>
        <v>2.5999999999999996</v>
      </c>
      <c r="EU38" s="33">
        <v>3</v>
      </c>
      <c r="EV38" s="34">
        <f t="shared" si="18"/>
        <v>134.61538461538464</v>
      </c>
      <c r="EW38" s="34">
        <f t="shared" si="18"/>
        <v>0.86666666666666659</v>
      </c>
      <c r="EX38" s="30"/>
      <c r="EY38" s="35"/>
      <c r="EZ38" s="34"/>
      <c r="FA38" s="37"/>
      <c r="FB38" s="34"/>
      <c r="FC38" s="34"/>
      <c r="FE38" s="28"/>
      <c r="FF38" s="27"/>
      <c r="FG38" s="28"/>
      <c r="FH38" s="38"/>
      <c r="FI38" s="39"/>
      <c r="FK38" s="27"/>
      <c r="FL38" s="40"/>
      <c r="FM38" s="27"/>
      <c r="FN38" s="40"/>
      <c r="FO38" s="40"/>
      <c r="FQ38" s="26">
        <f>200</f>
        <v>200</v>
      </c>
      <c r="FR38" s="40">
        <f>0.57</f>
        <v>0.56999999999999995</v>
      </c>
      <c r="FS38" s="27">
        <f>1</f>
        <v>1</v>
      </c>
      <c r="FT38" s="40">
        <f t="shared" si="19"/>
        <v>350.87719298245617</v>
      </c>
      <c r="FU38" s="40">
        <f t="shared" si="19"/>
        <v>0.56999999999999995</v>
      </c>
      <c r="FW38" s="26">
        <f>100+100+100+100+100</f>
        <v>500</v>
      </c>
      <c r="FX38" s="27">
        <f>0.24+0.23+0.21+0.24+0.25</f>
        <v>1.17</v>
      </c>
      <c r="FY38" s="27">
        <v>5</v>
      </c>
      <c r="FZ38" s="40">
        <f>FW38/FX38</f>
        <v>427.35042735042737</v>
      </c>
      <c r="GA38" s="40">
        <f>FX38/FY38</f>
        <v>0.23399999999999999</v>
      </c>
      <c r="GC38" s="26">
        <f>100+100</f>
        <v>200</v>
      </c>
      <c r="GD38" s="27">
        <f>0.63+0.41</f>
        <v>1.04</v>
      </c>
      <c r="GE38" s="27">
        <f>2</f>
        <v>2</v>
      </c>
      <c r="GF38" s="40">
        <f t="shared" si="21"/>
        <v>192.30769230769229</v>
      </c>
      <c r="GG38" s="40">
        <f t="shared" si="21"/>
        <v>0.52</v>
      </c>
      <c r="GI38" s="26">
        <f>100+100+100+100+100</f>
        <v>500</v>
      </c>
      <c r="GJ38" s="27">
        <f>0.62+0.62+0.62+0.62+0.62</f>
        <v>3.1</v>
      </c>
      <c r="GK38" s="27">
        <f>5</f>
        <v>5</v>
      </c>
      <c r="GL38" s="40">
        <f t="shared" si="22"/>
        <v>161.29032258064515</v>
      </c>
      <c r="GM38" s="40">
        <f>GJ38/GK38</f>
        <v>0.62</v>
      </c>
      <c r="GO38" s="26">
        <f>50+50+50+50+50</f>
        <v>250</v>
      </c>
      <c r="GP38" s="40">
        <f>0.14+0.14+0.14+0.14+0.14</f>
        <v>0.70000000000000007</v>
      </c>
      <c r="GQ38" s="27">
        <f>5</f>
        <v>5</v>
      </c>
      <c r="GR38" s="40">
        <f t="shared" si="98"/>
        <v>357.14285714285711</v>
      </c>
      <c r="GS38" s="40">
        <f>GP38/GQ38</f>
        <v>0.14000000000000001</v>
      </c>
      <c r="GU38" s="100">
        <f>100+50+100+50+100</f>
        <v>400</v>
      </c>
      <c r="GV38" s="99">
        <f>0.4+0.25+0.34+0.31+0.63</f>
        <v>1.9300000000000002</v>
      </c>
      <c r="GW38" s="100">
        <v>5</v>
      </c>
      <c r="GX38" s="101">
        <f t="shared" si="23"/>
        <v>207.25388601036266</v>
      </c>
      <c r="GY38" s="101">
        <f>GV38/GW38</f>
        <v>0.38600000000000001</v>
      </c>
      <c r="GZ38" s="43"/>
      <c r="HA38" s="26">
        <f>100+50+30+20+50</f>
        <v>250</v>
      </c>
      <c r="HB38" s="39">
        <f>0.7+0.5+0.2+0.1+0.35</f>
        <v>1.85</v>
      </c>
      <c r="HC38" s="28">
        <v>5</v>
      </c>
      <c r="HD38" s="106">
        <f t="shared" si="24"/>
        <v>135.13513513513513</v>
      </c>
      <c r="HE38" s="106">
        <f t="shared" si="24"/>
        <v>0.37</v>
      </c>
      <c r="HG38" s="26">
        <f>50+50+50+50+50</f>
        <v>250</v>
      </c>
      <c r="HH38" s="40">
        <f>0.14+0.14+0.14+0.14+0.14</f>
        <v>0.70000000000000007</v>
      </c>
      <c r="HI38" s="27">
        <f>5</f>
        <v>5</v>
      </c>
      <c r="HJ38" s="34">
        <f t="shared" si="25"/>
        <v>357.14285714285711</v>
      </c>
      <c r="HK38" s="34">
        <f>HH38/HI38</f>
        <v>0.14000000000000001</v>
      </c>
      <c r="HM38" s="46"/>
      <c r="HN38" s="45"/>
      <c r="HO38" s="46"/>
      <c r="HP38" s="47"/>
      <c r="HQ38" s="47"/>
      <c r="HS38" s="46"/>
      <c r="HT38" s="45"/>
      <c r="HU38" s="46"/>
      <c r="HV38" s="48"/>
      <c r="HW38" s="48"/>
      <c r="HY38" s="45"/>
      <c r="HZ38" s="45"/>
      <c r="IA38" s="45"/>
      <c r="IB38" s="48"/>
      <c r="IC38" s="48"/>
      <c r="IE38" s="45">
        <f>150*5</f>
        <v>750</v>
      </c>
      <c r="IF38" s="45">
        <f>0.46*5</f>
        <v>2.3000000000000003</v>
      </c>
      <c r="IG38" s="45">
        <v>5</v>
      </c>
      <c r="IH38" s="48">
        <f t="shared" si="27"/>
        <v>326.08695652173907</v>
      </c>
      <c r="II38" s="48">
        <f t="shared" si="27"/>
        <v>0.46000000000000008</v>
      </c>
      <c r="IK38" s="26"/>
      <c r="IL38" s="48"/>
      <c r="IM38" s="45"/>
      <c r="IN38" s="48"/>
      <c r="IO38" s="48"/>
      <c r="IQ38" s="26">
        <f>100+100</f>
        <v>200</v>
      </c>
      <c r="IR38" s="48">
        <f>0.09+0.15</f>
        <v>0.24</v>
      </c>
      <c r="IS38" s="45">
        <v>2</v>
      </c>
      <c r="IT38" s="48">
        <f t="shared" ref="IT38" si="683">IQ38/IR38</f>
        <v>833.33333333333337</v>
      </c>
      <c r="IU38" s="48">
        <f t="shared" ref="IU38" si="684">IR38/IS38</f>
        <v>0.12</v>
      </c>
      <c r="IW38" s="26">
        <f>100+50+100+50+50</f>
        <v>350</v>
      </c>
      <c r="IX38" s="48">
        <f>0.24+0.2+0.23+0.21+0.19</f>
        <v>1.07</v>
      </c>
      <c r="IY38" s="45">
        <v>5</v>
      </c>
      <c r="IZ38" s="46">
        <f t="shared" ref="IZ38:IZ42" si="685">IW38/IX38</f>
        <v>327.10280373831773</v>
      </c>
      <c r="JA38" s="46">
        <f t="shared" ref="JA38:JA42" si="686">IX38/IY38</f>
        <v>0.21400000000000002</v>
      </c>
      <c r="JC38" s="26">
        <f>100+100+30+50+30</f>
        <v>310</v>
      </c>
      <c r="JD38" s="48">
        <f>0.53+0.62+0.27+0.65+0.49</f>
        <v>2.5599999999999996</v>
      </c>
      <c r="JE38" s="45">
        <v>5</v>
      </c>
      <c r="JF38" s="46">
        <f t="shared" si="604"/>
        <v>121.09375000000001</v>
      </c>
      <c r="JG38" s="46">
        <f t="shared" si="605"/>
        <v>0.5119999999999999</v>
      </c>
      <c r="JI38" s="26">
        <f>50+50+50+50+50</f>
        <v>250</v>
      </c>
      <c r="JJ38" s="48">
        <f>0.27+0.22+0.26+0.19+0.2</f>
        <v>1.1399999999999999</v>
      </c>
      <c r="JK38" s="45">
        <v>5</v>
      </c>
      <c r="JL38" s="46">
        <f t="shared" ref="JL38" si="687">JI38/JJ38</f>
        <v>219.2982456140351</v>
      </c>
      <c r="JM38" s="46">
        <f t="shared" ref="JM38" si="688">JJ38/JK38</f>
        <v>0.22799999999999998</v>
      </c>
      <c r="JO38" s="26">
        <f>100+50+50+50+50</f>
        <v>300</v>
      </c>
      <c r="JP38" s="48">
        <f>0.3+0.3+0.38+0.36+0.35</f>
        <v>1.69</v>
      </c>
      <c r="JQ38" s="45">
        <v>5</v>
      </c>
      <c r="JR38" s="46">
        <f t="shared" si="641"/>
        <v>177.51479289940829</v>
      </c>
      <c r="JS38" s="46"/>
      <c r="JU38" s="26">
        <f>50+50+50+50+50</f>
        <v>250</v>
      </c>
      <c r="JV38" s="48">
        <f>0.56+0.41+0.5+0.61+0.6</f>
        <v>2.68</v>
      </c>
      <c r="JW38" s="45">
        <v>5</v>
      </c>
      <c r="JX38" s="46">
        <f t="shared" si="579"/>
        <v>93.28358208955224</v>
      </c>
      <c r="JY38" s="46">
        <f t="shared" si="580"/>
        <v>0.53600000000000003</v>
      </c>
      <c r="KA38" s="26">
        <f>100+100+100+50+50</f>
        <v>400</v>
      </c>
      <c r="KB38" s="48">
        <f>0.32+0.35+0.29+0.22+0.21</f>
        <v>1.39</v>
      </c>
      <c r="KC38" s="45">
        <v>5</v>
      </c>
      <c r="KD38" s="46">
        <f t="shared" si="677"/>
        <v>287.7697841726619</v>
      </c>
      <c r="KE38" s="46">
        <f t="shared" si="678"/>
        <v>0.27799999999999997</v>
      </c>
      <c r="KG38" s="26"/>
      <c r="KH38" s="48"/>
      <c r="KI38" s="45"/>
      <c r="KJ38" s="46" t="e">
        <f t="shared" si="679"/>
        <v>#DIV/0!</v>
      </c>
      <c r="KK38" s="46" t="e">
        <f t="shared" si="680"/>
        <v>#DIV/0!</v>
      </c>
      <c r="KM38" s="26"/>
      <c r="KN38" s="48"/>
      <c r="KO38" s="45"/>
      <c r="KP38" s="46" t="e">
        <f t="shared" si="622"/>
        <v>#DIV/0!</v>
      </c>
      <c r="KQ38" s="46" t="e">
        <f t="shared" ref="KQ38" si="689">KN38/KO38</f>
        <v>#DIV/0!</v>
      </c>
      <c r="KS38" s="26"/>
      <c r="KT38" s="48"/>
      <c r="KU38" s="45"/>
      <c r="KV38" s="46" t="e">
        <f t="shared" si="370"/>
        <v>#DIV/0!</v>
      </c>
      <c r="KW38" s="46" t="e">
        <f t="shared" ref="KW38" si="690">KT38/KU38</f>
        <v>#DIV/0!</v>
      </c>
      <c r="KY38" s="26"/>
      <c r="KZ38" s="48"/>
      <c r="LA38" s="45"/>
      <c r="LB38" s="46" t="e">
        <f t="shared" si="371"/>
        <v>#DIV/0!</v>
      </c>
      <c r="LC38" s="46" t="e">
        <f t="shared" ref="LC38" si="691">KZ38/LA38</f>
        <v>#DIV/0!</v>
      </c>
      <c r="LE38" s="26"/>
      <c r="LF38" s="48"/>
      <c r="LG38" s="45"/>
      <c r="LH38" s="46" t="e">
        <f t="shared" si="372"/>
        <v>#DIV/0!</v>
      </c>
      <c r="LI38" s="46" t="e">
        <f t="shared" ref="LI38" si="692">LF38/LG38</f>
        <v>#DIV/0!</v>
      </c>
      <c r="LK38" s="26">
        <f>100+100+100+150+100</f>
        <v>550</v>
      </c>
      <c r="LL38" s="48">
        <f>0.52+0.32+0.37+0.3+0.29</f>
        <v>1.8</v>
      </c>
      <c r="LM38" s="45">
        <v>5</v>
      </c>
      <c r="LN38" s="46">
        <f t="shared" si="373"/>
        <v>305.55555555555554</v>
      </c>
      <c r="LO38" s="46">
        <f t="shared" ref="LO38" si="693">LL38/LM38</f>
        <v>0.36</v>
      </c>
      <c r="LQ38" s="26"/>
      <c r="LR38" s="48"/>
      <c r="LS38" s="45"/>
      <c r="LT38" s="46" t="e">
        <f t="shared" si="374"/>
        <v>#DIV/0!</v>
      </c>
      <c r="LU38" s="46" t="e">
        <f t="shared" ref="LU38" si="694">LR38/LS38</f>
        <v>#DIV/0!</v>
      </c>
      <c r="LW38" s="26"/>
      <c r="LX38" s="48"/>
      <c r="LY38" s="45"/>
      <c r="LZ38" s="46" t="e">
        <f t="shared" si="375"/>
        <v>#DIV/0!</v>
      </c>
      <c r="MA38" s="46" t="e">
        <f t="shared" ref="MA38" si="695">LX38/LY38</f>
        <v>#DIV/0!</v>
      </c>
      <c r="MC38" s="26"/>
      <c r="MD38" s="48"/>
      <c r="ME38" s="45"/>
      <c r="MF38" s="46" t="e">
        <f t="shared" si="376"/>
        <v>#DIV/0!</v>
      </c>
      <c r="MG38" s="46" t="e">
        <f t="shared" ref="MG38" si="696">MD38/ME38</f>
        <v>#DIV/0!</v>
      </c>
      <c r="MI38" s="26">
        <f>100+100+50+50+50</f>
        <v>350</v>
      </c>
      <c r="MJ38" s="48">
        <f>0.42+0.42+0.34+0.34+0.34</f>
        <v>1.86</v>
      </c>
      <c r="MK38" s="45">
        <v>5</v>
      </c>
      <c r="ML38" s="46">
        <f t="shared" si="377"/>
        <v>188.17204301075267</v>
      </c>
      <c r="MM38" s="46">
        <f t="shared" ref="MM38" si="697">MJ38/MK38</f>
        <v>0.372</v>
      </c>
      <c r="MO38" s="26"/>
      <c r="MP38" s="48"/>
      <c r="MQ38" s="45"/>
      <c r="MR38" s="46" t="e">
        <f t="shared" si="378"/>
        <v>#DIV/0!</v>
      </c>
      <c r="MS38" s="46" t="e">
        <f t="shared" ref="MS38" si="698">MP38/MQ38</f>
        <v>#DIV/0!</v>
      </c>
      <c r="MU38" s="26"/>
      <c r="MV38" s="48"/>
      <c r="MW38" s="45"/>
      <c r="MX38" s="46" t="e">
        <f t="shared" si="379"/>
        <v>#DIV/0!</v>
      </c>
      <c r="MY38" s="46" t="e">
        <f t="shared" ref="MY38" si="699">MV38/MW38</f>
        <v>#DIV/0!</v>
      </c>
      <c r="NA38" s="823"/>
      <c r="NB38" s="823"/>
      <c r="NC38" s="823"/>
      <c r="ND38" s="46" t="e">
        <f t="shared" si="380"/>
        <v>#DIV/0!</v>
      </c>
      <c r="NE38" s="46" t="e">
        <f t="shared" ref="NE38" si="700">NB38/NC38</f>
        <v>#DIV/0!</v>
      </c>
      <c r="NG38" s="823"/>
      <c r="NH38" s="823"/>
      <c r="NI38" s="823"/>
      <c r="NJ38" s="46" t="e">
        <f t="shared" si="381"/>
        <v>#DIV/0!</v>
      </c>
      <c r="NK38" s="46" t="e">
        <f t="shared" ref="NK38" si="701">NH38/NI38</f>
        <v>#DIV/0!</v>
      </c>
      <c r="NM38" s="823"/>
      <c r="NN38" s="823"/>
      <c r="NO38" s="823"/>
      <c r="NP38" s="46" t="e">
        <f t="shared" si="382"/>
        <v>#DIV/0!</v>
      </c>
      <c r="NQ38" s="46" t="e">
        <f t="shared" ref="NQ38" si="702">NN38/NO38</f>
        <v>#DIV/0!</v>
      </c>
      <c r="NS38" s="823"/>
      <c r="NT38" s="823"/>
      <c r="NU38" s="823"/>
      <c r="NV38" s="46" t="e">
        <f t="shared" si="383"/>
        <v>#DIV/0!</v>
      </c>
      <c r="NW38" s="46" t="e">
        <f t="shared" ref="NW38" si="703">NT38/NU38</f>
        <v>#DIV/0!</v>
      </c>
      <c r="NY38" s="910">
        <f>200+200+200+200+200</f>
        <v>1000</v>
      </c>
      <c r="NZ38" s="910">
        <f>0.24+0.1+0.19+0.15+0.18</f>
        <v>0.8600000000000001</v>
      </c>
      <c r="OA38" s="910">
        <v>5</v>
      </c>
      <c r="OB38" s="46">
        <f t="shared" si="384"/>
        <v>1162.7906976744184</v>
      </c>
      <c r="OC38" s="46">
        <f t="shared" ref="OC38" si="704">NZ38/OA38</f>
        <v>0.17200000000000001</v>
      </c>
      <c r="OE38" s="823"/>
      <c r="OF38" s="823"/>
      <c r="OG38" s="823"/>
      <c r="OH38" s="46" t="e">
        <f t="shared" si="385"/>
        <v>#DIV/0!</v>
      </c>
      <c r="OI38" s="46" t="e">
        <f t="shared" ref="OI38" si="705">OF38/OG38</f>
        <v>#DIV/0!</v>
      </c>
    </row>
    <row r="39" spans="2:399">
      <c r="B39" s="20"/>
      <c r="C39" s="3"/>
      <c r="D39" s="13" t="s">
        <v>42</v>
      </c>
      <c r="E39" s="29">
        <f>500+500</f>
        <v>1000</v>
      </c>
      <c r="F39" s="32">
        <f>0.72+0.65</f>
        <v>1.37</v>
      </c>
      <c r="G39" s="33">
        <v>2</v>
      </c>
      <c r="H39" s="34">
        <f t="shared" si="610"/>
        <v>729.92700729927003</v>
      </c>
      <c r="I39" s="34">
        <f t="shared" si="611"/>
        <v>0.68500000000000005</v>
      </c>
      <c r="J39" s="30"/>
      <c r="K39" s="29"/>
      <c r="L39" s="32"/>
      <c r="M39" s="33"/>
      <c r="N39" s="34"/>
      <c r="O39" s="34"/>
      <c r="P39" s="30"/>
      <c r="Q39" s="29">
        <v>1500</v>
      </c>
      <c r="R39" s="32">
        <v>2.1</v>
      </c>
      <c r="S39" s="33">
        <v>5</v>
      </c>
      <c r="T39" s="34">
        <f t="shared" ref="T39" si="706">Q39/R39</f>
        <v>714.28571428571422</v>
      </c>
      <c r="U39" s="34">
        <f t="shared" ref="U39" si="707">R39/S39</f>
        <v>0.42000000000000004</v>
      </c>
      <c r="V39" s="30"/>
      <c r="W39" s="29"/>
      <c r="X39" s="32"/>
      <c r="Y39" s="33"/>
      <c r="Z39" s="34"/>
      <c r="AA39" s="34"/>
      <c r="AB39" s="30"/>
      <c r="AC39" s="29">
        <f>350+300+500+300+350</f>
        <v>1800</v>
      </c>
      <c r="AD39" s="32">
        <f>0.8+0.7+1.1+0.8+0.7</f>
        <v>4.1000000000000005</v>
      </c>
      <c r="AE39" s="33">
        <v>5</v>
      </c>
      <c r="AF39" s="34">
        <f t="shared" ref="AF39" si="708">AC39/AD39</f>
        <v>439.02439024390236</v>
      </c>
      <c r="AG39" s="34">
        <f t="shared" ref="AG39" si="709">AD39/AE39</f>
        <v>0.82000000000000006</v>
      </c>
      <c r="AH39" s="30"/>
      <c r="AI39" s="29"/>
      <c r="AJ39" s="32"/>
      <c r="AK39" s="33"/>
      <c r="AL39" s="34"/>
      <c r="AM39" s="34"/>
      <c r="AN39" s="30"/>
      <c r="AO39" s="29">
        <f>500+500+500+500+500</f>
        <v>2500</v>
      </c>
      <c r="AP39" s="32">
        <f>1.17+1.36+0.83+0.9+1.35</f>
        <v>5.6100000000000012</v>
      </c>
      <c r="AQ39" s="33">
        <v>5</v>
      </c>
      <c r="AR39" s="34">
        <f t="shared" ref="AR39" si="710">AO39/AP39</f>
        <v>445.63279857397492</v>
      </c>
      <c r="AS39" s="34">
        <f t="shared" ref="AS39" si="711">AP39/AQ39</f>
        <v>1.1220000000000003</v>
      </c>
      <c r="AT39" s="30"/>
      <c r="AU39" s="29">
        <f>500+500+500+500+500</f>
        <v>2500</v>
      </c>
      <c r="AV39" s="32">
        <f>0.2+1.18+0.91+1.07+1.16</f>
        <v>4.5200000000000005</v>
      </c>
      <c r="AW39" s="33">
        <v>5</v>
      </c>
      <c r="AX39" s="34">
        <f t="shared" si="497"/>
        <v>553.09734513274327</v>
      </c>
      <c r="AY39" s="34">
        <f t="shared" si="498"/>
        <v>0.90400000000000014</v>
      </c>
      <c r="AZ39" s="592"/>
      <c r="BA39" s="29">
        <f>150+150+150+150+150</f>
        <v>750</v>
      </c>
      <c r="BB39" s="32">
        <f>1.1+0.82+0.75+0.85+0.84</f>
        <v>4.3600000000000003</v>
      </c>
      <c r="BC39" s="33">
        <v>5</v>
      </c>
      <c r="BD39" s="34">
        <f t="shared" si="569"/>
        <v>172.0183486238532</v>
      </c>
      <c r="BE39" s="34">
        <f t="shared" si="570"/>
        <v>0.87200000000000011</v>
      </c>
      <c r="BF39" s="592"/>
      <c r="BG39" s="29"/>
      <c r="BH39" s="32"/>
      <c r="BI39" s="33"/>
      <c r="BJ39" s="34"/>
      <c r="BK39" s="34"/>
      <c r="BL39" s="592"/>
      <c r="BM39" s="29"/>
      <c r="BN39" s="32"/>
      <c r="BO39" s="33"/>
      <c r="BP39" s="34"/>
      <c r="BQ39" s="34"/>
      <c r="BR39" s="30"/>
      <c r="BS39" s="29"/>
      <c r="BT39" s="32"/>
      <c r="BU39" s="33"/>
      <c r="BV39" s="34"/>
      <c r="BW39" s="34"/>
      <c r="BX39" s="592"/>
      <c r="BY39" s="29">
        <f>500+500+500+500</f>
        <v>2000</v>
      </c>
      <c r="BZ39" s="32">
        <f>0.2+1.18+0.91+1.07+1.16</f>
        <v>4.5200000000000005</v>
      </c>
      <c r="CA39" s="33">
        <v>4</v>
      </c>
      <c r="CB39" s="34">
        <f t="shared" ref="CB39" si="712">BY39/BZ39</f>
        <v>442.47787610619463</v>
      </c>
      <c r="CC39" s="34">
        <f t="shared" ref="CC39" si="713">BZ39/CA39</f>
        <v>1.1300000000000001</v>
      </c>
      <c r="CD39" s="592"/>
      <c r="CE39" s="29"/>
      <c r="CF39" s="32"/>
      <c r="CG39" s="33"/>
      <c r="CH39" s="34"/>
      <c r="CI39" s="34"/>
      <c r="CJ39" s="592"/>
      <c r="CK39" s="29"/>
      <c r="CL39" s="32"/>
      <c r="CM39" s="33"/>
      <c r="CN39" s="34"/>
      <c r="CO39" s="34"/>
      <c r="CP39" s="592"/>
      <c r="CQ39" s="29"/>
      <c r="CR39" s="32"/>
      <c r="CS39" s="33"/>
      <c r="CT39" s="34"/>
      <c r="CU39" s="34"/>
      <c r="CV39" s="592"/>
      <c r="CW39" s="29">
        <f>500+500+500+500</f>
        <v>2000</v>
      </c>
      <c r="CX39" s="32">
        <f>0.2+1.18+0.91+1.07+1.16</f>
        <v>4.5200000000000005</v>
      </c>
      <c r="CY39" s="33">
        <v>4</v>
      </c>
      <c r="CZ39" s="34">
        <f t="shared" si="614"/>
        <v>442.47787610619463</v>
      </c>
      <c r="DA39" s="34">
        <f t="shared" si="615"/>
        <v>1.1300000000000001</v>
      </c>
      <c r="DB39" s="592"/>
      <c r="DC39" s="29">
        <f>500+500+500+500+500</f>
        <v>2500</v>
      </c>
      <c r="DD39" s="32">
        <f>0.75+0.55+0.88+1.02+3.64</f>
        <v>6.84</v>
      </c>
      <c r="DE39" s="33">
        <v>5</v>
      </c>
      <c r="DF39" s="34">
        <f t="shared" ref="DF39" si="714">DC39/DD39</f>
        <v>365.4970760233918</v>
      </c>
      <c r="DG39" s="34">
        <f t="shared" ref="DG39" si="715">DD39/DE39</f>
        <v>1.3679999999999999</v>
      </c>
      <c r="DH39" s="592"/>
      <c r="DI39" s="29">
        <v>1400</v>
      </c>
      <c r="DJ39" s="32">
        <v>7.43</v>
      </c>
      <c r="DK39" s="33">
        <v>5</v>
      </c>
      <c r="DL39" s="34">
        <f t="shared" si="616"/>
        <v>188.42530282637955</v>
      </c>
      <c r="DM39" s="34">
        <f t="shared" si="617"/>
        <v>1.486</v>
      </c>
      <c r="DN39" s="592"/>
      <c r="DO39" s="29">
        <v>1400</v>
      </c>
      <c r="DP39" s="32">
        <v>7.67</v>
      </c>
      <c r="DQ39" s="33">
        <v>5</v>
      </c>
      <c r="DR39" s="34">
        <f t="shared" si="618"/>
        <v>182.52933507170795</v>
      </c>
      <c r="DS39" s="34">
        <f t="shared" si="619"/>
        <v>1.534</v>
      </c>
      <c r="DT39" s="592"/>
      <c r="DU39" s="29"/>
      <c r="DV39" s="32"/>
      <c r="DW39" s="33"/>
      <c r="DX39" s="34"/>
      <c r="DY39" s="34"/>
      <c r="DZ39" s="592"/>
      <c r="EA39" s="29"/>
      <c r="EB39" s="32"/>
      <c r="EC39" s="33"/>
      <c r="ED39" s="34"/>
      <c r="EE39" s="34"/>
      <c r="EF39" s="592"/>
      <c r="EG39" s="29"/>
      <c r="EH39" s="32"/>
      <c r="EI39" s="33"/>
      <c r="EJ39" s="34"/>
      <c r="EK39" s="34"/>
      <c r="EL39" s="592"/>
      <c r="EM39" s="29"/>
      <c r="EN39" s="32"/>
      <c r="EO39" s="33"/>
      <c r="EP39" s="34"/>
      <c r="EQ39" s="34"/>
      <c r="ER39" s="30"/>
      <c r="ES39" s="29">
        <f>500+500+500+500</f>
        <v>2000</v>
      </c>
      <c r="ET39" s="32">
        <f>0.2+1.18+0.91+1.07+1.16</f>
        <v>4.5200000000000005</v>
      </c>
      <c r="EU39" s="33">
        <v>4</v>
      </c>
      <c r="EV39" s="34">
        <f t="shared" si="18"/>
        <v>442.47787610619463</v>
      </c>
      <c r="EW39" s="34">
        <f t="shared" si="18"/>
        <v>1.1300000000000001</v>
      </c>
      <c r="EX39" s="30"/>
      <c r="EY39" s="35"/>
      <c r="EZ39" s="34"/>
      <c r="FA39" s="37"/>
      <c r="FB39" s="34"/>
      <c r="FC39" s="34"/>
      <c r="FE39" s="26">
        <v>1500</v>
      </c>
      <c r="FF39" s="27">
        <v>2.1</v>
      </c>
      <c r="FG39" s="28">
        <v>5</v>
      </c>
      <c r="FH39" s="38">
        <f t="shared" si="96"/>
        <v>714.28571428571422</v>
      </c>
      <c r="FI39" s="39">
        <f t="shared" si="96"/>
        <v>0.42000000000000004</v>
      </c>
      <c r="FK39" s="27"/>
      <c r="FL39" s="40"/>
      <c r="FM39" s="27"/>
      <c r="FN39" s="40"/>
      <c r="FO39" s="40"/>
      <c r="FQ39" s="26">
        <f>500*5</f>
        <v>2500</v>
      </c>
      <c r="FR39" s="40">
        <f>1.54*5</f>
        <v>7.7</v>
      </c>
      <c r="FS39" s="27">
        <f>5</f>
        <v>5</v>
      </c>
      <c r="FT39" s="40">
        <f t="shared" si="19"/>
        <v>324.67532467532465</v>
      </c>
      <c r="FU39" s="40">
        <f t="shared" si="19"/>
        <v>1.54</v>
      </c>
      <c r="FW39" s="26">
        <f>500+500+250+250+250</f>
        <v>1750</v>
      </c>
      <c r="FX39" s="27">
        <f>1.22+1.08+0.76+0.78+0.8</f>
        <v>4.6399999999999997</v>
      </c>
      <c r="FY39" s="27">
        <v>5</v>
      </c>
      <c r="FZ39" s="40">
        <f t="shared" si="20"/>
        <v>377.15517241379314</v>
      </c>
      <c r="GA39" s="40">
        <f t="shared" si="20"/>
        <v>0.92799999999999994</v>
      </c>
      <c r="GC39" s="26">
        <f>500</f>
        <v>500</v>
      </c>
      <c r="GD39" s="27">
        <f>1.47</f>
        <v>1.47</v>
      </c>
      <c r="GE39" s="27">
        <v>1</v>
      </c>
      <c r="GF39" s="40">
        <f t="shared" si="21"/>
        <v>340.13605442176873</v>
      </c>
      <c r="GG39" s="40">
        <f t="shared" si="21"/>
        <v>1.47</v>
      </c>
      <c r="GI39" s="26">
        <f>300</f>
        <v>300</v>
      </c>
      <c r="GJ39" s="27">
        <f>0.99</f>
        <v>0.99</v>
      </c>
      <c r="GK39" s="27">
        <f>1</f>
        <v>1</v>
      </c>
      <c r="GL39" s="40">
        <f t="shared" si="22"/>
        <v>303.03030303030306</v>
      </c>
      <c r="GM39" s="40">
        <f t="shared" si="22"/>
        <v>0.99</v>
      </c>
      <c r="GO39" s="26">
        <f>500+500+500+500+500</f>
        <v>2500</v>
      </c>
      <c r="GP39" s="40">
        <f>7.7+7.7+7.7+7.7+7.7</f>
        <v>38.5</v>
      </c>
      <c r="GQ39" s="27">
        <f>5</f>
        <v>5</v>
      </c>
      <c r="GR39" s="40">
        <f t="shared" si="98"/>
        <v>64.935064935064929</v>
      </c>
      <c r="GS39" s="40">
        <f t="shared" si="98"/>
        <v>7.7</v>
      </c>
      <c r="GU39" s="95">
        <f>300+300+300+200+200</f>
        <v>1300</v>
      </c>
      <c r="GV39" s="99">
        <f>1.99+1.53+1.42+1.2+1.26</f>
        <v>7.3999999999999995</v>
      </c>
      <c r="GW39" s="100">
        <v>5</v>
      </c>
      <c r="GX39" s="101">
        <f t="shared" si="23"/>
        <v>175.67567567567568</v>
      </c>
      <c r="GY39" s="101">
        <f t="shared" si="23"/>
        <v>1.48</v>
      </c>
      <c r="GZ39" s="43"/>
      <c r="HA39" s="26">
        <f>200+200+200+150+200</f>
        <v>950</v>
      </c>
      <c r="HB39" s="39">
        <f>1.9+1.9+2.3+1.1+2.65</f>
        <v>9.85</v>
      </c>
      <c r="HC39" s="28">
        <v>5</v>
      </c>
      <c r="HD39" s="106">
        <f t="shared" si="24"/>
        <v>96.44670050761421</v>
      </c>
      <c r="HE39" s="106">
        <f t="shared" si="24"/>
        <v>1.97</v>
      </c>
      <c r="HG39" s="26">
        <f>500+500+500</f>
        <v>1500</v>
      </c>
      <c r="HH39" s="27">
        <v>2.1</v>
      </c>
      <c r="HI39" s="27">
        <f>3</f>
        <v>3</v>
      </c>
      <c r="HJ39" s="34">
        <f t="shared" si="25"/>
        <v>714.28571428571422</v>
      </c>
      <c r="HK39" s="34">
        <f t="shared" si="25"/>
        <v>0.70000000000000007</v>
      </c>
      <c r="HM39" s="26">
        <f>500+500</f>
        <v>1000</v>
      </c>
      <c r="HN39" s="45">
        <f>0.72+0.65</f>
        <v>1.37</v>
      </c>
      <c r="HO39" s="46">
        <v>2</v>
      </c>
      <c r="HP39" s="47">
        <f t="shared" si="99"/>
        <v>729.92700729927003</v>
      </c>
      <c r="HQ39" s="47">
        <f t="shared" si="99"/>
        <v>0.68500000000000005</v>
      </c>
      <c r="HS39" s="26"/>
      <c r="HT39" s="45"/>
      <c r="HU39" s="46"/>
      <c r="HV39" s="48"/>
      <c r="HW39" s="48"/>
      <c r="HY39" s="45"/>
      <c r="HZ39" s="45"/>
      <c r="IA39" s="45"/>
      <c r="IB39" s="48"/>
      <c r="IC39" s="48"/>
      <c r="IE39" s="45">
        <f>500+500+500+500+500</f>
        <v>2500</v>
      </c>
      <c r="IF39" s="45">
        <f>0.98+1.1+1.01+1+0.9</f>
        <v>4.99</v>
      </c>
      <c r="IG39" s="45">
        <f>5</f>
        <v>5</v>
      </c>
      <c r="IH39" s="48">
        <f t="shared" si="27"/>
        <v>501.002004008016</v>
      </c>
      <c r="II39" s="48">
        <f t="shared" si="27"/>
        <v>0.998</v>
      </c>
      <c r="IK39" s="26">
        <f>500+500+500+500+500</f>
        <v>2500</v>
      </c>
      <c r="IL39" s="48">
        <f>0.61+0.39+0.44+0.97+0.91</f>
        <v>3.3200000000000003</v>
      </c>
      <c r="IM39" s="45">
        <f>5</f>
        <v>5</v>
      </c>
      <c r="IN39" s="48">
        <f t="shared" si="28"/>
        <v>753.01204819277098</v>
      </c>
      <c r="IO39" s="48">
        <f t="shared" si="28"/>
        <v>0.66400000000000003</v>
      </c>
      <c r="IQ39" s="26">
        <f>300+500+500+500+500</f>
        <v>2300</v>
      </c>
      <c r="IR39" s="48">
        <f>1.19+1.21+0.8+1.22+1.03</f>
        <v>5.45</v>
      </c>
      <c r="IS39" s="45">
        <v>5</v>
      </c>
      <c r="IT39" s="48">
        <f t="shared" ref="IT39" si="716">IQ39/IR39</f>
        <v>422.01834862385317</v>
      </c>
      <c r="IU39" s="48">
        <f t="shared" ref="IU39" si="717">IR39/IS39</f>
        <v>1.0900000000000001</v>
      </c>
      <c r="IW39" s="26">
        <f>300+300+300+300+300</f>
        <v>1500</v>
      </c>
      <c r="IX39" s="48">
        <f>1.2+1.12+1.16+1.14+1.19</f>
        <v>5.8100000000000005</v>
      </c>
      <c r="IY39" s="45">
        <v>5</v>
      </c>
      <c r="IZ39" s="46">
        <f t="shared" si="685"/>
        <v>258.17555938037862</v>
      </c>
      <c r="JA39" s="46">
        <f t="shared" si="686"/>
        <v>1.1620000000000001</v>
      </c>
      <c r="JC39" s="26">
        <f>200+200+200+200+300</f>
        <v>1100</v>
      </c>
      <c r="JD39" s="48">
        <f>1.3+1.31+1.24+1+2.14</f>
        <v>6.99</v>
      </c>
      <c r="JE39" s="45">
        <v>5</v>
      </c>
      <c r="JF39" s="46">
        <f t="shared" si="604"/>
        <v>157.36766809728184</v>
      </c>
      <c r="JG39" s="46">
        <f t="shared" si="605"/>
        <v>1.3980000000000001</v>
      </c>
      <c r="JI39" s="26">
        <f>250+250+250+300+300</f>
        <v>1350</v>
      </c>
      <c r="JJ39" s="48">
        <f>0.06+2.26+2.34+2.33+2.36</f>
        <v>9.35</v>
      </c>
      <c r="JK39" s="45">
        <v>5</v>
      </c>
      <c r="JL39" s="46">
        <f t="shared" ref="JL39" si="718">JI39/JJ39</f>
        <v>144.38502673796793</v>
      </c>
      <c r="JM39" s="46">
        <f t="shared" ref="JM39" si="719">JJ39/JK39</f>
        <v>1.8699999999999999</v>
      </c>
      <c r="JO39" s="26">
        <f>200+200+200+200+300</f>
        <v>1100</v>
      </c>
      <c r="JP39" s="48">
        <f>1.09+1.25+1.23+0.97+1.4</f>
        <v>5.9399999999999995</v>
      </c>
      <c r="JQ39" s="45">
        <v>5</v>
      </c>
      <c r="JR39" s="46">
        <f t="shared" ref="JR39" si="720">JO39/JP39</f>
        <v>185.18518518518519</v>
      </c>
      <c r="JS39" s="46">
        <f t="shared" ref="JS39" si="721">JP39/JQ39</f>
        <v>1.1879999999999999</v>
      </c>
      <c r="JU39" s="26">
        <f>200+200+200+300+300</f>
        <v>1200</v>
      </c>
      <c r="JV39" s="48">
        <f>1.19+1.26+1.34+1.32+1.36</f>
        <v>6.4700000000000006</v>
      </c>
      <c r="JW39" s="45">
        <v>5</v>
      </c>
      <c r="JX39" s="46">
        <f t="shared" ref="JX39:JX40" si="722">JU39/JV39</f>
        <v>185.47140649149921</v>
      </c>
      <c r="JY39" s="46">
        <f t="shared" ref="JY39:JY40" si="723">JV39/JW39</f>
        <v>1.294</v>
      </c>
      <c r="KA39" s="26">
        <f>500+500+500+500+500</f>
        <v>2500</v>
      </c>
      <c r="KB39" s="48">
        <f>1.13+0.94+0.89+0.9+0.92</f>
        <v>4.78</v>
      </c>
      <c r="KC39" s="45">
        <v>5</v>
      </c>
      <c r="KD39" s="46">
        <f t="shared" si="677"/>
        <v>523.01255230125525</v>
      </c>
      <c r="KE39" s="46">
        <f t="shared" si="678"/>
        <v>0.95600000000000007</v>
      </c>
      <c r="KG39" s="26"/>
      <c r="KH39" s="48"/>
      <c r="KI39" s="45"/>
      <c r="KJ39" s="46" t="e">
        <f t="shared" si="679"/>
        <v>#DIV/0!</v>
      </c>
      <c r="KK39" s="46" t="e">
        <f t="shared" si="680"/>
        <v>#DIV/0!</v>
      </c>
      <c r="KM39" s="26"/>
      <c r="KN39" s="48"/>
      <c r="KO39" s="45"/>
      <c r="KP39" s="46" t="e">
        <f t="shared" si="622"/>
        <v>#DIV/0!</v>
      </c>
      <c r="KQ39" s="46" t="e">
        <f>KN39/KO39</f>
        <v>#DIV/0!</v>
      </c>
      <c r="KS39" s="26"/>
      <c r="KT39" s="48"/>
      <c r="KU39" s="45"/>
      <c r="KV39" s="46" t="e">
        <f t="shared" si="370"/>
        <v>#DIV/0!</v>
      </c>
      <c r="KW39" s="46" t="e">
        <f>KT39/KU39</f>
        <v>#DIV/0!</v>
      </c>
      <c r="KY39" s="26"/>
      <c r="KZ39" s="48"/>
      <c r="LA39" s="45"/>
      <c r="LB39" s="46" t="e">
        <f t="shared" si="371"/>
        <v>#DIV/0!</v>
      </c>
      <c r="LC39" s="46" t="e">
        <f>KZ39/LA39</f>
        <v>#DIV/0!</v>
      </c>
      <c r="LE39" s="26"/>
      <c r="LF39" s="48"/>
      <c r="LG39" s="45"/>
      <c r="LH39" s="46" t="e">
        <f t="shared" si="372"/>
        <v>#DIV/0!</v>
      </c>
      <c r="LI39" s="46" t="e">
        <f>LF39/LG39</f>
        <v>#DIV/0!</v>
      </c>
      <c r="LK39" s="26">
        <f>500+500+500+400+400</f>
        <v>2300</v>
      </c>
      <c r="LL39" s="48">
        <f>0.77+0.96+0.94+0.94+0.76</f>
        <v>4.37</v>
      </c>
      <c r="LM39" s="45">
        <v>5</v>
      </c>
      <c r="LN39" s="46">
        <f t="shared" si="373"/>
        <v>526.31578947368416</v>
      </c>
      <c r="LO39" s="46">
        <f>LL39/LM39</f>
        <v>0.874</v>
      </c>
      <c r="LQ39" s="26">
        <f>300+300+300+300+300</f>
        <v>1500</v>
      </c>
      <c r="LR39" s="48">
        <f>1.29+1.08+1.06+1.78+1.67</f>
        <v>6.88</v>
      </c>
      <c r="LS39" s="45">
        <v>5</v>
      </c>
      <c r="LT39" s="46">
        <f t="shared" si="374"/>
        <v>218.02325581395348</v>
      </c>
      <c r="LU39" s="46">
        <f>LR39/LS39</f>
        <v>1.3759999999999999</v>
      </c>
      <c r="LW39" s="26">
        <f>300+300+300</f>
        <v>900</v>
      </c>
      <c r="LX39" s="48">
        <f>1.33+1.19+1.34</f>
        <v>3.8600000000000003</v>
      </c>
      <c r="LY39" s="45">
        <v>3</v>
      </c>
      <c r="LZ39" s="46">
        <f t="shared" si="375"/>
        <v>233.16062176165801</v>
      </c>
      <c r="MA39" s="46">
        <f>LX39/LY39</f>
        <v>1.2866666666666668</v>
      </c>
      <c r="MC39" s="26">
        <f>300+300+500+500+500</f>
        <v>2100</v>
      </c>
      <c r="MD39" s="48">
        <f>0.6+0.94+1.08+1.07+1.19</f>
        <v>4.8800000000000008</v>
      </c>
      <c r="ME39" s="45">
        <v>5</v>
      </c>
      <c r="MF39" s="46">
        <f t="shared" si="376"/>
        <v>430.32786885245895</v>
      </c>
      <c r="MG39" s="46">
        <f>MD39/ME39</f>
        <v>0.9760000000000002</v>
      </c>
      <c r="MI39" s="26">
        <f>400+400+400+200+200</f>
        <v>1600</v>
      </c>
      <c r="MJ39" s="48">
        <f>1.54+1.57+1.08+1.2+1.47</f>
        <v>6.86</v>
      </c>
      <c r="MK39" s="45">
        <v>5</v>
      </c>
      <c r="ML39" s="46">
        <f t="shared" si="377"/>
        <v>233.23615160349854</v>
      </c>
      <c r="MM39" s="46">
        <f>MJ39/MK39</f>
        <v>1.3720000000000001</v>
      </c>
      <c r="MO39" s="26"/>
      <c r="MP39" s="48"/>
      <c r="MQ39" s="45"/>
      <c r="MR39" s="46" t="e">
        <f t="shared" si="378"/>
        <v>#DIV/0!</v>
      </c>
      <c r="MS39" s="46" t="e">
        <f>MP39/MQ39</f>
        <v>#DIV/0!</v>
      </c>
      <c r="MU39" s="26"/>
      <c r="MV39" s="48"/>
      <c r="MW39" s="45"/>
      <c r="MX39" s="46" t="e">
        <f t="shared" si="379"/>
        <v>#DIV/0!</v>
      </c>
      <c r="MY39" s="46" t="e">
        <f>MV39/MW39</f>
        <v>#DIV/0!</v>
      </c>
      <c r="NA39" s="823">
        <f>500+500+500+500</f>
        <v>2000</v>
      </c>
      <c r="NB39" s="823">
        <f>0.89+0.81+0.91+0.77</f>
        <v>3.3800000000000003</v>
      </c>
      <c r="NC39" s="823">
        <v>4</v>
      </c>
      <c r="ND39" s="46">
        <f t="shared" si="380"/>
        <v>591.71597633136093</v>
      </c>
      <c r="NE39" s="46">
        <f>NB39/NC39</f>
        <v>0.84500000000000008</v>
      </c>
      <c r="NG39" s="823"/>
      <c r="NH39" s="823"/>
      <c r="NI39" s="823"/>
      <c r="NJ39" s="46" t="e">
        <f t="shared" si="381"/>
        <v>#DIV/0!</v>
      </c>
      <c r="NK39" s="46" t="e">
        <f>NH39/NI39</f>
        <v>#DIV/0!</v>
      </c>
      <c r="NM39" s="823"/>
      <c r="NN39" s="823"/>
      <c r="NO39" s="823"/>
      <c r="NP39" s="46" t="e">
        <f t="shared" si="382"/>
        <v>#DIV/0!</v>
      </c>
      <c r="NQ39" s="46" t="e">
        <f>NN39/NO39</f>
        <v>#DIV/0!</v>
      </c>
      <c r="NS39" s="823">
        <f>500+500+500+500+500</f>
        <v>2500</v>
      </c>
      <c r="NT39" s="823">
        <f>0.62+0.68+0.45+0.38+0.42</f>
        <v>2.5499999999999998</v>
      </c>
      <c r="NU39" s="823">
        <v>5</v>
      </c>
      <c r="NV39" s="46">
        <f t="shared" si="383"/>
        <v>980.3921568627452</v>
      </c>
      <c r="NW39" s="46">
        <f>NT39/NU39</f>
        <v>0.51</v>
      </c>
      <c r="NY39" s="910"/>
      <c r="NZ39" s="910"/>
      <c r="OA39" s="910"/>
      <c r="OB39" s="46" t="e">
        <f t="shared" si="384"/>
        <v>#DIV/0!</v>
      </c>
      <c r="OC39" s="46" t="e">
        <f>NZ39/OA39</f>
        <v>#DIV/0!</v>
      </c>
      <c r="OE39" s="823">
        <f>500+500+500+500+500</f>
        <v>2500</v>
      </c>
      <c r="OF39" s="823">
        <f>1.09+1.07+0.72+0.62+0.73</f>
        <v>4.2300000000000004</v>
      </c>
      <c r="OG39" s="823">
        <v>5</v>
      </c>
      <c r="OH39" s="46">
        <f t="shared" si="385"/>
        <v>591.01654846335691</v>
      </c>
      <c r="OI39" s="46">
        <f>OF39/OG39</f>
        <v>0.84600000000000009</v>
      </c>
    </row>
    <row r="40" spans="2:399">
      <c r="B40" s="20"/>
      <c r="C40" s="3" t="s">
        <v>43</v>
      </c>
      <c r="D40" s="13" t="s">
        <v>44</v>
      </c>
      <c r="E40" s="26"/>
      <c r="F40" s="27"/>
      <c r="G40" s="27"/>
      <c r="H40" s="40"/>
      <c r="I40" s="40"/>
      <c r="J40" s="30"/>
      <c r="K40" s="26"/>
      <c r="L40" s="27"/>
      <c r="M40" s="27"/>
      <c r="N40" s="40"/>
      <c r="O40" s="40"/>
      <c r="P40" s="30"/>
      <c r="Q40" s="26"/>
      <c r="R40" s="27"/>
      <c r="S40" s="27"/>
      <c r="T40" s="40"/>
      <c r="U40" s="40"/>
      <c r="V40" s="30"/>
      <c r="W40" s="26"/>
      <c r="X40" s="27"/>
      <c r="Y40" s="27"/>
      <c r="Z40" s="40"/>
      <c r="AA40" s="40"/>
      <c r="AB40" s="30"/>
      <c r="AC40" s="26"/>
      <c r="AD40" s="27"/>
      <c r="AE40" s="27"/>
      <c r="AF40" s="40"/>
      <c r="AG40" s="40"/>
      <c r="AH40" s="30"/>
      <c r="AI40" s="26"/>
      <c r="AJ40" s="27"/>
      <c r="AK40" s="27"/>
      <c r="AL40" s="40"/>
      <c r="AM40" s="40"/>
      <c r="AN40" s="30"/>
      <c r="AO40" s="26">
        <f>60+70+80+100+50</f>
        <v>360</v>
      </c>
      <c r="AP40" s="27">
        <f>0.23+0.26+0.23+0.28+0.16</f>
        <v>1.1599999999999999</v>
      </c>
      <c r="AQ40" s="27">
        <v>5</v>
      </c>
      <c r="AR40" s="34">
        <f t="shared" ref="AR40:AR41" si="724">AO40/AP40</f>
        <v>310.34482758620692</v>
      </c>
      <c r="AS40" s="34">
        <f t="shared" ref="AS40:AS41" si="725">AP40/AQ40</f>
        <v>0.23199999999999998</v>
      </c>
      <c r="AT40" s="30"/>
      <c r="AU40" s="26">
        <f>80+60+50+40+30</f>
        <v>260</v>
      </c>
      <c r="AV40" s="27">
        <f>0.32+0.25+0.18+0.18+0.16</f>
        <v>1.0899999999999999</v>
      </c>
      <c r="AW40" s="27">
        <v>5</v>
      </c>
      <c r="AX40" s="34">
        <f t="shared" si="497"/>
        <v>238.53211009174316</v>
      </c>
      <c r="AY40" s="34">
        <f t="shared" si="498"/>
        <v>0.21799999999999997</v>
      </c>
      <c r="AZ40" s="592"/>
      <c r="BA40" s="26">
        <f>60+60+60+50+50</f>
        <v>280</v>
      </c>
      <c r="BB40" s="27">
        <f>0.44+0.44+0.52+0.3+0.36</f>
        <v>2.06</v>
      </c>
      <c r="BC40" s="27">
        <v>5</v>
      </c>
      <c r="BD40" s="34">
        <f t="shared" si="569"/>
        <v>135.92233009708738</v>
      </c>
      <c r="BE40" s="34">
        <f t="shared" si="570"/>
        <v>0.41200000000000003</v>
      </c>
      <c r="BF40" s="592"/>
      <c r="BG40" s="26"/>
      <c r="BH40" s="27"/>
      <c r="BI40" s="27"/>
      <c r="BJ40" s="34"/>
      <c r="BK40" s="34"/>
      <c r="BL40" s="592"/>
      <c r="BM40" s="26"/>
      <c r="BN40" s="27"/>
      <c r="BO40" s="27"/>
      <c r="BP40" s="34"/>
      <c r="BQ40" s="34"/>
      <c r="BR40" s="30"/>
      <c r="BS40" s="26"/>
      <c r="BT40" s="27"/>
      <c r="BU40" s="27"/>
      <c r="BV40" s="34"/>
      <c r="BW40" s="34"/>
      <c r="BX40" s="592"/>
      <c r="BY40" s="26"/>
      <c r="BZ40" s="27"/>
      <c r="CA40" s="27"/>
      <c r="CB40" s="34"/>
      <c r="CC40" s="34"/>
      <c r="CD40" s="592"/>
      <c r="CE40" s="26"/>
      <c r="CF40" s="27"/>
      <c r="CG40" s="27"/>
      <c r="CH40" s="34"/>
      <c r="CI40" s="34"/>
      <c r="CJ40" s="592"/>
      <c r="CK40" s="26"/>
      <c r="CL40" s="27"/>
      <c r="CM40" s="27"/>
      <c r="CN40" s="34"/>
      <c r="CO40" s="34"/>
      <c r="CP40" s="592"/>
      <c r="CQ40" s="26"/>
      <c r="CR40" s="27"/>
      <c r="CS40" s="27"/>
      <c r="CT40" s="34"/>
      <c r="CU40" s="34"/>
      <c r="CV40" s="592"/>
      <c r="CW40" s="26"/>
      <c r="CX40" s="27"/>
      <c r="CY40" s="27"/>
      <c r="CZ40" s="34"/>
      <c r="DA40" s="34"/>
      <c r="DB40" s="592"/>
      <c r="DC40" s="26"/>
      <c r="DD40" s="27"/>
      <c r="DE40" s="27"/>
      <c r="DF40" s="34"/>
      <c r="DG40" s="34"/>
      <c r="DH40" s="592"/>
      <c r="DI40" s="26">
        <v>380</v>
      </c>
      <c r="DJ40" s="27">
        <v>1.05</v>
      </c>
      <c r="DK40" s="27">
        <v>5</v>
      </c>
      <c r="DL40" s="34">
        <f t="shared" ref="DL40" si="726">DI40/DJ40</f>
        <v>361.90476190476187</v>
      </c>
      <c r="DM40" s="34">
        <f t="shared" ref="DM40" si="727">DJ40/DK40</f>
        <v>0.21000000000000002</v>
      </c>
      <c r="DN40" s="592"/>
      <c r="DO40" s="26">
        <v>650</v>
      </c>
      <c r="DP40" s="27">
        <v>1.28</v>
      </c>
      <c r="DQ40" s="27">
        <v>5</v>
      </c>
      <c r="DR40" s="34">
        <f t="shared" ref="DR40" si="728">DO40/DP40</f>
        <v>507.8125</v>
      </c>
      <c r="DS40" s="34">
        <f t="shared" ref="DS40" si="729">DP40/DQ40</f>
        <v>0.25600000000000001</v>
      </c>
      <c r="DT40" s="592"/>
      <c r="DU40" s="26"/>
      <c r="DV40" s="27"/>
      <c r="DW40" s="27"/>
      <c r="DX40" s="34"/>
      <c r="DY40" s="34"/>
      <c r="DZ40" s="592"/>
      <c r="EA40" s="26"/>
      <c r="EB40" s="27"/>
      <c r="EC40" s="27"/>
      <c r="ED40" s="34"/>
      <c r="EE40" s="34"/>
      <c r="EF40" s="592"/>
      <c r="EG40" s="26"/>
      <c r="EH40" s="27"/>
      <c r="EI40" s="27"/>
      <c r="EJ40" s="34"/>
      <c r="EK40" s="34"/>
      <c r="EL40" s="592"/>
      <c r="EM40" s="26"/>
      <c r="EN40" s="27"/>
      <c r="EO40" s="27"/>
      <c r="EP40" s="34"/>
      <c r="EQ40" s="34"/>
      <c r="ER40" s="30"/>
      <c r="ES40" s="26"/>
      <c r="ET40" s="27"/>
      <c r="EU40" s="27"/>
      <c r="EV40" s="40"/>
      <c r="EW40" s="40"/>
      <c r="EX40" s="30"/>
      <c r="EY40" s="35"/>
      <c r="EZ40" s="34"/>
      <c r="FA40" s="37"/>
      <c r="FB40" s="34"/>
      <c r="FC40" s="34"/>
      <c r="FE40" s="26"/>
      <c r="FF40" s="27"/>
      <c r="FG40" s="28"/>
      <c r="FH40" s="38"/>
      <c r="FI40" s="39"/>
      <c r="FK40" s="27"/>
      <c r="FL40" s="40"/>
      <c r="FM40" s="27"/>
      <c r="FN40" s="40"/>
      <c r="FO40" s="40"/>
      <c r="FQ40" s="26"/>
      <c r="FR40" s="40"/>
      <c r="FS40" s="27"/>
      <c r="FT40" s="40"/>
      <c r="FU40" s="40"/>
      <c r="FW40" s="26"/>
      <c r="FX40" s="27"/>
      <c r="FY40" s="27"/>
      <c r="FZ40" s="40"/>
      <c r="GA40" s="40"/>
      <c r="GC40" s="26">
        <f>100+100+100+100+100</f>
        <v>500</v>
      </c>
      <c r="GD40" s="27">
        <f>0.95+0.95+0.95+0.95+0.95</f>
        <v>4.75</v>
      </c>
      <c r="GE40" s="27">
        <f>5</f>
        <v>5</v>
      </c>
      <c r="GF40" s="40">
        <f t="shared" si="21"/>
        <v>105.26315789473684</v>
      </c>
      <c r="GG40" s="40">
        <f t="shared" si="21"/>
        <v>0.95</v>
      </c>
      <c r="GI40" s="26">
        <f>40+40+40+40+40</f>
        <v>200</v>
      </c>
      <c r="GJ40" s="27">
        <f>1.01+1.01+1.01+1.01+1.01</f>
        <v>5.05</v>
      </c>
      <c r="GK40" s="27">
        <f>5</f>
        <v>5</v>
      </c>
      <c r="GL40" s="40">
        <f>GI40/GJ40</f>
        <v>39.603960396039604</v>
      </c>
      <c r="GM40" s="40">
        <f t="shared" si="22"/>
        <v>1.01</v>
      </c>
      <c r="GO40" s="26">
        <f>50+50+50+100+100</f>
        <v>350</v>
      </c>
      <c r="GP40" s="40">
        <f>0.45+0.45+0.45+0.95+0.95</f>
        <v>3.25</v>
      </c>
      <c r="GQ40" s="27">
        <f>5</f>
        <v>5</v>
      </c>
      <c r="GR40" s="40">
        <f>GO40/GP40</f>
        <v>107.69230769230769</v>
      </c>
      <c r="GS40" s="40">
        <f t="shared" si="98"/>
        <v>0.65</v>
      </c>
      <c r="GU40" s="95">
        <f>30+20+40+50+60</f>
        <v>200</v>
      </c>
      <c r="GV40" s="99">
        <f>0.15+0.12+0.16+0.17+0.24</f>
        <v>0.84000000000000008</v>
      </c>
      <c r="GW40" s="100">
        <v>5</v>
      </c>
      <c r="GX40" s="101">
        <f>GU40/GV40</f>
        <v>238.09523809523807</v>
      </c>
      <c r="GY40" s="101">
        <f t="shared" si="23"/>
        <v>0.16800000000000001</v>
      </c>
      <c r="GZ40" s="43"/>
      <c r="HA40" s="26">
        <f>30+40+20+10+60</f>
        <v>160</v>
      </c>
      <c r="HB40" s="39">
        <f>0.2+0.3+0.1+0.15+0.3</f>
        <v>1.05</v>
      </c>
      <c r="HC40" s="28">
        <v>5</v>
      </c>
      <c r="HD40" s="106">
        <f t="shared" si="24"/>
        <v>152.38095238095238</v>
      </c>
      <c r="HE40" s="106">
        <f t="shared" si="24"/>
        <v>0.21000000000000002</v>
      </c>
      <c r="HG40" s="26">
        <f>100+100+100+100+100</f>
        <v>500</v>
      </c>
      <c r="HH40" s="40">
        <f>0.21+0.24+0.28+0.22+0.19</f>
        <v>1.1399999999999999</v>
      </c>
      <c r="HI40" s="27">
        <f>5</f>
        <v>5</v>
      </c>
      <c r="HJ40" s="34">
        <f>HG40/HH40</f>
        <v>438.59649122807019</v>
      </c>
      <c r="HK40" s="34">
        <f t="shared" si="25"/>
        <v>0.22799999999999998</v>
      </c>
      <c r="HM40" s="26"/>
      <c r="HN40" s="45"/>
      <c r="HO40" s="46"/>
      <c r="HP40" s="47"/>
      <c r="HQ40" s="47"/>
      <c r="HS40" s="26"/>
      <c r="HT40" s="45"/>
      <c r="HU40" s="46"/>
      <c r="HV40" s="48"/>
      <c r="HW40" s="48"/>
      <c r="HY40" s="45"/>
      <c r="HZ40" s="45"/>
      <c r="IA40" s="45"/>
      <c r="IB40" s="48"/>
      <c r="IC40" s="48"/>
      <c r="IE40" s="45"/>
      <c r="IF40" s="45"/>
      <c r="IG40" s="45"/>
      <c r="IH40" s="48"/>
      <c r="II40" s="48"/>
      <c r="IK40" s="26"/>
      <c r="IL40" s="40"/>
      <c r="IM40" s="45"/>
      <c r="IN40" s="48"/>
      <c r="IO40" s="48"/>
      <c r="IQ40" s="26"/>
      <c r="IR40" s="40"/>
      <c r="IS40" s="45"/>
      <c r="IT40" s="48"/>
      <c r="IU40" s="48"/>
      <c r="IW40" s="26">
        <f>150*5</f>
        <v>750</v>
      </c>
      <c r="IX40" s="40">
        <v>1.04</v>
      </c>
      <c r="IY40" s="45">
        <v>5</v>
      </c>
      <c r="IZ40" s="46">
        <f t="shared" si="685"/>
        <v>721.15384615384608</v>
      </c>
      <c r="JA40" s="46">
        <f t="shared" si="686"/>
        <v>0.20800000000000002</v>
      </c>
      <c r="JC40" s="26">
        <f>50+50+20+30+50</f>
        <v>200</v>
      </c>
      <c r="JD40" s="40">
        <f>0.27+0.26+0.2+0.19+0.23</f>
        <v>1.1499999999999999</v>
      </c>
      <c r="JE40" s="45">
        <v>5</v>
      </c>
      <c r="JF40" s="46">
        <f t="shared" si="604"/>
        <v>173.91304347826087</v>
      </c>
      <c r="JG40" s="46">
        <f t="shared" si="605"/>
        <v>0.22999999999999998</v>
      </c>
      <c r="JI40" s="26"/>
      <c r="JJ40" s="40"/>
      <c r="JK40" s="45"/>
      <c r="JL40" s="46"/>
      <c r="JM40" s="46"/>
      <c r="JO40" s="26"/>
      <c r="JP40" s="40"/>
      <c r="JQ40" s="45"/>
      <c r="JR40" s="46"/>
      <c r="JS40" s="46"/>
      <c r="JU40" s="26">
        <f>30+30+30+30+30</f>
        <v>150</v>
      </c>
      <c r="JV40" s="40">
        <f>0.31+0.3+0.29+0.31+0.28</f>
        <v>1.49</v>
      </c>
      <c r="JW40" s="45">
        <v>5</v>
      </c>
      <c r="JX40" s="46">
        <f t="shared" si="722"/>
        <v>100.67114093959732</v>
      </c>
      <c r="JY40" s="46">
        <f t="shared" si="723"/>
        <v>0.29799999999999999</v>
      </c>
      <c r="KA40" s="26"/>
      <c r="KB40" s="40"/>
      <c r="KC40" s="45"/>
      <c r="KD40" s="46"/>
      <c r="KE40" s="46"/>
      <c r="KG40" s="26"/>
      <c r="KH40" s="40"/>
      <c r="KI40" s="45"/>
      <c r="KJ40" s="46"/>
      <c r="KK40" s="46"/>
      <c r="KM40" s="26"/>
      <c r="KN40" s="40"/>
      <c r="KO40" s="45"/>
      <c r="KP40" s="46" t="e">
        <f t="shared" si="622"/>
        <v>#DIV/0!</v>
      </c>
      <c r="KQ40" s="46" t="e">
        <f t="shared" ref="KQ40" si="730">KN40/KO40</f>
        <v>#DIV/0!</v>
      </c>
      <c r="KS40" s="26"/>
      <c r="KT40" s="40"/>
      <c r="KU40" s="45"/>
      <c r="KV40" s="46" t="e">
        <f t="shared" si="370"/>
        <v>#DIV/0!</v>
      </c>
      <c r="KW40" s="46" t="e">
        <f t="shared" ref="KW40" si="731">KT40/KU40</f>
        <v>#DIV/0!</v>
      </c>
      <c r="KY40" s="26"/>
      <c r="KZ40" s="40"/>
      <c r="LA40" s="45"/>
      <c r="LB40" s="46" t="e">
        <f t="shared" si="371"/>
        <v>#DIV/0!</v>
      </c>
      <c r="LC40" s="46" t="e">
        <f t="shared" ref="LC40" si="732">KZ40/LA40</f>
        <v>#DIV/0!</v>
      </c>
      <c r="LE40" s="26"/>
      <c r="LF40" s="40"/>
      <c r="LG40" s="45"/>
      <c r="LH40" s="46" t="e">
        <f t="shared" si="372"/>
        <v>#DIV/0!</v>
      </c>
      <c r="LI40" s="46" t="e">
        <f t="shared" ref="LI40" si="733">LF40/LG40</f>
        <v>#DIV/0!</v>
      </c>
      <c r="LK40" s="26"/>
      <c r="LL40" s="40"/>
      <c r="LM40" s="45"/>
      <c r="LN40" s="46" t="e">
        <f t="shared" si="373"/>
        <v>#DIV/0!</v>
      </c>
      <c r="LO40" s="46" t="e">
        <f t="shared" ref="LO40" si="734">LL40/LM40</f>
        <v>#DIV/0!</v>
      </c>
      <c r="LQ40" s="26">
        <f>300+300+300+300+300</f>
        <v>1500</v>
      </c>
      <c r="LR40" s="40">
        <f>1.78+1.65+1.28+2+1.9</f>
        <v>8.61</v>
      </c>
      <c r="LS40" s="45">
        <v>5</v>
      </c>
      <c r="LT40" s="46">
        <f t="shared" si="374"/>
        <v>174.21602787456447</v>
      </c>
      <c r="LU40" s="46">
        <f t="shared" ref="LU40" si="735">LR40/LS40</f>
        <v>1.722</v>
      </c>
      <c r="LW40" s="26"/>
      <c r="LX40" s="40"/>
      <c r="LY40" s="45"/>
      <c r="LZ40" s="46" t="e">
        <f t="shared" si="375"/>
        <v>#DIV/0!</v>
      </c>
      <c r="MA40" s="46" t="e">
        <f t="shared" ref="MA40" si="736">LX40/LY40</f>
        <v>#DIV/0!</v>
      </c>
      <c r="MC40" s="26">
        <f>50+50+50+50+50</f>
        <v>250</v>
      </c>
      <c r="MD40" s="40">
        <f>0.2+0.2+0.2+0.2+0.2</f>
        <v>1</v>
      </c>
      <c r="ME40" s="45">
        <v>5</v>
      </c>
      <c r="MF40" s="46">
        <f t="shared" si="376"/>
        <v>250</v>
      </c>
      <c r="MG40" s="46">
        <f t="shared" ref="MG40" si="737">MD40/ME40</f>
        <v>0.2</v>
      </c>
      <c r="MI40" s="26"/>
      <c r="MJ40" s="40"/>
      <c r="MK40" s="45"/>
      <c r="ML40" s="46" t="e">
        <f t="shared" si="377"/>
        <v>#DIV/0!</v>
      </c>
      <c r="MM40" s="46" t="e">
        <f t="shared" ref="MM40" si="738">MJ40/MK40</f>
        <v>#DIV/0!</v>
      </c>
      <c r="MO40" s="26"/>
      <c r="MP40" s="40"/>
      <c r="MQ40" s="45"/>
      <c r="MR40" s="46" t="e">
        <f t="shared" si="378"/>
        <v>#DIV/0!</v>
      </c>
      <c r="MS40" s="46" t="e">
        <f t="shared" ref="MS40" si="739">MP40/MQ40</f>
        <v>#DIV/0!</v>
      </c>
      <c r="MU40" s="26"/>
      <c r="MV40" s="40"/>
      <c r="MW40" s="45"/>
      <c r="MX40" s="46" t="e">
        <f t="shared" si="379"/>
        <v>#DIV/0!</v>
      </c>
      <c r="MY40" s="46" t="e">
        <f t="shared" ref="MY40" si="740">MV40/MW40</f>
        <v>#DIV/0!</v>
      </c>
      <c r="NA40" s="824"/>
      <c r="NB40" s="823"/>
      <c r="NC40" s="823"/>
      <c r="ND40" s="46" t="e">
        <f t="shared" si="380"/>
        <v>#DIV/0!</v>
      </c>
      <c r="NE40" s="46" t="e">
        <f t="shared" ref="NE40" si="741">NB40/NC40</f>
        <v>#DIV/0!</v>
      </c>
      <c r="NG40" s="824"/>
      <c r="NH40" s="823"/>
      <c r="NI40" s="823"/>
      <c r="NJ40" s="46" t="e">
        <f t="shared" si="381"/>
        <v>#DIV/0!</v>
      </c>
      <c r="NK40" s="46" t="e">
        <f t="shared" ref="NK40" si="742">NH40/NI40</f>
        <v>#DIV/0!</v>
      </c>
      <c r="NM40" s="824">
        <f>500+500+500+500+500</f>
        <v>2500</v>
      </c>
      <c r="NN40" s="823">
        <f>0.51+0.52+0.71+0.7+0.71</f>
        <v>3.15</v>
      </c>
      <c r="NO40" s="823">
        <v>5</v>
      </c>
      <c r="NP40" s="46">
        <f t="shared" si="382"/>
        <v>793.65079365079362</v>
      </c>
      <c r="NQ40" s="46">
        <f t="shared" ref="NQ40" si="743">NN40/NO40</f>
        <v>0.63</v>
      </c>
      <c r="NS40" s="824"/>
      <c r="NT40" s="823"/>
      <c r="NU40" s="823"/>
      <c r="NV40" s="46" t="e">
        <f t="shared" si="383"/>
        <v>#DIV/0!</v>
      </c>
      <c r="NW40" s="46" t="e">
        <f t="shared" ref="NW40" si="744">NT40/NU40</f>
        <v>#DIV/0!</v>
      </c>
      <c r="NY40" s="910">
        <f>500+500+500+500+500</f>
        <v>2500</v>
      </c>
      <c r="NZ40" s="910">
        <f>0.73+0.7+0.99+0.86+0.97</f>
        <v>4.25</v>
      </c>
      <c r="OA40" s="910">
        <v>5</v>
      </c>
      <c r="OB40" s="46">
        <f t="shared" si="384"/>
        <v>588.23529411764707</v>
      </c>
      <c r="OC40" s="46">
        <f t="shared" ref="OC40" si="745">NZ40/OA40</f>
        <v>0.85</v>
      </c>
      <c r="OE40" s="824"/>
      <c r="OF40" s="823"/>
      <c r="OG40" s="823"/>
      <c r="OH40" s="46" t="e">
        <f t="shared" si="385"/>
        <v>#DIV/0!</v>
      </c>
      <c r="OI40" s="46" t="e">
        <f t="shared" ref="OI40" si="746">OF40/OG40</f>
        <v>#DIV/0!</v>
      </c>
    </row>
    <row r="41" spans="2:399">
      <c r="B41" s="20"/>
      <c r="C41" s="22"/>
      <c r="D41" s="13" t="s">
        <v>45</v>
      </c>
      <c r="E41" s="29"/>
      <c r="F41" s="32"/>
      <c r="G41" s="33"/>
      <c r="H41" s="34"/>
      <c r="I41" s="34"/>
      <c r="J41" s="30"/>
      <c r="K41" s="29"/>
      <c r="L41" s="32"/>
      <c r="M41" s="33"/>
      <c r="N41" s="34"/>
      <c r="O41" s="34"/>
      <c r="P41" s="30"/>
      <c r="Q41" s="29"/>
      <c r="R41" s="32"/>
      <c r="S41" s="33"/>
      <c r="T41" s="34"/>
      <c r="U41" s="34"/>
      <c r="V41" s="30"/>
      <c r="W41" s="29"/>
      <c r="X41" s="32"/>
      <c r="Y41" s="33"/>
      <c r="Z41" s="34"/>
      <c r="AA41" s="34"/>
      <c r="AB41" s="30"/>
      <c r="AC41" s="29"/>
      <c r="AD41" s="32"/>
      <c r="AE41" s="33"/>
      <c r="AF41" s="34"/>
      <c r="AG41" s="34"/>
      <c r="AH41" s="30"/>
      <c r="AI41" s="29"/>
      <c r="AJ41" s="32"/>
      <c r="AK41" s="33"/>
      <c r="AL41" s="34"/>
      <c r="AM41" s="34"/>
      <c r="AN41" s="30"/>
      <c r="AO41" s="29">
        <f>300+300+300+300+300</f>
        <v>1500</v>
      </c>
      <c r="AP41" s="32">
        <f>0.87+0.88+0.79+0.83+0.97</f>
        <v>4.34</v>
      </c>
      <c r="AQ41" s="33">
        <v>5</v>
      </c>
      <c r="AR41" s="34">
        <f t="shared" si="724"/>
        <v>345.62211981566821</v>
      </c>
      <c r="AS41" s="34">
        <f t="shared" si="725"/>
        <v>0.86799999999999999</v>
      </c>
      <c r="AT41" s="30"/>
      <c r="AU41" s="29">
        <f>300+300+250+300+200</f>
        <v>1350</v>
      </c>
      <c r="AV41" s="32">
        <f>1.25+1.22+1.03+0.91+0.9</f>
        <v>5.3100000000000005</v>
      </c>
      <c r="AW41" s="33">
        <v>5</v>
      </c>
      <c r="AX41" s="34">
        <f t="shared" si="497"/>
        <v>254.23728813559319</v>
      </c>
      <c r="AY41" s="34">
        <f t="shared" si="498"/>
        <v>1.0620000000000001</v>
      </c>
      <c r="AZ41" s="592"/>
      <c r="BA41" s="29">
        <f>300+300+300+250+250</f>
        <v>1400</v>
      </c>
      <c r="BB41" s="32">
        <f>2.18+2.18+2.18+1.4+1.48</f>
        <v>9.4200000000000017</v>
      </c>
      <c r="BC41" s="33">
        <v>5</v>
      </c>
      <c r="BD41" s="34">
        <f t="shared" si="569"/>
        <v>148.61995753715496</v>
      </c>
      <c r="BE41" s="34">
        <f t="shared" si="570"/>
        <v>1.8840000000000003</v>
      </c>
      <c r="BF41" s="592"/>
      <c r="BG41" s="29"/>
      <c r="BH41" s="32"/>
      <c r="BI41" s="33"/>
      <c r="BJ41" s="34"/>
      <c r="BK41" s="34"/>
      <c r="BL41" s="592"/>
      <c r="BM41" s="29"/>
      <c r="BN41" s="32"/>
      <c r="BO41" s="33"/>
      <c r="BP41" s="34"/>
      <c r="BQ41" s="34"/>
      <c r="BR41" s="30"/>
      <c r="BS41" s="29">
        <f>300+200</f>
        <v>500</v>
      </c>
      <c r="BT41" s="32">
        <f>1.97+1.17</f>
        <v>3.1399999999999997</v>
      </c>
      <c r="BU41" s="33">
        <v>2</v>
      </c>
      <c r="BV41" s="34">
        <f t="shared" si="523"/>
        <v>159.23566878980893</v>
      </c>
      <c r="BW41" s="34">
        <f t="shared" si="524"/>
        <v>1.5699999999999998</v>
      </c>
      <c r="BX41" s="592"/>
      <c r="BY41" s="29">
        <f>150+200+150+250+100</f>
        <v>850</v>
      </c>
      <c r="BZ41" s="32">
        <f>1.25+1.22+1.03+0.91+0.9</f>
        <v>5.3100000000000005</v>
      </c>
      <c r="CA41" s="33">
        <v>5</v>
      </c>
      <c r="CB41" s="34">
        <f t="shared" ref="CB41" si="747">BY41/BZ41</f>
        <v>160.07532956685498</v>
      </c>
      <c r="CC41" s="34">
        <f t="shared" ref="CC41:CC51" si="748">BZ41/CA41</f>
        <v>1.0620000000000001</v>
      </c>
      <c r="CD41" s="592"/>
      <c r="CE41" s="29">
        <v>2500</v>
      </c>
      <c r="CF41" s="32">
        <v>3</v>
      </c>
      <c r="CG41" s="33">
        <v>5</v>
      </c>
      <c r="CH41" s="34">
        <f t="shared" ref="CH41" si="749">CE41/CF41</f>
        <v>833.33333333333337</v>
      </c>
      <c r="CI41" s="34">
        <f t="shared" ref="CI41" si="750">CF41/CG41</f>
        <v>0.6</v>
      </c>
      <c r="CJ41" s="592"/>
      <c r="CK41" s="29"/>
      <c r="CL41" s="32"/>
      <c r="CM41" s="33"/>
      <c r="CN41" s="34"/>
      <c r="CO41" s="34"/>
      <c r="CP41" s="592"/>
      <c r="CQ41" s="29"/>
      <c r="CR41" s="32"/>
      <c r="CS41" s="33"/>
      <c r="CT41" s="34"/>
      <c r="CU41" s="34"/>
      <c r="CV41" s="592"/>
      <c r="CW41" s="29">
        <f>150+200+150+250+100</f>
        <v>850</v>
      </c>
      <c r="CX41" s="32">
        <f>1.25+1.22+1.03+0.91+0.9</f>
        <v>5.3100000000000005</v>
      </c>
      <c r="CY41" s="33">
        <v>5</v>
      </c>
      <c r="CZ41" s="34">
        <f t="shared" ref="CZ41" si="751">CW41/CX41</f>
        <v>160.07532956685498</v>
      </c>
      <c r="DA41" s="34">
        <f t="shared" ref="DA41" si="752">CX41/CY41</f>
        <v>1.0620000000000001</v>
      </c>
      <c r="DB41" s="592"/>
      <c r="DC41" s="29"/>
      <c r="DD41" s="32"/>
      <c r="DE41" s="33"/>
      <c r="DF41" s="34"/>
      <c r="DG41" s="34"/>
      <c r="DH41" s="592"/>
      <c r="DI41" s="29">
        <v>1800</v>
      </c>
      <c r="DJ41" s="32">
        <v>5.64</v>
      </c>
      <c r="DK41" s="33">
        <v>5</v>
      </c>
      <c r="DL41" s="34">
        <f t="shared" ref="DL41" si="753">DI41/DJ41</f>
        <v>319.14893617021278</v>
      </c>
      <c r="DM41" s="34">
        <f t="shared" ref="DM41" si="754">DJ41/DK41</f>
        <v>1.1279999999999999</v>
      </c>
      <c r="DN41" s="592"/>
      <c r="DO41" s="29">
        <v>2500</v>
      </c>
      <c r="DP41" s="32">
        <v>5.21</v>
      </c>
      <c r="DQ41" s="33">
        <v>5</v>
      </c>
      <c r="DR41" s="34">
        <f t="shared" ref="DR41" si="755">DO41/DP41</f>
        <v>479.84644913627642</v>
      </c>
      <c r="DS41" s="34">
        <f t="shared" ref="DS41" si="756">DP41/DQ41</f>
        <v>1.042</v>
      </c>
      <c r="DT41" s="592"/>
      <c r="DU41" s="29"/>
      <c r="DV41" s="32"/>
      <c r="DW41" s="33"/>
      <c r="DX41" s="34"/>
      <c r="DY41" s="34"/>
      <c r="DZ41" s="592"/>
      <c r="EA41" s="29"/>
      <c r="EB41" s="32"/>
      <c r="EC41" s="33"/>
      <c r="ED41" s="34"/>
      <c r="EE41" s="34"/>
      <c r="EF41" s="592"/>
      <c r="EG41" s="29"/>
      <c r="EH41" s="32"/>
      <c r="EI41" s="33"/>
      <c r="EJ41" s="34"/>
      <c r="EK41" s="34"/>
      <c r="EL41" s="592"/>
      <c r="EM41" s="29"/>
      <c r="EN41" s="32"/>
      <c r="EO41" s="33"/>
      <c r="EP41" s="34"/>
      <c r="EQ41" s="34"/>
      <c r="ER41" s="30"/>
      <c r="ES41" s="29">
        <f>150+200+150+250+100</f>
        <v>850</v>
      </c>
      <c r="ET41" s="32">
        <f>1.25+1.22+1.03+0.91+0.9</f>
        <v>5.3100000000000005</v>
      </c>
      <c r="EU41" s="33">
        <v>5</v>
      </c>
      <c r="EV41" s="34">
        <f t="shared" si="18"/>
        <v>160.07532956685498</v>
      </c>
      <c r="EW41" s="34">
        <f t="shared" si="18"/>
        <v>1.0620000000000001</v>
      </c>
      <c r="EX41" s="30"/>
      <c r="EY41" s="35"/>
      <c r="EZ41" s="34"/>
      <c r="FA41" s="37"/>
      <c r="FB41" s="34"/>
      <c r="FC41" s="34"/>
      <c r="FE41" s="26"/>
      <c r="FF41" s="27"/>
      <c r="FG41" s="28"/>
      <c r="FH41" s="38"/>
      <c r="FI41" s="39"/>
      <c r="FK41" s="27"/>
      <c r="FL41" s="40"/>
      <c r="FM41" s="27"/>
      <c r="FN41" s="40"/>
      <c r="FO41" s="40"/>
      <c r="FQ41" s="26"/>
      <c r="FR41" s="40"/>
      <c r="FS41" s="27"/>
      <c r="FT41" s="40"/>
      <c r="FU41" s="40"/>
      <c r="FW41" s="26"/>
      <c r="FX41" s="27"/>
      <c r="FY41" s="27"/>
      <c r="FZ41" s="40"/>
      <c r="GA41" s="40"/>
      <c r="GC41" s="26">
        <f>400+400+400+400+400</f>
        <v>2000</v>
      </c>
      <c r="GD41" s="27">
        <f>1.23+1.44+1.65+1.41+1.24</f>
        <v>6.9700000000000006</v>
      </c>
      <c r="GE41" s="27">
        <f>5</f>
        <v>5</v>
      </c>
      <c r="GF41" s="40">
        <f>GC41/GD41</f>
        <v>286.94404591104734</v>
      </c>
      <c r="GG41" s="40">
        <f>GD41/GE41</f>
        <v>1.3940000000000001</v>
      </c>
      <c r="GI41" s="26">
        <f>400+400+300+300+200</f>
        <v>1600</v>
      </c>
      <c r="GJ41" s="27">
        <f>1.45+1.27+1.04+1.12+0.84</f>
        <v>5.72</v>
      </c>
      <c r="GK41" s="27">
        <f>5</f>
        <v>5</v>
      </c>
      <c r="GL41" s="40">
        <f>GI41/GJ41</f>
        <v>279.72027972027973</v>
      </c>
      <c r="GM41" s="40">
        <f>GJ41/GK41</f>
        <v>1.1439999999999999</v>
      </c>
      <c r="GO41" s="26">
        <f>300+300+300+300+300</f>
        <v>1500</v>
      </c>
      <c r="GP41" s="40">
        <f>0.85+0.95+0.7+0.9+0.7</f>
        <v>4.0999999999999996</v>
      </c>
      <c r="GQ41" s="27">
        <f>5</f>
        <v>5</v>
      </c>
      <c r="GR41" s="40">
        <f>GO41/GP41</f>
        <v>365.85365853658539</v>
      </c>
      <c r="GS41" s="40">
        <f>GP41/GQ41</f>
        <v>0.82</v>
      </c>
      <c r="GU41" s="95">
        <f>150+200+200+300+300</f>
        <v>1150</v>
      </c>
      <c r="GV41" s="99">
        <f>0.78+0.89+1.05+1.37+1.29</f>
        <v>5.38</v>
      </c>
      <c r="GW41" s="100">
        <v>5</v>
      </c>
      <c r="GX41" s="101">
        <f>GU41/GV41</f>
        <v>213.75464684014869</v>
      </c>
      <c r="GY41" s="101">
        <f>GV41/GW41</f>
        <v>1.0760000000000001</v>
      </c>
      <c r="GZ41" s="43"/>
      <c r="HA41" s="26">
        <f>100+200+50+200+50</f>
        <v>600</v>
      </c>
      <c r="HB41" s="39">
        <f>1.2+1.6+1.05+1.75+0.6</f>
        <v>6.1999999999999993</v>
      </c>
      <c r="HC41" s="28">
        <v>5</v>
      </c>
      <c r="HD41" s="106">
        <f t="shared" si="24"/>
        <v>96.774193548387103</v>
      </c>
      <c r="HE41" s="106">
        <f t="shared" si="24"/>
        <v>1.2399999999999998</v>
      </c>
      <c r="HG41" s="26">
        <f>300+300+300+300+300</f>
        <v>1500</v>
      </c>
      <c r="HH41" s="40">
        <f>1.22+1.27+1.23+1.24+1.26</f>
        <v>6.22</v>
      </c>
      <c r="HI41" s="27">
        <v>5</v>
      </c>
      <c r="HJ41" s="34">
        <f>HG41/HH41</f>
        <v>241.15755627009648</v>
      </c>
      <c r="HK41" s="34">
        <f>HH41/HI41</f>
        <v>1.244</v>
      </c>
      <c r="HM41" s="26">
        <f>300+250+300+300+300</f>
        <v>1450</v>
      </c>
      <c r="HN41" s="45">
        <f>1.02+1+0.98+1.24+1.26</f>
        <v>5.5</v>
      </c>
      <c r="HO41" s="46">
        <v>5</v>
      </c>
      <c r="HP41" s="47">
        <f t="shared" si="99"/>
        <v>263.63636363636363</v>
      </c>
      <c r="HQ41" s="47">
        <f t="shared" si="99"/>
        <v>1.1000000000000001</v>
      </c>
      <c r="HS41" s="26"/>
      <c r="HT41" s="45"/>
      <c r="HU41" s="46"/>
      <c r="HV41" s="48"/>
      <c r="HW41" s="48"/>
      <c r="HY41" s="45"/>
      <c r="HZ41" s="45"/>
      <c r="IA41" s="45"/>
      <c r="IB41" s="48"/>
      <c r="IC41" s="48"/>
      <c r="IE41" s="45"/>
      <c r="IF41" s="45"/>
      <c r="IG41" s="45"/>
      <c r="IH41" s="48"/>
      <c r="II41" s="48"/>
      <c r="IK41" s="96">
        <f>500+500+500+500+500</f>
        <v>2500</v>
      </c>
      <c r="IL41" s="48">
        <f>0.58+0.57+0.57+0.52+0.59</f>
        <v>2.8299999999999996</v>
      </c>
      <c r="IM41" s="45">
        <f>5</f>
        <v>5</v>
      </c>
      <c r="IN41" s="48">
        <f>IK41/IL41</f>
        <v>883.39222614841003</v>
      </c>
      <c r="IO41" s="48">
        <f>IL41/IM41</f>
        <v>0.56599999999999995</v>
      </c>
      <c r="IQ41" s="96"/>
      <c r="IR41" s="48"/>
      <c r="IS41" s="45"/>
      <c r="IT41" s="48"/>
      <c r="IU41" s="48"/>
      <c r="IW41" s="96">
        <f>500+500+500+500+500</f>
        <v>2500</v>
      </c>
      <c r="IX41" s="48">
        <f>0.95+0.85+1.01+0.92+0.77</f>
        <v>4.5</v>
      </c>
      <c r="IY41" s="45">
        <v>5</v>
      </c>
      <c r="IZ41" s="46">
        <f t="shared" si="685"/>
        <v>555.55555555555554</v>
      </c>
      <c r="JA41" s="46">
        <f t="shared" si="686"/>
        <v>0.9</v>
      </c>
      <c r="JC41" s="96">
        <f>300+100+200+400+400</f>
        <v>1400</v>
      </c>
      <c r="JD41" s="48">
        <f>1.49+0.95+0.92+1.18+1.47</f>
        <v>6.01</v>
      </c>
      <c r="JE41" s="45">
        <v>5</v>
      </c>
      <c r="JF41" s="46">
        <f t="shared" si="604"/>
        <v>232.94509151414312</v>
      </c>
      <c r="JG41" s="46">
        <f t="shared" si="605"/>
        <v>1.202</v>
      </c>
      <c r="JI41" s="96">
        <f>200+200+200+200+200</f>
        <v>1000</v>
      </c>
      <c r="JJ41" s="48">
        <f>1.29+1.18+1.24+1.17+1.25</f>
        <v>6.13</v>
      </c>
      <c r="JK41" s="45">
        <v>5</v>
      </c>
      <c r="JL41" s="46">
        <f>JI41/JJ41</f>
        <v>163.1321370309951</v>
      </c>
      <c r="JM41" s="46">
        <f>JJ41/JK41</f>
        <v>1.226</v>
      </c>
      <c r="JO41" s="96">
        <f>400+400+400+400+400</f>
        <v>2000</v>
      </c>
      <c r="JP41" s="48">
        <f>1.64+1.65+1.51+1.5+1.63</f>
        <v>7.93</v>
      </c>
      <c r="JQ41" s="45">
        <v>5</v>
      </c>
      <c r="JR41" s="46">
        <f>JO41/JP41</f>
        <v>252.20680958385879</v>
      </c>
      <c r="JS41" s="46">
        <f>JP41/JQ41</f>
        <v>1.5859999999999999</v>
      </c>
      <c r="JU41" s="96">
        <f>200+200+200+200+200</f>
        <v>1000</v>
      </c>
      <c r="JV41" s="48">
        <f>2.34+2.4+2.44+2.5+2.5</f>
        <v>12.18</v>
      </c>
      <c r="JW41" s="45">
        <v>5</v>
      </c>
      <c r="JX41" s="46">
        <f>JU41/JV41</f>
        <v>82.101806239737272</v>
      </c>
      <c r="JY41" s="46">
        <f>JV41/JW41</f>
        <v>2.4359999999999999</v>
      </c>
      <c r="KA41" s="96"/>
      <c r="KB41" s="48"/>
      <c r="KC41" s="45"/>
      <c r="KD41" s="46"/>
      <c r="KE41" s="46"/>
      <c r="KG41" s="96"/>
      <c r="KH41" s="48"/>
      <c r="KI41" s="45"/>
      <c r="KJ41" s="46"/>
      <c r="KK41" s="46"/>
      <c r="KM41" s="96"/>
      <c r="KN41" s="48"/>
      <c r="KO41" s="45"/>
      <c r="KP41" s="46" t="e">
        <f t="shared" si="622"/>
        <v>#DIV/0!</v>
      </c>
      <c r="KQ41" s="46" t="e">
        <f>KN41/KO41</f>
        <v>#DIV/0!</v>
      </c>
      <c r="KS41" s="96"/>
      <c r="KT41" s="48"/>
      <c r="KU41" s="45"/>
      <c r="KV41" s="46" t="e">
        <f t="shared" si="370"/>
        <v>#DIV/0!</v>
      </c>
      <c r="KW41" s="46" t="e">
        <f>KT41/KU41</f>
        <v>#DIV/0!</v>
      </c>
      <c r="KY41" s="96"/>
      <c r="KZ41" s="48"/>
      <c r="LA41" s="45"/>
      <c r="LB41" s="46" t="e">
        <f t="shared" si="371"/>
        <v>#DIV/0!</v>
      </c>
      <c r="LC41" s="46" t="e">
        <f>KZ41/LA41</f>
        <v>#DIV/0!</v>
      </c>
      <c r="LE41" s="96"/>
      <c r="LF41" s="48"/>
      <c r="LG41" s="45"/>
      <c r="LH41" s="46" t="e">
        <f t="shared" si="372"/>
        <v>#DIV/0!</v>
      </c>
      <c r="LI41" s="46" t="e">
        <f>LF41/LG41</f>
        <v>#DIV/0!</v>
      </c>
      <c r="LK41" s="96"/>
      <c r="LL41" s="48"/>
      <c r="LM41" s="45"/>
      <c r="LN41" s="46" t="e">
        <f t="shared" si="373"/>
        <v>#DIV/0!</v>
      </c>
      <c r="LO41" s="46" t="e">
        <f>LL41/LM41</f>
        <v>#DIV/0!</v>
      </c>
      <c r="LQ41" s="96"/>
      <c r="LR41" s="48"/>
      <c r="LS41" s="45"/>
      <c r="LT41" s="46" t="e">
        <f t="shared" si="374"/>
        <v>#DIV/0!</v>
      </c>
      <c r="LU41" s="46" t="e">
        <f>LR41/LS41</f>
        <v>#DIV/0!</v>
      </c>
      <c r="LW41" s="96">
        <f>400+400+400+300+300</f>
        <v>1800</v>
      </c>
      <c r="LX41" s="48">
        <f>1.3+1.4+1.55+1+1.08</f>
        <v>6.33</v>
      </c>
      <c r="LY41" s="45">
        <v>5</v>
      </c>
      <c r="LZ41" s="46">
        <f t="shared" si="375"/>
        <v>284.36018957345971</v>
      </c>
      <c r="MA41" s="46">
        <f>LX41/LY41</f>
        <v>1.266</v>
      </c>
      <c r="MC41" s="96">
        <f>150+150+150+150+150</f>
        <v>750</v>
      </c>
      <c r="MD41" s="48">
        <f>0.81+0.81+0.86+0.91+0.9</f>
        <v>4.29</v>
      </c>
      <c r="ME41" s="45">
        <v>5</v>
      </c>
      <c r="MF41" s="46">
        <f t="shared" si="376"/>
        <v>174.82517482517483</v>
      </c>
      <c r="MG41" s="46">
        <f>MD41/ME41</f>
        <v>0.85799999999999998</v>
      </c>
      <c r="MI41" s="96"/>
      <c r="MJ41" s="48"/>
      <c r="MK41" s="45"/>
      <c r="ML41" s="46" t="e">
        <f t="shared" si="377"/>
        <v>#DIV/0!</v>
      </c>
      <c r="MM41" s="46" t="e">
        <f>MJ41/MK41</f>
        <v>#DIV/0!</v>
      </c>
      <c r="MO41" s="96"/>
      <c r="MP41" s="48"/>
      <c r="MQ41" s="45"/>
      <c r="MR41" s="46" t="e">
        <f t="shared" si="378"/>
        <v>#DIV/0!</v>
      </c>
      <c r="MS41" s="46" t="e">
        <f>MP41/MQ41</f>
        <v>#DIV/0!</v>
      </c>
      <c r="MU41" s="96"/>
      <c r="MV41" s="48"/>
      <c r="MW41" s="45"/>
      <c r="MX41" s="46" t="e">
        <f t="shared" si="379"/>
        <v>#DIV/0!</v>
      </c>
      <c r="MY41" s="46" t="e">
        <f>MV41/MW41</f>
        <v>#DIV/0!</v>
      </c>
      <c r="NA41" s="823">
        <f>500+500+500+500+500</f>
        <v>2500</v>
      </c>
      <c r="NB41" s="823">
        <f>0.78+0.6+0.62+0.63+0.67</f>
        <v>3.3</v>
      </c>
      <c r="NC41" s="823">
        <v>5</v>
      </c>
      <c r="ND41" s="46">
        <f t="shared" si="380"/>
        <v>757.57575757575762</v>
      </c>
      <c r="NE41" s="46">
        <f>NB41/NC41</f>
        <v>0.65999999999999992</v>
      </c>
      <c r="NG41" s="823"/>
      <c r="NH41" s="823"/>
      <c r="NI41" s="823"/>
      <c r="NJ41" s="46" t="e">
        <f t="shared" si="381"/>
        <v>#DIV/0!</v>
      </c>
      <c r="NK41" s="46" t="e">
        <f>NH41/NI41</f>
        <v>#DIV/0!</v>
      </c>
      <c r="NM41" s="823"/>
      <c r="NN41" s="823"/>
      <c r="NO41" s="823"/>
      <c r="NP41" s="46" t="e">
        <f t="shared" si="382"/>
        <v>#DIV/0!</v>
      </c>
      <c r="NQ41" s="46" t="e">
        <f>NN41/NO41</f>
        <v>#DIV/0!</v>
      </c>
      <c r="NS41" s="823">
        <f>500+500+500</f>
        <v>1500</v>
      </c>
      <c r="NT41" s="823">
        <f>0.55+0.58+0.77</f>
        <v>1.9</v>
      </c>
      <c r="NU41" s="823">
        <v>3</v>
      </c>
      <c r="NV41" s="46">
        <f t="shared" si="383"/>
        <v>789.47368421052636</v>
      </c>
      <c r="NW41" s="46">
        <f>NT41/NU41</f>
        <v>0.6333333333333333</v>
      </c>
      <c r="NY41" s="910"/>
      <c r="NZ41" s="910"/>
      <c r="OA41" s="910"/>
      <c r="OB41" s="46" t="e">
        <f t="shared" si="384"/>
        <v>#DIV/0!</v>
      </c>
      <c r="OC41" s="46" t="e">
        <f>NZ41/OA41</f>
        <v>#DIV/0!</v>
      </c>
      <c r="OE41" s="823"/>
      <c r="OF41" s="823"/>
      <c r="OG41" s="823"/>
      <c r="OH41" s="46" t="e">
        <f t="shared" si="385"/>
        <v>#DIV/0!</v>
      </c>
      <c r="OI41" s="46" t="e">
        <f>OF41/OG41</f>
        <v>#DIV/0!</v>
      </c>
    </row>
    <row r="42" spans="2:399">
      <c r="B42" s="20"/>
      <c r="C42" s="60"/>
      <c r="D42" s="13" t="s">
        <v>46</v>
      </c>
      <c r="E42" s="26">
        <f>250+250+200+200+200</f>
        <v>1100</v>
      </c>
      <c r="F42" s="27">
        <f>0.5+0.55+0.49+0.48+0.48</f>
        <v>2.5</v>
      </c>
      <c r="G42" s="27">
        <v>5</v>
      </c>
      <c r="H42" s="34">
        <f t="shared" ref="H42" si="757">E42/F42</f>
        <v>440</v>
      </c>
      <c r="I42" s="34">
        <f t="shared" ref="I42" si="758">F42/G42</f>
        <v>0.5</v>
      </c>
      <c r="J42" s="30"/>
      <c r="K42" s="26">
        <f>300+200+200+200+300</f>
        <v>1200</v>
      </c>
      <c r="L42" s="27">
        <f>0.63+0.4+0.52+0.66+0.72</f>
        <v>2.9299999999999997</v>
      </c>
      <c r="M42" s="27">
        <v>5</v>
      </c>
      <c r="N42" s="34">
        <f t="shared" ref="N42:N51" si="759">K42/L42</f>
        <v>409.55631399317411</v>
      </c>
      <c r="O42" s="34">
        <f t="shared" ref="O42:O51" si="760">L42/M42</f>
        <v>0.58599999999999997</v>
      </c>
      <c r="P42" s="30"/>
      <c r="Q42" s="26">
        <v>1900</v>
      </c>
      <c r="R42" s="27">
        <v>2.2999999999999998</v>
      </c>
      <c r="S42" s="27">
        <v>5</v>
      </c>
      <c r="T42" s="34">
        <f t="shared" ref="T42:T51" si="761">Q42/R42</f>
        <v>826.08695652173924</v>
      </c>
      <c r="U42" s="34">
        <f t="shared" ref="U42:U51" si="762">R42/S42</f>
        <v>0.45999999999999996</v>
      </c>
      <c r="V42" s="30"/>
      <c r="W42" s="26"/>
      <c r="X42" s="27"/>
      <c r="Y42" s="27"/>
      <c r="Z42" s="34"/>
      <c r="AA42" s="34"/>
      <c r="AB42" s="30"/>
      <c r="AC42" s="26">
        <f>300+250+300+300+200</f>
        <v>1350</v>
      </c>
      <c r="AD42" s="27">
        <f>0.9+0.7+0.8+0.6+0.7</f>
        <v>3.7</v>
      </c>
      <c r="AE42" s="27">
        <v>5</v>
      </c>
      <c r="AF42" s="34">
        <f t="shared" ref="AF42" si="763">AC42/AD42</f>
        <v>364.86486486486484</v>
      </c>
      <c r="AG42" s="34">
        <f t="shared" ref="AG42" si="764">AD42/AE42</f>
        <v>0.74</v>
      </c>
      <c r="AH42" s="30"/>
      <c r="AI42" s="26"/>
      <c r="AJ42" s="27"/>
      <c r="AK42" s="27"/>
      <c r="AL42" s="34"/>
      <c r="AM42" s="34"/>
      <c r="AN42" s="30"/>
      <c r="AO42" s="26">
        <f>200+200+200+300+300</f>
        <v>1200</v>
      </c>
      <c r="AP42" s="27">
        <f>0.74+0.8+0.71+0.83+0.81</f>
        <v>3.89</v>
      </c>
      <c r="AQ42" s="27">
        <v>5</v>
      </c>
      <c r="AR42" s="34">
        <f>AO42/AP42</f>
        <v>308.48329048843186</v>
      </c>
      <c r="AS42" s="34">
        <f t="shared" ref="AS42:AS51" si="765">AP42/AQ42</f>
        <v>0.77800000000000002</v>
      </c>
      <c r="AT42" s="30"/>
      <c r="AU42" s="26">
        <f>150+150+150+150+150</f>
        <v>750</v>
      </c>
      <c r="AV42" s="27">
        <f>0.65+0.53+0.6+0.55+0.61</f>
        <v>2.94</v>
      </c>
      <c r="AW42" s="27">
        <v>5</v>
      </c>
      <c r="AX42" s="34">
        <f>AU42/AV42</f>
        <v>255.10204081632654</v>
      </c>
      <c r="AY42" s="34">
        <f t="shared" si="498"/>
        <v>0.58799999999999997</v>
      </c>
      <c r="AZ42" s="592"/>
      <c r="BA42" s="26">
        <f>100+100+100+200+200</f>
        <v>700</v>
      </c>
      <c r="BB42" s="27">
        <f>1.52+1.58+1.2+1.54+1.58</f>
        <v>7.42</v>
      </c>
      <c r="BC42" s="27">
        <v>5</v>
      </c>
      <c r="BD42" s="34">
        <f>BA42/BB42</f>
        <v>94.339622641509436</v>
      </c>
      <c r="BE42" s="34">
        <f t="shared" si="570"/>
        <v>1.484</v>
      </c>
      <c r="BF42" s="592"/>
      <c r="BG42" s="26"/>
      <c r="BH42" s="27"/>
      <c r="BI42" s="27"/>
      <c r="BJ42" s="34"/>
      <c r="BK42" s="34"/>
      <c r="BL42" s="592"/>
      <c r="BM42" s="26"/>
      <c r="BN42" s="27"/>
      <c r="BO42" s="27"/>
      <c r="BP42" s="34"/>
      <c r="BQ42" s="34"/>
      <c r="BR42" s="30"/>
      <c r="BS42" s="26">
        <f>200+200+200+200+150</f>
        <v>950</v>
      </c>
      <c r="BT42" s="27">
        <f>1.07+1.16+0.67+0.73+0.52</f>
        <v>4.1500000000000004</v>
      </c>
      <c r="BU42" s="27">
        <v>5</v>
      </c>
      <c r="BV42" s="34">
        <f>BS42/BT42</f>
        <v>228.9156626506024</v>
      </c>
      <c r="BW42" s="34">
        <f t="shared" si="524"/>
        <v>0.83000000000000007</v>
      </c>
      <c r="BX42" s="592"/>
      <c r="BY42" s="26"/>
      <c r="BZ42" s="27"/>
      <c r="CA42" s="27"/>
      <c r="CB42" s="34"/>
      <c r="CC42" s="34"/>
      <c r="CD42" s="592"/>
      <c r="CE42" s="26">
        <v>1000</v>
      </c>
      <c r="CF42" s="27">
        <v>24.86</v>
      </c>
      <c r="CG42" s="27">
        <v>5</v>
      </c>
      <c r="CH42" s="34">
        <f t="shared" ref="CH42" si="766">CE42/CF42</f>
        <v>40.225261464199519</v>
      </c>
      <c r="CI42" s="34">
        <f t="shared" ref="CI42" si="767">CF42/CG42</f>
        <v>4.9719999999999995</v>
      </c>
      <c r="CJ42" s="592"/>
      <c r="CK42" s="26">
        <f>500+500+500+500+500</f>
        <v>2500</v>
      </c>
      <c r="CL42" s="27">
        <f>0.57+0.54+0.65+0.58+0.53</f>
        <v>2.87</v>
      </c>
      <c r="CM42" s="27">
        <v>5</v>
      </c>
      <c r="CN42" s="34">
        <f t="shared" ref="CN42" si="768">CK42/CL42</f>
        <v>871.08013937282226</v>
      </c>
      <c r="CO42" s="34">
        <f t="shared" ref="CO42" si="769">CL42/CM42</f>
        <v>0.57400000000000007</v>
      </c>
      <c r="CP42" s="592"/>
      <c r="CQ42" s="26"/>
      <c r="CR42" s="27"/>
      <c r="CS42" s="27"/>
      <c r="CT42" s="34"/>
      <c r="CU42" s="34"/>
      <c r="CV42" s="592"/>
      <c r="CW42" s="26"/>
      <c r="CX42" s="27"/>
      <c r="CY42" s="27"/>
      <c r="CZ42" s="34"/>
      <c r="DA42" s="34"/>
      <c r="DB42" s="592"/>
      <c r="DC42" s="26">
        <f>500+500+500+500+500</f>
        <v>2500</v>
      </c>
      <c r="DD42" s="27">
        <f>0.61+0.6+0.5+0.61+0.57</f>
        <v>2.8899999999999997</v>
      </c>
      <c r="DE42" s="27">
        <f>5</f>
        <v>5</v>
      </c>
      <c r="DF42" s="34">
        <f t="shared" ref="DF42" si="770">DC42/DD42</f>
        <v>865.05190311418698</v>
      </c>
      <c r="DG42" s="34">
        <f t="shared" ref="DG42" si="771">DD42/DE42</f>
        <v>0.57799999999999996</v>
      </c>
      <c r="DH42" s="592"/>
      <c r="DI42" s="26">
        <v>1000</v>
      </c>
      <c r="DJ42" s="27">
        <v>3.91</v>
      </c>
      <c r="DK42" s="27">
        <v>5</v>
      </c>
      <c r="DL42" s="34">
        <f>DI42/DJ42</f>
        <v>255.7544757033248</v>
      </c>
      <c r="DM42" s="34">
        <f t="shared" ref="DM42" si="772">DJ42/DK42</f>
        <v>0.78200000000000003</v>
      </c>
      <c r="DN42" s="592"/>
      <c r="DO42" s="26">
        <v>1150</v>
      </c>
      <c r="DP42" s="27">
        <v>3.97</v>
      </c>
      <c r="DQ42" s="27">
        <v>5</v>
      </c>
      <c r="DR42" s="34">
        <f t="shared" ref="DR42" si="773">DO42/DP42</f>
        <v>289.6725440806045</v>
      </c>
      <c r="DS42" s="34">
        <f t="shared" ref="DS42" si="774">DP42/DQ42</f>
        <v>0.79400000000000004</v>
      </c>
      <c r="DT42" s="592"/>
      <c r="DU42" s="26"/>
      <c r="DV42" s="27"/>
      <c r="DW42" s="27"/>
      <c r="DX42" s="34"/>
      <c r="DY42" s="34"/>
      <c r="DZ42" s="592"/>
      <c r="EA42" s="26"/>
      <c r="EB42" s="27"/>
      <c r="EC42" s="27"/>
      <c r="ED42" s="34"/>
      <c r="EE42" s="34"/>
      <c r="EF42" s="592"/>
      <c r="EG42" s="26"/>
      <c r="EH42" s="27"/>
      <c r="EI42" s="27"/>
      <c r="EJ42" s="34"/>
      <c r="EK42" s="34"/>
      <c r="EL42" s="592"/>
      <c r="EM42" s="26"/>
      <c r="EN42" s="27"/>
      <c r="EO42" s="27"/>
      <c r="EP42" s="34"/>
      <c r="EQ42" s="34"/>
      <c r="ER42" s="30"/>
      <c r="ES42" s="26"/>
      <c r="ET42" s="27"/>
      <c r="EU42" s="27"/>
      <c r="EV42" s="40"/>
      <c r="EW42" s="40"/>
      <c r="EX42" s="30"/>
      <c r="EY42" s="35">
        <v>2500</v>
      </c>
      <c r="EZ42" s="34">
        <v>3</v>
      </c>
      <c r="FA42" s="37">
        <v>5</v>
      </c>
      <c r="FB42" s="34">
        <f t="shared" si="118"/>
        <v>833.33333333333337</v>
      </c>
      <c r="FC42" s="34">
        <f t="shared" si="118"/>
        <v>0.6</v>
      </c>
      <c r="FE42" s="26"/>
      <c r="FF42" s="27"/>
      <c r="FG42" s="28"/>
      <c r="FH42" s="38"/>
      <c r="FI42" s="39"/>
      <c r="FK42" s="27"/>
      <c r="FL42" s="40"/>
      <c r="FM42" s="27"/>
      <c r="FN42" s="40"/>
      <c r="FO42" s="40"/>
      <c r="FQ42" s="26">
        <f>500+500+500+500+500</f>
        <v>2500</v>
      </c>
      <c r="FR42" s="40">
        <f>0.28+0.29+0.26+0.3+0.51</f>
        <v>1.6400000000000001</v>
      </c>
      <c r="FS42" s="27">
        <f>5</f>
        <v>5</v>
      </c>
      <c r="FT42" s="40">
        <f>FQ42/FR42</f>
        <v>1524.3902439024389</v>
      </c>
      <c r="FU42" s="40">
        <f t="shared" ref="FU42" si="775">FR42/FS42</f>
        <v>0.32800000000000001</v>
      </c>
      <c r="FW42" s="26">
        <f>500+500+500+500+500</f>
        <v>2500</v>
      </c>
      <c r="FX42" s="27">
        <f>0.58+0.6+0.53+0.61+0.56</f>
        <v>2.88</v>
      </c>
      <c r="FY42" s="27">
        <f>5</f>
        <v>5</v>
      </c>
      <c r="FZ42" s="40">
        <f>FW42/FX42</f>
        <v>868.05555555555554</v>
      </c>
      <c r="GA42" s="40">
        <f>FX42/FY42</f>
        <v>0.57599999999999996</v>
      </c>
      <c r="GC42" s="26">
        <f>200+200+300+300+300</f>
        <v>1300</v>
      </c>
      <c r="GD42" s="27">
        <f>0.8+0.78+1.17+1.13+1.09</f>
        <v>4.97</v>
      </c>
      <c r="GE42" s="27">
        <f>5</f>
        <v>5</v>
      </c>
      <c r="GF42" s="40">
        <f>GC42/GD42</f>
        <v>261.56941649899397</v>
      </c>
      <c r="GG42" s="40">
        <f>GD42/GE42</f>
        <v>0.99399999999999999</v>
      </c>
      <c r="GI42" s="26">
        <f>200+200+200+200+200</f>
        <v>1000</v>
      </c>
      <c r="GJ42" s="27">
        <f>0.92+0.96+0.8+0.82+0.95</f>
        <v>4.4499999999999993</v>
      </c>
      <c r="GK42" s="27">
        <f>5</f>
        <v>5</v>
      </c>
      <c r="GL42" s="40">
        <f>GI42/GJ42</f>
        <v>224.71910112359555</v>
      </c>
      <c r="GM42" s="40">
        <f>GJ42/GK42</f>
        <v>0.8899999999999999</v>
      </c>
      <c r="GO42" s="26">
        <f>200+100+100+150+150</f>
        <v>700</v>
      </c>
      <c r="GP42" s="40">
        <f>0.75+0.15+0.19+0.25+0.25</f>
        <v>1.59</v>
      </c>
      <c r="GQ42" s="27">
        <f>5</f>
        <v>5</v>
      </c>
      <c r="GR42" s="40">
        <f>GO42/GP42</f>
        <v>440.25157232704402</v>
      </c>
      <c r="GS42" s="40">
        <f>GP42/GQ42</f>
        <v>0.318</v>
      </c>
      <c r="GU42" s="95">
        <f>100+100+100+50+50</f>
        <v>400</v>
      </c>
      <c r="GV42" s="99">
        <f>1.43+1.32+1.41+1.11+1.1</f>
        <v>6.370000000000001</v>
      </c>
      <c r="GW42" s="100">
        <v>5</v>
      </c>
      <c r="GX42" s="101">
        <f>GU42/GV42</f>
        <v>62.794348508634215</v>
      </c>
      <c r="GY42" s="101">
        <f>GV42/GW42</f>
        <v>1.2740000000000002</v>
      </c>
      <c r="GZ42" s="43"/>
      <c r="HA42" s="26">
        <f>50+100+50+100+50</f>
        <v>350</v>
      </c>
      <c r="HB42" s="39">
        <f>0.95+1+0.7+1.35+0.65</f>
        <v>4.6500000000000004</v>
      </c>
      <c r="HC42" s="28">
        <v>5</v>
      </c>
      <c r="HD42" s="106">
        <f t="shared" si="24"/>
        <v>75.268817204301072</v>
      </c>
      <c r="HE42" s="106">
        <f t="shared" si="24"/>
        <v>0.93</v>
      </c>
      <c r="HG42" s="26">
        <f>150+150+150+150+100</f>
        <v>700</v>
      </c>
      <c r="HH42" s="40">
        <f>0.67+0.75+0.83+0.63+0.45</f>
        <v>3.33</v>
      </c>
      <c r="HI42" s="27">
        <f>5</f>
        <v>5</v>
      </c>
      <c r="HJ42" s="34">
        <f>HG42/HH42</f>
        <v>210.21021021021019</v>
      </c>
      <c r="HK42" s="34">
        <f>HH42/HI42</f>
        <v>0.66600000000000004</v>
      </c>
      <c r="HM42" s="26">
        <f>250+250+200+200+200</f>
        <v>1100</v>
      </c>
      <c r="HN42" s="45">
        <f>0.5+0.55+0.49+0.48+0.48</f>
        <v>2.5</v>
      </c>
      <c r="HO42" s="46">
        <v>5</v>
      </c>
      <c r="HP42" s="47">
        <f>HM42/HN42</f>
        <v>440</v>
      </c>
      <c r="HQ42" s="47">
        <f>HN42/HO42</f>
        <v>0.5</v>
      </c>
      <c r="HS42" s="26">
        <f>300+200+200+200+300</f>
        <v>1200</v>
      </c>
      <c r="HT42" s="45">
        <f>0.63+0.4+0.52+0.66+0.72</f>
        <v>2.9299999999999997</v>
      </c>
      <c r="HU42" s="46">
        <v>5</v>
      </c>
      <c r="HV42" s="48">
        <f>HS42/HT42</f>
        <v>409.55631399317411</v>
      </c>
      <c r="HW42" s="48">
        <f>HT42/HU42</f>
        <v>0.58599999999999997</v>
      </c>
      <c r="HY42" s="45"/>
      <c r="HZ42" s="45"/>
      <c r="IA42" s="45"/>
      <c r="IB42" s="48"/>
      <c r="IC42" s="48"/>
      <c r="IE42" s="45">
        <f>500+500+500+500+500</f>
        <v>2500</v>
      </c>
      <c r="IF42" s="45">
        <f>0.62+0.68+0.6+0.59+0.65</f>
        <v>3.1399999999999997</v>
      </c>
      <c r="IG42" s="45">
        <f>5</f>
        <v>5</v>
      </c>
      <c r="IH42" s="48">
        <f t="shared" si="27"/>
        <v>796.17834394904469</v>
      </c>
      <c r="II42" s="48">
        <f t="shared" si="27"/>
        <v>0.62799999999999989</v>
      </c>
      <c r="IK42" s="26">
        <f>500+500+500</f>
        <v>1500</v>
      </c>
      <c r="IL42" s="48">
        <f>0.45+0.57+0.57</f>
        <v>1.5899999999999999</v>
      </c>
      <c r="IM42" s="45">
        <f>3</f>
        <v>3</v>
      </c>
      <c r="IN42" s="48"/>
      <c r="IO42" s="48"/>
      <c r="IQ42" s="26">
        <f>400+400+400+400+400</f>
        <v>2000</v>
      </c>
      <c r="IR42" s="48">
        <f>0.5+0.4+0.45+0.45+0.45</f>
        <v>2.25</v>
      </c>
      <c r="IS42" s="45">
        <v>5</v>
      </c>
      <c r="IT42" s="48">
        <f>IQ42/IR42</f>
        <v>888.88888888888891</v>
      </c>
      <c r="IU42" s="48">
        <f>IR42/IS42</f>
        <v>0.45</v>
      </c>
      <c r="IW42" s="26">
        <f>500+500+500+500+500</f>
        <v>2500</v>
      </c>
      <c r="IX42" s="48">
        <f>1.01+1.01+0.73+0.9+0.71</f>
        <v>4.3599999999999994</v>
      </c>
      <c r="IY42" s="45">
        <v>5</v>
      </c>
      <c r="IZ42" s="46">
        <f t="shared" si="685"/>
        <v>573.39449541284409</v>
      </c>
      <c r="JA42" s="46">
        <f t="shared" si="686"/>
        <v>0.87199999999999989</v>
      </c>
      <c r="JC42" s="26">
        <f>300+300+300+300+300</f>
        <v>1500</v>
      </c>
      <c r="JD42" s="48">
        <f>0.85+0.8+1.07+0.92+0.72</f>
        <v>4.3599999999999994</v>
      </c>
      <c r="JE42" s="45">
        <v>5</v>
      </c>
      <c r="JF42" s="46">
        <f t="shared" si="604"/>
        <v>344.03669724770646</v>
      </c>
      <c r="JG42" s="46">
        <f t="shared" si="605"/>
        <v>0.87199999999999989</v>
      </c>
      <c r="JI42" s="26">
        <f>200+200+200+200+200</f>
        <v>1000</v>
      </c>
      <c r="JJ42" s="48">
        <f>0.81+0.72+0.82+0.61+0.71</f>
        <v>3.67</v>
      </c>
      <c r="JK42" s="45">
        <v>5</v>
      </c>
      <c r="JL42" s="46">
        <f>JI42/JJ42</f>
        <v>272.47956403269757</v>
      </c>
      <c r="JM42" s="46">
        <f>JJ42/JK42</f>
        <v>0.73399999999999999</v>
      </c>
      <c r="JO42" s="26">
        <f>100+100+100+200+200</f>
        <v>700</v>
      </c>
      <c r="JP42" s="48">
        <f>0.82+0.82+0.82+1.34+1.45</f>
        <v>5.25</v>
      </c>
      <c r="JQ42" s="45">
        <v>5</v>
      </c>
      <c r="JR42" s="46">
        <f>JO42/JP42</f>
        <v>133.33333333333334</v>
      </c>
      <c r="JS42" s="46">
        <f>JP42/JQ42</f>
        <v>1.05</v>
      </c>
      <c r="JU42" s="26">
        <f>100+100+100+100+100</f>
        <v>500</v>
      </c>
      <c r="JV42" s="48">
        <f>0.12+0.18+0.2+0.17+0.2</f>
        <v>0.87000000000000011</v>
      </c>
      <c r="JW42" s="45">
        <v>5</v>
      </c>
      <c r="JX42" s="46">
        <f>JU42/JV42</f>
        <v>574.71264367816082</v>
      </c>
      <c r="JY42" s="46">
        <f>JV42/JW42</f>
        <v>0.17400000000000002</v>
      </c>
      <c r="KA42" s="26">
        <f>200+200+200+200+200</f>
        <v>1000</v>
      </c>
      <c r="KB42" s="48">
        <f>0.82+0.87+0.8+0.81+0.83</f>
        <v>4.13</v>
      </c>
      <c r="KC42" s="45">
        <v>5</v>
      </c>
      <c r="KD42" s="46">
        <f>KA42/KB42</f>
        <v>242.13075060532688</v>
      </c>
      <c r="KE42" s="46">
        <f>KB42/KC42</f>
        <v>0.82599999999999996</v>
      </c>
      <c r="KG42" s="26"/>
      <c r="KH42" s="48"/>
      <c r="KI42" s="45"/>
      <c r="KJ42" s="46" t="e">
        <f>KG42/KH42</f>
        <v>#DIV/0!</v>
      </c>
      <c r="KK42" s="46" t="e">
        <f>KH42/KI42</f>
        <v>#DIV/0!</v>
      </c>
      <c r="KM42" s="26">
        <f>500+500+500+500</f>
        <v>2000</v>
      </c>
      <c r="KN42" s="48">
        <f>1.94+1.83</f>
        <v>3.77</v>
      </c>
      <c r="KO42" s="45">
        <v>4</v>
      </c>
      <c r="KP42" s="46">
        <f t="shared" si="622"/>
        <v>530.50397877984085</v>
      </c>
      <c r="KQ42" s="46">
        <f>KN42/KO42</f>
        <v>0.9425</v>
      </c>
      <c r="KS42" s="26"/>
      <c r="KT42" s="48"/>
      <c r="KU42" s="45"/>
      <c r="KV42" s="46" t="e">
        <f t="shared" si="370"/>
        <v>#DIV/0!</v>
      </c>
      <c r="KW42" s="46" t="e">
        <f>KT42/KU42</f>
        <v>#DIV/0!</v>
      </c>
      <c r="KY42" s="26"/>
      <c r="KZ42" s="48"/>
      <c r="LA42" s="45"/>
      <c r="LB42" s="46" t="e">
        <f t="shared" si="371"/>
        <v>#DIV/0!</v>
      </c>
      <c r="LC42" s="46" t="e">
        <f>KZ42/LA42</f>
        <v>#DIV/0!</v>
      </c>
      <c r="LE42" s="26"/>
      <c r="LF42" s="48"/>
      <c r="LG42" s="45"/>
      <c r="LH42" s="46" t="e">
        <f t="shared" si="372"/>
        <v>#DIV/0!</v>
      </c>
      <c r="LI42" s="46" t="e">
        <f>LF42/LG42</f>
        <v>#DIV/0!</v>
      </c>
      <c r="LK42" s="26">
        <f>400+400+400</f>
        <v>1200</v>
      </c>
      <c r="LL42" s="40" t="s">
        <v>411</v>
      </c>
      <c r="LM42" s="45">
        <v>3</v>
      </c>
      <c r="LN42" s="46" t="e">
        <f t="shared" si="373"/>
        <v>#VALUE!</v>
      </c>
      <c r="LO42" s="46" t="e">
        <f>LL42/LM42</f>
        <v>#VALUE!</v>
      </c>
      <c r="LQ42" s="26"/>
      <c r="LR42" s="48"/>
      <c r="LS42" s="45"/>
      <c r="LT42" s="46" t="e">
        <f t="shared" si="374"/>
        <v>#DIV/0!</v>
      </c>
      <c r="LU42" s="46" t="e">
        <f>LR42/LS42</f>
        <v>#DIV/0!</v>
      </c>
      <c r="LW42" s="26">
        <f>200+200+150+150+150</f>
        <v>850</v>
      </c>
      <c r="LX42" s="48">
        <f>0.7+0.85+0.67+0.72+0.72</f>
        <v>3.6599999999999993</v>
      </c>
      <c r="LY42" s="45">
        <v>5</v>
      </c>
      <c r="LZ42" s="46">
        <f t="shared" si="375"/>
        <v>232.24043715847</v>
      </c>
      <c r="MA42" s="46">
        <f>LX42/LY42</f>
        <v>0.73199999999999987</v>
      </c>
      <c r="MC42" s="26">
        <f>100+100+100+100+100</f>
        <v>500</v>
      </c>
      <c r="MD42" s="48">
        <f>0.63+0.62+0.64+0.63+0.61</f>
        <v>3.13</v>
      </c>
      <c r="ME42" s="45">
        <v>5</v>
      </c>
      <c r="MF42" s="46">
        <f t="shared" si="376"/>
        <v>159.7444089456869</v>
      </c>
      <c r="MG42" s="46">
        <f>MD42/ME42</f>
        <v>0.626</v>
      </c>
      <c r="MI42" s="26">
        <f>200+200+200+200+200</f>
        <v>1000</v>
      </c>
      <c r="MJ42" s="48">
        <f>0.67+0.96+0.73+0.77+0.86</f>
        <v>3.9899999999999998</v>
      </c>
      <c r="MK42" s="45">
        <v>5</v>
      </c>
      <c r="ML42" s="46">
        <f t="shared" si="377"/>
        <v>250.62656641604011</v>
      </c>
      <c r="MM42" s="46">
        <f>MJ42/MK42</f>
        <v>0.79799999999999993</v>
      </c>
      <c r="MO42" s="26"/>
      <c r="MP42" s="48"/>
      <c r="MQ42" s="45"/>
      <c r="MR42" s="46" t="e">
        <f t="shared" si="378"/>
        <v>#DIV/0!</v>
      </c>
      <c r="MS42" s="46" t="e">
        <f>MP42/MQ42</f>
        <v>#DIV/0!</v>
      </c>
      <c r="MU42" s="26"/>
      <c r="MV42" s="48"/>
      <c r="MW42" s="45"/>
      <c r="MX42" s="46" t="e">
        <f t="shared" si="379"/>
        <v>#DIV/0!</v>
      </c>
      <c r="MY42" s="46" t="e">
        <f>MV42/MW42</f>
        <v>#DIV/0!</v>
      </c>
      <c r="NA42" s="823"/>
      <c r="NB42" s="823"/>
      <c r="NC42" s="823"/>
      <c r="ND42" s="46" t="e">
        <f t="shared" si="380"/>
        <v>#DIV/0!</v>
      </c>
      <c r="NE42" s="46" t="e">
        <f>NB42/NC42</f>
        <v>#DIV/0!</v>
      </c>
      <c r="NG42" s="823"/>
      <c r="NH42" s="823"/>
      <c r="NI42" s="823"/>
      <c r="NJ42" s="46" t="e">
        <f t="shared" si="381"/>
        <v>#DIV/0!</v>
      </c>
      <c r="NK42" s="46" t="e">
        <f>NH42/NI42</f>
        <v>#DIV/0!</v>
      </c>
      <c r="NM42" s="823"/>
      <c r="NN42" s="823"/>
      <c r="NO42" s="823"/>
      <c r="NP42" s="46" t="e">
        <f t="shared" si="382"/>
        <v>#DIV/0!</v>
      </c>
      <c r="NQ42" s="46" t="e">
        <f>NN42/NO42</f>
        <v>#DIV/0!</v>
      </c>
      <c r="NS42" s="823"/>
      <c r="NT42" s="823"/>
      <c r="NU42" s="823"/>
      <c r="NV42" s="46" t="e">
        <f t="shared" si="383"/>
        <v>#DIV/0!</v>
      </c>
      <c r="NW42" s="46" t="e">
        <f>NT42/NU42</f>
        <v>#DIV/0!</v>
      </c>
      <c r="NY42" s="910"/>
      <c r="NZ42" s="910"/>
      <c r="OA42" s="910"/>
      <c r="OB42" s="46" t="e">
        <f t="shared" si="384"/>
        <v>#DIV/0!</v>
      </c>
      <c r="OC42" s="46" t="e">
        <f>NZ42/OA42</f>
        <v>#DIV/0!</v>
      </c>
      <c r="OE42" s="823">
        <f>500+500+500+500+500</f>
        <v>2500</v>
      </c>
      <c r="OF42" s="824">
        <f>0.98+0.98+0.9+0.98+0.91</f>
        <v>4.75</v>
      </c>
      <c r="OG42" s="823">
        <v>5</v>
      </c>
      <c r="OH42" s="46">
        <f t="shared" si="385"/>
        <v>526.31578947368416</v>
      </c>
      <c r="OI42" s="46">
        <f>OF42/OG42</f>
        <v>0.95</v>
      </c>
    </row>
    <row r="43" spans="2:399">
      <c r="B43" s="721" t="s">
        <v>376</v>
      </c>
      <c r="C43" s="720" t="s">
        <v>377</v>
      </c>
      <c r="D43" s="719" t="s">
        <v>11</v>
      </c>
      <c r="E43" s="26"/>
      <c r="F43" s="27"/>
      <c r="G43" s="27"/>
      <c r="H43" s="34"/>
      <c r="I43" s="34"/>
      <c r="J43" s="30"/>
      <c r="K43" s="26"/>
      <c r="L43" s="27"/>
      <c r="M43" s="27"/>
      <c r="N43" s="34"/>
      <c r="O43" s="34"/>
      <c r="P43" s="30"/>
      <c r="Q43" s="26"/>
      <c r="R43" s="27"/>
      <c r="S43" s="27"/>
      <c r="T43" s="34"/>
      <c r="U43" s="34"/>
      <c r="V43" s="30"/>
      <c r="W43" s="26"/>
      <c r="X43" s="27"/>
      <c r="Y43" s="27"/>
      <c r="Z43" s="34"/>
      <c r="AA43" s="34"/>
      <c r="AB43" s="30"/>
      <c r="AC43" s="26"/>
      <c r="AD43" s="27"/>
      <c r="AE43" s="27"/>
      <c r="AF43" s="34"/>
      <c r="AG43" s="34"/>
      <c r="AH43" s="30"/>
      <c r="AI43" s="26"/>
      <c r="AJ43" s="27"/>
      <c r="AK43" s="27"/>
      <c r="AL43" s="34"/>
      <c r="AM43" s="34"/>
      <c r="AN43" s="30"/>
      <c r="AO43" s="26"/>
      <c r="AP43" s="27"/>
      <c r="AQ43" s="27"/>
      <c r="AR43" s="34"/>
      <c r="AS43" s="34"/>
      <c r="AT43" s="30"/>
      <c r="AU43" s="26"/>
      <c r="AV43" s="27"/>
      <c r="AW43" s="27"/>
      <c r="AX43" s="34"/>
      <c r="AY43" s="34"/>
      <c r="AZ43" s="592"/>
      <c r="BA43" s="26"/>
      <c r="BB43" s="27"/>
      <c r="BC43" s="27"/>
      <c r="BD43" s="34"/>
      <c r="BE43" s="34"/>
      <c r="BF43" s="592"/>
      <c r="BG43" s="26"/>
      <c r="BH43" s="27"/>
      <c r="BI43" s="27"/>
      <c r="BJ43" s="34"/>
      <c r="BK43" s="34"/>
      <c r="BL43" s="592"/>
      <c r="BM43" s="26"/>
      <c r="BN43" s="27"/>
      <c r="BO43" s="27"/>
      <c r="BP43" s="34"/>
      <c r="BQ43" s="34"/>
      <c r="BR43" s="30"/>
      <c r="BS43" s="26"/>
      <c r="BT43" s="27"/>
      <c r="BU43" s="27"/>
      <c r="BV43" s="34"/>
      <c r="BW43" s="34"/>
      <c r="BX43" s="592"/>
      <c r="BY43" s="26"/>
      <c r="BZ43" s="27"/>
      <c r="CA43" s="27"/>
      <c r="CB43" s="34"/>
      <c r="CC43" s="34"/>
      <c r="CD43" s="592"/>
      <c r="CE43" s="26"/>
      <c r="CF43" s="27"/>
      <c r="CG43" s="27"/>
      <c r="CH43" s="34"/>
      <c r="CI43" s="34"/>
      <c r="CJ43" s="592"/>
      <c r="CK43" s="26"/>
      <c r="CL43" s="27"/>
      <c r="CM43" s="27"/>
      <c r="CN43" s="34"/>
      <c r="CO43" s="34"/>
      <c r="CP43" s="592"/>
      <c r="CQ43" s="26"/>
      <c r="CR43" s="27"/>
      <c r="CS43" s="27"/>
      <c r="CT43" s="34"/>
      <c r="CU43" s="34"/>
      <c r="CV43" s="592"/>
      <c r="CW43" s="26"/>
      <c r="CX43" s="27"/>
      <c r="CY43" s="27"/>
      <c r="CZ43" s="34"/>
      <c r="DA43" s="34"/>
      <c r="DB43" s="592"/>
      <c r="DC43" s="26"/>
      <c r="DD43" s="27"/>
      <c r="DE43" s="27"/>
      <c r="DF43" s="34"/>
      <c r="DG43" s="34"/>
      <c r="DH43" s="592"/>
      <c r="DI43" s="26"/>
      <c r="DJ43" s="27"/>
      <c r="DK43" s="27"/>
      <c r="DL43" s="34"/>
      <c r="DM43" s="34"/>
      <c r="DN43" s="592"/>
      <c r="DO43" s="26"/>
      <c r="DP43" s="27"/>
      <c r="DQ43" s="27"/>
      <c r="DR43" s="34"/>
      <c r="DS43" s="34"/>
      <c r="DT43" s="592"/>
      <c r="DU43" s="26"/>
      <c r="DV43" s="27"/>
      <c r="DW43" s="27"/>
      <c r="DX43" s="34"/>
      <c r="DY43" s="34"/>
      <c r="DZ43" s="592"/>
      <c r="EA43" s="26"/>
      <c r="EB43" s="27"/>
      <c r="EC43" s="27"/>
      <c r="ED43" s="34"/>
      <c r="EE43" s="34"/>
      <c r="EF43" s="592"/>
      <c r="EG43" s="26"/>
      <c r="EH43" s="27"/>
      <c r="EI43" s="27"/>
      <c r="EJ43" s="34"/>
      <c r="EK43" s="34"/>
      <c r="EL43" s="592"/>
      <c r="EM43" s="26"/>
      <c r="EN43" s="27"/>
      <c r="EO43" s="27"/>
      <c r="EP43" s="34"/>
      <c r="EQ43" s="34"/>
      <c r="ER43" s="30"/>
      <c r="ES43" s="26"/>
      <c r="ET43" s="27"/>
      <c r="EU43" s="27"/>
      <c r="EV43" s="40"/>
      <c r="EW43" s="40"/>
      <c r="EX43" s="30"/>
      <c r="EY43" s="35"/>
      <c r="EZ43" s="34"/>
      <c r="FA43" s="37"/>
      <c r="FB43" s="34"/>
      <c r="FC43" s="34"/>
      <c r="FE43" s="26"/>
      <c r="FF43" s="27"/>
      <c r="FG43" s="28"/>
      <c r="FH43" s="38"/>
      <c r="FI43" s="39"/>
      <c r="FK43" s="27"/>
      <c r="FL43" s="40"/>
      <c r="FM43" s="27"/>
      <c r="FN43" s="40"/>
      <c r="FO43" s="40"/>
      <c r="FQ43" s="26"/>
      <c r="FR43" s="40"/>
      <c r="FS43" s="27"/>
      <c r="FT43" s="40"/>
      <c r="FU43" s="40"/>
      <c r="FW43" s="26"/>
      <c r="FX43" s="27"/>
      <c r="FY43" s="27"/>
      <c r="FZ43" s="40"/>
      <c r="GA43" s="40"/>
      <c r="GC43" s="26"/>
      <c r="GD43" s="27"/>
      <c r="GE43" s="27"/>
      <c r="GF43" s="40"/>
      <c r="GG43" s="40"/>
      <c r="GI43" s="26"/>
      <c r="GJ43" s="27"/>
      <c r="GK43" s="27"/>
      <c r="GL43" s="40"/>
      <c r="GM43" s="40"/>
      <c r="GO43" s="26"/>
      <c r="GP43" s="40"/>
      <c r="GQ43" s="27"/>
      <c r="GR43" s="40"/>
      <c r="GS43" s="40"/>
      <c r="GU43" s="95"/>
      <c r="GV43" s="99"/>
      <c r="GW43" s="100"/>
      <c r="GX43" s="101"/>
      <c r="GY43" s="101"/>
      <c r="GZ43" s="43"/>
      <c r="HA43" s="26"/>
      <c r="HB43" s="39"/>
      <c r="HC43" s="28"/>
      <c r="HD43" s="106"/>
      <c r="HE43" s="106"/>
      <c r="HG43" s="26"/>
      <c r="HH43" s="40"/>
      <c r="HI43" s="27"/>
      <c r="HJ43" s="34"/>
      <c r="HK43" s="34"/>
      <c r="HM43" s="26"/>
      <c r="HN43" s="45"/>
      <c r="HO43" s="46"/>
      <c r="HP43" s="47"/>
      <c r="HQ43" s="47"/>
      <c r="HS43" s="26"/>
      <c r="HT43" s="45"/>
      <c r="HU43" s="46"/>
      <c r="HV43" s="48"/>
      <c r="HW43" s="48"/>
      <c r="HY43" s="45"/>
      <c r="HZ43" s="45"/>
      <c r="IA43" s="45"/>
      <c r="IB43" s="48"/>
      <c r="IC43" s="48"/>
      <c r="IE43" s="45"/>
      <c r="IF43" s="45"/>
      <c r="IG43" s="45"/>
      <c r="IH43" s="48"/>
      <c r="II43" s="48"/>
      <c r="IK43" s="26"/>
      <c r="IL43" s="48"/>
      <c r="IM43" s="45"/>
      <c r="IN43" s="48"/>
      <c r="IO43" s="48"/>
      <c r="IQ43" s="26"/>
      <c r="IR43" s="48"/>
      <c r="IS43" s="45"/>
      <c r="IT43" s="48"/>
      <c r="IU43" s="48"/>
      <c r="IW43" s="26"/>
      <c r="IX43" s="48"/>
      <c r="IY43" s="45"/>
      <c r="IZ43" s="46"/>
      <c r="JA43" s="46"/>
      <c r="JC43" s="26"/>
      <c r="JD43" s="48"/>
      <c r="JE43" s="45"/>
      <c r="JF43" s="46"/>
      <c r="JG43" s="46"/>
      <c r="JI43" s="26"/>
      <c r="JJ43" s="48"/>
      <c r="JK43" s="45"/>
      <c r="JL43" s="46"/>
      <c r="JM43" s="46"/>
      <c r="JO43" s="733"/>
      <c r="JP43" s="734"/>
      <c r="JQ43" s="735"/>
      <c r="JR43" s="736"/>
      <c r="JS43" s="736"/>
      <c r="JU43" s="733"/>
      <c r="JV43" s="734"/>
      <c r="JW43" s="735"/>
      <c r="JX43" s="736"/>
      <c r="JY43" s="736"/>
      <c r="KA43" s="733"/>
      <c r="KB43" s="734"/>
      <c r="KC43" s="735"/>
      <c r="KD43" s="736"/>
      <c r="KE43" s="736"/>
      <c r="KG43" s="733"/>
      <c r="KH43" s="734"/>
      <c r="KI43" s="735"/>
      <c r="KJ43" s="736"/>
      <c r="KK43" s="736"/>
      <c r="KM43" s="733"/>
      <c r="KN43" s="734"/>
      <c r="KO43" s="735"/>
      <c r="KP43" s="46" t="e">
        <f t="shared" si="622"/>
        <v>#DIV/0!</v>
      </c>
      <c r="KQ43" s="46" t="e">
        <f t="shared" ref="KQ43:KQ45" si="776">KN43/KO43</f>
        <v>#DIV/0!</v>
      </c>
      <c r="KS43" s="733"/>
      <c r="KT43" s="734"/>
      <c r="KU43" s="735"/>
      <c r="KV43" s="46" t="e">
        <f t="shared" si="370"/>
        <v>#DIV/0!</v>
      </c>
      <c r="KW43" s="46" t="e">
        <f t="shared" ref="KW43:KW45" si="777">KT43/KU43</f>
        <v>#DIV/0!</v>
      </c>
      <c r="KY43" s="733"/>
      <c r="KZ43" s="734"/>
      <c r="LA43" s="735"/>
      <c r="LB43" s="46" t="e">
        <f t="shared" si="371"/>
        <v>#DIV/0!</v>
      </c>
      <c r="LC43" s="46" t="e">
        <f t="shared" ref="LC43:LC45" si="778">KZ43/LA43</f>
        <v>#DIV/0!</v>
      </c>
      <c r="LE43" s="733"/>
      <c r="LF43" s="734"/>
      <c r="LG43" s="735"/>
      <c r="LH43" s="46" t="e">
        <f t="shared" si="372"/>
        <v>#DIV/0!</v>
      </c>
      <c r="LI43" s="46" t="e">
        <f t="shared" ref="LI43:LI45" si="779">LF43/LG43</f>
        <v>#DIV/0!</v>
      </c>
      <c r="LK43" s="733"/>
      <c r="LL43" s="734"/>
      <c r="LM43" s="735"/>
      <c r="LN43" s="46" t="e">
        <f t="shared" si="373"/>
        <v>#DIV/0!</v>
      </c>
      <c r="LO43" s="46" t="e">
        <f t="shared" ref="LO43:LO45" si="780">LL43/LM43</f>
        <v>#DIV/0!</v>
      </c>
      <c r="LQ43" s="733"/>
      <c r="LR43" s="734"/>
      <c r="LS43" s="735"/>
      <c r="LT43" s="46" t="e">
        <f t="shared" si="374"/>
        <v>#DIV/0!</v>
      </c>
      <c r="LU43" s="46" t="e">
        <f t="shared" ref="LU43:LU45" si="781">LR43/LS43</f>
        <v>#DIV/0!</v>
      </c>
      <c r="LW43" s="733"/>
      <c r="LX43" s="734"/>
      <c r="LY43" s="735"/>
      <c r="LZ43" s="46" t="e">
        <f t="shared" si="375"/>
        <v>#DIV/0!</v>
      </c>
      <c r="MA43" s="46" t="e">
        <f t="shared" ref="MA43:MA45" si="782">LX43/LY43</f>
        <v>#DIV/0!</v>
      </c>
      <c r="MC43" s="733"/>
      <c r="MD43" s="734"/>
      <c r="ME43" s="735"/>
      <c r="MF43" s="46" t="e">
        <f t="shared" si="376"/>
        <v>#DIV/0!</v>
      </c>
      <c r="MG43" s="46" t="e">
        <f t="shared" ref="MG43:MG45" si="783">MD43/ME43</f>
        <v>#DIV/0!</v>
      </c>
      <c r="MI43" s="733"/>
      <c r="MJ43" s="734"/>
      <c r="MK43" s="735"/>
      <c r="ML43" s="46" t="e">
        <f t="shared" si="377"/>
        <v>#DIV/0!</v>
      </c>
      <c r="MM43" s="46" t="e">
        <f t="shared" ref="MM43:MM45" si="784">MJ43/MK43</f>
        <v>#DIV/0!</v>
      </c>
      <c r="MO43" s="733"/>
      <c r="MP43" s="734"/>
      <c r="MQ43" s="735"/>
      <c r="MR43" s="46" t="e">
        <f t="shared" si="378"/>
        <v>#DIV/0!</v>
      </c>
      <c r="MS43" s="46" t="e">
        <f t="shared" ref="MS43:MS45" si="785">MP43/MQ43</f>
        <v>#DIV/0!</v>
      </c>
      <c r="MU43" s="733"/>
      <c r="MV43" s="734"/>
      <c r="MW43" s="735"/>
      <c r="MX43" s="46" t="e">
        <f t="shared" si="379"/>
        <v>#DIV/0!</v>
      </c>
      <c r="MY43" s="46" t="e">
        <f t="shared" ref="MY43:MY45" si="786">MV43/MW43</f>
        <v>#DIV/0!</v>
      </c>
      <c r="NA43" s="823"/>
      <c r="NB43" s="823"/>
      <c r="NC43" s="823"/>
      <c r="ND43" s="46" t="e">
        <f t="shared" si="380"/>
        <v>#DIV/0!</v>
      </c>
      <c r="NE43" s="46" t="e">
        <f t="shared" ref="NE43:NE45" si="787">NB43/NC43</f>
        <v>#DIV/0!</v>
      </c>
      <c r="NG43" s="823"/>
      <c r="NH43" s="823"/>
      <c r="NI43" s="823"/>
      <c r="NJ43" s="46" t="e">
        <f t="shared" si="381"/>
        <v>#DIV/0!</v>
      </c>
      <c r="NK43" s="46" t="e">
        <f t="shared" ref="NK43:NK45" si="788">NH43/NI43</f>
        <v>#DIV/0!</v>
      </c>
      <c r="NM43" s="823"/>
      <c r="NN43" s="823"/>
      <c r="NO43" s="823"/>
      <c r="NP43" s="46" t="e">
        <f t="shared" si="382"/>
        <v>#DIV/0!</v>
      </c>
      <c r="NQ43" s="46" t="e">
        <f t="shared" ref="NQ43:NQ45" si="789">NN43/NO43</f>
        <v>#DIV/0!</v>
      </c>
      <c r="NS43" s="823"/>
      <c r="NT43" s="823"/>
      <c r="NU43" s="823"/>
      <c r="NV43" s="46" t="e">
        <f t="shared" si="383"/>
        <v>#DIV/0!</v>
      </c>
      <c r="NW43" s="46" t="e">
        <f t="shared" ref="NW43:NW45" si="790">NT43/NU43</f>
        <v>#DIV/0!</v>
      </c>
      <c r="NY43" s="910"/>
      <c r="NZ43" s="910"/>
      <c r="OA43" s="910"/>
      <c r="OB43" s="46" t="e">
        <f t="shared" si="384"/>
        <v>#DIV/0!</v>
      </c>
      <c r="OC43" s="46" t="e">
        <f t="shared" ref="OC43:OC45" si="791">NZ43/OA43</f>
        <v>#DIV/0!</v>
      </c>
      <c r="OE43" s="823"/>
      <c r="OF43" s="823"/>
      <c r="OG43" s="823"/>
      <c r="OH43" s="46" t="e">
        <f t="shared" si="385"/>
        <v>#DIV/0!</v>
      </c>
      <c r="OI43" s="46" t="e">
        <f t="shared" ref="OI43:OI45" si="792">OF43/OG43</f>
        <v>#DIV/0!</v>
      </c>
    </row>
    <row r="44" spans="2:399">
      <c r="B44" s="721" t="s">
        <v>376</v>
      </c>
      <c r="C44" s="720" t="s">
        <v>378</v>
      </c>
      <c r="D44" s="719" t="s">
        <v>11</v>
      </c>
      <c r="E44" s="26"/>
      <c r="F44" s="27"/>
      <c r="G44" s="27"/>
      <c r="H44" s="34"/>
      <c r="I44" s="34"/>
      <c r="J44" s="30"/>
      <c r="K44" s="26"/>
      <c r="L44" s="27"/>
      <c r="M44" s="27"/>
      <c r="N44" s="34"/>
      <c r="O44" s="34"/>
      <c r="P44" s="30"/>
      <c r="Q44" s="26"/>
      <c r="R44" s="27"/>
      <c r="S44" s="27"/>
      <c r="T44" s="34"/>
      <c r="U44" s="34"/>
      <c r="V44" s="30"/>
      <c r="W44" s="26"/>
      <c r="X44" s="27"/>
      <c r="Y44" s="27"/>
      <c r="Z44" s="34"/>
      <c r="AA44" s="34"/>
      <c r="AB44" s="30"/>
      <c r="AC44" s="26"/>
      <c r="AD44" s="27"/>
      <c r="AE44" s="27"/>
      <c r="AF44" s="34"/>
      <c r="AG44" s="34"/>
      <c r="AH44" s="30"/>
      <c r="AI44" s="26"/>
      <c r="AJ44" s="27"/>
      <c r="AK44" s="27"/>
      <c r="AL44" s="34"/>
      <c r="AM44" s="34"/>
      <c r="AN44" s="30"/>
      <c r="AO44" s="26"/>
      <c r="AP44" s="27"/>
      <c r="AQ44" s="27"/>
      <c r="AR44" s="34"/>
      <c r="AS44" s="34"/>
      <c r="AT44" s="30"/>
      <c r="AU44" s="26"/>
      <c r="AV44" s="27"/>
      <c r="AW44" s="27"/>
      <c r="AX44" s="34"/>
      <c r="AY44" s="34"/>
      <c r="AZ44" s="592"/>
      <c r="BA44" s="26"/>
      <c r="BB44" s="27"/>
      <c r="BC44" s="27"/>
      <c r="BD44" s="34"/>
      <c r="BE44" s="34"/>
      <c r="BF44" s="592"/>
      <c r="BG44" s="26"/>
      <c r="BH44" s="27"/>
      <c r="BI44" s="27"/>
      <c r="BJ44" s="34"/>
      <c r="BK44" s="34"/>
      <c r="BL44" s="592"/>
      <c r="BM44" s="26"/>
      <c r="BN44" s="27"/>
      <c r="BO44" s="27"/>
      <c r="BP44" s="34"/>
      <c r="BQ44" s="34"/>
      <c r="BR44" s="30"/>
      <c r="BS44" s="26"/>
      <c r="BT44" s="27"/>
      <c r="BU44" s="27"/>
      <c r="BV44" s="34"/>
      <c r="BW44" s="34"/>
      <c r="BX44" s="592"/>
      <c r="BY44" s="26"/>
      <c r="BZ44" s="27"/>
      <c r="CA44" s="27"/>
      <c r="CB44" s="34"/>
      <c r="CC44" s="34"/>
      <c r="CD44" s="592"/>
      <c r="CE44" s="26"/>
      <c r="CF44" s="27"/>
      <c r="CG44" s="27"/>
      <c r="CH44" s="34"/>
      <c r="CI44" s="34"/>
      <c r="CJ44" s="592"/>
      <c r="CK44" s="26"/>
      <c r="CL44" s="27"/>
      <c r="CM44" s="27"/>
      <c r="CN44" s="34"/>
      <c r="CO44" s="34"/>
      <c r="CP44" s="592"/>
      <c r="CQ44" s="26"/>
      <c r="CR44" s="27"/>
      <c r="CS44" s="27"/>
      <c r="CT44" s="34"/>
      <c r="CU44" s="34"/>
      <c r="CV44" s="592"/>
      <c r="CW44" s="26"/>
      <c r="CX44" s="27"/>
      <c r="CY44" s="27"/>
      <c r="CZ44" s="34"/>
      <c r="DA44" s="34"/>
      <c r="DB44" s="592"/>
      <c r="DC44" s="26"/>
      <c r="DD44" s="27"/>
      <c r="DE44" s="27"/>
      <c r="DF44" s="34"/>
      <c r="DG44" s="34"/>
      <c r="DH44" s="592"/>
      <c r="DI44" s="26"/>
      <c r="DJ44" s="27"/>
      <c r="DK44" s="27"/>
      <c r="DL44" s="34"/>
      <c r="DM44" s="34"/>
      <c r="DN44" s="592"/>
      <c r="DO44" s="26"/>
      <c r="DP44" s="27"/>
      <c r="DQ44" s="27"/>
      <c r="DR44" s="34"/>
      <c r="DS44" s="34"/>
      <c r="DT44" s="592"/>
      <c r="DU44" s="26"/>
      <c r="DV44" s="27"/>
      <c r="DW44" s="27"/>
      <c r="DX44" s="34"/>
      <c r="DY44" s="34"/>
      <c r="DZ44" s="592"/>
      <c r="EA44" s="26"/>
      <c r="EB44" s="27"/>
      <c r="EC44" s="27"/>
      <c r="ED44" s="34"/>
      <c r="EE44" s="34"/>
      <c r="EF44" s="592"/>
      <c r="EG44" s="26"/>
      <c r="EH44" s="27"/>
      <c r="EI44" s="27"/>
      <c r="EJ44" s="34"/>
      <c r="EK44" s="34"/>
      <c r="EL44" s="592"/>
      <c r="EM44" s="26"/>
      <c r="EN44" s="27"/>
      <c r="EO44" s="27"/>
      <c r="EP44" s="34"/>
      <c r="EQ44" s="34"/>
      <c r="ER44" s="30"/>
      <c r="ES44" s="26"/>
      <c r="ET44" s="27"/>
      <c r="EU44" s="27"/>
      <c r="EV44" s="40"/>
      <c r="EW44" s="40"/>
      <c r="EX44" s="30"/>
      <c r="EY44" s="35"/>
      <c r="EZ44" s="34"/>
      <c r="FA44" s="37"/>
      <c r="FB44" s="34"/>
      <c r="FC44" s="34"/>
      <c r="FE44" s="26"/>
      <c r="FF44" s="27"/>
      <c r="FG44" s="28"/>
      <c r="FH44" s="38"/>
      <c r="FI44" s="39"/>
      <c r="FK44" s="27"/>
      <c r="FL44" s="40"/>
      <c r="FM44" s="27"/>
      <c r="FN44" s="40"/>
      <c r="FO44" s="40"/>
      <c r="FQ44" s="26"/>
      <c r="FR44" s="40"/>
      <c r="FS44" s="27"/>
      <c r="FT44" s="40"/>
      <c r="FU44" s="40"/>
      <c r="FW44" s="26"/>
      <c r="FX44" s="27"/>
      <c r="FY44" s="27"/>
      <c r="FZ44" s="40"/>
      <c r="GA44" s="40"/>
      <c r="GC44" s="26"/>
      <c r="GD44" s="27"/>
      <c r="GE44" s="27"/>
      <c r="GF44" s="40"/>
      <c r="GG44" s="40"/>
      <c r="GI44" s="26"/>
      <c r="GJ44" s="27"/>
      <c r="GK44" s="27"/>
      <c r="GL44" s="40"/>
      <c r="GM44" s="40"/>
      <c r="GO44" s="26"/>
      <c r="GP44" s="40"/>
      <c r="GQ44" s="27"/>
      <c r="GR44" s="40"/>
      <c r="GS44" s="40"/>
      <c r="GU44" s="95"/>
      <c r="GV44" s="99"/>
      <c r="GW44" s="100"/>
      <c r="GX44" s="101"/>
      <c r="GY44" s="101"/>
      <c r="GZ44" s="43"/>
      <c r="HA44" s="26"/>
      <c r="HB44" s="39"/>
      <c r="HC44" s="28"/>
      <c r="HD44" s="106"/>
      <c r="HE44" s="106"/>
      <c r="HG44" s="26"/>
      <c r="HH44" s="40"/>
      <c r="HI44" s="27"/>
      <c r="HJ44" s="34"/>
      <c r="HK44" s="34"/>
      <c r="HM44" s="26"/>
      <c r="HN44" s="45"/>
      <c r="HO44" s="46"/>
      <c r="HP44" s="47"/>
      <c r="HQ44" s="47"/>
      <c r="HS44" s="26"/>
      <c r="HT44" s="45"/>
      <c r="HU44" s="46"/>
      <c r="HV44" s="48"/>
      <c r="HW44" s="48"/>
      <c r="HY44" s="45"/>
      <c r="HZ44" s="45"/>
      <c r="IA44" s="45"/>
      <c r="IB44" s="48"/>
      <c r="IC44" s="48"/>
      <c r="IE44" s="45"/>
      <c r="IF44" s="45"/>
      <c r="IG44" s="45"/>
      <c r="IH44" s="48"/>
      <c r="II44" s="48"/>
      <c r="IK44" s="26"/>
      <c r="IL44" s="48"/>
      <c r="IM44" s="45"/>
      <c r="IN44" s="48"/>
      <c r="IO44" s="48"/>
      <c r="IQ44" s="26"/>
      <c r="IR44" s="48"/>
      <c r="IS44" s="45"/>
      <c r="IT44" s="48"/>
      <c r="IU44" s="48"/>
      <c r="IW44" s="26"/>
      <c r="IX44" s="48"/>
      <c r="IY44" s="45"/>
      <c r="IZ44" s="46"/>
      <c r="JA44" s="46"/>
      <c r="JC44" s="26"/>
      <c r="JD44" s="48"/>
      <c r="JE44" s="45"/>
      <c r="JF44" s="46"/>
      <c r="JG44" s="46"/>
      <c r="JI44" s="26"/>
      <c r="JJ44" s="48"/>
      <c r="JK44" s="45"/>
      <c r="JL44" s="46"/>
      <c r="JM44" s="46"/>
      <c r="JO44" s="733"/>
      <c r="JP44" s="734"/>
      <c r="JQ44" s="735"/>
      <c r="JR44" s="736"/>
      <c r="JS44" s="736"/>
      <c r="JU44" s="733"/>
      <c r="JV44" s="734"/>
      <c r="JW44" s="735"/>
      <c r="JX44" s="736"/>
      <c r="JY44" s="736"/>
      <c r="KA44" s="733"/>
      <c r="KB44" s="734"/>
      <c r="KC44" s="735"/>
      <c r="KD44" s="736"/>
      <c r="KE44" s="736"/>
      <c r="KG44" s="733"/>
      <c r="KH44" s="734"/>
      <c r="KI44" s="735"/>
      <c r="KJ44" s="736"/>
      <c r="KK44" s="736"/>
      <c r="KM44" s="733"/>
      <c r="KN44" s="734"/>
      <c r="KO44" s="735"/>
      <c r="KP44" s="46" t="e">
        <f t="shared" si="622"/>
        <v>#DIV/0!</v>
      </c>
      <c r="KQ44" s="46" t="e">
        <f t="shared" si="776"/>
        <v>#DIV/0!</v>
      </c>
      <c r="KS44" s="733"/>
      <c r="KT44" s="734"/>
      <c r="KU44" s="735"/>
      <c r="KV44" s="46" t="e">
        <f t="shared" si="370"/>
        <v>#DIV/0!</v>
      </c>
      <c r="KW44" s="46" t="e">
        <f t="shared" si="777"/>
        <v>#DIV/0!</v>
      </c>
      <c r="KY44" s="733"/>
      <c r="KZ44" s="734"/>
      <c r="LA44" s="735"/>
      <c r="LB44" s="46" t="e">
        <f t="shared" si="371"/>
        <v>#DIV/0!</v>
      </c>
      <c r="LC44" s="46" t="e">
        <f t="shared" si="778"/>
        <v>#DIV/0!</v>
      </c>
      <c r="LE44" s="733"/>
      <c r="LF44" s="734"/>
      <c r="LG44" s="735"/>
      <c r="LH44" s="46" t="e">
        <f t="shared" si="372"/>
        <v>#DIV/0!</v>
      </c>
      <c r="LI44" s="46" t="e">
        <f t="shared" si="779"/>
        <v>#DIV/0!</v>
      </c>
      <c r="LK44" s="733"/>
      <c r="LL44" s="734"/>
      <c r="LM44" s="735"/>
      <c r="LN44" s="46" t="e">
        <f t="shared" si="373"/>
        <v>#DIV/0!</v>
      </c>
      <c r="LO44" s="46" t="e">
        <f t="shared" si="780"/>
        <v>#DIV/0!</v>
      </c>
      <c r="LQ44" s="733"/>
      <c r="LR44" s="734"/>
      <c r="LS44" s="735"/>
      <c r="LT44" s="46" t="e">
        <f t="shared" si="374"/>
        <v>#DIV/0!</v>
      </c>
      <c r="LU44" s="46" t="e">
        <f t="shared" si="781"/>
        <v>#DIV/0!</v>
      </c>
      <c r="LW44" s="733">
        <f>200+200+200</f>
        <v>600</v>
      </c>
      <c r="LX44" s="734">
        <f>0.41+0.4+0.43</f>
        <v>1.24</v>
      </c>
      <c r="LY44" s="735">
        <v>3</v>
      </c>
      <c r="LZ44" s="46">
        <f t="shared" si="375"/>
        <v>483.87096774193549</v>
      </c>
      <c r="MA44" s="46">
        <f t="shared" si="782"/>
        <v>0.41333333333333333</v>
      </c>
      <c r="MC44" s="733"/>
      <c r="MD44" s="734"/>
      <c r="ME44" s="735"/>
      <c r="MF44" s="46" t="e">
        <f t="shared" si="376"/>
        <v>#DIV/0!</v>
      </c>
      <c r="MG44" s="46" t="e">
        <f t="shared" si="783"/>
        <v>#DIV/0!</v>
      </c>
      <c r="MI44" s="733"/>
      <c r="MJ44" s="734"/>
      <c r="MK44" s="735"/>
      <c r="ML44" s="46" t="e">
        <f t="shared" si="377"/>
        <v>#DIV/0!</v>
      </c>
      <c r="MM44" s="46" t="e">
        <f t="shared" si="784"/>
        <v>#DIV/0!</v>
      </c>
      <c r="MO44" s="733"/>
      <c r="MP44" s="734"/>
      <c r="MQ44" s="735"/>
      <c r="MR44" s="46" t="e">
        <f t="shared" si="378"/>
        <v>#DIV/0!</v>
      </c>
      <c r="MS44" s="46" t="e">
        <f t="shared" si="785"/>
        <v>#DIV/0!</v>
      </c>
      <c r="MU44" s="733"/>
      <c r="MV44" s="734"/>
      <c r="MW44" s="735"/>
      <c r="MX44" s="46" t="e">
        <f t="shared" si="379"/>
        <v>#DIV/0!</v>
      </c>
      <c r="MY44" s="46" t="e">
        <f t="shared" si="786"/>
        <v>#DIV/0!</v>
      </c>
      <c r="NA44" s="823"/>
      <c r="NB44" s="823"/>
      <c r="NC44" s="823"/>
      <c r="ND44" s="46" t="e">
        <f t="shared" si="380"/>
        <v>#DIV/0!</v>
      </c>
      <c r="NE44" s="46" t="e">
        <f t="shared" si="787"/>
        <v>#DIV/0!</v>
      </c>
      <c r="NG44" s="823"/>
      <c r="NH44" s="823"/>
      <c r="NI44" s="823"/>
      <c r="NJ44" s="46" t="e">
        <f t="shared" si="381"/>
        <v>#DIV/0!</v>
      </c>
      <c r="NK44" s="46" t="e">
        <f t="shared" si="788"/>
        <v>#DIV/0!</v>
      </c>
      <c r="NM44" s="823"/>
      <c r="NN44" s="823"/>
      <c r="NO44" s="823"/>
      <c r="NP44" s="46" t="e">
        <f t="shared" si="382"/>
        <v>#DIV/0!</v>
      </c>
      <c r="NQ44" s="46" t="e">
        <f t="shared" si="789"/>
        <v>#DIV/0!</v>
      </c>
      <c r="NS44" s="823"/>
      <c r="NT44" s="823"/>
      <c r="NU44" s="823"/>
      <c r="NV44" s="46" t="e">
        <f t="shared" si="383"/>
        <v>#DIV/0!</v>
      </c>
      <c r="NW44" s="46" t="e">
        <f t="shared" si="790"/>
        <v>#DIV/0!</v>
      </c>
      <c r="NY44" s="910"/>
      <c r="NZ44" s="910"/>
      <c r="OA44" s="910"/>
      <c r="OB44" s="46" t="e">
        <f t="shared" si="384"/>
        <v>#DIV/0!</v>
      </c>
      <c r="OC44" s="46" t="e">
        <f t="shared" si="791"/>
        <v>#DIV/0!</v>
      </c>
      <c r="OE44" s="823"/>
      <c r="OF44" s="823"/>
      <c r="OG44" s="823"/>
      <c r="OH44" s="46" t="e">
        <f t="shared" si="385"/>
        <v>#DIV/0!</v>
      </c>
      <c r="OI44" s="46" t="e">
        <f t="shared" si="792"/>
        <v>#DIV/0!</v>
      </c>
    </row>
    <row r="45" spans="2:399">
      <c r="B45" s="721" t="s">
        <v>376</v>
      </c>
      <c r="C45" s="720" t="s">
        <v>379</v>
      </c>
      <c r="D45" s="719" t="s">
        <v>11</v>
      </c>
      <c r="E45" s="26"/>
      <c r="F45" s="27"/>
      <c r="G45" s="27"/>
      <c r="H45" s="34"/>
      <c r="I45" s="34"/>
      <c r="J45" s="30"/>
      <c r="K45" s="26"/>
      <c r="L45" s="27"/>
      <c r="M45" s="27"/>
      <c r="N45" s="34"/>
      <c r="O45" s="34"/>
      <c r="P45" s="30"/>
      <c r="Q45" s="26"/>
      <c r="R45" s="27"/>
      <c r="S45" s="27"/>
      <c r="T45" s="34"/>
      <c r="U45" s="34"/>
      <c r="V45" s="30"/>
      <c r="W45" s="26"/>
      <c r="X45" s="27"/>
      <c r="Y45" s="27"/>
      <c r="Z45" s="34"/>
      <c r="AA45" s="34"/>
      <c r="AB45" s="30"/>
      <c r="AC45" s="26"/>
      <c r="AD45" s="27"/>
      <c r="AE45" s="27"/>
      <c r="AF45" s="34"/>
      <c r="AG45" s="34"/>
      <c r="AH45" s="30"/>
      <c r="AI45" s="26"/>
      <c r="AJ45" s="27"/>
      <c r="AK45" s="27"/>
      <c r="AL45" s="34"/>
      <c r="AM45" s="34"/>
      <c r="AN45" s="30"/>
      <c r="AO45" s="26"/>
      <c r="AP45" s="27"/>
      <c r="AQ45" s="27"/>
      <c r="AR45" s="34"/>
      <c r="AS45" s="34"/>
      <c r="AT45" s="30"/>
      <c r="AU45" s="26"/>
      <c r="AV45" s="27"/>
      <c r="AW45" s="27"/>
      <c r="AX45" s="34"/>
      <c r="AY45" s="34"/>
      <c r="AZ45" s="592"/>
      <c r="BA45" s="26"/>
      <c r="BB45" s="27"/>
      <c r="BC45" s="27"/>
      <c r="BD45" s="34"/>
      <c r="BE45" s="34"/>
      <c r="BF45" s="592"/>
      <c r="BG45" s="26"/>
      <c r="BH45" s="27"/>
      <c r="BI45" s="27"/>
      <c r="BJ45" s="34"/>
      <c r="BK45" s="34"/>
      <c r="BL45" s="592"/>
      <c r="BM45" s="26"/>
      <c r="BN45" s="27"/>
      <c r="BO45" s="27"/>
      <c r="BP45" s="34"/>
      <c r="BQ45" s="34"/>
      <c r="BR45" s="30"/>
      <c r="BS45" s="26"/>
      <c r="BT45" s="27"/>
      <c r="BU45" s="27"/>
      <c r="BV45" s="34"/>
      <c r="BW45" s="34"/>
      <c r="BX45" s="592"/>
      <c r="BY45" s="26"/>
      <c r="BZ45" s="27"/>
      <c r="CA45" s="27"/>
      <c r="CB45" s="34"/>
      <c r="CC45" s="34"/>
      <c r="CD45" s="592"/>
      <c r="CE45" s="26"/>
      <c r="CF45" s="27"/>
      <c r="CG45" s="27"/>
      <c r="CH45" s="34"/>
      <c r="CI45" s="34"/>
      <c r="CJ45" s="592"/>
      <c r="CK45" s="26"/>
      <c r="CL45" s="27"/>
      <c r="CM45" s="27"/>
      <c r="CN45" s="34"/>
      <c r="CO45" s="34"/>
      <c r="CP45" s="592"/>
      <c r="CQ45" s="26"/>
      <c r="CR45" s="27"/>
      <c r="CS45" s="27"/>
      <c r="CT45" s="34"/>
      <c r="CU45" s="34"/>
      <c r="CV45" s="592"/>
      <c r="CW45" s="26"/>
      <c r="CX45" s="27"/>
      <c r="CY45" s="27"/>
      <c r="CZ45" s="34"/>
      <c r="DA45" s="34"/>
      <c r="DB45" s="592"/>
      <c r="DC45" s="26"/>
      <c r="DD45" s="27"/>
      <c r="DE45" s="27"/>
      <c r="DF45" s="34"/>
      <c r="DG45" s="34"/>
      <c r="DH45" s="592"/>
      <c r="DI45" s="26"/>
      <c r="DJ45" s="27"/>
      <c r="DK45" s="27"/>
      <c r="DL45" s="34"/>
      <c r="DM45" s="34"/>
      <c r="DN45" s="592"/>
      <c r="DO45" s="26"/>
      <c r="DP45" s="27"/>
      <c r="DQ45" s="27"/>
      <c r="DR45" s="34"/>
      <c r="DS45" s="34"/>
      <c r="DT45" s="592"/>
      <c r="DU45" s="26"/>
      <c r="DV45" s="27"/>
      <c r="DW45" s="27"/>
      <c r="DX45" s="34"/>
      <c r="DY45" s="34"/>
      <c r="DZ45" s="592"/>
      <c r="EA45" s="26"/>
      <c r="EB45" s="27"/>
      <c r="EC45" s="27"/>
      <c r="ED45" s="34"/>
      <c r="EE45" s="34"/>
      <c r="EF45" s="592"/>
      <c r="EG45" s="26"/>
      <c r="EH45" s="27"/>
      <c r="EI45" s="27"/>
      <c r="EJ45" s="34"/>
      <c r="EK45" s="34"/>
      <c r="EL45" s="592"/>
      <c r="EM45" s="26"/>
      <c r="EN45" s="27"/>
      <c r="EO45" s="27"/>
      <c r="EP45" s="34"/>
      <c r="EQ45" s="34"/>
      <c r="ER45" s="30"/>
      <c r="ES45" s="26"/>
      <c r="ET45" s="27"/>
      <c r="EU45" s="27"/>
      <c r="EV45" s="40"/>
      <c r="EW45" s="40"/>
      <c r="EX45" s="30"/>
      <c r="EY45" s="35"/>
      <c r="EZ45" s="34"/>
      <c r="FA45" s="37"/>
      <c r="FB45" s="34"/>
      <c r="FC45" s="34"/>
      <c r="FE45" s="26"/>
      <c r="FF45" s="27"/>
      <c r="FG45" s="28"/>
      <c r="FH45" s="38"/>
      <c r="FI45" s="39"/>
      <c r="FK45" s="27"/>
      <c r="FL45" s="40"/>
      <c r="FM45" s="27"/>
      <c r="FN45" s="40"/>
      <c r="FO45" s="40"/>
      <c r="FQ45" s="26"/>
      <c r="FR45" s="40"/>
      <c r="FS45" s="27"/>
      <c r="FT45" s="40"/>
      <c r="FU45" s="40"/>
      <c r="FW45" s="26"/>
      <c r="FX45" s="27"/>
      <c r="FY45" s="27"/>
      <c r="FZ45" s="40"/>
      <c r="GA45" s="40"/>
      <c r="GC45" s="26"/>
      <c r="GD45" s="27"/>
      <c r="GE45" s="27"/>
      <c r="GF45" s="40"/>
      <c r="GG45" s="40"/>
      <c r="GI45" s="26"/>
      <c r="GJ45" s="27"/>
      <c r="GK45" s="27"/>
      <c r="GL45" s="40"/>
      <c r="GM45" s="40"/>
      <c r="GO45" s="26"/>
      <c r="GP45" s="40"/>
      <c r="GQ45" s="27"/>
      <c r="GR45" s="40"/>
      <c r="GS45" s="40"/>
      <c r="GU45" s="95"/>
      <c r="GV45" s="99"/>
      <c r="GW45" s="100"/>
      <c r="GX45" s="101"/>
      <c r="GY45" s="101"/>
      <c r="GZ45" s="43"/>
      <c r="HA45" s="26"/>
      <c r="HB45" s="39"/>
      <c r="HC45" s="28"/>
      <c r="HD45" s="106"/>
      <c r="HE45" s="106"/>
      <c r="HG45" s="26"/>
      <c r="HH45" s="40"/>
      <c r="HI45" s="27"/>
      <c r="HJ45" s="34"/>
      <c r="HK45" s="34"/>
      <c r="HM45" s="26"/>
      <c r="HN45" s="45"/>
      <c r="HO45" s="46"/>
      <c r="HP45" s="47"/>
      <c r="HQ45" s="47"/>
      <c r="HS45" s="26"/>
      <c r="HT45" s="45"/>
      <c r="HU45" s="46"/>
      <c r="HV45" s="48"/>
      <c r="HW45" s="48"/>
      <c r="HY45" s="45"/>
      <c r="HZ45" s="45"/>
      <c r="IA45" s="45"/>
      <c r="IB45" s="48"/>
      <c r="IC45" s="48"/>
      <c r="IE45" s="45"/>
      <c r="IF45" s="45"/>
      <c r="IG45" s="45"/>
      <c r="IH45" s="48"/>
      <c r="II45" s="48"/>
      <c r="IK45" s="26"/>
      <c r="IL45" s="48"/>
      <c r="IM45" s="45"/>
      <c r="IN45" s="48"/>
      <c r="IO45" s="48"/>
      <c r="IQ45" s="26"/>
      <c r="IR45" s="48"/>
      <c r="IS45" s="45"/>
      <c r="IT45" s="48"/>
      <c r="IU45" s="48"/>
      <c r="IW45" s="26"/>
      <c r="IX45" s="48"/>
      <c r="IY45" s="45"/>
      <c r="IZ45" s="46"/>
      <c r="JA45" s="46"/>
      <c r="JC45" s="26"/>
      <c r="JD45" s="48"/>
      <c r="JE45" s="45"/>
      <c r="JF45" s="46"/>
      <c r="JG45" s="46"/>
      <c r="JI45" s="26"/>
      <c r="JJ45" s="48"/>
      <c r="JK45" s="45"/>
      <c r="JL45" s="46"/>
      <c r="JM45" s="46"/>
      <c r="JO45" s="733">
        <f>200+200+200+200+200</f>
        <v>1000</v>
      </c>
      <c r="JP45" s="734">
        <f>0.61+0.6+0.6+0.6+0.6</f>
        <v>3.0100000000000002</v>
      </c>
      <c r="JQ45" s="735">
        <v>5</v>
      </c>
      <c r="JR45" s="736">
        <f t="shared" ref="JR45:JR49" si="793">JO45/JP45</f>
        <v>332.22591362126241</v>
      </c>
      <c r="JS45" s="736">
        <f t="shared" ref="JS45:JS49" si="794">JP45/JQ45</f>
        <v>0.60200000000000009</v>
      </c>
      <c r="JU45" s="733">
        <f>200+200+200+200+200</f>
        <v>1000</v>
      </c>
      <c r="JV45" s="734">
        <f>0.64+0.55+0.56+0.56+0.58</f>
        <v>2.89</v>
      </c>
      <c r="JW45" s="735">
        <v>5</v>
      </c>
      <c r="JX45" s="736">
        <f t="shared" ref="JX45:JX46" si="795">JU45/JV45</f>
        <v>346.02076124567475</v>
      </c>
      <c r="JY45" s="736">
        <f t="shared" ref="JY45:JY46" si="796">JV45/JW45</f>
        <v>0.57800000000000007</v>
      </c>
      <c r="KA45" s="733">
        <f>200+200+200+200+200</f>
        <v>1000</v>
      </c>
      <c r="KB45" s="734">
        <f>0.99+0.97+1.1+1+0.98</f>
        <v>5.0400000000000009</v>
      </c>
      <c r="KC45" s="735">
        <v>5</v>
      </c>
      <c r="KD45" s="736">
        <f t="shared" ref="KD45:KD48" si="797">KA45/KB45</f>
        <v>198.41269841269838</v>
      </c>
      <c r="KE45" s="736">
        <f t="shared" ref="KE45:KE48" si="798">KB45/KC45</f>
        <v>1.0080000000000002</v>
      </c>
      <c r="KG45" s="733">
        <f>100+100+100+100+100</f>
        <v>500</v>
      </c>
      <c r="KH45" s="734">
        <f>0.56+0.77+0.56+0.61+0.74</f>
        <v>3.24</v>
      </c>
      <c r="KI45" s="735">
        <v>5</v>
      </c>
      <c r="KJ45" s="736">
        <f t="shared" ref="KJ45:KJ48" si="799">KG45/KH45</f>
        <v>154.32098765432099</v>
      </c>
      <c r="KK45" s="736">
        <f t="shared" ref="KK45:KK48" si="800">KH45/KI45</f>
        <v>0.64800000000000002</v>
      </c>
      <c r="KM45" s="733">
        <f>100+100+100+100+100</f>
        <v>500</v>
      </c>
      <c r="KN45" s="734">
        <f>1.26+1.28+0.63</f>
        <v>3.17</v>
      </c>
      <c r="KO45" s="735">
        <v>5</v>
      </c>
      <c r="KP45" s="46">
        <f t="shared" si="622"/>
        <v>157.72870662460568</v>
      </c>
      <c r="KQ45" s="46">
        <f t="shared" si="776"/>
        <v>0.63400000000000001</v>
      </c>
      <c r="KS45" s="733">
        <f>200+200+200+200+200</f>
        <v>1000</v>
      </c>
      <c r="KT45" s="734">
        <f>0.7+0.66+0.63+0.6+0.72</f>
        <v>3.3099999999999996</v>
      </c>
      <c r="KU45" s="735">
        <v>5</v>
      </c>
      <c r="KV45" s="46">
        <f t="shared" si="370"/>
        <v>302.1148036253777</v>
      </c>
      <c r="KW45" s="46">
        <f t="shared" si="777"/>
        <v>0.66199999999999992</v>
      </c>
      <c r="KY45" s="733"/>
      <c r="KZ45" s="734"/>
      <c r="LA45" s="735"/>
      <c r="LB45" s="46" t="e">
        <f t="shared" si="371"/>
        <v>#DIV/0!</v>
      </c>
      <c r="LC45" s="46" t="e">
        <f t="shared" si="778"/>
        <v>#DIV/0!</v>
      </c>
      <c r="LE45" s="733"/>
      <c r="LF45" s="734"/>
      <c r="LG45" s="735"/>
      <c r="LH45" s="46" t="e">
        <f t="shared" si="372"/>
        <v>#DIV/0!</v>
      </c>
      <c r="LI45" s="46" t="e">
        <f t="shared" si="779"/>
        <v>#DIV/0!</v>
      </c>
      <c r="LK45" s="733"/>
      <c r="LL45" s="734"/>
      <c r="LM45" s="735"/>
      <c r="LN45" s="46" t="e">
        <f t="shared" si="373"/>
        <v>#DIV/0!</v>
      </c>
      <c r="LO45" s="46" t="e">
        <f t="shared" si="780"/>
        <v>#DIV/0!</v>
      </c>
      <c r="LQ45" s="733"/>
      <c r="LR45" s="734"/>
      <c r="LS45" s="735"/>
      <c r="LT45" s="46" t="e">
        <f t="shared" si="374"/>
        <v>#DIV/0!</v>
      </c>
      <c r="LU45" s="46" t="e">
        <f t="shared" si="781"/>
        <v>#DIV/0!</v>
      </c>
      <c r="LW45" s="733"/>
      <c r="LX45" s="734"/>
      <c r="LY45" s="735"/>
      <c r="LZ45" s="46" t="e">
        <f t="shared" si="375"/>
        <v>#DIV/0!</v>
      </c>
      <c r="MA45" s="46" t="e">
        <f t="shared" si="782"/>
        <v>#DIV/0!</v>
      </c>
      <c r="MC45" s="733"/>
      <c r="MD45" s="734"/>
      <c r="ME45" s="735"/>
      <c r="MF45" s="46" t="e">
        <f t="shared" si="376"/>
        <v>#DIV/0!</v>
      </c>
      <c r="MG45" s="46" t="e">
        <f t="shared" si="783"/>
        <v>#DIV/0!</v>
      </c>
      <c r="MI45" s="733">
        <f>200+200+200+200+100</f>
        <v>900</v>
      </c>
      <c r="MJ45" s="734">
        <f>0.47+0.43+0.43+0.49+0.52</f>
        <v>2.34</v>
      </c>
      <c r="MK45" s="735">
        <v>5</v>
      </c>
      <c r="ML45" s="46">
        <f t="shared" si="377"/>
        <v>384.61538461538464</v>
      </c>
      <c r="MM45" s="46">
        <f t="shared" si="784"/>
        <v>0.46799999999999997</v>
      </c>
      <c r="MO45" s="733"/>
      <c r="MP45" s="734"/>
      <c r="MQ45" s="735"/>
      <c r="MR45" s="46" t="e">
        <f t="shared" si="378"/>
        <v>#DIV/0!</v>
      </c>
      <c r="MS45" s="46" t="e">
        <f t="shared" si="785"/>
        <v>#DIV/0!</v>
      </c>
      <c r="MU45" s="733"/>
      <c r="MV45" s="734"/>
      <c r="MW45" s="735"/>
      <c r="MX45" s="46" t="e">
        <f t="shared" si="379"/>
        <v>#DIV/0!</v>
      </c>
      <c r="MY45" s="46" t="e">
        <f t="shared" si="786"/>
        <v>#DIV/0!</v>
      </c>
      <c r="NA45" s="823">
        <f>200+200+200+200+200</f>
        <v>1000</v>
      </c>
      <c r="NB45" s="823">
        <f>0.44+0.4+0.48+0.49+0.46</f>
        <v>2.27</v>
      </c>
      <c r="NC45" s="823">
        <v>5</v>
      </c>
      <c r="ND45" s="46">
        <f t="shared" si="380"/>
        <v>440.52863436123346</v>
      </c>
      <c r="NE45" s="46">
        <f t="shared" si="787"/>
        <v>0.45400000000000001</v>
      </c>
      <c r="NG45" s="823"/>
      <c r="NH45" s="823"/>
      <c r="NI45" s="823"/>
      <c r="NJ45" s="46" t="e">
        <f t="shared" si="381"/>
        <v>#DIV/0!</v>
      </c>
      <c r="NK45" s="46" t="e">
        <f t="shared" si="788"/>
        <v>#DIV/0!</v>
      </c>
      <c r="NM45" s="823">
        <f>200+200+150</f>
        <v>550</v>
      </c>
      <c r="NN45" s="823">
        <f>0.39+0.34+0.41</f>
        <v>1.1399999999999999</v>
      </c>
      <c r="NO45" s="823">
        <v>3</v>
      </c>
      <c r="NP45" s="46">
        <f t="shared" si="382"/>
        <v>482.45614035087721</v>
      </c>
      <c r="NQ45" s="46">
        <f t="shared" si="789"/>
        <v>0.37999999999999995</v>
      </c>
      <c r="NS45" s="823">
        <f>100+100+100+200+200</f>
        <v>700</v>
      </c>
      <c r="NT45" s="823">
        <f>0.52+0.62+0.31+0.36+0.37</f>
        <v>2.1800000000000002</v>
      </c>
      <c r="NU45" s="823">
        <v>5</v>
      </c>
      <c r="NV45" s="46">
        <f t="shared" si="383"/>
        <v>321.10091743119261</v>
      </c>
      <c r="NW45" s="46">
        <f t="shared" si="790"/>
        <v>0.43600000000000005</v>
      </c>
      <c r="NY45" s="910">
        <f>200+200+200+200+200</f>
        <v>1000</v>
      </c>
      <c r="NZ45" s="910">
        <f>0.48+0.46+0.44+0.43+0.45</f>
        <v>2.2599999999999998</v>
      </c>
      <c r="OA45" s="910">
        <v>5</v>
      </c>
      <c r="OB45" s="46">
        <f t="shared" si="384"/>
        <v>442.47787610619474</v>
      </c>
      <c r="OC45" s="46">
        <f t="shared" si="791"/>
        <v>0.45199999999999996</v>
      </c>
      <c r="OE45" s="823">
        <f>100+100+100+100+50</f>
        <v>450</v>
      </c>
      <c r="OF45" s="823">
        <f>0.45+0.43+0.46+0.41+0.35</f>
        <v>2.1</v>
      </c>
      <c r="OG45" s="823">
        <v>5</v>
      </c>
      <c r="OH45" s="46">
        <f t="shared" si="385"/>
        <v>214.28571428571428</v>
      </c>
      <c r="OI45" s="46">
        <f t="shared" si="792"/>
        <v>0.42000000000000004</v>
      </c>
    </row>
    <row r="46" spans="2:399">
      <c r="B46" s="721" t="s">
        <v>376</v>
      </c>
      <c r="C46" s="720" t="s">
        <v>380</v>
      </c>
      <c r="D46" s="719" t="s">
        <v>11</v>
      </c>
      <c r="E46" s="26"/>
      <c r="F46" s="27"/>
      <c r="G46" s="27"/>
      <c r="H46" s="34"/>
      <c r="I46" s="34"/>
      <c r="J46" s="30"/>
      <c r="K46" s="26"/>
      <c r="L46" s="27"/>
      <c r="M46" s="27"/>
      <c r="N46" s="34"/>
      <c r="O46" s="34"/>
      <c r="P46" s="30"/>
      <c r="Q46" s="26"/>
      <c r="R46" s="27"/>
      <c r="S46" s="27"/>
      <c r="T46" s="34"/>
      <c r="U46" s="34"/>
      <c r="V46" s="30"/>
      <c r="W46" s="26"/>
      <c r="X46" s="27"/>
      <c r="Y46" s="27"/>
      <c r="Z46" s="34"/>
      <c r="AA46" s="34"/>
      <c r="AB46" s="30"/>
      <c r="AC46" s="26"/>
      <c r="AD46" s="27"/>
      <c r="AE46" s="27"/>
      <c r="AF46" s="34"/>
      <c r="AG46" s="34"/>
      <c r="AH46" s="30"/>
      <c r="AI46" s="26"/>
      <c r="AJ46" s="27"/>
      <c r="AK46" s="27"/>
      <c r="AL46" s="34"/>
      <c r="AM46" s="34"/>
      <c r="AN46" s="30"/>
      <c r="AO46" s="26"/>
      <c r="AP46" s="27"/>
      <c r="AQ46" s="27"/>
      <c r="AR46" s="34"/>
      <c r="AS46" s="34"/>
      <c r="AT46" s="30"/>
      <c r="AU46" s="26"/>
      <c r="AV46" s="27"/>
      <c r="AW46" s="27"/>
      <c r="AX46" s="34"/>
      <c r="AY46" s="34"/>
      <c r="AZ46" s="592"/>
      <c r="BA46" s="26"/>
      <c r="BB46" s="27"/>
      <c r="BC46" s="27"/>
      <c r="BD46" s="34"/>
      <c r="BE46" s="34"/>
      <c r="BF46" s="592"/>
      <c r="BG46" s="26"/>
      <c r="BH46" s="27"/>
      <c r="BI46" s="27"/>
      <c r="BJ46" s="34"/>
      <c r="BK46" s="34"/>
      <c r="BL46" s="592"/>
      <c r="BM46" s="26"/>
      <c r="BN46" s="27"/>
      <c r="BO46" s="27"/>
      <c r="BP46" s="34"/>
      <c r="BQ46" s="34"/>
      <c r="BR46" s="30"/>
      <c r="BS46" s="26"/>
      <c r="BT46" s="27"/>
      <c r="BU46" s="27"/>
      <c r="BV46" s="34"/>
      <c r="BW46" s="34"/>
      <c r="BX46" s="592"/>
      <c r="BY46" s="26"/>
      <c r="BZ46" s="27"/>
      <c r="CA46" s="27"/>
      <c r="CB46" s="34"/>
      <c r="CC46" s="34"/>
      <c r="CD46" s="592"/>
      <c r="CE46" s="26"/>
      <c r="CF46" s="27"/>
      <c r="CG46" s="27"/>
      <c r="CH46" s="34"/>
      <c r="CI46" s="34"/>
      <c r="CJ46" s="592"/>
      <c r="CK46" s="26"/>
      <c r="CL46" s="27"/>
      <c r="CM46" s="27"/>
      <c r="CN46" s="34"/>
      <c r="CO46" s="34"/>
      <c r="CP46" s="592"/>
      <c r="CQ46" s="26"/>
      <c r="CR46" s="27"/>
      <c r="CS46" s="27"/>
      <c r="CT46" s="34"/>
      <c r="CU46" s="34"/>
      <c r="CV46" s="592"/>
      <c r="CW46" s="26"/>
      <c r="CX46" s="27"/>
      <c r="CY46" s="27"/>
      <c r="CZ46" s="34"/>
      <c r="DA46" s="34"/>
      <c r="DB46" s="592"/>
      <c r="DC46" s="26"/>
      <c r="DD46" s="27"/>
      <c r="DE46" s="27"/>
      <c r="DF46" s="34"/>
      <c r="DG46" s="34"/>
      <c r="DH46" s="592"/>
      <c r="DI46" s="26"/>
      <c r="DJ46" s="27"/>
      <c r="DK46" s="27"/>
      <c r="DL46" s="34"/>
      <c r="DM46" s="34"/>
      <c r="DN46" s="592"/>
      <c r="DO46" s="26"/>
      <c r="DP46" s="27"/>
      <c r="DQ46" s="27"/>
      <c r="DR46" s="34"/>
      <c r="DS46" s="34"/>
      <c r="DT46" s="592"/>
      <c r="DU46" s="26"/>
      <c r="DV46" s="27"/>
      <c r="DW46" s="27"/>
      <c r="DX46" s="34"/>
      <c r="DY46" s="34"/>
      <c r="DZ46" s="592"/>
      <c r="EA46" s="26"/>
      <c r="EB46" s="27"/>
      <c r="EC46" s="27"/>
      <c r="ED46" s="34"/>
      <c r="EE46" s="34"/>
      <c r="EF46" s="592"/>
      <c r="EG46" s="26"/>
      <c r="EH46" s="27"/>
      <c r="EI46" s="27"/>
      <c r="EJ46" s="34"/>
      <c r="EK46" s="34"/>
      <c r="EL46" s="592"/>
      <c r="EM46" s="26"/>
      <c r="EN46" s="27"/>
      <c r="EO46" s="27"/>
      <c r="EP46" s="34"/>
      <c r="EQ46" s="34"/>
      <c r="ER46" s="30"/>
      <c r="ES46" s="26"/>
      <c r="ET46" s="27"/>
      <c r="EU46" s="27"/>
      <c r="EV46" s="40"/>
      <c r="EW46" s="40"/>
      <c r="EX46" s="30"/>
      <c r="EY46" s="35"/>
      <c r="EZ46" s="34"/>
      <c r="FA46" s="37"/>
      <c r="FB46" s="34"/>
      <c r="FC46" s="34"/>
      <c r="FE46" s="26"/>
      <c r="FF46" s="27"/>
      <c r="FG46" s="28"/>
      <c r="FH46" s="38"/>
      <c r="FI46" s="39"/>
      <c r="FK46" s="27"/>
      <c r="FL46" s="40"/>
      <c r="FM46" s="27"/>
      <c r="FN46" s="40"/>
      <c r="FO46" s="40"/>
      <c r="FQ46" s="26"/>
      <c r="FR46" s="40"/>
      <c r="FS46" s="27"/>
      <c r="FT46" s="40"/>
      <c r="FU46" s="40"/>
      <c r="FW46" s="26"/>
      <c r="FX46" s="27"/>
      <c r="FY46" s="27"/>
      <c r="FZ46" s="40"/>
      <c r="GA46" s="40"/>
      <c r="GC46" s="26"/>
      <c r="GD46" s="27"/>
      <c r="GE46" s="27"/>
      <c r="GF46" s="40"/>
      <c r="GG46" s="40"/>
      <c r="GI46" s="26"/>
      <c r="GJ46" s="27"/>
      <c r="GK46" s="27"/>
      <c r="GL46" s="40"/>
      <c r="GM46" s="40"/>
      <c r="GO46" s="26"/>
      <c r="GP46" s="40"/>
      <c r="GQ46" s="27"/>
      <c r="GR46" s="40"/>
      <c r="GS46" s="40"/>
      <c r="GU46" s="95"/>
      <c r="GV46" s="99"/>
      <c r="GW46" s="100"/>
      <c r="GX46" s="101"/>
      <c r="GY46" s="101"/>
      <c r="GZ46" s="43"/>
      <c r="HA46" s="26"/>
      <c r="HB46" s="39"/>
      <c r="HC46" s="28"/>
      <c r="HD46" s="106"/>
      <c r="HE46" s="106"/>
      <c r="HG46" s="26"/>
      <c r="HH46" s="40"/>
      <c r="HI46" s="27"/>
      <c r="HJ46" s="34"/>
      <c r="HK46" s="34"/>
      <c r="HM46" s="26"/>
      <c r="HN46" s="45"/>
      <c r="HO46" s="46"/>
      <c r="HP46" s="47"/>
      <c r="HQ46" s="47"/>
      <c r="HS46" s="26"/>
      <c r="HT46" s="45"/>
      <c r="HU46" s="46"/>
      <c r="HV46" s="48"/>
      <c r="HW46" s="48"/>
      <c r="HY46" s="45"/>
      <c r="HZ46" s="45"/>
      <c r="IA46" s="45"/>
      <c r="IB46" s="48"/>
      <c r="IC46" s="48"/>
      <c r="IE46" s="45"/>
      <c r="IF46" s="45"/>
      <c r="IG46" s="45"/>
      <c r="IH46" s="48"/>
      <c r="II46" s="48"/>
      <c r="IK46" s="26"/>
      <c r="IL46" s="48"/>
      <c r="IM46" s="45"/>
      <c r="IN46" s="48"/>
      <c r="IO46" s="48"/>
      <c r="IQ46" s="26"/>
      <c r="IR46" s="48"/>
      <c r="IS46" s="45"/>
      <c r="IT46" s="48"/>
      <c r="IU46" s="48"/>
      <c r="IW46" s="26"/>
      <c r="IX46" s="48"/>
      <c r="IY46" s="45"/>
      <c r="IZ46" s="46"/>
      <c r="JA46" s="46"/>
      <c r="JC46" s="26"/>
      <c r="JD46" s="48"/>
      <c r="JE46" s="45"/>
      <c r="JF46" s="46"/>
      <c r="JG46" s="46"/>
      <c r="JI46" s="26"/>
      <c r="JJ46" s="48"/>
      <c r="JK46" s="45"/>
      <c r="JL46" s="46"/>
      <c r="JM46" s="46"/>
      <c r="JO46" s="733"/>
      <c r="JP46" s="734"/>
      <c r="JQ46" s="735"/>
      <c r="JR46" s="736"/>
      <c r="JS46" s="736"/>
      <c r="JU46" s="733">
        <f>200+100</f>
        <v>300</v>
      </c>
      <c r="JV46" s="746">
        <f>2.42+0.98</f>
        <v>3.4</v>
      </c>
      <c r="JW46" s="735">
        <v>5</v>
      </c>
      <c r="JX46" s="736">
        <f t="shared" si="795"/>
        <v>88.235294117647058</v>
      </c>
      <c r="JY46" s="736">
        <f t="shared" si="796"/>
        <v>0.67999999999999994</v>
      </c>
      <c r="KA46" s="733">
        <f>200+200+200+200+200</f>
        <v>1000</v>
      </c>
      <c r="KB46" s="746">
        <f>0.63+0.5+0.52+0.61+0.6</f>
        <v>2.86</v>
      </c>
      <c r="KC46" s="735">
        <v>5</v>
      </c>
      <c r="KD46" s="736">
        <f t="shared" si="797"/>
        <v>349.65034965034965</v>
      </c>
      <c r="KE46" s="736">
        <f t="shared" si="798"/>
        <v>0.57199999999999995</v>
      </c>
      <c r="KG46" s="733">
        <f>250+250+250+200+200</f>
        <v>1150</v>
      </c>
      <c r="KH46" s="746">
        <f>0.58+0.51+0.56+0.71+0.47</f>
        <v>2.83</v>
      </c>
      <c r="KI46" s="735">
        <v>5</v>
      </c>
      <c r="KJ46" s="736">
        <f t="shared" si="799"/>
        <v>406.36042402826854</v>
      </c>
      <c r="KK46" s="736">
        <f t="shared" si="800"/>
        <v>0.56600000000000006</v>
      </c>
      <c r="KM46" s="733"/>
      <c r="KN46" s="746"/>
      <c r="KO46" s="735"/>
      <c r="KP46" s="46" t="e">
        <f t="shared" si="622"/>
        <v>#DIV/0!</v>
      </c>
      <c r="KQ46" s="46" t="e">
        <f>KN46/KO46</f>
        <v>#DIV/0!</v>
      </c>
      <c r="KS46" s="733"/>
      <c r="KT46" s="746"/>
      <c r="KU46" s="735"/>
      <c r="KV46" s="46" t="e">
        <f t="shared" si="370"/>
        <v>#DIV/0!</v>
      </c>
      <c r="KW46" s="46" t="e">
        <f>KT46/KU46</f>
        <v>#DIV/0!</v>
      </c>
      <c r="KY46" s="733"/>
      <c r="KZ46" s="746"/>
      <c r="LA46" s="735"/>
      <c r="LB46" s="46" t="e">
        <f t="shared" si="371"/>
        <v>#DIV/0!</v>
      </c>
      <c r="LC46" s="46" t="e">
        <f>KZ46/LA46</f>
        <v>#DIV/0!</v>
      </c>
      <c r="LE46" s="733"/>
      <c r="LF46" s="746"/>
      <c r="LG46" s="735"/>
      <c r="LH46" s="46" t="e">
        <f t="shared" si="372"/>
        <v>#DIV/0!</v>
      </c>
      <c r="LI46" s="46" t="e">
        <f>LF46/LG46</f>
        <v>#DIV/0!</v>
      </c>
      <c r="LK46" s="733">
        <f>100+200+200+200+200</f>
        <v>900</v>
      </c>
      <c r="LL46" s="798">
        <f>0.39+0.05+0.03+0.04+0.05</f>
        <v>0.56000000000000005</v>
      </c>
      <c r="LM46" s="735">
        <v>5</v>
      </c>
      <c r="LN46" s="46">
        <f t="shared" si="373"/>
        <v>1607.1428571428569</v>
      </c>
      <c r="LO46" s="46">
        <f>LL46/LM46</f>
        <v>0.11200000000000002</v>
      </c>
      <c r="LQ46" s="733">
        <f>200+200+200+200+200</f>
        <v>1000</v>
      </c>
      <c r="LR46" s="746">
        <f>0.38+0.33+0.37+0.37+0.35</f>
        <v>1.8000000000000003</v>
      </c>
      <c r="LS46" s="735">
        <v>5</v>
      </c>
      <c r="LT46" s="46">
        <f t="shared" si="374"/>
        <v>555.55555555555543</v>
      </c>
      <c r="LU46" s="46">
        <f>LR46/LS46</f>
        <v>0.36000000000000004</v>
      </c>
      <c r="LW46" s="733"/>
      <c r="LX46" s="746"/>
      <c r="LY46" s="735"/>
      <c r="LZ46" s="46" t="e">
        <f t="shared" si="375"/>
        <v>#DIV/0!</v>
      </c>
      <c r="MA46" s="46" t="e">
        <f>LX46/LY46</f>
        <v>#DIV/0!</v>
      </c>
      <c r="MC46" s="733">
        <f>150+150+150+150+150</f>
        <v>750</v>
      </c>
      <c r="MD46" s="746">
        <f>0.4+0.36+0.37+0.4+0.41</f>
        <v>1.9399999999999997</v>
      </c>
      <c r="ME46" s="735">
        <v>5</v>
      </c>
      <c r="MF46" s="46">
        <f t="shared" si="376"/>
        <v>386.59793814432993</v>
      </c>
      <c r="MG46" s="46">
        <f>MD46/ME46</f>
        <v>0.38799999999999996</v>
      </c>
      <c r="MI46" s="733">
        <f>100+100+100+100+100</f>
        <v>500</v>
      </c>
      <c r="MJ46" s="746">
        <f>0.46+0.55+0.34+0.37+0.51</f>
        <v>2.2300000000000004</v>
      </c>
      <c r="MK46" s="735">
        <v>5</v>
      </c>
      <c r="ML46" s="46">
        <f t="shared" si="377"/>
        <v>224.21524663677127</v>
      </c>
      <c r="MM46" s="46">
        <f>MJ46/MK46</f>
        <v>0.44600000000000006</v>
      </c>
      <c r="MO46" s="733"/>
      <c r="MP46" s="746"/>
      <c r="MQ46" s="735"/>
      <c r="MR46" s="46" t="e">
        <f t="shared" si="378"/>
        <v>#DIV/0!</v>
      </c>
      <c r="MS46" s="46" t="e">
        <f>MP46/MQ46</f>
        <v>#DIV/0!</v>
      </c>
      <c r="MU46" s="733"/>
      <c r="MV46" s="746"/>
      <c r="MW46" s="735"/>
      <c r="MX46" s="46" t="e">
        <f t="shared" si="379"/>
        <v>#DIV/0!</v>
      </c>
      <c r="MY46" s="46" t="e">
        <f>MV46/MW46</f>
        <v>#DIV/0!</v>
      </c>
      <c r="NA46" s="823">
        <f>200+200+200+200+200</f>
        <v>1000</v>
      </c>
      <c r="NB46" s="823">
        <f>0.42+0.47+0.49+0.48+0.48</f>
        <v>2.34</v>
      </c>
      <c r="NC46" s="823">
        <v>5</v>
      </c>
      <c r="ND46" s="46">
        <f t="shared" si="380"/>
        <v>427.35042735042737</v>
      </c>
      <c r="NE46" s="46">
        <f>NB46/NC46</f>
        <v>0.46799999999999997</v>
      </c>
      <c r="NG46" s="823"/>
      <c r="NH46" s="823"/>
      <c r="NI46" s="823"/>
      <c r="NJ46" s="46" t="e">
        <f t="shared" si="381"/>
        <v>#DIV/0!</v>
      </c>
      <c r="NK46" s="46" t="e">
        <f>NH46/NI46</f>
        <v>#DIV/0!</v>
      </c>
      <c r="NM46" s="823">
        <f>150+150+150+150+150</f>
        <v>750</v>
      </c>
      <c r="NN46" s="823">
        <f>0.42+0.45+0.4+0.41+0.46</f>
        <v>2.14</v>
      </c>
      <c r="NO46" s="823">
        <v>5</v>
      </c>
      <c r="NP46" s="46">
        <f t="shared" si="382"/>
        <v>350.46728971962614</v>
      </c>
      <c r="NQ46" s="46">
        <f>NN46/NO46</f>
        <v>0.42800000000000005</v>
      </c>
      <c r="NS46" s="823">
        <f>200+200+200+200+200</f>
        <v>1000</v>
      </c>
      <c r="NT46" s="823">
        <f>0.44+0.52+0.46+0.47+0.51</f>
        <v>2.4</v>
      </c>
      <c r="NU46" s="823">
        <v>5</v>
      </c>
      <c r="NV46" s="46">
        <f t="shared" si="383"/>
        <v>416.66666666666669</v>
      </c>
      <c r="NW46" s="46">
        <f>NT46/NU46</f>
        <v>0.48</v>
      </c>
      <c r="NY46" s="910">
        <f>200+200+200+200+200</f>
        <v>1000</v>
      </c>
      <c r="NZ46" s="910">
        <f>0.68+0.67+0.75+0.78+0.73</f>
        <v>3.61</v>
      </c>
      <c r="OA46" s="910">
        <v>5</v>
      </c>
      <c r="OB46" s="46">
        <f t="shared" si="384"/>
        <v>277.0083102493075</v>
      </c>
      <c r="OC46" s="46">
        <f>NZ46/OA46</f>
        <v>0.72199999999999998</v>
      </c>
      <c r="OE46" s="823">
        <f>200+200+200+200+200</f>
        <v>1000</v>
      </c>
      <c r="OF46" s="824">
        <f>0.4+0.41+0.39+0.39+0.38</f>
        <v>1.9700000000000002</v>
      </c>
      <c r="OG46" s="823">
        <v>5</v>
      </c>
      <c r="OH46" s="46">
        <f t="shared" si="385"/>
        <v>507.61421319796949</v>
      </c>
      <c r="OI46" s="46">
        <f>OF46/OG46</f>
        <v>0.39400000000000002</v>
      </c>
    </row>
    <row r="47" spans="2:399">
      <c r="B47" s="721" t="s">
        <v>376</v>
      </c>
      <c r="C47" s="720" t="s">
        <v>381</v>
      </c>
      <c r="D47" s="719" t="s">
        <v>11</v>
      </c>
      <c r="E47" s="26"/>
      <c r="F47" s="27"/>
      <c r="G47" s="27"/>
      <c r="H47" s="34"/>
      <c r="I47" s="34"/>
      <c r="J47" s="30"/>
      <c r="K47" s="26"/>
      <c r="L47" s="27"/>
      <c r="M47" s="27"/>
      <c r="N47" s="34"/>
      <c r="O47" s="34"/>
      <c r="P47" s="30"/>
      <c r="Q47" s="26"/>
      <c r="R47" s="27"/>
      <c r="S47" s="27"/>
      <c r="T47" s="34"/>
      <c r="U47" s="34"/>
      <c r="V47" s="30"/>
      <c r="W47" s="26"/>
      <c r="X47" s="27"/>
      <c r="Y47" s="27"/>
      <c r="Z47" s="34"/>
      <c r="AA47" s="34"/>
      <c r="AB47" s="30"/>
      <c r="AC47" s="26"/>
      <c r="AD47" s="27"/>
      <c r="AE47" s="27"/>
      <c r="AF47" s="34"/>
      <c r="AG47" s="34"/>
      <c r="AH47" s="30"/>
      <c r="AI47" s="26"/>
      <c r="AJ47" s="27"/>
      <c r="AK47" s="27"/>
      <c r="AL47" s="34"/>
      <c r="AM47" s="34"/>
      <c r="AN47" s="30"/>
      <c r="AO47" s="26"/>
      <c r="AP47" s="27"/>
      <c r="AQ47" s="27"/>
      <c r="AR47" s="34"/>
      <c r="AS47" s="34"/>
      <c r="AT47" s="30"/>
      <c r="AU47" s="26"/>
      <c r="AV47" s="27"/>
      <c r="AW47" s="27"/>
      <c r="AX47" s="34"/>
      <c r="AY47" s="34"/>
      <c r="AZ47" s="592"/>
      <c r="BA47" s="26"/>
      <c r="BB47" s="27"/>
      <c r="BC47" s="27"/>
      <c r="BD47" s="34"/>
      <c r="BE47" s="34"/>
      <c r="BF47" s="592"/>
      <c r="BG47" s="26"/>
      <c r="BH47" s="27"/>
      <c r="BI47" s="27"/>
      <c r="BJ47" s="34"/>
      <c r="BK47" s="34"/>
      <c r="BL47" s="592"/>
      <c r="BM47" s="26"/>
      <c r="BN47" s="27"/>
      <c r="BO47" s="27"/>
      <c r="BP47" s="34"/>
      <c r="BQ47" s="34"/>
      <c r="BR47" s="30"/>
      <c r="BS47" s="26"/>
      <c r="BT47" s="27"/>
      <c r="BU47" s="27"/>
      <c r="BV47" s="34"/>
      <c r="BW47" s="34"/>
      <c r="BX47" s="592"/>
      <c r="BY47" s="26"/>
      <c r="BZ47" s="27"/>
      <c r="CA47" s="27"/>
      <c r="CB47" s="34"/>
      <c r="CC47" s="34"/>
      <c r="CD47" s="592"/>
      <c r="CE47" s="26"/>
      <c r="CF47" s="27"/>
      <c r="CG47" s="27"/>
      <c r="CH47" s="34"/>
      <c r="CI47" s="34"/>
      <c r="CJ47" s="592"/>
      <c r="CK47" s="26"/>
      <c r="CL47" s="27"/>
      <c r="CM47" s="27"/>
      <c r="CN47" s="34"/>
      <c r="CO47" s="34"/>
      <c r="CP47" s="592"/>
      <c r="CQ47" s="26"/>
      <c r="CR47" s="27"/>
      <c r="CS47" s="27"/>
      <c r="CT47" s="34"/>
      <c r="CU47" s="34"/>
      <c r="CV47" s="592"/>
      <c r="CW47" s="26"/>
      <c r="CX47" s="27"/>
      <c r="CY47" s="27"/>
      <c r="CZ47" s="34"/>
      <c r="DA47" s="34"/>
      <c r="DB47" s="592"/>
      <c r="DC47" s="26"/>
      <c r="DD47" s="27"/>
      <c r="DE47" s="27"/>
      <c r="DF47" s="34"/>
      <c r="DG47" s="34"/>
      <c r="DH47" s="592"/>
      <c r="DI47" s="26"/>
      <c r="DJ47" s="27"/>
      <c r="DK47" s="27"/>
      <c r="DL47" s="34"/>
      <c r="DM47" s="34"/>
      <c r="DN47" s="592"/>
      <c r="DO47" s="26"/>
      <c r="DP47" s="27"/>
      <c r="DQ47" s="27"/>
      <c r="DR47" s="34"/>
      <c r="DS47" s="34"/>
      <c r="DT47" s="592"/>
      <c r="DU47" s="26"/>
      <c r="DV47" s="27"/>
      <c r="DW47" s="27"/>
      <c r="DX47" s="34"/>
      <c r="DY47" s="34"/>
      <c r="DZ47" s="592"/>
      <c r="EA47" s="26"/>
      <c r="EB47" s="27"/>
      <c r="EC47" s="27"/>
      <c r="ED47" s="34"/>
      <c r="EE47" s="34"/>
      <c r="EF47" s="592"/>
      <c r="EG47" s="26"/>
      <c r="EH47" s="27"/>
      <c r="EI47" s="27"/>
      <c r="EJ47" s="34"/>
      <c r="EK47" s="34"/>
      <c r="EL47" s="592"/>
      <c r="EM47" s="26"/>
      <c r="EN47" s="27"/>
      <c r="EO47" s="27"/>
      <c r="EP47" s="34"/>
      <c r="EQ47" s="34"/>
      <c r="ER47" s="30"/>
      <c r="ES47" s="26"/>
      <c r="ET47" s="27"/>
      <c r="EU47" s="27"/>
      <c r="EV47" s="40"/>
      <c r="EW47" s="40"/>
      <c r="EX47" s="30"/>
      <c r="EY47" s="35"/>
      <c r="EZ47" s="34"/>
      <c r="FA47" s="37"/>
      <c r="FB47" s="34"/>
      <c r="FC47" s="34"/>
      <c r="FE47" s="26"/>
      <c r="FF47" s="27"/>
      <c r="FG47" s="28"/>
      <c r="FH47" s="38"/>
      <c r="FI47" s="39"/>
      <c r="FK47" s="27"/>
      <c r="FL47" s="40"/>
      <c r="FM47" s="27"/>
      <c r="FN47" s="40"/>
      <c r="FO47" s="40"/>
      <c r="FQ47" s="26"/>
      <c r="FR47" s="40"/>
      <c r="FS47" s="27"/>
      <c r="FT47" s="40"/>
      <c r="FU47" s="40"/>
      <c r="FW47" s="26"/>
      <c r="FX47" s="27"/>
      <c r="FY47" s="27"/>
      <c r="FZ47" s="40"/>
      <c r="GA47" s="40"/>
      <c r="GC47" s="26"/>
      <c r="GD47" s="27"/>
      <c r="GE47" s="27"/>
      <c r="GF47" s="40"/>
      <c r="GG47" s="40"/>
      <c r="GI47" s="26"/>
      <c r="GJ47" s="27"/>
      <c r="GK47" s="27"/>
      <c r="GL47" s="40"/>
      <c r="GM47" s="40"/>
      <c r="GO47" s="26"/>
      <c r="GP47" s="40"/>
      <c r="GQ47" s="27"/>
      <c r="GR47" s="40"/>
      <c r="GS47" s="40"/>
      <c r="GU47" s="95"/>
      <c r="GV47" s="99"/>
      <c r="GW47" s="100"/>
      <c r="GX47" s="101"/>
      <c r="GY47" s="101"/>
      <c r="GZ47" s="43"/>
      <c r="HA47" s="26"/>
      <c r="HB47" s="39"/>
      <c r="HC47" s="28"/>
      <c r="HD47" s="106"/>
      <c r="HE47" s="106"/>
      <c r="HG47" s="26"/>
      <c r="HH47" s="40"/>
      <c r="HI47" s="27"/>
      <c r="HJ47" s="34"/>
      <c r="HK47" s="34"/>
      <c r="HM47" s="26"/>
      <c r="HN47" s="45"/>
      <c r="HO47" s="46"/>
      <c r="HP47" s="47"/>
      <c r="HQ47" s="47"/>
      <c r="HS47" s="26"/>
      <c r="HT47" s="45"/>
      <c r="HU47" s="46"/>
      <c r="HV47" s="48"/>
      <c r="HW47" s="48"/>
      <c r="HY47" s="45"/>
      <c r="HZ47" s="45"/>
      <c r="IA47" s="45"/>
      <c r="IB47" s="48"/>
      <c r="IC47" s="48"/>
      <c r="IE47" s="45"/>
      <c r="IF47" s="45"/>
      <c r="IG47" s="45"/>
      <c r="IH47" s="48"/>
      <c r="II47" s="48"/>
      <c r="IK47" s="26"/>
      <c r="IL47" s="48"/>
      <c r="IM47" s="45"/>
      <c r="IN47" s="48"/>
      <c r="IO47" s="48"/>
      <c r="IQ47" s="26"/>
      <c r="IR47" s="48"/>
      <c r="IS47" s="45"/>
      <c r="IT47" s="48"/>
      <c r="IU47" s="48"/>
      <c r="IW47" s="26"/>
      <c r="IX47" s="48"/>
      <c r="IY47" s="45"/>
      <c r="IZ47" s="46"/>
      <c r="JA47" s="46"/>
      <c r="JC47" s="26"/>
      <c r="JD47" s="48"/>
      <c r="JE47" s="45"/>
      <c r="JF47" s="46"/>
      <c r="JG47" s="46"/>
      <c r="JI47" s="26"/>
      <c r="JJ47" s="48"/>
      <c r="JK47" s="45"/>
      <c r="JL47" s="46"/>
      <c r="JM47" s="46"/>
      <c r="JO47" s="733">
        <f>100+100+100+100+100</f>
        <v>500</v>
      </c>
      <c r="JP47" s="734">
        <f>0.15+0.16+0.17+0.15+0.14</f>
        <v>0.77</v>
      </c>
      <c r="JQ47" s="735">
        <v>5</v>
      </c>
      <c r="JR47" s="736">
        <f t="shared" si="793"/>
        <v>649.35064935064929</v>
      </c>
      <c r="JS47" s="736">
        <f t="shared" si="794"/>
        <v>0.154</v>
      </c>
      <c r="JU47" s="733">
        <f>100+100+100+100+100</f>
        <v>500</v>
      </c>
      <c r="JV47" s="734">
        <f>0.15+0.16+0.17+0.15+0.14</f>
        <v>0.77</v>
      </c>
      <c r="JW47" s="735">
        <v>5</v>
      </c>
      <c r="JX47" s="736">
        <f t="shared" ref="JX47" si="801">JU47/JV47</f>
        <v>649.35064935064929</v>
      </c>
      <c r="JY47" s="736">
        <f t="shared" ref="JY47" si="802">JV47/JW47</f>
        <v>0.154</v>
      </c>
      <c r="KA47" s="733">
        <f>100+100+100+100+100</f>
        <v>500</v>
      </c>
      <c r="KB47" s="734">
        <f>2.1+1.98+0.91+0.98+0.96</f>
        <v>6.9300000000000006</v>
      </c>
      <c r="KC47" s="735">
        <v>5</v>
      </c>
      <c r="KD47" s="736">
        <f t="shared" si="797"/>
        <v>72.150072150072148</v>
      </c>
      <c r="KE47" s="736">
        <f t="shared" si="798"/>
        <v>1.3860000000000001</v>
      </c>
      <c r="KG47" s="733">
        <f>200+200+200+200</f>
        <v>800</v>
      </c>
      <c r="KH47" s="734">
        <f>0.47+0.39+0.53+0.55</f>
        <v>1.9400000000000002</v>
      </c>
      <c r="KI47" s="735">
        <v>4</v>
      </c>
      <c r="KJ47" s="736">
        <f t="shared" si="799"/>
        <v>412.37113402061851</v>
      </c>
      <c r="KK47" s="736">
        <f t="shared" si="800"/>
        <v>0.48500000000000004</v>
      </c>
      <c r="KM47" s="733"/>
      <c r="KN47" s="734"/>
      <c r="KO47" s="735"/>
      <c r="KP47" s="46" t="e">
        <f t="shared" si="622"/>
        <v>#DIV/0!</v>
      </c>
      <c r="KQ47" s="46" t="e">
        <f t="shared" ref="KQ47:KQ51" si="803">KN47/KO47</f>
        <v>#DIV/0!</v>
      </c>
      <c r="KS47" s="733"/>
      <c r="KT47" s="734"/>
      <c r="KU47" s="735"/>
      <c r="KV47" s="46" t="e">
        <f t="shared" si="370"/>
        <v>#DIV/0!</v>
      </c>
      <c r="KW47" s="46" t="e">
        <f t="shared" ref="KW47" si="804">KT47/KU47</f>
        <v>#DIV/0!</v>
      </c>
      <c r="KY47" s="733"/>
      <c r="KZ47" s="734"/>
      <c r="LA47" s="735"/>
      <c r="LB47" s="46" t="e">
        <f t="shared" si="371"/>
        <v>#DIV/0!</v>
      </c>
      <c r="LC47" s="46" t="e">
        <f t="shared" ref="LC47" si="805">KZ47/LA47</f>
        <v>#DIV/0!</v>
      </c>
      <c r="LE47" s="733"/>
      <c r="LF47" s="734"/>
      <c r="LG47" s="735"/>
      <c r="LH47" s="46" t="e">
        <f t="shared" si="372"/>
        <v>#DIV/0!</v>
      </c>
      <c r="LI47" s="46" t="e">
        <f t="shared" ref="LI47" si="806">LF47/LG47</f>
        <v>#DIV/0!</v>
      </c>
      <c r="LK47" s="733"/>
      <c r="LL47" s="734"/>
      <c r="LM47" s="735"/>
      <c r="LN47" s="46" t="e">
        <f t="shared" si="373"/>
        <v>#DIV/0!</v>
      </c>
      <c r="LO47" s="46" t="e">
        <f t="shared" ref="LO47" si="807">LL47/LM47</f>
        <v>#DIV/0!</v>
      </c>
      <c r="LQ47" s="733"/>
      <c r="LR47" s="734"/>
      <c r="LS47" s="735"/>
      <c r="LT47" s="46" t="e">
        <f t="shared" si="374"/>
        <v>#DIV/0!</v>
      </c>
      <c r="LU47" s="46" t="e">
        <f t="shared" ref="LU47" si="808">LR47/LS47</f>
        <v>#DIV/0!</v>
      </c>
      <c r="LW47" s="733"/>
      <c r="LX47" s="734"/>
      <c r="LY47" s="735"/>
      <c r="LZ47" s="46" t="e">
        <f t="shared" si="375"/>
        <v>#DIV/0!</v>
      </c>
      <c r="MA47" s="46" t="e">
        <f t="shared" ref="MA47" si="809">LX47/LY47</f>
        <v>#DIV/0!</v>
      </c>
      <c r="MC47" s="733">
        <v>100</v>
      </c>
      <c r="MD47" s="734">
        <v>0.1</v>
      </c>
      <c r="ME47" s="735">
        <v>1</v>
      </c>
      <c r="MF47" s="46">
        <f t="shared" si="376"/>
        <v>1000</v>
      </c>
      <c r="MG47" s="46">
        <f t="shared" ref="MG47" si="810">MD47/ME47</f>
        <v>0.1</v>
      </c>
      <c r="MI47" s="733">
        <f>200+200+200+100+100</f>
        <v>800</v>
      </c>
      <c r="MJ47" s="734">
        <f>0.35+0.38+0.38+0.41+0.59</f>
        <v>2.11</v>
      </c>
      <c r="MK47" s="735">
        <v>5</v>
      </c>
      <c r="ML47" s="46">
        <f t="shared" si="377"/>
        <v>379.14691943127963</v>
      </c>
      <c r="MM47" s="46">
        <f t="shared" ref="MM47" si="811">MJ47/MK47</f>
        <v>0.42199999999999999</v>
      </c>
      <c r="MO47" s="733"/>
      <c r="MP47" s="734"/>
      <c r="MQ47" s="735"/>
      <c r="MR47" s="46" t="e">
        <f t="shared" si="378"/>
        <v>#DIV/0!</v>
      </c>
      <c r="MS47" s="46" t="e">
        <f t="shared" ref="MS47" si="812">MP47/MQ47</f>
        <v>#DIV/0!</v>
      </c>
      <c r="MU47" s="733"/>
      <c r="MV47" s="734"/>
      <c r="MW47" s="735"/>
      <c r="MX47" s="46" t="e">
        <f t="shared" si="379"/>
        <v>#DIV/0!</v>
      </c>
      <c r="MY47" s="46" t="e">
        <f t="shared" ref="MY47" si="813">MV47/MW47</f>
        <v>#DIV/0!</v>
      </c>
      <c r="NA47" s="823">
        <f>200+200+200</f>
        <v>600</v>
      </c>
      <c r="NB47" s="823">
        <f>0.52+0.49+0.54</f>
        <v>1.55</v>
      </c>
      <c r="NC47" s="823">
        <v>3</v>
      </c>
      <c r="ND47" s="46">
        <f t="shared" si="380"/>
        <v>387.09677419354836</v>
      </c>
      <c r="NE47" s="46">
        <f t="shared" ref="NE47" si="814">NB47/NC47</f>
        <v>0.51666666666666672</v>
      </c>
      <c r="NG47" s="823"/>
      <c r="NH47" s="823"/>
      <c r="NI47" s="823"/>
      <c r="NJ47" s="46" t="e">
        <f t="shared" si="381"/>
        <v>#DIV/0!</v>
      </c>
      <c r="NK47" s="46" t="e">
        <f t="shared" ref="NK47" si="815">NH47/NI47</f>
        <v>#DIV/0!</v>
      </c>
      <c r="NM47" s="823">
        <f>200+200+200+200+200</f>
        <v>1000</v>
      </c>
      <c r="NN47" s="823">
        <f>0.37+0.43+0.35+0.34+0.36</f>
        <v>1.85</v>
      </c>
      <c r="NO47" s="823">
        <v>5</v>
      </c>
      <c r="NP47" s="46">
        <f t="shared" si="382"/>
        <v>540.54054054054052</v>
      </c>
      <c r="NQ47" s="46">
        <f t="shared" ref="NQ47" si="816">NN47/NO47</f>
        <v>0.37</v>
      </c>
      <c r="NS47" s="823">
        <f>100+100+100+100+100</f>
        <v>500</v>
      </c>
      <c r="NT47" s="823">
        <f>0.22+0.39+0.49+0.47+0.45</f>
        <v>2.02</v>
      </c>
      <c r="NU47" s="823">
        <v>5</v>
      </c>
      <c r="NV47" s="46">
        <f t="shared" si="383"/>
        <v>247.52475247524751</v>
      </c>
      <c r="NW47" s="46">
        <f t="shared" ref="NW47" si="817">NT47/NU47</f>
        <v>0.40400000000000003</v>
      </c>
      <c r="NY47" s="910">
        <f>200+200+100+100+100</f>
        <v>700</v>
      </c>
      <c r="NZ47" s="910">
        <f>0.42+0.34+0.26+0.22+0.2</f>
        <v>1.44</v>
      </c>
      <c r="OA47" s="910">
        <v>5</v>
      </c>
      <c r="OB47" s="46">
        <f t="shared" si="384"/>
        <v>486.11111111111114</v>
      </c>
      <c r="OC47" s="46">
        <f t="shared" ref="OC47" si="818">NZ47/OA47</f>
        <v>0.28799999999999998</v>
      </c>
      <c r="OE47" s="823">
        <f>200+200+200+200+200</f>
        <v>1000</v>
      </c>
      <c r="OF47" s="823">
        <f>0.53+0.51+0.5+0.49+0.53</f>
        <v>2.5600000000000005</v>
      </c>
      <c r="OG47" s="823">
        <v>5</v>
      </c>
      <c r="OH47" s="46">
        <f t="shared" si="385"/>
        <v>390.62499999999994</v>
      </c>
      <c r="OI47" s="46">
        <f t="shared" ref="OI47" si="819">OF47/OG47</f>
        <v>0.51200000000000012</v>
      </c>
    </row>
    <row r="48" spans="2:399">
      <c r="B48" s="721" t="s">
        <v>376</v>
      </c>
      <c r="C48" s="718" t="s">
        <v>382</v>
      </c>
      <c r="D48" s="719" t="s">
        <v>36</v>
      </c>
      <c r="E48" s="26"/>
      <c r="F48" s="27"/>
      <c r="G48" s="27"/>
      <c r="H48" s="34"/>
      <c r="I48" s="34"/>
      <c r="J48" s="30"/>
      <c r="K48" s="26"/>
      <c r="L48" s="27"/>
      <c r="M48" s="27"/>
      <c r="N48" s="34"/>
      <c r="O48" s="34"/>
      <c r="P48" s="30"/>
      <c r="Q48" s="26"/>
      <c r="R48" s="27"/>
      <c r="S48" s="27"/>
      <c r="T48" s="34"/>
      <c r="U48" s="34"/>
      <c r="V48" s="30"/>
      <c r="W48" s="26"/>
      <c r="X48" s="27"/>
      <c r="Y48" s="27"/>
      <c r="Z48" s="34"/>
      <c r="AA48" s="34"/>
      <c r="AB48" s="30"/>
      <c r="AC48" s="26"/>
      <c r="AD48" s="27"/>
      <c r="AE48" s="27"/>
      <c r="AF48" s="34"/>
      <c r="AG48" s="34"/>
      <c r="AH48" s="30"/>
      <c r="AI48" s="26"/>
      <c r="AJ48" s="27"/>
      <c r="AK48" s="27"/>
      <c r="AL48" s="34"/>
      <c r="AM48" s="34"/>
      <c r="AN48" s="30"/>
      <c r="AO48" s="26"/>
      <c r="AP48" s="27"/>
      <c r="AQ48" s="27"/>
      <c r="AR48" s="34"/>
      <c r="AS48" s="34"/>
      <c r="AT48" s="30"/>
      <c r="AU48" s="26"/>
      <c r="AV48" s="27"/>
      <c r="AW48" s="27"/>
      <c r="AX48" s="34"/>
      <c r="AY48" s="34"/>
      <c r="AZ48" s="592"/>
      <c r="BA48" s="26"/>
      <c r="BB48" s="27"/>
      <c r="BC48" s="27"/>
      <c r="BD48" s="34"/>
      <c r="BE48" s="34"/>
      <c r="BF48" s="592"/>
      <c r="BG48" s="26"/>
      <c r="BH48" s="27"/>
      <c r="BI48" s="27"/>
      <c r="BJ48" s="34"/>
      <c r="BK48" s="34"/>
      <c r="BL48" s="592"/>
      <c r="BM48" s="26"/>
      <c r="BN48" s="27"/>
      <c r="BO48" s="27"/>
      <c r="BP48" s="34"/>
      <c r="BQ48" s="34"/>
      <c r="BR48" s="30"/>
      <c r="BS48" s="26"/>
      <c r="BT48" s="27"/>
      <c r="BU48" s="27"/>
      <c r="BV48" s="34"/>
      <c r="BW48" s="34"/>
      <c r="BX48" s="592"/>
      <c r="BY48" s="26"/>
      <c r="BZ48" s="27"/>
      <c r="CA48" s="27"/>
      <c r="CB48" s="34"/>
      <c r="CC48" s="34"/>
      <c r="CD48" s="592"/>
      <c r="CE48" s="26"/>
      <c r="CF48" s="27"/>
      <c r="CG48" s="27"/>
      <c r="CH48" s="34"/>
      <c r="CI48" s="34"/>
      <c r="CJ48" s="592"/>
      <c r="CK48" s="26"/>
      <c r="CL48" s="27"/>
      <c r="CM48" s="27"/>
      <c r="CN48" s="34"/>
      <c r="CO48" s="34"/>
      <c r="CP48" s="592"/>
      <c r="CQ48" s="26"/>
      <c r="CR48" s="27"/>
      <c r="CS48" s="27"/>
      <c r="CT48" s="34"/>
      <c r="CU48" s="34"/>
      <c r="CV48" s="592"/>
      <c r="CW48" s="26"/>
      <c r="CX48" s="27"/>
      <c r="CY48" s="27"/>
      <c r="CZ48" s="34"/>
      <c r="DA48" s="34"/>
      <c r="DB48" s="592"/>
      <c r="DC48" s="26"/>
      <c r="DD48" s="27"/>
      <c r="DE48" s="27"/>
      <c r="DF48" s="34"/>
      <c r="DG48" s="34"/>
      <c r="DH48" s="592"/>
      <c r="DI48" s="26"/>
      <c r="DJ48" s="27"/>
      <c r="DK48" s="27"/>
      <c r="DL48" s="34"/>
      <c r="DM48" s="34"/>
      <c r="DN48" s="592"/>
      <c r="DO48" s="26"/>
      <c r="DP48" s="27"/>
      <c r="DQ48" s="27"/>
      <c r="DR48" s="34"/>
      <c r="DS48" s="34"/>
      <c r="DT48" s="592"/>
      <c r="DU48" s="26"/>
      <c r="DV48" s="27"/>
      <c r="DW48" s="27"/>
      <c r="DX48" s="34"/>
      <c r="DY48" s="34"/>
      <c r="DZ48" s="592"/>
      <c r="EA48" s="26"/>
      <c r="EB48" s="27"/>
      <c r="EC48" s="27"/>
      <c r="ED48" s="34"/>
      <c r="EE48" s="34"/>
      <c r="EF48" s="592"/>
      <c r="EG48" s="26"/>
      <c r="EH48" s="27"/>
      <c r="EI48" s="27"/>
      <c r="EJ48" s="34"/>
      <c r="EK48" s="34"/>
      <c r="EL48" s="592"/>
      <c r="EM48" s="26"/>
      <c r="EN48" s="27"/>
      <c r="EO48" s="27"/>
      <c r="EP48" s="34"/>
      <c r="EQ48" s="34"/>
      <c r="ER48" s="30"/>
      <c r="ES48" s="26"/>
      <c r="ET48" s="27"/>
      <c r="EU48" s="27"/>
      <c r="EV48" s="40"/>
      <c r="EW48" s="40"/>
      <c r="EX48" s="30"/>
      <c r="EY48" s="35"/>
      <c r="EZ48" s="34"/>
      <c r="FA48" s="37"/>
      <c r="FB48" s="34"/>
      <c r="FC48" s="34"/>
      <c r="FE48" s="26"/>
      <c r="FF48" s="27"/>
      <c r="FG48" s="28"/>
      <c r="FH48" s="38"/>
      <c r="FI48" s="39"/>
      <c r="FK48" s="27"/>
      <c r="FL48" s="40"/>
      <c r="FM48" s="27"/>
      <c r="FN48" s="40"/>
      <c r="FO48" s="40"/>
      <c r="FQ48" s="26"/>
      <c r="FR48" s="40"/>
      <c r="FS48" s="27"/>
      <c r="FT48" s="40"/>
      <c r="FU48" s="40"/>
      <c r="FW48" s="26"/>
      <c r="FX48" s="27"/>
      <c r="FY48" s="27"/>
      <c r="FZ48" s="40"/>
      <c r="GA48" s="40"/>
      <c r="GC48" s="26"/>
      <c r="GD48" s="27"/>
      <c r="GE48" s="27"/>
      <c r="GF48" s="40"/>
      <c r="GG48" s="40"/>
      <c r="GI48" s="26"/>
      <c r="GJ48" s="27"/>
      <c r="GK48" s="27"/>
      <c r="GL48" s="40"/>
      <c r="GM48" s="40"/>
      <c r="GO48" s="26"/>
      <c r="GP48" s="40"/>
      <c r="GQ48" s="27"/>
      <c r="GR48" s="40"/>
      <c r="GS48" s="40"/>
      <c r="GU48" s="95"/>
      <c r="GV48" s="99"/>
      <c r="GW48" s="100"/>
      <c r="GX48" s="101"/>
      <c r="GY48" s="101"/>
      <c r="GZ48" s="43"/>
      <c r="HA48" s="26"/>
      <c r="HB48" s="39"/>
      <c r="HC48" s="28"/>
      <c r="HD48" s="106"/>
      <c r="HE48" s="106"/>
      <c r="HG48" s="26"/>
      <c r="HH48" s="40"/>
      <c r="HI48" s="27"/>
      <c r="HJ48" s="34"/>
      <c r="HK48" s="34"/>
      <c r="HM48" s="26"/>
      <c r="HN48" s="45"/>
      <c r="HO48" s="46"/>
      <c r="HP48" s="47"/>
      <c r="HQ48" s="47"/>
      <c r="HS48" s="26"/>
      <c r="HT48" s="45"/>
      <c r="HU48" s="46"/>
      <c r="HV48" s="48"/>
      <c r="HW48" s="48"/>
      <c r="HY48" s="45"/>
      <c r="HZ48" s="45"/>
      <c r="IA48" s="45"/>
      <c r="IB48" s="48"/>
      <c r="IC48" s="48"/>
      <c r="IE48" s="45"/>
      <c r="IF48" s="45"/>
      <c r="IG48" s="45"/>
      <c r="IH48" s="48"/>
      <c r="II48" s="48"/>
      <c r="IK48" s="26"/>
      <c r="IL48" s="48"/>
      <c r="IM48" s="45"/>
      <c r="IN48" s="48"/>
      <c r="IO48" s="48"/>
      <c r="IQ48" s="26"/>
      <c r="IR48" s="48"/>
      <c r="IS48" s="45"/>
      <c r="IT48" s="48"/>
      <c r="IU48" s="48"/>
      <c r="IW48" s="26"/>
      <c r="IX48" s="48"/>
      <c r="IY48" s="45"/>
      <c r="IZ48" s="46"/>
      <c r="JA48" s="46"/>
      <c r="JC48" s="26"/>
      <c r="JD48" s="48"/>
      <c r="JE48" s="45"/>
      <c r="JF48" s="46"/>
      <c r="JG48" s="46"/>
      <c r="JI48" s="26"/>
      <c r="JJ48" s="48"/>
      <c r="JK48" s="45"/>
      <c r="JL48" s="46"/>
      <c r="JM48" s="46"/>
      <c r="JO48" s="733"/>
      <c r="JP48" s="734"/>
      <c r="JQ48" s="735"/>
      <c r="JR48" s="736"/>
      <c r="JS48" s="736"/>
      <c r="JU48" s="733"/>
      <c r="JV48" s="734"/>
      <c r="JW48" s="735"/>
      <c r="JX48" s="736"/>
      <c r="JY48" s="736"/>
      <c r="KA48" s="733">
        <f>200+200+200+200+200</f>
        <v>1000</v>
      </c>
      <c r="KB48" s="734">
        <f>1.61+1.77+1.68+1.72+1.7</f>
        <v>8.4799999999999986</v>
      </c>
      <c r="KC48" s="735">
        <v>5</v>
      </c>
      <c r="KD48" s="736">
        <f t="shared" si="797"/>
        <v>117.92452830188681</v>
      </c>
      <c r="KE48" s="736">
        <f t="shared" si="798"/>
        <v>1.6959999999999997</v>
      </c>
      <c r="KG48" s="733">
        <f>200+200+200+200+200</f>
        <v>1000</v>
      </c>
      <c r="KH48" s="734">
        <f>1.55+1.65+1.47+1.42+1.61</f>
        <v>7.7</v>
      </c>
      <c r="KI48" s="735">
        <v>5</v>
      </c>
      <c r="KJ48" s="736">
        <f t="shared" si="799"/>
        <v>129.87012987012986</v>
      </c>
      <c r="KK48" s="736">
        <f t="shared" si="800"/>
        <v>1.54</v>
      </c>
      <c r="KM48" s="733">
        <f>150+150</f>
        <v>300</v>
      </c>
      <c r="KN48" s="734">
        <f>1.55+1.52</f>
        <v>3.0700000000000003</v>
      </c>
      <c r="KO48" s="735">
        <v>2</v>
      </c>
      <c r="KP48" s="46">
        <f t="shared" si="622"/>
        <v>97.719869706840385</v>
      </c>
      <c r="KQ48" s="46">
        <f>KN48/KO48</f>
        <v>1.5350000000000001</v>
      </c>
      <c r="KS48" s="733"/>
      <c r="KT48" s="734"/>
      <c r="KU48" s="735"/>
      <c r="KV48" s="46" t="e">
        <f t="shared" si="370"/>
        <v>#DIV/0!</v>
      </c>
      <c r="KW48" s="46" t="e">
        <f>KT48/KU48</f>
        <v>#DIV/0!</v>
      </c>
      <c r="KY48" s="733"/>
      <c r="KZ48" s="734"/>
      <c r="LA48" s="735"/>
      <c r="LB48" s="46" t="e">
        <f t="shared" si="371"/>
        <v>#DIV/0!</v>
      </c>
      <c r="LC48" s="46" t="e">
        <f>KZ48/LA48</f>
        <v>#DIV/0!</v>
      </c>
      <c r="LE48" s="733"/>
      <c r="LF48" s="734"/>
      <c r="LG48" s="735"/>
      <c r="LH48" s="46" t="e">
        <f t="shared" si="372"/>
        <v>#DIV/0!</v>
      </c>
      <c r="LI48" s="46" t="e">
        <f>LF48/LG48</f>
        <v>#DIV/0!</v>
      </c>
      <c r="LK48" s="733"/>
      <c r="LL48" s="734"/>
      <c r="LM48" s="735"/>
      <c r="LN48" s="46" t="e">
        <f t="shared" si="373"/>
        <v>#DIV/0!</v>
      </c>
      <c r="LO48" s="46" t="e">
        <f>LL48/LM48</f>
        <v>#DIV/0!</v>
      </c>
      <c r="LQ48" s="733">
        <f>200+200+200+200+200</f>
        <v>1000</v>
      </c>
      <c r="LR48" s="734">
        <f>1.15+1.35+1.03+1.34+1.23</f>
        <v>6.1</v>
      </c>
      <c r="LS48" s="735">
        <v>5</v>
      </c>
      <c r="LT48" s="46">
        <f t="shared" si="374"/>
        <v>163.9344262295082</v>
      </c>
      <c r="LU48" s="46">
        <f>LR48/LS48</f>
        <v>1.22</v>
      </c>
      <c r="LW48" s="733"/>
      <c r="LX48" s="734"/>
      <c r="LY48" s="735"/>
      <c r="LZ48" s="46" t="e">
        <f t="shared" si="375"/>
        <v>#DIV/0!</v>
      </c>
      <c r="MA48" s="46" t="e">
        <f>LX48/LY48</f>
        <v>#DIV/0!</v>
      </c>
      <c r="MC48" s="733"/>
      <c r="MD48" s="734"/>
      <c r="ME48" s="735"/>
      <c r="MF48" s="46" t="e">
        <f t="shared" si="376"/>
        <v>#DIV/0!</v>
      </c>
      <c r="MG48" s="46" t="e">
        <f>MD48/ME48</f>
        <v>#DIV/0!</v>
      </c>
      <c r="MI48" s="733"/>
      <c r="MJ48" s="734"/>
      <c r="MK48" s="735"/>
      <c r="ML48" s="46" t="e">
        <f t="shared" si="377"/>
        <v>#DIV/0!</v>
      </c>
      <c r="MM48" s="46" t="e">
        <f>MJ48/MK48</f>
        <v>#DIV/0!</v>
      </c>
      <c r="MO48" s="733"/>
      <c r="MP48" s="734"/>
      <c r="MQ48" s="735"/>
      <c r="MR48" s="46" t="e">
        <f t="shared" si="378"/>
        <v>#DIV/0!</v>
      </c>
      <c r="MS48" s="46" t="e">
        <f>MP48/MQ48</f>
        <v>#DIV/0!</v>
      </c>
      <c r="MU48" s="733"/>
      <c r="MV48" s="734"/>
      <c r="MW48" s="735"/>
      <c r="MX48" s="46" t="e">
        <f t="shared" si="379"/>
        <v>#DIV/0!</v>
      </c>
      <c r="MY48" s="46" t="e">
        <f>MV48/MW48</f>
        <v>#DIV/0!</v>
      </c>
      <c r="NA48" s="823">
        <f>200+200+200+200</f>
        <v>800</v>
      </c>
      <c r="NB48" s="823">
        <f>0.08+1.4+1.48+1.39</f>
        <v>4.3499999999999996</v>
      </c>
      <c r="NC48" s="823">
        <v>4</v>
      </c>
      <c r="ND48" s="46">
        <f t="shared" si="380"/>
        <v>183.90804597701151</v>
      </c>
      <c r="NE48" s="46">
        <f>NB48/NC48</f>
        <v>1.0874999999999999</v>
      </c>
      <c r="NG48" s="823">
        <f>200+200+200+200+200</f>
        <v>1000</v>
      </c>
      <c r="NH48" s="823">
        <f>0.95+0.67+0.7+0.83+0.89</f>
        <v>4.04</v>
      </c>
      <c r="NI48" s="823">
        <v>5</v>
      </c>
      <c r="NJ48" s="46">
        <f t="shared" si="381"/>
        <v>247.52475247524751</v>
      </c>
      <c r="NK48" s="46">
        <f>NH48/NI48</f>
        <v>0.80800000000000005</v>
      </c>
      <c r="NM48" s="823"/>
      <c r="NN48" s="823"/>
      <c r="NO48" s="823"/>
      <c r="NP48" s="46" t="e">
        <f t="shared" si="382"/>
        <v>#DIV/0!</v>
      </c>
      <c r="NQ48" s="46" t="e">
        <f>NN48/NO48</f>
        <v>#DIV/0!</v>
      </c>
      <c r="NS48" s="823"/>
      <c r="NT48" s="823"/>
      <c r="NU48" s="823"/>
      <c r="NV48" s="46" t="e">
        <f t="shared" si="383"/>
        <v>#DIV/0!</v>
      </c>
      <c r="NW48" s="46" t="e">
        <f>NT48/NU48</f>
        <v>#DIV/0!</v>
      </c>
      <c r="NY48" s="910">
        <f>200+200+200+200+200</f>
        <v>1000</v>
      </c>
      <c r="NZ48" s="910">
        <f>1.39+1.31+1.05+1.29+1.19</f>
        <v>6.23</v>
      </c>
      <c r="OA48" s="910">
        <v>5</v>
      </c>
      <c r="OB48" s="46">
        <f t="shared" si="384"/>
        <v>160.51364365971105</v>
      </c>
      <c r="OC48" s="46">
        <f>NZ48/OA48</f>
        <v>1.246</v>
      </c>
      <c r="OE48" s="823">
        <f>200+200+200+200+200</f>
        <v>1000</v>
      </c>
      <c r="OF48" s="823">
        <f>1.04+0.93+0.83+0.94+0.98</f>
        <v>4.7200000000000006</v>
      </c>
      <c r="OG48" s="823">
        <v>5</v>
      </c>
      <c r="OH48" s="46">
        <f t="shared" si="385"/>
        <v>211.86440677966098</v>
      </c>
      <c r="OI48" s="46">
        <f>OF48/OG48</f>
        <v>0.94400000000000017</v>
      </c>
    </row>
    <row r="49" spans="1:399" ht="15" thickBot="1">
      <c r="B49" s="721" t="s">
        <v>376</v>
      </c>
      <c r="C49" s="720" t="s">
        <v>383</v>
      </c>
      <c r="D49" s="719" t="s">
        <v>14</v>
      </c>
      <c r="E49" s="26"/>
      <c r="F49" s="27"/>
      <c r="G49" s="27"/>
      <c r="H49" s="34"/>
      <c r="I49" s="34"/>
      <c r="J49" s="30"/>
      <c r="K49" s="26"/>
      <c r="L49" s="27"/>
      <c r="M49" s="27"/>
      <c r="N49" s="34"/>
      <c r="O49" s="34"/>
      <c r="P49" s="30"/>
      <c r="Q49" s="26"/>
      <c r="R49" s="27"/>
      <c r="S49" s="27"/>
      <c r="T49" s="34"/>
      <c r="U49" s="34"/>
      <c r="V49" s="30"/>
      <c r="W49" s="26"/>
      <c r="X49" s="27"/>
      <c r="Y49" s="27"/>
      <c r="Z49" s="34"/>
      <c r="AA49" s="34"/>
      <c r="AB49" s="30"/>
      <c r="AC49" s="26"/>
      <c r="AD49" s="27"/>
      <c r="AE49" s="27"/>
      <c r="AF49" s="34"/>
      <c r="AG49" s="34"/>
      <c r="AH49" s="30"/>
      <c r="AI49" s="26"/>
      <c r="AJ49" s="27"/>
      <c r="AK49" s="27"/>
      <c r="AL49" s="34"/>
      <c r="AM49" s="34"/>
      <c r="AN49" s="30"/>
      <c r="AO49" s="26"/>
      <c r="AP49" s="27"/>
      <c r="AQ49" s="27"/>
      <c r="AR49" s="34"/>
      <c r="AS49" s="34"/>
      <c r="AT49" s="30"/>
      <c r="AU49" s="26"/>
      <c r="AV49" s="27"/>
      <c r="AW49" s="27"/>
      <c r="AX49" s="34"/>
      <c r="AY49" s="34"/>
      <c r="AZ49" s="592"/>
      <c r="BA49" s="26"/>
      <c r="BB49" s="27"/>
      <c r="BC49" s="27"/>
      <c r="BD49" s="34"/>
      <c r="BE49" s="34"/>
      <c r="BF49" s="592"/>
      <c r="BG49" s="26"/>
      <c r="BH49" s="27"/>
      <c r="BI49" s="27"/>
      <c r="BJ49" s="34"/>
      <c r="BK49" s="34"/>
      <c r="BL49" s="592"/>
      <c r="BM49" s="26"/>
      <c r="BN49" s="27"/>
      <c r="BO49" s="27"/>
      <c r="BP49" s="34"/>
      <c r="BQ49" s="34"/>
      <c r="BR49" s="30"/>
      <c r="BS49" s="26"/>
      <c r="BT49" s="27"/>
      <c r="BU49" s="27"/>
      <c r="BV49" s="34"/>
      <c r="BW49" s="34"/>
      <c r="BX49" s="592"/>
      <c r="BY49" s="26"/>
      <c r="BZ49" s="27"/>
      <c r="CA49" s="27"/>
      <c r="CB49" s="34"/>
      <c r="CC49" s="34"/>
      <c r="CD49" s="592"/>
      <c r="CE49" s="26"/>
      <c r="CF49" s="27"/>
      <c r="CG49" s="27"/>
      <c r="CH49" s="34"/>
      <c r="CI49" s="34"/>
      <c r="CJ49" s="592"/>
      <c r="CK49" s="26"/>
      <c r="CL49" s="27"/>
      <c r="CM49" s="27"/>
      <c r="CN49" s="34"/>
      <c r="CO49" s="34"/>
      <c r="CP49" s="592"/>
      <c r="CQ49" s="26"/>
      <c r="CR49" s="27"/>
      <c r="CS49" s="27"/>
      <c r="CT49" s="34"/>
      <c r="CU49" s="34"/>
      <c r="CV49" s="592"/>
      <c r="CW49" s="26"/>
      <c r="CX49" s="27"/>
      <c r="CY49" s="27"/>
      <c r="CZ49" s="34"/>
      <c r="DA49" s="34"/>
      <c r="DB49" s="592"/>
      <c r="DC49" s="26"/>
      <c r="DD49" s="27"/>
      <c r="DE49" s="27"/>
      <c r="DF49" s="34"/>
      <c r="DG49" s="34"/>
      <c r="DH49" s="592"/>
      <c r="DI49" s="26"/>
      <c r="DJ49" s="27"/>
      <c r="DK49" s="27"/>
      <c r="DL49" s="34"/>
      <c r="DM49" s="34"/>
      <c r="DN49" s="592"/>
      <c r="DO49" s="26"/>
      <c r="DP49" s="27"/>
      <c r="DQ49" s="27"/>
      <c r="DR49" s="34"/>
      <c r="DS49" s="34"/>
      <c r="DT49" s="592"/>
      <c r="DU49" s="26"/>
      <c r="DV49" s="27"/>
      <c r="DW49" s="27"/>
      <c r="DX49" s="34"/>
      <c r="DY49" s="34"/>
      <c r="DZ49" s="592"/>
      <c r="EA49" s="26"/>
      <c r="EB49" s="27"/>
      <c r="EC49" s="27"/>
      <c r="ED49" s="34"/>
      <c r="EE49" s="34"/>
      <c r="EF49" s="592"/>
      <c r="EG49" s="26"/>
      <c r="EH49" s="27"/>
      <c r="EI49" s="27"/>
      <c r="EJ49" s="34"/>
      <c r="EK49" s="34"/>
      <c r="EL49" s="592"/>
      <c r="EM49" s="26"/>
      <c r="EN49" s="27"/>
      <c r="EO49" s="27"/>
      <c r="EP49" s="34"/>
      <c r="EQ49" s="34"/>
      <c r="ER49" s="30"/>
      <c r="ES49" s="26"/>
      <c r="ET49" s="27"/>
      <c r="EU49" s="27"/>
      <c r="EV49" s="40"/>
      <c r="EW49" s="40"/>
      <c r="EX49" s="30"/>
      <c r="EY49" s="35"/>
      <c r="EZ49" s="34"/>
      <c r="FA49" s="37"/>
      <c r="FB49" s="34"/>
      <c r="FC49" s="34"/>
      <c r="FE49" s="26"/>
      <c r="FF49" s="27"/>
      <c r="FG49" s="28"/>
      <c r="FH49" s="38"/>
      <c r="FI49" s="39"/>
      <c r="FK49" s="27"/>
      <c r="FL49" s="40"/>
      <c r="FM49" s="27"/>
      <c r="FN49" s="40"/>
      <c r="FO49" s="40"/>
      <c r="FQ49" s="26"/>
      <c r="FR49" s="40"/>
      <c r="FS49" s="27"/>
      <c r="FT49" s="40"/>
      <c r="FU49" s="40"/>
      <c r="FW49" s="26"/>
      <c r="FX49" s="27"/>
      <c r="FY49" s="27"/>
      <c r="FZ49" s="40"/>
      <c r="GA49" s="40"/>
      <c r="GC49" s="26"/>
      <c r="GD49" s="27"/>
      <c r="GE49" s="27"/>
      <c r="GF49" s="40"/>
      <c r="GG49" s="40"/>
      <c r="GI49" s="26"/>
      <c r="GJ49" s="27"/>
      <c r="GK49" s="27"/>
      <c r="GL49" s="40"/>
      <c r="GM49" s="40"/>
      <c r="GO49" s="26"/>
      <c r="GP49" s="40"/>
      <c r="GQ49" s="27"/>
      <c r="GR49" s="40"/>
      <c r="GS49" s="40"/>
      <c r="GU49" s="95"/>
      <c r="GV49" s="99"/>
      <c r="GW49" s="100"/>
      <c r="GX49" s="101"/>
      <c r="GY49" s="101"/>
      <c r="GZ49" s="43"/>
      <c r="HA49" s="26"/>
      <c r="HB49" s="39"/>
      <c r="HC49" s="28"/>
      <c r="HD49" s="106"/>
      <c r="HE49" s="106"/>
      <c r="HG49" s="26"/>
      <c r="HH49" s="40"/>
      <c r="HI49" s="27"/>
      <c r="HJ49" s="34"/>
      <c r="HK49" s="34"/>
      <c r="HM49" s="26"/>
      <c r="HN49" s="45"/>
      <c r="HO49" s="46"/>
      <c r="HP49" s="47"/>
      <c r="HQ49" s="47"/>
      <c r="HS49" s="26"/>
      <c r="HT49" s="45"/>
      <c r="HU49" s="46"/>
      <c r="HV49" s="48"/>
      <c r="HW49" s="48"/>
      <c r="HY49" s="45"/>
      <c r="HZ49" s="45"/>
      <c r="IA49" s="45"/>
      <c r="IB49" s="48"/>
      <c r="IC49" s="48"/>
      <c r="IE49" s="45"/>
      <c r="IF49" s="45"/>
      <c r="IG49" s="45"/>
      <c r="IH49" s="48"/>
      <c r="II49" s="48"/>
      <c r="IK49" s="26"/>
      <c r="IL49" s="48"/>
      <c r="IM49" s="45"/>
      <c r="IN49" s="48"/>
      <c r="IO49" s="48"/>
      <c r="IQ49" s="26"/>
      <c r="IR49" s="48"/>
      <c r="IS49" s="45"/>
      <c r="IT49" s="48"/>
      <c r="IU49" s="48"/>
      <c r="IW49" s="26"/>
      <c r="IX49" s="48"/>
      <c r="IY49" s="45"/>
      <c r="IZ49" s="46"/>
      <c r="JA49" s="46"/>
      <c r="JC49" s="26"/>
      <c r="JD49" s="48"/>
      <c r="JE49" s="45"/>
      <c r="JF49" s="46"/>
      <c r="JG49" s="46"/>
      <c r="JI49" s="26"/>
      <c r="JJ49" s="48"/>
      <c r="JK49" s="45"/>
      <c r="JL49" s="46"/>
      <c r="JM49" s="46"/>
      <c r="JO49" s="733">
        <f>300+300+300+300+100</f>
        <v>1300</v>
      </c>
      <c r="JP49" s="734">
        <f>0.57+0.58+0.56+0.61+0.32</f>
        <v>2.6399999999999997</v>
      </c>
      <c r="JQ49" s="735">
        <v>5</v>
      </c>
      <c r="JR49" s="736">
        <f t="shared" si="793"/>
        <v>492.42424242424249</v>
      </c>
      <c r="JS49" s="736">
        <f t="shared" si="794"/>
        <v>0.52799999999999991</v>
      </c>
      <c r="JU49" s="733">
        <f>50+50+50+100+100</f>
        <v>350</v>
      </c>
      <c r="JV49" s="734">
        <f>0.27+0.25+0.25+0.4+0.38</f>
        <v>1.5499999999999998</v>
      </c>
      <c r="JW49" s="735">
        <v>5</v>
      </c>
      <c r="JX49" s="736">
        <f t="shared" ref="JX49:JX50" si="820">JU49/JV49</f>
        <v>225.80645161290326</v>
      </c>
      <c r="JY49" s="736">
        <f t="shared" ref="JY49" si="821">JV49/JW49</f>
        <v>0.30999999999999994</v>
      </c>
      <c r="KA49" s="733"/>
      <c r="KB49" s="734"/>
      <c r="KC49" s="735"/>
      <c r="KD49" s="736"/>
      <c r="KE49" s="736"/>
      <c r="KG49" s="733"/>
      <c r="KH49" s="734"/>
      <c r="KI49" s="735"/>
      <c r="KJ49" s="736"/>
      <c r="KK49" s="736"/>
      <c r="KM49" s="733"/>
      <c r="KN49" s="734"/>
      <c r="KO49" s="735"/>
      <c r="KP49" s="46" t="e">
        <f t="shared" si="622"/>
        <v>#DIV/0!</v>
      </c>
      <c r="KQ49" s="46" t="e">
        <f>KN49/KO49</f>
        <v>#DIV/0!</v>
      </c>
      <c r="KS49" s="733"/>
      <c r="KT49" s="734"/>
      <c r="KU49" s="735"/>
      <c r="KV49" s="46" t="e">
        <f t="shared" si="370"/>
        <v>#DIV/0!</v>
      </c>
      <c r="KW49" s="46" t="e">
        <f>KT49/KU49</f>
        <v>#DIV/0!</v>
      </c>
      <c r="KY49" s="733"/>
      <c r="KZ49" s="734"/>
      <c r="LA49" s="735"/>
      <c r="LB49" s="46" t="e">
        <f t="shared" si="371"/>
        <v>#DIV/0!</v>
      </c>
      <c r="LC49" s="46" t="e">
        <f>KZ49/LA49</f>
        <v>#DIV/0!</v>
      </c>
      <c r="LE49" s="733"/>
      <c r="LF49" s="734"/>
      <c r="LG49" s="735"/>
      <c r="LH49" s="46" t="e">
        <f t="shared" si="372"/>
        <v>#DIV/0!</v>
      </c>
      <c r="LI49" s="46" t="e">
        <f>LF49/LG49</f>
        <v>#DIV/0!</v>
      </c>
      <c r="LK49" s="733"/>
      <c r="LL49" s="734"/>
      <c r="LM49" s="735"/>
      <c r="LN49" s="46" t="e">
        <f t="shared" si="373"/>
        <v>#DIV/0!</v>
      </c>
      <c r="LO49" s="46" t="e">
        <f>LL49/LM49</f>
        <v>#DIV/0!</v>
      </c>
      <c r="LQ49" s="733">
        <f>500+500+500</f>
        <v>1500</v>
      </c>
      <c r="LR49" s="734">
        <f>0.58+0.67+0.47</f>
        <v>1.72</v>
      </c>
      <c r="LS49" s="735">
        <v>3</v>
      </c>
      <c r="LT49" s="46">
        <f t="shared" si="374"/>
        <v>872.09302325581393</v>
      </c>
      <c r="LU49" s="46">
        <f>LR49/LS49</f>
        <v>0.57333333333333336</v>
      </c>
      <c r="LW49" s="733">
        <f>200+200+200+300+300</f>
        <v>1200</v>
      </c>
      <c r="LX49" s="734">
        <f>0.13+0.21+0.28+0.35+0.39</f>
        <v>1.3599999999999999</v>
      </c>
      <c r="LY49" s="735">
        <v>5</v>
      </c>
      <c r="LZ49" s="46">
        <f t="shared" si="375"/>
        <v>882.35294117647072</v>
      </c>
      <c r="MA49" s="46">
        <f>LX49/LY49</f>
        <v>0.27199999999999996</v>
      </c>
      <c r="MC49" s="733">
        <f>200+100</f>
        <v>300</v>
      </c>
      <c r="MD49" s="734">
        <f>0.3+0.12</f>
        <v>0.42</v>
      </c>
      <c r="ME49" s="735">
        <v>2</v>
      </c>
      <c r="MF49" s="46">
        <f t="shared" si="376"/>
        <v>714.28571428571433</v>
      </c>
      <c r="MG49" s="46">
        <f>MD49/ME49</f>
        <v>0.21</v>
      </c>
      <c r="MI49" s="733">
        <f>500+500+500+500+500</f>
        <v>2500</v>
      </c>
      <c r="MJ49" s="734">
        <f>0.82+1+0.74+1.02+1.02</f>
        <v>4.5999999999999996</v>
      </c>
      <c r="MK49" s="735">
        <v>5</v>
      </c>
      <c r="ML49" s="46">
        <f t="shared" si="377"/>
        <v>543.47826086956525</v>
      </c>
      <c r="MM49" s="46">
        <f>MJ49/MK49</f>
        <v>0.91999999999999993</v>
      </c>
      <c r="MO49" s="733"/>
      <c r="MP49" s="734"/>
      <c r="MQ49" s="735"/>
      <c r="MR49" s="46" t="e">
        <f t="shared" si="378"/>
        <v>#DIV/0!</v>
      </c>
      <c r="MS49" s="46" t="e">
        <f>MP49/MQ49</f>
        <v>#DIV/0!</v>
      </c>
      <c r="MU49" s="733"/>
      <c r="MV49" s="734"/>
      <c r="MW49" s="735"/>
      <c r="MX49" s="46" t="e">
        <f t="shared" si="379"/>
        <v>#DIV/0!</v>
      </c>
      <c r="MY49" s="46" t="e">
        <f>MV49/MW49</f>
        <v>#DIV/0!</v>
      </c>
      <c r="NA49" s="823"/>
      <c r="NB49" s="823"/>
      <c r="NC49" s="823"/>
      <c r="ND49" s="46" t="e">
        <f t="shared" si="380"/>
        <v>#DIV/0!</v>
      </c>
      <c r="NE49" s="46" t="e">
        <f>NB49/NC49</f>
        <v>#DIV/0!</v>
      </c>
      <c r="NG49" s="823"/>
      <c r="NH49" s="823"/>
      <c r="NI49" s="823"/>
      <c r="NJ49" s="46" t="e">
        <f t="shared" si="381"/>
        <v>#DIV/0!</v>
      </c>
      <c r="NK49" s="46" t="e">
        <f>NH49/NI49</f>
        <v>#DIV/0!</v>
      </c>
      <c r="NM49" s="823"/>
      <c r="NN49" s="823"/>
      <c r="NO49" s="823"/>
      <c r="NP49" s="46" t="e">
        <f t="shared" si="382"/>
        <v>#DIV/0!</v>
      </c>
      <c r="NQ49" s="46" t="e">
        <f>NN49/NO49</f>
        <v>#DIV/0!</v>
      </c>
      <c r="NS49" s="823"/>
      <c r="NT49" s="823"/>
      <c r="NU49" s="823"/>
      <c r="NV49" s="46" t="e">
        <f t="shared" si="383"/>
        <v>#DIV/0!</v>
      </c>
      <c r="NW49" s="46" t="e">
        <f>NT49/NU49</f>
        <v>#DIV/0!</v>
      </c>
      <c r="NY49" s="910"/>
      <c r="NZ49" s="910"/>
      <c r="OA49" s="910"/>
      <c r="OB49" s="46" t="e">
        <f t="shared" si="384"/>
        <v>#DIV/0!</v>
      </c>
      <c r="OC49" s="46" t="e">
        <f>NZ49/OA49</f>
        <v>#DIV/0!</v>
      </c>
      <c r="OE49" s="823"/>
      <c r="OF49" s="823"/>
      <c r="OG49" s="823"/>
      <c r="OH49" s="46" t="e">
        <f t="shared" si="385"/>
        <v>#DIV/0!</v>
      </c>
      <c r="OI49" s="46" t="e">
        <f>OF49/OG49</f>
        <v>#DIV/0!</v>
      </c>
    </row>
    <row r="50" spans="1:399">
      <c r="B50" s="23" t="s">
        <v>47</v>
      </c>
      <c r="C50" s="24" t="s">
        <v>48</v>
      </c>
      <c r="D50" s="10" t="s">
        <v>36</v>
      </c>
      <c r="E50" s="29">
        <f>200+200+200+200+200</f>
        <v>1000</v>
      </c>
      <c r="F50" s="32">
        <f>3.2+2.58+2.89+2.35+2.85</f>
        <v>13.87</v>
      </c>
      <c r="G50" s="33">
        <v>5</v>
      </c>
      <c r="H50" s="34">
        <f t="shared" ref="H50:H51" si="822">E50/F50</f>
        <v>72.098053352559489</v>
      </c>
      <c r="I50" s="34">
        <f t="shared" ref="I50:I51" si="823">F50/G50</f>
        <v>2.774</v>
      </c>
      <c r="J50" s="30"/>
      <c r="K50" s="29">
        <f>400+400+400+300+300</f>
        <v>1800</v>
      </c>
      <c r="L50" s="32">
        <f>4.8+4.43+4.79+3.2+3.88</f>
        <v>21.099999999999998</v>
      </c>
      <c r="M50" s="33">
        <v>5</v>
      </c>
      <c r="N50" s="34">
        <f t="shared" si="759"/>
        <v>85.308056872037923</v>
      </c>
      <c r="O50" s="34">
        <f t="shared" si="760"/>
        <v>4.22</v>
      </c>
      <c r="P50" s="30"/>
      <c r="Q50" s="29">
        <v>950</v>
      </c>
      <c r="R50" s="32">
        <v>29</v>
      </c>
      <c r="S50" s="33">
        <v>5</v>
      </c>
      <c r="T50" s="34">
        <f t="shared" si="761"/>
        <v>32.758620689655174</v>
      </c>
      <c r="U50" s="34">
        <f t="shared" si="762"/>
        <v>5.8</v>
      </c>
      <c r="V50" s="30"/>
      <c r="W50" s="29">
        <f>200+200+200+200+200</f>
        <v>1000</v>
      </c>
      <c r="X50" s="32">
        <f>3.83+3.37+3.27+3.04+3.62</f>
        <v>17.130000000000003</v>
      </c>
      <c r="Y50" s="33">
        <v>5</v>
      </c>
      <c r="Z50" s="34">
        <f t="shared" ref="Z50:Z51" si="824">W50/X50</f>
        <v>58.377116170461171</v>
      </c>
      <c r="AA50" s="34">
        <f t="shared" ref="AA50:AA51" si="825">X50/Y50</f>
        <v>3.4260000000000006</v>
      </c>
      <c r="AB50" s="30"/>
      <c r="AC50" s="29">
        <f>300+300+300+250+250</f>
        <v>1400</v>
      </c>
      <c r="AD50" s="32">
        <f>6.7+6.6+6.6+6.7+6.5</f>
        <v>33.099999999999994</v>
      </c>
      <c r="AE50" s="33">
        <v>5</v>
      </c>
      <c r="AF50" s="34">
        <f t="shared" ref="AF50:AF51" si="826">AC50/AD50</f>
        <v>42.296072507552879</v>
      </c>
      <c r="AG50" s="34">
        <f t="shared" ref="AG50:AG51" si="827">AD50/AE50</f>
        <v>6.6199999999999992</v>
      </c>
      <c r="AH50" s="30"/>
      <c r="AI50" s="29"/>
      <c r="AJ50" s="32"/>
      <c r="AK50" s="33"/>
      <c r="AL50" s="34"/>
      <c r="AM50" s="34"/>
      <c r="AN50" s="30"/>
      <c r="AO50" s="29">
        <f>300+300+300+300+300</f>
        <v>1500</v>
      </c>
      <c r="AP50" s="32">
        <f>5.64+5.59+3.82+5.58+5</f>
        <v>25.630000000000003</v>
      </c>
      <c r="AQ50" s="33">
        <v>5</v>
      </c>
      <c r="AR50" s="34">
        <f t="shared" ref="AR50:AR51" si="828">AO50/AP50</f>
        <v>58.525165821303155</v>
      </c>
      <c r="AS50" s="34">
        <f t="shared" si="765"/>
        <v>5.1260000000000003</v>
      </c>
      <c r="AT50" s="30"/>
      <c r="AU50" s="29">
        <f>300+300+300+300+300</f>
        <v>1500</v>
      </c>
      <c r="AV50" s="32">
        <f>2.64+3.63+4.3+3.87+4.02</f>
        <v>18.46</v>
      </c>
      <c r="AW50" s="33">
        <v>5</v>
      </c>
      <c r="AX50" s="34">
        <f t="shared" ref="AX50:AX51" si="829">AU50/AV50</f>
        <v>81.256771397616461</v>
      </c>
      <c r="AY50" s="34">
        <f t="shared" si="498"/>
        <v>3.6920000000000002</v>
      </c>
      <c r="AZ50" s="592"/>
      <c r="BA50" s="29">
        <f>300+300+300+300+300</f>
        <v>1500</v>
      </c>
      <c r="BB50" s="32">
        <f>3.91+3.78+3.43+3.76+3.94</f>
        <v>18.82</v>
      </c>
      <c r="BC50" s="33">
        <v>5</v>
      </c>
      <c r="BD50" s="34">
        <f t="shared" ref="BD50:BD51" si="830">BA50/BB50</f>
        <v>79.702444208289052</v>
      </c>
      <c r="BE50" s="34">
        <f t="shared" si="570"/>
        <v>3.7640000000000002</v>
      </c>
      <c r="BF50" s="592"/>
      <c r="BG50" s="29"/>
      <c r="BH50" s="32"/>
      <c r="BI50" s="33"/>
      <c r="BJ50" s="34"/>
      <c r="BK50" s="34"/>
      <c r="BL50" s="592"/>
      <c r="BM50" s="29"/>
      <c r="BN50" s="32"/>
      <c r="BO50" s="33"/>
      <c r="BP50" s="34"/>
      <c r="BQ50" s="34"/>
      <c r="BR50" s="30"/>
      <c r="BS50" s="29">
        <f>300+300+500+500+300</f>
        <v>1900</v>
      </c>
      <c r="BT50" s="32">
        <f>8.1+7.52+14.7+13.55+7.84</f>
        <v>51.710000000000008</v>
      </c>
      <c r="BU50" s="33">
        <v>5</v>
      </c>
      <c r="BV50" s="34">
        <f t="shared" ref="BV50:BV51" si="831">BS50/BT50</f>
        <v>36.743376522916257</v>
      </c>
      <c r="BW50" s="34">
        <f t="shared" si="524"/>
        <v>10.342000000000002</v>
      </c>
      <c r="BX50" s="592"/>
      <c r="BY50" s="29">
        <f>300+300+300+400+400</f>
        <v>1700</v>
      </c>
      <c r="BZ50" s="32">
        <f>2.64+3.63+4.3+5.2+4.9</f>
        <v>20.67</v>
      </c>
      <c r="CA50" s="33">
        <v>5</v>
      </c>
      <c r="CB50" s="34">
        <f t="shared" ref="CB50:CB51" si="832">BY50/BZ50</f>
        <v>82.244799225931288</v>
      </c>
      <c r="CC50" s="34">
        <f t="shared" si="748"/>
        <v>4.1340000000000003</v>
      </c>
      <c r="CD50" s="592"/>
      <c r="CE50" s="29">
        <v>650</v>
      </c>
      <c r="CF50" s="32">
        <v>4</v>
      </c>
      <c r="CG50" s="33">
        <v>5</v>
      </c>
      <c r="CH50" s="34">
        <f t="shared" ref="CH50" si="833">CE50/CF50</f>
        <v>162.5</v>
      </c>
      <c r="CI50" s="34">
        <f t="shared" ref="CI50" si="834">CF50/CG50</f>
        <v>0.8</v>
      </c>
      <c r="CJ50" s="592"/>
      <c r="CK50" s="29">
        <f>200+200+200+200+200</f>
        <v>1000</v>
      </c>
      <c r="CL50" s="32">
        <f>5.67+5.59+6.05+5.55+5.23</f>
        <v>28.09</v>
      </c>
      <c r="CM50" s="33">
        <v>5</v>
      </c>
      <c r="CN50" s="34">
        <f t="shared" ref="CN50:CN51" si="835">CK50/CL50</f>
        <v>35.599857600569599</v>
      </c>
      <c r="CO50" s="34">
        <f t="shared" ref="CO50:CO51" si="836">CL50/CM50</f>
        <v>5.6180000000000003</v>
      </c>
      <c r="CP50" s="592"/>
      <c r="CQ50" s="29"/>
      <c r="CR50" s="32"/>
      <c r="CS50" s="33"/>
      <c r="CT50" s="34"/>
      <c r="CU50" s="34"/>
      <c r="CV50" s="592"/>
      <c r="CW50" s="29">
        <f>300+300+300+400+400</f>
        <v>1700</v>
      </c>
      <c r="CX50" s="32">
        <f>2.64+3.63+4.3+5.2+4.9</f>
        <v>20.67</v>
      </c>
      <c r="CY50" s="33">
        <v>5</v>
      </c>
      <c r="CZ50" s="34">
        <f t="shared" ref="CZ50:CZ51" si="837">CW50/CX50</f>
        <v>82.244799225931288</v>
      </c>
      <c r="DA50" s="34">
        <f t="shared" ref="DA50:DA51" si="838">CX50/CY50</f>
        <v>4.1340000000000003</v>
      </c>
      <c r="DB50" s="592"/>
      <c r="DC50" s="29">
        <f>200+200+200+200+200</f>
        <v>1000</v>
      </c>
      <c r="DD50" s="32">
        <f>11.04+11.06+10.22+12.56+13.16</f>
        <v>58.040000000000006</v>
      </c>
      <c r="DE50" s="33">
        <v>5</v>
      </c>
      <c r="DF50" s="34">
        <f t="shared" ref="DF50:DF51" si="839">DC50/DD50</f>
        <v>17.229496898690556</v>
      </c>
      <c r="DG50" s="34">
        <f t="shared" ref="DG50:DG51" si="840">DD50/DE50</f>
        <v>11.608000000000001</v>
      </c>
      <c r="DH50" s="592"/>
      <c r="DI50" s="29">
        <v>1400</v>
      </c>
      <c r="DJ50" s="32">
        <v>31.04</v>
      </c>
      <c r="DK50" s="33">
        <v>5</v>
      </c>
      <c r="DL50" s="34">
        <f t="shared" ref="DL50:DL51" si="841">DI50/DJ50</f>
        <v>45.103092783505154</v>
      </c>
      <c r="DM50" s="34">
        <f t="shared" ref="DM50:DM51" si="842">DJ50/DK50</f>
        <v>6.2080000000000002</v>
      </c>
      <c r="DN50" s="592"/>
      <c r="DO50" s="29">
        <v>1400</v>
      </c>
      <c r="DP50" s="32">
        <v>26.97</v>
      </c>
      <c r="DQ50" s="33">
        <v>5</v>
      </c>
      <c r="DR50" s="34">
        <f t="shared" ref="DR50:DR51" si="843">DO50/DP50</f>
        <v>51.909529106414539</v>
      </c>
      <c r="DS50" s="34">
        <f t="shared" ref="DS50:DS51" si="844">DP50/DQ50</f>
        <v>5.3940000000000001</v>
      </c>
      <c r="DT50" s="592"/>
      <c r="DU50" s="29"/>
      <c r="DV50" s="32"/>
      <c r="DW50" s="33"/>
      <c r="DX50" s="34"/>
      <c r="DY50" s="34"/>
      <c r="DZ50" s="592"/>
      <c r="EA50" s="29"/>
      <c r="EB50" s="32"/>
      <c r="EC50" s="33"/>
      <c r="ED50" s="34"/>
      <c r="EE50" s="34"/>
      <c r="EF50" s="592"/>
      <c r="EG50" s="29"/>
      <c r="EH50" s="32"/>
      <c r="EI50" s="33"/>
      <c r="EJ50" s="34"/>
      <c r="EK50" s="34"/>
      <c r="EL50" s="592"/>
      <c r="EM50" s="29"/>
      <c r="EN50" s="32"/>
      <c r="EO50" s="33"/>
      <c r="EP50" s="34"/>
      <c r="EQ50" s="34"/>
      <c r="ER50" s="30"/>
      <c r="ES50" s="29">
        <f>300+300+300+400+400</f>
        <v>1700</v>
      </c>
      <c r="ET50" s="32">
        <f>2.64+3.63+4.3+5.2+4.9</f>
        <v>20.67</v>
      </c>
      <c r="EU50" s="33">
        <v>5</v>
      </c>
      <c r="EV50" s="34">
        <f t="shared" si="18"/>
        <v>82.244799225931288</v>
      </c>
      <c r="EW50" s="34">
        <f t="shared" si="18"/>
        <v>4.1340000000000003</v>
      </c>
      <c r="EX50" s="30"/>
      <c r="EY50" s="35">
        <v>1000</v>
      </c>
      <c r="EZ50" s="34">
        <v>24.86</v>
      </c>
      <c r="FA50" s="37">
        <v>5</v>
      </c>
      <c r="FB50" s="34">
        <f t="shared" si="118"/>
        <v>40.225261464199519</v>
      </c>
      <c r="FC50" s="34">
        <f t="shared" si="118"/>
        <v>4.9719999999999995</v>
      </c>
      <c r="FE50" s="26">
        <v>950</v>
      </c>
      <c r="FF50" s="27">
        <v>29</v>
      </c>
      <c r="FG50" s="28">
        <v>5</v>
      </c>
      <c r="FH50" s="38">
        <f t="shared" si="96"/>
        <v>32.758620689655174</v>
      </c>
      <c r="FI50" s="39">
        <f t="shared" si="96"/>
        <v>5.8</v>
      </c>
      <c r="FK50" s="27">
        <f>300+300+300+300+300</f>
        <v>1500</v>
      </c>
      <c r="FL50" s="40">
        <f>13.58+15.14+17.9+14.52+4.58</f>
        <v>65.72</v>
      </c>
      <c r="FM50" s="27">
        <f>5</f>
        <v>5</v>
      </c>
      <c r="FN50" s="40">
        <f t="shared" si="97"/>
        <v>22.82410225197809</v>
      </c>
      <c r="FO50" s="40">
        <f t="shared" si="97"/>
        <v>13.144</v>
      </c>
      <c r="FQ50" s="26">
        <f>200+200+200+200+200</f>
        <v>1000</v>
      </c>
      <c r="FR50" s="40">
        <f>4.36+5.95+5.2+5.39+5</f>
        <v>25.900000000000002</v>
      </c>
      <c r="FS50" s="27">
        <f>5</f>
        <v>5</v>
      </c>
      <c r="FT50" s="40">
        <f t="shared" si="19"/>
        <v>38.610038610038607</v>
      </c>
      <c r="FU50" s="40">
        <f t="shared" si="19"/>
        <v>5.1800000000000006</v>
      </c>
      <c r="FW50" s="26">
        <f>200+200+200+150+150</f>
        <v>900</v>
      </c>
      <c r="FX50" s="27">
        <f>4.58+4.08+3.95+3.95+3.95</f>
        <v>20.509999999999998</v>
      </c>
      <c r="FY50" s="27">
        <f>5</f>
        <v>5</v>
      </c>
      <c r="FZ50" s="40">
        <f t="shared" si="20"/>
        <v>43.8810336421258</v>
      </c>
      <c r="GA50" s="40">
        <f t="shared" si="20"/>
        <v>4.1019999999999994</v>
      </c>
      <c r="GC50" s="26">
        <f>250+250+250+250+250</f>
        <v>1250</v>
      </c>
      <c r="GD50" s="27">
        <f>5.78+6.13+4.89+5.54+5.78</f>
        <v>28.12</v>
      </c>
      <c r="GE50" s="27">
        <f>5</f>
        <v>5</v>
      </c>
      <c r="GF50" s="40">
        <f t="shared" si="21"/>
        <v>44.452347083926028</v>
      </c>
      <c r="GG50" s="40">
        <f>GD50/GE50</f>
        <v>5.6240000000000006</v>
      </c>
      <c r="GI50" s="26">
        <f>300+300+300+300+300</f>
        <v>1500</v>
      </c>
      <c r="GJ50" s="27">
        <f>7.12+7.05+6.04+7.24+6.6</f>
        <v>34.050000000000004</v>
      </c>
      <c r="GK50" s="27">
        <f>5</f>
        <v>5</v>
      </c>
      <c r="GL50" s="40">
        <f t="shared" si="22"/>
        <v>44.052863436123346</v>
      </c>
      <c r="GM50" s="40">
        <f>GJ50/GK50</f>
        <v>6.8100000000000005</v>
      </c>
      <c r="GO50" s="26">
        <f>250+250+250+250+250</f>
        <v>1250</v>
      </c>
      <c r="GP50" s="27">
        <f>5.3+5.3+5.3+5.3+5.3</f>
        <v>26.5</v>
      </c>
      <c r="GQ50" s="27">
        <f>5</f>
        <v>5</v>
      </c>
      <c r="GR50" s="40">
        <f t="shared" si="98"/>
        <v>47.169811320754718</v>
      </c>
      <c r="GS50" s="40">
        <f>GP50/GQ50</f>
        <v>5.3</v>
      </c>
      <c r="GU50" s="95">
        <f>350+350+350+350+350</f>
        <v>1750</v>
      </c>
      <c r="GV50" s="99">
        <f>4.01+3.78+3.92+3.93+4.24</f>
        <v>19.88</v>
      </c>
      <c r="GW50" s="100">
        <v>5</v>
      </c>
      <c r="GX50" s="101">
        <f t="shared" si="23"/>
        <v>88.028169014084511</v>
      </c>
      <c r="GY50" s="101">
        <f>GV50/GW50</f>
        <v>3.976</v>
      </c>
      <c r="GZ50" s="43"/>
      <c r="HA50" s="26">
        <f>300+300+200+300+300</f>
        <v>1400</v>
      </c>
      <c r="HB50" s="39">
        <f>5.2+4.8+3+4.05+3.8</f>
        <v>20.85</v>
      </c>
      <c r="HC50" s="28">
        <v>5</v>
      </c>
      <c r="HD50" s="106">
        <f t="shared" si="24"/>
        <v>67.146282973621098</v>
      </c>
      <c r="HE50" s="106">
        <f t="shared" si="24"/>
        <v>4.17</v>
      </c>
      <c r="HG50" s="26">
        <f>300+300+300+300+300</f>
        <v>1500</v>
      </c>
      <c r="HH50" s="27">
        <f>6.36+5.44+6.4+6.16+6.28</f>
        <v>30.640000000000004</v>
      </c>
      <c r="HI50" s="27">
        <f>5</f>
        <v>5</v>
      </c>
      <c r="HJ50" s="34">
        <f t="shared" si="25"/>
        <v>48.955613577023492</v>
      </c>
      <c r="HK50" s="34">
        <f>HH50/HI50</f>
        <v>6.128000000000001</v>
      </c>
      <c r="HM50" s="26">
        <f>200+200+200+200+200</f>
        <v>1000</v>
      </c>
      <c r="HN50" s="45">
        <f>3.2+2.58+2.89+2.35+2.85</f>
        <v>13.87</v>
      </c>
      <c r="HO50" s="46">
        <v>5</v>
      </c>
      <c r="HP50" s="47">
        <f t="shared" si="99"/>
        <v>72.098053352559489</v>
      </c>
      <c r="HQ50" s="47">
        <f>HN50/HO50</f>
        <v>2.774</v>
      </c>
      <c r="HS50" s="26">
        <f>400+400+400+300+300</f>
        <v>1800</v>
      </c>
      <c r="HT50" s="45">
        <f>4.8+4.43+4.79+3.2+3.88</f>
        <v>21.099999999999998</v>
      </c>
      <c r="HU50" s="46">
        <v>5</v>
      </c>
      <c r="HV50" s="48">
        <f t="shared" si="26"/>
        <v>85.308056872037923</v>
      </c>
      <c r="HW50" s="48">
        <f>HT50/HU50</f>
        <v>4.22</v>
      </c>
      <c r="HY50" s="45">
        <f>300+300+300+200</f>
        <v>1100</v>
      </c>
      <c r="HZ50" s="45">
        <f>8.84+8.49+8.97+5.9</f>
        <v>32.199999999999996</v>
      </c>
      <c r="IA50" s="45">
        <f>4</f>
        <v>4</v>
      </c>
      <c r="IB50" s="48">
        <f t="shared" si="141"/>
        <v>34.161490683229815</v>
      </c>
      <c r="IC50" s="48">
        <f t="shared" si="141"/>
        <v>8.0499999999999989</v>
      </c>
      <c r="IE50" s="45">
        <f>200+200+200+200+200</f>
        <v>1000</v>
      </c>
      <c r="IF50" s="45">
        <f>5.27+5.03+5.47+4.54+8.18</f>
        <v>28.49</v>
      </c>
      <c r="IG50" s="45">
        <f>5</f>
        <v>5</v>
      </c>
      <c r="IH50" s="48">
        <f t="shared" si="27"/>
        <v>35.1000351000351</v>
      </c>
      <c r="II50" s="48">
        <f t="shared" si="27"/>
        <v>5.6979999999999995</v>
      </c>
      <c r="IK50" s="26">
        <f>200+200+200+200+200</f>
        <v>1000</v>
      </c>
      <c r="IL50" s="45">
        <f>6.19+7.29+6.7+6.57+6.25</f>
        <v>33</v>
      </c>
      <c r="IM50" s="45">
        <f>5</f>
        <v>5</v>
      </c>
      <c r="IN50" s="48">
        <f t="shared" si="28"/>
        <v>30.303030303030305</v>
      </c>
      <c r="IO50" s="48">
        <f>IL50/IM50</f>
        <v>6.6</v>
      </c>
      <c r="IQ50" s="26">
        <f>300+300+300+300+300</f>
        <v>1500</v>
      </c>
      <c r="IR50" s="45">
        <f>6.17+6.08+5.34+5.91+5.66</f>
        <v>29.16</v>
      </c>
      <c r="IS50" s="45">
        <v>5</v>
      </c>
      <c r="IT50" s="48">
        <f t="shared" ref="IT50" si="845">IQ50/IR50</f>
        <v>51.440329218106996</v>
      </c>
      <c r="IU50" s="48">
        <f>IR50/IS50</f>
        <v>5.8319999999999999</v>
      </c>
      <c r="IW50" s="26">
        <f>250+200+200+200+200</f>
        <v>1050</v>
      </c>
      <c r="IX50" s="45">
        <f>6.46+5.61+5.84+5.64+5.71</f>
        <v>29.26</v>
      </c>
      <c r="IY50" s="45">
        <v>5</v>
      </c>
      <c r="IZ50" s="46">
        <f t="shared" ref="IZ50" si="846">IW50/IX50</f>
        <v>35.885167464114829</v>
      </c>
      <c r="JA50" s="46">
        <f>IX50/IY50</f>
        <v>5.8520000000000003</v>
      </c>
      <c r="JC50" s="26">
        <f>300+300+300+300+300</f>
        <v>1500</v>
      </c>
      <c r="JD50" s="45">
        <f>5.43+4.72+4.63+5.21+5.11</f>
        <v>25.099999999999998</v>
      </c>
      <c r="JE50" s="45">
        <v>5</v>
      </c>
      <c r="JF50" s="46">
        <f t="shared" si="604"/>
        <v>59.760956175298809</v>
      </c>
      <c r="JG50" s="46">
        <f t="shared" si="605"/>
        <v>5.0199999999999996</v>
      </c>
      <c r="JI50" s="26">
        <f>200+200+200+200+200</f>
        <v>1000</v>
      </c>
      <c r="JJ50" s="45">
        <f>5.03+4.22+4.36+4.18+4.49</f>
        <v>22.28</v>
      </c>
      <c r="JK50" s="45">
        <v>5</v>
      </c>
      <c r="JL50" s="46">
        <f t="shared" ref="JL50" si="847">JI50/JJ50</f>
        <v>44.88330341113106</v>
      </c>
      <c r="JM50" s="46">
        <f>JJ50/JK50</f>
        <v>4.4560000000000004</v>
      </c>
      <c r="JO50" s="26">
        <f>500+500+500+500+500</f>
        <v>2500</v>
      </c>
      <c r="JP50" s="45">
        <f>6.41+6.4+6.39+5.85+6.41</f>
        <v>31.459999999999997</v>
      </c>
      <c r="JQ50" s="45">
        <v>5</v>
      </c>
      <c r="JR50" s="46">
        <f t="shared" ref="JR50" si="848">JO50/JP50</f>
        <v>79.465988556897656</v>
      </c>
      <c r="JS50" s="46">
        <f>JP50/JQ50</f>
        <v>6.2919999999999998</v>
      </c>
      <c r="JU50" s="26">
        <f>300+300+300+300+300</f>
        <v>1500</v>
      </c>
      <c r="JV50" s="45">
        <f>5.56+5.21+4.94+4.94+6.15</f>
        <v>26.800000000000004</v>
      </c>
      <c r="JW50" s="45">
        <v>5</v>
      </c>
      <c r="JX50" s="46">
        <f t="shared" si="820"/>
        <v>55.970149253731336</v>
      </c>
      <c r="JY50" s="46">
        <f>JV50/JW50</f>
        <v>5.3600000000000012</v>
      </c>
      <c r="KA50" s="26">
        <f>300+300+300+300+300</f>
        <v>1500</v>
      </c>
      <c r="KB50" s="45">
        <f>5.09+5.16+4.45+4.21+4.98</f>
        <v>23.89</v>
      </c>
      <c r="KC50" s="45">
        <v>5</v>
      </c>
      <c r="KD50" s="46">
        <f t="shared" ref="KD50" si="849">KA50/KB50</f>
        <v>62.787777312683133</v>
      </c>
      <c r="KE50" s="46">
        <f>KB50/KC50</f>
        <v>4.7780000000000005</v>
      </c>
      <c r="KG50" s="26">
        <f>350+350+250+300+300</f>
        <v>1550</v>
      </c>
      <c r="KH50" s="45">
        <f>3.99+6.68+3.67+4.26+4.79</f>
        <v>23.39</v>
      </c>
      <c r="KI50" s="45">
        <v>5</v>
      </c>
      <c r="KJ50" s="46">
        <f t="shared" ref="KJ50" si="850">KG50/KH50</f>
        <v>66.267635741769979</v>
      </c>
      <c r="KK50" s="46">
        <f>KH50/KI50</f>
        <v>4.6779999999999999</v>
      </c>
      <c r="KM50" s="26">
        <f>200+200+200+250+250</f>
        <v>1100</v>
      </c>
      <c r="KN50" s="45">
        <f>5.51+5.93+5.29+7.51+8.23</f>
        <v>32.47</v>
      </c>
      <c r="KO50" s="45">
        <v>5</v>
      </c>
      <c r="KP50" s="46">
        <f t="shared" si="622"/>
        <v>33.877425315676007</v>
      </c>
      <c r="KQ50" s="46">
        <f t="shared" si="803"/>
        <v>6.4939999999999998</v>
      </c>
      <c r="KS50" s="26">
        <f>300+300+300+300+300</f>
        <v>1500</v>
      </c>
      <c r="KT50" s="45">
        <f>1.11+5.85+6.17+6.28+5.85</f>
        <v>25.259999999999998</v>
      </c>
      <c r="KU50" s="45">
        <v>5</v>
      </c>
      <c r="KV50" s="46">
        <f t="shared" si="370"/>
        <v>59.382422802850364</v>
      </c>
      <c r="KW50" s="46">
        <f t="shared" ref="KW50:KW51" si="851">KT50/KU50</f>
        <v>5.0519999999999996</v>
      </c>
      <c r="KY50" s="26"/>
      <c r="KZ50" s="45"/>
      <c r="LA50" s="45"/>
      <c r="LB50" s="46" t="e">
        <f t="shared" si="371"/>
        <v>#DIV/0!</v>
      </c>
      <c r="LC50" s="46" t="e">
        <f t="shared" ref="LC50:LC51" si="852">KZ50/LA50</f>
        <v>#DIV/0!</v>
      </c>
      <c r="LE50" s="26"/>
      <c r="LF50" s="45"/>
      <c r="LG50" s="45"/>
      <c r="LH50" s="46" t="e">
        <f t="shared" si="372"/>
        <v>#DIV/0!</v>
      </c>
      <c r="LI50" s="46" t="e">
        <f t="shared" ref="LI50:LI51" si="853">LF50/LG50</f>
        <v>#DIV/0!</v>
      </c>
      <c r="LK50" s="26">
        <f>200+200+200+200+200</f>
        <v>1000</v>
      </c>
      <c r="LL50" s="45">
        <f>6+6.95+5.35+5.74+6.07</f>
        <v>30.11</v>
      </c>
      <c r="LM50" s="45">
        <v>5</v>
      </c>
      <c r="LN50" s="46">
        <f t="shared" si="373"/>
        <v>33.211557622052474</v>
      </c>
      <c r="LO50" s="46">
        <f t="shared" ref="LO50:LO51" si="854">LL50/LM50</f>
        <v>6.0220000000000002</v>
      </c>
      <c r="LQ50" s="26"/>
      <c r="LR50" s="45"/>
      <c r="LS50" s="45"/>
      <c r="LT50" s="46" t="e">
        <f t="shared" si="374"/>
        <v>#DIV/0!</v>
      </c>
      <c r="LU50" s="46" t="e">
        <f t="shared" ref="LU50:LU51" si="855">LR50/LS50</f>
        <v>#DIV/0!</v>
      </c>
      <c r="LW50" s="26">
        <f>300+300+300+300+300</f>
        <v>1500</v>
      </c>
      <c r="LX50" s="45">
        <f>4.15+6+4.43+4.1+3.82</f>
        <v>22.5</v>
      </c>
      <c r="LY50" s="45">
        <v>5</v>
      </c>
      <c r="LZ50" s="46">
        <f t="shared" si="375"/>
        <v>66.666666666666671</v>
      </c>
      <c r="MA50" s="46">
        <f t="shared" ref="MA50:MA51" si="856">LX50/LY50</f>
        <v>4.5</v>
      </c>
      <c r="MC50" s="26">
        <f>250+250+250+300+300</f>
        <v>1350</v>
      </c>
      <c r="MD50" s="45">
        <f>2.98+2.98+3.6+7.42+7.08</f>
        <v>24.060000000000002</v>
      </c>
      <c r="ME50" s="45">
        <v>5</v>
      </c>
      <c r="MF50" s="46">
        <f t="shared" si="376"/>
        <v>56.109725685785534</v>
      </c>
      <c r="MG50" s="46">
        <f t="shared" ref="MG50:MG51" si="857">MD50/ME50</f>
        <v>4.8120000000000003</v>
      </c>
      <c r="MI50" s="26">
        <f>300+300+300+300+200</f>
        <v>1400</v>
      </c>
      <c r="MJ50" s="45">
        <f>5.68+5.13+5.27+5.61+4.25</f>
        <v>25.939999999999998</v>
      </c>
      <c r="MK50" s="45">
        <v>5</v>
      </c>
      <c r="ML50" s="46">
        <f t="shared" si="377"/>
        <v>53.970701619121051</v>
      </c>
      <c r="MM50" s="46">
        <f t="shared" ref="MM50:MM51" si="858">MJ50/MK50</f>
        <v>5.1879999999999997</v>
      </c>
      <c r="MO50" s="26"/>
      <c r="MP50" s="45"/>
      <c r="MQ50" s="45"/>
      <c r="MR50" s="46" t="e">
        <f t="shared" si="378"/>
        <v>#DIV/0!</v>
      </c>
      <c r="MS50" s="46" t="e">
        <f t="shared" ref="MS50:MS51" si="859">MP50/MQ50</f>
        <v>#DIV/0!</v>
      </c>
      <c r="MU50" s="26"/>
      <c r="MV50" s="45"/>
      <c r="MW50" s="45"/>
      <c r="MX50" s="46" t="e">
        <f t="shared" si="379"/>
        <v>#DIV/0!</v>
      </c>
      <c r="MY50" s="46" t="e">
        <f t="shared" ref="MY50:MY51" si="860">MV50/MW50</f>
        <v>#DIV/0!</v>
      </c>
      <c r="NA50" s="823">
        <f>200+300+300+200+200</f>
        <v>1200</v>
      </c>
      <c r="NB50" s="823">
        <f>4.09+5.33+5.72+4.1+4.61</f>
        <v>23.85</v>
      </c>
      <c r="NC50" s="823">
        <v>5</v>
      </c>
      <c r="ND50" s="46">
        <f t="shared" si="380"/>
        <v>50.314465408805027</v>
      </c>
      <c r="NE50" s="46">
        <f t="shared" ref="NE50:NE51" si="861">NB50/NC50</f>
        <v>4.7700000000000005</v>
      </c>
      <c r="NG50" s="823">
        <f>200+200+200+200+200</f>
        <v>1000</v>
      </c>
      <c r="NH50" s="823">
        <f>4.69+4.25+4.69+4.36+4.63</f>
        <v>22.62</v>
      </c>
      <c r="NI50" s="823">
        <v>5</v>
      </c>
      <c r="NJ50" s="46">
        <f t="shared" si="381"/>
        <v>44.208664898320066</v>
      </c>
      <c r="NK50" s="46">
        <f t="shared" ref="NK50:NK51" si="862">NH50/NI50</f>
        <v>4.524</v>
      </c>
      <c r="NM50" s="823">
        <f>300+300+300+300+250</f>
        <v>1450</v>
      </c>
      <c r="NN50" s="823">
        <f>5.3+4.9+5.6+5.4+6</f>
        <v>27.2</v>
      </c>
      <c r="NO50" s="823">
        <v>5</v>
      </c>
      <c r="NP50" s="46">
        <f t="shared" si="382"/>
        <v>53.308823529411768</v>
      </c>
      <c r="NQ50" s="46">
        <f t="shared" ref="NQ50:NQ51" si="863">NN50/NO50</f>
        <v>5.4399999999999995</v>
      </c>
      <c r="NS50" s="823">
        <f>200+200+200+200+200</f>
        <v>1000</v>
      </c>
      <c r="NT50" s="823">
        <f>3.5+4.93+5.51+6.78+6.52</f>
        <v>27.24</v>
      </c>
      <c r="NU50" s="823">
        <v>5</v>
      </c>
      <c r="NV50" s="46">
        <f t="shared" si="383"/>
        <v>36.710719530102793</v>
      </c>
      <c r="NW50" s="46">
        <f t="shared" ref="NW50:NW51" si="864">NT50/NU50</f>
        <v>5.4479999999999995</v>
      </c>
      <c r="NY50" s="910">
        <f>200+200+200+200+200</f>
        <v>1000</v>
      </c>
      <c r="NZ50" s="910">
        <f>5.66+5.69+6.4+7.22+6.34</f>
        <v>31.31</v>
      </c>
      <c r="OA50" s="910">
        <v>5</v>
      </c>
      <c r="OB50" s="46">
        <f t="shared" si="384"/>
        <v>31.938677738741617</v>
      </c>
      <c r="OC50" s="46">
        <f t="shared" ref="OC50:OC51" si="865">NZ50/OA50</f>
        <v>6.2619999999999996</v>
      </c>
      <c r="OE50" s="823">
        <f>200+200+200+200+200</f>
        <v>1000</v>
      </c>
      <c r="OF50" s="823">
        <f>4.63+4.3+4.3+4.6+4.28</f>
        <v>22.11</v>
      </c>
      <c r="OG50" s="823">
        <v>5</v>
      </c>
      <c r="OH50" s="46">
        <f t="shared" si="385"/>
        <v>45.228403437358665</v>
      </c>
      <c r="OI50" s="46">
        <f t="shared" ref="OI50:OI51" si="866">OF50/OG50</f>
        <v>4.4219999999999997</v>
      </c>
    </row>
    <row r="51" spans="1:399" ht="15" thickBot="1">
      <c r="B51" s="25"/>
      <c r="C51" s="17" t="s">
        <v>49</v>
      </c>
      <c r="D51" s="18" t="s">
        <v>14</v>
      </c>
      <c r="E51" s="29">
        <f>100+100+100</f>
        <v>300</v>
      </c>
      <c r="F51" s="32">
        <f>6.73+0.73+0.83</f>
        <v>8.2900000000000009</v>
      </c>
      <c r="G51" s="33">
        <v>3</v>
      </c>
      <c r="H51" s="34">
        <f t="shared" si="822"/>
        <v>36.1881785283474</v>
      </c>
      <c r="I51" s="34">
        <f t="shared" si="823"/>
        <v>2.7633333333333336</v>
      </c>
      <c r="J51" s="30"/>
      <c r="K51" s="29">
        <f>200+200+150+150+50</f>
        <v>750</v>
      </c>
      <c r="L51" s="32">
        <f>1.13+0.95+0.83+0.79+0.54</f>
        <v>4.24</v>
      </c>
      <c r="M51" s="33">
        <v>5</v>
      </c>
      <c r="N51" s="34">
        <f t="shared" si="759"/>
        <v>176.88679245283018</v>
      </c>
      <c r="O51" s="34">
        <f t="shared" si="760"/>
        <v>0.84800000000000009</v>
      </c>
      <c r="P51" s="30"/>
      <c r="Q51" s="29">
        <v>150</v>
      </c>
      <c r="R51" s="32">
        <v>1</v>
      </c>
      <c r="S51" s="33">
        <v>1</v>
      </c>
      <c r="T51" s="34">
        <f t="shared" si="761"/>
        <v>150</v>
      </c>
      <c r="U51" s="34">
        <f t="shared" si="762"/>
        <v>1</v>
      </c>
      <c r="V51" s="30"/>
      <c r="W51" s="29">
        <f>50+50+100+100+50</f>
        <v>350</v>
      </c>
      <c r="X51" s="32">
        <f>0.45+0.52+0.7+0.57+0.66</f>
        <v>2.9</v>
      </c>
      <c r="Y51" s="33">
        <v>5</v>
      </c>
      <c r="Z51" s="34">
        <f t="shared" si="824"/>
        <v>120.68965517241379</v>
      </c>
      <c r="AA51" s="34">
        <f t="shared" si="825"/>
        <v>0.57999999999999996</v>
      </c>
      <c r="AB51" s="30"/>
      <c r="AC51" s="29">
        <v>200</v>
      </c>
      <c r="AD51" s="32">
        <f>0.7</f>
        <v>0.7</v>
      </c>
      <c r="AE51" s="33">
        <v>1</v>
      </c>
      <c r="AF51" s="34">
        <f t="shared" si="826"/>
        <v>285.71428571428572</v>
      </c>
      <c r="AG51" s="34">
        <f t="shared" si="827"/>
        <v>0.7</v>
      </c>
      <c r="AH51" s="30"/>
      <c r="AI51" s="29"/>
      <c r="AJ51" s="32"/>
      <c r="AK51" s="33"/>
      <c r="AL51" s="34"/>
      <c r="AM51" s="34"/>
      <c r="AN51" s="30"/>
      <c r="AO51" s="29">
        <f>50+100+100+100+100</f>
        <v>450</v>
      </c>
      <c r="AP51" s="32">
        <f>0.61+0.84+0.78+0.82+0.73</f>
        <v>3.78</v>
      </c>
      <c r="AQ51" s="33">
        <v>5</v>
      </c>
      <c r="AR51" s="34">
        <f t="shared" si="828"/>
        <v>119.04761904761905</v>
      </c>
      <c r="AS51" s="34">
        <f t="shared" si="765"/>
        <v>0.75600000000000001</v>
      </c>
      <c r="AT51" s="30"/>
      <c r="AU51" s="29">
        <f>100+100+50+50+30</f>
        <v>330</v>
      </c>
      <c r="AV51" s="32">
        <f>0.87+0.7+0.81+0.69+0.54</f>
        <v>3.61</v>
      </c>
      <c r="AW51" s="33">
        <v>5</v>
      </c>
      <c r="AX51" s="34">
        <f t="shared" si="829"/>
        <v>91.412742382271475</v>
      </c>
      <c r="AY51" s="34">
        <f t="shared" si="498"/>
        <v>0.72199999999999998</v>
      </c>
      <c r="AZ51" s="592"/>
      <c r="BA51" s="29">
        <f>100+100+100+50+50</f>
        <v>400</v>
      </c>
      <c r="BB51" s="32">
        <f>1.04+1.25+1.04+0.63+0.67</f>
        <v>4.63</v>
      </c>
      <c r="BC51" s="33">
        <v>5</v>
      </c>
      <c r="BD51" s="34">
        <f t="shared" si="830"/>
        <v>86.393088552915771</v>
      </c>
      <c r="BE51" s="34">
        <f t="shared" si="570"/>
        <v>0.92599999999999993</v>
      </c>
      <c r="BF51" s="592"/>
      <c r="BG51" s="29"/>
      <c r="BH51" s="32"/>
      <c r="BI51" s="33"/>
      <c r="BJ51" s="34"/>
      <c r="BK51" s="34"/>
      <c r="BL51" s="592"/>
      <c r="BM51" s="29"/>
      <c r="BN51" s="32"/>
      <c r="BO51" s="33"/>
      <c r="BP51" s="34"/>
      <c r="BQ51" s="34"/>
      <c r="BR51" s="30"/>
      <c r="BS51" s="29">
        <f>50+100+50+100+50</f>
        <v>350</v>
      </c>
      <c r="BT51" s="32">
        <f>0.56+0.89+0.61+0.85+0.62</f>
        <v>3.5300000000000002</v>
      </c>
      <c r="BU51" s="33">
        <v>5</v>
      </c>
      <c r="BV51" s="34">
        <f t="shared" si="831"/>
        <v>99.150141643059484</v>
      </c>
      <c r="BW51" s="34">
        <f t="shared" si="524"/>
        <v>0.70600000000000007</v>
      </c>
      <c r="BX51" s="592"/>
      <c r="BY51" s="29">
        <f>100+100+50+50+50</f>
        <v>350</v>
      </c>
      <c r="BZ51" s="32">
        <f>0.87+0.7+0.81+0.69+0.64</f>
        <v>3.71</v>
      </c>
      <c r="CA51" s="33">
        <v>5</v>
      </c>
      <c r="CB51" s="34">
        <f t="shared" si="832"/>
        <v>94.339622641509436</v>
      </c>
      <c r="CC51" s="34">
        <f t="shared" si="748"/>
        <v>0.74199999999999999</v>
      </c>
      <c r="CD51" s="592"/>
      <c r="CE51" s="29"/>
      <c r="CF51" s="32"/>
      <c r="CG51" s="33"/>
      <c r="CH51" s="34"/>
      <c r="CI51" s="34"/>
      <c r="CJ51" s="592"/>
      <c r="CK51" s="29">
        <f>100+100+100+100+100</f>
        <v>500</v>
      </c>
      <c r="CL51" s="32">
        <f>0.83+0.82+0.65+0.86+0.69</f>
        <v>3.8499999999999996</v>
      </c>
      <c r="CM51" s="33">
        <v>5</v>
      </c>
      <c r="CN51" s="34">
        <f t="shared" si="835"/>
        <v>129.87012987012989</v>
      </c>
      <c r="CO51" s="34">
        <f t="shared" si="836"/>
        <v>0.76999999999999991</v>
      </c>
      <c r="CP51" s="592"/>
      <c r="CQ51" s="29"/>
      <c r="CR51" s="32"/>
      <c r="CS51" s="33"/>
      <c r="CT51" s="34"/>
      <c r="CU51" s="34"/>
      <c r="CV51" s="592"/>
      <c r="CW51" s="29">
        <f>100+100+50+50+50</f>
        <v>350</v>
      </c>
      <c r="CX51" s="32">
        <f>0.87+0.7+0.81+0.69+0.64</f>
        <v>3.71</v>
      </c>
      <c r="CY51" s="33">
        <v>5</v>
      </c>
      <c r="CZ51" s="34">
        <f t="shared" si="837"/>
        <v>94.339622641509436</v>
      </c>
      <c r="DA51" s="34">
        <f t="shared" si="838"/>
        <v>0.74199999999999999</v>
      </c>
      <c r="DB51" s="592"/>
      <c r="DC51" s="29">
        <f>150+150+150+100+100</f>
        <v>650</v>
      </c>
      <c r="DD51" s="32">
        <f>2+1.86+1.82+1.6+1.2</f>
        <v>8.48</v>
      </c>
      <c r="DE51" s="33">
        <v>5</v>
      </c>
      <c r="DF51" s="34">
        <f t="shared" si="839"/>
        <v>76.65094339622641</v>
      </c>
      <c r="DG51" s="34">
        <f t="shared" si="840"/>
        <v>1.6960000000000002</v>
      </c>
      <c r="DH51" s="592"/>
      <c r="DI51" s="29">
        <v>450</v>
      </c>
      <c r="DJ51" s="32">
        <v>4.33</v>
      </c>
      <c r="DK51" s="33">
        <v>5</v>
      </c>
      <c r="DL51" s="34">
        <f t="shared" si="841"/>
        <v>103.92609699769054</v>
      </c>
      <c r="DM51" s="34">
        <f t="shared" si="842"/>
        <v>0.86599999999999999</v>
      </c>
      <c r="DN51" s="592"/>
      <c r="DO51" s="29">
        <v>600</v>
      </c>
      <c r="DP51" s="32">
        <v>4.1500000000000004</v>
      </c>
      <c r="DQ51" s="33">
        <v>5</v>
      </c>
      <c r="DR51" s="34">
        <f t="shared" si="843"/>
        <v>144.57831325301203</v>
      </c>
      <c r="DS51" s="34">
        <f t="shared" si="844"/>
        <v>0.83000000000000007</v>
      </c>
      <c r="DT51" s="592"/>
      <c r="DU51" s="29"/>
      <c r="DV51" s="32"/>
      <c r="DW51" s="33"/>
      <c r="DX51" s="34"/>
      <c r="DY51" s="34"/>
      <c r="DZ51" s="592"/>
      <c r="EA51" s="29"/>
      <c r="EB51" s="32"/>
      <c r="EC51" s="33"/>
      <c r="ED51" s="34"/>
      <c r="EE51" s="34"/>
      <c r="EF51" s="592"/>
      <c r="EG51" s="29"/>
      <c r="EH51" s="32"/>
      <c r="EI51" s="33"/>
      <c r="EJ51" s="34"/>
      <c r="EK51" s="34"/>
      <c r="EL51" s="592"/>
      <c r="EM51" s="29"/>
      <c r="EN51" s="32"/>
      <c r="EO51" s="33"/>
      <c r="EP51" s="34"/>
      <c r="EQ51" s="34"/>
      <c r="ER51" s="30"/>
      <c r="ES51" s="29">
        <f>100+100+50+50+50</f>
        <v>350</v>
      </c>
      <c r="ET51" s="32">
        <f>0.87+0.7+0.81+0.69+0.64</f>
        <v>3.71</v>
      </c>
      <c r="EU51" s="33">
        <v>5</v>
      </c>
      <c r="EV51" s="34">
        <f t="shared" si="18"/>
        <v>94.339622641509436</v>
      </c>
      <c r="EW51" s="34">
        <f t="shared" si="18"/>
        <v>0.74199999999999999</v>
      </c>
      <c r="EX51" s="30"/>
      <c r="EY51" s="35">
        <v>650</v>
      </c>
      <c r="EZ51" s="34">
        <v>4</v>
      </c>
      <c r="FA51" s="37">
        <v>5</v>
      </c>
      <c r="FB51" s="34">
        <f>EY51/EZ51</f>
        <v>162.5</v>
      </c>
      <c r="FC51" s="34">
        <f t="shared" si="118"/>
        <v>0.8</v>
      </c>
      <c r="FE51" s="26">
        <v>150</v>
      </c>
      <c r="FF51" s="27">
        <v>1</v>
      </c>
      <c r="FG51" s="28">
        <v>1</v>
      </c>
      <c r="FH51" s="38">
        <f t="shared" si="96"/>
        <v>150</v>
      </c>
      <c r="FI51" s="39">
        <f t="shared" si="96"/>
        <v>1</v>
      </c>
      <c r="FK51" s="27">
        <f>100*5</f>
        <v>500</v>
      </c>
      <c r="FL51" s="40">
        <f>3.84+3.84+3.84+3.84+3.84</f>
        <v>19.2</v>
      </c>
      <c r="FM51" s="27">
        <v>5</v>
      </c>
      <c r="FN51" s="40">
        <f t="shared" si="97"/>
        <v>26.041666666666668</v>
      </c>
      <c r="FO51" s="40">
        <f t="shared" si="97"/>
        <v>3.84</v>
      </c>
      <c r="FQ51" s="26">
        <f>100*5</f>
        <v>500</v>
      </c>
      <c r="FR51" s="40">
        <f>4.36*5</f>
        <v>21.8</v>
      </c>
      <c r="FS51" s="27">
        <f>5</f>
        <v>5</v>
      </c>
      <c r="FT51" s="40">
        <f t="shared" si="19"/>
        <v>22.935779816513762</v>
      </c>
      <c r="FU51" s="40">
        <f t="shared" si="19"/>
        <v>4.3600000000000003</v>
      </c>
      <c r="FW51" s="26">
        <f>100*5</f>
        <v>500</v>
      </c>
      <c r="FX51" s="27">
        <f>3.55</f>
        <v>3.55</v>
      </c>
      <c r="FY51" s="27">
        <f>5</f>
        <v>5</v>
      </c>
      <c r="FZ51" s="40">
        <f t="shared" si="20"/>
        <v>140.84507042253523</v>
      </c>
      <c r="GA51" s="40">
        <f t="shared" si="20"/>
        <v>0.71</v>
      </c>
      <c r="GC51" s="26">
        <f>50+50+50+50+50</f>
        <v>250</v>
      </c>
      <c r="GD51" s="27">
        <f>3.07</f>
        <v>3.07</v>
      </c>
      <c r="GE51" s="27">
        <f>5</f>
        <v>5</v>
      </c>
      <c r="GF51" s="40">
        <f>GC51/GD51</f>
        <v>81.433224755700337</v>
      </c>
      <c r="GG51" s="40">
        <f>GD51/GE51</f>
        <v>0.61399999999999999</v>
      </c>
      <c r="GI51" s="26">
        <f>50+50+50+50+50</f>
        <v>250</v>
      </c>
      <c r="GJ51" s="27">
        <f>3.31</f>
        <v>3.31</v>
      </c>
      <c r="GK51" s="27">
        <f>5</f>
        <v>5</v>
      </c>
      <c r="GL51" s="40">
        <f>GI51/GJ51</f>
        <v>75.528700906344412</v>
      </c>
      <c r="GM51" s="40">
        <f>GJ51/GK51</f>
        <v>0.66200000000000003</v>
      </c>
      <c r="GO51" s="26">
        <f>50+50+100+100+100</f>
        <v>400</v>
      </c>
      <c r="GP51" s="27">
        <f>3.84</f>
        <v>3.84</v>
      </c>
      <c r="GQ51" s="27">
        <f>5</f>
        <v>5</v>
      </c>
      <c r="GR51" s="40">
        <f>GO51/GP51</f>
        <v>104.16666666666667</v>
      </c>
      <c r="GS51" s="40">
        <f>GP51/GQ51</f>
        <v>0.76800000000000002</v>
      </c>
      <c r="GU51" s="95">
        <f>250+200+150+100+200</f>
        <v>900</v>
      </c>
      <c r="GV51" s="99">
        <f>1.01+0.8+0.59+0.43+0.93</f>
        <v>3.7600000000000002</v>
      </c>
      <c r="GW51" s="100">
        <v>5</v>
      </c>
      <c r="GX51" s="101">
        <f>GU51/GV51</f>
        <v>239.36170212765956</v>
      </c>
      <c r="GY51" s="101">
        <f>GV51/GW51</f>
        <v>0.752</v>
      </c>
      <c r="GZ51" s="43"/>
      <c r="HA51" s="26">
        <f>200+100+150+100+200</f>
        <v>750</v>
      </c>
      <c r="HB51" s="39">
        <f>0.95+0.55+0.8+0.65+0.8</f>
        <v>3.75</v>
      </c>
      <c r="HC51" s="28">
        <v>5</v>
      </c>
      <c r="HD51" s="106">
        <f t="shared" si="24"/>
        <v>200</v>
      </c>
      <c r="HE51" s="106">
        <f t="shared" si="24"/>
        <v>0.75</v>
      </c>
      <c r="HG51" s="26">
        <f>50+50+50+50+50</f>
        <v>250</v>
      </c>
      <c r="HH51" s="40">
        <f>4.98</f>
        <v>4.9800000000000004</v>
      </c>
      <c r="HI51" s="27">
        <f>5</f>
        <v>5</v>
      </c>
      <c r="HJ51" s="34">
        <f>HG51/HH51</f>
        <v>50.200803212851405</v>
      </c>
      <c r="HK51" s="34">
        <f>HH51/HI51</f>
        <v>0.99600000000000011</v>
      </c>
      <c r="HM51" s="26">
        <f>100+100+100</f>
        <v>300</v>
      </c>
      <c r="HN51" s="45">
        <f>6.73+0.73+0.83</f>
        <v>8.2900000000000009</v>
      </c>
      <c r="HO51" s="46">
        <v>3</v>
      </c>
      <c r="HP51" s="47">
        <f>HM51/HN51</f>
        <v>36.1881785283474</v>
      </c>
      <c r="HQ51" s="47">
        <f>HN51/HO51</f>
        <v>2.7633333333333336</v>
      </c>
      <c r="HS51" s="26">
        <f>200+200+150+150+50</f>
        <v>750</v>
      </c>
      <c r="HT51" s="45">
        <f>1.13+0.95+0.83+0.79+0.54</f>
        <v>4.24</v>
      </c>
      <c r="HU51" s="46">
        <v>5</v>
      </c>
      <c r="HV51" s="48">
        <f>HS51/HT51</f>
        <v>176.88679245283018</v>
      </c>
      <c r="HW51" s="48">
        <f>HT51/HU51</f>
        <v>0.84800000000000009</v>
      </c>
      <c r="HY51" s="45">
        <f>100+100+100+100+100</f>
        <v>500</v>
      </c>
      <c r="HZ51" s="27">
        <f>4.27</f>
        <v>4.2699999999999996</v>
      </c>
      <c r="IA51" s="45">
        <v>5</v>
      </c>
      <c r="IB51" s="48">
        <f t="shared" si="141"/>
        <v>117.096018735363</v>
      </c>
      <c r="IC51" s="48">
        <f t="shared" si="141"/>
        <v>0.85399999999999987</v>
      </c>
      <c r="IE51" s="45">
        <f>100+100+100+100+100</f>
        <v>500</v>
      </c>
      <c r="IF51" s="27">
        <f>4.06</f>
        <v>4.0599999999999996</v>
      </c>
      <c r="IG51" s="45">
        <f>5</f>
        <v>5</v>
      </c>
      <c r="IH51" s="48">
        <f t="shared" si="27"/>
        <v>123.15270935960592</v>
      </c>
      <c r="II51" s="48">
        <f t="shared" si="27"/>
        <v>0.81199999999999994</v>
      </c>
      <c r="IK51" s="26">
        <f>50+50+50+50+50</f>
        <v>250</v>
      </c>
      <c r="IL51" s="40">
        <f>3.34</f>
        <v>3.34</v>
      </c>
      <c r="IM51" s="45">
        <f>5</f>
        <v>5</v>
      </c>
      <c r="IN51" s="48">
        <f>IK51/IL51</f>
        <v>74.850299401197603</v>
      </c>
      <c r="IO51" s="48">
        <f>IL51/IM51</f>
        <v>0.66799999999999993</v>
      </c>
      <c r="IQ51" s="26">
        <f>100*5</f>
        <v>500</v>
      </c>
      <c r="IR51" s="40">
        <f>4.07*5</f>
        <v>20.350000000000001</v>
      </c>
      <c r="IS51" s="45">
        <v>5</v>
      </c>
      <c r="IT51" s="48">
        <f>IQ51/IR51</f>
        <v>24.570024570024568</v>
      </c>
      <c r="IU51" s="48">
        <f>IR51/IS51</f>
        <v>4.07</v>
      </c>
      <c r="IW51" s="26">
        <f>50*5</f>
        <v>250</v>
      </c>
      <c r="IX51" s="40">
        <v>3.87</v>
      </c>
      <c r="IY51" s="45">
        <v>5</v>
      </c>
      <c r="IZ51" s="46">
        <f>IW51/IX51</f>
        <v>64.599483204134359</v>
      </c>
      <c r="JA51" s="46">
        <f>IX51/IY51</f>
        <v>0.77400000000000002</v>
      </c>
      <c r="JC51" s="26">
        <f>100+100+50+50+50</f>
        <v>350</v>
      </c>
      <c r="JD51" s="40">
        <f>0.78+0.8+0.79+0.71+0.52</f>
        <v>3.6</v>
      </c>
      <c r="JE51" s="45">
        <v>5</v>
      </c>
      <c r="JF51" s="46">
        <f>JC51/JD51</f>
        <v>97.222222222222214</v>
      </c>
      <c r="JG51" s="46">
        <f>JD51/JE51</f>
        <v>0.72</v>
      </c>
      <c r="JI51" s="26"/>
      <c r="JJ51" s="40"/>
      <c r="JK51" s="45"/>
      <c r="JL51" s="46"/>
      <c r="JM51" s="46"/>
      <c r="JO51" s="26">
        <f>100+150+50+30+50</f>
        <v>380</v>
      </c>
      <c r="JP51" s="40">
        <f>0.56+0.64+0.56+0.32+0.42</f>
        <v>2.5</v>
      </c>
      <c r="JQ51" s="45">
        <v>5</v>
      </c>
      <c r="JR51" s="46">
        <f>JO51/JP51</f>
        <v>152</v>
      </c>
      <c r="JS51" s="46">
        <f>JP51/JQ51</f>
        <v>0.5</v>
      </c>
      <c r="JU51" s="26">
        <f>100+50+30+100+50</f>
        <v>330</v>
      </c>
      <c r="JV51" s="40">
        <f>0.82+0.76+0.7+1.24+0.7</f>
        <v>4.2200000000000006</v>
      </c>
      <c r="JW51" s="45">
        <v>5</v>
      </c>
      <c r="JX51" s="46">
        <f>JU51/JV51</f>
        <v>78.199052132701411</v>
      </c>
      <c r="JY51" s="46">
        <f>JV51/JW51</f>
        <v>0.84400000000000008</v>
      </c>
      <c r="KA51" s="26">
        <f>100+50+50+30+100</f>
        <v>330</v>
      </c>
      <c r="KB51" s="40">
        <f>0.98+0.32+0.34+0.21+0.76</f>
        <v>2.6100000000000003</v>
      </c>
      <c r="KC51" s="45">
        <v>5</v>
      </c>
      <c r="KD51" s="46">
        <f>KA51/KB51</f>
        <v>126.43678160919539</v>
      </c>
      <c r="KE51" s="46">
        <f>KB51/KC51</f>
        <v>0.52200000000000002</v>
      </c>
      <c r="KG51" s="26">
        <f>100+150+200+50+100</f>
        <v>600</v>
      </c>
      <c r="KH51" s="40">
        <f>0.71+0.87+1.1+0.39+0.72</f>
        <v>3.79</v>
      </c>
      <c r="KI51" s="45">
        <v>5</v>
      </c>
      <c r="KJ51" s="46">
        <f>KG51/KH51</f>
        <v>158.31134564643799</v>
      </c>
      <c r="KK51" s="46">
        <f>KH51/KI51</f>
        <v>0.75800000000000001</v>
      </c>
      <c r="KM51" s="26"/>
      <c r="KN51" s="40"/>
      <c r="KO51" s="45"/>
      <c r="KP51" s="46" t="e">
        <f t="shared" si="622"/>
        <v>#DIV/0!</v>
      </c>
      <c r="KQ51" s="46" t="e">
        <f t="shared" si="803"/>
        <v>#DIV/0!</v>
      </c>
      <c r="KS51" s="26">
        <f>100+100+100+100+100</f>
        <v>500</v>
      </c>
      <c r="KT51" s="40">
        <f>0.81+0.83+0.8+0.75</f>
        <v>3.1900000000000004</v>
      </c>
      <c r="KU51" s="45">
        <v>5</v>
      </c>
      <c r="KV51" s="46">
        <f t="shared" si="370"/>
        <v>156.73981191222569</v>
      </c>
      <c r="KW51" s="46">
        <f t="shared" si="851"/>
        <v>0.63800000000000012</v>
      </c>
      <c r="KY51" s="26"/>
      <c r="KZ51" s="40"/>
      <c r="LA51" s="45"/>
      <c r="LB51" s="46" t="e">
        <f t="shared" si="371"/>
        <v>#DIV/0!</v>
      </c>
      <c r="LC51" s="46" t="e">
        <f t="shared" si="852"/>
        <v>#DIV/0!</v>
      </c>
      <c r="LE51" s="26"/>
      <c r="LF51" s="40"/>
      <c r="LG51" s="45"/>
      <c r="LH51" s="46" t="e">
        <f t="shared" si="372"/>
        <v>#DIV/0!</v>
      </c>
      <c r="LI51" s="46" t="e">
        <f t="shared" si="853"/>
        <v>#DIV/0!</v>
      </c>
      <c r="LK51" s="26"/>
      <c r="LL51" s="40"/>
      <c r="LM51" s="45"/>
      <c r="LN51" s="46" t="e">
        <f t="shared" si="373"/>
        <v>#DIV/0!</v>
      </c>
      <c r="LO51" s="46" t="e">
        <f t="shared" si="854"/>
        <v>#DIV/0!</v>
      </c>
      <c r="LQ51" s="26"/>
      <c r="LR51" s="40"/>
      <c r="LS51" s="45"/>
      <c r="LT51" s="46" t="e">
        <f t="shared" si="374"/>
        <v>#DIV/0!</v>
      </c>
      <c r="LU51" s="46" t="e">
        <f t="shared" si="855"/>
        <v>#DIV/0!</v>
      </c>
      <c r="LW51" s="26">
        <f>150+150+150+100+100</f>
        <v>650</v>
      </c>
      <c r="LX51" s="40">
        <f>1.3+1.1+1.13+0.77+0.9</f>
        <v>5.2000000000000011</v>
      </c>
      <c r="LY51" s="45">
        <v>5</v>
      </c>
      <c r="LZ51" s="46">
        <f t="shared" si="375"/>
        <v>124.99999999999997</v>
      </c>
      <c r="MA51" s="46">
        <f t="shared" si="856"/>
        <v>1.0400000000000003</v>
      </c>
      <c r="MC51" s="26">
        <f>100+100+100+150+150</f>
        <v>600</v>
      </c>
      <c r="MD51" s="40">
        <f>0.56+0.56+0.56+0.82+0.82</f>
        <v>3.32</v>
      </c>
      <c r="ME51" s="45">
        <v>5</v>
      </c>
      <c r="MF51" s="46">
        <f t="shared" si="376"/>
        <v>180.72289156626508</v>
      </c>
      <c r="MG51" s="46">
        <f t="shared" si="857"/>
        <v>0.66399999999999992</v>
      </c>
      <c r="MI51" s="26">
        <f>100+100+100+100+100</f>
        <v>500</v>
      </c>
      <c r="MJ51" s="40">
        <f>1+1.09+1+0.93+0.91</f>
        <v>4.93</v>
      </c>
      <c r="MK51" s="45">
        <v>5</v>
      </c>
      <c r="ML51" s="46">
        <f t="shared" si="377"/>
        <v>101.41987829614605</v>
      </c>
      <c r="MM51" s="46">
        <f t="shared" si="858"/>
        <v>0.98599999999999999</v>
      </c>
      <c r="MO51" s="26"/>
      <c r="MP51" s="40"/>
      <c r="MQ51" s="45"/>
      <c r="MR51" s="46" t="e">
        <f t="shared" si="378"/>
        <v>#DIV/0!</v>
      </c>
      <c r="MS51" s="46" t="e">
        <f t="shared" si="859"/>
        <v>#DIV/0!</v>
      </c>
      <c r="MU51" s="26"/>
      <c r="MV51" s="40"/>
      <c r="MW51" s="45"/>
      <c r="MX51" s="46" t="e">
        <f t="shared" si="379"/>
        <v>#DIV/0!</v>
      </c>
      <c r="MY51" s="46" t="e">
        <f t="shared" si="860"/>
        <v>#DIV/0!</v>
      </c>
      <c r="NA51" s="823">
        <f>50+50+50+100+150</f>
        <v>400</v>
      </c>
      <c r="NB51" s="824">
        <f>0.81+0.7+0.66+0.94+1.16</f>
        <v>4.2699999999999996</v>
      </c>
      <c r="NC51" s="823">
        <v>5</v>
      </c>
      <c r="ND51" s="46">
        <f t="shared" si="380"/>
        <v>93.676814988290403</v>
      </c>
      <c r="NE51" s="46">
        <f t="shared" si="861"/>
        <v>0.85399999999999987</v>
      </c>
      <c r="NG51" s="823">
        <f>50+50+50+50+50</f>
        <v>250</v>
      </c>
      <c r="NH51" s="824">
        <f>0.82+0.59+0.59+0.7+0.65</f>
        <v>3.35</v>
      </c>
      <c r="NI51" s="823">
        <v>5</v>
      </c>
      <c r="NJ51" s="46">
        <f t="shared" si="381"/>
        <v>74.626865671641795</v>
      </c>
      <c r="NK51" s="46">
        <f t="shared" si="862"/>
        <v>0.67</v>
      </c>
      <c r="NM51" s="823">
        <f>150+150+100+100+100</f>
        <v>600</v>
      </c>
      <c r="NN51" s="824">
        <f>1.1+0.9+0.7+0.8+0.9</f>
        <v>4.4000000000000004</v>
      </c>
      <c r="NO51" s="823">
        <v>5</v>
      </c>
      <c r="NP51" s="46">
        <f t="shared" si="382"/>
        <v>136.36363636363635</v>
      </c>
      <c r="NQ51" s="46">
        <f t="shared" si="863"/>
        <v>0.88000000000000012</v>
      </c>
      <c r="NS51" s="823">
        <f>100+100+150+150+50</f>
        <v>550</v>
      </c>
      <c r="NT51" s="824">
        <f>0.79+0.77+1.11+0.97+0.66</f>
        <v>4.3</v>
      </c>
      <c r="NU51" s="823">
        <v>5</v>
      </c>
      <c r="NV51" s="46">
        <f t="shared" si="383"/>
        <v>127.90697674418605</v>
      </c>
      <c r="NW51" s="46">
        <f t="shared" si="864"/>
        <v>0.86</v>
      </c>
      <c r="NY51" s="910">
        <f>100+100+150+150+150</f>
        <v>650</v>
      </c>
      <c r="NZ51" s="910">
        <f>0.87+0.77+1.02+1.4+1.26</f>
        <v>5.32</v>
      </c>
      <c r="OA51" s="910">
        <v>5</v>
      </c>
      <c r="OB51" s="46">
        <f t="shared" si="384"/>
        <v>122.18045112781954</v>
      </c>
      <c r="OC51" s="46">
        <f t="shared" si="865"/>
        <v>1.0640000000000001</v>
      </c>
      <c r="OE51" s="823">
        <f>50+50+50+100+100</f>
        <v>350</v>
      </c>
      <c r="OF51" s="824">
        <f>0.78+0.79+0.7+0.89+0.92</f>
        <v>4.08</v>
      </c>
      <c r="OG51" s="823">
        <v>5</v>
      </c>
      <c r="OH51" s="46">
        <f t="shared" si="385"/>
        <v>85.784313725490193</v>
      </c>
      <c r="OI51" s="46">
        <f t="shared" si="866"/>
        <v>0.81600000000000006</v>
      </c>
    </row>
    <row r="52" spans="1:399">
      <c r="KP52" s="178"/>
      <c r="KV52" s="178"/>
    </row>
    <row r="53" spans="1:399" ht="18.5">
      <c r="C53" s="97" t="s">
        <v>52</v>
      </c>
      <c r="KP53" s="178"/>
      <c r="KV53" s="178"/>
    </row>
    <row r="54" spans="1:399">
      <c r="KP54" s="178"/>
      <c r="KV54" s="178"/>
    </row>
    <row r="55" spans="1:399" ht="34.5">
      <c r="A55" s="49"/>
      <c r="B55" s="50" t="s">
        <v>6</v>
      </c>
      <c r="C55" s="50"/>
      <c r="D55" s="51" t="s">
        <v>7</v>
      </c>
      <c r="E55" s="80" t="s">
        <v>1</v>
      </c>
      <c r="F55" s="80" t="s">
        <v>50</v>
      </c>
      <c r="G55" s="80" t="s">
        <v>3</v>
      </c>
      <c r="H55" s="81" t="s">
        <v>4</v>
      </c>
      <c r="I55" s="80" t="s">
        <v>5</v>
      </c>
      <c r="K55" s="80" t="s">
        <v>1</v>
      </c>
      <c r="L55" s="80" t="s">
        <v>50</v>
      </c>
      <c r="M55" s="80" t="s">
        <v>3</v>
      </c>
      <c r="N55" s="81" t="s">
        <v>4</v>
      </c>
      <c r="O55" s="80" t="s">
        <v>5</v>
      </c>
      <c r="Q55" s="80" t="s">
        <v>1</v>
      </c>
      <c r="R55" s="80" t="s">
        <v>50</v>
      </c>
      <c r="S55" s="80" t="s">
        <v>3</v>
      </c>
      <c r="T55" s="81" t="s">
        <v>4</v>
      </c>
      <c r="U55" s="80" t="s">
        <v>5</v>
      </c>
      <c r="W55" s="80" t="s">
        <v>1</v>
      </c>
      <c r="X55" s="80" t="s">
        <v>50</v>
      </c>
      <c r="Y55" s="80" t="s">
        <v>3</v>
      </c>
      <c r="Z55" s="81" t="s">
        <v>4</v>
      </c>
      <c r="AA55" s="80" t="s">
        <v>5</v>
      </c>
      <c r="AC55" s="80" t="s">
        <v>1</v>
      </c>
      <c r="AD55" s="80" t="s">
        <v>50</v>
      </c>
      <c r="AE55" s="80" t="s">
        <v>3</v>
      </c>
      <c r="AF55" s="81" t="s">
        <v>4</v>
      </c>
      <c r="AG55" s="80" t="s">
        <v>5</v>
      </c>
      <c r="AI55" s="80" t="s">
        <v>1</v>
      </c>
      <c r="AJ55" s="80" t="s">
        <v>50</v>
      </c>
      <c r="AK55" s="80" t="s">
        <v>3</v>
      </c>
      <c r="AL55" s="81" t="s">
        <v>4</v>
      </c>
      <c r="AM55" s="80" t="s">
        <v>5</v>
      </c>
      <c r="AO55" s="80" t="s">
        <v>1</v>
      </c>
      <c r="AP55" s="80" t="s">
        <v>50</v>
      </c>
      <c r="AQ55" s="80" t="s">
        <v>3</v>
      </c>
      <c r="AR55" s="81" t="s">
        <v>4</v>
      </c>
      <c r="AS55" s="80" t="s">
        <v>5</v>
      </c>
      <c r="AU55" s="80" t="s">
        <v>1</v>
      </c>
      <c r="AV55" s="80" t="s">
        <v>50</v>
      </c>
      <c r="AW55" s="80" t="s">
        <v>3</v>
      </c>
      <c r="AX55" s="81" t="s">
        <v>4</v>
      </c>
      <c r="AY55" s="80" t="s">
        <v>5</v>
      </c>
      <c r="AZ55" s="594"/>
      <c r="BA55" s="80" t="s">
        <v>1</v>
      </c>
      <c r="BB55" s="80" t="s">
        <v>50</v>
      </c>
      <c r="BC55" s="80" t="s">
        <v>3</v>
      </c>
      <c r="BD55" s="81" t="s">
        <v>4</v>
      </c>
      <c r="BE55" s="80" t="s">
        <v>5</v>
      </c>
      <c r="BF55" s="594"/>
      <c r="BG55" s="80" t="s">
        <v>1</v>
      </c>
      <c r="BH55" s="80" t="s">
        <v>50</v>
      </c>
      <c r="BI55" s="80" t="s">
        <v>3</v>
      </c>
      <c r="BJ55" s="81" t="s">
        <v>4</v>
      </c>
      <c r="BK55" s="80" t="s">
        <v>5</v>
      </c>
      <c r="BL55" s="594"/>
      <c r="BM55" s="80" t="s">
        <v>1</v>
      </c>
      <c r="BN55" s="80" t="s">
        <v>50</v>
      </c>
      <c r="BO55" s="80" t="s">
        <v>3</v>
      </c>
      <c r="BP55" s="81" t="s">
        <v>4</v>
      </c>
      <c r="BQ55" s="80" t="s">
        <v>5</v>
      </c>
      <c r="BS55" s="80" t="s">
        <v>1</v>
      </c>
      <c r="BT55" s="80" t="s">
        <v>50</v>
      </c>
      <c r="BU55" s="80" t="s">
        <v>3</v>
      </c>
      <c r="BV55" s="81" t="s">
        <v>4</v>
      </c>
      <c r="BW55" s="80" t="s">
        <v>5</v>
      </c>
      <c r="BX55" s="594"/>
      <c r="BY55" s="80" t="s">
        <v>1</v>
      </c>
      <c r="BZ55" s="80" t="s">
        <v>50</v>
      </c>
      <c r="CA55" s="80" t="s">
        <v>3</v>
      </c>
      <c r="CB55" s="81" t="s">
        <v>4</v>
      </c>
      <c r="CC55" s="80" t="s">
        <v>5</v>
      </c>
      <c r="CD55" s="594"/>
      <c r="CE55" s="80" t="s">
        <v>1</v>
      </c>
      <c r="CF55" s="80" t="s">
        <v>50</v>
      </c>
      <c r="CG55" s="80" t="s">
        <v>3</v>
      </c>
      <c r="CH55" s="81" t="s">
        <v>4</v>
      </c>
      <c r="CI55" s="80" t="s">
        <v>5</v>
      </c>
      <c r="CJ55" s="594"/>
      <c r="CK55" s="80" t="s">
        <v>1</v>
      </c>
      <c r="CL55" s="80" t="s">
        <v>50</v>
      </c>
      <c r="CM55" s="80" t="s">
        <v>3</v>
      </c>
      <c r="CN55" s="81" t="s">
        <v>4</v>
      </c>
      <c r="CO55" s="80" t="s">
        <v>5</v>
      </c>
      <c r="CP55" s="594"/>
      <c r="CQ55" s="80" t="s">
        <v>1</v>
      </c>
      <c r="CR55" s="80" t="s">
        <v>50</v>
      </c>
      <c r="CS55" s="80" t="s">
        <v>3</v>
      </c>
      <c r="CT55" s="81" t="s">
        <v>4</v>
      </c>
      <c r="CU55" s="80" t="s">
        <v>5</v>
      </c>
      <c r="CV55" s="594"/>
      <c r="CW55" s="80" t="s">
        <v>1</v>
      </c>
      <c r="CX55" s="80" t="s">
        <v>50</v>
      </c>
      <c r="CY55" s="80" t="s">
        <v>3</v>
      </c>
      <c r="CZ55" s="81" t="s">
        <v>4</v>
      </c>
      <c r="DA55" s="80" t="s">
        <v>5</v>
      </c>
      <c r="DB55" s="594"/>
      <c r="DC55" s="80" t="s">
        <v>1</v>
      </c>
      <c r="DD55" s="80" t="s">
        <v>50</v>
      </c>
      <c r="DE55" s="80" t="s">
        <v>3</v>
      </c>
      <c r="DF55" s="81" t="s">
        <v>4</v>
      </c>
      <c r="DG55" s="80" t="s">
        <v>5</v>
      </c>
      <c r="DH55" s="594"/>
      <c r="DI55" s="80" t="s">
        <v>1</v>
      </c>
      <c r="DJ55" s="80" t="s">
        <v>50</v>
      </c>
      <c r="DK55" s="80" t="s">
        <v>3</v>
      </c>
      <c r="DL55" s="81" t="s">
        <v>4</v>
      </c>
      <c r="DM55" s="80" t="s">
        <v>5</v>
      </c>
      <c r="DN55" s="594"/>
      <c r="DO55" s="80" t="s">
        <v>1</v>
      </c>
      <c r="DP55" s="80" t="s">
        <v>50</v>
      </c>
      <c r="DQ55" s="80" t="s">
        <v>3</v>
      </c>
      <c r="DR55" s="81" t="s">
        <v>4</v>
      </c>
      <c r="DS55" s="80" t="s">
        <v>5</v>
      </c>
      <c r="DT55" s="594"/>
      <c r="DU55" s="80" t="s">
        <v>1</v>
      </c>
      <c r="DV55" s="80" t="s">
        <v>50</v>
      </c>
      <c r="DW55" s="80" t="s">
        <v>3</v>
      </c>
      <c r="DX55" s="81" t="s">
        <v>4</v>
      </c>
      <c r="DY55" s="80" t="s">
        <v>5</v>
      </c>
      <c r="DZ55" s="594"/>
      <c r="EA55" s="80" t="s">
        <v>1</v>
      </c>
      <c r="EB55" s="80" t="s">
        <v>50</v>
      </c>
      <c r="EC55" s="80" t="s">
        <v>3</v>
      </c>
      <c r="ED55" s="81" t="s">
        <v>4</v>
      </c>
      <c r="EE55" s="80" t="s">
        <v>5</v>
      </c>
      <c r="EF55" s="594"/>
      <c r="EG55" s="80" t="s">
        <v>1</v>
      </c>
      <c r="EH55" s="80" t="s">
        <v>50</v>
      </c>
      <c r="EI55" s="80" t="s">
        <v>3</v>
      </c>
      <c r="EJ55" s="81" t="s">
        <v>4</v>
      </c>
      <c r="EK55" s="80" t="s">
        <v>5</v>
      </c>
      <c r="EL55" s="594"/>
      <c r="EM55" s="80" t="s">
        <v>1</v>
      </c>
      <c r="EN55" s="80" t="s">
        <v>50</v>
      </c>
      <c r="EO55" s="80" t="s">
        <v>3</v>
      </c>
      <c r="EP55" s="81" t="s">
        <v>4</v>
      </c>
      <c r="EQ55" s="80" t="s">
        <v>5</v>
      </c>
      <c r="ES55" s="80" t="s">
        <v>1</v>
      </c>
      <c r="ET55" s="80" t="s">
        <v>50</v>
      </c>
      <c r="EU55" s="80" t="s">
        <v>3</v>
      </c>
      <c r="EV55" s="81" t="s">
        <v>4</v>
      </c>
      <c r="EW55" s="80" t="s">
        <v>5</v>
      </c>
      <c r="EY55" s="80" t="s">
        <v>1</v>
      </c>
      <c r="EZ55" s="80" t="s">
        <v>50</v>
      </c>
      <c r="FA55" s="80" t="s">
        <v>3</v>
      </c>
      <c r="FB55" s="81" t="s">
        <v>4</v>
      </c>
      <c r="FC55" s="80" t="s">
        <v>5</v>
      </c>
      <c r="FE55" s="80" t="s">
        <v>1</v>
      </c>
      <c r="FF55" s="80" t="s">
        <v>50</v>
      </c>
      <c r="FG55" s="80" t="s">
        <v>3</v>
      </c>
      <c r="FH55" s="81" t="s">
        <v>4</v>
      </c>
      <c r="FI55" s="80" t="s">
        <v>5</v>
      </c>
      <c r="FK55" s="80" t="s">
        <v>1</v>
      </c>
      <c r="FL55" s="80" t="s">
        <v>50</v>
      </c>
      <c r="FM55" s="80" t="s">
        <v>3</v>
      </c>
      <c r="FN55" s="81" t="s">
        <v>4</v>
      </c>
      <c r="FO55" s="80" t="s">
        <v>5</v>
      </c>
      <c r="FQ55" s="80" t="s">
        <v>1</v>
      </c>
      <c r="FR55" s="80" t="s">
        <v>50</v>
      </c>
      <c r="FS55" s="80" t="s">
        <v>3</v>
      </c>
      <c r="FT55" s="81" t="s">
        <v>4</v>
      </c>
      <c r="FU55" s="80" t="s">
        <v>5</v>
      </c>
      <c r="FW55" s="80" t="s">
        <v>1</v>
      </c>
      <c r="FX55" s="80" t="s">
        <v>50</v>
      </c>
      <c r="FY55" s="80" t="s">
        <v>3</v>
      </c>
      <c r="FZ55" s="81" t="s">
        <v>4</v>
      </c>
      <c r="GA55" s="80" t="s">
        <v>5</v>
      </c>
      <c r="GC55" s="80" t="s">
        <v>1</v>
      </c>
      <c r="GD55" s="80" t="s">
        <v>50</v>
      </c>
      <c r="GE55" s="80" t="s">
        <v>3</v>
      </c>
      <c r="GF55" s="81" t="s">
        <v>4</v>
      </c>
      <c r="GG55" s="80" t="s">
        <v>5</v>
      </c>
      <c r="GI55" s="80" t="s">
        <v>1</v>
      </c>
      <c r="GJ55" s="80" t="s">
        <v>50</v>
      </c>
      <c r="GK55" s="80" t="s">
        <v>3</v>
      </c>
      <c r="GL55" s="81" t="s">
        <v>4</v>
      </c>
      <c r="GM55" s="80" t="s">
        <v>5</v>
      </c>
      <c r="GO55" s="80" t="s">
        <v>1</v>
      </c>
      <c r="GP55" s="80" t="s">
        <v>50</v>
      </c>
      <c r="GQ55" s="80" t="s">
        <v>3</v>
      </c>
      <c r="GR55" s="81" t="s">
        <v>4</v>
      </c>
      <c r="GS55" s="80" t="s">
        <v>5</v>
      </c>
      <c r="GU55" s="80" t="s">
        <v>1</v>
      </c>
      <c r="GV55" s="80" t="s">
        <v>50</v>
      </c>
      <c r="GW55" s="80" t="s">
        <v>3</v>
      </c>
      <c r="GX55" s="81" t="s">
        <v>4</v>
      </c>
      <c r="GY55" s="80" t="s">
        <v>5</v>
      </c>
      <c r="HA55" s="80" t="s">
        <v>1</v>
      </c>
      <c r="HB55" s="80" t="s">
        <v>50</v>
      </c>
      <c r="HC55" s="80" t="s">
        <v>3</v>
      </c>
      <c r="HD55" s="81" t="s">
        <v>4</v>
      </c>
      <c r="HE55" s="80" t="s">
        <v>5</v>
      </c>
      <c r="HG55" s="80" t="s">
        <v>1</v>
      </c>
      <c r="HH55" s="80" t="s">
        <v>50</v>
      </c>
      <c r="HI55" s="80" t="s">
        <v>3</v>
      </c>
      <c r="HJ55" s="81" t="s">
        <v>4</v>
      </c>
      <c r="HK55" s="80" t="s">
        <v>5</v>
      </c>
      <c r="HM55" s="80" t="s">
        <v>1</v>
      </c>
      <c r="HN55" s="80" t="s">
        <v>50</v>
      </c>
      <c r="HO55" s="80" t="s">
        <v>3</v>
      </c>
      <c r="HP55" s="81" t="s">
        <v>4</v>
      </c>
      <c r="HQ55" s="80" t="s">
        <v>5</v>
      </c>
      <c r="HS55" s="80" t="s">
        <v>1</v>
      </c>
      <c r="HT55" s="80" t="s">
        <v>50</v>
      </c>
      <c r="HU55" s="80" t="s">
        <v>3</v>
      </c>
      <c r="HV55" s="81" t="s">
        <v>4</v>
      </c>
      <c r="HW55" s="80" t="s">
        <v>5</v>
      </c>
      <c r="HY55" s="80" t="s">
        <v>1</v>
      </c>
      <c r="HZ55" s="80" t="s">
        <v>50</v>
      </c>
      <c r="IA55" s="80" t="s">
        <v>3</v>
      </c>
      <c r="IB55" s="81" t="s">
        <v>4</v>
      </c>
      <c r="IC55" s="80" t="s">
        <v>5</v>
      </c>
      <c r="IE55" s="80" t="s">
        <v>1</v>
      </c>
      <c r="IF55" s="80" t="s">
        <v>50</v>
      </c>
      <c r="IG55" s="80" t="s">
        <v>3</v>
      </c>
      <c r="IH55" s="81" t="s">
        <v>4</v>
      </c>
      <c r="II55" s="80" t="s">
        <v>5</v>
      </c>
      <c r="IK55" s="80" t="s">
        <v>1</v>
      </c>
      <c r="IL55" s="80" t="s">
        <v>50</v>
      </c>
      <c r="IM55" s="80" t="s">
        <v>3</v>
      </c>
      <c r="IN55" s="81" t="s">
        <v>4</v>
      </c>
      <c r="IO55" s="80" t="s">
        <v>5</v>
      </c>
      <c r="IQ55" s="80" t="s">
        <v>1</v>
      </c>
      <c r="IR55" s="80" t="s">
        <v>50</v>
      </c>
      <c r="IS55" s="80" t="s">
        <v>3</v>
      </c>
      <c r="IT55" s="81" t="s">
        <v>4</v>
      </c>
      <c r="IU55" s="80" t="s">
        <v>5</v>
      </c>
      <c r="IW55" s="80" t="s">
        <v>1</v>
      </c>
      <c r="IX55" s="80" t="s">
        <v>50</v>
      </c>
      <c r="IY55" s="80" t="s">
        <v>3</v>
      </c>
      <c r="IZ55" s="81" t="s">
        <v>4</v>
      </c>
      <c r="JA55" s="80" t="s">
        <v>5</v>
      </c>
      <c r="JC55" s="80" t="s">
        <v>1</v>
      </c>
      <c r="JD55" s="80" t="s">
        <v>50</v>
      </c>
      <c r="JE55" s="80" t="s">
        <v>3</v>
      </c>
      <c r="JF55" s="81" t="s">
        <v>4</v>
      </c>
      <c r="JG55" s="80" t="s">
        <v>5</v>
      </c>
      <c r="JI55" s="80" t="s">
        <v>1</v>
      </c>
      <c r="JJ55" s="80" t="s">
        <v>50</v>
      </c>
      <c r="JK55" s="80" t="s">
        <v>3</v>
      </c>
      <c r="JL55" s="81" t="s">
        <v>4</v>
      </c>
      <c r="JM55" s="80" t="s">
        <v>5</v>
      </c>
      <c r="JO55" s="80" t="s">
        <v>1</v>
      </c>
      <c r="JP55" s="80" t="s">
        <v>50</v>
      </c>
      <c r="JQ55" s="80" t="s">
        <v>3</v>
      </c>
      <c r="JR55" s="81" t="s">
        <v>4</v>
      </c>
      <c r="JS55" s="80" t="s">
        <v>5</v>
      </c>
      <c r="JU55" s="80" t="s">
        <v>1</v>
      </c>
      <c r="JV55" s="80" t="s">
        <v>50</v>
      </c>
      <c r="JW55" s="80" t="s">
        <v>3</v>
      </c>
      <c r="JX55" s="81" t="s">
        <v>4</v>
      </c>
      <c r="JY55" s="80" t="s">
        <v>5</v>
      </c>
      <c r="KA55" s="80" t="s">
        <v>1</v>
      </c>
      <c r="KB55" s="80" t="s">
        <v>50</v>
      </c>
      <c r="KC55" s="80" t="s">
        <v>3</v>
      </c>
      <c r="KD55" s="81" t="s">
        <v>4</v>
      </c>
      <c r="KE55" s="80" t="s">
        <v>5</v>
      </c>
      <c r="KG55" s="80" t="s">
        <v>1</v>
      </c>
      <c r="KH55" s="80" t="s">
        <v>50</v>
      </c>
      <c r="KI55" s="80" t="s">
        <v>3</v>
      </c>
      <c r="KJ55" s="81" t="s">
        <v>4</v>
      </c>
      <c r="KK55" s="80" t="s">
        <v>5</v>
      </c>
      <c r="KM55" s="80" t="s">
        <v>1</v>
      </c>
      <c r="KN55" s="80" t="s">
        <v>50</v>
      </c>
      <c r="KO55" s="80" t="s">
        <v>3</v>
      </c>
      <c r="KP55" s="81" t="s">
        <v>4</v>
      </c>
      <c r="KQ55" s="80" t="s">
        <v>5</v>
      </c>
      <c r="KS55" s="80" t="s">
        <v>1</v>
      </c>
      <c r="KT55" s="80" t="s">
        <v>50</v>
      </c>
      <c r="KU55" s="80" t="s">
        <v>3</v>
      </c>
      <c r="KV55" s="81" t="s">
        <v>4</v>
      </c>
      <c r="KW55" s="80" t="s">
        <v>5</v>
      </c>
      <c r="KY55" s="80" t="s">
        <v>1</v>
      </c>
      <c r="KZ55" s="80" t="s">
        <v>50</v>
      </c>
      <c r="LA55" s="80" t="s">
        <v>3</v>
      </c>
      <c r="LB55" s="81" t="s">
        <v>4</v>
      </c>
      <c r="LC55" s="80" t="s">
        <v>5</v>
      </c>
      <c r="LE55" s="80" t="s">
        <v>1</v>
      </c>
      <c r="LF55" s="80" t="s">
        <v>50</v>
      </c>
      <c r="LG55" s="80" t="s">
        <v>3</v>
      </c>
      <c r="LH55" s="81" t="s">
        <v>4</v>
      </c>
      <c r="LI55" s="80" t="s">
        <v>5</v>
      </c>
      <c r="LK55" s="80" t="s">
        <v>1</v>
      </c>
      <c r="LL55" s="80" t="s">
        <v>50</v>
      </c>
      <c r="LM55" s="80" t="s">
        <v>3</v>
      </c>
      <c r="LN55" s="81" t="s">
        <v>4</v>
      </c>
      <c r="LO55" s="80" t="s">
        <v>5</v>
      </c>
      <c r="LQ55" s="80" t="s">
        <v>1</v>
      </c>
      <c r="LR55" s="80" t="s">
        <v>50</v>
      </c>
      <c r="LS55" s="80" t="s">
        <v>3</v>
      </c>
      <c r="LT55" s="81" t="s">
        <v>4</v>
      </c>
      <c r="LU55" s="80" t="s">
        <v>5</v>
      </c>
      <c r="LW55" s="80" t="s">
        <v>1</v>
      </c>
      <c r="LX55" s="80" t="s">
        <v>50</v>
      </c>
      <c r="LY55" s="80" t="s">
        <v>3</v>
      </c>
      <c r="LZ55" s="81" t="s">
        <v>4</v>
      </c>
      <c r="MA55" s="80" t="s">
        <v>5</v>
      </c>
      <c r="MC55" s="80" t="s">
        <v>1</v>
      </c>
      <c r="MD55" s="80" t="s">
        <v>50</v>
      </c>
      <c r="ME55" s="80" t="s">
        <v>3</v>
      </c>
      <c r="MF55" s="81" t="s">
        <v>4</v>
      </c>
      <c r="MG55" s="80" t="s">
        <v>5</v>
      </c>
      <c r="MI55" s="80" t="s">
        <v>1</v>
      </c>
      <c r="MJ55" s="80" t="s">
        <v>50</v>
      </c>
      <c r="MK55" s="80" t="s">
        <v>3</v>
      </c>
      <c r="ML55" s="81" t="s">
        <v>4</v>
      </c>
      <c r="MM55" s="80" t="s">
        <v>5</v>
      </c>
      <c r="MO55" s="80" t="s">
        <v>1</v>
      </c>
      <c r="MP55" s="80" t="s">
        <v>50</v>
      </c>
      <c r="MQ55" s="80" t="s">
        <v>3</v>
      </c>
      <c r="MR55" s="81" t="s">
        <v>4</v>
      </c>
      <c r="MS55" s="80" t="s">
        <v>5</v>
      </c>
      <c r="MU55" s="80" t="s">
        <v>1</v>
      </c>
      <c r="MV55" s="80" t="s">
        <v>50</v>
      </c>
      <c r="MW55" s="80" t="s">
        <v>3</v>
      </c>
      <c r="MX55" s="81" t="s">
        <v>4</v>
      </c>
      <c r="MY55" s="80" t="s">
        <v>5</v>
      </c>
      <c r="NA55" s="822" t="s">
        <v>1</v>
      </c>
      <c r="NB55" s="822" t="s">
        <v>50</v>
      </c>
      <c r="NC55" s="822" t="s">
        <v>3</v>
      </c>
      <c r="ND55" s="81" t="s">
        <v>4</v>
      </c>
      <c r="NE55" s="80" t="s">
        <v>5</v>
      </c>
      <c r="NG55" s="80" t="s">
        <v>1</v>
      </c>
      <c r="NH55" s="80" t="s">
        <v>50</v>
      </c>
      <c r="NI55" s="80" t="s">
        <v>3</v>
      </c>
      <c r="NJ55" s="81" t="s">
        <v>4</v>
      </c>
      <c r="NK55" s="80" t="s">
        <v>5</v>
      </c>
      <c r="NM55" s="80" t="s">
        <v>1</v>
      </c>
      <c r="NN55" s="80" t="s">
        <v>50</v>
      </c>
      <c r="NO55" s="80" t="s">
        <v>3</v>
      </c>
      <c r="NP55" s="81" t="s">
        <v>4</v>
      </c>
      <c r="NQ55" s="80" t="s">
        <v>5</v>
      </c>
      <c r="NS55" s="80" t="s">
        <v>1</v>
      </c>
      <c r="NT55" s="80" t="s">
        <v>50</v>
      </c>
      <c r="NU55" s="80" t="s">
        <v>3</v>
      </c>
      <c r="NV55" s="81" t="s">
        <v>4</v>
      </c>
      <c r="NW55" s="80" t="s">
        <v>5</v>
      </c>
      <c r="NY55" s="80" t="s">
        <v>1</v>
      </c>
      <c r="NZ55" s="80" t="s">
        <v>50</v>
      </c>
      <c r="OA55" s="80" t="s">
        <v>3</v>
      </c>
      <c r="OB55" s="81" t="s">
        <v>4</v>
      </c>
      <c r="OC55" s="80" t="s">
        <v>5</v>
      </c>
      <c r="OE55" s="80" t="s">
        <v>1</v>
      </c>
      <c r="OF55" s="80" t="s">
        <v>50</v>
      </c>
      <c r="OG55" s="80" t="s">
        <v>3</v>
      </c>
      <c r="OH55" s="81" t="s">
        <v>4</v>
      </c>
      <c r="OI55" s="80" t="s">
        <v>5</v>
      </c>
    </row>
    <row r="56" spans="1:399">
      <c r="A56" s="107" t="s">
        <v>8</v>
      </c>
      <c r="B56" s="52" t="s">
        <v>9</v>
      </c>
      <c r="C56" s="53"/>
      <c r="D56" s="54" t="s">
        <v>10</v>
      </c>
      <c r="E56" s="79">
        <f>SUM(E6:E7)</f>
        <v>2500</v>
      </c>
      <c r="F56" s="82">
        <f>SUM(F6:F7)</f>
        <v>10.260000000000002</v>
      </c>
      <c r="G56" s="79">
        <f>SUM(G6:G7)</f>
        <v>4</v>
      </c>
      <c r="H56" s="82">
        <f>E56/F56</f>
        <v>243.66471734892784</v>
      </c>
      <c r="I56" s="83">
        <f>F56/G56</f>
        <v>2.5650000000000004</v>
      </c>
      <c r="J56" s="589"/>
      <c r="K56" s="79">
        <f>SUM(K6:K7)</f>
        <v>6700</v>
      </c>
      <c r="L56" s="82">
        <f>SUM(L6:L7)</f>
        <v>38.78</v>
      </c>
      <c r="M56" s="79">
        <f>SUM(M6:M7)</f>
        <v>10</v>
      </c>
      <c r="N56" s="82">
        <f>K56/L56</f>
        <v>172.76946879834966</v>
      </c>
      <c r="O56" s="83">
        <f>L56/M56</f>
        <v>3.8780000000000001</v>
      </c>
      <c r="P56" s="589"/>
      <c r="Q56" s="79">
        <f>SUM(Q6:Q7)</f>
        <v>2300</v>
      </c>
      <c r="R56" s="82">
        <f>SUM(R6:R7)</f>
        <v>16.2</v>
      </c>
      <c r="S56" s="79">
        <f>SUM(S6:S7)</f>
        <v>5</v>
      </c>
      <c r="T56" s="82">
        <f>Q56/R56</f>
        <v>141.97530864197532</v>
      </c>
      <c r="U56" s="83">
        <f>R56/S56</f>
        <v>3.2399999999999998</v>
      </c>
      <c r="V56" s="589"/>
      <c r="W56" s="79">
        <f>SUM(W6:W7)</f>
        <v>500</v>
      </c>
      <c r="X56" s="82">
        <f>SUM(X6:X7)</f>
        <v>2</v>
      </c>
      <c r="Y56" s="79">
        <f>SUM(Y6:Y7)</f>
        <v>1</v>
      </c>
      <c r="Z56" s="82">
        <f>W56/X56</f>
        <v>250</v>
      </c>
      <c r="AA56" s="83">
        <f>X56/Y56</f>
        <v>2</v>
      </c>
      <c r="AB56" s="589"/>
      <c r="AC56" s="79">
        <f>SUM(AC6:AC7)</f>
        <v>2800</v>
      </c>
      <c r="AD56" s="82">
        <f>SUM(AD6:AD7)</f>
        <v>16.3</v>
      </c>
      <c r="AE56" s="79">
        <f>SUM(AE6:AE7)</f>
        <v>5</v>
      </c>
      <c r="AF56" s="82">
        <f>AC56/AD56</f>
        <v>171.77914110429447</v>
      </c>
      <c r="AG56" s="83">
        <f>AD56/AE56</f>
        <v>3.2600000000000002</v>
      </c>
      <c r="AH56" s="589"/>
      <c r="AI56" s="79">
        <f>SUM(AI6:AI7)</f>
        <v>0</v>
      </c>
      <c r="AJ56" s="82">
        <f>SUM(AJ6:AJ7)</f>
        <v>0</v>
      </c>
      <c r="AK56" s="79">
        <f>SUM(AK6:AK7)</f>
        <v>0</v>
      </c>
      <c r="AL56" s="82" t="e">
        <f>AI56/AJ56</f>
        <v>#DIV/0!</v>
      </c>
      <c r="AM56" s="83" t="e">
        <f>AJ56/AK56</f>
        <v>#DIV/0!</v>
      </c>
      <c r="AN56" s="589"/>
      <c r="AO56" s="79">
        <f>SUM(AO6:AO7)</f>
        <v>1000</v>
      </c>
      <c r="AP56" s="82">
        <f>SUM(AP6:AP7)</f>
        <v>8.98</v>
      </c>
      <c r="AQ56" s="79">
        <f>SUM(AQ6:AQ7)</f>
        <v>2</v>
      </c>
      <c r="AR56" s="82">
        <f>AO56/AP56</f>
        <v>111.35857461024499</v>
      </c>
      <c r="AS56" s="83">
        <f>AP56/AQ56</f>
        <v>4.49</v>
      </c>
      <c r="AT56" s="589"/>
      <c r="AU56" s="79">
        <f>SUM(AU6:AU7)</f>
        <v>5000</v>
      </c>
      <c r="AV56" s="82">
        <f>SUM(AV6:AV7)</f>
        <v>50.16</v>
      </c>
      <c r="AW56" s="79">
        <f>SUM(AW6:AW7)</f>
        <v>10</v>
      </c>
      <c r="AX56" s="82">
        <f>AU56/AV56</f>
        <v>99.681020733652318</v>
      </c>
      <c r="AY56" s="83">
        <f>AV56/AW56</f>
        <v>5.016</v>
      </c>
      <c r="AZ56" s="84"/>
      <c r="BA56" s="79">
        <f>SUM(BA6:BA7)</f>
        <v>2800</v>
      </c>
      <c r="BB56" s="82">
        <f>SUM(BB6:BB7)</f>
        <v>47.48</v>
      </c>
      <c r="BC56" s="79">
        <f>SUM(BC6:BC7)</f>
        <v>5</v>
      </c>
      <c r="BD56" s="82">
        <f>BA56/BB56</f>
        <v>58.972198820556031</v>
      </c>
      <c r="BE56" s="83">
        <f>BB56/BC56</f>
        <v>9.4959999999999987</v>
      </c>
      <c r="BF56" s="84"/>
      <c r="BG56" s="79">
        <f>SUM(BG6:BG7)</f>
        <v>0</v>
      </c>
      <c r="BH56" s="82">
        <f>SUM(BH6:BH7)</f>
        <v>0</v>
      </c>
      <c r="BI56" s="79">
        <f>SUM(BI6:BI7)</f>
        <v>0</v>
      </c>
      <c r="BJ56" s="82" t="e">
        <f>BG56/BH56</f>
        <v>#DIV/0!</v>
      </c>
      <c r="BK56" s="83" t="e">
        <f>BH56/BI56</f>
        <v>#DIV/0!</v>
      </c>
      <c r="BL56" s="84"/>
      <c r="BM56" s="79">
        <f>SUM(BM6:BM7)</f>
        <v>0</v>
      </c>
      <c r="BN56" s="82">
        <f>SUM(BN6:BN7)</f>
        <v>0</v>
      </c>
      <c r="BO56" s="79">
        <f>SUM(BO6:BO7)</f>
        <v>0</v>
      </c>
      <c r="BP56" s="82" t="e">
        <f>BM56/BN56</f>
        <v>#DIV/0!</v>
      </c>
      <c r="BQ56" s="83" t="e">
        <f>BN56/BO56</f>
        <v>#DIV/0!</v>
      </c>
      <c r="BR56" s="589"/>
      <c r="BS56" s="79">
        <f>SUM(BS6:BS7)</f>
        <v>3600</v>
      </c>
      <c r="BT56" s="82">
        <f>SUM(BT6:BT7)</f>
        <v>27.630000000000003</v>
      </c>
      <c r="BU56" s="79">
        <f>SUM(BU6:BU7)</f>
        <v>6</v>
      </c>
      <c r="BV56" s="82">
        <f>BS56/BT56</f>
        <v>130.29315960912052</v>
      </c>
      <c r="BW56" s="83">
        <f>BT56/BU56</f>
        <v>4.6050000000000004</v>
      </c>
      <c r="BX56" s="84"/>
      <c r="BY56" s="79">
        <f>SUM(BY6:BY7)</f>
        <v>4400</v>
      </c>
      <c r="BZ56" s="82">
        <f>SUM(BZ6:BZ7)</f>
        <v>54.33</v>
      </c>
      <c r="CA56" s="79">
        <f>SUM(CA6:CA7)</f>
        <v>10</v>
      </c>
      <c r="CB56" s="82">
        <f>BY56/BZ56</f>
        <v>80.98656359285846</v>
      </c>
      <c r="CC56" s="83">
        <f>BZ56/CA56</f>
        <v>5.4329999999999998</v>
      </c>
      <c r="CD56" s="84"/>
      <c r="CE56" s="79">
        <f>SUM(CE6:CE7)</f>
        <v>2500</v>
      </c>
      <c r="CF56" s="82">
        <f>SUM(CF6:CF7)</f>
        <v>13.89</v>
      </c>
      <c r="CG56" s="79">
        <f>SUM(CG6:CG7)</f>
        <v>5</v>
      </c>
      <c r="CH56" s="82">
        <f>CE56/CF56</f>
        <v>179.98560115190784</v>
      </c>
      <c r="CI56" s="83">
        <f>CF56/CG56</f>
        <v>2.778</v>
      </c>
      <c r="CJ56" s="84"/>
      <c r="CK56" s="79">
        <f>SUM(CK6:CK7)</f>
        <v>3100</v>
      </c>
      <c r="CL56" s="82">
        <f>SUM(CL6:CL7)</f>
        <v>18.04</v>
      </c>
      <c r="CM56" s="79">
        <f>SUM(CM6:CM7)</f>
        <v>5</v>
      </c>
      <c r="CN56" s="82">
        <f>CK56/CL56</f>
        <v>171.84035476718404</v>
      </c>
      <c r="CO56" s="83">
        <f>CL56/CM56</f>
        <v>3.6079999999999997</v>
      </c>
      <c r="CP56" s="84"/>
      <c r="CQ56" s="79">
        <f>SUM(CQ6:CQ7)</f>
        <v>0</v>
      </c>
      <c r="CR56" s="82">
        <f>SUM(CR6:CR7)</f>
        <v>0</v>
      </c>
      <c r="CS56" s="79">
        <f>SUM(CS6:CS7)</f>
        <v>0</v>
      </c>
      <c r="CT56" s="82" t="e">
        <f>CQ56/CR56</f>
        <v>#DIV/0!</v>
      </c>
      <c r="CU56" s="83" t="e">
        <f>CR56/CS56</f>
        <v>#DIV/0!</v>
      </c>
      <c r="CV56" s="84"/>
      <c r="CW56" s="79">
        <f>SUM(CW6:CW7)</f>
        <v>4400</v>
      </c>
      <c r="CX56" s="82">
        <f>SUM(CX6:CX7)</f>
        <v>54.33</v>
      </c>
      <c r="CY56" s="79">
        <f>SUM(CY6:CY7)</f>
        <v>10</v>
      </c>
      <c r="CZ56" s="82">
        <f>CW56/CX56</f>
        <v>80.98656359285846</v>
      </c>
      <c r="DA56" s="83">
        <f>CX56/CY56</f>
        <v>5.4329999999999998</v>
      </c>
      <c r="DB56" s="84"/>
      <c r="DC56" s="79">
        <f>SUM(DC6:DC7)</f>
        <v>4700</v>
      </c>
      <c r="DD56" s="82">
        <f>SUM(DD6:DD7)</f>
        <v>62.77</v>
      </c>
      <c r="DE56" s="79">
        <f>SUM(DE6:DE7)</f>
        <v>10</v>
      </c>
      <c r="DF56" s="82">
        <f>DC56/DD56</f>
        <v>74.876533375816464</v>
      </c>
      <c r="DG56" s="83">
        <f>DD56/DE56</f>
        <v>6.2770000000000001</v>
      </c>
      <c r="DH56" s="84"/>
      <c r="DI56" s="79">
        <f>SUM(DI6:DI7)</f>
        <v>5700</v>
      </c>
      <c r="DJ56" s="82">
        <f>SUM(DJ6:DJ7)</f>
        <v>55.55</v>
      </c>
      <c r="DK56" s="79">
        <f>SUM(DK6:DK7)</f>
        <v>10</v>
      </c>
      <c r="DL56" s="82">
        <f>DI56/DJ56</f>
        <v>102.61026102610262</v>
      </c>
      <c r="DM56" s="83">
        <f>DJ56/DK56</f>
        <v>5.5549999999999997</v>
      </c>
      <c r="DN56" s="84"/>
      <c r="DO56" s="79">
        <f>SUM(DO6:DO7)</f>
        <v>5300</v>
      </c>
      <c r="DP56" s="82">
        <f>SUM(DP6:DP7)</f>
        <v>47.72</v>
      </c>
      <c r="DQ56" s="79">
        <f>SUM(DQ6:DQ7)</f>
        <v>10</v>
      </c>
      <c r="DR56" s="82">
        <f>DO56/DP56</f>
        <v>111.06454316848281</v>
      </c>
      <c r="DS56" s="83">
        <f>DP56/DQ56</f>
        <v>4.7720000000000002</v>
      </c>
      <c r="DT56" s="84"/>
      <c r="DU56" s="79">
        <f>SUM(DU6:DU7)</f>
        <v>0</v>
      </c>
      <c r="DV56" s="82">
        <f>SUM(DV6:DV7)</f>
        <v>0</v>
      </c>
      <c r="DW56" s="79">
        <f>SUM(DW6:DW7)</f>
        <v>0</v>
      </c>
      <c r="DX56" s="82" t="e">
        <f>DU56/DV56</f>
        <v>#DIV/0!</v>
      </c>
      <c r="DY56" s="83" t="e">
        <f>DV56/DW56</f>
        <v>#DIV/0!</v>
      </c>
      <c r="DZ56" s="84"/>
      <c r="EA56" s="79">
        <f>SUM(EA6:EA7)</f>
        <v>0</v>
      </c>
      <c r="EB56" s="82">
        <f>SUM(EB6:EB7)</f>
        <v>0</v>
      </c>
      <c r="EC56" s="79">
        <f>SUM(EC6:EC7)</f>
        <v>0</v>
      </c>
      <c r="ED56" s="82" t="e">
        <f>EA56/EB56</f>
        <v>#DIV/0!</v>
      </c>
      <c r="EE56" s="83" t="e">
        <f>EB56/EC56</f>
        <v>#DIV/0!</v>
      </c>
      <c r="EF56" s="84"/>
      <c r="EG56" s="79">
        <f>SUM(EG6:EG7)</f>
        <v>0</v>
      </c>
      <c r="EH56" s="82">
        <f>SUM(EH6:EH7)</f>
        <v>0</v>
      </c>
      <c r="EI56" s="79">
        <f>SUM(EI6:EI7)</f>
        <v>0</v>
      </c>
      <c r="EJ56" s="82" t="e">
        <f>EG56/EH56</f>
        <v>#DIV/0!</v>
      </c>
      <c r="EK56" s="83" t="e">
        <f>EH56/EI56</f>
        <v>#DIV/0!</v>
      </c>
      <c r="EL56" s="84"/>
      <c r="EM56" s="79">
        <f>SUM(EM6:EM7)</f>
        <v>0</v>
      </c>
      <c r="EN56" s="82">
        <f>SUM(EN6:EN7)</f>
        <v>0</v>
      </c>
      <c r="EO56" s="79">
        <f>SUM(EO6:EO7)</f>
        <v>0</v>
      </c>
      <c r="EP56" s="82" t="e">
        <f>EM56/EN56</f>
        <v>#DIV/0!</v>
      </c>
      <c r="EQ56" s="83" t="e">
        <f>EN56/EO56</f>
        <v>#DIV/0!</v>
      </c>
      <c r="ER56" s="589"/>
      <c r="ES56" s="79">
        <f>SUM(ES6:ES7)</f>
        <v>4400</v>
      </c>
      <c r="ET56" s="82">
        <f>SUM(ET6:ET7)</f>
        <v>54.33</v>
      </c>
      <c r="EU56" s="79">
        <f>SUM(EU6:EU7)</f>
        <v>10</v>
      </c>
      <c r="EV56" s="82">
        <f>ES56/ET56</f>
        <v>80.98656359285846</v>
      </c>
      <c r="EW56" s="83">
        <f>ET56/EU56</f>
        <v>5.4329999999999998</v>
      </c>
      <c r="EY56" s="525">
        <f>SUM(EY6:EY7)</f>
        <v>2500</v>
      </c>
      <c r="EZ56" s="82">
        <f>SUM(EZ6:EZ7)</f>
        <v>13.89</v>
      </c>
      <c r="FA56" s="89">
        <f>SUM(FA6:FA7)</f>
        <v>5</v>
      </c>
      <c r="FB56" s="82">
        <f>EY56/EZ56</f>
        <v>179.98560115190784</v>
      </c>
      <c r="FC56" s="83">
        <f>EZ56/FA56</f>
        <v>2.778</v>
      </c>
      <c r="FE56" s="90">
        <f>SUM(FE6:FE7)</f>
        <v>2300</v>
      </c>
      <c r="FF56" s="82">
        <f>SUM(FF6:FF7)</f>
        <v>16.2</v>
      </c>
      <c r="FG56" s="89">
        <f>SUM(FG6:FG7)</f>
        <v>5</v>
      </c>
      <c r="FH56" s="93">
        <f>FE56/FF56</f>
        <v>141.97530864197532</v>
      </c>
      <c r="FI56" s="83">
        <f>FF56/FG56</f>
        <v>3.2399999999999998</v>
      </c>
      <c r="FK56" s="90">
        <f>SUM(FK6:FK7)</f>
        <v>6000</v>
      </c>
      <c r="FL56" s="82">
        <f>SUM(FL6:FL7)</f>
        <v>46.59</v>
      </c>
      <c r="FM56" s="89">
        <f>SUM(FM6:FM7)</f>
        <v>10</v>
      </c>
      <c r="FN56" s="82">
        <f>FK56/FL56</f>
        <v>128.78300064391499</v>
      </c>
      <c r="FO56" s="83">
        <f>FL56/FM56</f>
        <v>4.6590000000000007</v>
      </c>
      <c r="FQ56" s="90">
        <f>SUM(FQ6:FQ7)</f>
        <v>3000</v>
      </c>
      <c r="FR56" s="82">
        <f>SUM(FR6:FR7)</f>
        <v>22.990000000000002</v>
      </c>
      <c r="FS56" s="89">
        <f>SUM(FS6:FS7)</f>
        <v>7</v>
      </c>
      <c r="FT56" s="82">
        <f>FQ56/FR56</f>
        <v>130.49151805132666</v>
      </c>
      <c r="FU56" s="83">
        <f>FR56/FS56</f>
        <v>3.2842857142857147</v>
      </c>
      <c r="FW56" s="90">
        <f>SUM(FW6:FW7)</f>
        <v>5700</v>
      </c>
      <c r="FX56" s="82">
        <f>SUM(FX6:FX7)</f>
        <v>41.97</v>
      </c>
      <c r="FY56" s="89">
        <f>SUM(FY6:FY7)</f>
        <v>10</v>
      </c>
      <c r="FZ56" s="82">
        <f>FW56/FX56</f>
        <v>135.81129378127235</v>
      </c>
      <c r="GA56" s="83">
        <f>FX56/FY56</f>
        <v>4.1970000000000001</v>
      </c>
      <c r="GC56" s="90">
        <f>SUM(GC6:GC7)</f>
        <v>4600</v>
      </c>
      <c r="GD56" s="82">
        <f>SUM(GD6:GD7)</f>
        <v>43.05</v>
      </c>
      <c r="GE56" s="89">
        <f>SUM(GE6:GE7)</f>
        <v>9</v>
      </c>
      <c r="GF56" s="82">
        <f>GC56/GD56</f>
        <v>106.85249709639955</v>
      </c>
      <c r="GG56" s="83">
        <f>GD56/GE56</f>
        <v>4.7833333333333332</v>
      </c>
      <c r="GI56" s="90">
        <f>SUM(GI6:GI7)</f>
        <v>5000</v>
      </c>
      <c r="GJ56" s="82">
        <f>SUM(GJ6:GJ7)</f>
        <v>43.769999999999996</v>
      </c>
      <c r="GK56" s="89">
        <f>SUM(GK6:GK7)</f>
        <v>10</v>
      </c>
      <c r="GL56" s="82">
        <f>GI56/GJ56</f>
        <v>114.23349326022391</v>
      </c>
      <c r="GM56" s="83">
        <f>GJ56/GK56</f>
        <v>4.3769999999999998</v>
      </c>
      <c r="GO56" s="90">
        <f>SUM(GO6:GO7)</f>
        <v>6000</v>
      </c>
      <c r="GP56" s="82">
        <f>SUM(GP6:GP7)</f>
        <v>45.370000000000005</v>
      </c>
      <c r="GQ56" s="89">
        <f>SUM(GQ6:GQ7)</f>
        <v>10</v>
      </c>
      <c r="GR56" s="82">
        <f>GO56/GP56</f>
        <v>132.24597751818382</v>
      </c>
      <c r="GS56" s="83">
        <f>GP56/GQ56</f>
        <v>4.5370000000000008</v>
      </c>
      <c r="GU56" s="90">
        <f>SUM(GU6:GU7)</f>
        <v>6000</v>
      </c>
      <c r="GV56" s="82">
        <f>SUM(GV6:GV7)</f>
        <v>42.91</v>
      </c>
      <c r="GW56" s="89">
        <f>SUM(GW6:GW7)</f>
        <v>10</v>
      </c>
      <c r="GX56" s="82">
        <f>GU56/GV56</f>
        <v>139.82754602656723</v>
      </c>
      <c r="GY56" s="83">
        <f>GV56/GW56</f>
        <v>4.2909999999999995</v>
      </c>
      <c r="HA56" s="90">
        <f>SUM(HA6:HA7)</f>
        <v>5400</v>
      </c>
      <c r="HB56" s="82">
        <f>SUM(HB6:HB7)</f>
        <v>48.150000000000006</v>
      </c>
      <c r="HC56" s="89">
        <f>SUM(HC6:HC7)</f>
        <v>10</v>
      </c>
      <c r="HD56" s="369">
        <f>HA56/HB56</f>
        <v>112.14953271028035</v>
      </c>
      <c r="HE56" s="377">
        <f>HB56/HC56</f>
        <v>4.8150000000000004</v>
      </c>
      <c r="HG56" s="90">
        <f>SUM(HG6:HG7)</f>
        <v>4400</v>
      </c>
      <c r="HH56" s="82">
        <f>SUM(HH6:HH7)</f>
        <v>43.519999999999996</v>
      </c>
      <c r="HI56" s="89">
        <f>SUM(HI6:HI7)</f>
        <v>8</v>
      </c>
      <c r="HJ56" s="82">
        <f>HG56/HH56</f>
        <v>101.10294117647059</v>
      </c>
      <c r="HK56" s="83">
        <f>HH56/HI56</f>
        <v>5.4399999999999995</v>
      </c>
      <c r="HM56" s="90">
        <f>SUM(HM6:HM7)</f>
        <v>2500</v>
      </c>
      <c r="HN56" s="82">
        <f>SUM(HN6:HN7)</f>
        <v>10.260000000000002</v>
      </c>
      <c r="HO56" s="89">
        <f>SUM(HO6:HO7)</f>
        <v>4</v>
      </c>
      <c r="HP56" s="82">
        <f>HM56/HN56</f>
        <v>243.66471734892784</v>
      </c>
      <c r="HQ56" s="83">
        <f>HN56/HO56</f>
        <v>2.5650000000000004</v>
      </c>
      <c r="HS56" s="90">
        <f>SUM(HS6:HS7)</f>
        <v>6700</v>
      </c>
      <c r="HT56" s="82">
        <f>SUM(HT6:HT7)</f>
        <v>38.78</v>
      </c>
      <c r="HU56" s="89">
        <f>SUM(HU6:HU7)</f>
        <v>10</v>
      </c>
      <c r="HV56" s="82">
        <f>HS56/HT56</f>
        <v>172.76946879834966</v>
      </c>
      <c r="HW56" s="83">
        <f>HT56/HU56</f>
        <v>3.8780000000000001</v>
      </c>
      <c r="HY56" s="90">
        <f>SUM(HY6:HY7)</f>
        <v>4000</v>
      </c>
      <c r="HZ56" s="82">
        <f>SUM(HZ6:HZ7)</f>
        <v>30.94</v>
      </c>
      <c r="IA56" s="89">
        <f>SUM(IA6:IA7)</f>
        <v>5</v>
      </c>
      <c r="IB56" s="82">
        <f>HY56/HZ56</f>
        <v>129.28248222365869</v>
      </c>
      <c r="IC56" s="83">
        <f>HZ56/IA56</f>
        <v>6.1880000000000006</v>
      </c>
      <c r="IE56" s="90">
        <f>SUM(IE6:IE7)</f>
        <v>3200</v>
      </c>
      <c r="IF56" s="82">
        <f>SUM(IF6:IF7)</f>
        <v>19.39</v>
      </c>
      <c r="IG56" s="89">
        <f>SUM(IG6:IG7)</f>
        <v>6</v>
      </c>
      <c r="IH56" s="82">
        <f>IE56/IF56</f>
        <v>165.03352243424445</v>
      </c>
      <c r="II56" s="83">
        <f>IF56/IG56</f>
        <v>3.2316666666666669</v>
      </c>
      <c r="IK56" s="90">
        <f>SUM(IK6:IK7)</f>
        <v>7100</v>
      </c>
      <c r="IL56" s="82">
        <f>SUM(IL6:IL7)</f>
        <v>46.51</v>
      </c>
      <c r="IM56" s="89">
        <f>SUM(IM6:IM7)</f>
        <v>10</v>
      </c>
      <c r="IN56" s="82">
        <f>IK56/IL56</f>
        <v>152.65534293700281</v>
      </c>
      <c r="IO56" s="83">
        <f>IL56/IM56</f>
        <v>4.6509999999999998</v>
      </c>
      <c r="IQ56" s="90">
        <f>SUM(IQ6:IQ7)</f>
        <v>5000</v>
      </c>
      <c r="IR56" s="82">
        <f>SUM(IR6:IR7)</f>
        <v>31.31</v>
      </c>
      <c r="IS56" s="89">
        <f>SUM(IS6:IS7)</f>
        <v>8</v>
      </c>
      <c r="IT56" s="82">
        <f>IQ56/IR56</f>
        <v>159.69338869370807</v>
      </c>
      <c r="IU56" s="83">
        <f>IR56/IS56</f>
        <v>3.9137499999999998</v>
      </c>
      <c r="IW56" s="90">
        <f>SUM(IW6:IW7)</f>
        <v>6200</v>
      </c>
      <c r="IX56" s="82">
        <f>SUM(IX6:IX7)</f>
        <v>43.510000000000005</v>
      </c>
      <c r="IY56" s="89">
        <f>SUM(IY6:IY7)</f>
        <v>10</v>
      </c>
      <c r="IZ56" s="82">
        <f>IW56/IX56</f>
        <v>142.49597793610661</v>
      </c>
      <c r="JA56" s="83">
        <f>IX56/IY56</f>
        <v>4.3510000000000009</v>
      </c>
      <c r="JC56" s="90">
        <f>SUM(JC6:JC7)</f>
        <v>6200</v>
      </c>
      <c r="JD56" s="82">
        <f>SUM(JD6:JD7)</f>
        <v>56.93</v>
      </c>
      <c r="JE56" s="89">
        <f>SUM(JE6:JE7)</f>
        <v>10</v>
      </c>
      <c r="JF56" s="82">
        <f>JC56/JD56</f>
        <v>108.90567363428772</v>
      </c>
      <c r="JG56" s="83">
        <f>JD56/JE56</f>
        <v>5.6929999999999996</v>
      </c>
      <c r="JI56" s="90">
        <f>SUM(JI6:JI7)</f>
        <v>5600</v>
      </c>
      <c r="JJ56" s="82">
        <f>SUM(JJ6:JJ7)</f>
        <v>42.17</v>
      </c>
      <c r="JK56" s="89">
        <f>SUM(JK6:JK7)</f>
        <v>10</v>
      </c>
      <c r="JL56" s="82">
        <f>JI56/JJ56</f>
        <v>132.79582641688404</v>
      </c>
      <c r="JM56" s="83">
        <f>JJ56/JK56</f>
        <v>4.2170000000000005</v>
      </c>
      <c r="JO56" s="90">
        <f>SUM(JO6:JO7)</f>
        <v>6800</v>
      </c>
      <c r="JP56" s="82">
        <f>SUM(JP6:JP7)</f>
        <v>48.120000000000005</v>
      </c>
      <c r="JQ56" s="89">
        <f>SUM(JQ6:JQ7)</f>
        <v>10</v>
      </c>
      <c r="JR56" s="82">
        <f>JO56/JP56</f>
        <v>141.31338320864504</v>
      </c>
      <c r="JS56" s="83">
        <f>JP56/JQ56</f>
        <v>4.8120000000000003</v>
      </c>
      <c r="JU56" s="90">
        <f>SUM(JU6:JU7)</f>
        <v>5500</v>
      </c>
      <c r="JV56" s="82">
        <f>SUM(JV6:JV7)</f>
        <v>44.88</v>
      </c>
      <c r="JW56" s="89">
        <f>SUM(JW6:JW7)</f>
        <v>10</v>
      </c>
      <c r="JX56" s="369">
        <f>JU56/JV56</f>
        <v>122.54901960784314</v>
      </c>
      <c r="JY56" s="83">
        <f>JV56/JW56</f>
        <v>4.4880000000000004</v>
      </c>
      <c r="KA56" s="90">
        <f>SUM(KA6:KA7)</f>
        <v>3500</v>
      </c>
      <c r="KB56" s="82">
        <f>SUM(KB6:KB7)</f>
        <v>37.08</v>
      </c>
      <c r="KC56" s="89">
        <f>SUM(KC6)</f>
        <v>5</v>
      </c>
      <c r="KD56" s="369">
        <f>KA56/KB56</f>
        <v>94.390507011866234</v>
      </c>
      <c r="KE56" s="83">
        <f>KB56/KC56</f>
        <v>7.4159999999999995</v>
      </c>
      <c r="KG56" s="90">
        <f>SUM(KG6:KG7)</f>
        <v>2900</v>
      </c>
      <c r="KH56" s="82">
        <f>SUM(KH6:KH7)</f>
        <v>37.730000000000004</v>
      </c>
      <c r="KI56" s="89">
        <f>SUM(KI6)</f>
        <v>3</v>
      </c>
      <c r="KJ56" s="369">
        <f>KG56/KH56</f>
        <v>76.861913596607465</v>
      </c>
      <c r="KK56" s="83">
        <f>KH56/KI56</f>
        <v>12.576666666666668</v>
      </c>
      <c r="KM56" s="90">
        <f>SUM(KM6:KM7)</f>
        <v>0</v>
      </c>
      <c r="KN56" s="82">
        <f>SUM(KN6:KN7)</f>
        <v>0</v>
      </c>
      <c r="KO56" s="89">
        <f>SUM(KO6)</f>
        <v>0</v>
      </c>
      <c r="KP56" s="369" t="e">
        <f>KM56/KN56</f>
        <v>#DIV/0!</v>
      </c>
      <c r="KQ56" s="83" t="e">
        <f>KN56/KO56</f>
        <v>#DIV/0!</v>
      </c>
      <c r="KS56" s="90">
        <f>SUM(KS6:KS7)</f>
        <v>0</v>
      </c>
      <c r="KT56" s="82">
        <f>SUM(KT6:KT7)</f>
        <v>0</v>
      </c>
      <c r="KU56" s="89">
        <f>SUM(KU6)</f>
        <v>0</v>
      </c>
      <c r="KV56" s="369" t="e">
        <f>KS56/KT56</f>
        <v>#DIV/0!</v>
      </c>
      <c r="KW56" s="83" t="e">
        <f>KT56/KU56</f>
        <v>#DIV/0!</v>
      </c>
      <c r="KY56" s="90">
        <f>SUM(KY6:KY7)</f>
        <v>0</v>
      </c>
      <c r="KZ56" s="82">
        <f>SUM(KZ6:KZ7)</f>
        <v>0</v>
      </c>
      <c r="LA56" s="89">
        <f>SUM(LA6)</f>
        <v>0</v>
      </c>
      <c r="LB56" s="369" t="e">
        <f>KY56/KZ56</f>
        <v>#DIV/0!</v>
      </c>
      <c r="LC56" s="83" t="e">
        <f>KZ56/LA56</f>
        <v>#DIV/0!</v>
      </c>
      <c r="LE56" s="90">
        <f>SUM(LE6:LE7)</f>
        <v>0</v>
      </c>
      <c r="LF56" s="82">
        <f>SUM(LF6:LF7)</f>
        <v>0</v>
      </c>
      <c r="LG56" s="89">
        <f>SUM(LG6)</f>
        <v>0</v>
      </c>
      <c r="LH56" s="369" t="e">
        <f>LE56/LF56</f>
        <v>#DIV/0!</v>
      </c>
      <c r="LI56" s="83" t="e">
        <f>LF56/LG56</f>
        <v>#DIV/0!</v>
      </c>
      <c r="LK56" s="90">
        <f>SUM(LK6:LK7)</f>
        <v>0</v>
      </c>
      <c r="LL56" s="82">
        <f>SUM(LL6:LL7)</f>
        <v>0</v>
      </c>
      <c r="LM56" s="89">
        <f>SUM(LM6)</f>
        <v>0</v>
      </c>
      <c r="LN56" s="369" t="e">
        <f>LK56/LL56</f>
        <v>#DIV/0!</v>
      </c>
      <c r="LO56" s="83" t="e">
        <f>LL56/LM56</f>
        <v>#DIV/0!</v>
      </c>
      <c r="LQ56" s="90">
        <f>SUM(LQ6:LQ7)</f>
        <v>0</v>
      </c>
      <c r="LR56" s="82">
        <f>SUM(LR6:LR7)</f>
        <v>0</v>
      </c>
      <c r="LS56" s="89">
        <f>SUM(LS6)</f>
        <v>0</v>
      </c>
      <c r="LT56" s="369" t="e">
        <f>LQ56/LR56</f>
        <v>#DIV/0!</v>
      </c>
      <c r="LU56" s="83" t="e">
        <f>LR56/LS56</f>
        <v>#DIV/0!</v>
      </c>
      <c r="LW56" s="90">
        <f>SUM(LW6:LW7)</f>
        <v>3000</v>
      </c>
      <c r="LX56" s="82">
        <f>SUM(LX6:LX7)</f>
        <v>27.15</v>
      </c>
      <c r="LY56" s="89">
        <f>SUM(LY6)</f>
        <v>5</v>
      </c>
      <c r="LZ56" s="369">
        <f>LW56/LX56</f>
        <v>110.49723756906079</v>
      </c>
      <c r="MA56" s="83">
        <f>LX56/LY56</f>
        <v>5.43</v>
      </c>
      <c r="MC56" s="90">
        <f>SUM(MC6:MC7)</f>
        <v>3300</v>
      </c>
      <c r="MD56" s="82">
        <f>SUM(MD6:MD7)</f>
        <v>27.41</v>
      </c>
      <c r="ME56" s="89">
        <f>SUM(ME6)</f>
        <v>5</v>
      </c>
      <c r="MF56" s="369">
        <f>MC56/MD56</f>
        <v>120.39401678219627</v>
      </c>
      <c r="MG56" s="83">
        <f>MD56/ME56</f>
        <v>5.4820000000000002</v>
      </c>
      <c r="MI56" s="90">
        <f>SUM(MI6:MI7)</f>
        <v>3900</v>
      </c>
      <c r="MJ56" s="82">
        <f>SUM(MJ6:MJ7)</f>
        <v>28.54</v>
      </c>
      <c r="MK56" s="89">
        <f>SUM(MK6)</f>
        <v>5</v>
      </c>
      <c r="ML56" s="369">
        <f>MI56/MJ56</f>
        <v>136.65031534688157</v>
      </c>
      <c r="MM56" s="83">
        <f>MJ56/MK56</f>
        <v>5.7080000000000002</v>
      </c>
      <c r="MO56" s="90">
        <f>SUM(MO6:MO7)</f>
        <v>0</v>
      </c>
      <c r="MP56" s="82">
        <f>SUM(MP6:MP7)</f>
        <v>0</v>
      </c>
      <c r="MQ56" s="89">
        <f>SUM(MQ6)</f>
        <v>0</v>
      </c>
      <c r="MR56" s="369" t="e">
        <f>MO56/MP56</f>
        <v>#DIV/0!</v>
      </c>
      <c r="MS56" s="83" t="e">
        <f>MP56/MQ56</f>
        <v>#DIV/0!</v>
      </c>
      <c r="MU56" s="90">
        <f>SUM(MU6:MU7)</f>
        <v>0</v>
      </c>
      <c r="MV56" s="82">
        <f>SUM(MV6:MV7)</f>
        <v>0</v>
      </c>
      <c r="MW56" s="89">
        <f>SUM(MW6)</f>
        <v>0</v>
      </c>
      <c r="MX56" s="369" t="e">
        <f>MU56/MV56</f>
        <v>#DIV/0!</v>
      </c>
      <c r="MY56" s="83" t="e">
        <f>MV56/MW56</f>
        <v>#DIV/0!</v>
      </c>
      <c r="NA56" s="525">
        <f>SUM(NA6:NA7)</f>
        <v>3500</v>
      </c>
      <c r="NB56" s="748">
        <f>SUM(NB6:NB7)</f>
        <v>27.71</v>
      </c>
      <c r="NC56" s="748">
        <f>SUM(NC6)</f>
        <v>5</v>
      </c>
      <c r="ND56" s="369">
        <f>NA56/NB56</f>
        <v>126.30819198845182</v>
      </c>
      <c r="NE56" s="83">
        <f>NB56/NC56</f>
        <v>5.5419999999999998</v>
      </c>
      <c r="NG56" s="90">
        <f>SUM(NG6:NG7)</f>
        <v>4400</v>
      </c>
      <c r="NH56" s="82">
        <f>SUM(NH6:NH7)</f>
        <v>30.310000000000002</v>
      </c>
      <c r="NI56" s="89">
        <f>SUM(NI6)</f>
        <v>4</v>
      </c>
      <c r="NJ56" s="369">
        <f>NG56/NH56</f>
        <v>145.16661167931375</v>
      </c>
      <c r="NK56" s="83">
        <f>NH56/NI56</f>
        <v>7.5775000000000006</v>
      </c>
      <c r="NM56" s="90">
        <f>SUM(NM6:NM7)</f>
        <v>4500</v>
      </c>
      <c r="NN56" s="82">
        <f>SUM(NN6:NN7)</f>
        <v>39.019999999999996</v>
      </c>
      <c r="NO56" s="89">
        <f>SUM(NO6)</f>
        <v>5</v>
      </c>
      <c r="NP56" s="369">
        <f>NM56/NN56</f>
        <v>115.32547411583805</v>
      </c>
      <c r="NQ56" s="83">
        <f>NN56/NO56</f>
        <v>7.8039999999999994</v>
      </c>
      <c r="NS56" s="90">
        <f>SUM(NS6:NS7)</f>
        <v>4000</v>
      </c>
      <c r="NT56" s="82">
        <f>SUM(NT6:NT7)</f>
        <v>36.450000000000003</v>
      </c>
      <c r="NU56" s="89">
        <f>SUM(NU6)</f>
        <v>5</v>
      </c>
      <c r="NV56" s="369">
        <f>NS56/NT56</f>
        <v>109.73936899862825</v>
      </c>
      <c r="NW56" s="83">
        <f>NT56/NU56</f>
        <v>7.2900000000000009</v>
      </c>
      <c r="NY56" s="90">
        <f>SUM(NY6:NY7)</f>
        <v>2600</v>
      </c>
      <c r="NZ56" s="82">
        <f>SUM(NZ6:NZ7)</f>
        <v>21.89</v>
      </c>
      <c r="OA56" s="89">
        <f>SUM(OA6)</f>
        <v>5</v>
      </c>
      <c r="OB56" s="369">
        <f>NY56/NZ56</f>
        <v>118.7756966651439</v>
      </c>
      <c r="OC56" s="83">
        <f>NZ56/OA56</f>
        <v>4.3780000000000001</v>
      </c>
      <c r="OE56" s="90">
        <f>SUM(OE6:OE7)</f>
        <v>3500</v>
      </c>
      <c r="OF56" s="82">
        <f>SUM(OF6:OF7)</f>
        <v>33.11</v>
      </c>
      <c r="OG56" s="89">
        <f>SUM(OG6)</f>
        <v>5</v>
      </c>
      <c r="OH56" s="369">
        <f>OE56/OF56</f>
        <v>105.70824524312897</v>
      </c>
      <c r="OI56" s="83">
        <f>OF56/OG56</f>
        <v>6.6219999999999999</v>
      </c>
    </row>
    <row r="57" spans="1:399">
      <c r="A57" s="55"/>
      <c r="B57" s="56" t="s">
        <v>12</v>
      </c>
      <c r="C57" s="57"/>
      <c r="D57" s="58" t="s">
        <v>13</v>
      </c>
      <c r="E57" s="79">
        <f>SUM(E8:E9)</f>
        <v>500</v>
      </c>
      <c r="F57" s="82">
        <f>SUM(F8:F9)</f>
        <v>3.83</v>
      </c>
      <c r="G57" s="79">
        <f>SUM(G8:G9)</f>
        <v>1</v>
      </c>
      <c r="H57" s="82">
        <f t="shared" ref="H57:H63" si="867">E57/F57</f>
        <v>130.54830287206266</v>
      </c>
      <c r="I57" s="84">
        <f t="shared" ref="I57:I63" si="868">F57/G57</f>
        <v>3.83</v>
      </c>
      <c r="J57" s="589"/>
      <c r="K57" s="79">
        <f>SUM(K8:K9)</f>
        <v>2000</v>
      </c>
      <c r="L57" s="82">
        <f>SUM(L8:L9)</f>
        <v>10.4</v>
      </c>
      <c r="M57" s="79">
        <f>SUM(M8:M9)</f>
        <v>5</v>
      </c>
      <c r="N57" s="82">
        <f t="shared" ref="N57:N63" si="869">K57/L57</f>
        <v>192.30769230769229</v>
      </c>
      <c r="O57" s="84">
        <f t="shared" ref="O57:O63" si="870">L57/M57</f>
        <v>2.08</v>
      </c>
      <c r="P57" s="589"/>
      <c r="Q57" s="79">
        <f>SUM(Q8:Q9)</f>
        <v>3000</v>
      </c>
      <c r="R57" s="82">
        <f>SUM(R8:R9)</f>
        <v>32.700000000000003</v>
      </c>
      <c r="S57" s="79">
        <f>SUM(S8:S9)</f>
        <v>5</v>
      </c>
      <c r="T57" s="82">
        <f t="shared" ref="T57:T63" si="871">Q57/R57</f>
        <v>91.743119266055032</v>
      </c>
      <c r="U57" s="84">
        <f t="shared" ref="U57:U63" si="872">R57/S57</f>
        <v>6.5400000000000009</v>
      </c>
      <c r="V57" s="589"/>
      <c r="W57" s="79">
        <f>SUM(W8:W9)</f>
        <v>1400</v>
      </c>
      <c r="X57" s="82">
        <f>SUM(X8:X9)</f>
        <v>7.84</v>
      </c>
      <c r="Y57" s="79">
        <f>SUM(Y8:Y9)</f>
        <v>5</v>
      </c>
      <c r="Z57" s="82">
        <f t="shared" ref="Z57:Z63" si="873">W57/X57</f>
        <v>178.57142857142858</v>
      </c>
      <c r="AA57" s="84">
        <f t="shared" ref="AA57:AA63" si="874">X57/Y57</f>
        <v>1.5680000000000001</v>
      </c>
      <c r="AB57" s="589"/>
      <c r="AC57" s="79">
        <f>SUM(AC8:AC9)</f>
        <v>2700</v>
      </c>
      <c r="AD57" s="82">
        <f>SUM(AD8:AD9)</f>
        <v>23.800000000000004</v>
      </c>
      <c r="AE57" s="79">
        <f>SUM(AE8:AE9)</f>
        <v>5</v>
      </c>
      <c r="AF57" s="82">
        <f t="shared" ref="AF57:AF63" si="875">AC57/AD57</f>
        <v>113.44537815126048</v>
      </c>
      <c r="AG57" s="84">
        <f t="shared" ref="AG57:AG63" si="876">AD57/AE57</f>
        <v>4.7600000000000007</v>
      </c>
      <c r="AH57" s="589"/>
      <c r="AI57" s="79">
        <f>SUM(AI8:AI9)</f>
        <v>0</v>
      </c>
      <c r="AJ57" s="82">
        <f>SUM(AJ8:AJ9)</f>
        <v>0</v>
      </c>
      <c r="AK57" s="79">
        <f>SUM(AK8:AK9)</f>
        <v>0</v>
      </c>
      <c r="AL57" s="82" t="e">
        <f t="shared" ref="AL57:AL63" si="877">AI57/AJ57</f>
        <v>#DIV/0!</v>
      </c>
      <c r="AM57" s="84" t="e">
        <f t="shared" ref="AM57:AM63" si="878">AJ57/AK57</f>
        <v>#DIV/0!</v>
      </c>
      <c r="AN57" s="589"/>
      <c r="AO57" s="79">
        <f>SUM(AO8:AO9)</f>
        <v>1650</v>
      </c>
      <c r="AP57" s="82">
        <f>SUM(AP8:AP9)</f>
        <v>7.61</v>
      </c>
      <c r="AQ57" s="79">
        <f>SUM(AQ8:AQ9)</f>
        <v>5</v>
      </c>
      <c r="AR57" s="82">
        <f t="shared" ref="AR57:AR63" si="879">AO57/AP57</f>
        <v>216.81997371879106</v>
      </c>
      <c r="AS57" s="84">
        <f t="shared" ref="AS57:AS63" si="880">AP57/AQ57</f>
        <v>1.522</v>
      </c>
      <c r="AT57" s="589"/>
      <c r="AU57" s="79">
        <f>SUM(AU8:AU9)</f>
        <v>1550</v>
      </c>
      <c r="AV57" s="82">
        <f>SUM(AV8:AV9)</f>
        <v>6.6000000000000005</v>
      </c>
      <c r="AW57" s="79">
        <f>SUM(AW8:AW9)</f>
        <v>5</v>
      </c>
      <c r="AX57" s="82">
        <f t="shared" ref="AX57:AX63" si="881">AU57/AV57</f>
        <v>234.84848484848482</v>
      </c>
      <c r="AY57" s="84">
        <f t="shared" ref="AY57:AY63" si="882">AV57/AW57</f>
        <v>1.32</v>
      </c>
      <c r="AZ57" s="84"/>
      <c r="BA57" s="79">
        <f>SUM(BA8:BA9)</f>
        <v>1750</v>
      </c>
      <c r="BB57" s="82">
        <f>SUM(BB8:BB9)</f>
        <v>11.219999999999999</v>
      </c>
      <c r="BC57" s="79">
        <f>SUM(BC8:BC9)</f>
        <v>5</v>
      </c>
      <c r="BD57" s="82">
        <f t="shared" ref="BD57:BD63" si="883">BA57/BB57</f>
        <v>155.97147950089129</v>
      </c>
      <c r="BE57" s="84">
        <f t="shared" ref="BE57:BE63" si="884">BB57/BC57</f>
        <v>2.2439999999999998</v>
      </c>
      <c r="BF57" s="84"/>
      <c r="BG57" s="79">
        <f>SUM(BG8:BG9)</f>
        <v>0</v>
      </c>
      <c r="BH57" s="82">
        <f>SUM(BH8:BH9)</f>
        <v>0</v>
      </c>
      <c r="BI57" s="79">
        <f>SUM(BI8:BI9)</f>
        <v>0</v>
      </c>
      <c r="BJ57" s="82" t="e">
        <f t="shared" ref="BJ57:BJ63" si="885">BG57/BH57</f>
        <v>#DIV/0!</v>
      </c>
      <c r="BK57" s="84" t="e">
        <f t="shared" ref="BK57:BK63" si="886">BH57/BI57</f>
        <v>#DIV/0!</v>
      </c>
      <c r="BL57" s="84"/>
      <c r="BM57" s="79">
        <f>SUM(BM8:BM9)</f>
        <v>0</v>
      </c>
      <c r="BN57" s="82">
        <f>SUM(BN8:BN9)</f>
        <v>0</v>
      </c>
      <c r="BO57" s="79">
        <f>SUM(BO8:BO9)</f>
        <v>0</v>
      </c>
      <c r="BP57" s="82" t="e">
        <f t="shared" ref="BP57:BP63" si="887">BM57/BN57</f>
        <v>#DIV/0!</v>
      </c>
      <c r="BQ57" s="84" t="e">
        <f t="shared" ref="BQ57:BQ63" si="888">BN57/BO57</f>
        <v>#DIV/0!</v>
      </c>
      <c r="BR57" s="589"/>
      <c r="BS57" s="79">
        <f>SUM(BS8:BS9)</f>
        <v>5800</v>
      </c>
      <c r="BT57" s="82">
        <f>SUM(BT8:BT9)</f>
        <v>28.11</v>
      </c>
      <c r="BU57" s="79">
        <f>SUM(BU8:BU9)</f>
        <v>10</v>
      </c>
      <c r="BV57" s="82">
        <f t="shared" ref="BV57:BV63" si="889">BS57/BT57</f>
        <v>206.33226609747422</v>
      </c>
      <c r="BW57" s="84">
        <f t="shared" ref="BW57:BW63" si="890">BT57/BU57</f>
        <v>2.8109999999999999</v>
      </c>
      <c r="BX57" s="84"/>
      <c r="BY57" s="79">
        <f>SUM(BY8:BY9)</f>
        <v>1550</v>
      </c>
      <c r="BZ57" s="82">
        <f>SUM(BZ8:BZ9)</f>
        <v>6.6000000000000005</v>
      </c>
      <c r="CA57" s="79">
        <f>SUM(CA8:CA9)</f>
        <v>5</v>
      </c>
      <c r="CB57" s="82">
        <f t="shared" ref="CB57:CB63" si="891">BY57/BZ57</f>
        <v>234.84848484848482</v>
      </c>
      <c r="CC57" s="84">
        <f t="shared" ref="CC57:CC63" si="892">BZ57/CA57</f>
        <v>1.32</v>
      </c>
      <c r="CD57" s="84"/>
      <c r="CE57" s="79">
        <f>SUM(CE8:CE9)</f>
        <v>1950</v>
      </c>
      <c r="CF57" s="82">
        <f>SUM(CF8:CF9)</f>
        <v>10.41</v>
      </c>
      <c r="CG57" s="79">
        <f>SUM(CG8:CG9)</f>
        <v>5</v>
      </c>
      <c r="CH57" s="82">
        <f t="shared" ref="CH57:CH63" si="893">CE57/CF57</f>
        <v>187.31988472622479</v>
      </c>
      <c r="CI57" s="84">
        <f t="shared" ref="CI57:CI63" si="894">CF57/CG57</f>
        <v>2.0819999999999999</v>
      </c>
      <c r="CJ57" s="84"/>
      <c r="CK57" s="79">
        <f>SUM(CK8:CK9)</f>
        <v>5050</v>
      </c>
      <c r="CL57" s="82">
        <f>SUM(CL8:CL9)</f>
        <v>40.28</v>
      </c>
      <c r="CM57" s="79">
        <f>SUM(CM8:CM9)</f>
        <v>10</v>
      </c>
      <c r="CN57" s="82">
        <f t="shared" ref="CN57:CN63" si="895">CK57/CL57</f>
        <v>125.37239324726912</v>
      </c>
      <c r="CO57" s="84">
        <f t="shared" ref="CO57:CO63" si="896">CL57/CM57</f>
        <v>4.0280000000000005</v>
      </c>
      <c r="CP57" s="84"/>
      <c r="CQ57" s="79">
        <f>SUM(CQ8:CQ9)</f>
        <v>0</v>
      </c>
      <c r="CR57" s="82">
        <f>SUM(CR8:CR9)</f>
        <v>0</v>
      </c>
      <c r="CS57" s="79">
        <f>SUM(CS8:CS9)</f>
        <v>0</v>
      </c>
      <c r="CT57" s="82" t="e">
        <f t="shared" ref="CT57:CT63" si="897">CQ57/CR57</f>
        <v>#DIV/0!</v>
      </c>
      <c r="CU57" s="84" t="e">
        <f t="shared" ref="CU57:CU63" si="898">CR57/CS57</f>
        <v>#DIV/0!</v>
      </c>
      <c r="CV57" s="84"/>
      <c r="CW57" s="79">
        <f>SUM(CW8:CW9)</f>
        <v>1550</v>
      </c>
      <c r="CX57" s="82">
        <f>SUM(CX8:CX9)</f>
        <v>6.6000000000000005</v>
      </c>
      <c r="CY57" s="79">
        <f>SUM(CY8:CY9)</f>
        <v>5</v>
      </c>
      <c r="CZ57" s="82">
        <f t="shared" ref="CZ57:CZ63" si="899">CW57/CX57</f>
        <v>234.84848484848482</v>
      </c>
      <c r="DA57" s="84">
        <f t="shared" ref="DA57:DA63" si="900">CX57/CY57</f>
        <v>1.32</v>
      </c>
      <c r="DB57" s="84"/>
      <c r="DC57" s="79">
        <f>SUM(DC8:DC9)</f>
        <v>2350</v>
      </c>
      <c r="DD57" s="82">
        <f>SUM(DD8:DD9)</f>
        <v>27.47</v>
      </c>
      <c r="DE57" s="79">
        <f>SUM(DE8:DE9)</f>
        <v>6</v>
      </c>
      <c r="DF57" s="82">
        <f t="shared" ref="DF57:DF63" si="901">DC57/DD57</f>
        <v>85.547870404077173</v>
      </c>
      <c r="DG57" s="84">
        <f t="shared" ref="DG57:DG63" si="902">DD57/DE57</f>
        <v>4.5783333333333331</v>
      </c>
      <c r="DH57" s="84"/>
      <c r="DI57" s="79">
        <f>SUM(DI8:DI9)</f>
        <v>4250</v>
      </c>
      <c r="DJ57" s="82">
        <f>SUM(DJ8:DJ9)</f>
        <v>32.03</v>
      </c>
      <c r="DK57" s="79">
        <f>SUM(DK8:DK9)</f>
        <v>10</v>
      </c>
      <c r="DL57" s="82">
        <f t="shared" ref="DL57:DL63" si="903">DI57/DJ57</f>
        <v>132.6881049016547</v>
      </c>
      <c r="DM57" s="84">
        <f t="shared" ref="DM57:DM63" si="904">DJ57/DK57</f>
        <v>3.2030000000000003</v>
      </c>
      <c r="DN57" s="84"/>
      <c r="DO57" s="79">
        <f>SUM(DO8:DO9)</f>
        <v>2900</v>
      </c>
      <c r="DP57" s="82">
        <f>SUM(DP8:DP9)</f>
        <v>26.39</v>
      </c>
      <c r="DQ57" s="79">
        <f>SUM(DQ8:DQ9)</f>
        <v>8</v>
      </c>
      <c r="DR57" s="82">
        <f t="shared" ref="DR57:DR63" si="905">DO57/DP57</f>
        <v>109.89010989010988</v>
      </c>
      <c r="DS57" s="84">
        <f t="shared" ref="DS57:DS63" si="906">DP57/DQ57</f>
        <v>3.2987500000000001</v>
      </c>
      <c r="DT57" s="84"/>
      <c r="DU57" s="79">
        <f>SUM(DU8:DU9)</f>
        <v>0</v>
      </c>
      <c r="DV57" s="82">
        <f>SUM(DV8:DV9)</f>
        <v>0</v>
      </c>
      <c r="DW57" s="79">
        <f>SUM(DW8:DW9)</f>
        <v>0</v>
      </c>
      <c r="DX57" s="82" t="e">
        <f t="shared" ref="DX57:DX63" si="907">DU57/DV57</f>
        <v>#DIV/0!</v>
      </c>
      <c r="DY57" s="84" t="e">
        <f t="shared" ref="DY57:DY63" si="908">DV57/DW57</f>
        <v>#DIV/0!</v>
      </c>
      <c r="DZ57" s="84"/>
      <c r="EA57" s="79">
        <f>SUM(EA8:EA9)</f>
        <v>0</v>
      </c>
      <c r="EB57" s="82">
        <f>SUM(EB8:EB9)</f>
        <v>0</v>
      </c>
      <c r="EC57" s="79">
        <f>SUM(EC8:EC9)</f>
        <v>0</v>
      </c>
      <c r="ED57" s="82" t="e">
        <f t="shared" ref="ED57:ED63" si="909">EA57/EB57</f>
        <v>#DIV/0!</v>
      </c>
      <c r="EE57" s="84" t="e">
        <f t="shared" ref="EE57:EE63" si="910">EB57/EC57</f>
        <v>#DIV/0!</v>
      </c>
      <c r="EF57" s="84"/>
      <c r="EG57" s="79">
        <f>SUM(EG8:EG9)</f>
        <v>0</v>
      </c>
      <c r="EH57" s="82">
        <f>SUM(EH8:EH9)</f>
        <v>0</v>
      </c>
      <c r="EI57" s="79">
        <f>SUM(EI8:EI9)</f>
        <v>0</v>
      </c>
      <c r="EJ57" s="82" t="e">
        <f t="shared" ref="EJ57:EJ63" si="911">EG57/EH57</f>
        <v>#DIV/0!</v>
      </c>
      <c r="EK57" s="84" t="e">
        <f t="shared" ref="EK57:EK63" si="912">EH57/EI57</f>
        <v>#DIV/0!</v>
      </c>
      <c r="EL57" s="84"/>
      <c r="EM57" s="79">
        <f>SUM(EM8:EM9)</f>
        <v>0</v>
      </c>
      <c r="EN57" s="82">
        <f>SUM(EN8:EN9)</f>
        <v>0</v>
      </c>
      <c r="EO57" s="79">
        <f>SUM(EO8:EO9)</f>
        <v>0</v>
      </c>
      <c r="EP57" s="82" t="e">
        <f t="shared" ref="EP57:EP63" si="913">EM57/EN57</f>
        <v>#DIV/0!</v>
      </c>
      <c r="EQ57" s="84" t="e">
        <f t="shared" ref="EQ57:EQ63" si="914">EN57/EO57</f>
        <v>#DIV/0!</v>
      </c>
      <c r="ER57" s="589"/>
      <c r="ES57" s="79">
        <f>SUM(ES8:ES9)</f>
        <v>1550</v>
      </c>
      <c r="ET57" s="82">
        <f>SUM(ET8:ET9)</f>
        <v>6.6000000000000005</v>
      </c>
      <c r="EU57" s="79">
        <f>SUM(EU8:EU9)</f>
        <v>5</v>
      </c>
      <c r="EV57" s="82">
        <f t="shared" ref="EV57:EV86" si="915">ES57/ET57</f>
        <v>234.84848484848482</v>
      </c>
      <c r="EW57" s="84">
        <f t="shared" ref="EW57:EW86" si="916">ET57/EU57</f>
        <v>1.32</v>
      </c>
      <c r="EY57" s="383">
        <f>SUM(EY8:EY9)</f>
        <v>1950</v>
      </c>
      <c r="EZ57" s="82">
        <f>SUM(EZ8:EZ9)</f>
        <v>10.41</v>
      </c>
      <c r="FA57" s="79">
        <f>SUM(FA8:FA9)</f>
        <v>5</v>
      </c>
      <c r="FB57" s="82">
        <f t="shared" ref="FB57:FB86" si="917">EY57/EZ57</f>
        <v>187.31988472622479</v>
      </c>
      <c r="FC57" s="84">
        <f t="shared" ref="FC57:FC86" si="918">EZ57/FA57</f>
        <v>2.0819999999999999</v>
      </c>
      <c r="FE57" s="91">
        <f>SUM(FE8:FE9)</f>
        <v>3000</v>
      </c>
      <c r="FF57" s="82">
        <f>SUM(FF8:FF9)</f>
        <v>32.700000000000003</v>
      </c>
      <c r="FG57" s="79">
        <f>SUM(FG8:FG9)</f>
        <v>5</v>
      </c>
      <c r="FH57" s="94">
        <f t="shared" ref="FH57:FH86" si="919">FE57/FF57</f>
        <v>91.743119266055032</v>
      </c>
      <c r="FI57" s="84">
        <f t="shared" ref="FI57:FI86" si="920">FF57/FG57</f>
        <v>6.5400000000000009</v>
      </c>
      <c r="FK57" s="91">
        <f>SUM(FK8:FK9)</f>
        <v>1550</v>
      </c>
      <c r="FL57" s="82">
        <f>SUM(FL8:FL9)</f>
        <v>7.65</v>
      </c>
      <c r="FM57" s="79">
        <f>SUM(FM8:FM9)</f>
        <v>5</v>
      </c>
      <c r="FN57" s="82">
        <f t="shared" ref="FN57:FN86" si="921">FK57/FL57</f>
        <v>202.61437908496731</v>
      </c>
      <c r="FO57" s="84">
        <f t="shared" ref="FO57:FO86" si="922">FL57/FM57</f>
        <v>1.53</v>
      </c>
      <c r="FQ57" s="91">
        <f>SUM(FQ8:FQ9)</f>
        <v>2100</v>
      </c>
      <c r="FR57" s="82">
        <f>SUM(FR8:FR9)</f>
        <v>10.36</v>
      </c>
      <c r="FS57" s="79">
        <f>SUM(FS8:FS9)</f>
        <v>5</v>
      </c>
      <c r="FT57" s="82">
        <f t="shared" ref="FT57:FT63" si="923">FQ57/FR57</f>
        <v>202.70270270270271</v>
      </c>
      <c r="FU57" s="84">
        <f t="shared" ref="FU57:FU63" si="924">FR57/FS57</f>
        <v>2.0720000000000001</v>
      </c>
      <c r="FW57" s="91">
        <f>SUM(FW8:FW9)</f>
        <v>4300</v>
      </c>
      <c r="FX57" s="82">
        <f>SUM(FX8:FX9)</f>
        <v>34.630000000000003</v>
      </c>
      <c r="FY57" s="79">
        <f>SUM(FY8:FY9)</f>
        <v>10</v>
      </c>
      <c r="FZ57" s="82">
        <f t="shared" ref="FZ57:FZ63" si="925">FW57/FX57</f>
        <v>124.16979497545479</v>
      </c>
      <c r="GA57" s="84">
        <f t="shared" ref="GA57:GA63" si="926">FX57/FY57</f>
        <v>3.4630000000000001</v>
      </c>
      <c r="GC57" s="91">
        <f>SUM(GC8:GC9)</f>
        <v>4600</v>
      </c>
      <c r="GD57" s="82">
        <f>SUM(GD8:GD9)</f>
        <v>29.849999999999994</v>
      </c>
      <c r="GE57" s="79">
        <f>SUM(GE8:GE9)</f>
        <v>10</v>
      </c>
      <c r="GF57" s="82">
        <f t="shared" ref="GF57:GF63" si="927">GC57/GD57</f>
        <v>154.10385259631494</v>
      </c>
      <c r="GG57" s="84">
        <f t="shared" ref="GG57:GG63" si="928">GD57/GE57</f>
        <v>2.9849999999999994</v>
      </c>
      <c r="GI57" s="91">
        <f>SUM(GI8:GI9)</f>
        <v>2900</v>
      </c>
      <c r="GJ57" s="82">
        <f>SUM(GJ8:GJ9)</f>
        <v>21.39</v>
      </c>
      <c r="GK57" s="79">
        <f>SUM(GK8:GK9)</f>
        <v>7</v>
      </c>
      <c r="GL57" s="82">
        <f t="shared" ref="GL57:GL63" si="929">GI57/GJ57</f>
        <v>135.57737260402055</v>
      </c>
      <c r="GM57" s="84">
        <f t="shared" ref="GM57:GM63" si="930">GJ57/GK57</f>
        <v>3.0557142857142856</v>
      </c>
      <c r="GO57" s="91">
        <f>SUM(GO8:GO9)</f>
        <v>5000</v>
      </c>
      <c r="GP57" s="82">
        <f>SUM(GP8:GP9)</f>
        <v>39.03</v>
      </c>
      <c r="GQ57" s="79">
        <f>SUM(GQ8:GQ9)</f>
        <v>10</v>
      </c>
      <c r="GR57" s="82">
        <f t="shared" ref="GR57:GR63" si="931">GO57/GP57</f>
        <v>128.10658467845246</v>
      </c>
      <c r="GS57" s="84">
        <f t="shared" ref="GS57:GS63" si="932">GP57/GQ57</f>
        <v>3.903</v>
      </c>
      <c r="GU57" s="91">
        <f>SUM(GU8:GU9)</f>
        <v>6000</v>
      </c>
      <c r="GV57" s="82">
        <f>SUM(GV8:GV9)</f>
        <v>41.19</v>
      </c>
      <c r="GW57" s="79">
        <f>SUM(GW8:GW9)</f>
        <v>10</v>
      </c>
      <c r="GX57" s="82">
        <f t="shared" ref="GX57:GX63" si="933">GU57/GV57</f>
        <v>145.66642388929353</v>
      </c>
      <c r="GY57" s="84">
        <f t="shared" ref="GY57:GY63" si="934">GV57/GW57</f>
        <v>4.1189999999999998</v>
      </c>
      <c r="HA57" s="91">
        <f>SUM(HA8:HA9)</f>
        <v>4300</v>
      </c>
      <c r="HB57" s="82">
        <f>SUM(HB8:HB9)</f>
        <v>28.880000000000003</v>
      </c>
      <c r="HC57" s="79">
        <f>SUM(HC8:HC9)</f>
        <v>10</v>
      </c>
      <c r="HD57" s="369">
        <f t="shared" ref="HD57:HD74" si="935">HA57/HB57</f>
        <v>148.89196675900277</v>
      </c>
      <c r="HE57" s="370">
        <f t="shared" ref="HE57:HE74" si="936">HB57/HC57</f>
        <v>2.8880000000000003</v>
      </c>
      <c r="HG57" s="91">
        <f>SUM(HG8:HG9)</f>
        <v>2500</v>
      </c>
      <c r="HH57" s="82">
        <f>SUM(HH8:HH9)</f>
        <v>10.29</v>
      </c>
      <c r="HI57" s="79">
        <f>SUM(HI8:HI9)</f>
        <v>5</v>
      </c>
      <c r="HJ57" s="82">
        <f t="shared" ref="HJ57:HJ63" si="937">HG57/HH57</f>
        <v>242.95432458697766</v>
      </c>
      <c r="HK57" s="84">
        <f t="shared" ref="HK57:HK63" si="938">HH57/HI57</f>
        <v>2.0579999999999998</v>
      </c>
      <c r="HM57" s="91">
        <f>SUM(HM8:HM9)</f>
        <v>500</v>
      </c>
      <c r="HN57" s="82">
        <f>SUM(HN8:HN9)</f>
        <v>3.83</v>
      </c>
      <c r="HO57" s="79">
        <f>SUM(HO8:HO9)</f>
        <v>1</v>
      </c>
      <c r="HP57" s="82">
        <f t="shared" ref="HP57:HP63" si="939">HM57/HN57</f>
        <v>130.54830287206266</v>
      </c>
      <c r="HQ57" s="84">
        <f t="shared" ref="HQ57:HQ63" si="940">HN57/HO57</f>
        <v>3.83</v>
      </c>
      <c r="HS57" s="91">
        <f>SUM(HS8:HS9)</f>
        <v>2000</v>
      </c>
      <c r="HT57" s="82">
        <f>SUM(HT8:HT9)</f>
        <v>10.4</v>
      </c>
      <c r="HU57" s="79">
        <f>SUM(HU8:HU9)</f>
        <v>5</v>
      </c>
      <c r="HV57" s="82">
        <f t="shared" ref="HV57:HV63" si="941">HS57/HT57</f>
        <v>192.30769230769229</v>
      </c>
      <c r="HW57" s="84">
        <f t="shared" ref="HW57:HW63" si="942">HT57/HU57</f>
        <v>2.08</v>
      </c>
      <c r="HY57" s="91">
        <f>SUM(HY8:HY9)</f>
        <v>2900</v>
      </c>
      <c r="HZ57" s="82">
        <f>SUM(HZ8:HZ9)</f>
        <v>12.89</v>
      </c>
      <c r="IA57" s="79">
        <f>SUM(IA8:IA9)</f>
        <v>5</v>
      </c>
      <c r="IB57" s="82">
        <f t="shared" ref="IB57:IB63" si="943">HY57/HZ57</f>
        <v>224.98060512024824</v>
      </c>
      <c r="IC57" s="84">
        <f t="shared" ref="IC57:IC63" si="944">HZ57/IA57</f>
        <v>2.5780000000000003</v>
      </c>
      <c r="IE57" s="91">
        <f>SUM(IE8:IE9)</f>
        <v>5850</v>
      </c>
      <c r="IF57" s="82">
        <f>SUM(IF8:IF9)</f>
        <v>41.67</v>
      </c>
      <c r="IG57" s="79">
        <f>SUM(IG8:IG9)</f>
        <v>10</v>
      </c>
      <c r="IH57" s="82">
        <f t="shared" ref="IH57:IH63" si="945">IE57/IF57</f>
        <v>140.38876889848811</v>
      </c>
      <c r="II57" s="84">
        <f t="shared" ref="II57:II63" si="946">IF57/IG57</f>
        <v>4.1669999999999998</v>
      </c>
      <c r="IK57" s="91">
        <f>SUM(IK8:IK9)</f>
        <v>4950</v>
      </c>
      <c r="IL57" s="82">
        <f>SUM(IL8:IL9)</f>
        <v>35.799999999999997</v>
      </c>
      <c r="IM57" s="79">
        <f>SUM(IM8:IM9)</f>
        <v>10</v>
      </c>
      <c r="IN57" s="82">
        <f t="shared" ref="IN57:IN63" si="947">IK57/IL57</f>
        <v>138.26815642458101</v>
      </c>
      <c r="IO57" s="84">
        <f t="shared" ref="IO57:IO63" si="948">IL57/IM57</f>
        <v>3.5799999999999996</v>
      </c>
      <c r="IQ57" s="91">
        <f>SUM(IQ8:IQ9)</f>
        <v>3500</v>
      </c>
      <c r="IR57" s="82">
        <f>SUM(IR8:IR9)</f>
        <v>13.3</v>
      </c>
      <c r="IS57" s="79">
        <f>SUM(IS8:IS9)</f>
        <v>7</v>
      </c>
      <c r="IT57" s="82">
        <f t="shared" ref="IT57:IT75" si="949">IQ57/IR57</f>
        <v>263.15789473684208</v>
      </c>
      <c r="IU57" s="84">
        <f t="shared" ref="IU57:IU75" si="950">IR57/IS57</f>
        <v>1.9000000000000001</v>
      </c>
      <c r="IW57" s="91">
        <f>SUM(IW8:IW9)</f>
        <v>4500</v>
      </c>
      <c r="IX57" s="82">
        <f>SUM(IX8:IX9)</f>
        <v>34.639999999999993</v>
      </c>
      <c r="IY57" s="79">
        <f>SUM(IY8:IY9)</f>
        <v>10</v>
      </c>
      <c r="IZ57" s="82">
        <f t="shared" ref="IZ57:IZ75" si="951">IW57/IX57</f>
        <v>129.90762124711318</v>
      </c>
      <c r="JA57" s="84">
        <f t="shared" ref="JA57:JA75" si="952">IX57/IY57</f>
        <v>3.4639999999999995</v>
      </c>
      <c r="JC57" s="91">
        <f>SUM(JC8:JC9)</f>
        <v>1700</v>
      </c>
      <c r="JD57" s="82">
        <f>SUM(JD8:JD9)</f>
        <v>7.64</v>
      </c>
      <c r="JE57" s="79">
        <f>SUM(JE8:JE9)</f>
        <v>5</v>
      </c>
      <c r="JF57" s="82">
        <f t="shared" ref="JF57:JF75" si="953">JC57/JD57</f>
        <v>222.5130890052356</v>
      </c>
      <c r="JG57" s="84">
        <f t="shared" ref="JG57:JG75" si="954">JD57/JE57</f>
        <v>1.528</v>
      </c>
      <c r="JI57" s="91">
        <f>SUM(JI8:JI9)</f>
        <v>3100</v>
      </c>
      <c r="JJ57" s="82">
        <f>SUM(JJ8:JJ9)</f>
        <v>18.16</v>
      </c>
      <c r="JK57" s="79">
        <f>SUM(JK8:JK9)</f>
        <v>5</v>
      </c>
      <c r="JL57" s="82">
        <f t="shared" ref="JL57:JL75" si="955">JI57/JJ57</f>
        <v>170.70484581497797</v>
      </c>
      <c r="JM57" s="84">
        <f t="shared" ref="JM57:JM75" si="956">JJ57/JK57</f>
        <v>3.6320000000000001</v>
      </c>
      <c r="JO57" s="91">
        <f>SUM(JO8:JO9)</f>
        <v>3900</v>
      </c>
      <c r="JP57" s="82">
        <f>SUM(JP8:JP9)</f>
        <v>22.450000000000003</v>
      </c>
      <c r="JQ57" s="79">
        <f>SUM(JQ8:JQ9)</f>
        <v>5</v>
      </c>
      <c r="JR57" s="82">
        <f t="shared" ref="JR57:JR75" si="957">JO57/JP57</f>
        <v>173.71937639198217</v>
      </c>
      <c r="JS57" s="84">
        <f t="shared" ref="JS57:JS75" si="958">JP57/JQ57</f>
        <v>4.49</v>
      </c>
      <c r="JU57" s="91">
        <f>SUM(JU8:JU9)</f>
        <v>3500</v>
      </c>
      <c r="JV57" s="82">
        <f>SUM(JV8:JV9)</f>
        <v>32.590000000000003</v>
      </c>
      <c r="JW57" s="79">
        <f>SUM(JW8:JW9)</f>
        <v>5</v>
      </c>
      <c r="JX57" s="369">
        <f t="shared" ref="JX57:JX75" si="959">JU57/JV57</f>
        <v>107.39490641301012</v>
      </c>
      <c r="JY57" s="84">
        <f t="shared" ref="JY57:JY75" si="960">JV57/JW57</f>
        <v>6.5180000000000007</v>
      </c>
      <c r="KA57" s="91">
        <f>SUM(KA8:KA9)</f>
        <v>0</v>
      </c>
      <c r="KB57" s="82">
        <f>SUM(KB8:KB9)</f>
        <v>0</v>
      </c>
      <c r="KC57" s="79">
        <f>SUM(KC8:KC9)</f>
        <v>0</v>
      </c>
      <c r="KD57" s="369" t="e">
        <f t="shared" ref="KD57:KD75" si="961">KA57/KB57</f>
        <v>#DIV/0!</v>
      </c>
      <c r="KE57" s="84" t="e">
        <f t="shared" ref="KE57:KE75" si="962">KB57/KC57</f>
        <v>#DIV/0!</v>
      </c>
      <c r="KG57" s="91">
        <f>SUM(KG8:KG9)</f>
        <v>2200</v>
      </c>
      <c r="KH57" s="82">
        <f>SUM(KH8:KH9)</f>
        <v>10.26</v>
      </c>
      <c r="KI57" s="79">
        <f>SUM(KI8:KI9)</f>
        <v>5</v>
      </c>
      <c r="KJ57" s="369">
        <f t="shared" ref="KJ57:KJ75" si="963">KG57/KH57</f>
        <v>214.42495126705654</v>
      </c>
      <c r="KK57" s="84">
        <f t="shared" ref="KK57:KK75" si="964">KH57/KI57</f>
        <v>2.052</v>
      </c>
      <c r="KM57" s="91">
        <f>SUM(KM8:KM9)</f>
        <v>2100</v>
      </c>
      <c r="KN57" s="82">
        <f>SUM(KN8:KN9)</f>
        <v>7.58</v>
      </c>
      <c r="KO57" s="79">
        <f>SUM(KO8:KO9)</f>
        <v>5</v>
      </c>
      <c r="KP57" s="369">
        <f t="shared" ref="KP57:KP75" si="965">KM57/KN57</f>
        <v>277.04485488126647</v>
      </c>
      <c r="KQ57" s="84">
        <f t="shared" ref="KQ57:KQ75" si="966">KN57/KO57</f>
        <v>1.516</v>
      </c>
      <c r="KS57" s="91">
        <f>SUM(KS8:KS9)</f>
        <v>1700</v>
      </c>
      <c r="KT57" s="82">
        <f>SUM(KT8:KT9)</f>
        <v>13.17</v>
      </c>
      <c r="KU57" s="79">
        <f>SUM(KU8:KU9)</f>
        <v>3</v>
      </c>
      <c r="KV57" s="369">
        <f t="shared" ref="KV57:KV75" si="967">KS57/KT57</f>
        <v>129.081245254366</v>
      </c>
      <c r="KW57" s="84">
        <f t="shared" ref="KW57:KW75" si="968">KT57/KU57</f>
        <v>4.3899999999999997</v>
      </c>
      <c r="KY57" s="91">
        <f>SUM(KY8:KY9)</f>
        <v>0</v>
      </c>
      <c r="KZ57" s="82">
        <f>SUM(KZ8:KZ9)</f>
        <v>0</v>
      </c>
      <c r="LA57" s="79">
        <f>SUM(LA8:LA9)</f>
        <v>0</v>
      </c>
      <c r="LB57" s="369" t="e">
        <f t="shared" ref="LB57:LB75" si="969">KY57/KZ57</f>
        <v>#DIV/0!</v>
      </c>
      <c r="LC57" s="84" t="e">
        <f t="shared" ref="LC57:LC75" si="970">KZ57/LA57</f>
        <v>#DIV/0!</v>
      </c>
      <c r="LE57" s="91">
        <f>SUM(LE8:LE9)</f>
        <v>0</v>
      </c>
      <c r="LF57" s="82">
        <f>SUM(LF8:LF9)</f>
        <v>0</v>
      </c>
      <c r="LG57" s="79">
        <f>SUM(LG8:LG9)</f>
        <v>0</v>
      </c>
      <c r="LH57" s="369" t="e">
        <f t="shared" ref="LH57:LH75" si="971">LE57/LF57</f>
        <v>#DIV/0!</v>
      </c>
      <c r="LI57" s="84" t="e">
        <f t="shared" ref="LI57:LI75" si="972">LF57/LG57</f>
        <v>#DIV/0!</v>
      </c>
      <c r="LK57" s="91">
        <f>SUM(LK8:LK9)</f>
        <v>0</v>
      </c>
      <c r="LL57" s="82">
        <f>SUM(LL8:LL9)</f>
        <v>0</v>
      </c>
      <c r="LM57" s="79">
        <f>SUM(LM8:LM9)</f>
        <v>0</v>
      </c>
      <c r="LN57" s="369" t="e">
        <f t="shared" ref="LN57:LN75" si="973">LK57/LL57</f>
        <v>#DIV/0!</v>
      </c>
      <c r="LO57" s="84" t="e">
        <f t="shared" ref="LO57:LO75" si="974">LL57/LM57</f>
        <v>#DIV/0!</v>
      </c>
      <c r="LQ57" s="91">
        <f>SUM(LQ8:LQ9)</f>
        <v>1850</v>
      </c>
      <c r="LR57" s="82">
        <f>SUM(LR8:LR9)</f>
        <v>5.16</v>
      </c>
      <c r="LS57" s="79">
        <f>SUM(LS8:LS9)</f>
        <v>5</v>
      </c>
      <c r="LT57" s="369">
        <f t="shared" ref="LT57:LT75" si="975">LQ57/LR57</f>
        <v>358.52713178294573</v>
      </c>
      <c r="LU57" s="84">
        <f t="shared" ref="LU57:LU75" si="976">LR57/LS57</f>
        <v>1.032</v>
      </c>
      <c r="LW57" s="91">
        <f>SUM(LW8:LW9)</f>
        <v>4300</v>
      </c>
      <c r="LX57" s="82">
        <f>SUM(LX8:LX9)</f>
        <v>28.43</v>
      </c>
      <c r="LY57" s="79">
        <f>SUM(LY8:LY9)</f>
        <v>10</v>
      </c>
      <c r="LZ57" s="369">
        <f t="shared" ref="LZ57:LZ75" si="977">LW57/LX57</f>
        <v>151.24868097080548</v>
      </c>
      <c r="MA57" s="84">
        <f t="shared" ref="MA57:MA75" si="978">LX57/LY57</f>
        <v>2.843</v>
      </c>
      <c r="MC57" s="91">
        <f>SUM(MC8:MC9)</f>
        <v>1250</v>
      </c>
      <c r="MD57" s="82">
        <f>SUM(MD8:MD9)</f>
        <v>5.5700000000000012</v>
      </c>
      <c r="ME57" s="79">
        <f>SUM(ME8:ME9)</f>
        <v>5</v>
      </c>
      <c r="MF57" s="369">
        <f t="shared" ref="MF57:MF75" si="979">MC57/MD57</f>
        <v>224.41651705565525</v>
      </c>
      <c r="MG57" s="84">
        <f t="shared" ref="MG57:MG75" si="980">MD57/ME57</f>
        <v>1.1140000000000003</v>
      </c>
      <c r="MI57" s="91">
        <f>SUM(MI8:MI9)</f>
        <v>4600</v>
      </c>
      <c r="MJ57" s="82">
        <f>SUM(MJ8:MJ9)</f>
        <v>23.86</v>
      </c>
      <c r="MK57" s="79">
        <f>SUM(MK8:MK9)</f>
        <v>8</v>
      </c>
      <c r="ML57" s="369">
        <f t="shared" ref="ML57:ML75" si="981">MI57/MJ57</f>
        <v>192.79128248114</v>
      </c>
      <c r="MM57" s="84">
        <f t="shared" ref="MM57:MM75" si="982">MJ57/MK57</f>
        <v>2.9824999999999999</v>
      </c>
      <c r="MO57" s="91">
        <f>SUM(MO8:MO9)</f>
        <v>0</v>
      </c>
      <c r="MP57" s="82">
        <f>SUM(MP8:MP9)</f>
        <v>0</v>
      </c>
      <c r="MQ57" s="79">
        <f>SUM(MQ8:MQ9)</f>
        <v>0</v>
      </c>
      <c r="MR57" s="369" t="e">
        <f t="shared" ref="MR57:MR75" si="983">MO57/MP57</f>
        <v>#DIV/0!</v>
      </c>
      <c r="MS57" s="84" t="e">
        <f t="shared" ref="MS57:MS75" si="984">MP57/MQ57</f>
        <v>#DIV/0!</v>
      </c>
      <c r="MU57" s="91">
        <f>SUM(MU8:MU9)</f>
        <v>0</v>
      </c>
      <c r="MV57" s="82">
        <f>SUM(MV8:MV9)</f>
        <v>0</v>
      </c>
      <c r="MW57" s="79">
        <f>SUM(MW8:MW9)</f>
        <v>0</v>
      </c>
      <c r="MX57" s="369" t="e">
        <f t="shared" ref="MX57:MX75" si="985">MU57/MV57</f>
        <v>#DIV/0!</v>
      </c>
      <c r="MY57" s="84" t="e">
        <f t="shared" ref="MY57:MY75" si="986">MV57/MW57</f>
        <v>#DIV/0!</v>
      </c>
      <c r="NA57" s="383">
        <f>SUM(NA8:NA9)</f>
        <v>6000</v>
      </c>
      <c r="NB57" s="748">
        <f>SUM(NB8:NB9)</f>
        <v>30.83</v>
      </c>
      <c r="NC57" s="748">
        <f>SUM(NC8:NC9)</f>
        <v>10</v>
      </c>
      <c r="ND57" s="369">
        <f t="shared" ref="ND57:ND75" si="987">NA57/NB57</f>
        <v>194.61563412260787</v>
      </c>
      <c r="NE57" s="84">
        <f t="shared" ref="NE57:NE75" si="988">NB57/NC57</f>
        <v>3.0829999999999997</v>
      </c>
      <c r="NG57" s="91">
        <f>SUM(NG8:NG9)</f>
        <v>4400</v>
      </c>
      <c r="NH57" s="82">
        <f>SUM(NH8:NH9)</f>
        <v>26.4</v>
      </c>
      <c r="NI57" s="79">
        <f>SUM(NI8:NI9)</f>
        <v>7</v>
      </c>
      <c r="NJ57" s="369">
        <f t="shared" ref="NJ57:NJ75" si="989">NG57/NH57</f>
        <v>166.66666666666669</v>
      </c>
      <c r="NK57" s="84">
        <f t="shared" ref="NK57:NK75" si="990">NH57/NI57</f>
        <v>3.7714285714285714</v>
      </c>
      <c r="NM57" s="91">
        <f>SUM(NM8:NM9)</f>
        <v>1150</v>
      </c>
      <c r="NN57" s="82">
        <f>SUM(NN8:NN9)</f>
        <v>6.0100000000000007</v>
      </c>
      <c r="NO57" s="79">
        <f>SUM(NO8:NO9)</f>
        <v>5</v>
      </c>
      <c r="NP57" s="369">
        <f t="shared" ref="NP57:NP75" si="991">NM57/NN57</f>
        <v>191.34775374376036</v>
      </c>
      <c r="NQ57" s="84">
        <f t="shared" ref="NQ57:NQ75" si="992">NN57/NO57</f>
        <v>1.2020000000000002</v>
      </c>
      <c r="NS57" s="91">
        <f>SUM(NS8:NS9)</f>
        <v>3000</v>
      </c>
      <c r="NT57" s="82">
        <f>SUM(NT8:NT9)</f>
        <v>25.78</v>
      </c>
      <c r="NU57" s="79">
        <f>SUM(NU8:NU9)</f>
        <v>5</v>
      </c>
      <c r="NV57" s="369">
        <f t="shared" ref="NV57:NV75" si="993">NS57/NT57</f>
        <v>116.36927851047324</v>
      </c>
      <c r="NW57" s="84">
        <f t="shared" ref="NW57:NW75" si="994">NT57/NU57</f>
        <v>5.1560000000000006</v>
      </c>
      <c r="NY57" s="91">
        <f>SUM(NY8:NY9)</f>
        <v>4000</v>
      </c>
      <c r="NZ57" s="82">
        <f>SUM(NZ8:NZ9)</f>
        <v>33.340000000000003</v>
      </c>
      <c r="OA57" s="79">
        <f>SUM(OA8:OA9)</f>
        <v>10</v>
      </c>
      <c r="OB57" s="369">
        <f t="shared" ref="OB57:OB75" si="995">NY57/NZ57</f>
        <v>119.97600479904018</v>
      </c>
      <c r="OC57" s="84">
        <f t="shared" ref="OC57:OC75" si="996">NZ57/OA57</f>
        <v>3.3340000000000005</v>
      </c>
      <c r="OE57" s="91">
        <f>SUM(OE8:OE9)</f>
        <v>3000</v>
      </c>
      <c r="OF57" s="82">
        <f>SUM(OF8:OF9)</f>
        <v>18.579999999999998</v>
      </c>
      <c r="OG57" s="79">
        <f>SUM(OG8:OG9)</f>
        <v>5</v>
      </c>
      <c r="OH57" s="369">
        <f t="shared" ref="OH57:OH75" si="997">OE57/OF57</f>
        <v>161.46393972012919</v>
      </c>
      <c r="OI57" s="84">
        <f t="shared" ref="OI57:OI75" si="998">OF57/OG57</f>
        <v>3.7159999999999997</v>
      </c>
    </row>
    <row r="58" spans="1:399">
      <c r="A58" s="55"/>
      <c r="B58" s="56" t="s">
        <v>15</v>
      </c>
      <c r="C58" s="57"/>
      <c r="D58" s="58" t="s">
        <v>16</v>
      </c>
      <c r="E58" s="79">
        <f>SUM(E10:E12)</f>
        <v>3800</v>
      </c>
      <c r="F58" s="82">
        <f>SUM(F10:F12)</f>
        <v>58.36</v>
      </c>
      <c r="G58" s="79">
        <f>SUM(G10:G12)</f>
        <v>9</v>
      </c>
      <c r="H58" s="82">
        <f t="shared" si="867"/>
        <v>65.11309115832762</v>
      </c>
      <c r="I58" s="84">
        <f t="shared" si="868"/>
        <v>6.4844444444444447</v>
      </c>
      <c r="J58" s="589"/>
      <c r="K58" s="79">
        <f>SUM(K10:K12)</f>
        <v>2800</v>
      </c>
      <c r="L58" s="82">
        <f>SUM(L10:L12)</f>
        <v>50.56</v>
      </c>
      <c r="M58" s="79">
        <f>SUM(M10:M12)</f>
        <v>10</v>
      </c>
      <c r="N58" s="82">
        <f t="shared" si="869"/>
        <v>55.379746835443036</v>
      </c>
      <c r="O58" s="84">
        <f t="shared" si="870"/>
        <v>5.056</v>
      </c>
      <c r="P58" s="589"/>
      <c r="Q58" s="79">
        <f>SUM(Q10:Q12)</f>
        <v>2800</v>
      </c>
      <c r="R58" s="82">
        <f>SUM(R10:R12)</f>
        <v>38.1</v>
      </c>
      <c r="S58" s="79">
        <f>SUM(S10:S12)</f>
        <v>5</v>
      </c>
      <c r="T58" s="82">
        <f t="shared" si="871"/>
        <v>73.490813648293965</v>
      </c>
      <c r="U58" s="84">
        <f t="shared" si="872"/>
        <v>7.62</v>
      </c>
      <c r="V58" s="589"/>
      <c r="W58" s="79">
        <f>SUM(W10:W12)</f>
        <v>2500</v>
      </c>
      <c r="X58" s="82">
        <f>SUM(X10:X12)</f>
        <v>57.480000000000004</v>
      </c>
      <c r="Y58" s="79">
        <f>SUM(Y10:Y12)</f>
        <v>5</v>
      </c>
      <c r="Z58" s="82">
        <f t="shared" si="873"/>
        <v>43.493389004871254</v>
      </c>
      <c r="AA58" s="84">
        <f t="shared" si="874"/>
        <v>11.496</v>
      </c>
      <c r="AB58" s="589"/>
      <c r="AC58" s="79">
        <f>SUM(AC10:AC12)</f>
        <v>2900</v>
      </c>
      <c r="AD58" s="82">
        <f>SUM(AD10:AD12)</f>
        <v>38.199999999999996</v>
      </c>
      <c r="AE58" s="79">
        <f>SUM(AE10:AE12)</f>
        <v>5</v>
      </c>
      <c r="AF58" s="82">
        <f t="shared" si="875"/>
        <v>75.916230366492158</v>
      </c>
      <c r="AG58" s="84">
        <f t="shared" si="876"/>
        <v>7.6399999999999988</v>
      </c>
      <c r="AH58" s="589"/>
      <c r="AI58" s="79">
        <f>SUM(AI10:AI12)</f>
        <v>0</v>
      </c>
      <c r="AJ58" s="82">
        <f>SUM(AJ10:AJ12)</f>
        <v>0</v>
      </c>
      <c r="AK58" s="79">
        <f>SUM(AK10:AK12)</f>
        <v>0</v>
      </c>
      <c r="AL58" s="82" t="e">
        <f t="shared" si="877"/>
        <v>#DIV/0!</v>
      </c>
      <c r="AM58" s="84" t="e">
        <f t="shared" si="878"/>
        <v>#DIV/0!</v>
      </c>
      <c r="AN58" s="589"/>
      <c r="AO58" s="79">
        <f>SUM(AO10:AO12)</f>
        <v>1900</v>
      </c>
      <c r="AP58" s="82">
        <f>SUM(AP10:AP12)</f>
        <v>40.950000000000003</v>
      </c>
      <c r="AQ58" s="79">
        <f>SUM(AQ10:AQ12)</f>
        <v>5</v>
      </c>
      <c r="AR58" s="82">
        <f t="shared" si="879"/>
        <v>46.398046398046397</v>
      </c>
      <c r="AS58" s="84">
        <f t="shared" si="880"/>
        <v>8.1900000000000013</v>
      </c>
      <c r="AT58" s="589"/>
      <c r="AU58" s="79">
        <f>SUM(AU10:AU12)</f>
        <v>3200</v>
      </c>
      <c r="AV58" s="82">
        <f>SUM(AV10:AV12)</f>
        <v>71.36</v>
      </c>
      <c r="AW58" s="79">
        <f>SUM(AW10:AW12)</f>
        <v>10</v>
      </c>
      <c r="AX58" s="82">
        <f t="shared" si="881"/>
        <v>44.843049327354258</v>
      </c>
      <c r="AY58" s="84">
        <f t="shared" si="882"/>
        <v>7.1360000000000001</v>
      </c>
      <c r="AZ58" s="84"/>
      <c r="BA58" s="79">
        <f>SUM(BA10:BA12)</f>
        <v>2700</v>
      </c>
      <c r="BB58" s="82">
        <f>SUM(BB10:BB12)</f>
        <v>106.58</v>
      </c>
      <c r="BC58" s="79">
        <f>SUM(BC10:BC12)</f>
        <v>6</v>
      </c>
      <c r="BD58" s="82">
        <f t="shared" si="883"/>
        <v>25.33308313004316</v>
      </c>
      <c r="BE58" s="84">
        <f t="shared" si="884"/>
        <v>17.763333333333332</v>
      </c>
      <c r="BF58" s="84"/>
      <c r="BG58" s="79">
        <f>SUM(BG10:BG12)</f>
        <v>0</v>
      </c>
      <c r="BH58" s="82">
        <f>SUM(BH10:BH12)</f>
        <v>0</v>
      </c>
      <c r="BI58" s="79">
        <f>SUM(BI10:BI12)</f>
        <v>0</v>
      </c>
      <c r="BJ58" s="82" t="e">
        <f t="shared" si="885"/>
        <v>#DIV/0!</v>
      </c>
      <c r="BK58" s="84" t="e">
        <f t="shared" si="886"/>
        <v>#DIV/0!</v>
      </c>
      <c r="BL58" s="84"/>
      <c r="BM58" s="79">
        <f>SUM(BM10:BM12)</f>
        <v>0</v>
      </c>
      <c r="BN58" s="82">
        <f>SUM(BN10:BN12)</f>
        <v>0</v>
      </c>
      <c r="BO58" s="79">
        <f>SUM(BO10:BO12)</f>
        <v>0</v>
      </c>
      <c r="BP58" s="82" t="e">
        <f t="shared" si="887"/>
        <v>#DIV/0!</v>
      </c>
      <c r="BQ58" s="84" t="e">
        <f t="shared" si="888"/>
        <v>#DIV/0!</v>
      </c>
      <c r="BR58" s="589"/>
      <c r="BS58" s="79">
        <f>SUM(BS10:BS12)</f>
        <v>4000</v>
      </c>
      <c r="BT58" s="82">
        <f>SUM(BT10:BT12)</f>
        <v>69.430000000000007</v>
      </c>
      <c r="BU58" s="79">
        <f>SUM(BU10:BU12)</f>
        <v>10</v>
      </c>
      <c r="BV58" s="82">
        <f t="shared" si="889"/>
        <v>57.61198329252484</v>
      </c>
      <c r="BW58" s="84">
        <f t="shared" si="890"/>
        <v>6.9430000000000005</v>
      </c>
      <c r="BX58" s="84"/>
      <c r="BY58" s="79">
        <f>SUM(BY10:BY12)</f>
        <v>3500</v>
      </c>
      <c r="BZ58" s="82">
        <f>SUM(BZ10:BZ12)</f>
        <v>71.600000000000009</v>
      </c>
      <c r="CA58" s="79">
        <f>SUM(CA10:CA12)</f>
        <v>10</v>
      </c>
      <c r="CB58" s="82">
        <f t="shared" si="891"/>
        <v>48.882681564245807</v>
      </c>
      <c r="CC58" s="84">
        <f t="shared" si="892"/>
        <v>7.160000000000001</v>
      </c>
      <c r="CD58" s="84"/>
      <c r="CE58" s="79">
        <f>SUM(CE10:CE12)</f>
        <v>4700</v>
      </c>
      <c r="CF58" s="82">
        <f>SUM(CF10:CF12)</f>
        <v>107.88</v>
      </c>
      <c r="CG58" s="79">
        <f>SUM(CG10:CG12)</f>
        <v>15</v>
      </c>
      <c r="CH58" s="82">
        <f t="shared" si="893"/>
        <v>43.566926214312204</v>
      </c>
      <c r="CI58" s="84">
        <f t="shared" si="894"/>
        <v>7.1919999999999993</v>
      </c>
      <c r="CJ58" s="84"/>
      <c r="CK58" s="79">
        <f>SUM(CK10:CK12)</f>
        <v>3600</v>
      </c>
      <c r="CL58" s="82">
        <f>SUM(CL10:CL12)</f>
        <v>83.18</v>
      </c>
      <c r="CM58" s="79">
        <f>SUM(CM10:CM12)</f>
        <v>11</v>
      </c>
      <c r="CN58" s="82">
        <f t="shared" si="895"/>
        <v>43.279634527530654</v>
      </c>
      <c r="CO58" s="84">
        <f t="shared" si="896"/>
        <v>7.5618181818181824</v>
      </c>
      <c r="CP58" s="84"/>
      <c r="CQ58" s="79">
        <f>SUM(CQ10:CQ12)</f>
        <v>0</v>
      </c>
      <c r="CR58" s="82">
        <f>SUM(CR10:CR12)</f>
        <v>0</v>
      </c>
      <c r="CS58" s="79">
        <f>SUM(CS10:CS12)</f>
        <v>0</v>
      </c>
      <c r="CT58" s="82" t="e">
        <f t="shared" si="897"/>
        <v>#DIV/0!</v>
      </c>
      <c r="CU58" s="84" t="e">
        <f t="shared" si="898"/>
        <v>#DIV/0!</v>
      </c>
      <c r="CV58" s="84"/>
      <c r="CW58" s="79">
        <f>SUM(CW10:CW12)</f>
        <v>3500</v>
      </c>
      <c r="CX58" s="82">
        <f>SUM(CX10:CX12)</f>
        <v>71.600000000000009</v>
      </c>
      <c r="CY58" s="79">
        <f>SUM(CY10:CY12)</f>
        <v>10</v>
      </c>
      <c r="CZ58" s="82">
        <f t="shared" si="899"/>
        <v>48.882681564245807</v>
      </c>
      <c r="DA58" s="84">
        <f t="shared" si="900"/>
        <v>7.160000000000001</v>
      </c>
      <c r="DB58" s="84"/>
      <c r="DC58" s="79">
        <f>SUM(DC10:DC12)</f>
        <v>3200</v>
      </c>
      <c r="DD58" s="82">
        <f>SUM(DD10:DD12)</f>
        <v>88.53</v>
      </c>
      <c r="DE58" s="79">
        <f>SUM(DE10:DE12)</f>
        <v>10</v>
      </c>
      <c r="DF58" s="82">
        <f t="shared" si="901"/>
        <v>36.145939229639673</v>
      </c>
      <c r="DG58" s="84">
        <f t="shared" si="902"/>
        <v>8.8529999999999998</v>
      </c>
      <c r="DH58" s="84"/>
      <c r="DI58" s="79">
        <f>SUM(DI10:DI12)</f>
        <v>2500</v>
      </c>
      <c r="DJ58" s="82">
        <f>SUM(DJ10:DJ12)</f>
        <v>53</v>
      </c>
      <c r="DK58" s="79">
        <f>SUM(DK10:DK12)</f>
        <v>5</v>
      </c>
      <c r="DL58" s="82">
        <f t="shared" si="903"/>
        <v>47.169811320754718</v>
      </c>
      <c r="DM58" s="84">
        <f t="shared" si="904"/>
        <v>10.6</v>
      </c>
      <c r="DN58" s="84"/>
      <c r="DO58" s="79">
        <f>SUM(DO10:DO12)</f>
        <v>2300</v>
      </c>
      <c r="DP58" s="82">
        <f>SUM(DP10:DP12)</f>
        <v>53.33</v>
      </c>
      <c r="DQ58" s="79">
        <f>SUM(DQ10:DQ12)</f>
        <v>5</v>
      </c>
      <c r="DR58" s="82">
        <f t="shared" si="905"/>
        <v>43.12769548096756</v>
      </c>
      <c r="DS58" s="84">
        <f t="shared" si="906"/>
        <v>10.666</v>
      </c>
      <c r="DT58" s="84"/>
      <c r="DU58" s="79">
        <f>SUM(DU10:DU12)</f>
        <v>0</v>
      </c>
      <c r="DV58" s="82">
        <f>SUM(DV10:DV12)</f>
        <v>0</v>
      </c>
      <c r="DW58" s="79">
        <f>SUM(DW10:DW12)</f>
        <v>0</v>
      </c>
      <c r="DX58" s="82" t="e">
        <f t="shared" si="907"/>
        <v>#DIV/0!</v>
      </c>
      <c r="DY58" s="84" t="e">
        <f t="shared" si="908"/>
        <v>#DIV/0!</v>
      </c>
      <c r="DZ58" s="84"/>
      <c r="EA58" s="79">
        <f>SUM(EA10:EA12)</f>
        <v>0</v>
      </c>
      <c r="EB58" s="82">
        <f>SUM(EB10:EB12)</f>
        <v>0</v>
      </c>
      <c r="EC58" s="79">
        <f>SUM(EC10:EC12)</f>
        <v>0</v>
      </c>
      <c r="ED58" s="82" t="e">
        <f t="shared" si="909"/>
        <v>#DIV/0!</v>
      </c>
      <c r="EE58" s="84" t="e">
        <f t="shared" si="910"/>
        <v>#DIV/0!</v>
      </c>
      <c r="EF58" s="84"/>
      <c r="EG58" s="79">
        <f>SUM(EG10:EG12)</f>
        <v>0</v>
      </c>
      <c r="EH58" s="82">
        <f>SUM(EH10:EH12)</f>
        <v>0</v>
      </c>
      <c r="EI58" s="79">
        <f>SUM(EI10:EI12)</f>
        <v>0</v>
      </c>
      <c r="EJ58" s="82" t="e">
        <f t="shared" si="911"/>
        <v>#DIV/0!</v>
      </c>
      <c r="EK58" s="84" t="e">
        <f t="shared" si="912"/>
        <v>#DIV/0!</v>
      </c>
      <c r="EL58" s="84"/>
      <c r="EM58" s="79">
        <f>SUM(EM10:EM12)</f>
        <v>0</v>
      </c>
      <c r="EN58" s="82">
        <f>SUM(EN10:EN12)</f>
        <v>0</v>
      </c>
      <c r="EO58" s="79">
        <f>SUM(EO10:EO12)</f>
        <v>0</v>
      </c>
      <c r="EP58" s="82" t="e">
        <f t="shared" si="913"/>
        <v>#DIV/0!</v>
      </c>
      <c r="EQ58" s="84" t="e">
        <f t="shared" si="914"/>
        <v>#DIV/0!</v>
      </c>
      <c r="ER58" s="589"/>
      <c r="ES58" s="79">
        <f>SUM(ES10:ES12)</f>
        <v>3500</v>
      </c>
      <c r="ET58" s="82">
        <f>SUM(ET10:ET12)</f>
        <v>71.600000000000009</v>
      </c>
      <c r="EU58" s="79">
        <f>SUM(EU10:EU12)</f>
        <v>10</v>
      </c>
      <c r="EV58" s="82">
        <f t="shared" si="915"/>
        <v>48.882681564245807</v>
      </c>
      <c r="EW58" s="84">
        <f t="shared" si="916"/>
        <v>7.160000000000001</v>
      </c>
      <c r="EY58" s="91">
        <f>SUM(EY10:EY12)</f>
        <v>4700</v>
      </c>
      <c r="EZ58" s="82">
        <f>SUM(EZ10:EZ12)</f>
        <v>107.88</v>
      </c>
      <c r="FA58" s="79">
        <f>SUM(FA10:FA12)</f>
        <v>15</v>
      </c>
      <c r="FB58" s="82">
        <f t="shared" si="917"/>
        <v>43.566926214312204</v>
      </c>
      <c r="FC58" s="84">
        <f t="shared" si="918"/>
        <v>7.1919999999999993</v>
      </c>
      <c r="FE58" s="91">
        <f>SUM(FE10:FE12)</f>
        <v>2800</v>
      </c>
      <c r="FF58" s="82">
        <f>SUM(FF10:FF12)</f>
        <v>38.1</v>
      </c>
      <c r="FG58" s="79">
        <f>SUM(FG10:FG12)</f>
        <v>5</v>
      </c>
      <c r="FH58" s="94">
        <f t="shared" si="919"/>
        <v>73.490813648293965</v>
      </c>
      <c r="FI58" s="84">
        <f t="shared" si="920"/>
        <v>7.62</v>
      </c>
      <c r="FK58" s="91">
        <f>SUM(FK10:FK12)</f>
        <v>2700</v>
      </c>
      <c r="FL58" s="82">
        <f>SUM(FL10:FL12)</f>
        <v>57.59</v>
      </c>
      <c r="FM58" s="79">
        <f>SUM(FM10:FM12)</f>
        <v>7</v>
      </c>
      <c r="FN58" s="82">
        <f t="shared" si="921"/>
        <v>46.8831394339295</v>
      </c>
      <c r="FO58" s="84">
        <f t="shared" si="922"/>
        <v>8.2271428571428569</v>
      </c>
      <c r="FQ58" s="91">
        <f>SUM(FQ10:FQ12)</f>
        <v>2300</v>
      </c>
      <c r="FR58" s="82">
        <f>SUM(FR10:FR12)</f>
        <v>57.53</v>
      </c>
      <c r="FS58" s="79">
        <f>SUM(FS10:FS12)</f>
        <v>7</v>
      </c>
      <c r="FT58" s="82">
        <f t="shared" si="923"/>
        <v>39.979141317573436</v>
      </c>
      <c r="FU58" s="84">
        <f t="shared" si="924"/>
        <v>8.218571428571428</v>
      </c>
      <c r="FW58" s="91">
        <f>SUM(FW10:FW12)</f>
        <v>4300</v>
      </c>
      <c r="FX58" s="82">
        <f>SUM(FX10:FX12)</f>
        <v>61.45</v>
      </c>
      <c r="FY58" s="79">
        <f>SUM(FY10:FY12)</f>
        <v>8</v>
      </c>
      <c r="FZ58" s="82">
        <f t="shared" si="925"/>
        <v>69.975589910496339</v>
      </c>
      <c r="GA58" s="84">
        <f t="shared" si="926"/>
        <v>7.6812500000000004</v>
      </c>
      <c r="GC58" s="91">
        <f>SUM(GC10:GC12)</f>
        <v>3300</v>
      </c>
      <c r="GD58" s="82">
        <f>SUM(GD10:GD12)</f>
        <v>73.92</v>
      </c>
      <c r="GE58" s="79">
        <f>SUM(GE10:GE12)</f>
        <v>10</v>
      </c>
      <c r="GF58" s="82">
        <f t="shared" si="927"/>
        <v>44.642857142857139</v>
      </c>
      <c r="GG58" s="84">
        <f t="shared" si="928"/>
        <v>7.3920000000000003</v>
      </c>
      <c r="GI58" s="91">
        <f>SUM(GI10:GI12)</f>
        <v>3350</v>
      </c>
      <c r="GJ58" s="82">
        <f>SUM(GJ10:GJ12)</f>
        <v>72.47</v>
      </c>
      <c r="GK58" s="79">
        <f>SUM(GK10:GK12)</f>
        <v>10</v>
      </c>
      <c r="GL58" s="82">
        <f t="shared" si="929"/>
        <v>46.226024561887677</v>
      </c>
      <c r="GM58" s="84">
        <f t="shared" si="930"/>
        <v>7.2469999999999999</v>
      </c>
      <c r="GO58" s="91">
        <f>SUM(GO10:GO12)</f>
        <v>2500</v>
      </c>
      <c r="GP58" s="82">
        <f>SUM(GP10:GP12)</f>
        <v>42.259999999999991</v>
      </c>
      <c r="GQ58" s="371">
        <f>SUM(GQ10:GQ12)</f>
        <v>5</v>
      </c>
      <c r="GR58" s="369">
        <f t="shared" si="931"/>
        <v>59.157595835305266</v>
      </c>
      <c r="GS58" s="370">
        <f t="shared" si="932"/>
        <v>8.4519999999999982</v>
      </c>
      <c r="GU58" s="91">
        <f>SUM(GU10:GU12)</f>
        <v>2500</v>
      </c>
      <c r="GV58" s="82">
        <f>SUM(GV10:GV12)</f>
        <v>36.43</v>
      </c>
      <c r="GW58" s="79">
        <f>SUM(GW10:GW12)</f>
        <v>5</v>
      </c>
      <c r="GX58" s="82">
        <f t="shared" si="933"/>
        <v>68.62475981334066</v>
      </c>
      <c r="GY58" s="84">
        <f t="shared" si="934"/>
        <v>7.2859999999999996</v>
      </c>
      <c r="HA58" s="91">
        <f>SUM(HA10:HA12)</f>
        <v>2900</v>
      </c>
      <c r="HB58" s="82">
        <f>SUM(HB10:HB12)</f>
        <v>48.25</v>
      </c>
      <c r="HC58" s="79">
        <f>SUM(HC10:HC12)</f>
        <v>5</v>
      </c>
      <c r="HD58" s="369">
        <f t="shared" si="935"/>
        <v>60.103626943005182</v>
      </c>
      <c r="HE58" s="370">
        <f t="shared" si="936"/>
        <v>9.65</v>
      </c>
      <c r="HG58" s="91">
        <f>SUM(HG10:HG12)</f>
        <v>1500</v>
      </c>
      <c r="HH58" s="82">
        <f>SUM(HH10:HH12)</f>
        <v>39.620000000000005</v>
      </c>
      <c r="HI58" s="79">
        <f>SUM(HI10:HI12)</f>
        <v>3</v>
      </c>
      <c r="HJ58" s="82">
        <f t="shared" si="937"/>
        <v>37.859666834931851</v>
      </c>
      <c r="HK58" s="84">
        <f t="shared" si="938"/>
        <v>13.206666666666669</v>
      </c>
      <c r="HM58" s="91">
        <f>SUM(HM10:HM12)</f>
        <v>2400</v>
      </c>
      <c r="HN58" s="82">
        <f>SUM(HN10:HN12)</f>
        <v>39.32</v>
      </c>
      <c r="HO58" s="79">
        <f>SUM(HO10:HO12)</f>
        <v>5</v>
      </c>
      <c r="HP58" s="82">
        <f t="shared" si="939"/>
        <v>61.037639877924718</v>
      </c>
      <c r="HQ58" s="84">
        <f t="shared" si="940"/>
        <v>7.8639999999999999</v>
      </c>
      <c r="HS58" s="91">
        <f>SUM(HS10:HS12)</f>
        <v>2800</v>
      </c>
      <c r="HT58" s="82">
        <f>SUM(HT10:HT12)</f>
        <v>50.56</v>
      </c>
      <c r="HU58" s="79">
        <f>SUM(HU10:HU12)</f>
        <v>10</v>
      </c>
      <c r="HV58" s="82">
        <f t="shared" si="941"/>
        <v>55.379746835443036</v>
      </c>
      <c r="HW58" s="84">
        <f t="shared" si="942"/>
        <v>5.056</v>
      </c>
      <c r="HY58" s="91">
        <f>SUM(HY10:HY12)</f>
        <v>5300</v>
      </c>
      <c r="HZ58" s="82">
        <f>SUM(HZ10:HZ12)</f>
        <v>55.35</v>
      </c>
      <c r="IA58" s="79">
        <f>SUM(IA10:IA12)</f>
        <v>10</v>
      </c>
      <c r="IB58" s="82">
        <f t="shared" si="943"/>
        <v>95.754290876242095</v>
      </c>
      <c r="IC58" s="84">
        <f t="shared" si="944"/>
        <v>5.5350000000000001</v>
      </c>
      <c r="IE58" s="91">
        <f>SUM(IE10:IE12)</f>
        <v>3700</v>
      </c>
      <c r="IF58" s="82">
        <f>SUM(IF10:IF12)</f>
        <v>67.44</v>
      </c>
      <c r="IG58" s="79">
        <f>SUM(IG10:IG12)</f>
        <v>10</v>
      </c>
      <c r="IH58" s="82">
        <f t="shared" si="945"/>
        <v>54.86358244365362</v>
      </c>
      <c r="II58" s="84">
        <f t="shared" si="946"/>
        <v>6.7439999999999998</v>
      </c>
      <c r="IK58" s="91">
        <f>SUM(IK10:IK12)</f>
        <v>3500</v>
      </c>
      <c r="IL58" s="82">
        <f>SUM(IL10:IL12)</f>
        <v>75.23</v>
      </c>
      <c r="IM58" s="79">
        <f>SUM(IM10:IM12)</f>
        <v>10</v>
      </c>
      <c r="IN58" s="82">
        <f t="shared" si="947"/>
        <v>46.523993087863879</v>
      </c>
      <c r="IO58" s="84">
        <f t="shared" si="948"/>
        <v>7.5230000000000006</v>
      </c>
      <c r="IQ58" s="91">
        <f>SUM(IQ10:IQ12)</f>
        <v>3000</v>
      </c>
      <c r="IR58" s="82">
        <f>SUM(IR10:IR12)</f>
        <v>49.56</v>
      </c>
      <c r="IS58" s="79">
        <f>SUM(IS10:IS12)</f>
        <v>5</v>
      </c>
      <c r="IT58" s="82">
        <f t="shared" si="949"/>
        <v>60.532687651331713</v>
      </c>
      <c r="IU58" s="84">
        <f t="shared" si="950"/>
        <v>9.9120000000000008</v>
      </c>
      <c r="IW58" s="91">
        <f>SUM(IW10:IW12)</f>
        <v>3100</v>
      </c>
      <c r="IX58" s="82">
        <f>SUM(IX10:IX12)</f>
        <v>59.21</v>
      </c>
      <c r="IY58" s="79">
        <f>SUM(IY10:IY12)</f>
        <v>10</v>
      </c>
      <c r="IZ58" s="82">
        <f t="shared" si="951"/>
        <v>52.356020942408378</v>
      </c>
      <c r="JA58" s="84">
        <f t="shared" si="952"/>
        <v>5.9210000000000003</v>
      </c>
      <c r="JC58" s="91">
        <f>SUM(JC10:JC12)</f>
        <v>4500</v>
      </c>
      <c r="JD58" s="82">
        <f>SUM(JD10:JD12)</f>
        <v>73.86</v>
      </c>
      <c r="JE58" s="79">
        <f>SUM(JE10:JE12)</f>
        <v>15</v>
      </c>
      <c r="JF58" s="82">
        <f t="shared" si="953"/>
        <v>60.926076360682373</v>
      </c>
      <c r="JG58" s="84">
        <f t="shared" si="954"/>
        <v>4.9240000000000004</v>
      </c>
      <c r="JI58" s="91">
        <f>SUM(JI10:JI12)</f>
        <v>2500</v>
      </c>
      <c r="JJ58" s="82">
        <f>SUM(JJ10:JJ12)</f>
        <v>48.910000000000004</v>
      </c>
      <c r="JK58" s="79">
        <f>SUM(JK10:JK12)</f>
        <v>5</v>
      </c>
      <c r="JL58" s="82">
        <f t="shared" si="955"/>
        <v>51.114291555919031</v>
      </c>
      <c r="JM58" s="84">
        <f t="shared" si="956"/>
        <v>9.782</v>
      </c>
      <c r="JO58" s="91">
        <f>SUM(JO10:JO12)</f>
        <v>3500</v>
      </c>
      <c r="JP58" s="82">
        <f>SUM(JP10:JP12)</f>
        <v>69.700000000000017</v>
      </c>
      <c r="JQ58" s="79">
        <f>SUM(JQ10:JQ12)</f>
        <v>10</v>
      </c>
      <c r="JR58" s="82">
        <f t="shared" si="957"/>
        <v>50.215208034433275</v>
      </c>
      <c r="JS58" s="84">
        <f t="shared" si="958"/>
        <v>6.9700000000000015</v>
      </c>
      <c r="JU58" s="91">
        <f>SUM(JU10:JU12)</f>
        <v>2500</v>
      </c>
      <c r="JV58" s="82">
        <f>SUM(JV10:JV12)</f>
        <v>42.11</v>
      </c>
      <c r="JW58" s="79">
        <f>SUM(JW10:JW12)</f>
        <v>5</v>
      </c>
      <c r="JX58" s="369">
        <f t="shared" si="959"/>
        <v>59.368321063880316</v>
      </c>
      <c r="JY58" s="84">
        <f t="shared" si="960"/>
        <v>8.4220000000000006</v>
      </c>
      <c r="KA58" s="91">
        <f>SUM(KA10:KA12)</f>
        <v>2500</v>
      </c>
      <c r="KB58" s="82">
        <f>SUM(KB10:KB12)</f>
        <v>38.410000000000004</v>
      </c>
      <c r="KC58" s="79">
        <f>SUM(KC10:KC12)</f>
        <v>5</v>
      </c>
      <c r="KD58" s="369">
        <f t="shared" si="961"/>
        <v>65.087216870606611</v>
      </c>
      <c r="KE58" s="84">
        <f t="shared" si="962"/>
        <v>7.6820000000000004</v>
      </c>
      <c r="KG58" s="91">
        <f>SUM(KG10:KG12)</f>
        <v>2700</v>
      </c>
      <c r="KH58" s="82">
        <f>SUM(KH10:KH12)</f>
        <v>52.589999999999996</v>
      </c>
      <c r="KI58" s="79">
        <f>SUM(KI10:KI12)</f>
        <v>5</v>
      </c>
      <c r="KJ58" s="369">
        <f t="shared" si="963"/>
        <v>51.340559041642905</v>
      </c>
      <c r="KK58" s="84">
        <f t="shared" si="964"/>
        <v>10.517999999999999</v>
      </c>
      <c r="KM58" s="91">
        <f>SUM(KM10:KM12)</f>
        <v>1500</v>
      </c>
      <c r="KN58" s="82">
        <f>SUM(KN10:KN12)</f>
        <v>46.589999999999996</v>
      </c>
      <c r="KO58" s="79">
        <f>SUM(KO10:KO12)</f>
        <v>5</v>
      </c>
      <c r="KP58" s="369">
        <f t="shared" si="965"/>
        <v>32.195750160978754</v>
      </c>
      <c r="KQ58" s="84">
        <f t="shared" si="966"/>
        <v>9.3179999999999996</v>
      </c>
      <c r="KS58" s="91">
        <f>SUM(KS10:KS12)</f>
        <v>2500</v>
      </c>
      <c r="KT58" s="82">
        <f>SUM(KT10:KT12)</f>
        <v>72.349999999999994</v>
      </c>
      <c r="KU58" s="79">
        <f>SUM(KU10:KU12)</f>
        <v>5</v>
      </c>
      <c r="KV58" s="369">
        <f t="shared" si="967"/>
        <v>34.554250172771255</v>
      </c>
      <c r="KW58" s="84">
        <f t="shared" si="968"/>
        <v>14.469999999999999</v>
      </c>
      <c r="KY58" s="91">
        <f>SUM(KY10:KY12)</f>
        <v>0</v>
      </c>
      <c r="KZ58" s="82">
        <f>SUM(KZ10:KZ12)</f>
        <v>0</v>
      </c>
      <c r="LA58" s="79">
        <f>SUM(LA10:LA12)</f>
        <v>0</v>
      </c>
      <c r="LB58" s="369" t="e">
        <f t="shared" si="969"/>
        <v>#DIV/0!</v>
      </c>
      <c r="LC58" s="84" t="e">
        <f t="shared" si="970"/>
        <v>#DIV/0!</v>
      </c>
      <c r="LE58" s="91">
        <f>SUM(LE10:LE12)</f>
        <v>0</v>
      </c>
      <c r="LF58" s="82">
        <f>SUM(LF10:LF12)</f>
        <v>0</v>
      </c>
      <c r="LG58" s="79">
        <f>SUM(LG10:LG12)</f>
        <v>0</v>
      </c>
      <c r="LH58" s="369" t="e">
        <f t="shared" si="971"/>
        <v>#DIV/0!</v>
      </c>
      <c r="LI58" s="84" t="e">
        <f t="shared" si="972"/>
        <v>#DIV/0!</v>
      </c>
      <c r="LK58" s="91">
        <f>SUM(LK10:LK12)</f>
        <v>2500</v>
      </c>
      <c r="LL58" s="82">
        <f>SUM(LL10:LL12)</f>
        <v>42.12</v>
      </c>
      <c r="LM58" s="79">
        <f>SUM(LM10:LM12)</f>
        <v>5</v>
      </c>
      <c r="LN58" s="369">
        <f t="shared" si="973"/>
        <v>59.354226020892689</v>
      </c>
      <c r="LO58" s="84">
        <f t="shared" si="974"/>
        <v>8.4239999999999995</v>
      </c>
      <c r="LQ58" s="91">
        <f>SUM(LQ10:LQ12)</f>
        <v>2000</v>
      </c>
      <c r="LR58" s="82">
        <f>SUM(LR10:LR12)</f>
        <v>31.239999999999995</v>
      </c>
      <c r="LS58" s="79">
        <f>SUM(LS10:LS12)</f>
        <v>4</v>
      </c>
      <c r="LT58" s="369">
        <f t="shared" si="975"/>
        <v>64.020486555697829</v>
      </c>
      <c r="LU58" s="84">
        <f t="shared" si="976"/>
        <v>7.8099999999999987</v>
      </c>
      <c r="LW58" s="91">
        <f>SUM(LW10:LW12)</f>
        <v>4500</v>
      </c>
      <c r="LX58" s="82">
        <f>SUM(LX10:LX12)</f>
        <v>32.93</v>
      </c>
      <c r="LY58" s="79">
        <f>SUM(LY10:LY12)</f>
        <v>5</v>
      </c>
      <c r="LZ58" s="369">
        <f t="shared" si="977"/>
        <v>136.6535074400243</v>
      </c>
      <c r="MA58" s="84">
        <f t="shared" si="978"/>
        <v>6.5860000000000003</v>
      </c>
      <c r="MC58" s="91">
        <f>SUM(MC10:MC12)</f>
        <v>3450</v>
      </c>
      <c r="MD58" s="82">
        <f>SUM(MD10:MD12)</f>
        <v>53.39</v>
      </c>
      <c r="ME58" s="79">
        <f>SUM(ME10:ME12)</f>
        <v>11</v>
      </c>
      <c r="MF58" s="369">
        <f t="shared" si="979"/>
        <v>64.618842479865137</v>
      </c>
      <c r="MG58" s="84">
        <f t="shared" si="980"/>
        <v>4.8536363636363635</v>
      </c>
      <c r="MI58" s="91">
        <f>SUM(MI10:MI12)</f>
        <v>2200</v>
      </c>
      <c r="MJ58" s="82">
        <f>SUM(MJ10:MJ12)</f>
        <v>40.949999999999996</v>
      </c>
      <c r="MK58" s="79">
        <f>SUM(MK10:MK12)</f>
        <v>5</v>
      </c>
      <c r="ML58" s="369">
        <f t="shared" si="981"/>
        <v>53.724053724053732</v>
      </c>
      <c r="MM58" s="84">
        <f t="shared" si="982"/>
        <v>8.19</v>
      </c>
      <c r="MO58" s="91">
        <f>SUM(MO10:MO12)</f>
        <v>0</v>
      </c>
      <c r="MP58" s="82">
        <f>SUM(MP10:MP12)</f>
        <v>0</v>
      </c>
      <c r="MQ58" s="79">
        <f>SUM(MQ10:MQ12)</f>
        <v>0</v>
      </c>
      <c r="MR58" s="369" t="e">
        <f t="shared" si="983"/>
        <v>#DIV/0!</v>
      </c>
      <c r="MS58" s="84" t="e">
        <f t="shared" si="984"/>
        <v>#DIV/0!</v>
      </c>
      <c r="MU58" s="91">
        <f>SUM(MU10:MU12)</f>
        <v>0</v>
      </c>
      <c r="MV58" s="82">
        <f>SUM(MV10:MV12)</f>
        <v>0</v>
      </c>
      <c r="MW58" s="79">
        <f>SUM(MW10:MW12)</f>
        <v>0</v>
      </c>
      <c r="MX58" s="369" t="e">
        <f t="shared" si="985"/>
        <v>#DIV/0!</v>
      </c>
      <c r="MY58" s="84" t="e">
        <f t="shared" si="986"/>
        <v>#DIV/0!</v>
      </c>
      <c r="NA58" s="383">
        <f>SUM(NA10:NA12)</f>
        <v>3100</v>
      </c>
      <c r="NB58" s="748">
        <f>SUM(NB10:NB12)</f>
        <v>62.33</v>
      </c>
      <c r="NC58" s="748">
        <f>SUM(NC10:NC12)</f>
        <v>8</v>
      </c>
      <c r="ND58" s="369">
        <f t="shared" si="987"/>
        <v>49.735279961495266</v>
      </c>
      <c r="NE58" s="84">
        <f t="shared" si="988"/>
        <v>7.7912499999999998</v>
      </c>
      <c r="NG58" s="91">
        <f>SUM(NG10:NG12)</f>
        <v>2500</v>
      </c>
      <c r="NH58" s="82">
        <f>SUM(NH10:NH12)</f>
        <v>50.230000000000004</v>
      </c>
      <c r="NI58" s="79">
        <f>SUM(NI10:NI12)</f>
        <v>6</v>
      </c>
      <c r="NJ58" s="369">
        <f t="shared" si="989"/>
        <v>49.771053155484765</v>
      </c>
      <c r="NK58" s="84">
        <f t="shared" si="990"/>
        <v>8.3716666666666679</v>
      </c>
      <c r="NM58" s="91">
        <f>SUM(NM10:NM12)</f>
        <v>2500</v>
      </c>
      <c r="NN58" s="82">
        <f>SUM(NN10:NN12)</f>
        <v>42.940000000000005</v>
      </c>
      <c r="NO58" s="79">
        <f>SUM(NO10:NO12)</f>
        <v>5</v>
      </c>
      <c r="NP58" s="369">
        <f t="shared" si="991"/>
        <v>58.220773171867712</v>
      </c>
      <c r="NQ58" s="84">
        <f t="shared" si="992"/>
        <v>8.588000000000001</v>
      </c>
      <c r="NS58" s="91">
        <f>SUM(NS10:NS12)</f>
        <v>2500</v>
      </c>
      <c r="NT58" s="82">
        <f>SUM(NT10:NT12)</f>
        <v>38.699999999999996</v>
      </c>
      <c r="NU58" s="79">
        <f>SUM(NU10:NU12)</f>
        <v>5</v>
      </c>
      <c r="NV58" s="369">
        <f t="shared" si="993"/>
        <v>64.599483204134373</v>
      </c>
      <c r="NW58" s="84">
        <f t="shared" si="994"/>
        <v>7.7399999999999993</v>
      </c>
      <c r="NY58" s="91">
        <f>SUM(NY10:NY12)</f>
        <v>2500</v>
      </c>
      <c r="NZ58" s="82">
        <f>SUM(NZ10:NZ12)</f>
        <v>68.13</v>
      </c>
      <c r="OA58" s="79">
        <f>SUM(OA10:OA12)</f>
        <v>5</v>
      </c>
      <c r="OB58" s="369">
        <f t="shared" si="995"/>
        <v>36.694554528108029</v>
      </c>
      <c r="OC58" s="84">
        <f t="shared" si="996"/>
        <v>13.625999999999999</v>
      </c>
      <c r="OE58" s="91">
        <f>SUM(OE10:OE12)</f>
        <v>2000</v>
      </c>
      <c r="OF58" s="82">
        <f>SUM(OF10:OF12)</f>
        <v>66.27000000000001</v>
      </c>
      <c r="OG58" s="79">
        <f>SUM(OG10:OG12)</f>
        <v>5</v>
      </c>
      <c r="OH58" s="369">
        <f t="shared" si="997"/>
        <v>30.179568432171415</v>
      </c>
      <c r="OI58" s="84">
        <f t="shared" si="998"/>
        <v>13.254000000000001</v>
      </c>
    </row>
    <row r="59" spans="1:399">
      <c r="A59" s="55"/>
      <c r="B59" s="56" t="s">
        <v>19</v>
      </c>
      <c r="C59" s="57"/>
      <c r="D59" s="58" t="s">
        <v>20</v>
      </c>
      <c r="E59" s="79">
        <f>SUM(E13:E14)</f>
        <v>3650</v>
      </c>
      <c r="F59" s="82">
        <f>SUM(F13:F14)</f>
        <v>51.64</v>
      </c>
      <c r="G59" s="79">
        <f>SUM(G13:G14)</f>
        <v>10</v>
      </c>
      <c r="H59" s="82">
        <f t="shared" si="867"/>
        <v>70.681642137877617</v>
      </c>
      <c r="I59" s="84">
        <f t="shared" si="868"/>
        <v>5.1639999999999997</v>
      </c>
      <c r="J59" s="589"/>
      <c r="K59" s="79">
        <f>SUM(K13:K14)</f>
        <v>3700</v>
      </c>
      <c r="L59" s="82">
        <f>SUM(L13:L14)</f>
        <v>54.12</v>
      </c>
      <c r="M59" s="79">
        <f>SUM(M13:M14)</f>
        <v>10</v>
      </c>
      <c r="N59" s="82">
        <f t="shared" si="869"/>
        <v>68.366592756836667</v>
      </c>
      <c r="O59" s="84">
        <f t="shared" si="870"/>
        <v>5.4119999999999999</v>
      </c>
      <c r="P59" s="589"/>
      <c r="Q59" s="79">
        <f>SUM(Q13:Q14)</f>
        <v>4100</v>
      </c>
      <c r="R59" s="82">
        <f>SUM(R13:R14)</f>
        <v>49.8</v>
      </c>
      <c r="S59" s="79">
        <f>SUM(S13:S14)</f>
        <v>9</v>
      </c>
      <c r="T59" s="82">
        <f t="shared" si="871"/>
        <v>82.329317269076313</v>
      </c>
      <c r="U59" s="84">
        <f t="shared" si="872"/>
        <v>5.5333333333333332</v>
      </c>
      <c r="V59" s="589"/>
      <c r="W59" s="79">
        <f>SUM(W13:W14)</f>
        <v>4700</v>
      </c>
      <c r="X59" s="82">
        <f>SUM(X13:X14)</f>
        <v>55.879999999999995</v>
      </c>
      <c r="Y59" s="79">
        <f>SUM(Y13:Y14)</f>
        <v>10</v>
      </c>
      <c r="Z59" s="82">
        <f t="shared" si="873"/>
        <v>84.108804581245536</v>
      </c>
      <c r="AA59" s="84">
        <f t="shared" si="874"/>
        <v>5.5879999999999992</v>
      </c>
      <c r="AB59" s="589"/>
      <c r="AC59" s="79">
        <f>SUM(AC13:AC14)</f>
        <v>4700</v>
      </c>
      <c r="AD59" s="82">
        <f>SUM(AD13:AD14)</f>
        <v>52.900000000000006</v>
      </c>
      <c r="AE59" s="79">
        <f>SUM(AE13:AE14)</f>
        <v>9</v>
      </c>
      <c r="AF59" s="82">
        <f t="shared" si="875"/>
        <v>88.846880907372395</v>
      </c>
      <c r="AG59" s="84">
        <f t="shared" si="876"/>
        <v>5.8777777777777782</v>
      </c>
      <c r="AH59" s="589"/>
      <c r="AI59" s="79">
        <f>SUM(AI13:AI14)</f>
        <v>0</v>
      </c>
      <c r="AJ59" s="82">
        <f>SUM(AJ13:AJ14)</f>
        <v>0</v>
      </c>
      <c r="AK59" s="79">
        <f>SUM(AK13:AK14)</f>
        <v>0</v>
      </c>
      <c r="AL59" s="82" t="e">
        <f t="shared" si="877"/>
        <v>#DIV/0!</v>
      </c>
      <c r="AM59" s="84" t="e">
        <f t="shared" si="878"/>
        <v>#DIV/0!</v>
      </c>
      <c r="AN59" s="589"/>
      <c r="AO59" s="79">
        <f>SUM(AO13:AO14)</f>
        <v>4400</v>
      </c>
      <c r="AP59" s="82">
        <f>SUM(AP13:AP14)</f>
        <v>64.760000000000005</v>
      </c>
      <c r="AQ59" s="79">
        <f>SUM(AQ13:AQ14)</f>
        <v>10</v>
      </c>
      <c r="AR59" s="82">
        <f t="shared" si="879"/>
        <v>67.943174799258799</v>
      </c>
      <c r="AS59" s="84">
        <f t="shared" si="880"/>
        <v>6.4760000000000009</v>
      </c>
      <c r="AT59" s="589"/>
      <c r="AU59" s="79">
        <f>SUM(AU13:AU14)</f>
        <v>3500</v>
      </c>
      <c r="AV59" s="82">
        <f>SUM(AV13:AV14)</f>
        <v>41.04</v>
      </c>
      <c r="AW59" s="79">
        <f>SUM(AW13:AW14)</f>
        <v>10</v>
      </c>
      <c r="AX59" s="82">
        <f t="shared" si="881"/>
        <v>85.282651072124764</v>
      </c>
      <c r="AY59" s="84">
        <f t="shared" si="882"/>
        <v>4.1040000000000001</v>
      </c>
      <c r="AZ59" s="84"/>
      <c r="BA59" s="79">
        <f>SUM(BA13:BA14)</f>
        <v>3550</v>
      </c>
      <c r="BB59" s="82">
        <f>SUM(BB13:BB14)</f>
        <v>60.38</v>
      </c>
      <c r="BC59" s="79">
        <f>SUM(BC13:BC14)</f>
        <v>10</v>
      </c>
      <c r="BD59" s="82">
        <f t="shared" si="883"/>
        <v>58.794302749254719</v>
      </c>
      <c r="BE59" s="84">
        <f t="shared" si="884"/>
        <v>6.0380000000000003</v>
      </c>
      <c r="BF59" s="84"/>
      <c r="BG59" s="79">
        <f>SUM(BG13:BG14)</f>
        <v>0</v>
      </c>
      <c r="BH59" s="82">
        <f>SUM(BH13:BH14)</f>
        <v>0</v>
      </c>
      <c r="BI59" s="79">
        <f>SUM(BI13:BI14)</f>
        <v>0</v>
      </c>
      <c r="BJ59" s="82" t="e">
        <f t="shared" si="885"/>
        <v>#DIV/0!</v>
      </c>
      <c r="BK59" s="84" t="e">
        <f t="shared" si="886"/>
        <v>#DIV/0!</v>
      </c>
      <c r="BL59" s="84"/>
      <c r="BM59" s="79">
        <f>SUM(BM13:BM14)</f>
        <v>0</v>
      </c>
      <c r="BN59" s="82">
        <f>SUM(BN13:BN14)</f>
        <v>0</v>
      </c>
      <c r="BO59" s="79">
        <f>SUM(BO13:BO14)</f>
        <v>0</v>
      </c>
      <c r="BP59" s="82" t="e">
        <f t="shared" si="887"/>
        <v>#DIV/0!</v>
      </c>
      <c r="BQ59" s="84" t="e">
        <f t="shared" si="888"/>
        <v>#DIV/0!</v>
      </c>
      <c r="BR59" s="589"/>
      <c r="BS59" s="79">
        <f>SUM(BS13:BS14)</f>
        <v>3400</v>
      </c>
      <c r="BT59" s="82">
        <f>SUM(BT13:BT14)</f>
        <v>63.69</v>
      </c>
      <c r="BU59" s="79">
        <f>SUM(BU13:BU14)</f>
        <v>10</v>
      </c>
      <c r="BV59" s="82">
        <f t="shared" si="889"/>
        <v>53.38357669963888</v>
      </c>
      <c r="BW59" s="84">
        <f t="shared" si="890"/>
        <v>6.3689999999999998</v>
      </c>
      <c r="BX59" s="84"/>
      <c r="BY59" s="79">
        <f>SUM(BY13:BY14)</f>
        <v>3500</v>
      </c>
      <c r="BZ59" s="82">
        <f>SUM(BZ13:BZ14)</f>
        <v>48.2</v>
      </c>
      <c r="CA59" s="79">
        <f>SUM(CA13:CA14)</f>
        <v>10</v>
      </c>
      <c r="CB59" s="82">
        <f t="shared" si="891"/>
        <v>72.614107883817425</v>
      </c>
      <c r="CC59" s="84">
        <f t="shared" si="892"/>
        <v>4.82</v>
      </c>
      <c r="CD59" s="84"/>
      <c r="CE59" s="79">
        <f>SUM(CE13:CE14)</f>
        <v>3600</v>
      </c>
      <c r="CF59" s="82">
        <f>SUM(CF13:CF14)</f>
        <v>71.3</v>
      </c>
      <c r="CG59" s="79">
        <f>SUM(CG13:CG14)</f>
        <v>10</v>
      </c>
      <c r="CH59" s="82">
        <f t="shared" si="893"/>
        <v>50.490883590462836</v>
      </c>
      <c r="CI59" s="84">
        <f t="shared" si="894"/>
        <v>7.13</v>
      </c>
      <c r="CJ59" s="84"/>
      <c r="CK59" s="79">
        <f>SUM(CK13:CK14)</f>
        <v>3600</v>
      </c>
      <c r="CL59" s="82">
        <f>SUM(CL13:CL14)</f>
        <v>58.78</v>
      </c>
      <c r="CM59" s="79">
        <f>SUM(CM13:CM14)</f>
        <v>10</v>
      </c>
      <c r="CN59" s="82">
        <f t="shared" si="895"/>
        <v>61.245321537938075</v>
      </c>
      <c r="CO59" s="84">
        <f t="shared" si="896"/>
        <v>5.8780000000000001</v>
      </c>
      <c r="CP59" s="84"/>
      <c r="CQ59" s="79">
        <f>SUM(CQ13:CQ14)</f>
        <v>0</v>
      </c>
      <c r="CR59" s="82">
        <f>SUM(CR13:CR14)</f>
        <v>0</v>
      </c>
      <c r="CS59" s="79">
        <f>SUM(CS13:CS14)</f>
        <v>0</v>
      </c>
      <c r="CT59" s="82" t="e">
        <f t="shared" si="897"/>
        <v>#DIV/0!</v>
      </c>
      <c r="CU59" s="84" t="e">
        <f t="shared" si="898"/>
        <v>#DIV/0!</v>
      </c>
      <c r="CV59" s="84"/>
      <c r="CW59" s="79">
        <f>SUM(CW13:CW14)</f>
        <v>3500</v>
      </c>
      <c r="CX59" s="82">
        <f>SUM(CX13:CX14)</f>
        <v>48.2</v>
      </c>
      <c r="CY59" s="79">
        <f>SUM(CY13:CY14)</f>
        <v>10</v>
      </c>
      <c r="CZ59" s="82">
        <f t="shared" si="899"/>
        <v>72.614107883817425</v>
      </c>
      <c r="DA59" s="84">
        <f t="shared" si="900"/>
        <v>4.82</v>
      </c>
      <c r="DB59" s="84"/>
      <c r="DC59" s="79">
        <f>SUM(DC13:DC14)</f>
        <v>4000</v>
      </c>
      <c r="DD59" s="82">
        <f>SUM(DD13:DD14)</f>
        <v>68.540000000000006</v>
      </c>
      <c r="DE59" s="79">
        <f>SUM(DE13:DE14)</f>
        <v>10</v>
      </c>
      <c r="DF59" s="82">
        <f t="shared" si="901"/>
        <v>58.360081704114378</v>
      </c>
      <c r="DG59" s="84">
        <f t="shared" si="902"/>
        <v>6.854000000000001</v>
      </c>
      <c r="DH59" s="84"/>
      <c r="DI59" s="79">
        <f>SUM(DI13:DI14)</f>
        <v>4300</v>
      </c>
      <c r="DJ59" s="82">
        <f>SUM(DJ13:DJ14)</f>
        <v>44.29</v>
      </c>
      <c r="DK59" s="79">
        <f>SUM(DK13:DK14)</f>
        <v>8</v>
      </c>
      <c r="DL59" s="82">
        <f t="shared" si="903"/>
        <v>97.087378640776706</v>
      </c>
      <c r="DM59" s="84">
        <f t="shared" si="904"/>
        <v>5.5362499999999999</v>
      </c>
      <c r="DN59" s="84"/>
      <c r="DO59" s="79">
        <f>SUM(DO13:DO14)</f>
        <v>5000</v>
      </c>
      <c r="DP59" s="82">
        <f>SUM(DP13:DP14)</f>
        <v>53.79</v>
      </c>
      <c r="DQ59" s="79">
        <f>SUM(DQ13:DQ14)</f>
        <v>10</v>
      </c>
      <c r="DR59" s="82">
        <f t="shared" si="905"/>
        <v>92.954080684142042</v>
      </c>
      <c r="DS59" s="84">
        <f t="shared" si="906"/>
        <v>5.3789999999999996</v>
      </c>
      <c r="DT59" s="84"/>
      <c r="DU59" s="79">
        <f>SUM(DU13:DU14)</f>
        <v>0</v>
      </c>
      <c r="DV59" s="82">
        <f>SUM(DV13:DV14)</f>
        <v>0</v>
      </c>
      <c r="DW59" s="79">
        <f>SUM(DW13:DW14)</f>
        <v>0</v>
      </c>
      <c r="DX59" s="82" t="e">
        <f t="shared" si="907"/>
        <v>#DIV/0!</v>
      </c>
      <c r="DY59" s="84" t="e">
        <f t="shared" si="908"/>
        <v>#DIV/0!</v>
      </c>
      <c r="DZ59" s="84"/>
      <c r="EA59" s="79">
        <f>SUM(EA13:EA14)</f>
        <v>0</v>
      </c>
      <c r="EB59" s="82">
        <f>SUM(EB13:EB14)</f>
        <v>0</v>
      </c>
      <c r="EC59" s="79">
        <f>SUM(EC13:EC14)</f>
        <v>0</v>
      </c>
      <c r="ED59" s="82" t="e">
        <f t="shared" si="909"/>
        <v>#DIV/0!</v>
      </c>
      <c r="EE59" s="84" t="e">
        <f t="shared" si="910"/>
        <v>#DIV/0!</v>
      </c>
      <c r="EF59" s="84"/>
      <c r="EG59" s="79">
        <f>SUM(EG13:EG14)</f>
        <v>0</v>
      </c>
      <c r="EH59" s="82">
        <f>SUM(EH13:EH14)</f>
        <v>0</v>
      </c>
      <c r="EI59" s="79">
        <f>SUM(EI13:EI14)</f>
        <v>0</v>
      </c>
      <c r="EJ59" s="82" t="e">
        <f t="shared" si="911"/>
        <v>#DIV/0!</v>
      </c>
      <c r="EK59" s="84" t="e">
        <f t="shared" si="912"/>
        <v>#DIV/0!</v>
      </c>
      <c r="EL59" s="84"/>
      <c r="EM59" s="79">
        <f>SUM(EM13:EM14)</f>
        <v>0</v>
      </c>
      <c r="EN59" s="82">
        <f>SUM(EN13:EN14)</f>
        <v>0</v>
      </c>
      <c r="EO59" s="79">
        <f>SUM(EO13:EO14)</f>
        <v>0</v>
      </c>
      <c r="EP59" s="82" t="e">
        <f t="shared" si="913"/>
        <v>#DIV/0!</v>
      </c>
      <c r="EQ59" s="84" t="e">
        <f t="shared" si="914"/>
        <v>#DIV/0!</v>
      </c>
      <c r="ER59" s="589"/>
      <c r="ES59" s="79">
        <f>SUM(ES13:ES14)</f>
        <v>3500</v>
      </c>
      <c r="ET59" s="82">
        <f>SUM(ET13:ET14)</f>
        <v>48.2</v>
      </c>
      <c r="EU59" s="79">
        <f>SUM(EU13:EU14)</f>
        <v>10</v>
      </c>
      <c r="EV59" s="82">
        <f t="shared" si="915"/>
        <v>72.614107883817425</v>
      </c>
      <c r="EW59" s="84">
        <f t="shared" si="916"/>
        <v>4.82</v>
      </c>
      <c r="EY59" s="91">
        <f>SUM(EY13:EY14)</f>
        <v>3600</v>
      </c>
      <c r="EZ59" s="82">
        <f>SUM(EZ13:EZ14)</f>
        <v>71.3</v>
      </c>
      <c r="FA59" s="79">
        <f>SUM(FA13:FA14)</f>
        <v>10</v>
      </c>
      <c r="FB59" s="82">
        <f t="shared" si="917"/>
        <v>50.490883590462836</v>
      </c>
      <c r="FC59" s="84">
        <f t="shared" si="918"/>
        <v>7.13</v>
      </c>
      <c r="FE59" s="91">
        <f>SUM(FE13:FE14)</f>
        <v>4100</v>
      </c>
      <c r="FF59" s="82">
        <f>SUM(FF13:FF14)</f>
        <v>49.8</v>
      </c>
      <c r="FG59" s="79">
        <f>SUM(FG13:FG14)</f>
        <v>9</v>
      </c>
      <c r="FH59" s="94">
        <f t="shared" si="919"/>
        <v>82.329317269076313</v>
      </c>
      <c r="FI59" s="84">
        <f t="shared" si="920"/>
        <v>5.5333333333333332</v>
      </c>
      <c r="FK59" s="91">
        <f>SUM(FK13:FK14)</f>
        <v>3200</v>
      </c>
      <c r="FL59" s="82">
        <f>SUM(FL13:FL14)</f>
        <v>52.81</v>
      </c>
      <c r="FM59" s="79">
        <f>SUM(FM13:FM14)</f>
        <v>10</v>
      </c>
      <c r="FN59" s="82">
        <f t="shared" si="921"/>
        <v>60.59458435902291</v>
      </c>
      <c r="FO59" s="84">
        <f t="shared" si="922"/>
        <v>5.2810000000000006</v>
      </c>
      <c r="FQ59" s="91">
        <f>SUM(FQ13:FQ14)</f>
        <v>3500</v>
      </c>
      <c r="FR59" s="82">
        <f>SUM(FR13:FR14)</f>
        <v>48.38</v>
      </c>
      <c r="FS59" s="79">
        <f>SUM(FS13:FS14)</f>
        <v>10</v>
      </c>
      <c r="FT59" s="82">
        <f t="shared" si="923"/>
        <v>72.343943778420837</v>
      </c>
      <c r="FU59" s="84">
        <f t="shared" si="924"/>
        <v>4.8380000000000001</v>
      </c>
      <c r="FW59" s="91">
        <f>SUM(FW13:FW14)</f>
        <v>3900</v>
      </c>
      <c r="FX59" s="82">
        <f>SUM(FX13:FX14)</f>
        <v>51.86</v>
      </c>
      <c r="FY59" s="79">
        <f>SUM(FY13:FY14)</f>
        <v>10</v>
      </c>
      <c r="FZ59" s="82">
        <f t="shared" si="925"/>
        <v>75.202468183571156</v>
      </c>
      <c r="GA59" s="84">
        <f t="shared" si="926"/>
        <v>5.1859999999999999</v>
      </c>
      <c r="GC59" s="91">
        <f>SUM(GC13:GC14)</f>
        <v>3000</v>
      </c>
      <c r="GD59" s="369">
        <f>SUM(GD13:GD14)</f>
        <v>40.340000000000003</v>
      </c>
      <c r="GE59" s="371">
        <f>SUM(GE13:GE14)</f>
        <v>5</v>
      </c>
      <c r="GF59" s="369">
        <f t="shared" si="927"/>
        <v>74.367873078829945</v>
      </c>
      <c r="GG59" s="370">
        <f t="shared" si="928"/>
        <v>8.0680000000000014</v>
      </c>
      <c r="GI59" s="91">
        <f>SUM(GI13:GI14)</f>
        <v>3500</v>
      </c>
      <c r="GJ59" s="82">
        <f>SUM(GJ13:GJ14)</f>
        <v>50.580000000000005</v>
      </c>
      <c r="GK59" s="79">
        <f>SUM(GK13:GK14)</f>
        <v>10</v>
      </c>
      <c r="GL59" s="82">
        <f t="shared" si="929"/>
        <v>69.197311190193744</v>
      </c>
      <c r="GM59" s="84">
        <f t="shared" si="930"/>
        <v>5.0580000000000007</v>
      </c>
      <c r="GO59" s="91">
        <f>SUM(GO13:GO14)</f>
        <v>4500</v>
      </c>
      <c r="GP59" s="82">
        <f>SUM(GP13:GP14)</f>
        <v>75.67</v>
      </c>
      <c r="GQ59" s="371">
        <f>SUM(GQ13:GQ14)</f>
        <v>10</v>
      </c>
      <c r="GR59" s="369">
        <f t="shared" si="931"/>
        <v>59.46874587022598</v>
      </c>
      <c r="GS59" s="370">
        <f t="shared" si="932"/>
        <v>7.5670000000000002</v>
      </c>
      <c r="GU59" s="91">
        <f>SUM(GU13:GU14)</f>
        <v>4400</v>
      </c>
      <c r="GV59" s="82">
        <f>SUM(GV13:GV14)</f>
        <v>50.3</v>
      </c>
      <c r="GW59" s="79">
        <f>SUM(GW13:GW14)</f>
        <v>10</v>
      </c>
      <c r="GX59" s="82">
        <f t="shared" si="933"/>
        <v>87.475149105367805</v>
      </c>
      <c r="GY59" s="84">
        <f t="shared" si="934"/>
        <v>5.0299999999999994</v>
      </c>
      <c r="HA59" s="91">
        <f>SUM(HA13:HA14)</f>
        <v>2800</v>
      </c>
      <c r="HB59" s="82">
        <f>SUM(HB13:HB14)</f>
        <v>86.08</v>
      </c>
      <c r="HC59" s="79">
        <f>SUM(HC13:HC14)</f>
        <v>6</v>
      </c>
      <c r="HD59" s="369">
        <f t="shared" si="935"/>
        <v>32.527881040892197</v>
      </c>
      <c r="HE59" s="370">
        <f t="shared" si="936"/>
        <v>14.346666666666666</v>
      </c>
      <c r="HG59" s="91">
        <f>SUM(HG13:HG14)</f>
        <v>4000</v>
      </c>
      <c r="HH59" s="82">
        <f>SUM(HH13:HH14)</f>
        <v>47.129999999999995</v>
      </c>
      <c r="HI59" s="79">
        <f>SUM(HI13:HI14)</f>
        <v>8</v>
      </c>
      <c r="HJ59" s="82">
        <f t="shared" si="937"/>
        <v>84.871631657118613</v>
      </c>
      <c r="HK59" s="84">
        <f t="shared" si="938"/>
        <v>5.8912499999999994</v>
      </c>
      <c r="HM59" s="91">
        <f>SUM(HM13:HM14)</f>
        <v>3650</v>
      </c>
      <c r="HN59" s="82">
        <f>SUM(HN13:HN14)</f>
        <v>51.64</v>
      </c>
      <c r="HO59" s="79">
        <f>SUM(HO13:HO14)</f>
        <v>10</v>
      </c>
      <c r="HP59" s="82">
        <f t="shared" si="939"/>
        <v>70.681642137877617</v>
      </c>
      <c r="HQ59" s="84">
        <f t="shared" si="940"/>
        <v>5.1639999999999997</v>
      </c>
      <c r="HS59" s="91">
        <f>SUM(HS13:HS14)</f>
        <v>3700</v>
      </c>
      <c r="HT59" s="82">
        <f>SUM(HT13:HT14)</f>
        <v>54.12</v>
      </c>
      <c r="HU59" s="371">
        <f>SUM(HU13:HU14)</f>
        <v>10</v>
      </c>
      <c r="HV59" s="369">
        <f t="shared" si="941"/>
        <v>68.366592756836667</v>
      </c>
      <c r="HW59" s="370">
        <f t="shared" si="942"/>
        <v>5.4119999999999999</v>
      </c>
      <c r="HX59" s="178"/>
      <c r="HY59" s="91">
        <f>SUM(HY13:HY14)</f>
        <v>4500</v>
      </c>
      <c r="HZ59" s="82">
        <f>SUM(HZ13:HZ14)</f>
        <v>66.72</v>
      </c>
      <c r="IA59" s="79">
        <f>SUM(IA13:IA14)</f>
        <v>10</v>
      </c>
      <c r="IB59" s="82">
        <f t="shared" si="943"/>
        <v>67.446043165467628</v>
      </c>
      <c r="IC59" s="84">
        <f t="shared" si="944"/>
        <v>6.6719999999999997</v>
      </c>
      <c r="IE59" s="91">
        <f>SUM(IE13:IE14)</f>
        <v>5300</v>
      </c>
      <c r="IF59" s="82">
        <f>SUM(IF13:IF14)</f>
        <v>61.37</v>
      </c>
      <c r="IG59" s="79">
        <f>SUM(IG13:IG14)</f>
        <v>10</v>
      </c>
      <c r="IH59" s="82">
        <f t="shared" si="945"/>
        <v>86.361414371842926</v>
      </c>
      <c r="II59" s="84">
        <f t="shared" si="946"/>
        <v>6.1369999999999996</v>
      </c>
      <c r="IK59" s="91">
        <f>SUM(IK13:IK14)</f>
        <v>5000</v>
      </c>
      <c r="IL59" s="82">
        <f>SUM(IL13:IL14)</f>
        <v>62.599999999999994</v>
      </c>
      <c r="IM59" s="79">
        <f>SUM(IM13:IM14)</f>
        <v>10</v>
      </c>
      <c r="IN59" s="82">
        <f t="shared" si="947"/>
        <v>79.872204472843464</v>
      </c>
      <c r="IO59" s="84">
        <f t="shared" si="948"/>
        <v>6.26</v>
      </c>
      <c r="IQ59" s="91">
        <f>SUM(IQ13:IQ14)</f>
        <v>2800</v>
      </c>
      <c r="IR59" s="82">
        <f>SUM(IR13:IR14)</f>
        <v>32.599999999999994</v>
      </c>
      <c r="IS59" s="79">
        <f>SUM(IS13:IS14)</f>
        <v>8</v>
      </c>
      <c r="IT59" s="82">
        <f t="shared" si="949"/>
        <v>85.889570552147248</v>
      </c>
      <c r="IU59" s="84">
        <f t="shared" si="950"/>
        <v>4.0749999999999993</v>
      </c>
      <c r="IW59" s="91">
        <f>SUM(IW13:IW14)</f>
        <v>5800</v>
      </c>
      <c r="IX59" s="82">
        <f>SUM(IX13:IX14)</f>
        <v>60.289999999999992</v>
      </c>
      <c r="IY59" s="79">
        <f>SUM(IY13:IY14)</f>
        <v>10</v>
      </c>
      <c r="IZ59" s="82">
        <f t="shared" si="951"/>
        <v>96.201691822856205</v>
      </c>
      <c r="JA59" s="84">
        <f t="shared" si="952"/>
        <v>6.028999999999999</v>
      </c>
      <c r="JC59" s="91">
        <f>SUM(JC13:JC14)</f>
        <v>5500</v>
      </c>
      <c r="JD59" s="82">
        <f>SUM(JD13:JD14)</f>
        <v>58.64</v>
      </c>
      <c r="JE59" s="79">
        <f>SUM(JE13:JE14)</f>
        <v>10</v>
      </c>
      <c r="JF59" s="82">
        <f t="shared" si="953"/>
        <v>93.792633015006814</v>
      </c>
      <c r="JG59" s="84">
        <f t="shared" si="954"/>
        <v>5.8639999999999999</v>
      </c>
      <c r="JI59" s="91">
        <f>SUM(JI13:JI14)</f>
        <v>5500</v>
      </c>
      <c r="JJ59" s="82">
        <f>SUM(JJ13:JJ14)</f>
        <v>54.25</v>
      </c>
      <c r="JK59" s="79">
        <f>SUM(JK13:JK14)</f>
        <v>10</v>
      </c>
      <c r="JL59" s="82">
        <f t="shared" si="955"/>
        <v>101.38248847926268</v>
      </c>
      <c r="JM59" s="84">
        <f t="shared" si="956"/>
        <v>5.4249999999999998</v>
      </c>
      <c r="JO59" s="91">
        <f>SUM(JO13:JO14)</f>
        <v>4000</v>
      </c>
      <c r="JP59" s="82">
        <f>SUM(JP13:JP14)</f>
        <v>48.03</v>
      </c>
      <c r="JQ59" s="79">
        <f>SUM(JQ13:JQ14)</f>
        <v>10</v>
      </c>
      <c r="JR59" s="82">
        <f t="shared" si="957"/>
        <v>83.281282531750989</v>
      </c>
      <c r="JS59" s="84">
        <f t="shared" si="958"/>
        <v>4.8029999999999999</v>
      </c>
      <c r="JU59" s="91">
        <f>SUM(JU13:JU14)</f>
        <v>2700</v>
      </c>
      <c r="JV59" s="82">
        <f>SUM(JV13:JV14)</f>
        <v>40.92</v>
      </c>
      <c r="JW59" s="79">
        <f>SUM(JW13:JW14)</f>
        <v>5</v>
      </c>
      <c r="JX59" s="369">
        <f t="shared" si="959"/>
        <v>65.982404692082113</v>
      </c>
      <c r="JY59" s="84">
        <f t="shared" si="960"/>
        <v>8.1840000000000011</v>
      </c>
      <c r="KA59" s="91">
        <f>SUM(KA13:KA14)</f>
        <v>2500</v>
      </c>
      <c r="KB59" s="82">
        <f>SUM(KB13:KB14)</f>
        <v>41.47</v>
      </c>
      <c r="KC59" s="79">
        <f>SUM(KC13:KC14)</f>
        <v>5</v>
      </c>
      <c r="KD59" s="369">
        <f t="shared" si="961"/>
        <v>60.284543043163737</v>
      </c>
      <c r="KE59" s="84">
        <f t="shared" si="962"/>
        <v>8.2940000000000005</v>
      </c>
      <c r="KG59" s="91">
        <f>SUM(KG13:KG14)</f>
        <v>2900</v>
      </c>
      <c r="KH59" s="82">
        <f>SUM(KH13:KH14)</f>
        <v>35.840000000000003</v>
      </c>
      <c r="KI59" s="79">
        <f>SUM(KI13:KI14)</f>
        <v>5</v>
      </c>
      <c r="KJ59" s="369">
        <f t="shared" si="963"/>
        <v>80.915178571428569</v>
      </c>
      <c r="KK59" s="84">
        <f t="shared" si="964"/>
        <v>7.168000000000001</v>
      </c>
      <c r="KM59" s="91">
        <f>SUM(KM13:KM14)</f>
        <v>2500</v>
      </c>
      <c r="KN59" s="82">
        <f>SUM(KN13:KN14)</f>
        <v>36.989999999999995</v>
      </c>
      <c r="KO59" s="79">
        <f>SUM(KO13:KO14)</f>
        <v>5</v>
      </c>
      <c r="KP59" s="369">
        <f t="shared" si="965"/>
        <v>67.585834009191686</v>
      </c>
      <c r="KQ59" s="84">
        <f t="shared" si="966"/>
        <v>7.3979999999999988</v>
      </c>
      <c r="KS59" s="91">
        <f>SUM(KS13:KS14)</f>
        <v>3000</v>
      </c>
      <c r="KT59" s="82">
        <f>SUM(KT13:KT14)</f>
        <v>51.7</v>
      </c>
      <c r="KU59" s="79">
        <f>SUM(KU13:KU14)</f>
        <v>5</v>
      </c>
      <c r="KV59" s="369">
        <f t="shared" si="967"/>
        <v>58.027079303675045</v>
      </c>
      <c r="KW59" s="84">
        <f t="shared" si="968"/>
        <v>10.34</v>
      </c>
      <c r="KY59" s="91">
        <f>SUM(KY13:KY14)</f>
        <v>0</v>
      </c>
      <c r="KZ59" s="82">
        <f>SUM(KZ13:KZ14)</f>
        <v>0</v>
      </c>
      <c r="LA59" s="79">
        <f>SUM(LA13:LA14)</f>
        <v>0</v>
      </c>
      <c r="LB59" s="369" t="e">
        <f t="shared" si="969"/>
        <v>#DIV/0!</v>
      </c>
      <c r="LC59" s="84" t="e">
        <f t="shared" si="970"/>
        <v>#DIV/0!</v>
      </c>
      <c r="LE59" s="91">
        <f>SUM(LE13:LE14)</f>
        <v>0</v>
      </c>
      <c r="LF59" s="82">
        <f>SUM(LF13:LF14)</f>
        <v>0</v>
      </c>
      <c r="LG59" s="79">
        <f>SUM(LG13:LG14)</f>
        <v>0</v>
      </c>
      <c r="LH59" s="369" t="e">
        <f t="shared" si="971"/>
        <v>#DIV/0!</v>
      </c>
      <c r="LI59" s="84" t="e">
        <f t="shared" si="972"/>
        <v>#DIV/0!</v>
      </c>
      <c r="LK59" s="91">
        <f>SUM(LK13:LK14)</f>
        <v>2500</v>
      </c>
      <c r="LL59" s="82">
        <f>SUM(LL13:LL14)</f>
        <v>30.12</v>
      </c>
      <c r="LM59" s="79">
        <f>SUM(LM13:LM14)</f>
        <v>5</v>
      </c>
      <c r="LN59" s="369">
        <f t="shared" si="973"/>
        <v>83.001328021248341</v>
      </c>
      <c r="LO59" s="84">
        <f t="shared" si="974"/>
        <v>6.024</v>
      </c>
      <c r="LQ59" s="91">
        <f>SUM(LQ13:LQ14)</f>
        <v>0</v>
      </c>
      <c r="LR59" s="82">
        <f>SUM(LR13:LR14)</f>
        <v>0</v>
      </c>
      <c r="LS59" s="79">
        <f>SUM(LS13:LS14)</f>
        <v>0</v>
      </c>
      <c r="LT59" s="369" t="e">
        <f t="shared" si="975"/>
        <v>#DIV/0!</v>
      </c>
      <c r="LU59" s="84" t="e">
        <f t="shared" si="976"/>
        <v>#DIV/0!</v>
      </c>
      <c r="LW59" s="91">
        <f>SUM(LW13:LW14)</f>
        <v>3300</v>
      </c>
      <c r="LX59" s="82">
        <f>SUM(LX13:LX14)</f>
        <v>36.61</v>
      </c>
      <c r="LY59" s="79">
        <f>SUM(LY13:LY14)</f>
        <v>5</v>
      </c>
      <c r="LZ59" s="369">
        <f t="shared" si="977"/>
        <v>90.139306200491674</v>
      </c>
      <c r="MA59" s="84">
        <f t="shared" si="978"/>
        <v>7.3220000000000001</v>
      </c>
      <c r="MC59" s="91">
        <f>SUM(MC13:MC14)</f>
        <v>2400</v>
      </c>
      <c r="MD59" s="82">
        <f>SUM(MD13:MD14)</f>
        <v>27.44</v>
      </c>
      <c r="ME59" s="79">
        <f>SUM(ME13:ME14)</f>
        <v>5</v>
      </c>
      <c r="MF59" s="369">
        <f t="shared" si="979"/>
        <v>87.463556851311949</v>
      </c>
      <c r="MG59" s="84">
        <f t="shared" si="980"/>
        <v>5.4880000000000004</v>
      </c>
      <c r="MI59" s="91">
        <f>SUM(MI13:MI14)</f>
        <v>2200</v>
      </c>
      <c r="MJ59" s="82">
        <f>SUM(MJ13:MJ14)</f>
        <v>34.97</v>
      </c>
      <c r="MK59" s="79">
        <f>SUM(MK13:MK14)</f>
        <v>5</v>
      </c>
      <c r="ML59" s="369">
        <f t="shared" si="981"/>
        <v>62.911066628538748</v>
      </c>
      <c r="MM59" s="84">
        <f t="shared" si="982"/>
        <v>6.9939999999999998</v>
      </c>
      <c r="MO59" s="91">
        <f>SUM(MO13:MO14)</f>
        <v>0</v>
      </c>
      <c r="MP59" s="82">
        <f>SUM(MP13:MP14)</f>
        <v>0</v>
      </c>
      <c r="MQ59" s="79">
        <f>SUM(MQ13:MQ14)</f>
        <v>0</v>
      </c>
      <c r="MR59" s="369" t="e">
        <f t="shared" si="983"/>
        <v>#DIV/0!</v>
      </c>
      <c r="MS59" s="84" t="e">
        <f t="shared" si="984"/>
        <v>#DIV/0!</v>
      </c>
      <c r="MU59" s="91">
        <f>SUM(MU13:MU14)</f>
        <v>0</v>
      </c>
      <c r="MV59" s="82">
        <f>SUM(MV13:MV14)</f>
        <v>0</v>
      </c>
      <c r="MW59" s="79">
        <f>SUM(MW13:MW14)</f>
        <v>0</v>
      </c>
      <c r="MX59" s="369" t="e">
        <f t="shared" si="985"/>
        <v>#DIV/0!</v>
      </c>
      <c r="MY59" s="84" t="e">
        <f t="shared" si="986"/>
        <v>#DIV/0!</v>
      </c>
      <c r="NA59" s="383">
        <f>SUM(NA13:NA14)</f>
        <v>2200</v>
      </c>
      <c r="NB59" s="748">
        <f>SUM(NB13:NB14)</f>
        <v>42.47</v>
      </c>
      <c r="NC59" s="748">
        <f>SUM(NC13:NC14)</f>
        <v>5</v>
      </c>
      <c r="ND59" s="369">
        <f t="shared" si="987"/>
        <v>51.801271485754654</v>
      </c>
      <c r="NE59" s="84">
        <f t="shared" si="988"/>
        <v>8.4939999999999998</v>
      </c>
      <c r="NG59" s="91">
        <f>SUM(NG13:NG14)</f>
        <v>3600</v>
      </c>
      <c r="NH59" s="82">
        <f>SUM(NH13:NH14)</f>
        <v>48.7</v>
      </c>
      <c r="NI59" s="79">
        <f>SUM(NI13:NI14)</f>
        <v>10</v>
      </c>
      <c r="NJ59" s="369">
        <f t="shared" si="989"/>
        <v>73.921971252566735</v>
      </c>
      <c r="NK59" s="84">
        <f t="shared" si="990"/>
        <v>4.87</v>
      </c>
      <c r="NM59" s="91">
        <f>SUM(NM13:NM14)</f>
        <v>2500</v>
      </c>
      <c r="NN59" s="82">
        <f>SUM(NN13:NN14)</f>
        <v>39.11</v>
      </c>
      <c r="NO59" s="79">
        <f>SUM(NO13:NO14)</f>
        <v>5</v>
      </c>
      <c r="NP59" s="369">
        <f t="shared" si="991"/>
        <v>63.922270519048837</v>
      </c>
      <c r="NQ59" s="84">
        <f t="shared" si="992"/>
        <v>7.8220000000000001</v>
      </c>
      <c r="NS59" s="91">
        <f>SUM(NS13:NS14)</f>
        <v>2500</v>
      </c>
      <c r="NT59" s="82">
        <f>SUM(NT13:NT14)</f>
        <v>33.78</v>
      </c>
      <c r="NU59" s="79">
        <f>SUM(NU13:NU14)</f>
        <v>5</v>
      </c>
      <c r="NV59" s="369">
        <f t="shared" si="993"/>
        <v>74.008288928359974</v>
      </c>
      <c r="NW59" s="84">
        <f t="shared" si="994"/>
        <v>6.7560000000000002</v>
      </c>
      <c r="NY59" s="91">
        <f>SUM(NY13:NY14)</f>
        <v>3000</v>
      </c>
      <c r="NZ59" s="82">
        <f>SUM(NZ13:NZ14)</f>
        <v>37.56</v>
      </c>
      <c r="OA59" s="79">
        <f>SUM(OA13:OA14)</f>
        <v>5</v>
      </c>
      <c r="OB59" s="369">
        <f t="shared" si="995"/>
        <v>79.87220447284345</v>
      </c>
      <c r="OC59" s="84">
        <f t="shared" si="996"/>
        <v>7.5120000000000005</v>
      </c>
      <c r="OE59" s="91">
        <f>SUM(OE13:OE14)</f>
        <v>3000</v>
      </c>
      <c r="OF59" s="82">
        <f>SUM(OF13:OF14)</f>
        <v>34.269999999999996</v>
      </c>
      <c r="OG59" s="79">
        <f>SUM(OG13:OG14)</f>
        <v>5</v>
      </c>
      <c r="OH59" s="369">
        <f t="shared" si="997"/>
        <v>87.540122556171582</v>
      </c>
      <c r="OI59" s="84">
        <f t="shared" si="998"/>
        <v>6.8539999999999992</v>
      </c>
    </row>
    <row r="60" spans="1:399" ht="15" thickBot="1">
      <c r="A60" s="55"/>
      <c r="B60" s="56" t="s">
        <v>22</v>
      </c>
      <c r="C60" s="57"/>
      <c r="D60" s="58" t="s">
        <v>20</v>
      </c>
      <c r="E60" s="79">
        <f>SUM(E15:E16)</f>
        <v>0</v>
      </c>
      <c r="F60" s="82">
        <f>SUM(F15:F16)</f>
        <v>0</v>
      </c>
      <c r="G60" s="79">
        <f>SUM(G15:G16)</f>
        <v>0</v>
      </c>
      <c r="H60" s="82" t="e">
        <f t="shared" si="867"/>
        <v>#DIV/0!</v>
      </c>
      <c r="I60" s="84" t="e">
        <f t="shared" si="868"/>
        <v>#DIV/0!</v>
      </c>
      <c r="J60" s="589"/>
      <c r="K60" s="79">
        <f>SUM(K15:K16)</f>
        <v>0</v>
      </c>
      <c r="L60" s="82">
        <f>SUM(L15:L16)</f>
        <v>0</v>
      </c>
      <c r="M60" s="79">
        <f>SUM(M15:M16)</f>
        <v>0</v>
      </c>
      <c r="N60" s="82" t="e">
        <f t="shared" si="869"/>
        <v>#DIV/0!</v>
      </c>
      <c r="O60" s="84" t="e">
        <f t="shared" si="870"/>
        <v>#DIV/0!</v>
      </c>
      <c r="P60" s="589"/>
      <c r="Q60" s="79">
        <f>SUM(Q15:Q16)</f>
        <v>10400</v>
      </c>
      <c r="R60" s="82">
        <f>SUM(R15:R16)</f>
        <v>54.400000000000006</v>
      </c>
      <c r="S60" s="79">
        <f>SUM(S15:S16)</f>
        <v>10</v>
      </c>
      <c r="T60" s="82">
        <f t="shared" si="871"/>
        <v>191.17647058823528</v>
      </c>
      <c r="U60" s="84">
        <f t="shared" si="872"/>
        <v>5.44</v>
      </c>
      <c r="V60" s="589"/>
      <c r="W60" s="79">
        <f>SUM(W15:W16)</f>
        <v>1600</v>
      </c>
      <c r="X60" s="82">
        <f>SUM(X15:X16)</f>
        <v>5.9300000000000006</v>
      </c>
      <c r="Y60" s="79">
        <f>SUM(Y15:Y16)</f>
        <v>5</v>
      </c>
      <c r="Z60" s="82">
        <f t="shared" si="873"/>
        <v>269.81450252951095</v>
      </c>
      <c r="AA60" s="84">
        <f t="shared" si="874"/>
        <v>1.1860000000000002</v>
      </c>
      <c r="AB60" s="589"/>
      <c r="AC60" s="79">
        <f>SUM(AC15:AC16)</f>
        <v>11700</v>
      </c>
      <c r="AD60" s="82">
        <f>SUM(AD15:AD16)</f>
        <v>52.400000000000006</v>
      </c>
      <c r="AE60" s="79">
        <f>SUM(AE15:AE16)</f>
        <v>10</v>
      </c>
      <c r="AF60" s="82">
        <f t="shared" si="875"/>
        <v>223.28244274809157</v>
      </c>
      <c r="AG60" s="84">
        <f t="shared" si="876"/>
        <v>5.24</v>
      </c>
      <c r="AH60" s="589"/>
      <c r="AI60" s="79">
        <f>SUM(AI15:AI16)</f>
        <v>0</v>
      </c>
      <c r="AJ60" s="82">
        <f>SUM(AJ15:AJ16)</f>
        <v>0</v>
      </c>
      <c r="AK60" s="79">
        <f>SUM(AK15:AK16)</f>
        <v>0</v>
      </c>
      <c r="AL60" s="82" t="e">
        <f t="shared" si="877"/>
        <v>#DIV/0!</v>
      </c>
      <c r="AM60" s="84" t="e">
        <f t="shared" si="878"/>
        <v>#DIV/0!</v>
      </c>
      <c r="AN60" s="589"/>
      <c r="AO60" s="79">
        <f>SUM(AO15:AO16)</f>
        <v>5600</v>
      </c>
      <c r="AP60" s="82">
        <f>SUM(AP15:AP16)</f>
        <v>38.820000000000007</v>
      </c>
      <c r="AQ60" s="79">
        <f>SUM(AQ15:AQ16)</f>
        <v>5</v>
      </c>
      <c r="AR60" s="82">
        <f t="shared" si="879"/>
        <v>144.25553838227714</v>
      </c>
      <c r="AS60" s="84">
        <f t="shared" si="880"/>
        <v>7.7640000000000011</v>
      </c>
      <c r="AT60" s="589"/>
      <c r="AU60" s="79">
        <f>SUM(AU15:AU16)</f>
        <v>16800</v>
      </c>
      <c r="AV60" s="82">
        <f>SUM(AV15:AV16)</f>
        <v>70.789999999999992</v>
      </c>
      <c r="AW60" s="79">
        <f>SUM(AW15:AW16)</f>
        <v>10</v>
      </c>
      <c r="AX60" s="82">
        <f t="shared" si="881"/>
        <v>237.32165560107362</v>
      </c>
      <c r="AY60" s="84">
        <f t="shared" si="882"/>
        <v>7.0789999999999988</v>
      </c>
      <c r="AZ60" s="84"/>
      <c r="BA60" s="79">
        <f>SUM(BA15:BA16)</f>
        <v>2000</v>
      </c>
      <c r="BB60" s="82">
        <f>SUM(BB15:BB16)</f>
        <v>5.8100000000000005</v>
      </c>
      <c r="BC60" s="79">
        <f>SUM(BC15:BC16)</f>
        <v>2</v>
      </c>
      <c r="BD60" s="82">
        <f t="shared" si="883"/>
        <v>344.23407917383815</v>
      </c>
      <c r="BE60" s="84">
        <f t="shared" si="884"/>
        <v>2.9050000000000002</v>
      </c>
      <c r="BF60" s="84"/>
      <c r="BG60" s="79">
        <f>SUM(BG15:BG16)</f>
        <v>0</v>
      </c>
      <c r="BH60" s="82">
        <f>SUM(BH15:BH16)</f>
        <v>0</v>
      </c>
      <c r="BI60" s="79">
        <f>SUM(BI15:BI16)</f>
        <v>0</v>
      </c>
      <c r="BJ60" s="82" t="e">
        <f t="shared" si="885"/>
        <v>#DIV/0!</v>
      </c>
      <c r="BK60" s="84" t="e">
        <f t="shared" si="886"/>
        <v>#DIV/0!</v>
      </c>
      <c r="BL60" s="84"/>
      <c r="BM60" s="79">
        <f>SUM(BM15:BM16)</f>
        <v>0</v>
      </c>
      <c r="BN60" s="82">
        <f>SUM(BN15:BN16)</f>
        <v>0</v>
      </c>
      <c r="BO60" s="79">
        <f>SUM(BO15:BO16)</f>
        <v>0</v>
      </c>
      <c r="BP60" s="82" t="e">
        <f t="shared" si="887"/>
        <v>#DIV/0!</v>
      </c>
      <c r="BQ60" s="84" t="e">
        <f t="shared" si="888"/>
        <v>#DIV/0!</v>
      </c>
      <c r="BR60" s="589"/>
      <c r="BS60" s="79">
        <f>SUM(BS15:BS16)</f>
        <v>3500</v>
      </c>
      <c r="BT60" s="82">
        <f>SUM(BT15:BT16)</f>
        <v>14.55</v>
      </c>
      <c r="BU60" s="79">
        <f>SUM(BU15:BU16)</f>
        <v>3</v>
      </c>
      <c r="BV60" s="82">
        <f t="shared" si="889"/>
        <v>240.54982817869416</v>
      </c>
      <c r="BW60" s="84">
        <f t="shared" si="890"/>
        <v>4.8500000000000005</v>
      </c>
      <c r="BX60" s="84"/>
      <c r="BY60" s="79">
        <f>SUM(BY15:BY16)</f>
        <v>8500</v>
      </c>
      <c r="BZ60" s="82">
        <f>SUM(BZ15:BZ16)</f>
        <v>53.599999999999994</v>
      </c>
      <c r="CA60" s="79">
        <f>SUM(CA15:CA16)</f>
        <v>5</v>
      </c>
      <c r="CB60" s="82">
        <f t="shared" si="891"/>
        <v>158.58208955223881</v>
      </c>
      <c r="CC60" s="84">
        <f t="shared" si="892"/>
        <v>10.719999999999999</v>
      </c>
      <c r="CD60" s="84"/>
      <c r="CE60" s="79">
        <f>SUM(CE15:CE16)</f>
        <v>4500</v>
      </c>
      <c r="CF60" s="82">
        <f>SUM(CF15:CF16)</f>
        <v>13.28</v>
      </c>
      <c r="CG60" s="79">
        <f>SUM(CG15:CG16)</f>
        <v>5</v>
      </c>
      <c r="CH60" s="82">
        <f t="shared" si="893"/>
        <v>338.85542168674698</v>
      </c>
      <c r="CI60" s="84">
        <f t="shared" si="894"/>
        <v>2.6559999999999997</v>
      </c>
      <c r="CJ60" s="84"/>
      <c r="CK60" s="79">
        <f>SUM(CK15:CK16)</f>
        <v>4400</v>
      </c>
      <c r="CL60" s="82">
        <f>SUM(CL15:CL16)</f>
        <v>18.676000000000002</v>
      </c>
      <c r="CM60" s="79">
        <f>SUM(CM15:CM16)</f>
        <v>5</v>
      </c>
      <c r="CN60" s="82">
        <f t="shared" si="895"/>
        <v>235.59648747055041</v>
      </c>
      <c r="CO60" s="84">
        <f t="shared" si="896"/>
        <v>3.7352000000000003</v>
      </c>
      <c r="CP60" s="84"/>
      <c r="CQ60" s="79">
        <f>SUM(CQ15:CQ16)</f>
        <v>0</v>
      </c>
      <c r="CR60" s="82">
        <f>SUM(CR15:CR16)</f>
        <v>0</v>
      </c>
      <c r="CS60" s="79">
        <f>SUM(CS15:CS16)</f>
        <v>0</v>
      </c>
      <c r="CT60" s="82" t="e">
        <f t="shared" si="897"/>
        <v>#DIV/0!</v>
      </c>
      <c r="CU60" s="84" t="e">
        <f t="shared" si="898"/>
        <v>#DIV/0!</v>
      </c>
      <c r="CV60" s="84"/>
      <c r="CW60" s="79">
        <f>SUM(CW15:CW16)</f>
        <v>8500</v>
      </c>
      <c r="CX60" s="82">
        <f>SUM(CX15:CX16)</f>
        <v>53.599999999999994</v>
      </c>
      <c r="CY60" s="79">
        <f>SUM(CY15:CY16)</f>
        <v>5</v>
      </c>
      <c r="CZ60" s="82">
        <f t="shared" si="899"/>
        <v>158.58208955223881</v>
      </c>
      <c r="DA60" s="84">
        <f t="shared" si="900"/>
        <v>10.719999999999999</v>
      </c>
      <c r="DB60" s="84"/>
      <c r="DC60" s="79">
        <f>SUM(DC15:DC16)</f>
        <v>8300</v>
      </c>
      <c r="DD60" s="82">
        <f>SUM(DD15:DD16)</f>
        <v>127.55000000000001</v>
      </c>
      <c r="DE60" s="79">
        <f>SUM(DE15:DE16)</f>
        <v>10</v>
      </c>
      <c r="DF60" s="82">
        <f t="shared" si="901"/>
        <v>65.072520580164635</v>
      </c>
      <c r="DG60" s="84">
        <f t="shared" si="902"/>
        <v>12.755000000000001</v>
      </c>
      <c r="DH60" s="84"/>
      <c r="DI60" s="79">
        <f>SUM(DI15:DI16)</f>
        <v>7900</v>
      </c>
      <c r="DJ60" s="82">
        <f>SUM(DJ15:DJ16)</f>
        <v>29.13</v>
      </c>
      <c r="DK60" s="79">
        <f>SUM(DK15:DK16)</f>
        <v>8</v>
      </c>
      <c r="DL60" s="82">
        <f t="shared" si="903"/>
        <v>271.19807758324754</v>
      </c>
      <c r="DM60" s="84">
        <f t="shared" si="904"/>
        <v>3.6412499999999999</v>
      </c>
      <c r="DN60" s="84"/>
      <c r="DO60" s="79">
        <f>SUM(DO15:DO16)</f>
        <v>4000</v>
      </c>
      <c r="DP60" s="82">
        <f>SUM(DP15:DP16)</f>
        <v>14.86</v>
      </c>
      <c r="DQ60" s="79">
        <f>SUM(DQ15:DQ16)</f>
        <v>5</v>
      </c>
      <c r="DR60" s="82">
        <f t="shared" si="905"/>
        <v>269.17900403768505</v>
      </c>
      <c r="DS60" s="84">
        <f t="shared" si="906"/>
        <v>2.972</v>
      </c>
      <c r="DT60" s="84"/>
      <c r="DU60" s="79">
        <f>SUM(DU15:DU16)</f>
        <v>0</v>
      </c>
      <c r="DV60" s="82">
        <f>SUM(DV15:DV16)</f>
        <v>0</v>
      </c>
      <c r="DW60" s="79">
        <f>SUM(DW15:DW16)</f>
        <v>0</v>
      </c>
      <c r="DX60" s="82" t="e">
        <f t="shared" si="907"/>
        <v>#DIV/0!</v>
      </c>
      <c r="DY60" s="84" t="e">
        <f t="shared" si="908"/>
        <v>#DIV/0!</v>
      </c>
      <c r="DZ60" s="84"/>
      <c r="EA60" s="79">
        <f>SUM(EA15:EA16)</f>
        <v>0</v>
      </c>
      <c r="EB60" s="82">
        <f>SUM(EB15:EB16)</f>
        <v>0</v>
      </c>
      <c r="EC60" s="79">
        <f>SUM(EC15:EC16)</f>
        <v>0</v>
      </c>
      <c r="ED60" s="82" t="e">
        <f t="shared" si="909"/>
        <v>#DIV/0!</v>
      </c>
      <c r="EE60" s="84" t="e">
        <f t="shared" si="910"/>
        <v>#DIV/0!</v>
      </c>
      <c r="EF60" s="84"/>
      <c r="EG60" s="79">
        <f>SUM(EG15:EG16)</f>
        <v>0</v>
      </c>
      <c r="EH60" s="82">
        <f>SUM(EH15:EH16)</f>
        <v>0</v>
      </c>
      <c r="EI60" s="79">
        <f>SUM(EI15:EI16)</f>
        <v>0</v>
      </c>
      <c r="EJ60" s="82" t="e">
        <f t="shared" si="911"/>
        <v>#DIV/0!</v>
      </c>
      <c r="EK60" s="84" t="e">
        <f t="shared" si="912"/>
        <v>#DIV/0!</v>
      </c>
      <c r="EL60" s="84"/>
      <c r="EM60" s="79">
        <f>SUM(EM15:EM16)</f>
        <v>0</v>
      </c>
      <c r="EN60" s="82">
        <f>SUM(EN15:EN16)</f>
        <v>0</v>
      </c>
      <c r="EO60" s="79">
        <f>SUM(EO15:EO16)</f>
        <v>0</v>
      </c>
      <c r="EP60" s="82" t="e">
        <f t="shared" si="913"/>
        <v>#DIV/0!</v>
      </c>
      <c r="EQ60" s="84" t="e">
        <f t="shared" si="914"/>
        <v>#DIV/0!</v>
      </c>
      <c r="ER60" s="589"/>
      <c r="ES60" s="79">
        <f>SUM(ES15:ES16)</f>
        <v>8500</v>
      </c>
      <c r="ET60" s="82">
        <f>SUM(ET15:ET16)</f>
        <v>53.599999999999994</v>
      </c>
      <c r="EU60" s="79">
        <f>SUM(EU15:EU16)</f>
        <v>5</v>
      </c>
      <c r="EV60" s="82">
        <f t="shared" si="915"/>
        <v>158.58208955223881</v>
      </c>
      <c r="EW60" s="84">
        <f t="shared" si="916"/>
        <v>10.719999999999999</v>
      </c>
      <c r="EY60" s="91">
        <f>SUM(EY15:EY16)</f>
        <v>4500</v>
      </c>
      <c r="EZ60" s="82">
        <f>SUM(EZ15:EZ16)</f>
        <v>13.28</v>
      </c>
      <c r="FA60" s="79">
        <f>SUM(FA15:FA16)</f>
        <v>5</v>
      </c>
      <c r="FB60" s="82">
        <f t="shared" si="917"/>
        <v>338.85542168674698</v>
      </c>
      <c r="FC60" s="84">
        <f t="shared" si="918"/>
        <v>2.6559999999999997</v>
      </c>
      <c r="FE60" s="91">
        <f>SUM(FE15:FE16)</f>
        <v>10400</v>
      </c>
      <c r="FF60" s="369">
        <f>SUM(FF15:FF16)</f>
        <v>54.400000000000006</v>
      </c>
      <c r="FG60" s="371">
        <f>SUM(FG15:FG16)</f>
        <v>10</v>
      </c>
      <c r="FH60" s="381">
        <f t="shared" si="919"/>
        <v>191.17647058823528</v>
      </c>
      <c r="FI60" s="370">
        <f t="shared" si="920"/>
        <v>5.44</v>
      </c>
      <c r="FJ60" s="178"/>
      <c r="FK60" s="91">
        <f>SUM(FK15:FK16)</f>
        <v>8400</v>
      </c>
      <c r="FL60" s="82">
        <f>SUM(FL15:FL16)</f>
        <v>43.74</v>
      </c>
      <c r="FM60" s="79">
        <f>SUM(FM15:FM16)</f>
        <v>8</v>
      </c>
      <c r="FN60" s="82">
        <f t="shared" si="921"/>
        <v>192.04389574759944</v>
      </c>
      <c r="FO60" s="84">
        <f t="shared" si="922"/>
        <v>5.4675000000000002</v>
      </c>
      <c r="FQ60" s="91">
        <f>SUM(FQ15:FQ16)</f>
        <v>9400</v>
      </c>
      <c r="FR60" s="82">
        <f>SUM(FR15:FR16)</f>
        <v>57.28</v>
      </c>
      <c r="FS60" s="79">
        <f>SUM(FS15:FS16)</f>
        <v>10</v>
      </c>
      <c r="FT60" s="82">
        <f t="shared" si="923"/>
        <v>164.10614525139664</v>
      </c>
      <c r="FU60" s="84">
        <f t="shared" si="924"/>
        <v>5.7279999999999998</v>
      </c>
      <c r="FW60" s="91">
        <f>SUM(FW15:FW16)</f>
        <v>7700</v>
      </c>
      <c r="FX60" s="82">
        <f>SUM(FX15:FX16)</f>
        <v>43.61</v>
      </c>
      <c r="FY60" s="371">
        <f>SUM(FY15:FY16)</f>
        <v>10</v>
      </c>
      <c r="FZ60" s="369">
        <f t="shared" si="925"/>
        <v>176.56500802568218</v>
      </c>
      <c r="GA60" s="370">
        <f t="shared" si="926"/>
        <v>4.3609999999999998</v>
      </c>
      <c r="GC60" s="91">
        <f>SUM(GC15:GC16)</f>
        <v>7800</v>
      </c>
      <c r="GD60" s="369">
        <f>SUM(GD15:GD16)</f>
        <v>51.12</v>
      </c>
      <c r="GE60" s="371">
        <f>SUM(GE15:GE16)</f>
        <v>10</v>
      </c>
      <c r="GF60" s="369">
        <f t="shared" si="927"/>
        <v>152.58215962441315</v>
      </c>
      <c r="GG60" s="370">
        <f t="shared" si="928"/>
        <v>5.1120000000000001</v>
      </c>
      <c r="GI60" s="91">
        <f>SUM(GI15:GI16)</f>
        <v>7000</v>
      </c>
      <c r="GJ60" s="82">
        <f>SUM(GJ15:GJ16)</f>
        <v>40.11</v>
      </c>
      <c r="GK60" s="79">
        <f>SUM(GK15:GK16)</f>
        <v>5</v>
      </c>
      <c r="GL60" s="82">
        <f t="shared" si="929"/>
        <v>174.52006980802793</v>
      </c>
      <c r="GM60" s="84">
        <f t="shared" si="930"/>
        <v>8.0220000000000002</v>
      </c>
      <c r="GO60" s="91">
        <f>SUM(GO15:GO16)</f>
        <v>14200</v>
      </c>
      <c r="GP60" s="82">
        <f>SUM(GP15:GP16)</f>
        <v>65.219999999999985</v>
      </c>
      <c r="GQ60" s="371">
        <f>SUM(GQ15:GQ16)</f>
        <v>10</v>
      </c>
      <c r="GR60" s="369">
        <f t="shared" si="931"/>
        <v>217.72462434835944</v>
      </c>
      <c r="GS60" s="370">
        <f t="shared" si="932"/>
        <v>6.5219999999999985</v>
      </c>
      <c r="GU60" s="91">
        <f>SUM(GU15:GU16)</f>
        <v>1000</v>
      </c>
      <c r="GV60" s="82">
        <f>SUM(GV15:GV16)</f>
        <v>7.46</v>
      </c>
      <c r="GW60" s="79">
        <f>SUM(GW15:GW16)</f>
        <v>1</v>
      </c>
      <c r="GX60" s="82">
        <f t="shared" si="933"/>
        <v>134.04825737265415</v>
      </c>
      <c r="GY60" s="84">
        <f t="shared" si="934"/>
        <v>7.46</v>
      </c>
      <c r="HA60" s="91">
        <f>SUM(HA15:HA16)</f>
        <v>6900</v>
      </c>
      <c r="HB60" s="82">
        <f>SUM(HB15:HB16)</f>
        <v>27.05</v>
      </c>
      <c r="HC60" s="79">
        <f>SUM(HC15:HC16)</f>
        <v>7</v>
      </c>
      <c r="HD60" s="369">
        <f t="shared" si="935"/>
        <v>255.08317929759704</v>
      </c>
      <c r="HE60" s="370">
        <f t="shared" si="936"/>
        <v>3.8642857142857143</v>
      </c>
      <c r="HG60" s="91">
        <f>SUM(HG15:HG16)</f>
        <v>10300</v>
      </c>
      <c r="HH60" s="82">
        <f>SUM(HH15:HH16)</f>
        <v>47.69</v>
      </c>
      <c r="HI60" s="79">
        <f>SUM(HI15:HI16)</f>
        <v>8</v>
      </c>
      <c r="HJ60" s="82">
        <f t="shared" si="937"/>
        <v>215.97819249318516</v>
      </c>
      <c r="HK60" s="84">
        <f t="shared" si="938"/>
        <v>5.9612499999999997</v>
      </c>
      <c r="HM60" s="91">
        <f>SUM(HM15:HM16)</f>
        <v>0</v>
      </c>
      <c r="HN60" s="82">
        <f>SUM(HN15:HN16)</f>
        <v>0</v>
      </c>
      <c r="HO60" s="79">
        <f>SUM(HO15:HO16)</f>
        <v>0</v>
      </c>
      <c r="HP60" s="361" t="e">
        <f>HM60/HN60</f>
        <v>#DIV/0!</v>
      </c>
      <c r="HQ60" s="362" t="e">
        <f>HN60/HO60</f>
        <v>#DIV/0!</v>
      </c>
      <c r="HS60" s="91">
        <f>SUM(HS15:HS16)</f>
        <v>0</v>
      </c>
      <c r="HT60" s="82">
        <f>SUM(HT15:HT16)</f>
        <v>0</v>
      </c>
      <c r="HU60" s="371">
        <f>SUM(HU15:HU16)</f>
        <v>0</v>
      </c>
      <c r="HV60" s="361" t="e">
        <f>HS60/HT60</f>
        <v>#DIV/0!</v>
      </c>
      <c r="HW60" s="362" t="e">
        <f>HT60/HU60</f>
        <v>#DIV/0!</v>
      </c>
      <c r="HX60" s="178"/>
      <c r="HY60" s="91">
        <f>SUM(HY15:HY16)</f>
        <v>11200</v>
      </c>
      <c r="HZ60" s="82">
        <f>SUM(HZ15:HZ16)</f>
        <v>46.900000000000006</v>
      </c>
      <c r="IA60" s="79">
        <f>SUM(IA15:IA16)</f>
        <v>9</v>
      </c>
      <c r="IB60" s="82">
        <f t="shared" si="943"/>
        <v>238.80597014925371</v>
      </c>
      <c r="IC60" s="84">
        <f t="shared" si="944"/>
        <v>5.2111111111111121</v>
      </c>
      <c r="IE60" s="91">
        <f>SUM(IE15:IE16)</f>
        <v>8600</v>
      </c>
      <c r="IF60" s="82">
        <f>SUM(IF15:IF16)</f>
        <v>54.760000000000005</v>
      </c>
      <c r="IG60" s="79">
        <f>SUM(IG15:IG16)</f>
        <v>10</v>
      </c>
      <c r="IH60" s="82">
        <f t="shared" si="945"/>
        <v>157.04894083272461</v>
      </c>
      <c r="II60" s="84">
        <f t="shared" si="946"/>
        <v>5.4760000000000009</v>
      </c>
      <c r="IK60" s="91">
        <f>SUM(IK15:IK16)</f>
        <v>10700</v>
      </c>
      <c r="IL60" s="82">
        <f>SUM(IL15:IL16)</f>
        <v>44.76</v>
      </c>
      <c r="IM60" s="79">
        <f>SUM(IM15:IM16)</f>
        <v>10</v>
      </c>
      <c r="IN60" s="82">
        <f t="shared" si="947"/>
        <v>239.05272564789993</v>
      </c>
      <c r="IO60" s="84">
        <f t="shared" si="948"/>
        <v>4.476</v>
      </c>
      <c r="IQ60" s="91">
        <f>SUM(IQ15:IQ16)</f>
        <v>5500</v>
      </c>
      <c r="IR60" s="82">
        <f>SUM(IR15:IR16)</f>
        <v>31.75</v>
      </c>
      <c r="IS60" s="79">
        <f>SUM(IS15:IS16)</f>
        <v>7</v>
      </c>
      <c r="IT60" s="82">
        <f t="shared" si="949"/>
        <v>173.22834645669292</v>
      </c>
      <c r="IU60" s="84">
        <f t="shared" si="950"/>
        <v>4.5357142857142856</v>
      </c>
      <c r="IW60" s="91">
        <f>SUM(IW15:IW16)</f>
        <v>8400</v>
      </c>
      <c r="IX60" s="82">
        <f>SUM(IX15:IX16)</f>
        <v>50.260000000000005</v>
      </c>
      <c r="IY60" s="79">
        <f>SUM(IY15:IY16)</f>
        <v>10</v>
      </c>
      <c r="IZ60" s="82">
        <f t="shared" si="951"/>
        <v>167.13091922005569</v>
      </c>
      <c r="JA60" s="84">
        <f t="shared" si="952"/>
        <v>5.0260000000000007</v>
      </c>
      <c r="JC60" s="91">
        <f>SUM(JC15:JC16)</f>
        <v>15800</v>
      </c>
      <c r="JD60" s="82">
        <f>SUM(JD15:JD16)</f>
        <v>83.300000000000011</v>
      </c>
      <c r="JE60" s="79">
        <f>SUM(JE15:JE16)</f>
        <v>10</v>
      </c>
      <c r="JF60" s="82">
        <f t="shared" si="953"/>
        <v>189.67587034813923</v>
      </c>
      <c r="JG60" s="84">
        <f t="shared" si="954"/>
        <v>8.3300000000000018</v>
      </c>
      <c r="JI60" s="91">
        <f>SUM(JI15:JI16)</f>
        <v>7500</v>
      </c>
      <c r="JJ60" s="82">
        <f>SUM(JJ15:JJ16)</f>
        <v>44.3</v>
      </c>
      <c r="JK60" s="79">
        <f>SUM(JK15:JK16)</f>
        <v>5</v>
      </c>
      <c r="JL60" s="82">
        <f t="shared" si="955"/>
        <v>169.30022573363433</v>
      </c>
      <c r="JM60" s="84">
        <f t="shared" si="956"/>
        <v>8.86</v>
      </c>
      <c r="JO60" s="91">
        <f>SUM(JO15:JO16)</f>
        <v>8500</v>
      </c>
      <c r="JP60" s="82">
        <f>SUM(JP15:JP16)</f>
        <v>45.040000000000006</v>
      </c>
      <c r="JQ60" s="79">
        <f>SUM(JQ15:JQ16)</f>
        <v>5</v>
      </c>
      <c r="JR60" s="82">
        <f t="shared" si="957"/>
        <v>188.72113676731792</v>
      </c>
      <c r="JS60" s="84">
        <f t="shared" si="958"/>
        <v>9.0080000000000009</v>
      </c>
      <c r="JU60" s="91">
        <f>SUM(JU15:JU16)</f>
        <v>9000</v>
      </c>
      <c r="JV60" s="82">
        <f>SUM(JV15:JV16)</f>
        <v>54.88</v>
      </c>
      <c r="JW60" s="79">
        <f>SUM(JW15:JW16)</f>
        <v>5</v>
      </c>
      <c r="JX60" s="369">
        <f t="shared" si="959"/>
        <v>163.9941690962099</v>
      </c>
      <c r="JY60" s="84">
        <f t="shared" si="960"/>
        <v>10.976000000000001</v>
      </c>
      <c r="KA60" s="91">
        <f>SUM(KA15:KA16)</f>
        <v>14500</v>
      </c>
      <c r="KB60" s="82">
        <f>SUM(KB15:KB16)</f>
        <v>97.800000000000011</v>
      </c>
      <c r="KC60" s="79">
        <f>SUM(KC15:KC16)</f>
        <v>5</v>
      </c>
      <c r="KD60" s="369">
        <f t="shared" si="961"/>
        <v>148.26175869120652</v>
      </c>
      <c r="KE60" s="84">
        <f t="shared" si="962"/>
        <v>19.560000000000002</v>
      </c>
      <c r="KG60" s="91">
        <f>SUM(KG15:KG16)</f>
        <v>12000</v>
      </c>
      <c r="KH60" s="82">
        <f>SUM(KH15:KH16)</f>
        <v>46.09</v>
      </c>
      <c r="KI60" s="79">
        <f>SUM(KI15:KI16)</f>
        <v>7</v>
      </c>
      <c r="KJ60" s="369">
        <f t="shared" si="963"/>
        <v>260.36016489477106</v>
      </c>
      <c r="KK60" s="84">
        <f t="shared" si="964"/>
        <v>6.5842857142857145</v>
      </c>
      <c r="KM60" s="91">
        <f>SUM(KM15:KM16)</f>
        <v>0</v>
      </c>
      <c r="KN60" s="82">
        <f>SUM(KN15:KN16)</f>
        <v>0</v>
      </c>
      <c r="KO60" s="79">
        <f>SUM(KO15:KO16)</f>
        <v>0</v>
      </c>
      <c r="KP60" s="369" t="e">
        <f t="shared" si="965"/>
        <v>#DIV/0!</v>
      </c>
      <c r="KQ60" s="84" t="e">
        <f t="shared" si="966"/>
        <v>#DIV/0!</v>
      </c>
      <c r="KS60" s="91">
        <f>SUM(KS15:KS16)</f>
        <v>14500</v>
      </c>
      <c r="KT60" s="82">
        <f>SUM(KT15:KT16)</f>
        <v>100.33000000000001</v>
      </c>
      <c r="KU60" s="79">
        <f>SUM(KU15:KU16)</f>
        <v>10</v>
      </c>
      <c r="KV60" s="369">
        <f t="shared" si="967"/>
        <v>144.52307385627427</v>
      </c>
      <c r="KW60" s="84">
        <f t="shared" si="968"/>
        <v>10.033000000000001</v>
      </c>
      <c r="KY60" s="91">
        <f>SUM(KY15:KY16)</f>
        <v>0</v>
      </c>
      <c r="KZ60" s="82">
        <f>SUM(KZ15:KZ16)</f>
        <v>0</v>
      </c>
      <c r="LA60" s="79">
        <f>SUM(LA15:LA16)</f>
        <v>0</v>
      </c>
      <c r="LB60" s="369" t="e">
        <f t="shared" si="969"/>
        <v>#DIV/0!</v>
      </c>
      <c r="LC60" s="84" t="e">
        <f t="shared" si="970"/>
        <v>#DIV/0!</v>
      </c>
      <c r="LE60" s="91">
        <f>SUM(LE15:LE16)</f>
        <v>0</v>
      </c>
      <c r="LF60" s="82">
        <f>SUM(LF15:LF16)</f>
        <v>0</v>
      </c>
      <c r="LG60" s="79">
        <f>SUM(LG15:LG16)</f>
        <v>0</v>
      </c>
      <c r="LH60" s="369" t="e">
        <f t="shared" si="971"/>
        <v>#DIV/0!</v>
      </c>
      <c r="LI60" s="84" t="e">
        <f t="shared" si="972"/>
        <v>#DIV/0!</v>
      </c>
      <c r="LK60" s="91">
        <f>SUM(LK15:LK16)</f>
        <v>0</v>
      </c>
      <c r="LL60" s="82">
        <f>SUM(LL15:LL16)</f>
        <v>0</v>
      </c>
      <c r="LM60" s="79">
        <f>SUM(LM15:LM16)</f>
        <v>0</v>
      </c>
      <c r="LN60" s="369" t="e">
        <f t="shared" si="973"/>
        <v>#DIV/0!</v>
      </c>
      <c r="LO60" s="84" t="e">
        <f t="shared" si="974"/>
        <v>#DIV/0!</v>
      </c>
      <c r="LQ60" s="91">
        <f>SUM(LQ15:LQ16)</f>
        <v>2800</v>
      </c>
      <c r="LR60" s="82">
        <f>SUM(LR15:LR16)</f>
        <v>10.309999999999999</v>
      </c>
      <c r="LS60" s="79">
        <f>SUM(LS15:LS16)</f>
        <v>5</v>
      </c>
      <c r="LT60" s="369">
        <f t="shared" si="975"/>
        <v>271.58098933074689</v>
      </c>
      <c r="LU60" s="84">
        <f t="shared" si="976"/>
        <v>2.0619999999999998</v>
      </c>
      <c r="LW60" s="91">
        <f>SUM(LW15:LW16)</f>
        <v>6500</v>
      </c>
      <c r="LX60" s="82">
        <f>SUM(LX15:LX16)</f>
        <v>32</v>
      </c>
      <c r="LY60" s="79">
        <f>SUM(LY15:LY16)</f>
        <v>5</v>
      </c>
      <c r="LZ60" s="369">
        <f t="shared" si="977"/>
        <v>203.125</v>
      </c>
      <c r="MA60" s="84">
        <f t="shared" si="978"/>
        <v>6.4</v>
      </c>
      <c r="MC60" s="91">
        <f>SUM(MC15:MC16)</f>
        <v>11800</v>
      </c>
      <c r="MD60" s="82">
        <f>SUM(MD15:MD16)</f>
        <v>47.570000000000007</v>
      </c>
      <c r="ME60" s="79">
        <f>SUM(ME15:ME16)</f>
        <v>10</v>
      </c>
      <c r="MF60" s="369">
        <f t="shared" si="979"/>
        <v>248.0554971620769</v>
      </c>
      <c r="MG60" s="84">
        <f t="shared" si="980"/>
        <v>4.7570000000000006</v>
      </c>
      <c r="MI60" s="91">
        <f>SUM(MI15:MI16)</f>
        <v>13500</v>
      </c>
      <c r="MJ60" s="82">
        <f>SUM(MJ15:MJ16)</f>
        <v>64.34</v>
      </c>
      <c r="MK60" s="79">
        <f>SUM(MK15:MK16)</f>
        <v>5</v>
      </c>
      <c r="ML60" s="369">
        <f t="shared" si="981"/>
        <v>209.82281628846749</v>
      </c>
      <c r="MM60" s="84">
        <f t="shared" si="982"/>
        <v>12.868</v>
      </c>
      <c r="MO60" s="91">
        <f>SUM(MO15:MO16)</f>
        <v>0</v>
      </c>
      <c r="MP60" s="82">
        <f>SUM(MP15:MP16)</f>
        <v>0</v>
      </c>
      <c r="MQ60" s="79">
        <f>SUM(MQ15:MQ16)</f>
        <v>0</v>
      </c>
      <c r="MR60" s="369" t="e">
        <f t="shared" si="983"/>
        <v>#DIV/0!</v>
      </c>
      <c r="MS60" s="84" t="e">
        <f t="shared" si="984"/>
        <v>#DIV/0!</v>
      </c>
      <c r="MU60" s="91">
        <f>SUM(MU15:MU16)</f>
        <v>0</v>
      </c>
      <c r="MV60" s="82">
        <f>SUM(MV15:MV16)</f>
        <v>0</v>
      </c>
      <c r="MW60" s="79">
        <f>SUM(MW15:MW16)</f>
        <v>0</v>
      </c>
      <c r="MX60" s="369" t="e">
        <f t="shared" si="985"/>
        <v>#DIV/0!</v>
      </c>
      <c r="MY60" s="84" t="e">
        <f t="shared" si="986"/>
        <v>#DIV/0!</v>
      </c>
      <c r="NA60" s="383">
        <f>SUM(NA15:NA16)</f>
        <v>8200</v>
      </c>
      <c r="NB60" s="748">
        <f>SUM(NB15:NB16)</f>
        <v>21.689999999999998</v>
      </c>
      <c r="NC60" s="748">
        <f>SUM(NC15:NC16)</f>
        <v>5</v>
      </c>
      <c r="ND60" s="369">
        <f t="shared" si="987"/>
        <v>378.05440295066853</v>
      </c>
      <c r="NE60" s="84">
        <f t="shared" si="988"/>
        <v>4.3379999999999992</v>
      </c>
      <c r="NG60" s="91">
        <f>SUM(NG15:NG16)</f>
        <v>16300</v>
      </c>
      <c r="NH60" s="82">
        <f>SUM(NH15:NH16)</f>
        <v>63.46</v>
      </c>
      <c r="NI60" s="79">
        <f>SUM(NI15:NI16)</f>
        <v>10</v>
      </c>
      <c r="NJ60" s="369">
        <f t="shared" si="989"/>
        <v>256.85471162937284</v>
      </c>
      <c r="NK60" s="84">
        <f t="shared" si="990"/>
        <v>6.3460000000000001</v>
      </c>
      <c r="NM60" s="91">
        <f>SUM(NM15:NM16)</f>
        <v>9500</v>
      </c>
      <c r="NN60" s="82">
        <f>SUM(NN15:NN16)</f>
        <v>55.730000000000004</v>
      </c>
      <c r="NO60" s="79">
        <f>SUM(NO15:NO16)</f>
        <v>5</v>
      </c>
      <c r="NP60" s="369">
        <f t="shared" si="991"/>
        <v>170.46474071415753</v>
      </c>
      <c r="NQ60" s="84">
        <f t="shared" si="992"/>
        <v>11.146000000000001</v>
      </c>
      <c r="NS60" s="91">
        <f>SUM(NS15:NS16)</f>
        <v>7400</v>
      </c>
      <c r="NT60" s="82">
        <f>SUM(NT15:NT16)</f>
        <v>44.180000000000007</v>
      </c>
      <c r="NU60" s="79">
        <f>SUM(NU15:NU16)</f>
        <v>10</v>
      </c>
      <c r="NV60" s="369">
        <f t="shared" si="993"/>
        <v>167.49660479855135</v>
      </c>
      <c r="NW60" s="84">
        <f t="shared" si="994"/>
        <v>4.418000000000001</v>
      </c>
      <c r="NY60" s="91">
        <f>SUM(NY15:NY16)</f>
        <v>6600</v>
      </c>
      <c r="NZ60" s="82">
        <f>SUM(NZ15:NZ16)</f>
        <v>37.229999999999997</v>
      </c>
      <c r="OA60" s="79">
        <f>SUM(OA15:OA16)</f>
        <v>10</v>
      </c>
      <c r="OB60" s="369">
        <f t="shared" si="995"/>
        <v>177.27639000805803</v>
      </c>
      <c r="OC60" s="84">
        <f t="shared" si="996"/>
        <v>3.7229999999999999</v>
      </c>
      <c r="OE60" s="91">
        <f>SUM(OE15:OE16)</f>
        <v>5000</v>
      </c>
      <c r="OF60" s="82">
        <f>SUM(OF15:OF16)</f>
        <v>31.27</v>
      </c>
      <c r="OG60" s="79">
        <f>SUM(OG15:OG16)</f>
        <v>5</v>
      </c>
      <c r="OH60" s="369">
        <f t="shared" si="997"/>
        <v>159.89766549408378</v>
      </c>
      <c r="OI60" s="84">
        <f t="shared" si="998"/>
        <v>6.2539999999999996</v>
      </c>
    </row>
    <row r="61" spans="1:399">
      <c r="A61" s="108" t="s">
        <v>24</v>
      </c>
      <c r="B61" s="59" t="s">
        <v>25</v>
      </c>
      <c r="C61" s="60"/>
      <c r="D61" s="61" t="s">
        <v>26</v>
      </c>
      <c r="E61" s="79">
        <f>SUM(E17:E20)</f>
        <v>1500</v>
      </c>
      <c r="F61" s="82">
        <f>SUM(F17:F20)</f>
        <v>11.97</v>
      </c>
      <c r="G61" s="79">
        <f>SUM(G17:G20)</f>
        <v>5</v>
      </c>
      <c r="H61" s="82">
        <f t="shared" si="867"/>
        <v>125.31328320802004</v>
      </c>
      <c r="I61" s="84">
        <f t="shared" si="868"/>
        <v>2.3940000000000001</v>
      </c>
      <c r="J61" s="589"/>
      <c r="K61" s="79">
        <f>SUM(K17:K20)</f>
        <v>6800</v>
      </c>
      <c r="L61" s="82">
        <f>SUM(L17:L20)</f>
        <v>70.400000000000006</v>
      </c>
      <c r="M61" s="79">
        <f>SUM(M17:M20)</f>
        <v>5</v>
      </c>
      <c r="N61" s="82">
        <f t="shared" si="869"/>
        <v>96.590909090909079</v>
      </c>
      <c r="O61" s="84">
        <f t="shared" si="870"/>
        <v>14.080000000000002</v>
      </c>
      <c r="P61" s="589"/>
      <c r="Q61" s="79">
        <f>SUM(Q17:Q20)</f>
        <v>0</v>
      </c>
      <c r="R61" s="82">
        <f>SUM(R17:R20)</f>
        <v>0</v>
      </c>
      <c r="S61" s="79">
        <f>SUM(S17:S20)</f>
        <v>0</v>
      </c>
      <c r="T61" s="82" t="e">
        <f t="shared" si="871"/>
        <v>#DIV/0!</v>
      </c>
      <c r="U61" s="84" t="e">
        <f t="shared" si="872"/>
        <v>#DIV/0!</v>
      </c>
      <c r="V61" s="589"/>
      <c r="W61" s="79">
        <f>SUM(W17:W20)</f>
        <v>7500</v>
      </c>
      <c r="X61" s="82">
        <f>SUM(X17:X20)</f>
        <v>94</v>
      </c>
      <c r="Y61" s="79">
        <f>SUM(Y17:Y20)</f>
        <v>5</v>
      </c>
      <c r="Z61" s="82">
        <f t="shared" si="873"/>
        <v>79.787234042553195</v>
      </c>
      <c r="AA61" s="84">
        <f t="shared" si="874"/>
        <v>18.8</v>
      </c>
      <c r="AB61" s="589"/>
      <c r="AC61" s="79">
        <f>SUM(AC17:AC20)</f>
        <v>0</v>
      </c>
      <c r="AD61" s="82">
        <f>SUM(AD17:AD20)</f>
        <v>0</v>
      </c>
      <c r="AE61" s="79">
        <f>SUM(AE17:AE20)</f>
        <v>0</v>
      </c>
      <c r="AF61" s="82" t="e">
        <f t="shared" si="875"/>
        <v>#DIV/0!</v>
      </c>
      <c r="AG61" s="84" t="e">
        <f t="shared" si="876"/>
        <v>#DIV/0!</v>
      </c>
      <c r="AH61" s="589"/>
      <c r="AI61" s="79">
        <f>SUM(AI17:AI20)</f>
        <v>0</v>
      </c>
      <c r="AJ61" s="82">
        <f>SUM(AJ17:AJ20)</f>
        <v>0</v>
      </c>
      <c r="AK61" s="79">
        <f>SUM(AK17:AK20)</f>
        <v>0</v>
      </c>
      <c r="AL61" s="82" t="e">
        <f t="shared" si="877"/>
        <v>#DIV/0!</v>
      </c>
      <c r="AM61" s="84" t="e">
        <f t="shared" si="878"/>
        <v>#DIV/0!</v>
      </c>
      <c r="AN61" s="589"/>
      <c r="AO61" s="79">
        <f>SUM(AO17:AO20)</f>
        <v>13400</v>
      </c>
      <c r="AP61" s="82">
        <f>SUM(AP17:AP20)</f>
        <v>66.3</v>
      </c>
      <c r="AQ61" s="79">
        <f>SUM(AQ17:AQ20)</f>
        <v>10</v>
      </c>
      <c r="AR61" s="82">
        <f t="shared" si="879"/>
        <v>202.11161387631978</v>
      </c>
      <c r="AS61" s="84">
        <f t="shared" si="880"/>
        <v>6.63</v>
      </c>
      <c r="AT61" s="589"/>
      <c r="AU61" s="79">
        <f>SUM(AU17:AU20)</f>
        <v>5850</v>
      </c>
      <c r="AV61" s="82">
        <f>SUM(AV17:AV20)</f>
        <v>54.910000000000004</v>
      </c>
      <c r="AW61" s="79">
        <f>SUM(AW17:AW20)</f>
        <v>15</v>
      </c>
      <c r="AX61" s="82">
        <f t="shared" si="881"/>
        <v>106.53797122564195</v>
      </c>
      <c r="AY61" s="84">
        <f t="shared" si="882"/>
        <v>3.6606666666666667</v>
      </c>
      <c r="AZ61" s="84"/>
      <c r="BA61" s="79">
        <f>SUM(BA17:BA20)</f>
        <v>2700</v>
      </c>
      <c r="BB61" s="82">
        <f>SUM(BB17:BB20)</f>
        <v>40.270000000000003</v>
      </c>
      <c r="BC61" s="79">
        <f>SUM(BC17:BC20)</f>
        <v>10</v>
      </c>
      <c r="BD61" s="82">
        <f t="shared" si="883"/>
        <v>67.047429848522469</v>
      </c>
      <c r="BE61" s="84">
        <f t="shared" si="884"/>
        <v>4.0270000000000001</v>
      </c>
      <c r="BF61" s="84"/>
      <c r="BG61" s="79">
        <f>SUM(BG17:BG20)</f>
        <v>0</v>
      </c>
      <c r="BH61" s="82">
        <f>SUM(BH17:BH20)</f>
        <v>0</v>
      </c>
      <c r="BI61" s="79">
        <f>SUM(BI17:BI20)</f>
        <v>0</v>
      </c>
      <c r="BJ61" s="82" t="e">
        <f t="shared" si="885"/>
        <v>#DIV/0!</v>
      </c>
      <c r="BK61" s="84" t="e">
        <f t="shared" si="886"/>
        <v>#DIV/0!</v>
      </c>
      <c r="BL61" s="84"/>
      <c r="BM61" s="79">
        <f>SUM(BM17:BM20)</f>
        <v>0</v>
      </c>
      <c r="BN61" s="82">
        <f>SUM(BN17:BN20)</f>
        <v>0</v>
      </c>
      <c r="BO61" s="79">
        <f>SUM(BO17:BO20)</f>
        <v>0</v>
      </c>
      <c r="BP61" s="82" t="e">
        <f t="shared" si="887"/>
        <v>#DIV/0!</v>
      </c>
      <c r="BQ61" s="84" t="e">
        <f t="shared" si="888"/>
        <v>#DIV/0!</v>
      </c>
      <c r="BR61" s="589"/>
      <c r="BS61" s="79">
        <f>SUM(BS17:BS20)</f>
        <v>4200</v>
      </c>
      <c r="BT61" s="82">
        <f>SUM(BT17:BT20)</f>
        <v>45.17</v>
      </c>
      <c r="BU61" s="79">
        <f>SUM(BU17:BU20)</f>
        <v>10</v>
      </c>
      <c r="BV61" s="82">
        <f t="shared" si="889"/>
        <v>92.982067744077924</v>
      </c>
      <c r="BW61" s="84">
        <f t="shared" si="890"/>
        <v>4.5170000000000003</v>
      </c>
      <c r="BX61" s="84"/>
      <c r="BY61" s="79">
        <f>SUM(BY17:BY20)</f>
        <v>11250</v>
      </c>
      <c r="BZ61" s="82">
        <f>SUM(BZ17:BZ20)</f>
        <v>82.6</v>
      </c>
      <c r="CA61" s="79">
        <f>SUM(CA17:CA20)</f>
        <v>15</v>
      </c>
      <c r="CB61" s="82">
        <f t="shared" si="891"/>
        <v>136.19854721549638</v>
      </c>
      <c r="CC61" s="84">
        <f t="shared" si="892"/>
        <v>5.5066666666666659</v>
      </c>
      <c r="CD61" s="84"/>
      <c r="CE61" s="79">
        <f>SUM(CE17:CE20)</f>
        <v>8700</v>
      </c>
      <c r="CF61" s="82">
        <f>SUM(CF17:CF20)</f>
        <v>97</v>
      </c>
      <c r="CG61" s="79">
        <f>SUM(CG17:CG20)</f>
        <v>20</v>
      </c>
      <c r="CH61" s="82">
        <f t="shared" si="893"/>
        <v>89.69072164948453</v>
      </c>
      <c r="CI61" s="84">
        <f t="shared" si="894"/>
        <v>4.8499999999999996</v>
      </c>
      <c r="CJ61" s="84"/>
      <c r="CK61" s="79">
        <f>SUM(CK17:CK20)</f>
        <v>5900</v>
      </c>
      <c r="CL61" s="82">
        <f>SUM(CL17:CL20)</f>
        <v>97.45999999999998</v>
      </c>
      <c r="CM61" s="79">
        <f>SUM(CM17:CM20)</f>
        <v>20</v>
      </c>
      <c r="CN61" s="82">
        <f t="shared" si="895"/>
        <v>60.537656474451069</v>
      </c>
      <c r="CO61" s="84">
        <f t="shared" si="896"/>
        <v>4.8729999999999993</v>
      </c>
      <c r="CP61" s="84"/>
      <c r="CQ61" s="79">
        <f>SUM(CQ17:CQ20)</f>
        <v>0</v>
      </c>
      <c r="CR61" s="82">
        <f>SUM(CR17:CR20)</f>
        <v>0</v>
      </c>
      <c r="CS61" s="79">
        <f>SUM(CS17:CS20)</f>
        <v>0</v>
      </c>
      <c r="CT61" s="82" t="e">
        <f t="shared" si="897"/>
        <v>#DIV/0!</v>
      </c>
      <c r="CU61" s="84" t="e">
        <f t="shared" si="898"/>
        <v>#DIV/0!</v>
      </c>
      <c r="CV61" s="84"/>
      <c r="CW61" s="79">
        <f>SUM(CW17:CW20)</f>
        <v>11250</v>
      </c>
      <c r="CX61" s="82">
        <f>SUM(CX17:CX20)</f>
        <v>82.6</v>
      </c>
      <c r="CY61" s="79">
        <f>SUM(CY17:CY20)</f>
        <v>15</v>
      </c>
      <c r="CZ61" s="82">
        <f t="shared" si="899"/>
        <v>136.19854721549638</v>
      </c>
      <c r="DA61" s="84">
        <f t="shared" si="900"/>
        <v>5.5066666666666659</v>
      </c>
      <c r="DB61" s="84"/>
      <c r="DC61" s="79">
        <f>SUM(DC17:DC20)</f>
        <v>5700</v>
      </c>
      <c r="DD61" s="82">
        <f>SUM(DD17:DD20)</f>
        <v>172.08999999999997</v>
      </c>
      <c r="DE61" s="79">
        <f>SUM(DE17:DE20)</f>
        <v>10</v>
      </c>
      <c r="DF61" s="82">
        <f t="shared" si="901"/>
        <v>33.122203498169569</v>
      </c>
      <c r="DG61" s="84">
        <f t="shared" si="902"/>
        <v>17.208999999999996</v>
      </c>
      <c r="DH61" s="84"/>
      <c r="DI61" s="79">
        <f>SUM(DI17:DI20)</f>
        <v>4830</v>
      </c>
      <c r="DJ61" s="82">
        <f>SUM(DJ17:DJ20)</f>
        <v>47.260000000000005</v>
      </c>
      <c r="DK61" s="79">
        <f>SUM(DK17:DK20)</f>
        <v>11</v>
      </c>
      <c r="DL61" s="82">
        <f t="shared" si="903"/>
        <v>102.2005924672027</v>
      </c>
      <c r="DM61" s="84">
        <f t="shared" si="904"/>
        <v>4.2963636363636368</v>
      </c>
      <c r="DN61" s="84"/>
      <c r="DO61" s="79">
        <f>SUM(DO17:DO20)</f>
        <v>4700</v>
      </c>
      <c r="DP61" s="82">
        <f>SUM(DP17:DP20)</f>
        <v>34.6</v>
      </c>
      <c r="DQ61" s="79">
        <f>SUM(DQ17:DQ20)</f>
        <v>5</v>
      </c>
      <c r="DR61" s="82">
        <f t="shared" si="905"/>
        <v>135.83815028901734</v>
      </c>
      <c r="DS61" s="84">
        <f t="shared" si="906"/>
        <v>6.92</v>
      </c>
      <c r="DT61" s="84"/>
      <c r="DU61" s="79">
        <f>SUM(DU17:DU20)</f>
        <v>0</v>
      </c>
      <c r="DV61" s="82">
        <f>SUM(DV17:DV20)</f>
        <v>0</v>
      </c>
      <c r="DW61" s="79">
        <f>SUM(DW17:DW20)</f>
        <v>0</v>
      </c>
      <c r="DX61" s="82" t="e">
        <f t="shared" si="907"/>
        <v>#DIV/0!</v>
      </c>
      <c r="DY61" s="84" t="e">
        <f t="shared" si="908"/>
        <v>#DIV/0!</v>
      </c>
      <c r="DZ61" s="84"/>
      <c r="EA61" s="79">
        <f>SUM(EA17:EA20)</f>
        <v>0</v>
      </c>
      <c r="EB61" s="82">
        <f>SUM(EB17:EB20)</f>
        <v>0</v>
      </c>
      <c r="EC61" s="79">
        <f>SUM(EC17:EC20)</f>
        <v>0</v>
      </c>
      <c r="ED61" s="82" t="e">
        <f t="shared" si="909"/>
        <v>#DIV/0!</v>
      </c>
      <c r="EE61" s="84" t="e">
        <f t="shared" si="910"/>
        <v>#DIV/0!</v>
      </c>
      <c r="EF61" s="84"/>
      <c r="EG61" s="79">
        <f>SUM(EG17:EG20)</f>
        <v>0</v>
      </c>
      <c r="EH61" s="82">
        <f>SUM(EH17:EH20)</f>
        <v>0</v>
      </c>
      <c r="EI61" s="79">
        <f>SUM(EI17:EI20)</f>
        <v>0</v>
      </c>
      <c r="EJ61" s="82" t="e">
        <f t="shared" si="911"/>
        <v>#DIV/0!</v>
      </c>
      <c r="EK61" s="84" t="e">
        <f t="shared" si="912"/>
        <v>#DIV/0!</v>
      </c>
      <c r="EL61" s="84"/>
      <c r="EM61" s="79">
        <f>SUM(EM17:EM20)</f>
        <v>0</v>
      </c>
      <c r="EN61" s="82">
        <f>SUM(EN17:EN20)</f>
        <v>0</v>
      </c>
      <c r="EO61" s="79">
        <f>SUM(EO17:EO20)</f>
        <v>0</v>
      </c>
      <c r="EP61" s="82" t="e">
        <f t="shared" si="913"/>
        <v>#DIV/0!</v>
      </c>
      <c r="EQ61" s="84" t="e">
        <f t="shared" si="914"/>
        <v>#DIV/0!</v>
      </c>
      <c r="ER61" s="589"/>
      <c r="ES61" s="79">
        <f>SUM(ES17:ES20)</f>
        <v>11250</v>
      </c>
      <c r="ET61" s="82">
        <f>SUM(ET17:ET20)</f>
        <v>82.6</v>
      </c>
      <c r="EU61" s="79">
        <f>SUM(EU17:EU20)</f>
        <v>15</v>
      </c>
      <c r="EV61" s="82">
        <f t="shared" si="915"/>
        <v>136.19854721549638</v>
      </c>
      <c r="EW61" s="84">
        <f t="shared" si="916"/>
        <v>5.5066666666666659</v>
      </c>
      <c r="EY61" s="91">
        <f>SUM(EY17:EY20)</f>
        <v>8700</v>
      </c>
      <c r="EZ61" s="82">
        <f>SUM(EZ17:EZ20)</f>
        <v>97</v>
      </c>
      <c r="FA61" s="79">
        <f>SUM(FA17:FA20)</f>
        <v>20</v>
      </c>
      <c r="FB61" s="82">
        <f t="shared" si="917"/>
        <v>89.69072164948453</v>
      </c>
      <c r="FC61" s="84">
        <f t="shared" si="918"/>
        <v>4.8499999999999996</v>
      </c>
      <c r="FE61" s="91">
        <f>SUM(FE17:FE20)</f>
        <v>0</v>
      </c>
      <c r="FF61" s="369">
        <f>SUM(FF17:FF20)</f>
        <v>0</v>
      </c>
      <c r="FG61" s="371">
        <f>SUM(FG17:FG20)</f>
        <v>0</v>
      </c>
      <c r="FH61" s="382" t="e">
        <f t="shared" ref="FH61:FI63" si="999">FE61/FF61</f>
        <v>#DIV/0!</v>
      </c>
      <c r="FI61" s="362" t="e">
        <f t="shared" si="999"/>
        <v>#DIV/0!</v>
      </c>
      <c r="FJ61" s="178"/>
      <c r="FK61" s="91">
        <f>SUM(FK17:FK20)</f>
        <v>6500</v>
      </c>
      <c r="FL61" s="82">
        <f>SUM(FL17:FL20)</f>
        <v>102.7</v>
      </c>
      <c r="FM61" s="79">
        <f>SUM(FM17:FM20)</f>
        <v>20</v>
      </c>
      <c r="FN61" s="82">
        <f t="shared" si="921"/>
        <v>63.291139240506325</v>
      </c>
      <c r="FO61" s="84">
        <f t="shared" si="922"/>
        <v>5.1349999999999998</v>
      </c>
      <c r="FQ61" s="91">
        <f>SUM(FQ17:FQ20)</f>
        <v>3400</v>
      </c>
      <c r="FR61" s="82">
        <f>SUM(FR17:FR20)</f>
        <v>48.83</v>
      </c>
      <c r="FS61" s="79">
        <f>SUM(FS17:FS20)</f>
        <v>10</v>
      </c>
      <c r="FT61" s="82">
        <f t="shared" si="923"/>
        <v>69.629326233872618</v>
      </c>
      <c r="FU61" s="84">
        <f t="shared" si="924"/>
        <v>4.883</v>
      </c>
      <c r="FW61" s="91">
        <f>SUM(FW17:FW20)</f>
        <v>5000</v>
      </c>
      <c r="FX61" s="82">
        <f>SUM(FX17:FX20)</f>
        <v>76.86</v>
      </c>
      <c r="FY61" s="371">
        <f>SUM(FY17:FY20)</f>
        <v>16</v>
      </c>
      <c r="FZ61" s="369">
        <f t="shared" si="925"/>
        <v>65.053343741868332</v>
      </c>
      <c r="GA61" s="370">
        <f t="shared" si="926"/>
        <v>4.80375</v>
      </c>
      <c r="GC61" s="91">
        <f>SUM(GC17:GC20)</f>
        <v>7500</v>
      </c>
      <c r="GD61" s="369">
        <f>SUM(GD17:GD20)</f>
        <v>123.69000000000001</v>
      </c>
      <c r="GE61" s="371">
        <f>SUM(GE17:GE20)</f>
        <v>16</v>
      </c>
      <c r="GF61" s="369">
        <f t="shared" si="927"/>
        <v>60.635459616783891</v>
      </c>
      <c r="GG61" s="370">
        <f t="shared" si="928"/>
        <v>7.7306250000000007</v>
      </c>
      <c r="GI61" s="91">
        <f>SUM(GI17:GI20)</f>
        <v>4250</v>
      </c>
      <c r="GJ61" s="82">
        <f>SUM(GJ17:GJ20)</f>
        <v>55.940000000000005</v>
      </c>
      <c r="GK61" s="79">
        <f>SUM(GK17:GK20)</f>
        <v>11</v>
      </c>
      <c r="GL61" s="82">
        <f t="shared" si="929"/>
        <v>75.974258133714685</v>
      </c>
      <c r="GM61" s="84">
        <f t="shared" si="930"/>
        <v>5.0854545454545459</v>
      </c>
      <c r="GO61" s="91">
        <f>SUM(GO17:GO20)</f>
        <v>5600</v>
      </c>
      <c r="GP61" s="82">
        <f>SUM(GP17:GP20)</f>
        <v>60.4</v>
      </c>
      <c r="GQ61" s="371">
        <f>SUM(GQ17:GQ20)</f>
        <v>15</v>
      </c>
      <c r="GR61" s="369">
        <f t="shared" si="931"/>
        <v>92.715231788079478</v>
      </c>
      <c r="GS61" s="370">
        <f t="shared" si="932"/>
        <v>4.0266666666666664</v>
      </c>
      <c r="GU61" s="91">
        <f>SUM(GU17:GU20)</f>
        <v>1600</v>
      </c>
      <c r="GV61" s="82">
        <f>SUM(GV17:GV20)</f>
        <v>5.0199999999999996</v>
      </c>
      <c r="GW61" s="79">
        <f>SUM(GW17:GW20)</f>
        <v>5</v>
      </c>
      <c r="GX61" s="82">
        <f t="shared" si="933"/>
        <v>318.72509960159363</v>
      </c>
      <c r="GY61" s="84">
        <f t="shared" si="934"/>
        <v>1.004</v>
      </c>
      <c r="HA61" s="91">
        <f>SUM(HA17:HA20)</f>
        <v>2400</v>
      </c>
      <c r="HB61" s="82">
        <f>SUM(HB17:HB20)</f>
        <v>7.9399999999999995</v>
      </c>
      <c r="HC61" s="79">
        <f>SUM(HC17:HC20)</f>
        <v>5</v>
      </c>
      <c r="HD61" s="369">
        <f t="shared" si="935"/>
        <v>302.26700251889173</v>
      </c>
      <c r="HE61" s="370">
        <f t="shared" si="936"/>
        <v>1.5879999999999999</v>
      </c>
      <c r="HG61" s="91">
        <f>SUM(HG17:HG20)</f>
        <v>4600</v>
      </c>
      <c r="HH61" s="82">
        <f>SUM(HH17:HH20)</f>
        <v>66.02000000000001</v>
      </c>
      <c r="HI61" s="79">
        <f>SUM(HI17:HI20)</f>
        <v>7</v>
      </c>
      <c r="HJ61" s="82">
        <f t="shared" si="937"/>
        <v>69.675855801272334</v>
      </c>
      <c r="HK61" s="84">
        <f t="shared" si="938"/>
        <v>9.4314285714285724</v>
      </c>
      <c r="HM61" s="91">
        <f>SUM(HM17:HM20)</f>
        <v>1500</v>
      </c>
      <c r="HN61" s="82">
        <f>SUM(HN17:HN20)</f>
        <v>11.97</v>
      </c>
      <c r="HO61" s="79">
        <f>SUM(HO17:HO20)</f>
        <v>5</v>
      </c>
      <c r="HP61" s="369">
        <f t="shared" si="939"/>
        <v>125.31328320802004</v>
      </c>
      <c r="HQ61" s="370">
        <f t="shared" si="940"/>
        <v>2.3940000000000001</v>
      </c>
      <c r="HS61" s="91">
        <f>SUM(HS17:HS20)</f>
        <v>6800</v>
      </c>
      <c r="HT61" s="82">
        <f>SUM(HT17:HT20)</f>
        <v>70.400000000000006</v>
      </c>
      <c r="HU61" s="371">
        <f>SUM(HU17:HU20)</f>
        <v>5</v>
      </c>
      <c r="HV61" s="369">
        <f t="shared" si="941"/>
        <v>96.590909090909079</v>
      </c>
      <c r="HW61" s="370">
        <f t="shared" si="942"/>
        <v>14.080000000000002</v>
      </c>
      <c r="HX61" s="178"/>
      <c r="HY61" s="91">
        <f>SUM(HY17:HY20)</f>
        <v>4410</v>
      </c>
      <c r="HZ61" s="82">
        <f>SUM(HZ17:HZ20)</f>
        <v>62.28</v>
      </c>
      <c r="IA61" s="371">
        <f>SUM(IA17:IA20)</f>
        <v>12</v>
      </c>
      <c r="IB61" s="369">
        <f t="shared" si="943"/>
        <v>70.809248554913296</v>
      </c>
      <c r="IC61" s="370">
        <f t="shared" si="944"/>
        <v>5.19</v>
      </c>
      <c r="IE61" s="91">
        <f>SUM(IE17:IE20)</f>
        <v>4700</v>
      </c>
      <c r="IF61" s="82">
        <f>SUM(IF17:IF20)</f>
        <v>70.28</v>
      </c>
      <c r="IG61" s="79">
        <f>SUM(IG17:IG20)</f>
        <v>16</v>
      </c>
      <c r="IH61" s="82">
        <f t="shared" si="945"/>
        <v>66.875355719977236</v>
      </c>
      <c r="II61" s="84">
        <f t="shared" si="946"/>
        <v>4.3925000000000001</v>
      </c>
      <c r="IK61" s="91">
        <f>SUM(IK17:IK20)</f>
        <v>3650</v>
      </c>
      <c r="IL61" s="82">
        <f>SUM(IL17:IL20)</f>
        <v>57.11</v>
      </c>
      <c r="IM61" s="79">
        <f>SUM(IM17:IM20)</f>
        <v>12</v>
      </c>
      <c r="IN61" s="82">
        <f t="shared" si="947"/>
        <v>63.911749255822102</v>
      </c>
      <c r="IO61" s="84">
        <f t="shared" si="948"/>
        <v>4.7591666666666663</v>
      </c>
      <c r="IQ61" s="91">
        <f>SUM(IQ17:IQ20)</f>
        <v>2200</v>
      </c>
      <c r="IR61" s="82">
        <f>SUM(IR17:IR20)</f>
        <v>22.38</v>
      </c>
      <c r="IS61" s="79">
        <f>SUM(IS17:IS20)</f>
        <v>7</v>
      </c>
      <c r="IT61" s="82">
        <f t="shared" si="949"/>
        <v>98.30205540661305</v>
      </c>
      <c r="IU61" s="84">
        <f t="shared" si="950"/>
        <v>3.1971428571428571</v>
      </c>
      <c r="IW61" s="91">
        <f>SUM(IW17:IW20)</f>
        <v>6150</v>
      </c>
      <c r="IX61" s="82">
        <f>SUM(IX17:IX20)</f>
        <v>83.98</v>
      </c>
      <c r="IY61" s="79">
        <f>SUM(IY17:IY20)</f>
        <v>20</v>
      </c>
      <c r="IZ61" s="82">
        <f t="shared" si="951"/>
        <v>73.231721838532977</v>
      </c>
      <c r="JA61" s="84">
        <f t="shared" si="952"/>
        <v>4.1989999999999998</v>
      </c>
      <c r="JC61" s="91">
        <f>SUM(JC17:JC20)</f>
        <v>5800</v>
      </c>
      <c r="JD61" s="82">
        <f>SUM(JD17:JD20)</f>
        <v>75.889999999999986</v>
      </c>
      <c r="JE61" s="79">
        <f>SUM(JE17:JE20)</f>
        <v>10</v>
      </c>
      <c r="JF61" s="82">
        <f t="shared" si="953"/>
        <v>76.426406641191207</v>
      </c>
      <c r="JG61" s="84">
        <f t="shared" si="954"/>
        <v>7.5889999999999986</v>
      </c>
      <c r="JI61" s="91">
        <f>SUM(JI17:JI20)</f>
        <v>7150</v>
      </c>
      <c r="JJ61" s="82">
        <f>SUM(JJ17:JJ20)</f>
        <v>94.82</v>
      </c>
      <c r="JK61" s="79">
        <f>SUM(JK17:JK20)</f>
        <v>20</v>
      </c>
      <c r="JL61" s="82">
        <f t="shared" si="955"/>
        <v>75.406032482598619</v>
      </c>
      <c r="JM61" s="84">
        <f t="shared" si="956"/>
        <v>4.7409999999999997</v>
      </c>
      <c r="JO61" s="91">
        <f>SUM(JO17:JO20)</f>
        <v>9900</v>
      </c>
      <c r="JP61" s="82">
        <f>SUM(JP17:JP20)</f>
        <v>95.57</v>
      </c>
      <c r="JQ61" s="79">
        <f>SUM(JQ17:JQ20)</f>
        <v>20</v>
      </c>
      <c r="JR61" s="82">
        <f t="shared" si="957"/>
        <v>103.58899236161976</v>
      </c>
      <c r="JS61" s="84">
        <f t="shared" si="958"/>
        <v>4.7784999999999993</v>
      </c>
      <c r="JU61" s="379">
        <f>SUM(JU17:JU20)</f>
        <v>12800</v>
      </c>
      <c r="JV61" s="369">
        <f>SUM(JV17:JV20)</f>
        <v>129.83000000000001</v>
      </c>
      <c r="JW61" s="371">
        <f>SUM(JW17:JW20)</f>
        <v>20</v>
      </c>
      <c r="JX61" s="369">
        <f t="shared" si="959"/>
        <v>98.590464453516134</v>
      </c>
      <c r="JY61" s="370">
        <f t="shared" si="960"/>
        <v>6.4915000000000003</v>
      </c>
      <c r="KA61" s="379">
        <f>SUM(KA17:KA20)</f>
        <v>8150</v>
      </c>
      <c r="KB61" s="369">
        <f>SUM(KB17:KB20)</f>
        <v>67.290000000000006</v>
      </c>
      <c r="KC61" s="371">
        <f>SUM(KC17:KC20)</f>
        <v>15</v>
      </c>
      <c r="KD61" s="369">
        <f t="shared" si="961"/>
        <v>121.11755089909346</v>
      </c>
      <c r="KE61" s="370">
        <f t="shared" si="962"/>
        <v>4.4860000000000007</v>
      </c>
      <c r="KG61" s="379">
        <f>SUM(KG17:KG20)</f>
        <v>5550</v>
      </c>
      <c r="KH61" s="369">
        <f>SUM(KH17:KH20)</f>
        <v>77.69</v>
      </c>
      <c r="KI61" s="371">
        <f>SUM(KI17:KI20)</f>
        <v>13</v>
      </c>
      <c r="KJ61" s="369">
        <f t="shared" si="963"/>
        <v>71.437765478182527</v>
      </c>
      <c r="KK61" s="370">
        <f t="shared" si="964"/>
        <v>5.9761538461538457</v>
      </c>
      <c r="KM61" s="379">
        <f>SUM(KM17:KM20)</f>
        <v>4200</v>
      </c>
      <c r="KN61" s="369">
        <f>SUM(KN17:KN20)</f>
        <v>52.500000000000007</v>
      </c>
      <c r="KO61" s="371">
        <f>SUM(KO17:KO20)</f>
        <v>11</v>
      </c>
      <c r="KP61" s="369">
        <f t="shared" si="965"/>
        <v>79.999999999999986</v>
      </c>
      <c r="KQ61" s="370">
        <f t="shared" si="966"/>
        <v>4.7727272727272734</v>
      </c>
      <c r="KS61" s="379">
        <f>SUM(KS17:KS20)</f>
        <v>6600</v>
      </c>
      <c r="KT61" s="369">
        <f>SUM(KT17:KT20)</f>
        <v>79.600000000000009</v>
      </c>
      <c r="KU61" s="371">
        <f>SUM(KU17:KU20)</f>
        <v>10</v>
      </c>
      <c r="KV61" s="369">
        <f t="shared" si="967"/>
        <v>82.914572864321599</v>
      </c>
      <c r="KW61" s="370">
        <f t="shared" si="968"/>
        <v>7.9600000000000009</v>
      </c>
      <c r="KY61" s="379">
        <f>SUM(KY17:KY20)</f>
        <v>0</v>
      </c>
      <c r="KZ61" s="369">
        <f>SUM(KZ17:KZ20)</f>
        <v>0</v>
      </c>
      <c r="LA61" s="371">
        <f>SUM(LA17:LA20)</f>
        <v>0</v>
      </c>
      <c r="LB61" s="369" t="e">
        <f t="shared" si="969"/>
        <v>#DIV/0!</v>
      </c>
      <c r="LC61" s="370" t="e">
        <f t="shared" si="970"/>
        <v>#DIV/0!</v>
      </c>
      <c r="LE61" s="379">
        <f>SUM(LE17:LE20)</f>
        <v>0</v>
      </c>
      <c r="LF61" s="369">
        <f>SUM(LF17:LF20)</f>
        <v>0</v>
      </c>
      <c r="LG61" s="371">
        <f>SUM(LG17:LG20)</f>
        <v>0</v>
      </c>
      <c r="LH61" s="369" t="e">
        <f t="shared" si="971"/>
        <v>#DIV/0!</v>
      </c>
      <c r="LI61" s="370" t="e">
        <f t="shared" si="972"/>
        <v>#DIV/0!</v>
      </c>
      <c r="LK61" s="379">
        <f>SUM(LK17:LK20)</f>
        <v>1700</v>
      </c>
      <c r="LL61" s="369">
        <f>SUM(LL17:LL20)</f>
        <v>19.22</v>
      </c>
      <c r="LM61" s="371">
        <f>SUM(LM17:LM20)</f>
        <v>2</v>
      </c>
      <c r="LN61" s="369">
        <f t="shared" si="973"/>
        <v>88.449531737773157</v>
      </c>
      <c r="LO61" s="370">
        <f t="shared" si="974"/>
        <v>9.61</v>
      </c>
      <c r="LQ61" s="379">
        <f>SUM(LQ17:LQ20)</f>
        <v>500</v>
      </c>
      <c r="LR61" s="369">
        <f>SUM(LR17:LR20)</f>
        <v>5.87</v>
      </c>
      <c r="LS61" s="371">
        <f>SUM(LS17:LS20)</f>
        <v>5</v>
      </c>
      <c r="LT61" s="369">
        <f t="shared" si="975"/>
        <v>85.178875638841561</v>
      </c>
      <c r="LU61" s="370">
        <f t="shared" si="976"/>
        <v>1.1739999999999999</v>
      </c>
      <c r="LW61" s="379">
        <f>SUM(LW17:LW20)</f>
        <v>3600</v>
      </c>
      <c r="LX61" s="369">
        <f>SUM(LX17:LX20)</f>
        <v>40.44</v>
      </c>
      <c r="LY61" s="371">
        <f>SUM(LY17:LY20)</f>
        <v>10</v>
      </c>
      <c r="LZ61" s="369">
        <f t="shared" si="977"/>
        <v>89.020771513353125</v>
      </c>
      <c r="MA61" s="370">
        <f t="shared" si="978"/>
        <v>4.0439999999999996</v>
      </c>
      <c r="MC61" s="379">
        <f>SUM(MC17:MC20)</f>
        <v>5550</v>
      </c>
      <c r="MD61" s="369">
        <f>SUM(MD17:MD20)</f>
        <v>61.15</v>
      </c>
      <c r="ME61" s="371">
        <f>SUM(ME17:ME20)</f>
        <v>18</v>
      </c>
      <c r="MF61" s="369">
        <f t="shared" si="979"/>
        <v>90.760425183973837</v>
      </c>
      <c r="MG61" s="370">
        <f t="shared" si="980"/>
        <v>3.3972222222222221</v>
      </c>
      <c r="MI61" s="379">
        <f>SUM(MI17:MI20)</f>
        <v>5800</v>
      </c>
      <c r="MJ61" s="369">
        <f>SUM(MJ17:MJ20)</f>
        <v>76.03</v>
      </c>
      <c r="MK61" s="371">
        <f>SUM(MK17:MK20)</f>
        <v>8</v>
      </c>
      <c r="ML61" s="369">
        <f t="shared" si="981"/>
        <v>76.285676706563194</v>
      </c>
      <c r="MM61" s="370">
        <f t="shared" si="982"/>
        <v>9.5037500000000001</v>
      </c>
      <c r="MO61" s="379">
        <f>SUM(MO17:MO20)</f>
        <v>0</v>
      </c>
      <c r="MP61" s="369">
        <f>SUM(MP17:MP20)</f>
        <v>0</v>
      </c>
      <c r="MQ61" s="371">
        <f>SUM(MQ17:MQ20)</f>
        <v>0</v>
      </c>
      <c r="MR61" s="369" t="e">
        <f t="shared" si="983"/>
        <v>#DIV/0!</v>
      </c>
      <c r="MS61" s="370" t="e">
        <f t="shared" si="984"/>
        <v>#DIV/0!</v>
      </c>
      <c r="MU61" s="379">
        <f>SUM(MU17:MU20)</f>
        <v>0</v>
      </c>
      <c r="MV61" s="369">
        <f>SUM(MV17:MV20)</f>
        <v>0</v>
      </c>
      <c r="MW61" s="371">
        <f>SUM(MW17:MW20)</f>
        <v>0</v>
      </c>
      <c r="MX61" s="369" t="e">
        <f t="shared" si="985"/>
        <v>#DIV/0!</v>
      </c>
      <c r="MY61" s="370" t="e">
        <f t="shared" si="986"/>
        <v>#DIV/0!</v>
      </c>
      <c r="NA61" s="755">
        <f>SUM(NA17:NA20)</f>
        <v>7400</v>
      </c>
      <c r="NB61" s="384">
        <f>SUM(NB17:NB20)</f>
        <v>111.81</v>
      </c>
      <c r="NC61" s="384">
        <f>SUM(NC17:NC20)</f>
        <v>18</v>
      </c>
      <c r="ND61" s="369">
        <f t="shared" si="987"/>
        <v>66.18370449870315</v>
      </c>
      <c r="NE61" s="370">
        <f t="shared" si="988"/>
        <v>6.2116666666666669</v>
      </c>
      <c r="NG61" s="379">
        <f>SUM(NG17:NG20)</f>
        <v>4700</v>
      </c>
      <c r="NH61" s="369">
        <f>SUM(NH17:NH20)</f>
        <v>55.81</v>
      </c>
      <c r="NI61" s="371">
        <f>SUM(NI17:NI20)</f>
        <v>10</v>
      </c>
      <c r="NJ61" s="369">
        <f t="shared" si="989"/>
        <v>84.214298512811325</v>
      </c>
      <c r="NK61" s="370">
        <f t="shared" si="990"/>
        <v>5.5810000000000004</v>
      </c>
      <c r="NM61" s="379">
        <f>SUM(NM17:NM20)</f>
        <v>5000</v>
      </c>
      <c r="NN61" s="369">
        <f>SUM(NN17:NN20)</f>
        <v>84.07</v>
      </c>
      <c r="NO61" s="371">
        <f>SUM(NO17:NO20)</f>
        <v>18</v>
      </c>
      <c r="NP61" s="369">
        <f t="shared" si="991"/>
        <v>59.474247650767225</v>
      </c>
      <c r="NQ61" s="370">
        <f t="shared" si="992"/>
        <v>4.6705555555555556</v>
      </c>
      <c r="NS61" s="379">
        <f>SUM(NS17:NS20)</f>
        <v>6850</v>
      </c>
      <c r="NT61" s="369">
        <f>SUM(NT17:NT20)</f>
        <v>81.260000000000005</v>
      </c>
      <c r="NU61" s="371">
        <f>SUM(NU17:NU20)</f>
        <v>20</v>
      </c>
      <c r="NV61" s="369">
        <f t="shared" si="993"/>
        <v>84.297317253261127</v>
      </c>
      <c r="NW61" s="370">
        <f t="shared" si="994"/>
        <v>4.0630000000000006</v>
      </c>
      <c r="NY61" s="379">
        <f>SUM(NY17:NY20)</f>
        <v>5400</v>
      </c>
      <c r="NZ61" s="369">
        <f>SUM(NZ17:NZ20)</f>
        <v>88.79</v>
      </c>
      <c r="OA61" s="371">
        <f>SUM(OA17:OA20)</f>
        <v>15</v>
      </c>
      <c r="OB61" s="369">
        <f t="shared" si="995"/>
        <v>60.817659646356567</v>
      </c>
      <c r="OC61" s="370">
        <f t="shared" si="996"/>
        <v>5.9193333333333333</v>
      </c>
      <c r="OE61" s="379">
        <f>SUM(OE17:OE20)</f>
        <v>5050</v>
      </c>
      <c r="OF61" s="369">
        <f>SUM(OF17:OF20)</f>
        <v>45.75</v>
      </c>
      <c r="OG61" s="371">
        <f>SUM(OG17:OG20)</f>
        <v>15</v>
      </c>
      <c r="OH61" s="369">
        <f t="shared" si="997"/>
        <v>110.38251366120218</v>
      </c>
      <c r="OI61" s="370">
        <f t="shared" si="998"/>
        <v>3.05</v>
      </c>
    </row>
    <row r="62" spans="1:399">
      <c r="A62" s="55"/>
      <c r="B62" s="62" t="s">
        <v>30</v>
      </c>
      <c r="C62" s="63"/>
      <c r="D62" s="64" t="s">
        <v>26</v>
      </c>
      <c r="E62" s="79">
        <f>SUM(E21:E24)</f>
        <v>1600</v>
      </c>
      <c r="F62" s="82">
        <f>SUM(F21:F24)</f>
        <v>10.130000000000001</v>
      </c>
      <c r="G62" s="79">
        <f>SUM(G21:G24)</f>
        <v>5</v>
      </c>
      <c r="H62" s="82">
        <f t="shared" si="867"/>
        <v>157.9466929911155</v>
      </c>
      <c r="I62" s="84">
        <f t="shared" si="868"/>
        <v>2.0260000000000002</v>
      </c>
      <c r="J62" s="589"/>
      <c r="K62" s="79">
        <f>SUM(K21:K24)</f>
        <v>0</v>
      </c>
      <c r="L62" s="82">
        <f>SUM(L21:L24)</f>
        <v>0</v>
      </c>
      <c r="M62" s="79">
        <f>SUM(M21:M24)</f>
        <v>0</v>
      </c>
      <c r="N62" s="82" t="e">
        <f t="shared" si="869"/>
        <v>#DIV/0!</v>
      </c>
      <c r="O62" s="84" t="e">
        <f t="shared" si="870"/>
        <v>#DIV/0!</v>
      </c>
      <c r="P62" s="589"/>
      <c r="Q62" s="79">
        <f>SUM(Q21:Q24)</f>
        <v>0</v>
      </c>
      <c r="R62" s="82">
        <f>SUM(R21:R24)</f>
        <v>0</v>
      </c>
      <c r="S62" s="79">
        <f>SUM(S21:S24)</f>
        <v>0</v>
      </c>
      <c r="T62" s="82" t="e">
        <f t="shared" si="871"/>
        <v>#DIV/0!</v>
      </c>
      <c r="U62" s="84" t="e">
        <f t="shared" si="872"/>
        <v>#DIV/0!</v>
      </c>
      <c r="V62" s="589"/>
      <c r="W62" s="79">
        <f>SUM(W21:W24)</f>
        <v>550</v>
      </c>
      <c r="X62" s="82">
        <f>SUM(X21:X24)</f>
        <v>3.7299999999999995</v>
      </c>
      <c r="Y62" s="79">
        <f>SUM(Y21:Y24)</f>
        <v>5</v>
      </c>
      <c r="Z62" s="82">
        <f t="shared" si="873"/>
        <v>147.45308310991959</v>
      </c>
      <c r="AA62" s="84">
        <f t="shared" si="874"/>
        <v>0.74599999999999989</v>
      </c>
      <c r="AB62" s="589"/>
      <c r="AC62" s="79">
        <f>SUM(AC21:AC24)</f>
        <v>0</v>
      </c>
      <c r="AD62" s="82">
        <f>SUM(AD21:AD24)</f>
        <v>0</v>
      </c>
      <c r="AE62" s="79">
        <f>SUM(AE21:AE24)</f>
        <v>0</v>
      </c>
      <c r="AF62" s="82" t="e">
        <f t="shared" si="875"/>
        <v>#DIV/0!</v>
      </c>
      <c r="AG62" s="84" t="e">
        <f t="shared" si="876"/>
        <v>#DIV/0!</v>
      </c>
      <c r="AH62" s="589"/>
      <c r="AI62" s="79">
        <f>SUM(AI21:AI24)</f>
        <v>0</v>
      </c>
      <c r="AJ62" s="82">
        <f>SUM(AJ21:AJ24)</f>
        <v>0</v>
      </c>
      <c r="AK62" s="79">
        <f>SUM(AK21:AK24)</f>
        <v>0</v>
      </c>
      <c r="AL62" s="82" t="e">
        <f t="shared" si="877"/>
        <v>#DIV/0!</v>
      </c>
      <c r="AM62" s="84" t="e">
        <f t="shared" si="878"/>
        <v>#DIV/0!</v>
      </c>
      <c r="AN62" s="589"/>
      <c r="AO62" s="79">
        <f>SUM(AO21:AO24)</f>
        <v>1400</v>
      </c>
      <c r="AP62" s="82">
        <f>SUM(AP21:AP24)</f>
        <v>7.34</v>
      </c>
      <c r="AQ62" s="79">
        <f>SUM(AQ21:AQ24)</f>
        <v>5</v>
      </c>
      <c r="AR62" s="82">
        <f t="shared" si="879"/>
        <v>190.73569482288829</v>
      </c>
      <c r="AS62" s="84">
        <f t="shared" si="880"/>
        <v>1.468</v>
      </c>
      <c r="AT62" s="589"/>
      <c r="AU62" s="79">
        <f>SUM(AU21:AU24)</f>
        <v>2600</v>
      </c>
      <c r="AV62" s="82">
        <f>SUM(AV21:AV24)</f>
        <v>16.010000000000002</v>
      </c>
      <c r="AW62" s="79">
        <f>SUM(AW21:AW24)</f>
        <v>10</v>
      </c>
      <c r="AX62" s="82">
        <f t="shared" si="881"/>
        <v>162.39850093691442</v>
      </c>
      <c r="AY62" s="84">
        <f t="shared" si="882"/>
        <v>1.6010000000000002</v>
      </c>
      <c r="AZ62" s="84"/>
      <c r="BA62" s="79">
        <f>SUM(BA21:BA24)</f>
        <v>1000</v>
      </c>
      <c r="BB62" s="82">
        <f>SUM(BB21:BB24)</f>
        <v>17.079999999999998</v>
      </c>
      <c r="BC62" s="79">
        <f>SUM(BC21:BC24)</f>
        <v>5</v>
      </c>
      <c r="BD62" s="82">
        <f t="shared" si="883"/>
        <v>58.548009367681502</v>
      </c>
      <c r="BE62" s="84">
        <f t="shared" si="884"/>
        <v>3.4159999999999995</v>
      </c>
      <c r="BF62" s="84"/>
      <c r="BG62" s="79">
        <f>SUM(BG21:BG24)</f>
        <v>0</v>
      </c>
      <c r="BH62" s="82">
        <f>SUM(BH21:BH24)</f>
        <v>0</v>
      </c>
      <c r="BI62" s="79">
        <f>SUM(BI21:BI24)</f>
        <v>0</v>
      </c>
      <c r="BJ62" s="82" t="e">
        <f t="shared" si="885"/>
        <v>#DIV/0!</v>
      </c>
      <c r="BK62" s="84" t="e">
        <f t="shared" si="886"/>
        <v>#DIV/0!</v>
      </c>
      <c r="BL62" s="84"/>
      <c r="BM62" s="79">
        <f>SUM(BM21:BM24)</f>
        <v>0</v>
      </c>
      <c r="BN62" s="82">
        <f>SUM(BN21:BN24)</f>
        <v>0</v>
      </c>
      <c r="BO62" s="79">
        <f>SUM(BO21:BO24)</f>
        <v>0</v>
      </c>
      <c r="BP62" s="82" t="e">
        <f t="shared" si="887"/>
        <v>#DIV/0!</v>
      </c>
      <c r="BQ62" s="84" t="e">
        <f t="shared" si="888"/>
        <v>#DIV/0!</v>
      </c>
      <c r="BR62" s="589"/>
      <c r="BS62" s="79">
        <f>SUM(BS21:BS24)</f>
        <v>7050</v>
      </c>
      <c r="BT62" s="82">
        <f>SUM(BT21:BT24)</f>
        <v>130.46</v>
      </c>
      <c r="BU62" s="79">
        <f>SUM(BU21:BU24)</f>
        <v>15</v>
      </c>
      <c r="BV62" s="82">
        <f t="shared" si="889"/>
        <v>54.039552353211711</v>
      </c>
      <c r="BW62" s="84">
        <f t="shared" si="890"/>
        <v>8.6973333333333347</v>
      </c>
      <c r="BX62" s="84"/>
      <c r="BY62" s="79">
        <f>SUM(BY21:BY24)</f>
        <v>3450</v>
      </c>
      <c r="BZ62" s="82">
        <f>SUM(BZ21:BZ24)</f>
        <v>18.03</v>
      </c>
      <c r="CA62" s="79">
        <f>SUM(CA21:CA24)</f>
        <v>10</v>
      </c>
      <c r="CB62" s="82">
        <f t="shared" si="891"/>
        <v>191.34775374376039</v>
      </c>
      <c r="CC62" s="84">
        <f t="shared" si="892"/>
        <v>1.8030000000000002</v>
      </c>
      <c r="CD62" s="84"/>
      <c r="CE62" s="79">
        <f>SUM(CE21:CE24)</f>
        <v>11900</v>
      </c>
      <c r="CF62" s="82">
        <f>SUM(CF21:CF24)</f>
        <v>107.28</v>
      </c>
      <c r="CG62" s="79">
        <f>SUM(CG21:CG24)</f>
        <v>15</v>
      </c>
      <c r="CH62" s="82">
        <f t="shared" si="893"/>
        <v>110.92468307233408</v>
      </c>
      <c r="CI62" s="84">
        <f t="shared" si="894"/>
        <v>7.1520000000000001</v>
      </c>
      <c r="CJ62" s="84"/>
      <c r="CK62" s="79">
        <f>SUM(CK21:CK24)</f>
        <v>4150</v>
      </c>
      <c r="CL62" s="82">
        <f>SUM(CL21:CL24)</f>
        <v>45.71</v>
      </c>
      <c r="CM62" s="79">
        <f>SUM(CM21:CM24)</f>
        <v>12</v>
      </c>
      <c r="CN62" s="82">
        <f t="shared" si="895"/>
        <v>90.789761540144383</v>
      </c>
      <c r="CO62" s="84">
        <f t="shared" si="896"/>
        <v>3.8091666666666666</v>
      </c>
      <c r="CP62" s="84"/>
      <c r="CQ62" s="79">
        <f>SUM(CQ21:CQ24)</f>
        <v>0</v>
      </c>
      <c r="CR62" s="82">
        <f>SUM(CR21:CR24)</f>
        <v>0</v>
      </c>
      <c r="CS62" s="79">
        <f>SUM(CS21:CS24)</f>
        <v>0</v>
      </c>
      <c r="CT62" s="82" t="e">
        <f t="shared" si="897"/>
        <v>#DIV/0!</v>
      </c>
      <c r="CU62" s="84" t="e">
        <f t="shared" si="898"/>
        <v>#DIV/0!</v>
      </c>
      <c r="CV62" s="84"/>
      <c r="CW62" s="79">
        <f>SUM(CW21:CW24)</f>
        <v>3450</v>
      </c>
      <c r="CX62" s="82">
        <f>SUM(CX21:CX24)</f>
        <v>18.03</v>
      </c>
      <c r="CY62" s="79">
        <f>SUM(CY21:CY24)</f>
        <v>10</v>
      </c>
      <c r="CZ62" s="82">
        <f t="shared" si="899"/>
        <v>191.34775374376039</v>
      </c>
      <c r="DA62" s="84">
        <f t="shared" si="900"/>
        <v>1.8030000000000002</v>
      </c>
      <c r="DB62" s="84"/>
      <c r="DC62" s="79">
        <f>SUM(DC21:DC24)</f>
        <v>1940</v>
      </c>
      <c r="DD62" s="82">
        <f>SUM(DD21:DD24)</f>
        <v>15.92</v>
      </c>
      <c r="DE62" s="79">
        <f>SUM(DE21:DE24)</f>
        <v>10</v>
      </c>
      <c r="DF62" s="82">
        <f t="shared" si="901"/>
        <v>121.85929648241206</v>
      </c>
      <c r="DG62" s="84">
        <f t="shared" si="902"/>
        <v>1.5920000000000001</v>
      </c>
      <c r="DH62" s="84"/>
      <c r="DI62" s="79">
        <f>SUM(DI21:DI24)</f>
        <v>3150</v>
      </c>
      <c r="DJ62" s="82">
        <f>SUM(DJ21:DJ24)</f>
        <v>15.93</v>
      </c>
      <c r="DK62" s="79">
        <f>SUM(DK21:DK24)</f>
        <v>10</v>
      </c>
      <c r="DL62" s="82">
        <f t="shared" si="903"/>
        <v>197.74011299435028</v>
      </c>
      <c r="DM62" s="84">
        <f t="shared" si="904"/>
        <v>1.593</v>
      </c>
      <c r="DN62" s="84"/>
      <c r="DO62" s="79">
        <f>SUM(DO21:DO24)</f>
        <v>3800</v>
      </c>
      <c r="DP62" s="82">
        <f>SUM(DP21:DP24)</f>
        <v>14.94</v>
      </c>
      <c r="DQ62" s="79">
        <f>SUM(DQ21:DQ24)</f>
        <v>11</v>
      </c>
      <c r="DR62" s="82">
        <f t="shared" si="905"/>
        <v>254.35073627844713</v>
      </c>
      <c r="DS62" s="84">
        <f t="shared" si="906"/>
        <v>1.3581818181818182</v>
      </c>
      <c r="DT62" s="84"/>
      <c r="DU62" s="79">
        <f>SUM(DU21:DU24)</f>
        <v>0</v>
      </c>
      <c r="DV62" s="82">
        <f>SUM(DV21:DV24)</f>
        <v>0</v>
      </c>
      <c r="DW62" s="79">
        <f>SUM(DW21:DW24)</f>
        <v>0</v>
      </c>
      <c r="DX62" s="82" t="e">
        <f t="shared" si="907"/>
        <v>#DIV/0!</v>
      </c>
      <c r="DY62" s="84" t="e">
        <f t="shared" si="908"/>
        <v>#DIV/0!</v>
      </c>
      <c r="DZ62" s="84"/>
      <c r="EA62" s="79">
        <f>SUM(EA21:EA24)</f>
        <v>0</v>
      </c>
      <c r="EB62" s="82">
        <f>SUM(EB21:EB24)</f>
        <v>0</v>
      </c>
      <c r="EC62" s="79">
        <f>SUM(EC21:EC24)</f>
        <v>0</v>
      </c>
      <c r="ED62" s="82" t="e">
        <f t="shared" si="909"/>
        <v>#DIV/0!</v>
      </c>
      <c r="EE62" s="84" t="e">
        <f t="shared" si="910"/>
        <v>#DIV/0!</v>
      </c>
      <c r="EF62" s="84"/>
      <c r="EG62" s="79">
        <f>SUM(EG21:EG24)</f>
        <v>0</v>
      </c>
      <c r="EH62" s="82">
        <f>SUM(EH21:EH24)</f>
        <v>0</v>
      </c>
      <c r="EI62" s="79">
        <f>SUM(EI21:EI24)</f>
        <v>0</v>
      </c>
      <c r="EJ62" s="82" t="e">
        <f t="shared" si="911"/>
        <v>#DIV/0!</v>
      </c>
      <c r="EK62" s="84" t="e">
        <f t="shared" si="912"/>
        <v>#DIV/0!</v>
      </c>
      <c r="EL62" s="84"/>
      <c r="EM62" s="79">
        <f>SUM(EM21:EM24)</f>
        <v>0</v>
      </c>
      <c r="EN62" s="82">
        <f>SUM(EN21:EN24)</f>
        <v>0</v>
      </c>
      <c r="EO62" s="79">
        <f>SUM(EO21:EO24)</f>
        <v>0</v>
      </c>
      <c r="EP62" s="82" t="e">
        <f t="shared" si="913"/>
        <v>#DIV/0!</v>
      </c>
      <c r="EQ62" s="84" t="e">
        <f t="shared" si="914"/>
        <v>#DIV/0!</v>
      </c>
      <c r="ER62" s="589"/>
      <c r="ES62" s="79">
        <f>SUM(ES21:ES24)</f>
        <v>3450</v>
      </c>
      <c r="ET62" s="82">
        <f>SUM(ET21:ET24)</f>
        <v>18.03</v>
      </c>
      <c r="EU62" s="79">
        <f>SUM(EU21:EU24)</f>
        <v>10</v>
      </c>
      <c r="EV62" s="82">
        <f t="shared" si="915"/>
        <v>191.34775374376039</v>
      </c>
      <c r="EW62" s="84">
        <f t="shared" si="916"/>
        <v>1.8030000000000002</v>
      </c>
      <c r="EY62" s="91">
        <f>SUM(EY21:EY24)</f>
        <v>11900</v>
      </c>
      <c r="EZ62" s="369">
        <f>SUM(EZ21:EZ24)</f>
        <v>107.28</v>
      </c>
      <c r="FA62" s="371">
        <f>SUM(FA21:FA24)</f>
        <v>15</v>
      </c>
      <c r="FB62" s="369">
        <f t="shared" si="917"/>
        <v>110.92468307233408</v>
      </c>
      <c r="FC62" s="370">
        <f t="shared" si="918"/>
        <v>7.1520000000000001</v>
      </c>
      <c r="FE62" s="91">
        <f>SUM(FE21:FE24)</f>
        <v>0</v>
      </c>
      <c r="FF62" s="369">
        <f>SUM(FF21:FF24)</f>
        <v>0</v>
      </c>
      <c r="FG62" s="371">
        <f>SUM(FG21:FG24)</f>
        <v>0</v>
      </c>
      <c r="FH62" s="382" t="e">
        <f t="shared" si="999"/>
        <v>#DIV/0!</v>
      </c>
      <c r="FI62" s="362" t="e">
        <f t="shared" si="999"/>
        <v>#DIV/0!</v>
      </c>
      <c r="FJ62" s="178"/>
      <c r="FK62" s="91">
        <f>SUM(FK21:FK24)</f>
        <v>2600</v>
      </c>
      <c r="FL62" s="82">
        <f>SUM(FL21:FL24)</f>
        <v>43.31</v>
      </c>
      <c r="FM62" s="79">
        <f>SUM(FM21:FM24)</f>
        <v>12</v>
      </c>
      <c r="FN62" s="82">
        <f t="shared" si="921"/>
        <v>60.03232509812976</v>
      </c>
      <c r="FO62" s="84">
        <f t="shared" si="922"/>
        <v>3.6091666666666669</v>
      </c>
      <c r="FQ62" s="91">
        <f>SUM(FQ21:FQ24)</f>
        <v>3800</v>
      </c>
      <c r="FR62" s="82">
        <f>SUM(FR21:FR24)</f>
        <v>50.08</v>
      </c>
      <c r="FS62" s="79">
        <f>SUM(FS21:FS24)</f>
        <v>14</v>
      </c>
      <c r="FT62" s="82">
        <f t="shared" si="923"/>
        <v>75.878594249201285</v>
      </c>
      <c r="FU62" s="84">
        <f t="shared" si="924"/>
        <v>3.577142857142857</v>
      </c>
      <c r="FW62" s="91">
        <f>SUM(FW21:FW24)</f>
        <v>2100</v>
      </c>
      <c r="FX62" s="82">
        <f>SUM(FX21:FX24)</f>
        <v>26.2</v>
      </c>
      <c r="FY62" s="371">
        <f>SUM(FY21:FY24)</f>
        <v>7</v>
      </c>
      <c r="FZ62" s="369">
        <f t="shared" si="925"/>
        <v>80.152671755725194</v>
      </c>
      <c r="GA62" s="370">
        <f t="shared" si="926"/>
        <v>3.7428571428571429</v>
      </c>
      <c r="GC62" s="91">
        <f>SUM(GC21:GC24)</f>
        <v>2250</v>
      </c>
      <c r="GD62" s="369">
        <f>SUM(GD21:GD24)</f>
        <v>15.41</v>
      </c>
      <c r="GE62" s="371">
        <f>SUM(GE21:GE24)</f>
        <v>10</v>
      </c>
      <c r="GF62" s="369">
        <f t="shared" si="927"/>
        <v>146.00908500973395</v>
      </c>
      <c r="GG62" s="370">
        <f t="shared" si="928"/>
        <v>1.5409999999999999</v>
      </c>
      <c r="GI62" s="91">
        <f>SUM(GI21:GI24)</f>
        <v>5880</v>
      </c>
      <c r="GJ62" s="82">
        <f>SUM(GJ21:GJ24)</f>
        <v>57.32</v>
      </c>
      <c r="GK62" s="79">
        <f>SUM(GK21:GK24)</f>
        <v>16</v>
      </c>
      <c r="GL62" s="82">
        <f t="shared" si="929"/>
        <v>102.58199581297976</v>
      </c>
      <c r="GM62" s="84">
        <f t="shared" si="930"/>
        <v>3.5825</v>
      </c>
      <c r="GO62" s="91">
        <f>SUM(GO21:GO24)</f>
        <v>7500</v>
      </c>
      <c r="GP62" s="82">
        <f>SUM(GP21:GP24)</f>
        <v>74.149999999999991</v>
      </c>
      <c r="GQ62" s="371">
        <f>SUM(GQ21:GQ24)</f>
        <v>17</v>
      </c>
      <c r="GR62" s="369">
        <f t="shared" si="931"/>
        <v>101.14632501685773</v>
      </c>
      <c r="GS62" s="370">
        <f t="shared" si="932"/>
        <v>4.3617647058823525</v>
      </c>
      <c r="GU62" s="91">
        <f>SUM(GU21:GU24)</f>
        <v>1550</v>
      </c>
      <c r="GV62" s="82">
        <f>SUM(GV21:GV24)</f>
        <v>5.54</v>
      </c>
      <c r="GW62" s="79">
        <f>SUM(GW21:GW24)</f>
        <v>5</v>
      </c>
      <c r="GX62" s="82">
        <f t="shared" si="933"/>
        <v>279.78339350180505</v>
      </c>
      <c r="GY62" s="84">
        <f t="shared" si="934"/>
        <v>1.1080000000000001</v>
      </c>
      <c r="HA62" s="91">
        <f>SUM(HA21:HA24)</f>
        <v>2500</v>
      </c>
      <c r="HB62" s="82">
        <f>SUM(HB21:HB24)</f>
        <v>12.45</v>
      </c>
      <c r="HC62" s="79">
        <f>SUM(HC21:HC24)</f>
        <v>5</v>
      </c>
      <c r="HD62" s="369">
        <f t="shared" si="935"/>
        <v>200.80321285140565</v>
      </c>
      <c r="HE62" s="370">
        <f t="shared" si="936"/>
        <v>2.4899999999999998</v>
      </c>
      <c r="HG62" s="91">
        <f>SUM(HG21:HG24)</f>
        <v>4450</v>
      </c>
      <c r="HH62" s="82">
        <f>SUM(HH21:HH24)</f>
        <v>60.589999999999996</v>
      </c>
      <c r="HI62" s="79">
        <f>SUM(HI21:HI24)</f>
        <v>15</v>
      </c>
      <c r="HJ62" s="82">
        <f t="shared" si="937"/>
        <v>73.444462782637402</v>
      </c>
      <c r="HK62" s="84">
        <f t="shared" si="938"/>
        <v>4.0393333333333334</v>
      </c>
      <c r="HM62" s="91">
        <f>SUM(HM21:HM24)</f>
        <v>1600</v>
      </c>
      <c r="HN62" s="82">
        <f>SUM(HN21:HN24)</f>
        <v>10.130000000000001</v>
      </c>
      <c r="HO62" s="79">
        <f>SUM(HO21:HO24)</f>
        <v>5</v>
      </c>
      <c r="HP62" s="369">
        <f t="shared" si="939"/>
        <v>157.9466929911155</v>
      </c>
      <c r="HQ62" s="370">
        <f t="shared" si="940"/>
        <v>2.0260000000000002</v>
      </c>
      <c r="HS62" s="91">
        <f>SUM(HS21:HS24)</f>
        <v>0</v>
      </c>
      <c r="HT62" s="82">
        <f>SUM(HT21:HT24)</f>
        <v>0</v>
      </c>
      <c r="HU62" s="371">
        <f>SUM(HU21:HU24)</f>
        <v>0</v>
      </c>
      <c r="HV62" s="361" t="e">
        <f>HS62/HT62</f>
        <v>#DIV/0!</v>
      </c>
      <c r="HW62" s="362" t="e">
        <f>HT62/HU62</f>
        <v>#DIV/0!</v>
      </c>
      <c r="HX62" s="178"/>
      <c r="HY62" s="91">
        <f>SUM(HY21:HY24)</f>
        <v>2950</v>
      </c>
      <c r="HZ62" s="82">
        <f>SUM(HZ21:HZ24)</f>
        <v>34.49</v>
      </c>
      <c r="IA62" s="371">
        <f>SUM(IA21:IA24)</f>
        <v>8</v>
      </c>
      <c r="IB62" s="369">
        <f t="shared" si="943"/>
        <v>85.53203827196289</v>
      </c>
      <c r="IC62" s="370">
        <f t="shared" si="944"/>
        <v>4.3112500000000002</v>
      </c>
      <c r="IE62" s="91">
        <f>SUM(IE21:IE24)</f>
        <v>4080</v>
      </c>
      <c r="IF62" s="82">
        <f>SUM(IF21:IF24)</f>
        <v>61.03</v>
      </c>
      <c r="IG62" s="79">
        <f>SUM(IG21:IG24)</f>
        <v>15</v>
      </c>
      <c r="IH62" s="82">
        <f t="shared" si="945"/>
        <v>66.852367688022284</v>
      </c>
      <c r="II62" s="84">
        <f t="shared" si="946"/>
        <v>4.0686666666666671</v>
      </c>
      <c r="IK62" s="91">
        <f>SUM(IK21:IK24)</f>
        <v>4800</v>
      </c>
      <c r="IL62" s="82">
        <f>SUM(IL21:IL24)</f>
        <v>73.039999999999992</v>
      </c>
      <c r="IM62" s="79">
        <f>SUM(IM21:IM24)</f>
        <v>17</v>
      </c>
      <c r="IN62" s="82">
        <f t="shared" si="947"/>
        <v>65.71741511500548</v>
      </c>
      <c r="IO62" s="84">
        <f t="shared" si="948"/>
        <v>4.2964705882352936</v>
      </c>
      <c r="IQ62" s="91">
        <f>SUM(IQ21:IQ24)</f>
        <v>1400</v>
      </c>
      <c r="IR62" s="82">
        <f>SUM(IR21:IR24)</f>
        <v>14.07</v>
      </c>
      <c r="IS62" s="79">
        <f>SUM(IS21:IS24)</f>
        <v>10</v>
      </c>
      <c r="IT62" s="82">
        <f t="shared" si="949"/>
        <v>99.502487562189046</v>
      </c>
      <c r="IU62" s="84">
        <f t="shared" si="950"/>
        <v>1.407</v>
      </c>
      <c r="IW62" s="91">
        <f>SUM(IW21:IW24)</f>
        <v>3900</v>
      </c>
      <c r="IX62" s="82">
        <f>SUM(IX21:IX24)</f>
        <v>39</v>
      </c>
      <c r="IY62" s="79">
        <f>SUM(IY21:IY24)</f>
        <v>15</v>
      </c>
      <c r="IZ62" s="82">
        <f t="shared" si="951"/>
        <v>100</v>
      </c>
      <c r="JA62" s="84">
        <f t="shared" si="952"/>
        <v>2.6</v>
      </c>
      <c r="JC62" s="91">
        <f>SUM(JC21:JC24)</f>
        <v>2250</v>
      </c>
      <c r="JD62" s="82">
        <f>SUM(JD21:JD24)</f>
        <v>40.42</v>
      </c>
      <c r="JE62" s="79">
        <f>SUM(JE21:JE24)</f>
        <v>7</v>
      </c>
      <c r="JF62" s="82">
        <f t="shared" si="953"/>
        <v>55.665512122711526</v>
      </c>
      <c r="JG62" s="84">
        <f t="shared" si="954"/>
        <v>5.7742857142857149</v>
      </c>
      <c r="JI62" s="91">
        <f>SUM(JI21:JI24)</f>
        <v>5150</v>
      </c>
      <c r="JJ62" s="82">
        <f>SUM(JJ21:JJ24)</f>
        <v>78.12</v>
      </c>
      <c r="JK62" s="79">
        <f>SUM(JK21:JK24)</f>
        <v>15</v>
      </c>
      <c r="JL62" s="82">
        <f t="shared" si="955"/>
        <v>65.924219150025593</v>
      </c>
      <c r="JM62" s="84">
        <f t="shared" si="956"/>
        <v>5.2080000000000002</v>
      </c>
      <c r="JO62" s="91">
        <f>SUM(JO21:JO24)</f>
        <v>3000</v>
      </c>
      <c r="JP62" s="82">
        <f>SUM(JP21:JP24)</f>
        <v>16</v>
      </c>
      <c r="JQ62" s="79">
        <f>SUM(JQ21:JQ24)</f>
        <v>10</v>
      </c>
      <c r="JR62" s="82">
        <f t="shared" si="957"/>
        <v>187.5</v>
      </c>
      <c r="JS62" s="84">
        <f t="shared" si="958"/>
        <v>1.6</v>
      </c>
      <c r="JU62" s="379">
        <f>SUM(JU21:JU24)</f>
        <v>3400</v>
      </c>
      <c r="JV62" s="369">
        <f>SUM(JV21:JV24)</f>
        <v>34.72</v>
      </c>
      <c r="JW62" s="79">
        <f>SUM(JW21:JW24)</f>
        <v>10</v>
      </c>
      <c r="JX62" s="369">
        <f t="shared" si="959"/>
        <v>97.926267281105993</v>
      </c>
      <c r="JY62" s="84">
        <f t="shared" si="960"/>
        <v>3.472</v>
      </c>
      <c r="KA62" s="91">
        <f>SUM(KA21:KA24)</f>
        <v>2200</v>
      </c>
      <c r="KB62" s="82">
        <f>SUM(KB21:KB24)</f>
        <v>21.65</v>
      </c>
      <c r="KC62" s="82">
        <f>SUM(KC21:KC24)</f>
        <v>10</v>
      </c>
      <c r="KD62" s="369">
        <f t="shared" si="961"/>
        <v>101.61662817551964</v>
      </c>
      <c r="KE62" s="84">
        <f t="shared" si="962"/>
        <v>2.165</v>
      </c>
      <c r="KG62" s="91">
        <f>SUM(KG21:KG24)</f>
        <v>800</v>
      </c>
      <c r="KH62" s="82">
        <f>SUM(KH21:KH24)</f>
        <v>4.49</v>
      </c>
      <c r="KI62" s="82">
        <f>SUM(KI21:KI24)</f>
        <v>5</v>
      </c>
      <c r="KJ62" s="369">
        <f t="shared" si="963"/>
        <v>178.17371937639197</v>
      </c>
      <c r="KK62" s="84">
        <f t="shared" si="964"/>
        <v>0.89800000000000002</v>
      </c>
      <c r="KM62" s="91">
        <f>SUM(KM21:KM24)</f>
        <v>3050</v>
      </c>
      <c r="KN62" s="82">
        <f>SUM(KN21:KN24)</f>
        <v>24.090000000000003</v>
      </c>
      <c r="KO62" s="82">
        <f>SUM(KO21:KO24)</f>
        <v>11</v>
      </c>
      <c r="KP62" s="369">
        <f t="shared" si="965"/>
        <v>126.6085512660855</v>
      </c>
      <c r="KQ62" s="84">
        <f t="shared" si="966"/>
        <v>2.1900000000000004</v>
      </c>
      <c r="KS62" s="91">
        <f>SUM(KS21:KS24)</f>
        <v>7650</v>
      </c>
      <c r="KT62" s="82">
        <f>SUM(KT21:KT24)</f>
        <v>65.59</v>
      </c>
      <c r="KU62" s="82">
        <f>SUM(KU21:KU24)</f>
        <v>15</v>
      </c>
      <c r="KV62" s="369">
        <f t="shared" si="967"/>
        <v>116.63363317578899</v>
      </c>
      <c r="KW62" s="84">
        <f t="shared" si="968"/>
        <v>4.3726666666666665</v>
      </c>
      <c r="KY62" s="91">
        <f>SUM(KY21:KY24)</f>
        <v>0</v>
      </c>
      <c r="KZ62" s="82">
        <f>SUM(KZ21:KZ24)</f>
        <v>0</v>
      </c>
      <c r="LA62" s="82">
        <f>SUM(LA21:LA24)</f>
        <v>0</v>
      </c>
      <c r="LB62" s="369" t="e">
        <f t="shared" si="969"/>
        <v>#DIV/0!</v>
      </c>
      <c r="LC62" s="84" t="e">
        <f t="shared" si="970"/>
        <v>#DIV/0!</v>
      </c>
      <c r="LE62" s="91">
        <f>SUM(LE21:LE24)</f>
        <v>0</v>
      </c>
      <c r="LF62" s="82">
        <f>SUM(LF21:LF24)</f>
        <v>0</v>
      </c>
      <c r="LG62" s="82">
        <f>SUM(LG21:LG24)</f>
        <v>0</v>
      </c>
      <c r="LH62" s="369" t="e">
        <f t="shared" si="971"/>
        <v>#DIV/0!</v>
      </c>
      <c r="LI62" s="84" t="e">
        <f t="shared" si="972"/>
        <v>#DIV/0!</v>
      </c>
      <c r="LK62" s="91">
        <f>SUM(LK21:LK24)</f>
        <v>1000</v>
      </c>
      <c r="LL62" s="82">
        <f>SUM(LL21:LL24)</f>
        <v>5.3500000000000005</v>
      </c>
      <c r="LM62" s="82">
        <f>SUM(LM21:LM24)</f>
        <v>5</v>
      </c>
      <c r="LN62" s="369">
        <f t="shared" si="973"/>
        <v>186.91588785046727</v>
      </c>
      <c r="LO62" s="84">
        <f t="shared" si="974"/>
        <v>1.07</v>
      </c>
      <c r="LQ62" s="91">
        <f>SUM(LQ21:LQ24)</f>
        <v>0</v>
      </c>
      <c r="LR62" s="82">
        <f>SUM(LR21:LR24)</f>
        <v>0</v>
      </c>
      <c r="LS62" s="82">
        <f>SUM(LS21:LS24)</f>
        <v>0</v>
      </c>
      <c r="LT62" s="369" t="e">
        <f t="shared" si="975"/>
        <v>#DIV/0!</v>
      </c>
      <c r="LU62" s="84" t="e">
        <f t="shared" si="976"/>
        <v>#DIV/0!</v>
      </c>
      <c r="LW62" s="91">
        <f>SUM(LW21:LW24)</f>
        <v>300</v>
      </c>
      <c r="LX62" s="82">
        <f>SUM(LX21:LX24)</f>
        <v>3.83</v>
      </c>
      <c r="LY62" s="82">
        <f>SUM(LY21:LY24)</f>
        <v>3</v>
      </c>
      <c r="LZ62" s="369">
        <f t="shared" si="977"/>
        <v>78.32898172323759</v>
      </c>
      <c r="MA62" s="84">
        <f t="shared" si="978"/>
        <v>1.2766666666666666</v>
      </c>
      <c r="MC62" s="91">
        <f>SUM(MC21:MC24)</f>
        <v>800</v>
      </c>
      <c r="MD62" s="82">
        <f>SUM(MD21:MD24)</f>
        <v>7.8</v>
      </c>
      <c r="ME62" s="82">
        <f>SUM(ME21:ME24)</f>
        <v>5</v>
      </c>
      <c r="MF62" s="369">
        <f t="shared" si="979"/>
        <v>102.56410256410257</v>
      </c>
      <c r="MG62" s="84">
        <f t="shared" si="980"/>
        <v>1.56</v>
      </c>
      <c r="MI62" s="91">
        <f>SUM(MI21:MI24)</f>
        <v>900</v>
      </c>
      <c r="MJ62" s="82">
        <f>SUM(MJ21:MJ24)</f>
        <v>16.11</v>
      </c>
      <c r="MK62" s="82">
        <f>SUM(MK21:MK24)</f>
        <v>7</v>
      </c>
      <c r="ML62" s="369">
        <f t="shared" si="981"/>
        <v>55.865921787709496</v>
      </c>
      <c r="MM62" s="84">
        <f t="shared" si="982"/>
        <v>2.3014285714285712</v>
      </c>
      <c r="MO62" s="91">
        <f>SUM(MO21:MO24)</f>
        <v>0</v>
      </c>
      <c r="MP62" s="82">
        <f>SUM(MP21:MP24)</f>
        <v>0</v>
      </c>
      <c r="MQ62" s="82">
        <f>SUM(MQ21:MQ24)</f>
        <v>0</v>
      </c>
      <c r="MR62" s="369" t="e">
        <f t="shared" si="983"/>
        <v>#DIV/0!</v>
      </c>
      <c r="MS62" s="84" t="e">
        <f t="shared" si="984"/>
        <v>#DIV/0!</v>
      </c>
      <c r="MU62" s="91">
        <f>SUM(MU21:MU24)</f>
        <v>0</v>
      </c>
      <c r="MV62" s="82">
        <f>SUM(MV21:MV24)</f>
        <v>0</v>
      </c>
      <c r="MW62" s="82">
        <f>SUM(MW21:MW24)</f>
        <v>0</v>
      </c>
      <c r="MX62" s="369" t="e">
        <f t="shared" si="985"/>
        <v>#DIV/0!</v>
      </c>
      <c r="MY62" s="84" t="e">
        <f t="shared" si="986"/>
        <v>#DIV/0!</v>
      </c>
      <c r="NA62" s="383">
        <f>SUM(NA21:NA24)</f>
        <v>4150</v>
      </c>
      <c r="NB62" s="748">
        <f>SUM(NB21:NB24)</f>
        <v>61.09</v>
      </c>
      <c r="NC62" s="748">
        <f>SUM(NC21:NC24)</f>
        <v>15</v>
      </c>
      <c r="ND62" s="369">
        <f t="shared" si="987"/>
        <v>67.932558520216077</v>
      </c>
      <c r="NE62" s="84">
        <f t="shared" si="988"/>
        <v>4.0726666666666667</v>
      </c>
      <c r="NG62" s="91">
        <f>SUM(NG21:NG24)</f>
        <v>1900</v>
      </c>
      <c r="NH62" s="82">
        <f>SUM(NH21:NH24)</f>
        <v>17.009999999999998</v>
      </c>
      <c r="NI62" s="82">
        <f>SUM(NI21:NI24)</f>
        <v>10</v>
      </c>
      <c r="NJ62" s="369">
        <f t="shared" si="989"/>
        <v>111.69900058788949</v>
      </c>
      <c r="NK62" s="84">
        <f t="shared" si="990"/>
        <v>1.7009999999999998</v>
      </c>
      <c r="NM62" s="91">
        <f>SUM(NM21:NM24)</f>
        <v>2050</v>
      </c>
      <c r="NN62" s="82">
        <f>SUM(NN21:NN24)</f>
        <v>38.450000000000003</v>
      </c>
      <c r="NO62" s="82">
        <f>SUM(NO21:NO24)</f>
        <v>12</v>
      </c>
      <c r="NP62" s="369">
        <f t="shared" si="991"/>
        <v>53.315994798439526</v>
      </c>
      <c r="NQ62" s="84">
        <f t="shared" si="992"/>
        <v>3.2041666666666671</v>
      </c>
      <c r="NS62" s="91">
        <f>SUM(NS21:NS24)</f>
        <v>3700</v>
      </c>
      <c r="NT62" s="82">
        <f>SUM(NT21:NT24)</f>
        <v>54.769999999999996</v>
      </c>
      <c r="NU62" s="82">
        <f>SUM(NU21:NU24)</f>
        <v>15</v>
      </c>
      <c r="NV62" s="369">
        <f t="shared" si="993"/>
        <v>67.55523096585722</v>
      </c>
      <c r="NW62" s="84">
        <f t="shared" si="994"/>
        <v>3.6513333333333331</v>
      </c>
      <c r="NY62" s="91">
        <f>SUM(NY21:NY24)</f>
        <v>7400</v>
      </c>
      <c r="NZ62" s="82">
        <f>SUM(NZ21:NZ24)</f>
        <v>114.45</v>
      </c>
      <c r="OA62" s="82">
        <f>SUM(OA21:OA24)</f>
        <v>20</v>
      </c>
      <c r="OB62" s="369">
        <f t="shared" si="995"/>
        <v>64.657055482743559</v>
      </c>
      <c r="OC62" s="84">
        <f t="shared" si="996"/>
        <v>5.7225000000000001</v>
      </c>
      <c r="OE62" s="91">
        <f>SUM(OE21:OE24)</f>
        <v>1350</v>
      </c>
      <c r="OF62" s="82">
        <f>SUM(OF21:OF24)</f>
        <v>11.28</v>
      </c>
      <c r="OG62" s="82">
        <f>SUM(OG21:OG24)</f>
        <v>5</v>
      </c>
      <c r="OH62" s="369">
        <f t="shared" si="997"/>
        <v>119.68085106382979</v>
      </c>
      <c r="OI62" s="84">
        <f t="shared" si="998"/>
        <v>2.2559999999999998</v>
      </c>
    </row>
    <row r="63" spans="1:399">
      <c r="A63" s="55"/>
      <c r="B63" s="59" t="s">
        <v>31</v>
      </c>
      <c r="C63" s="60"/>
      <c r="D63" s="58" t="s">
        <v>14</v>
      </c>
      <c r="E63" s="79">
        <f t="shared" ref="E63:G64" si="1000">E25</f>
        <v>700</v>
      </c>
      <c r="F63" s="82">
        <f t="shared" si="1000"/>
        <v>8.16</v>
      </c>
      <c r="G63" s="79">
        <f t="shared" si="1000"/>
        <v>5</v>
      </c>
      <c r="H63" s="82">
        <f t="shared" si="867"/>
        <v>85.784313725490193</v>
      </c>
      <c r="I63" s="84">
        <f t="shared" si="868"/>
        <v>1.6320000000000001</v>
      </c>
      <c r="J63" s="589"/>
      <c r="K63" s="79">
        <f t="shared" ref="K63:M64" si="1001">K25</f>
        <v>1000</v>
      </c>
      <c r="L63" s="82">
        <f t="shared" si="1001"/>
        <v>11.21</v>
      </c>
      <c r="M63" s="79">
        <f t="shared" si="1001"/>
        <v>5</v>
      </c>
      <c r="N63" s="82">
        <f t="shared" si="869"/>
        <v>89.206066012488847</v>
      </c>
      <c r="O63" s="84">
        <f t="shared" si="870"/>
        <v>2.242</v>
      </c>
      <c r="P63" s="589"/>
      <c r="Q63" s="79">
        <f t="shared" ref="Q63:S64" si="1002">Q25</f>
        <v>0</v>
      </c>
      <c r="R63" s="82">
        <f t="shared" si="1002"/>
        <v>0</v>
      </c>
      <c r="S63" s="79">
        <f t="shared" si="1002"/>
        <v>0</v>
      </c>
      <c r="T63" s="82" t="e">
        <f t="shared" si="871"/>
        <v>#DIV/0!</v>
      </c>
      <c r="U63" s="84" t="e">
        <f t="shared" si="872"/>
        <v>#DIV/0!</v>
      </c>
      <c r="V63" s="589"/>
      <c r="W63" s="79">
        <f t="shared" ref="W63:Y64" si="1003">W25</f>
        <v>500</v>
      </c>
      <c r="X63" s="82">
        <f t="shared" si="1003"/>
        <v>5.6099999999999994</v>
      </c>
      <c r="Y63" s="79">
        <f t="shared" si="1003"/>
        <v>5</v>
      </c>
      <c r="Z63" s="82">
        <f t="shared" si="873"/>
        <v>89.126559714795022</v>
      </c>
      <c r="AA63" s="84">
        <f t="shared" si="874"/>
        <v>1.1219999999999999</v>
      </c>
      <c r="AB63" s="589"/>
      <c r="AC63" s="79">
        <f t="shared" ref="AC63:AE64" si="1004">AC25</f>
        <v>0</v>
      </c>
      <c r="AD63" s="82">
        <f t="shared" si="1004"/>
        <v>0</v>
      </c>
      <c r="AE63" s="79">
        <f t="shared" si="1004"/>
        <v>0</v>
      </c>
      <c r="AF63" s="82" t="e">
        <f t="shared" si="875"/>
        <v>#DIV/0!</v>
      </c>
      <c r="AG63" s="84" t="e">
        <f t="shared" si="876"/>
        <v>#DIV/0!</v>
      </c>
      <c r="AH63" s="589"/>
      <c r="AI63" s="79">
        <f t="shared" ref="AI63:AK64" si="1005">AI25</f>
        <v>0</v>
      </c>
      <c r="AJ63" s="82">
        <f t="shared" si="1005"/>
        <v>0</v>
      </c>
      <c r="AK63" s="79">
        <f t="shared" si="1005"/>
        <v>0</v>
      </c>
      <c r="AL63" s="82" t="e">
        <f t="shared" si="877"/>
        <v>#DIV/0!</v>
      </c>
      <c r="AM63" s="84" t="e">
        <f t="shared" si="878"/>
        <v>#DIV/0!</v>
      </c>
      <c r="AN63" s="589"/>
      <c r="AO63" s="79">
        <f t="shared" ref="AO63:AQ64" si="1006">AO25</f>
        <v>800</v>
      </c>
      <c r="AP63" s="82">
        <f t="shared" si="1006"/>
        <v>6.94</v>
      </c>
      <c r="AQ63" s="79">
        <f t="shared" si="1006"/>
        <v>5</v>
      </c>
      <c r="AR63" s="82">
        <f t="shared" si="879"/>
        <v>115.27377521613832</v>
      </c>
      <c r="AS63" s="84">
        <f t="shared" si="880"/>
        <v>1.3880000000000001</v>
      </c>
      <c r="AT63" s="589"/>
      <c r="AU63" s="79">
        <f t="shared" ref="AU63:AW64" si="1007">AU25</f>
        <v>1050</v>
      </c>
      <c r="AV63" s="82">
        <f t="shared" si="1007"/>
        <v>9.48</v>
      </c>
      <c r="AW63" s="79">
        <f t="shared" si="1007"/>
        <v>5</v>
      </c>
      <c r="AX63" s="82">
        <f t="shared" si="881"/>
        <v>110.75949367088607</v>
      </c>
      <c r="AY63" s="84">
        <f t="shared" si="882"/>
        <v>1.8960000000000001</v>
      </c>
      <c r="AZ63" s="84"/>
      <c r="BA63" s="79">
        <f t="shared" ref="BA63:BC64" si="1008">BA25</f>
        <v>400</v>
      </c>
      <c r="BB63" s="82">
        <f t="shared" si="1008"/>
        <v>8.8699999999999992</v>
      </c>
      <c r="BC63" s="79">
        <f t="shared" si="1008"/>
        <v>5</v>
      </c>
      <c r="BD63" s="82">
        <f t="shared" si="883"/>
        <v>45.095828635851191</v>
      </c>
      <c r="BE63" s="84">
        <f t="shared" si="884"/>
        <v>1.7739999999999998</v>
      </c>
      <c r="BF63" s="84"/>
      <c r="BG63" s="79">
        <f t="shared" ref="BG63:BI64" si="1009">BG25</f>
        <v>0</v>
      </c>
      <c r="BH63" s="82">
        <f t="shared" si="1009"/>
        <v>0</v>
      </c>
      <c r="BI63" s="79">
        <f t="shared" si="1009"/>
        <v>0</v>
      </c>
      <c r="BJ63" s="82" t="e">
        <f t="shared" si="885"/>
        <v>#DIV/0!</v>
      </c>
      <c r="BK63" s="84" t="e">
        <f t="shared" si="886"/>
        <v>#DIV/0!</v>
      </c>
      <c r="BL63" s="84"/>
      <c r="BM63" s="79">
        <f t="shared" ref="BM63:BO64" si="1010">BM25</f>
        <v>0</v>
      </c>
      <c r="BN63" s="82">
        <f t="shared" si="1010"/>
        <v>0</v>
      </c>
      <c r="BO63" s="79">
        <f t="shared" si="1010"/>
        <v>0</v>
      </c>
      <c r="BP63" s="82" t="e">
        <f t="shared" si="887"/>
        <v>#DIV/0!</v>
      </c>
      <c r="BQ63" s="84" t="e">
        <f t="shared" si="888"/>
        <v>#DIV/0!</v>
      </c>
      <c r="BR63" s="589"/>
      <c r="BS63" s="79">
        <f t="shared" ref="BS63:BU64" si="1011">BS25</f>
        <v>330</v>
      </c>
      <c r="BT63" s="82">
        <f t="shared" si="1011"/>
        <v>8.14</v>
      </c>
      <c r="BU63" s="79">
        <f t="shared" si="1011"/>
        <v>5</v>
      </c>
      <c r="BV63" s="82">
        <f t="shared" si="889"/>
        <v>40.54054054054054</v>
      </c>
      <c r="BW63" s="84">
        <f t="shared" si="890"/>
        <v>1.6280000000000001</v>
      </c>
      <c r="BX63" s="84"/>
      <c r="BY63" s="79">
        <f t="shared" ref="BY63:CA64" si="1012">BY25</f>
        <v>450</v>
      </c>
      <c r="BZ63" s="82">
        <f t="shared" si="1012"/>
        <v>9.48</v>
      </c>
      <c r="CA63" s="79">
        <f t="shared" si="1012"/>
        <v>5</v>
      </c>
      <c r="CB63" s="82">
        <f t="shared" si="891"/>
        <v>47.468354430379748</v>
      </c>
      <c r="CC63" s="84">
        <f t="shared" si="892"/>
        <v>1.8960000000000001</v>
      </c>
      <c r="CD63" s="84"/>
      <c r="CE63" s="79">
        <f t="shared" ref="CE63:CG64" si="1013">CE25</f>
        <v>4715</v>
      </c>
      <c r="CF63" s="82">
        <f t="shared" si="1013"/>
        <v>32</v>
      </c>
      <c r="CG63" s="79">
        <f t="shared" si="1013"/>
        <v>5</v>
      </c>
      <c r="CH63" s="82">
        <f t="shared" si="893"/>
        <v>147.34375</v>
      </c>
      <c r="CI63" s="84">
        <f t="shared" si="894"/>
        <v>6.4</v>
      </c>
      <c r="CJ63" s="84"/>
      <c r="CK63" s="79">
        <f t="shared" ref="CK63:CM64" si="1014">CK25</f>
        <v>620</v>
      </c>
      <c r="CL63" s="82">
        <f t="shared" si="1014"/>
        <v>7.99</v>
      </c>
      <c r="CM63" s="79">
        <f t="shared" si="1014"/>
        <v>5</v>
      </c>
      <c r="CN63" s="82">
        <f t="shared" si="895"/>
        <v>77.596996245306627</v>
      </c>
      <c r="CO63" s="84">
        <f t="shared" si="896"/>
        <v>1.5980000000000001</v>
      </c>
      <c r="CP63" s="84"/>
      <c r="CQ63" s="79">
        <f t="shared" ref="CQ63:CS64" si="1015">CQ25</f>
        <v>0</v>
      </c>
      <c r="CR63" s="82">
        <f t="shared" si="1015"/>
        <v>0</v>
      </c>
      <c r="CS63" s="79">
        <f t="shared" si="1015"/>
        <v>0</v>
      </c>
      <c r="CT63" s="82" t="e">
        <f t="shared" si="897"/>
        <v>#DIV/0!</v>
      </c>
      <c r="CU63" s="84" t="e">
        <f t="shared" si="898"/>
        <v>#DIV/0!</v>
      </c>
      <c r="CV63" s="84"/>
      <c r="CW63" s="79">
        <f t="shared" ref="CW63:CY64" si="1016">CW25</f>
        <v>450</v>
      </c>
      <c r="CX63" s="82">
        <f t="shared" si="1016"/>
        <v>9.48</v>
      </c>
      <c r="CY63" s="79">
        <f t="shared" si="1016"/>
        <v>5</v>
      </c>
      <c r="CZ63" s="82">
        <f t="shared" si="899"/>
        <v>47.468354430379748</v>
      </c>
      <c r="DA63" s="84">
        <f t="shared" si="900"/>
        <v>1.8960000000000001</v>
      </c>
      <c r="DB63" s="84"/>
      <c r="DC63" s="79">
        <f t="shared" ref="DC63:DE64" si="1017">DC25</f>
        <v>550</v>
      </c>
      <c r="DD63" s="82">
        <f t="shared" si="1017"/>
        <v>6.2899999999999991</v>
      </c>
      <c r="DE63" s="79">
        <f t="shared" si="1017"/>
        <v>5</v>
      </c>
      <c r="DF63" s="82">
        <f t="shared" si="901"/>
        <v>87.440381558028633</v>
      </c>
      <c r="DG63" s="84">
        <f t="shared" si="902"/>
        <v>1.2579999999999998</v>
      </c>
      <c r="DH63" s="84"/>
      <c r="DI63" s="79">
        <f t="shared" ref="DI63:DK64" si="1018">DI25</f>
        <v>750</v>
      </c>
      <c r="DJ63" s="82">
        <f t="shared" si="1018"/>
        <v>5.47</v>
      </c>
      <c r="DK63" s="79">
        <f t="shared" si="1018"/>
        <v>5</v>
      </c>
      <c r="DL63" s="82">
        <f t="shared" si="903"/>
        <v>137.11151736745887</v>
      </c>
      <c r="DM63" s="84">
        <f t="shared" si="904"/>
        <v>1.0939999999999999</v>
      </c>
      <c r="DN63" s="84"/>
      <c r="DO63" s="79">
        <f t="shared" ref="DO63:DQ64" si="1019">DO25</f>
        <v>650</v>
      </c>
      <c r="DP63" s="82">
        <f t="shared" si="1019"/>
        <v>6.33</v>
      </c>
      <c r="DQ63" s="79">
        <f t="shared" si="1019"/>
        <v>5</v>
      </c>
      <c r="DR63" s="82">
        <f t="shared" si="905"/>
        <v>102.68562401263823</v>
      </c>
      <c r="DS63" s="84">
        <f t="shared" si="906"/>
        <v>1.266</v>
      </c>
      <c r="DT63" s="84"/>
      <c r="DU63" s="79">
        <f t="shared" ref="DU63:DW64" si="1020">DU25</f>
        <v>0</v>
      </c>
      <c r="DV63" s="82">
        <f t="shared" si="1020"/>
        <v>0</v>
      </c>
      <c r="DW63" s="79">
        <f t="shared" si="1020"/>
        <v>0</v>
      </c>
      <c r="DX63" s="82" t="e">
        <f t="shared" si="907"/>
        <v>#DIV/0!</v>
      </c>
      <c r="DY63" s="84" t="e">
        <f t="shared" si="908"/>
        <v>#DIV/0!</v>
      </c>
      <c r="DZ63" s="84"/>
      <c r="EA63" s="79">
        <f t="shared" ref="EA63:EC64" si="1021">EA25</f>
        <v>0</v>
      </c>
      <c r="EB63" s="82">
        <f t="shared" si="1021"/>
        <v>0</v>
      </c>
      <c r="EC63" s="79">
        <f t="shared" si="1021"/>
        <v>0</v>
      </c>
      <c r="ED63" s="82" t="e">
        <f t="shared" si="909"/>
        <v>#DIV/0!</v>
      </c>
      <c r="EE63" s="84" t="e">
        <f t="shared" si="910"/>
        <v>#DIV/0!</v>
      </c>
      <c r="EF63" s="84"/>
      <c r="EG63" s="79">
        <f t="shared" ref="EG63:EI64" si="1022">EG25</f>
        <v>0</v>
      </c>
      <c r="EH63" s="82">
        <f t="shared" si="1022"/>
        <v>0</v>
      </c>
      <c r="EI63" s="79">
        <f t="shared" si="1022"/>
        <v>0</v>
      </c>
      <c r="EJ63" s="82" t="e">
        <f t="shared" si="911"/>
        <v>#DIV/0!</v>
      </c>
      <c r="EK63" s="84" t="e">
        <f t="shared" si="912"/>
        <v>#DIV/0!</v>
      </c>
      <c r="EL63" s="84"/>
      <c r="EM63" s="79">
        <f t="shared" ref="EM63:EO64" si="1023">EM25</f>
        <v>0</v>
      </c>
      <c r="EN63" s="82">
        <f t="shared" si="1023"/>
        <v>0</v>
      </c>
      <c r="EO63" s="79">
        <f t="shared" si="1023"/>
        <v>0</v>
      </c>
      <c r="EP63" s="82" t="e">
        <f t="shared" si="913"/>
        <v>#DIV/0!</v>
      </c>
      <c r="EQ63" s="84" t="e">
        <f t="shared" si="914"/>
        <v>#DIV/0!</v>
      </c>
      <c r="ER63" s="589"/>
      <c r="ES63" s="79">
        <f t="shared" ref="ES63:EU64" si="1024">ES25</f>
        <v>450</v>
      </c>
      <c r="ET63" s="82">
        <f t="shared" si="1024"/>
        <v>9.48</v>
      </c>
      <c r="EU63" s="79">
        <f t="shared" si="1024"/>
        <v>5</v>
      </c>
      <c r="EV63" s="82">
        <f t="shared" si="915"/>
        <v>47.468354430379748</v>
      </c>
      <c r="EW63" s="84">
        <f t="shared" si="916"/>
        <v>1.8960000000000001</v>
      </c>
      <c r="EY63" s="91">
        <f t="shared" ref="EY63:FA64" si="1025">EY25</f>
        <v>300</v>
      </c>
      <c r="EZ63" s="369">
        <f t="shared" si="1025"/>
        <v>7</v>
      </c>
      <c r="FA63" s="371">
        <f t="shared" si="1025"/>
        <v>5</v>
      </c>
      <c r="FB63" s="369">
        <f t="shared" si="917"/>
        <v>42.857142857142854</v>
      </c>
      <c r="FC63" s="370">
        <f t="shared" si="918"/>
        <v>1.4</v>
      </c>
      <c r="FE63" s="91">
        <f t="shared" ref="FE63:FG64" si="1026">FE25</f>
        <v>0</v>
      </c>
      <c r="FF63" s="369">
        <f t="shared" si="1026"/>
        <v>0</v>
      </c>
      <c r="FG63" s="371">
        <f t="shared" si="1026"/>
        <v>0</v>
      </c>
      <c r="FH63" s="382" t="e">
        <f t="shared" si="999"/>
        <v>#DIV/0!</v>
      </c>
      <c r="FI63" s="362" t="e">
        <f t="shared" si="999"/>
        <v>#DIV/0!</v>
      </c>
      <c r="FJ63" s="178"/>
      <c r="FK63" s="91">
        <f t="shared" ref="FK63:FM64" si="1027">FK25</f>
        <v>470</v>
      </c>
      <c r="FL63" s="82">
        <f t="shared" si="1027"/>
        <v>5.8999999999999995</v>
      </c>
      <c r="FM63" s="371">
        <f t="shared" si="1027"/>
        <v>5</v>
      </c>
      <c r="FN63" s="369">
        <f t="shared" si="921"/>
        <v>79.661016949152554</v>
      </c>
      <c r="FO63" s="370">
        <f t="shared" si="922"/>
        <v>1.18</v>
      </c>
      <c r="FQ63" s="379">
        <f t="shared" ref="FQ63:FS64" si="1028">FQ25</f>
        <v>570</v>
      </c>
      <c r="FR63" s="369">
        <f t="shared" si="1028"/>
        <v>6.12</v>
      </c>
      <c r="FS63" s="371">
        <f t="shared" si="1028"/>
        <v>5</v>
      </c>
      <c r="FT63" s="369">
        <f t="shared" si="923"/>
        <v>93.137254901960787</v>
      </c>
      <c r="FU63" s="370">
        <f t="shared" si="924"/>
        <v>1.224</v>
      </c>
      <c r="FV63" s="178"/>
      <c r="FW63" s="91">
        <f t="shared" ref="FW63:FY64" si="1029">FW25</f>
        <v>330</v>
      </c>
      <c r="FX63" s="82">
        <f t="shared" si="1029"/>
        <v>4.8100000000000005</v>
      </c>
      <c r="FY63" s="371">
        <f t="shared" si="1029"/>
        <v>5</v>
      </c>
      <c r="FZ63" s="369">
        <f t="shared" si="925"/>
        <v>68.607068607068598</v>
      </c>
      <c r="GA63" s="370">
        <f t="shared" si="926"/>
        <v>0.96200000000000008</v>
      </c>
      <c r="GC63" s="91">
        <f t="shared" ref="GC63:GE64" si="1030">GC25</f>
        <v>530</v>
      </c>
      <c r="GD63" s="369">
        <f t="shared" si="1030"/>
        <v>5.54</v>
      </c>
      <c r="GE63" s="371">
        <f t="shared" si="1030"/>
        <v>5</v>
      </c>
      <c r="GF63" s="369">
        <f t="shared" si="927"/>
        <v>95.667870036101078</v>
      </c>
      <c r="GG63" s="370">
        <f t="shared" si="928"/>
        <v>1.1080000000000001</v>
      </c>
      <c r="GI63" s="91">
        <f t="shared" ref="GI63:GK64" si="1031">GI25</f>
        <v>430</v>
      </c>
      <c r="GJ63" s="82">
        <f t="shared" si="1031"/>
        <v>5.8</v>
      </c>
      <c r="GK63" s="79">
        <f t="shared" si="1031"/>
        <v>5</v>
      </c>
      <c r="GL63" s="82">
        <f t="shared" si="929"/>
        <v>74.137931034482762</v>
      </c>
      <c r="GM63" s="84">
        <f t="shared" si="930"/>
        <v>1.1599999999999999</v>
      </c>
      <c r="GO63" s="91">
        <f t="shared" ref="GO63:GQ64" si="1032">GO25</f>
        <v>900</v>
      </c>
      <c r="GP63" s="82">
        <f t="shared" si="1032"/>
        <v>7.9399999999999995</v>
      </c>
      <c r="GQ63" s="371">
        <f t="shared" si="1032"/>
        <v>5</v>
      </c>
      <c r="GR63" s="369">
        <f t="shared" si="931"/>
        <v>113.35012594458439</v>
      </c>
      <c r="GS63" s="370">
        <f t="shared" si="932"/>
        <v>1.5879999999999999</v>
      </c>
      <c r="GU63" s="91">
        <f t="shared" ref="GU63:GW64" si="1033">GU25</f>
        <v>2600</v>
      </c>
      <c r="GV63" s="82">
        <f t="shared" si="1033"/>
        <v>6.99</v>
      </c>
      <c r="GW63" s="79">
        <f t="shared" si="1033"/>
        <v>5</v>
      </c>
      <c r="GX63" s="82">
        <f t="shared" si="933"/>
        <v>371.95994277539342</v>
      </c>
      <c r="GY63" s="84">
        <f t="shared" si="934"/>
        <v>1.3980000000000001</v>
      </c>
      <c r="HA63" s="91">
        <f t="shared" ref="HA63:HC64" si="1034">HA25</f>
        <v>0</v>
      </c>
      <c r="HB63" s="82">
        <f t="shared" si="1034"/>
        <v>0</v>
      </c>
      <c r="HC63" s="79">
        <f t="shared" si="1034"/>
        <v>0</v>
      </c>
      <c r="HD63" s="361" t="e">
        <f>HA63/HB63</f>
        <v>#DIV/0!</v>
      </c>
      <c r="HE63" s="362" t="e">
        <f>HB63/HC63</f>
        <v>#DIV/0!</v>
      </c>
      <c r="HG63" s="91">
        <f t="shared" ref="HG63:HI64" si="1035">HG25</f>
        <v>650</v>
      </c>
      <c r="HH63" s="82">
        <f t="shared" si="1035"/>
        <v>7.879999999999999</v>
      </c>
      <c r="HI63" s="79">
        <f t="shared" si="1035"/>
        <v>5</v>
      </c>
      <c r="HJ63" s="82">
        <f t="shared" si="937"/>
        <v>82.487309644670063</v>
      </c>
      <c r="HK63" s="84">
        <f t="shared" si="938"/>
        <v>1.5759999999999998</v>
      </c>
      <c r="HM63" s="91">
        <f t="shared" ref="HM63:HO64" si="1036">HM25</f>
        <v>700</v>
      </c>
      <c r="HN63" s="82">
        <f t="shared" si="1036"/>
        <v>8.16</v>
      </c>
      <c r="HO63" s="79">
        <f t="shared" si="1036"/>
        <v>5</v>
      </c>
      <c r="HP63" s="369">
        <f t="shared" si="939"/>
        <v>85.784313725490193</v>
      </c>
      <c r="HQ63" s="370">
        <f t="shared" si="940"/>
        <v>1.6320000000000001</v>
      </c>
      <c r="HS63" s="91">
        <f t="shared" ref="HS63:HU64" si="1037">HS25</f>
        <v>1000</v>
      </c>
      <c r="HT63" s="82">
        <f t="shared" si="1037"/>
        <v>11.21</v>
      </c>
      <c r="HU63" s="371">
        <f t="shared" si="1037"/>
        <v>5</v>
      </c>
      <c r="HV63" s="369">
        <f t="shared" si="941"/>
        <v>89.206066012488847</v>
      </c>
      <c r="HW63" s="370">
        <f t="shared" si="942"/>
        <v>2.242</v>
      </c>
      <c r="HX63" s="178"/>
      <c r="HY63" s="91">
        <f t="shared" ref="HY63:IA64" si="1038">HY25</f>
        <v>250</v>
      </c>
      <c r="HZ63" s="82">
        <f t="shared" si="1038"/>
        <v>2.7</v>
      </c>
      <c r="IA63" s="371">
        <f t="shared" si="1038"/>
        <v>3</v>
      </c>
      <c r="IB63" s="369">
        <f t="shared" si="943"/>
        <v>92.592592592592581</v>
      </c>
      <c r="IC63" s="370">
        <f t="shared" si="944"/>
        <v>0.9</v>
      </c>
      <c r="IE63" s="91">
        <f t="shared" ref="IE63:IG64" si="1039">IE25</f>
        <v>530</v>
      </c>
      <c r="IF63" s="82">
        <f t="shared" si="1039"/>
        <v>5.84</v>
      </c>
      <c r="IG63" s="371">
        <f t="shared" si="1039"/>
        <v>5</v>
      </c>
      <c r="IH63" s="369">
        <f t="shared" si="945"/>
        <v>90.753424657534254</v>
      </c>
      <c r="II63" s="370">
        <f t="shared" si="946"/>
        <v>1.1679999999999999</v>
      </c>
      <c r="IJ63" s="178"/>
      <c r="IK63" s="379">
        <f t="shared" ref="IK63:IM64" si="1040">IK25</f>
        <v>400</v>
      </c>
      <c r="IL63" s="369">
        <f t="shared" si="1040"/>
        <v>4</v>
      </c>
      <c r="IM63" s="371">
        <f t="shared" si="1040"/>
        <v>5</v>
      </c>
      <c r="IN63" s="369">
        <f t="shared" si="947"/>
        <v>100</v>
      </c>
      <c r="IO63" s="370">
        <f t="shared" si="948"/>
        <v>0.8</v>
      </c>
      <c r="IP63" s="178"/>
      <c r="IQ63" s="379">
        <f t="shared" ref="IQ63:IS64" si="1041">IQ25</f>
        <v>400</v>
      </c>
      <c r="IR63" s="369">
        <f t="shared" si="1041"/>
        <v>5.7</v>
      </c>
      <c r="IS63" s="371">
        <f t="shared" si="1041"/>
        <v>5</v>
      </c>
      <c r="IT63" s="369">
        <f t="shared" si="949"/>
        <v>70.175438596491219</v>
      </c>
      <c r="IU63" s="370">
        <f t="shared" si="950"/>
        <v>1.1400000000000001</v>
      </c>
      <c r="IW63" s="379">
        <f t="shared" ref="IW63:IY64" si="1042">IW25</f>
        <v>350</v>
      </c>
      <c r="IX63" s="369">
        <f t="shared" si="1042"/>
        <v>4.5400000000000009</v>
      </c>
      <c r="IY63" s="371">
        <f t="shared" si="1042"/>
        <v>5</v>
      </c>
      <c r="IZ63" s="369">
        <f t="shared" si="951"/>
        <v>77.092511013215841</v>
      </c>
      <c r="JA63" s="370">
        <f t="shared" si="952"/>
        <v>0.90800000000000014</v>
      </c>
      <c r="JC63" s="379">
        <f t="shared" ref="JC63:JE64" si="1043">JC25</f>
        <v>300</v>
      </c>
      <c r="JD63" s="369">
        <f t="shared" si="1043"/>
        <v>4.03</v>
      </c>
      <c r="JE63" s="371">
        <f t="shared" si="1043"/>
        <v>5</v>
      </c>
      <c r="JF63" s="369">
        <f t="shared" si="953"/>
        <v>74.441687344913149</v>
      </c>
      <c r="JG63" s="370">
        <f t="shared" si="954"/>
        <v>0.80600000000000005</v>
      </c>
      <c r="JI63" s="379">
        <f t="shared" ref="JI63:JK64" si="1044">JI25</f>
        <v>450</v>
      </c>
      <c r="JJ63" s="369">
        <f t="shared" si="1044"/>
        <v>4.4800000000000004</v>
      </c>
      <c r="JK63" s="371">
        <f t="shared" si="1044"/>
        <v>5</v>
      </c>
      <c r="JL63" s="369">
        <f t="shared" si="955"/>
        <v>100.44642857142856</v>
      </c>
      <c r="JM63" s="370">
        <f t="shared" si="956"/>
        <v>0.89600000000000013</v>
      </c>
      <c r="JO63" s="379">
        <f t="shared" ref="JO63:JQ64" si="1045">JO25</f>
        <v>800</v>
      </c>
      <c r="JP63" s="369">
        <f t="shared" si="1045"/>
        <v>8.33</v>
      </c>
      <c r="JQ63" s="371">
        <f t="shared" si="1045"/>
        <v>5</v>
      </c>
      <c r="JR63" s="369">
        <f t="shared" si="957"/>
        <v>96.038415366146452</v>
      </c>
      <c r="JS63" s="370">
        <f t="shared" si="958"/>
        <v>1.6659999999999999</v>
      </c>
      <c r="JU63" s="379">
        <f t="shared" ref="JU63:JW75" si="1046">SUM(JU25)</f>
        <v>800</v>
      </c>
      <c r="JV63" s="369">
        <f t="shared" si="1046"/>
        <v>10.38</v>
      </c>
      <c r="JW63" s="371">
        <f t="shared" si="1046"/>
        <v>5</v>
      </c>
      <c r="JX63" s="369">
        <f t="shared" si="959"/>
        <v>77.071290944123305</v>
      </c>
      <c r="JY63" s="370">
        <f t="shared" si="960"/>
        <v>2.0760000000000001</v>
      </c>
      <c r="KA63" s="379">
        <f t="shared" ref="KA63:KC66" si="1047">SUM(KA25)</f>
        <v>850</v>
      </c>
      <c r="KB63" s="369">
        <f t="shared" si="1047"/>
        <v>6.07</v>
      </c>
      <c r="KC63" s="369">
        <f t="shared" si="1047"/>
        <v>5</v>
      </c>
      <c r="KD63" s="369">
        <f t="shared" si="961"/>
        <v>140.0329489291598</v>
      </c>
      <c r="KE63" s="370">
        <f t="shared" si="962"/>
        <v>1.214</v>
      </c>
      <c r="KG63" s="379">
        <f t="shared" ref="KG63:KI63" si="1048">SUM(KG25)</f>
        <v>350</v>
      </c>
      <c r="KH63" s="369">
        <f t="shared" si="1048"/>
        <v>4.4000000000000004</v>
      </c>
      <c r="KI63" s="369">
        <f t="shared" si="1048"/>
        <v>3</v>
      </c>
      <c r="KJ63" s="369">
        <f t="shared" si="963"/>
        <v>79.545454545454533</v>
      </c>
      <c r="KK63" s="370">
        <f t="shared" si="964"/>
        <v>1.4666666666666668</v>
      </c>
      <c r="KM63" s="379">
        <f t="shared" ref="KM63:KO63" si="1049">SUM(KM25)</f>
        <v>600</v>
      </c>
      <c r="KN63" s="369">
        <f t="shared" si="1049"/>
        <v>9.0799999999999983</v>
      </c>
      <c r="KO63" s="369">
        <f t="shared" si="1049"/>
        <v>5</v>
      </c>
      <c r="KP63" s="369">
        <f t="shared" si="965"/>
        <v>66.079295154185033</v>
      </c>
      <c r="KQ63" s="370">
        <f t="shared" si="966"/>
        <v>1.8159999999999996</v>
      </c>
      <c r="KS63" s="379">
        <f t="shared" ref="KS63:KU63" si="1050">SUM(KS25)</f>
        <v>750</v>
      </c>
      <c r="KT63" s="369">
        <f t="shared" si="1050"/>
        <v>3.16</v>
      </c>
      <c r="KU63" s="369">
        <f t="shared" si="1050"/>
        <v>5</v>
      </c>
      <c r="KV63" s="369">
        <f t="shared" si="967"/>
        <v>237.34177215189871</v>
      </c>
      <c r="KW63" s="370">
        <f t="shared" si="968"/>
        <v>0.63200000000000001</v>
      </c>
      <c r="KY63" s="379">
        <f t="shared" ref="KY63:LA63" si="1051">SUM(KY25)</f>
        <v>0</v>
      </c>
      <c r="KZ63" s="369">
        <f t="shared" si="1051"/>
        <v>0</v>
      </c>
      <c r="LA63" s="369">
        <f t="shared" si="1051"/>
        <v>0</v>
      </c>
      <c r="LB63" s="369" t="e">
        <f t="shared" si="969"/>
        <v>#DIV/0!</v>
      </c>
      <c r="LC63" s="370" t="e">
        <f t="shared" si="970"/>
        <v>#DIV/0!</v>
      </c>
      <c r="LE63" s="379">
        <f t="shared" ref="LE63:LG63" si="1052">SUM(LE25)</f>
        <v>0</v>
      </c>
      <c r="LF63" s="369">
        <f t="shared" si="1052"/>
        <v>0</v>
      </c>
      <c r="LG63" s="369">
        <f t="shared" si="1052"/>
        <v>0</v>
      </c>
      <c r="LH63" s="369" t="e">
        <f t="shared" si="971"/>
        <v>#DIV/0!</v>
      </c>
      <c r="LI63" s="370" t="e">
        <f t="shared" si="972"/>
        <v>#DIV/0!</v>
      </c>
      <c r="LK63" s="379">
        <f t="shared" ref="LK63:LM63" si="1053">SUM(LK25)</f>
        <v>850</v>
      </c>
      <c r="LL63" s="369">
        <f t="shared" si="1053"/>
        <v>20.830000000000002</v>
      </c>
      <c r="LM63" s="369">
        <f t="shared" si="1053"/>
        <v>5</v>
      </c>
      <c r="LN63" s="369">
        <f t="shared" si="973"/>
        <v>40.806529044647142</v>
      </c>
      <c r="LO63" s="370">
        <f t="shared" si="974"/>
        <v>4.1660000000000004</v>
      </c>
      <c r="LQ63" s="379">
        <f t="shared" ref="LQ63:LS63" si="1054">SUM(LQ25)</f>
        <v>0</v>
      </c>
      <c r="LR63" s="369">
        <f t="shared" si="1054"/>
        <v>0</v>
      </c>
      <c r="LS63" s="369">
        <f t="shared" si="1054"/>
        <v>0</v>
      </c>
      <c r="LT63" s="369" t="e">
        <f t="shared" si="975"/>
        <v>#DIV/0!</v>
      </c>
      <c r="LU63" s="370" t="e">
        <f t="shared" si="976"/>
        <v>#DIV/0!</v>
      </c>
      <c r="LW63" s="379">
        <f t="shared" ref="LW63:LY63" si="1055">SUM(LW25)</f>
        <v>700</v>
      </c>
      <c r="LX63" s="369">
        <f t="shared" si="1055"/>
        <v>5.6</v>
      </c>
      <c r="LY63" s="369">
        <f t="shared" si="1055"/>
        <v>5</v>
      </c>
      <c r="LZ63" s="369">
        <f t="shared" si="977"/>
        <v>125.00000000000001</v>
      </c>
      <c r="MA63" s="370">
        <f t="shared" si="978"/>
        <v>1.1199999999999999</v>
      </c>
      <c r="MC63" s="379">
        <f t="shared" ref="MC63:ME63" si="1056">SUM(MC25)</f>
        <v>270</v>
      </c>
      <c r="MD63" s="369">
        <f t="shared" si="1056"/>
        <v>2.62</v>
      </c>
      <c r="ME63" s="369">
        <f t="shared" si="1056"/>
        <v>4</v>
      </c>
      <c r="MF63" s="369">
        <f t="shared" si="979"/>
        <v>103.05343511450381</v>
      </c>
      <c r="MG63" s="370">
        <f t="shared" si="980"/>
        <v>0.65500000000000003</v>
      </c>
      <c r="MI63" s="379">
        <f t="shared" ref="MI63:MK63" si="1057">SUM(MI25)</f>
        <v>650</v>
      </c>
      <c r="MJ63" s="369">
        <f t="shared" si="1057"/>
        <v>6.39</v>
      </c>
      <c r="MK63" s="369">
        <f t="shared" si="1057"/>
        <v>5</v>
      </c>
      <c r="ML63" s="369">
        <f t="shared" si="981"/>
        <v>101.72143974960876</v>
      </c>
      <c r="MM63" s="370">
        <f t="shared" si="982"/>
        <v>1.278</v>
      </c>
      <c r="MO63" s="379">
        <f t="shared" ref="MO63:MQ63" si="1058">SUM(MO25)</f>
        <v>0</v>
      </c>
      <c r="MP63" s="369">
        <f t="shared" si="1058"/>
        <v>0</v>
      </c>
      <c r="MQ63" s="369">
        <f t="shared" si="1058"/>
        <v>0</v>
      </c>
      <c r="MR63" s="369" t="e">
        <f t="shared" si="983"/>
        <v>#DIV/0!</v>
      </c>
      <c r="MS63" s="370" t="e">
        <f t="shared" si="984"/>
        <v>#DIV/0!</v>
      </c>
      <c r="MU63" s="379">
        <f t="shared" ref="MU63:MW63" si="1059">SUM(MU25)</f>
        <v>0</v>
      </c>
      <c r="MV63" s="369">
        <f t="shared" si="1059"/>
        <v>0</v>
      </c>
      <c r="MW63" s="369">
        <f t="shared" si="1059"/>
        <v>0</v>
      </c>
      <c r="MX63" s="369" t="e">
        <f t="shared" si="985"/>
        <v>#DIV/0!</v>
      </c>
      <c r="MY63" s="370" t="e">
        <f t="shared" si="986"/>
        <v>#DIV/0!</v>
      </c>
      <c r="NA63" s="755">
        <f t="shared" ref="NA63:NC63" si="1060">SUM(NA25)</f>
        <v>750</v>
      </c>
      <c r="NB63" s="384">
        <f t="shared" si="1060"/>
        <v>12.659999999999998</v>
      </c>
      <c r="NC63" s="384">
        <f t="shared" si="1060"/>
        <v>5</v>
      </c>
      <c r="ND63" s="369">
        <f t="shared" si="987"/>
        <v>59.241706161137451</v>
      </c>
      <c r="NE63" s="370">
        <f t="shared" si="988"/>
        <v>2.5319999999999996</v>
      </c>
      <c r="NG63" s="379">
        <f t="shared" ref="NG63:NI63" si="1061">SUM(NG25)</f>
        <v>550</v>
      </c>
      <c r="NH63" s="369">
        <f t="shared" si="1061"/>
        <v>6.95</v>
      </c>
      <c r="NI63" s="369">
        <f t="shared" si="1061"/>
        <v>5</v>
      </c>
      <c r="NJ63" s="369">
        <f t="shared" si="989"/>
        <v>79.136690647482013</v>
      </c>
      <c r="NK63" s="370">
        <f t="shared" si="990"/>
        <v>1.3900000000000001</v>
      </c>
      <c r="NM63" s="379">
        <f t="shared" ref="NM63:NO63" si="1062">SUM(NM25)</f>
        <v>600</v>
      </c>
      <c r="NN63" s="369">
        <f t="shared" si="1062"/>
        <v>9.82</v>
      </c>
      <c r="NO63" s="369">
        <f t="shared" si="1062"/>
        <v>5</v>
      </c>
      <c r="NP63" s="369">
        <f t="shared" si="991"/>
        <v>61.099796334012218</v>
      </c>
      <c r="NQ63" s="370">
        <f t="shared" si="992"/>
        <v>1.964</v>
      </c>
      <c r="NS63" s="379">
        <f>SUM(NS25)</f>
        <v>500</v>
      </c>
      <c r="NT63" s="369">
        <f>SUM(NT25)</f>
        <v>4.8499999999999996</v>
      </c>
      <c r="NU63" s="369">
        <f>SUM(NU25)</f>
        <v>5</v>
      </c>
      <c r="NV63" s="369">
        <f t="shared" si="993"/>
        <v>103.09278350515464</v>
      </c>
      <c r="NW63" s="370">
        <f t="shared" si="994"/>
        <v>0.97</v>
      </c>
      <c r="NY63" s="379">
        <f t="shared" ref="NY63:OA63" si="1063">SUM(NY25)</f>
        <v>500</v>
      </c>
      <c r="NZ63" s="369">
        <f t="shared" si="1063"/>
        <v>1.6</v>
      </c>
      <c r="OA63" s="369">
        <f t="shared" si="1063"/>
        <v>5</v>
      </c>
      <c r="OB63" s="369">
        <f t="shared" si="995"/>
        <v>312.5</v>
      </c>
      <c r="OC63" s="370">
        <f t="shared" si="996"/>
        <v>0.32</v>
      </c>
      <c r="OE63" s="379">
        <f t="shared" ref="OE63:OG63" si="1064">SUM(OE25)</f>
        <v>750</v>
      </c>
      <c r="OF63" s="369">
        <f t="shared" si="1064"/>
        <v>9.2900000000000009</v>
      </c>
      <c r="OG63" s="369">
        <f t="shared" si="1064"/>
        <v>5</v>
      </c>
      <c r="OH63" s="369">
        <f t="shared" si="997"/>
        <v>80.731969860064581</v>
      </c>
      <c r="OI63" s="370">
        <f t="shared" si="998"/>
        <v>1.8580000000000001</v>
      </c>
    </row>
    <row r="64" spans="1:399">
      <c r="A64" s="55"/>
      <c r="B64" s="59" t="s">
        <v>32</v>
      </c>
      <c r="C64" s="60"/>
      <c r="D64" s="58" t="s">
        <v>14</v>
      </c>
      <c r="E64" s="79">
        <f t="shared" si="1000"/>
        <v>10000</v>
      </c>
      <c r="F64" s="82">
        <f t="shared" si="1000"/>
        <v>41</v>
      </c>
      <c r="G64" s="79">
        <f t="shared" si="1000"/>
        <v>5</v>
      </c>
      <c r="H64" s="361">
        <f>E64/F64</f>
        <v>243.90243902439025</v>
      </c>
      <c r="I64" s="362">
        <f>F64/G64</f>
        <v>8.1999999999999993</v>
      </c>
      <c r="J64" s="589"/>
      <c r="K64" s="79">
        <f t="shared" si="1001"/>
        <v>5200</v>
      </c>
      <c r="L64" s="82">
        <f t="shared" si="1001"/>
        <v>31</v>
      </c>
      <c r="M64" s="79">
        <f t="shared" si="1001"/>
        <v>3</v>
      </c>
      <c r="N64" s="361">
        <f>K64/L64</f>
        <v>167.74193548387098</v>
      </c>
      <c r="O64" s="362">
        <f>L64/M64</f>
        <v>10.333333333333334</v>
      </c>
      <c r="P64" s="589"/>
      <c r="Q64" s="79">
        <f t="shared" si="1002"/>
        <v>1500</v>
      </c>
      <c r="R64" s="82">
        <f t="shared" si="1002"/>
        <v>9.3000000000000007</v>
      </c>
      <c r="S64" s="79">
        <f t="shared" si="1002"/>
        <v>3</v>
      </c>
      <c r="T64" s="361">
        <f>Q64/R64</f>
        <v>161.29032258064515</v>
      </c>
      <c r="U64" s="362">
        <f>R64/S64</f>
        <v>3.1</v>
      </c>
      <c r="V64" s="589"/>
      <c r="W64" s="79">
        <f t="shared" si="1003"/>
        <v>3880</v>
      </c>
      <c r="X64" s="82">
        <f t="shared" si="1003"/>
        <v>19.399999999999999</v>
      </c>
      <c r="Y64" s="79">
        <f t="shared" si="1003"/>
        <v>5</v>
      </c>
      <c r="Z64" s="361">
        <f>W64/X64</f>
        <v>200.00000000000003</v>
      </c>
      <c r="AA64" s="362">
        <f>X64/Y64</f>
        <v>3.88</v>
      </c>
      <c r="AB64" s="589"/>
      <c r="AC64" s="79">
        <f t="shared" si="1004"/>
        <v>0</v>
      </c>
      <c r="AD64" s="82">
        <f t="shared" si="1004"/>
        <v>0</v>
      </c>
      <c r="AE64" s="79">
        <f t="shared" si="1004"/>
        <v>0</v>
      </c>
      <c r="AF64" s="361" t="e">
        <f>AC64/AD64</f>
        <v>#DIV/0!</v>
      </c>
      <c r="AG64" s="362" t="e">
        <f>AD64/AE64</f>
        <v>#DIV/0!</v>
      </c>
      <c r="AH64" s="589"/>
      <c r="AI64" s="79">
        <f t="shared" si="1005"/>
        <v>0</v>
      </c>
      <c r="AJ64" s="82">
        <f t="shared" si="1005"/>
        <v>0</v>
      </c>
      <c r="AK64" s="79">
        <f t="shared" si="1005"/>
        <v>0</v>
      </c>
      <c r="AL64" s="361" t="e">
        <f>AI64/AJ64</f>
        <v>#DIV/0!</v>
      </c>
      <c r="AM64" s="362" t="e">
        <f>AJ64/AK64</f>
        <v>#DIV/0!</v>
      </c>
      <c r="AN64" s="589"/>
      <c r="AO64" s="79">
        <f t="shared" si="1006"/>
        <v>8060</v>
      </c>
      <c r="AP64" s="82">
        <f t="shared" si="1006"/>
        <v>45.3</v>
      </c>
      <c r="AQ64" s="79">
        <f t="shared" si="1006"/>
        <v>5</v>
      </c>
      <c r="AR64" s="361">
        <f>AO64/AP64</f>
        <v>177.92494481236204</v>
      </c>
      <c r="AS64" s="362">
        <f>AP64/AQ64</f>
        <v>9.0599999999999987</v>
      </c>
      <c r="AT64" s="589"/>
      <c r="AU64" s="79">
        <f t="shared" si="1007"/>
        <v>0</v>
      </c>
      <c r="AV64" s="82">
        <f t="shared" si="1007"/>
        <v>0</v>
      </c>
      <c r="AW64" s="79">
        <f t="shared" si="1007"/>
        <v>0</v>
      </c>
      <c r="AX64" s="361" t="e">
        <f>AU64/AV64</f>
        <v>#DIV/0!</v>
      </c>
      <c r="AY64" s="362" t="e">
        <f>AV64/AW64</f>
        <v>#DIV/0!</v>
      </c>
      <c r="AZ64" s="362"/>
      <c r="BA64" s="79">
        <f t="shared" si="1008"/>
        <v>5700</v>
      </c>
      <c r="BB64" s="82">
        <f t="shared" si="1008"/>
        <v>15.98</v>
      </c>
      <c r="BC64" s="79">
        <f t="shared" si="1008"/>
        <v>5</v>
      </c>
      <c r="BD64" s="361">
        <f>BA64/BB64</f>
        <v>356.69586983729658</v>
      </c>
      <c r="BE64" s="362">
        <f>BB64/BC64</f>
        <v>3.1960000000000002</v>
      </c>
      <c r="BF64" s="362"/>
      <c r="BG64" s="79">
        <f t="shared" si="1009"/>
        <v>0</v>
      </c>
      <c r="BH64" s="82">
        <f t="shared" si="1009"/>
        <v>0</v>
      </c>
      <c r="BI64" s="79">
        <f t="shared" si="1009"/>
        <v>0</v>
      </c>
      <c r="BJ64" s="361" t="e">
        <f>BG64/BH64</f>
        <v>#DIV/0!</v>
      </c>
      <c r="BK64" s="362" t="e">
        <f>BH64/BI64</f>
        <v>#DIV/0!</v>
      </c>
      <c r="BL64" s="362"/>
      <c r="BM64" s="79">
        <f t="shared" si="1010"/>
        <v>0</v>
      </c>
      <c r="BN64" s="82">
        <f t="shared" si="1010"/>
        <v>0</v>
      </c>
      <c r="BO64" s="79">
        <f t="shared" si="1010"/>
        <v>0</v>
      </c>
      <c r="BP64" s="361" t="e">
        <f>BM64/BN64</f>
        <v>#DIV/0!</v>
      </c>
      <c r="BQ64" s="362" t="e">
        <f>BN64/BO64</f>
        <v>#DIV/0!</v>
      </c>
      <c r="BR64" s="589"/>
      <c r="BS64" s="79">
        <f t="shared" si="1011"/>
        <v>3600</v>
      </c>
      <c r="BT64" s="82">
        <f t="shared" si="1011"/>
        <v>23.06</v>
      </c>
      <c r="BU64" s="79">
        <f t="shared" si="1011"/>
        <v>4</v>
      </c>
      <c r="BV64" s="361">
        <f>BS64/BT64</f>
        <v>156.11448395490027</v>
      </c>
      <c r="BW64" s="362">
        <f>BT64/BU64</f>
        <v>5.7649999999999997</v>
      </c>
      <c r="BX64" s="362"/>
      <c r="BY64" s="79">
        <f t="shared" si="1012"/>
        <v>0</v>
      </c>
      <c r="BZ64" s="82">
        <f t="shared" si="1012"/>
        <v>0</v>
      </c>
      <c r="CA64" s="79">
        <f t="shared" si="1012"/>
        <v>0</v>
      </c>
      <c r="CB64" s="361" t="e">
        <f>BY64/BZ64</f>
        <v>#DIV/0!</v>
      </c>
      <c r="CC64" s="362" t="e">
        <f>BZ64/CA64</f>
        <v>#DIV/0!</v>
      </c>
      <c r="CD64" s="362"/>
      <c r="CE64" s="79">
        <f t="shared" si="1013"/>
        <v>2300</v>
      </c>
      <c r="CF64" s="82">
        <f t="shared" si="1013"/>
        <v>8</v>
      </c>
      <c r="CG64" s="79">
        <f t="shared" si="1013"/>
        <v>5</v>
      </c>
      <c r="CH64" s="361">
        <f>CE64/CF64</f>
        <v>287.5</v>
      </c>
      <c r="CI64" s="362">
        <f>CF64/CG64</f>
        <v>1.6</v>
      </c>
      <c r="CJ64" s="362"/>
      <c r="CK64" s="79">
        <f t="shared" si="1014"/>
        <v>0</v>
      </c>
      <c r="CL64" s="82">
        <f t="shared" si="1014"/>
        <v>0</v>
      </c>
      <c r="CM64" s="79">
        <f t="shared" si="1014"/>
        <v>0</v>
      </c>
      <c r="CN64" s="361" t="e">
        <f>CK64/CL64</f>
        <v>#DIV/0!</v>
      </c>
      <c r="CO64" s="362" t="e">
        <f>CL64/CM64</f>
        <v>#DIV/0!</v>
      </c>
      <c r="CP64" s="362"/>
      <c r="CQ64" s="79">
        <f t="shared" si="1015"/>
        <v>0</v>
      </c>
      <c r="CR64" s="82">
        <f t="shared" si="1015"/>
        <v>0</v>
      </c>
      <c r="CS64" s="79">
        <f t="shared" si="1015"/>
        <v>0</v>
      </c>
      <c r="CT64" s="361" t="e">
        <f>CQ64/CR64</f>
        <v>#DIV/0!</v>
      </c>
      <c r="CU64" s="362" t="e">
        <f>CR64/CS64</f>
        <v>#DIV/0!</v>
      </c>
      <c r="CV64" s="362"/>
      <c r="CW64" s="79">
        <f t="shared" si="1016"/>
        <v>0</v>
      </c>
      <c r="CX64" s="82">
        <f t="shared" si="1016"/>
        <v>0</v>
      </c>
      <c r="CY64" s="79">
        <f t="shared" si="1016"/>
        <v>0</v>
      </c>
      <c r="CZ64" s="361" t="e">
        <f>CW64/CX64</f>
        <v>#DIV/0!</v>
      </c>
      <c r="DA64" s="362" t="e">
        <f>CX64/CY64</f>
        <v>#DIV/0!</v>
      </c>
      <c r="DB64" s="362"/>
      <c r="DC64" s="79">
        <f t="shared" si="1017"/>
        <v>0</v>
      </c>
      <c r="DD64" s="82">
        <f t="shared" si="1017"/>
        <v>0</v>
      </c>
      <c r="DE64" s="79">
        <f t="shared" si="1017"/>
        <v>0</v>
      </c>
      <c r="DF64" s="361" t="e">
        <f>DC64/DD64</f>
        <v>#DIV/0!</v>
      </c>
      <c r="DG64" s="362" t="e">
        <f>DD64/DE64</f>
        <v>#DIV/0!</v>
      </c>
      <c r="DH64" s="362"/>
      <c r="DI64" s="79">
        <f t="shared" si="1018"/>
        <v>0</v>
      </c>
      <c r="DJ64" s="82">
        <f t="shared" si="1018"/>
        <v>0</v>
      </c>
      <c r="DK64" s="79">
        <f t="shared" si="1018"/>
        <v>0</v>
      </c>
      <c r="DL64" s="361" t="e">
        <f>DI64/DJ64</f>
        <v>#DIV/0!</v>
      </c>
      <c r="DM64" s="362" t="e">
        <f>DJ64/DK64</f>
        <v>#DIV/0!</v>
      </c>
      <c r="DN64" s="362"/>
      <c r="DO64" s="79">
        <f t="shared" si="1019"/>
        <v>6520</v>
      </c>
      <c r="DP64" s="82">
        <f t="shared" si="1019"/>
        <v>34.1</v>
      </c>
      <c r="DQ64" s="79">
        <f t="shared" si="1019"/>
        <v>5</v>
      </c>
      <c r="DR64" s="361">
        <f>DO64/DP64</f>
        <v>191.2023460410557</v>
      </c>
      <c r="DS64" s="362">
        <f>DP64/DQ64</f>
        <v>6.82</v>
      </c>
      <c r="DT64" s="362"/>
      <c r="DU64" s="79">
        <f t="shared" si="1020"/>
        <v>0</v>
      </c>
      <c r="DV64" s="82">
        <f t="shared" si="1020"/>
        <v>0</v>
      </c>
      <c r="DW64" s="79">
        <f t="shared" si="1020"/>
        <v>0</v>
      </c>
      <c r="DX64" s="361" t="e">
        <f>DU64/DV64</f>
        <v>#DIV/0!</v>
      </c>
      <c r="DY64" s="362" t="e">
        <f>DV64/DW64</f>
        <v>#DIV/0!</v>
      </c>
      <c r="DZ64" s="362"/>
      <c r="EA64" s="79">
        <f t="shared" si="1021"/>
        <v>0</v>
      </c>
      <c r="EB64" s="82">
        <f t="shared" si="1021"/>
        <v>0</v>
      </c>
      <c r="EC64" s="79">
        <f t="shared" si="1021"/>
        <v>0</v>
      </c>
      <c r="ED64" s="361" t="e">
        <f>EA64/EB64</f>
        <v>#DIV/0!</v>
      </c>
      <c r="EE64" s="362" t="e">
        <f>EB64/EC64</f>
        <v>#DIV/0!</v>
      </c>
      <c r="EF64" s="362"/>
      <c r="EG64" s="79">
        <f t="shared" si="1022"/>
        <v>0</v>
      </c>
      <c r="EH64" s="82">
        <f t="shared" si="1022"/>
        <v>0</v>
      </c>
      <c r="EI64" s="79">
        <f t="shared" si="1022"/>
        <v>0</v>
      </c>
      <c r="EJ64" s="361" t="e">
        <f>EG64/EH64</f>
        <v>#DIV/0!</v>
      </c>
      <c r="EK64" s="362" t="e">
        <f>EH64/EI64</f>
        <v>#DIV/0!</v>
      </c>
      <c r="EL64" s="362"/>
      <c r="EM64" s="79">
        <f t="shared" si="1023"/>
        <v>0</v>
      </c>
      <c r="EN64" s="82">
        <f t="shared" si="1023"/>
        <v>0</v>
      </c>
      <c r="EO64" s="79">
        <f t="shared" si="1023"/>
        <v>0</v>
      </c>
      <c r="EP64" s="361" t="e">
        <f>EM64/EN64</f>
        <v>#DIV/0!</v>
      </c>
      <c r="EQ64" s="362" t="e">
        <f>EN64/EO64</f>
        <v>#DIV/0!</v>
      </c>
      <c r="ER64" s="589"/>
      <c r="ES64" s="79">
        <f t="shared" si="1024"/>
        <v>8500</v>
      </c>
      <c r="ET64" s="82">
        <f t="shared" si="1024"/>
        <v>34.200000000000003</v>
      </c>
      <c r="EU64" s="79">
        <f t="shared" si="1024"/>
        <v>5</v>
      </c>
      <c r="EV64" s="361">
        <f>ES64/ET64</f>
        <v>248.53801169590642</v>
      </c>
      <c r="EW64" s="362">
        <f>ET64/EU64</f>
        <v>6.8400000000000007</v>
      </c>
      <c r="EY64" s="91">
        <f t="shared" si="1025"/>
        <v>4715</v>
      </c>
      <c r="EZ64" s="369">
        <f t="shared" si="1025"/>
        <v>32</v>
      </c>
      <c r="FA64" s="371">
        <f t="shared" si="1025"/>
        <v>5</v>
      </c>
      <c r="FB64" s="369">
        <f t="shared" si="917"/>
        <v>147.34375</v>
      </c>
      <c r="FC64" s="370">
        <f t="shared" si="918"/>
        <v>6.4</v>
      </c>
      <c r="FE64" s="91">
        <f t="shared" si="1026"/>
        <v>1500</v>
      </c>
      <c r="FF64" s="369">
        <f t="shared" si="1026"/>
        <v>9.3000000000000007</v>
      </c>
      <c r="FG64" s="371">
        <f t="shared" si="1026"/>
        <v>3</v>
      </c>
      <c r="FH64" s="381">
        <f t="shared" si="919"/>
        <v>161.29032258064515</v>
      </c>
      <c r="FI64" s="370">
        <f t="shared" si="920"/>
        <v>3.1</v>
      </c>
      <c r="FJ64" s="178"/>
      <c r="FK64" s="91">
        <f t="shared" si="1027"/>
        <v>0</v>
      </c>
      <c r="FL64" s="82">
        <f t="shared" si="1027"/>
        <v>0</v>
      </c>
      <c r="FM64" s="371">
        <f t="shared" si="1027"/>
        <v>0</v>
      </c>
      <c r="FN64" s="361" t="e">
        <f t="shared" ref="FN64:FO71" si="1065">FK64/FL64</f>
        <v>#DIV/0!</v>
      </c>
      <c r="FO64" s="362" t="e">
        <f t="shared" si="1065"/>
        <v>#DIV/0!</v>
      </c>
      <c r="FQ64" s="379">
        <f t="shared" si="1028"/>
        <v>3540</v>
      </c>
      <c r="FR64" s="369">
        <f t="shared" si="1028"/>
        <v>23.700000000000003</v>
      </c>
      <c r="FS64" s="371">
        <f t="shared" si="1028"/>
        <v>5</v>
      </c>
      <c r="FT64" s="381">
        <f t="shared" ref="FT64:FU71" si="1066">FQ64/FR64</f>
        <v>149.36708860759492</v>
      </c>
      <c r="FU64" s="370">
        <f t="shared" si="1066"/>
        <v>4.74</v>
      </c>
      <c r="FV64" s="178"/>
      <c r="FW64" s="91">
        <f t="shared" si="1029"/>
        <v>0</v>
      </c>
      <c r="FX64" s="82">
        <f t="shared" si="1029"/>
        <v>0</v>
      </c>
      <c r="FY64" s="371">
        <f t="shared" si="1029"/>
        <v>0</v>
      </c>
      <c r="FZ64" s="369" t="e">
        <f t="shared" ref="FZ64:GA64" si="1067">FW64/FX64</f>
        <v>#DIV/0!</v>
      </c>
      <c r="GA64" s="370" t="e">
        <f t="shared" si="1067"/>
        <v>#DIV/0!</v>
      </c>
      <c r="GC64" s="91">
        <f t="shared" si="1030"/>
        <v>0</v>
      </c>
      <c r="GD64" s="369">
        <f t="shared" si="1030"/>
        <v>0</v>
      </c>
      <c r="GE64" s="371">
        <f t="shared" si="1030"/>
        <v>0</v>
      </c>
      <c r="GF64" s="361" t="e">
        <f>GC64/GD64</f>
        <v>#DIV/0!</v>
      </c>
      <c r="GG64" s="362" t="e">
        <f>GD64/GE64</f>
        <v>#DIV/0!</v>
      </c>
      <c r="GI64" s="91">
        <f t="shared" si="1031"/>
        <v>9500</v>
      </c>
      <c r="GJ64" s="82">
        <f t="shared" si="1031"/>
        <v>22.21</v>
      </c>
      <c r="GK64" s="79">
        <f t="shared" si="1031"/>
        <v>5</v>
      </c>
      <c r="GL64" s="82">
        <f t="shared" ref="GL64:GM71" si="1068">GI64/GJ64</f>
        <v>427.73525438991442</v>
      </c>
      <c r="GM64" s="84">
        <f t="shared" si="1068"/>
        <v>4.4420000000000002</v>
      </c>
      <c r="GO64" s="91">
        <f t="shared" si="1032"/>
        <v>0</v>
      </c>
      <c r="GP64" s="82">
        <f t="shared" si="1032"/>
        <v>0</v>
      </c>
      <c r="GQ64" s="371">
        <f t="shared" si="1032"/>
        <v>0</v>
      </c>
      <c r="GR64" s="361" t="e">
        <f>GO64/GP64</f>
        <v>#DIV/0!</v>
      </c>
      <c r="GS64" s="362" t="e">
        <f>GP64/GQ64</f>
        <v>#DIV/0!</v>
      </c>
      <c r="GU64" s="91">
        <f t="shared" si="1033"/>
        <v>5140</v>
      </c>
      <c r="GV64" s="82">
        <f t="shared" si="1033"/>
        <v>22.92</v>
      </c>
      <c r="GW64" s="79">
        <f t="shared" si="1033"/>
        <v>5</v>
      </c>
      <c r="GX64" s="82">
        <f t="shared" ref="GX64:GY71" si="1069">GU64/GV64</f>
        <v>224.25828970331585</v>
      </c>
      <c r="GY64" s="84">
        <f t="shared" si="1069"/>
        <v>4.5840000000000005</v>
      </c>
      <c r="HA64" s="91">
        <f t="shared" si="1034"/>
        <v>1100</v>
      </c>
      <c r="HB64" s="82">
        <f t="shared" si="1034"/>
        <v>6.9</v>
      </c>
      <c r="HC64" s="79">
        <f t="shared" si="1034"/>
        <v>3</v>
      </c>
      <c r="HD64" s="369">
        <f t="shared" si="935"/>
        <v>159.42028985507247</v>
      </c>
      <c r="HE64" s="370">
        <f t="shared" si="936"/>
        <v>2.3000000000000003</v>
      </c>
      <c r="HG64" s="91">
        <f t="shared" si="1035"/>
        <v>4365</v>
      </c>
      <c r="HH64" s="82">
        <f t="shared" si="1035"/>
        <v>29.1</v>
      </c>
      <c r="HI64" s="79">
        <f t="shared" si="1035"/>
        <v>5</v>
      </c>
      <c r="HJ64" s="82">
        <f t="shared" ref="HJ64:HK71" si="1070">HG64/HH64</f>
        <v>150</v>
      </c>
      <c r="HK64" s="84">
        <f t="shared" si="1070"/>
        <v>5.82</v>
      </c>
      <c r="HM64" s="91">
        <f t="shared" si="1036"/>
        <v>10000</v>
      </c>
      <c r="HN64" s="82">
        <f t="shared" si="1036"/>
        <v>41</v>
      </c>
      <c r="HO64" s="79">
        <f t="shared" si="1036"/>
        <v>5</v>
      </c>
      <c r="HP64" s="369">
        <f t="shared" ref="HP64:HQ71" si="1071">HM64/HN64</f>
        <v>243.90243902439025</v>
      </c>
      <c r="HQ64" s="370">
        <f t="shared" si="1071"/>
        <v>8.1999999999999993</v>
      </c>
      <c r="HS64" s="91">
        <f t="shared" si="1037"/>
        <v>5200</v>
      </c>
      <c r="HT64" s="82">
        <f t="shared" si="1037"/>
        <v>31</v>
      </c>
      <c r="HU64" s="371">
        <f t="shared" si="1037"/>
        <v>3</v>
      </c>
      <c r="HV64" s="369">
        <f t="shared" ref="HV64:HW72" si="1072">HS64/HT64</f>
        <v>167.74193548387098</v>
      </c>
      <c r="HW64" s="370">
        <f t="shared" si="1072"/>
        <v>10.333333333333334</v>
      </c>
      <c r="HX64" s="178"/>
      <c r="HY64" s="91">
        <f t="shared" si="1038"/>
        <v>5370</v>
      </c>
      <c r="HZ64" s="82">
        <f t="shared" si="1038"/>
        <v>28</v>
      </c>
      <c r="IA64" s="371">
        <f t="shared" si="1038"/>
        <v>5</v>
      </c>
      <c r="IB64" s="369">
        <f t="shared" ref="IB64:IC71" si="1073">HY64/HZ64</f>
        <v>191.78571428571428</v>
      </c>
      <c r="IC64" s="370">
        <f t="shared" si="1073"/>
        <v>5.6</v>
      </c>
      <c r="IE64" s="91">
        <f t="shared" si="1039"/>
        <v>8450</v>
      </c>
      <c r="IF64" s="82">
        <f t="shared" si="1039"/>
        <v>34</v>
      </c>
      <c r="IG64" s="371">
        <f t="shared" si="1039"/>
        <v>5</v>
      </c>
      <c r="IH64" s="369">
        <f t="shared" ref="IH64:II71" si="1074">IE64/IF64</f>
        <v>248.52941176470588</v>
      </c>
      <c r="II64" s="370">
        <f t="shared" si="1074"/>
        <v>6.8</v>
      </c>
      <c r="IJ64" s="178"/>
      <c r="IK64" s="379">
        <f t="shared" si="1040"/>
        <v>5280</v>
      </c>
      <c r="IL64" s="369">
        <f t="shared" si="1040"/>
        <v>26.400000000000002</v>
      </c>
      <c r="IM64" s="371">
        <f t="shared" si="1040"/>
        <v>5</v>
      </c>
      <c r="IN64" s="369">
        <f t="shared" ref="IN64:IO71" si="1075">IK64/IL64</f>
        <v>199.99999999999997</v>
      </c>
      <c r="IO64" s="370">
        <f t="shared" si="1075"/>
        <v>5.28</v>
      </c>
      <c r="IP64" s="178"/>
      <c r="IQ64" s="379">
        <f t="shared" si="1041"/>
        <v>5260</v>
      </c>
      <c r="IR64" s="369">
        <f t="shared" si="1041"/>
        <v>19.2</v>
      </c>
      <c r="IS64" s="371">
        <f t="shared" si="1041"/>
        <v>5</v>
      </c>
      <c r="IT64" s="369">
        <f t="shared" si="949"/>
        <v>273.95833333333337</v>
      </c>
      <c r="IU64" s="370">
        <f t="shared" si="950"/>
        <v>3.84</v>
      </c>
      <c r="IW64" s="379">
        <f t="shared" si="1042"/>
        <v>0</v>
      </c>
      <c r="IX64" s="369">
        <f t="shared" si="1042"/>
        <v>0</v>
      </c>
      <c r="IY64" s="371">
        <f t="shared" si="1042"/>
        <v>0</v>
      </c>
      <c r="IZ64" s="369" t="e">
        <f t="shared" si="951"/>
        <v>#DIV/0!</v>
      </c>
      <c r="JA64" s="370" t="e">
        <f t="shared" si="952"/>
        <v>#DIV/0!</v>
      </c>
      <c r="JC64" s="379">
        <f t="shared" si="1043"/>
        <v>0</v>
      </c>
      <c r="JD64" s="369">
        <f t="shared" si="1043"/>
        <v>0</v>
      </c>
      <c r="JE64" s="371">
        <f t="shared" si="1043"/>
        <v>0</v>
      </c>
      <c r="JF64" s="369" t="e">
        <f t="shared" si="953"/>
        <v>#DIV/0!</v>
      </c>
      <c r="JG64" s="370" t="e">
        <f t="shared" si="954"/>
        <v>#DIV/0!</v>
      </c>
      <c r="JI64" s="379">
        <f t="shared" si="1044"/>
        <v>0</v>
      </c>
      <c r="JJ64" s="369">
        <f t="shared" si="1044"/>
        <v>0</v>
      </c>
      <c r="JK64" s="371">
        <f t="shared" si="1044"/>
        <v>0</v>
      </c>
      <c r="JL64" s="369" t="e">
        <f t="shared" si="955"/>
        <v>#DIV/0!</v>
      </c>
      <c r="JM64" s="370" t="e">
        <f t="shared" si="956"/>
        <v>#DIV/0!</v>
      </c>
      <c r="JO64" s="379">
        <f t="shared" si="1045"/>
        <v>5750</v>
      </c>
      <c r="JP64" s="369">
        <f t="shared" si="1045"/>
        <v>30</v>
      </c>
      <c r="JQ64" s="371">
        <f t="shared" si="1045"/>
        <v>5</v>
      </c>
      <c r="JR64" s="369">
        <f t="shared" si="957"/>
        <v>191.66666666666666</v>
      </c>
      <c r="JS64" s="370">
        <f t="shared" si="958"/>
        <v>6</v>
      </c>
      <c r="JU64" s="379">
        <f t="shared" si="1046"/>
        <v>0</v>
      </c>
      <c r="JV64" s="369">
        <f t="shared" si="1046"/>
        <v>0</v>
      </c>
      <c r="JW64" s="371">
        <f t="shared" si="1046"/>
        <v>0</v>
      </c>
      <c r="JX64" s="369" t="e">
        <f t="shared" si="959"/>
        <v>#DIV/0!</v>
      </c>
      <c r="JY64" s="370" t="e">
        <f t="shared" si="960"/>
        <v>#DIV/0!</v>
      </c>
      <c r="KA64" s="379">
        <f t="shared" si="1047"/>
        <v>7300</v>
      </c>
      <c r="KB64" s="369">
        <f t="shared" si="1047"/>
        <v>36.5</v>
      </c>
      <c r="KC64" s="369">
        <f t="shared" si="1047"/>
        <v>5</v>
      </c>
      <c r="KD64" s="369">
        <f t="shared" si="961"/>
        <v>200</v>
      </c>
      <c r="KE64" s="370">
        <f t="shared" si="962"/>
        <v>7.3</v>
      </c>
      <c r="KG64" s="379">
        <f t="shared" ref="KG64:KI64" si="1076">SUM(KG26)</f>
        <v>7000</v>
      </c>
      <c r="KH64" s="369">
        <f t="shared" si="1076"/>
        <v>35</v>
      </c>
      <c r="KI64" s="369">
        <f t="shared" si="1076"/>
        <v>5</v>
      </c>
      <c r="KJ64" s="369">
        <f t="shared" si="963"/>
        <v>200</v>
      </c>
      <c r="KK64" s="370">
        <f t="shared" si="964"/>
        <v>7</v>
      </c>
      <c r="KM64" s="379">
        <f t="shared" ref="KM64:KO64" si="1077">SUM(KM26)</f>
        <v>0</v>
      </c>
      <c r="KN64" s="369">
        <f t="shared" si="1077"/>
        <v>0</v>
      </c>
      <c r="KO64" s="369">
        <f t="shared" si="1077"/>
        <v>0</v>
      </c>
      <c r="KP64" s="369" t="e">
        <f t="shared" si="965"/>
        <v>#DIV/0!</v>
      </c>
      <c r="KQ64" s="370" t="e">
        <f t="shared" si="966"/>
        <v>#DIV/0!</v>
      </c>
      <c r="KS64" s="379">
        <f t="shared" ref="KS64:KU64" si="1078">SUM(KS26)</f>
        <v>0</v>
      </c>
      <c r="KT64" s="369">
        <f t="shared" si="1078"/>
        <v>0</v>
      </c>
      <c r="KU64" s="369">
        <f t="shared" si="1078"/>
        <v>0</v>
      </c>
      <c r="KV64" s="369" t="e">
        <f t="shared" si="967"/>
        <v>#DIV/0!</v>
      </c>
      <c r="KW64" s="370" t="e">
        <f t="shared" si="968"/>
        <v>#DIV/0!</v>
      </c>
      <c r="KY64" s="379">
        <f t="shared" ref="KY64:LA64" si="1079">SUM(KY26)</f>
        <v>0</v>
      </c>
      <c r="KZ64" s="369">
        <f t="shared" si="1079"/>
        <v>0</v>
      </c>
      <c r="LA64" s="369">
        <f t="shared" si="1079"/>
        <v>0</v>
      </c>
      <c r="LB64" s="369" t="e">
        <f t="shared" si="969"/>
        <v>#DIV/0!</v>
      </c>
      <c r="LC64" s="370" t="e">
        <f t="shared" si="970"/>
        <v>#DIV/0!</v>
      </c>
      <c r="LE64" s="379">
        <f t="shared" ref="LE64:LG64" si="1080">SUM(LE26)</f>
        <v>0</v>
      </c>
      <c r="LF64" s="369">
        <f t="shared" si="1080"/>
        <v>0</v>
      </c>
      <c r="LG64" s="369">
        <f t="shared" si="1080"/>
        <v>0</v>
      </c>
      <c r="LH64" s="369" t="e">
        <f t="shared" si="971"/>
        <v>#DIV/0!</v>
      </c>
      <c r="LI64" s="370" t="e">
        <f t="shared" si="972"/>
        <v>#DIV/0!</v>
      </c>
      <c r="LK64" s="379">
        <f t="shared" ref="LK64:LM64" si="1081">SUM(LK26)</f>
        <v>0</v>
      </c>
      <c r="LL64" s="369">
        <f t="shared" si="1081"/>
        <v>0</v>
      </c>
      <c r="LM64" s="369">
        <f t="shared" si="1081"/>
        <v>0</v>
      </c>
      <c r="LN64" s="369" t="e">
        <f t="shared" si="973"/>
        <v>#DIV/0!</v>
      </c>
      <c r="LO64" s="370" t="e">
        <f t="shared" si="974"/>
        <v>#DIV/0!</v>
      </c>
      <c r="LQ64" s="379">
        <f t="shared" ref="LQ64:LS64" si="1082">SUM(LQ26)</f>
        <v>0</v>
      </c>
      <c r="LR64" s="369">
        <f t="shared" si="1082"/>
        <v>0</v>
      </c>
      <c r="LS64" s="369">
        <f t="shared" si="1082"/>
        <v>0</v>
      </c>
      <c r="LT64" s="369" t="e">
        <f t="shared" si="975"/>
        <v>#DIV/0!</v>
      </c>
      <c r="LU64" s="370" t="e">
        <f t="shared" si="976"/>
        <v>#DIV/0!</v>
      </c>
      <c r="LW64" s="379">
        <f t="shared" ref="LW64:LY64" si="1083">SUM(LW26)</f>
        <v>7000</v>
      </c>
      <c r="LX64" s="369">
        <f t="shared" si="1083"/>
        <v>27.8</v>
      </c>
      <c r="LY64" s="369">
        <f t="shared" si="1083"/>
        <v>5</v>
      </c>
      <c r="LZ64" s="369">
        <f t="shared" si="977"/>
        <v>251.79856115107913</v>
      </c>
      <c r="MA64" s="370">
        <f t="shared" si="978"/>
        <v>5.5600000000000005</v>
      </c>
      <c r="MC64" s="379">
        <f t="shared" ref="MC64:ME64" si="1084">SUM(MC26)</f>
        <v>0</v>
      </c>
      <c r="MD64" s="369">
        <f t="shared" si="1084"/>
        <v>0</v>
      </c>
      <c r="ME64" s="369">
        <f t="shared" si="1084"/>
        <v>0</v>
      </c>
      <c r="MF64" s="369" t="e">
        <f t="shared" si="979"/>
        <v>#DIV/0!</v>
      </c>
      <c r="MG64" s="370" t="e">
        <f t="shared" si="980"/>
        <v>#DIV/0!</v>
      </c>
      <c r="MI64" s="379">
        <f t="shared" ref="MI64:MK64" si="1085">SUM(MI26)</f>
        <v>7520</v>
      </c>
      <c r="MJ64" s="369">
        <f t="shared" si="1085"/>
        <v>37.6</v>
      </c>
      <c r="MK64" s="369">
        <f t="shared" si="1085"/>
        <v>5</v>
      </c>
      <c r="ML64" s="369">
        <f t="shared" si="981"/>
        <v>200</v>
      </c>
      <c r="MM64" s="370">
        <f t="shared" si="982"/>
        <v>7.5200000000000005</v>
      </c>
      <c r="MO64" s="379">
        <f t="shared" ref="MO64:MQ64" si="1086">SUM(MO26)</f>
        <v>0</v>
      </c>
      <c r="MP64" s="369">
        <f t="shared" si="1086"/>
        <v>0</v>
      </c>
      <c r="MQ64" s="369">
        <f t="shared" si="1086"/>
        <v>0</v>
      </c>
      <c r="MR64" s="369" t="e">
        <f t="shared" si="983"/>
        <v>#DIV/0!</v>
      </c>
      <c r="MS64" s="370" t="e">
        <f t="shared" si="984"/>
        <v>#DIV/0!</v>
      </c>
      <c r="MU64" s="379">
        <f t="shared" ref="MU64:MW64" si="1087">SUM(MU26)</f>
        <v>0</v>
      </c>
      <c r="MV64" s="369">
        <f t="shared" si="1087"/>
        <v>0</v>
      </c>
      <c r="MW64" s="369">
        <f t="shared" si="1087"/>
        <v>0</v>
      </c>
      <c r="MX64" s="369" t="e">
        <f t="shared" si="985"/>
        <v>#DIV/0!</v>
      </c>
      <c r="MY64" s="370" t="e">
        <f t="shared" si="986"/>
        <v>#DIV/0!</v>
      </c>
      <c r="NA64" s="755">
        <f t="shared" ref="NA64:NC64" si="1088">SUM(NA26)</f>
        <v>5780</v>
      </c>
      <c r="NB64" s="384">
        <f t="shared" si="1088"/>
        <v>23.200000000000003</v>
      </c>
      <c r="NC64" s="384">
        <f t="shared" si="1088"/>
        <v>5</v>
      </c>
      <c r="ND64" s="369">
        <f t="shared" si="987"/>
        <v>249.13793103448273</v>
      </c>
      <c r="NE64" s="370">
        <f t="shared" si="988"/>
        <v>4.6400000000000006</v>
      </c>
      <c r="NG64" s="379">
        <f t="shared" ref="NG64:NI64" si="1089">SUM(NG26)</f>
        <v>4580</v>
      </c>
      <c r="NH64" s="369">
        <f t="shared" si="1089"/>
        <v>23.8</v>
      </c>
      <c r="NI64" s="369">
        <f t="shared" si="1089"/>
        <v>5</v>
      </c>
      <c r="NJ64" s="369">
        <f t="shared" si="989"/>
        <v>192.43697478991595</v>
      </c>
      <c r="NK64" s="370">
        <f t="shared" si="990"/>
        <v>4.76</v>
      </c>
      <c r="NM64" s="379">
        <f t="shared" ref="NM64:NO64" si="1090">SUM(NM26)</f>
        <v>0</v>
      </c>
      <c r="NN64" s="369">
        <f t="shared" si="1090"/>
        <v>0</v>
      </c>
      <c r="NO64" s="369">
        <f t="shared" si="1090"/>
        <v>0</v>
      </c>
      <c r="NP64" s="369" t="e">
        <f t="shared" si="991"/>
        <v>#DIV/0!</v>
      </c>
      <c r="NQ64" s="370" t="e">
        <f t="shared" si="992"/>
        <v>#DIV/0!</v>
      </c>
      <c r="NS64" s="379">
        <f t="shared" ref="NS64:NU64" si="1091">SUM(NS26)</f>
        <v>0</v>
      </c>
      <c r="NT64" s="369">
        <f t="shared" si="1091"/>
        <v>0</v>
      </c>
      <c r="NU64" s="369">
        <f t="shared" si="1091"/>
        <v>0</v>
      </c>
      <c r="NV64" s="369" t="e">
        <f t="shared" si="993"/>
        <v>#DIV/0!</v>
      </c>
      <c r="NW64" s="370" t="e">
        <f t="shared" si="994"/>
        <v>#DIV/0!</v>
      </c>
      <c r="NY64" s="379">
        <f t="shared" ref="NY64:OA64" si="1092">SUM(NY26)</f>
        <v>0</v>
      </c>
      <c r="NZ64" s="369">
        <f t="shared" si="1092"/>
        <v>0</v>
      </c>
      <c r="OA64" s="369">
        <f t="shared" si="1092"/>
        <v>0</v>
      </c>
      <c r="OB64" s="369" t="e">
        <f t="shared" si="995"/>
        <v>#DIV/0!</v>
      </c>
      <c r="OC64" s="370" t="e">
        <f t="shared" si="996"/>
        <v>#DIV/0!</v>
      </c>
      <c r="OE64" s="379">
        <f t="shared" ref="OE64:OG64" si="1093">SUM(OE26)</f>
        <v>0</v>
      </c>
      <c r="OF64" s="369">
        <f t="shared" si="1093"/>
        <v>0</v>
      </c>
      <c r="OG64" s="369">
        <f t="shared" si="1093"/>
        <v>0</v>
      </c>
      <c r="OH64" s="369" t="e">
        <f t="shared" si="997"/>
        <v>#DIV/0!</v>
      </c>
      <c r="OI64" s="370" t="e">
        <f t="shared" si="998"/>
        <v>#DIV/0!</v>
      </c>
    </row>
    <row r="65" spans="1:399">
      <c r="A65" s="715" t="s">
        <v>376</v>
      </c>
      <c r="B65" s="720" t="s">
        <v>372</v>
      </c>
      <c r="C65" s="722"/>
      <c r="D65" s="723" t="s">
        <v>14</v>
      </c>
      <c r="E65" s="79"/>
      <c r="F65" s="82"/>
      <c r="G65" s="79"/>
      <c r="H65" s="361"/>
      <c r="I65" s="362"/>
      <c r="J65" s="589"/>
      <c r="K65" s="79"/>
      <c r="L65" s="82"/>
      <c r="M65" s="79"/>
      <c r="N65" s="361"/>
      <c r="O65" s="362"/>
      <c r="P65" s="589"/>
      <c r="Q65" s="79"/>
      <c r="R65" s="82"/>
      <c r="S65" s="79"/>
      <c r="T65" s="361"/>
      <c r="U65" s="362"/>
      <c r="V65" s="589"/>
      <c r="W65" s="79"/>
      <c r="X65" s="82"/>
      <c r="Y65" s="79"/>
      <c r="Z65" s="361"/>
      <c r="AA65" s="362"/>
      <c r="AB65" s="589"/>
      <c r="AC65" s="79"/>
      <c r="AD65" s="82"/>
      <c r="AE65" s="79"/>
      <c r="AF65" s="361"/>
      <c r="AG65" s="362"/>
      <c r="AH65" s="589"/>
      <c r="AI65" s="79"/>
      <c r="AJ65" s="82"/>
      <c r="AK65" s="79"/>
      <c r="AL65" s="361"/>
      <c r="AM65" s="362"/>
      <c r="AN65" s="589"/>
      <c r="AO65" s="79"/>
      <c r="AP65" s="82"/>
      <c r="AQ65" s="79"/>
      <c r="AR65" s="361"/>
      <c r="AS65" s="362"/>
      <c r="AT65" s="589"/>
      <c r="AU65" s="79"/>
      <c r="AV65" s="82"/>
      <c r="AW65" s="79"/>
      <c r="AX65" s="361"/>
      <c r="AY65" s="362"/>
      <c r="AZ65" s="362"/>
      <c r="BA65" s="79"/>
      <c r="BB65" s="82"/>
      <c r="BC65" s="79"/>
      <c r="BD65" s="361"/>
      <c r="BE65" s="362"/>
      <c r="BF65" s="362"/>
      <c r="BG65" s="79"/>
      <c r="BH65" s="82"/>
      <c r="BI65" s="79"/>
      <c r="BJ65" s="361"/>
      <c r="BK65" s="362"/>
      <c r="BL65" s="362"/>
      <c r="BM65" s="79"/>
      <c r="BN65" s="82"/>
      <c r="BO65" s="79"/>
      <c r="BP65" s="361"/>
      <c r="BQ65" s="362"/>
      <c r="BR65" s="589"/>
      <c r="BS65" s="79"/>
      <c r="BT65" s="82"/>
      <c r="BU65" s="79"/>
      <c r="BV65" s="361"/>
      <c r="BW65" s="362"/>
      <c r="BX65" s="362"/>
      <c r="BY65" s="79"/>
      <c r="BZ65" s="82"/>
      <c r="CA65" s="79"/>
      <c r="CB65" s="361"/>
      <c r="CC65" s="362"/>
      <c r="CD65" s="362"/>
      <c r="CE65" s="79"/>
      <c r="CF65" s="82"/>
      <c r="CG65" s="79"/>
      <c r="CH65" s="361"/>
      <c r="CI65" s="362"/>
      <c r="CJ65" s="362"/>
      <c r="CK65" s="79"/>
      <c r="CL65" s="82"/>
      <c r="CM65" s="79"/>
      <c r="CN65" s="361"/>
      <c r="CO65" s="362"/>
      <c r="CP65" s="362"/>
      <c r="CQ65" s="79"/>
      <c r="CR65" s="82"/>
      <c r="CS65" s="79"/>
      <c r="CT65" s="361"/>
      <c r="CU65" s="362"/>
      <c r="CV65" s="362"/>
      <c r="CW65" s="79"/>
      <c r="CX65" s="82"/>
      <c r="CY65" s="79"/>
      <c r="CZ65" s="361"/>
      <c r="DA65" s="362"/>
      <c r="DB65" s="362"/>
      <c r="DC65" s="79"/>
      <c r="DD65" s="82"/>
      <c r="DE65" s="79"/>
      <c r="DF65" s="361"/>
      <c r="DG65" s="362"/>
      <c r="DH65" s="362"/>
      <c r="DI65" s="79"/>
      <c r="DJ65" s="82"/>
      <c r="DK65" s="79"/>
      <c r="DL65" s="361"/>
      <c r="DM65" s="362"/>
      <c r="DN65" s="362"/>
      <c r="DO65" s="79"/>
      <c r="DP65" s="82"/>
      <c r="DQ65" s="79"/>
      <c r="DR65" s="361"/>
      <c r="DS65" s="362"/>
      <c r="DT65" s="362"/>
      <c r="DU65" s="79"/>
      <c r="DV65" s="82"/>
      <c r="DW65" s="79"/>
      <c r="DX65" s="361"/>
      <c r="DY65" s="362"/>
      <c r="DZ65" s="362"/>
      <c r="EA65" s="79"/>
      <c r="EB65" s="82"/>
      <c r="EC65" s="79"/>
      <c r="ED65" s="361"/>
      <c r="EE65" s="362"/>
      <c r="EF65" s="362"/>
      <c r="EG65" s="79"/>
      <c r="EH65" s="82"/>
      <c r="EI65" s="79"/>
      <c r="EJ65" s="361"/>
      <c r="EK65" s="362"/>
      <c r="EL65" s="362"/>
      <c r="EM65" s="79"/>
      <c r="EN65" s="82"/>
      <c r="EO65" s="79"/>
      <c r="EP65" s="361"/>
      <c r="EQ65" s="362"/>
      <c r="ER65" s="589"/>
      <c r="ES65" s="79"/>
      <c r="ET65" s="82"/>
      <c r="EU65" s="79"/>
      <c r="EV65" s="361"/>
      <c r="EW65" s="362"/>
      <c r="EY65" s="91"/>
      <c r="EZ65" s="369"/>
      <c r="FA65" s="371"/>
      <c r="FB65" s="369"/>
      <c r="FC65" s="370"/>
      <c r="FE65" s="91"/>
      <c r="FF65" s="369"/>
      <c r="FG65" s="371"/>
      <c r="FH65" s="381"/>
      <c r="FI65" s="370"/>
      <c r="FJ65" s="178"/>
      <c r="FK65" s="91"/>
      <c r="FL65" s="82"/>
      <c r="FM65" s="371"/>
      <c r="FN65" s="361"/>
      <c r="FO65" s="362"/>
      <c r="FQ65" s="379"/>
      <c r="FR65" s="369"/>
      <c r="FS65" s="371"/>
      <c r="FT65" s="381"/>
      <c r="FU65" s="370"/>
      <c r="FV65" s="178"/>
      <c r="FW65" s="91"/>
      <c r="FX65" s="82"/>
      <c r="FY65" s="371"/>
      <c r="FZ65" s="369"/>
      <c r="GA65" s="370"/>
      <c r="GC65" s="91"/>
      <c r="GD65" s="369"/>
      <c r="GE65" s="371"/>
      <c r="GF65" s="361"/>
      <c r="GG65" s="362"/>
      <c r="GI65" s="91"/>
      <c r="GJ65" s="82"/>
      <c r="GK65" s="79"/>
      <c r="GL65" s="82"/>
      <c r="GM65" s="84"/>
      <c r="GO65" s="91"/>
      <c r="GP65" s="82"/>
      <c r="GQ65" s="371"/>
      <c r="GR65" s="361"/>
      <c r="GS65" s="362"/>
      <c r="GU65" s="91"/>
      <c r="GV65" s="82"/>
      <c r="GW65" s="79"/>
      <c r="GX65" s="82"/>
      <c r="GY65" s="84"/>
      <c r="HA65" s="91"/>
      <c r="HB65" s="82"/>
      <c r="HC65" s="79"/>
      <c r="HD65" s="369"/>
      <c r="HE65" s="370"/>
      <c r="HG65" s="91"/>
      <c r="HH65" s="82"/>
      <c r="HI65" s="79"/>
      <c r="HJ65" s="82"/>
      <c r="HK65" s="84"/>
      <c r="HM65" s="91"/>
      <c r="HN65" s="82"/>
      <c r="HO65" s="79"/>
      <c r="HP65" s="369"/>
      <c r="HQ65" s="370"/>
      <c r="HS65" s="91"/>
      <c r="HT65" s="82"/>
      <c r="HU65" s="371"/>
      <c r="HV65" s="369"/>
      <c r="HW65" s="370"/>
      <c r="HX65" s="178"/>
      <c r="HY65" s="91"/>
      <c r="HZ65" s="82"/>
      <c r="IA65" s="371"/>
      <c r="IB65" s="369"/>
      <c r="IC65" s="370"/>
      <c r="IE65" s="91"/>
      <c r="IF65" s="82"/>
      <c r="IG65" s="371"/>
      <c r="IH65" s="369"/>
      <c r="II65" s="370"/>
      <c r="IJ65" s="178"/>
      <c r="IK65" s="379"/>
      <c r="IL65" s="369"/>
      <c r="IM65" s="371"/>
      <c r="IN65" s="369"/>
      <c r="IO65" s="370"/>
      <c r="IP65" s="178"/>
      <c r="IQ65" s="379"/>
      <c r="IR65" s="369"/>
      <c r="IS65" s="371"/>
      <c r="IT65" s="369"/>
      <c r="IU65" s="370"/>
      <c r="IW65" s="379"/>
      <c r="IX65" s="369"/>
      <c r="IY65" s="371"/>
      <c r="IZ65" s="369"/>
      <c r="JA65" s="370"/>
      <c r="JC65" s="379"/>
      <c r="JD65" s="369"/>
      <c r="JE65" s="371"/>
      <c r="JF65" s="369"/>
      <c r="JG65" s="370"/>
      <c r="JI65" s="379"/>
      <c r="JJ65" s="369"/>
      <c r="JK65" s="371"/>
      <c r="JL65" s="369"/>
      <c r="JM65" s="370"/>
      <c r="JO65" s="739">
        <f>JO27</f>
        <v>0</v>
      </c>
      <c r="JP65" s="737">
        <f t="shared" ref="JO65:JQ68" si="1094">JP27</f>
        <v>0</v>
      </c>
      <c r="JQ65" s="740">
        <f t="shared" si="1094"/>
        <v>0</v>
      </c>
      <c r="JR65" s="737" t="e">
        <f t="shared" si="957"/>
        <v>#DIV/0!</v>
      </c>
      <c r="JS65" s="738" t="e">
        <f t="shared" si="958"/>
        <v>#DIV/0!</v>
      </c>
      <c r="JU65" s="739">
        <f t="shared" si="1046"/>
        <v>2500</v>
      </c>
      <c r="JV65" s="737">
        <f t="shared" si="1046"/>
        <v>6.56</v>
      </c>
      <c r="JW65" s="740">
        <f t="shared" si="1046"/>
        <v>5</v>
      </c>
      <c r="JX65" s="737">
        <f t="shared" si="959"/>
        <v>381.09756097560978</v>
      </c>
      <c r="JY65" s="738">
        <f t="shared" si="960"/>
        <v>1.3119999999999998</v>
      </c>
      <c r="KA65" s="739">
        <f t="shared" si="1047"/>
        <v>1150</v>
      </c>
      <c r="KB65" s="737">
        <f t="shared" si="1047"/>
        <v>15.900000000000002</v>
      </c>
      <c r="KC65" s="737">
        <f t="shared" si="1047"/>
        <v>5</v>
      </c>
      <c r="KD65" s="737">
        <f t="shared" si="961"/>
        <v>72.327044025157221</v>
      </c>
      <c r="KE65" s="738">
        <f t="shared" si="962"/>
        <v>3.1800000000000006</v>
      </c>
      <c r="KG65" s="739">
        <f t="shared" ref="KG65:KI65" si="1095">SUM(KG27)</f>
        <v>1200</v>
      </c>
      <c r="KH65" s="737">
        <f t="shared" si="1095"/>
        <v>9.620000000000001</v>
      </c>
      <c r="KI65" s="737">
        <f t="shared" si="1095"/>
        <v>5</v>
      </c>
      <c r="KJ65" s="737">
        <f t="shared" si="963"/>
        <v>124.74012474012473</v>
      </c>
      <c r="KK65" s="738">
        <f t="shared" si="964"/>
        <v>1.9240000000000002</v>
      </c>
      <c r="KM65" s="739">
        <f t="shared" ref="KM65:KO65" si="1096">SUM(KM27)</f>
        <v>0</v>
      </c>
      <c r="KN65" s="737">
        <f t="shared" si="1096"/>
        <v>0</v>
      </c>
      <c r="KO65" s="737">
        <f t="shared" si="1096"/>
        <v>0</v>
      </c>
      <c r="KP65" s="737" t="e">
        <f t="shared" si="965"/>
        <v>#DIV/0!</v>
      </c>
      <c r="KQ65" s="738" t="e">
        <f t="shared" si="966"/>
        <v>#DIV/0!</v>
      </c>
      <c r="KS65" s="739">
        <f t="shared" ref="KS65:KU65" si="1097">SUM(KS27)</f>
        <v>1250</v>
      </c>
      <c r="KT65" s="737">
        <f t="shared" si="1097"/>
        <v>7.7</v>
      </c>
      <c r="KU65" s="737">
        <f t="shared" si="1097"/>
        <v>5</v>
      </c>
      <c r="KV65" s="737">
        <f t="shared" si="967"/>
        <v>162.33766233766232</v>
      </c>
      <c r="KW65" s="738">
        <f t="shared" si="968"/>
        <v>1.54</v>
      </c>
      <c r="KY65" s="739">
        <f t="shared" ref="KY65:LA65" si="1098">SUM(KY27)</f>
        <v>0</v>
      </c>
      <c r="KZ65" s="737">
        <f t="shared" si="1098"/>
        <v>0</v>
      </c>
      <c r="LA65" s="737">
        <f t="shared" si="1098"/>
        <v>0</v>
      </c>
      <c r="LB65" s="737" t="e">
        <f t="shared" si="969"/>
        <v>#DIV/0!</v>
      </c>
      <c r="LC65" s="738" t="e">
        <f t="shared" si="970"/>
        <v>#DIV/0!</v>
      </c>
      <c r="LE65" s="739">
        <f t="shared" ref="LE65:LG65" si="1099">SUM(LE27)</f>
        <v>0</v>
      </c>
      <c r="LF65" s="737">
        <f t="shared" si="1099"/>
        <v>0</v>
      </c>
      <c r="LG65" s="737">
        <f t="shared" si="1099"/>
        <v>0</v>
      </c>
      <c r="LH65" s="737" t="e">
        <f t="shared" si="971"/>
        <v>#DIV/0!</v>
      </c>
      <c r="LI65" s="738" t="e">
        <f t="shared" si="972"/>
        <v>#DIV/0!</v>
      </c>
      <c r="LK65" s="739">
        <f t="shared" ref="LK65:LM65" si="1100">SUM(LK27)</f>
        <v>600</v>
      </c>
      <c r="LL65" s="737">
        <f t="shared" si="1100"/>
        <v>8.06</v>
      </c>
      <c r="LM65" s="737">
        <f t="shared" si="1100"/>
        <v>5</v>
      </c>
      <c r="LN65" s="737">
        <f t="shared" si="973"/>
        <v>74.441687344913149</v>
      </c>
      <c r="LO65" s="738">
        <f t="shared" si="974"/>
        <v>1.6120000000000001</v>
      </c>
      <c r="LQ65" s="739">
        <f t="shared" ref="LQ65:LS65" si="1101">SUM(LQ27)</f>
        <v>900</v>
      </c>
      <c r="LR65" s="737">
        <f t="shared" si="1101"/>
        <v>8.61</v>
      </c>
      <c r="LS65" s="737">
        <f t="shared" si="1101"/>
        <v>3</v>
      </c>
      <c r="LT65" s="737">
        <f t="shared" si="975"/>
        <v>104.52961672473869</v>
      </c>
      <c r="LU65" s="738">
        <f t="shared" si="976"/>
        <v>2.8699999999999997</v>
      </c>
      <c r="LW65" s="739">
        <f t="shared" ref="LW65:LY65" si="1102">SUM(LW27)</f>
        <v>0</v>
      </c>
      <c r="LX65" s="737">
        <f t="shared" si="1102"/>
        <v>0</v>
      </c>
      <c r="LY65" s="737">
        <f t="shared" si="1102"/>
        <v>0</v>
      </c>
      <c r="LZ65" s="737" t="e">
        <f t="shared" si="977"/>
        <v>#DIV/0!</v>
      </c>
      <c r="MA65" s="738" t="e">
        <f t="shared" si="978"/>
        <v>#DIV/0!</v>
      </c>
      <c r="MC65" s="739">
        <f t="shared" ref="MC65:ME65" si="1103">SUM(MC27)</f>
        <v>0</v>
      </c>
      <c r="MD65" s="737">
        <f t="shared" si="1103"/>
        <v>0</v>
      </c>
      <c r="ME65" s="737">
        <f t="shared" si="1103"/>
        <v>0</v>
      </c>
      <c r="MF65" s="737" t="e">
        <f t="shared" si="979"/>
        <v>#DIV/0!</v>
      </c>
      <c r="MG65" s="738" t="e">
        <f t="shared" si="980"/>
        <v>#DIV/0!</v>
      </c>
      <c r="MI65" s="739">
        <f t="shared" ref="MI65:MK65" si="1104">SUM(MI27)</f>
        <v>1050</v>
      </c>
      <c r="MJ65" s="737">
        <f t="shared" si="1104"/>
        <v>6.0200000000000005</v>
      </c>
      <c r="MK65" s="737">
        <f t="shared" si="1104"/>
        <v>5</v>
      </c>
      <c r="ML65" s="737">
        <f t="shared" si="981"/>
        <v>174.41860465116278</v>
      </c>
      <c r="MM65" s="738">
        <f t="shared" si="982"/>
        <v>1.2040000000000002</v>
      </c>
      <c r="MO65" s="739">
        <f t="shared" ref="MO65:MQ65" si="1105">SUM(MO27)</f>
        <v>0</v>
      </c>
      <c r="MP65" s="737">
        <f t="shared" si="1105"/>
        <v>0</v>
      </c>
      <c r="MQ65" s="737">
        <f t="shared" si="1105"/>
        <v>0</v>
      </c>
      <c r="MR65" s="737" t="e">
        <f t="shared" si="983"/>
        <v>#DIV/0!</v>
      </c>
      <c r="MS65" s="738" t="e">
        <f t="shared" si="984"/>
        <v>#DIV/0!</v>
      </c>
      <c r="MU65" s="739">
        <f t="shared" ref="MU65:MW65" si="1106">SUM(MU27)</f>
        <v>0</v>
      </c>
      <c r="MV65" s="737">
        <f t="shared" si="1106"/>
        <v>0</v>
      </c>
      <c r="MW65" s="737">
        <f t="shared" si="1106"/>
        <v>0</v>
      </c>
      <c r="MX65" s="737" t="e">
        <f t="shared" si="985"/>
        <v>#DIV/0!</v>
      </c>
      <c r="MY65" s="738" t="e">
        <f t="shared" si="986"/>
        <v>#DIV/0!</v>
      </c>
      <c r="NA65" s="743">
        <f t="shared" ref="NA65:NC65" si="1107">SUM(NA27)</f>
        <v>0</v>
      </c>
      <c r="NB65" s="744">
        <f t="shared" si="1107"/>
        <v>0</v>
      </c>
      <c r="NC65" s="744">
        <f t="shared" si="1107"/>
        <v>0</v>
      </c>
      <c r="ND65" s="737" t="e">
        <f t="shared" si="987"/>
        <v>#DIV/0!</v>
      </c>
      <c r="NE65" s="738" t="e">
        <f t="shared" si="988"/>
        <v>#DIV/0!</v>
      </c>
      <c r="NG65" s="739">
        <f t="shared" ref="NG65:NI65" si="1108">SUM(NG27)</f>
        <v>530</v>
      </c>
      <c r="NH65" s="737">
        <f t="shared" si="1108"/>
        <v>4.6899999999999995</v>
      </c>
      <c r="NI65" s="737">
        <f t="shared" si="1108"/>
        <v>5</v>
      </c>
      <c r="NJ65" s="737">
        <f t="shared" si="989"/>
        <v>113.00639658848615</v>
      </c>
      <c r="NK65" s="738">
        <f t="shared" si="990"/>
        <v>0.93799999999999994</v>
      </c>
      <c r="NM65" s="739">
        <f t="shared" ref="NM65:NO65" si="1109">SUM(NM27)</f>
        <v>950</v>
      </c>
      <c r="NN65" s="737">
        <f t="shared" si="1109"/>
        <v>3.76</v>
      </c>
      <c r="NO65" s="737">
        <f t="shared" si="1109"/>
        <v>5</v>
      </c>
      <c r="NP65" s="737">
        <f t="shared" si="991"/>
        <v>252.65957446808511</v>
      </c>
      <c r="NQ65" s="738">
        <f t="shared" si="992"/>
        <v>0.752</v>
      </c>
      <c r="NS65" s="739">
        <f t="shared" ref="NS65:NU65" si="1110">SUM(NS27)</f>
        <v>0</v>
      </c>
      <c r="NT65" s="737">
        <f t="shared" si="1110"/>
        <v>0</v>
      </c>
      <c r="NU65" s="737">
        <f t="shared" si="1110"/>
        <v>0</v>
      </c>
      <c r="NV65" s="737" t="e">
        <f t="shared" si="993"/>
        <v>#DIV/0!</v>
      </c>
      <c r="NW65" s="738" t="e">
        <f t="shared" si="994"/>
        <v>#DIV/0!</v>
      </c>
      <c r="NY65" s="739">
        <f t="shared" ref="NY65:OA65" si="1111">SUM(NY27)</f>
        <v>2900</v>
      </c>
      <c r="NZ65" s="737">
        <f t="shared" si="1111"/>
        <v>12.259999999999998</v>
      </c>
      <c r="OA65" s="737">
        <f t="shared" si="1111"/>
        <v>5</v>
      </c>
      <c r="OB65" s="737">
        <f t="shared" si="995"/>
        <v>236.54159869494293</v>
      </c>
      <c r="OC65" s="738">
        <f t="shared" si="996"/>
        <v>2.4519999999999995</v>
      </c>
      <c r="OE65" s="739">
        <f t="shared" ref="OE65:OG65" si="1112">SUM(OE27)</f>
        <v>900</v>
      </c>
      <c r="OF65" s="737">
        <f t="shared" si="1112"/>
        <v>8.36</v>
      </c>
      <c r="OG65" s="737">
        <f t="shared" si="1112"/>
        <v>5</v>
      </c>
      <c r="OH65" s="737">
        <f t="shared" si="997"/>
        <v>107.6555023923445</v>
      </c>
      <c r="OI65" s="738">
        <f t="shared" si="998"/>
        <v>1.6719999999999999</v>
      </c>
    </row>
    <row r="66" spans="1:399">
      <c r="A66" s="715" t="s">
        <v>376</v>
      </c>
      <c r="B66" s="720" t="s">
        <v>373</v>
      </c>
      <c r="C66" s="722"/>
      <c r="D66" s="723" t="s">
        <v>14</v>
      </c>
      <c r="E66" s="79"/>
      <c r="F66" s="82"/>
      <c r="G66" s="79"/>
      <c r="H66" s="361"/>
      <c r="I66" s="362"/>
      <c r="J66" s="589"/>
      <c r="K66" s="79"/>
      <c r="L66" s="82"/>
      <c r="M66" s="79"/>
      <c r="N66" s="361"/>
      <c r="O66" s="362"/>
      <c r="P66" s="589"/>
      <c r="Q66" s="79"/>
      <c r="R66" s="82"/>
      <c r="S66" s="79"/>
      <c r="T66" s="361"/>
      <c r="U66" s="362"/>
      <c r="V66" s="589"/>
      <c r="W66" s="79"/>
      <c r="X66" s="82"/>
      <c r="Y66" s="79"/>
      <c r="Z66" s="361"/>
      <c r="AA66" s="362"/>
      <c r="AB66" s="589"/>
      <c r="AC66" s="79"/>
      <c r="AD66" s="82"/>
      <c r="AE66" s="79"/>
      <c r="AF66" s="361"/>
      <c r="AG66" s="362"/>
      <c r="AH66" s="589"/>
      <c r="AI66" s="79"/>
      <c r="AJ66" s="82"/>
      <c r="AK66" s="79"/>
      <c r="AL66" s="361"/>
      <c r="AM66" s="362"/>
      <c r="AN66" s="589"/>
      <c r="AO66" s="79"/>
      <c r="AP66" s="82"/>
      <c r="AQ66" s="79"/>
      <c r="AR66" s="361"/>
      <c r="AS66" s="362"/>
      <c r="AT66" s="589"/>
      <c r="AU66" s="79"/>
      <c r="AV66" s="82"/>
      <c r="AW66" s="79"/>
      <c r="AX66" s="361"/>
      <c r="AY66" s="362"/>
      <c r="AZ66" s="362"/>
      <c r="BA66" s="79"/>
      <c r="BB66" s="82"/>
      <c r="BC66" s="79"/>
      <c r="BD66" s="361"/>
      <c r="BE66" s="362"/>
      <c r="BF66" s="362"/>
      <c r="BG66" s="79"/>
      <c r="BH66" s="82"/>
      <c r="BI66" s="79"/>
      <c r="BJ66" s="361"/>
      <c r="BK66" s="362"/>
      <c r="BL66" s="362"/>
      <c r="BM66" s="79"/>
      <c r="BN66" s="82"/>
      <c r="BO66" s="79"/>
      <c r="BP66" s="361"/>
      <c r="BQ66" s="362"/>
      <c r="BR66" s="589"/>
      <c r="BS66" s="79"/>
      <c r="BT66" s="82"/>
      <c r="BU66" s="79"/>
      <c r="BV66" s="361"/>
      <c r="BW66" s="362"/>
      <c r="BX66" s="362"/>
      <c r="BY66" s="79"/>
      <c r="BZ66" s="82"/>
      <c r="CA66" s="79"/>
      <c r="CB66" s="361"/>
      <c r="CC66" s="362"/>
      <c r="CD66" s="362"/>
      <c r="CE66" s="79"/>
      <c r="CF66" s="82"/>
      <c r="CG66" s="79"/>
      <c r="CH66" s="361"/>
      <c r="CI66" s="362"/>
      <c r="CJ66" s="362"/>
      <c r="CK66" s="79"/>
      <c r="CL66" s="82"/>
      <c r="CM66" s="79"/>
      <c r="CN66" s="361"/>
      <c r="CO66" s="362"/>
      <c r="CP66" s="362"/>
      <c r="CQ66" s="79"/>
      <c r="CR66" s="82"/>
      <c r="CS66" s="79"/>
      <c r="CT66" s="361"/>
      <c r="CU66" s="362"/>
      <c r="CV66" s="362"/>
      <c r="CW66" s="79"/>
      <c r="CX66" s="82"/>
      <c r="CY66" s="79"/>
      <c r="CZ66" s="361"/>
      <c r="DA66" s="362"/>
      <c r="DB66" s="362"/>
      <c r="DC66" s="79"/>
      <c r="DD66" s="82"/>
      <c r="DE66" s="79"/>
      <c r="DF66" s="361"/>
      <c r="DG66" s="362"/>
      <c r="DH66" s="362"/>
      <c r="DI66" s="79"/>
      <c r="DJ66" s="82"/>
      <c r="DK66" s="79"/>
      <c r="DL66" s="361"/>
      <c r="DM66" s="362"/>
      <c r="DN66" s="362"/>
      <c r="DO66" s="79"/>
      <c r="DP66" s="82"/>
      <c r="DQ66" s="79"/>
      <c r="DR66" s="361"/>
      <c r="DS66" s="362"/>
      <c r="DT66" s="362"/>
      <c r="DU66" s="79"/>
      <c r="DV66" s="82"/>
      <c r="DW66" s="79"/>
      <c r="DX66" s="361"/>
      <c r="DY66" s="362"/>
      <c r="DZ66" s="362"/>
      <c r="EA66" s="79"/>
      <c r="EB66" s="82"/>
      <c r="EC66" s="79"/>
      <c r="ED66" s="361"/>
      <c r="EE66" s="362"/>
      <c r="EF66" s="362"/>
      <c r="EG66" s="79"/>
      <c r="EH66" s="82"/>
      <c r="EI66" s="79"/>
      <c r="EJ66" s="361"/>
      <c r="EK66" s="362"/>
      <c r="EL66" s="362"/>
      <c r="EM66" s="79"/>
      <c r="EN66" s="82"/>
      <c r="EO66" s="79"/>
      <c r="EP66" s="361"/>
      <c r="EQ66" s="362"/>
      <c r="ER66" s="589"/>
      <c r="ES66" s="79"/>
      <c r="ET66" s="82"/>
      <c r="EU66" s="79"/>
      <c r="EV66" s="361"/>
      <c r="EW66" s="362"/>
      <c r="EY66" s="91"/>
      <c r="EZ66" s="369"/>
      <c r="FA66" s="371"/>
      <c r="FB66" s="369"/>
      <c r="FC66" s="370"/>
      <c r="FE66" s="91"/>
      <c r="FF66" s="369"/>
      <c r="FG66" s="371"/>
      <c r="FH66" s="381"/>
      <c r="FI66" s="370"/>
      <c r="FJ66" s="178"/>
      <c r="FK66" s="91"/>
      <c r="FL66" s="82"/>
      <c r="FM66" s="371"/>
      <c r="FN66" s="361"/>
      <c r="FO66" s="362"/>
      <c r="FQ66" s="379"/>
      <c r="FR66" s="369"/>
      <c r="FS66" s="371"/>
      <c r="FT66" s="381"/>
      <c r="FU66" s="370"/>
      <c r="FV66" s="178"/>
      <c r="FW66" s="91"/>
      <c r="FX66" s="82"/>
      <c r="FY66" s="371"/>
      <c r="FZ66" s="369"/>
      <c r="GA66" s="370"/>
      <c r="GC66" s="91"/>
      <c r="GD66" s="369"/>
      <c r="GE66" s="371"/>
      <c r="GF66" s="361"/>
      <c r="GG66" s="362"/>
      <c r="GI66" s="91"/>
      <c r="GJ66" s="82"/>
      <c r="GK66" s="79"/>
      <c r="GL66" s="82"/>
      <c r="GM66" s="84"/>
      <c r="GO66" s="91"/>
      <c r="GP66" s="82"/>
      <c r="GQ66" s="371"/>
      <c r="GR66" s="361"/>
      <c r="GS66" s="362"/>
      <c r="GU66" s="91"/>
      <c r="GV66" s="82"/>
      <c r="GW66" s="79"/>
      <c r="GX66" s="82"/>
      <c r="GY66" s="84"/>
      <c r="HA66" s="91"/>
      <c r="HB66" s="82"/>
      <c r="HC66" s="79"/>
      <c r="HD66" s="369"/>
      <c r="HE66" s="370"/>
      <c r="HG66" s="91"/>
      <c r="HH66" s="82"/>
      <c r="HI66" s="79"/>
      <c r="HJ66" s="82"/>
      <c r="HK66" s="84"/>
      <c r="HM66" s="91"/>
      <c r="HN66" s="82"/>
      <c r="HO66" s="79"/>
      <c r="HP66" s="369"/>
      <c r="HQ66" s="370"/>
      <c r="HS66" s="91"/>
      <c r="HT66" s="82"/>
      <c r="HU66" s="371"/>
      <c r="HV66" s="369"/>
      <c r="HW66" s="370"/>
      <c r="HX66" s="178"/>
      <c r="HY66" s="91"/>
      <c r="HZ66" s="82"/>
      <c r="IA66" s="371"/>
      <c r="IB66" s="369"/>
      <c r="IC66" s="370"/>
      <c r="IE66" s="91"/>
      <c r="IF66" s="82"/>
      <c r="IG66" s="371"/>
      <c r="IH66" s="369"/>
      <c r="II66" s="370"/>
      <c r="IJ66" s="178"/>
      <c r="IK66" s="379"/>
      <c r="IL66" s="369"/>
      <c r="IM66" s="371"/>
      <c r="IN66" s="369"/>
      <c r="IO66" s="370"/>
      <c r="IP66" s="178"/>
      <c r="IQ66" s="379"/>
      <c r="IR66" s="369"/>
      <c r="IS66" s="371"/>
      <c r="IT66" s="369"/>
      <c r="IU66" s="370"/>
      <c r="IW66" s="379"/>
      <c r="IX66" s="369"/>
      <c r="IY66" s="371"/>
      <c r="IZ66" s="369"/>
      <c r="JA66" s="370"/>
      <c r="JC66" s="379"/>
      <c r="JD66" s="369"/>
      <c r="JE66" s="371"/>
      <c r="JF66" s="369"/>
      <c r="JG66" s="370"/>
      <c r="JI66" s="379"/>
      <c r="JJ66" s="369"/>
      <c r="JK66" s="371"/>
      <c r="JL66" s="369"/>
      <c r="JM66" s="370"/>
      <c r="JO66" s="739">
        <f t="shared" si="1094"/>
        <v>1500</v>
      </c>
      <c r="JP66" s="737">
        <f t="shared" si="1094"/>
        <v>5.0500000000000007</v>
      </c>
      <c r="JQ66" s="740">
        <f t="shared" si="1094"/>
        <v>5</v>
      </c>
      <c r="JR66" s="737">
        <f t="shared" si="957"/>
        <v>297.02970297029697</v>
      </c>
      <c r="JS66" s="738">
        <f t="shared" si="958"/>
        <v>1.0100000000000002</v>
      </c>
      <c r="JU66" s="739">
        <f t="shared" si="1046"/>
        <v>1000</v>
      </c>
      <c r="JV66" s="737">
        <f t="shared" si="1046"/>
        <v>5.0500000000000007</v>
      </c>
      <c r="JW66" s="740">
        <f t="shared" si="1046"/>
        <v>5</v>
      </c>
      <c r="JX66" s="737">
        <f t="shared" si="959"/>
        <v>198.019801980198</v>
      </c>
      <c r="JY66" s="738">
        <f t="shared" si="960"/>
        <v>1.0100000000000002</v>
      </c>
      <c r="KA66" s="739">
        <f t="shared" si="1047"/>
        <v>1000</v>
      </c>
      <c r="KB66" s="737">
        <f t="shared" si="1047"/>
        <v>2.8200000000000003</v>
      </c>
      <c r="KC66" s="737">
        <f t="shared" si="1047"/>
        <v>5</v>
      </c>
      <c r="KD66" s="737">
        <f t="shared" si="961"/>
        <v>354.60992907801415</v>
      </c>
      <c r="KE66" s="738">
        <f t="shared" si="962"/>
        <v>0.56400000000000006</v>
      </c>
      <c r="KG66" s="739">
        <f t="shared" ref="KG66:KI66" si="1113">SUM(KG28)</f>
        <v>1000</v>
      </c>
      <c r="KH66" s="737">
        <f t="shared" si="1113"/>
        <v>2.1399999999999997</v>
      </c>
      <c r="KI66" s="737">
        <f t="shared" si="1113"/>
        <v>5</v>
      </c>
      <c r="KJ66" s="737">
        <f t="shared" si="963"/>
        <v>467.28971962616828</v>
      </c>
      <c r="KK66" s="738">
        <f t="shared" si="964"/>
        <v>0.42799999999999994</v>
      </c>
      <c r="KM66" s="739">
        <f t="shared" ref="KM66:KO66" si="1114">SUM(KM28)</f>
        <v>600</v>
      </c>
      <c r="KN66" s="737">
        <f t="shared" si="1114"/>
        <v>2.9899999999999998</v>
      </c>
      <c r="KO66" s="737">
        <f t="shared" si="1114"/>
        <v>3</v>
      </c>
      <c r="KP66" s="737">
        <f t="shared" si="965"/>
        <v>200.66889632107024</v>
      </c>
      <c r="KQ66" s="738">
        <f t="shared" si="966"/>
        <v>0.99666666666666659</v>
      </c>
      <c r="KS66" s="739">
        <f t="shared" ref="KS66:KU66" si="1115">SUM(KS28)</f>
        <v>1000</v>
      </c>
      <c r="KT66" s="737">
        <f t="shared" si="1115"/>
        <v>4.46</v>
      </c>
      <c r="KU66" s="737">
        <f t="shared" si="1115"/>
        <v>5</v>
      </c>
      <c r="KV66" s="737">
        <f t="shared" si="967"/>
        <v>224.2152466367713</v>
      </c>
      <c r="KW66" s="738">
        <f t="shared" si="968"/>
        <v>0.89200000000000002</v>
      </c>
      <c r="KY66" s="739">
        <f t="shared" ref="KY66:LA66" si="1116">SUM(KY28)</f>
        <v>0</v>
      </c>
      <c r="KZ66" s="737">
        <f t="shared" si="1116"/>
        <v>0</v>
      </c>
      <c r="LA66" s="737">
        <f t="shared" si="1116"/>
        <v>0</v>
      </c>
      <c r="LB66" s="737" t="e">
        <f t="shared" si="969"/>
        <v>#DIV/0!</v>
      </c>
      <c r="LC66" s="738" t="e">
        <f t="shared" si="970"/>
        <v>#DIV/0!</v>
      </c>
      <c r="LE66" s="739">
        <f t="shared" ref="LE66:LG66" si="1117">SUM(LE28)</f>
        <v>0</v>
      </c>
      <c r="LF66" s="737">
        <f t="shared" si="1117"/>
        <v>0</v>
      </c>
      <c r="LG66" s="737">
        <f t="shared" si="1117"/>
        <v>0</v>
      </c>
      <c r="LH66" s="737" t="e">
        <f t="shared" si="971"/>
        <v>#DIV/0!</v>
      </c>
      <c r="LI66" s="738" t="e">
        <f t="shared" si="972"/>
        <v>#DIV/0!</v>
      </c>
      <c r="LK66" s="739">
        <f t="shared" ref="LK66:LM66" si="1118">SUM(LK28)</f>
        <v>1000</v>
      </c>
      <c r="LL66" s="737">
        <f t="shared" si="1118"/>
        <v>5</v>
      </c>
      <c r="LM66" s="737">
        <f t="shared" si="1118"/>
        <v>5</v>
      </c>
      <c r="LN66" s="737">
        <f t="shared" si="973"/>
        <v>200</v>
      </c>
      <c r="LO66" s="738">
        <f t="shared" si="974"/>
        <v>1</v>
      </c>
      <c r="LQ66" s="739">
        <f t="shared" ref="LQ66:LS66" si="1119">SUM(LQ28)</f>
        <v>0</v>
      </c>
      <c r="LR66" s="737">
        <f t="shared" si="1119"/>
        <v>0</v>
      </c>
      <c r="LS66" s="737">
        <f t="shared" si="1119"/>
        <v>0</v>
      </c>
      <c r="LT66" s="737" t="e">
        <f t="shared" si="975"/>
        <v>#DIV/0!</v>
      </c>
      <c r="LU66" s="738" t="e">
        <f t="shared" si="976"/>
        <v>#DIV/0!</v>
      </c>
      <c r="LW66" s="739">
        <f t="shared" ref="LW66:LY66" si="1120">SUM(LW28)</f>
        <v>0</v>
      </c>
      <c r="LX66" s="737">
        <f t="shared" si="1120"/>
        <v>0</v>
      </c>
      <c r="LY66" s="737">
        <f t="shared" si="1120"/>
        <v>0</v>
      </c>
      <c r="LZ66" s="737" t="e">
        <f t="shared" si="977"/>
        <v>#DIV/0!</v>
      </c>
      <c r="MA66" s="738" t="e">
        <f t="shared" si="978"/>
        <v>#DIV/0!</v>
      </c>
      <c r="MC66" s="739">
        <f t="shared" ref="MC66:ME66" si="1121">SUM(MC28)</f>
        <v>800</v>
      </c>
      <c r="MD66" s="737">
        <f t="shared" si="1121"/>
        <v>3.74</v>
      </c>
      <c r="ME66" s="737">
        <f t="shared" si="1121"/>
        <v>5</v>
      </c>
      <c r="MF66" s="737">
        <f t="shared" si="979"/>
        <v>213.903743315508</v>
      </c>
      <c r="MG66" s="738">
        <f t="shared" si="980"/>
        <v>0.748</v>
      </c>
      <c r="MI66" s="739">
        <f t="shared" ref="MI66:MK66" si="1122">SUM(MI28)</f>
        <v>1000</v>
      </c>
      <c r="MJ66" s="737">
        <f t="shared" si="1122"/>
        <v>5.51</v>
      </c>
      <c r="MK66" s="737">
        <f t="shared" si="1122"/>
        <v>5</v>
      </c>
      <c r="ML66" s="737">
        <f t="shared" si="981"/>
        <v>181.48820326678768</v>
      </c>
      <c r="MM66" s="738">
        <f t="shared" si="982"/>
        <v>1.1019999999999999</v>
      </c>
      <c r="MO66" s="739">
        <f t="shared" ref="MO66:MQ66" si="1123">SUM(MO28)</f>
        <v>0</v>
      </c>
      <c r="MP66" s="737">
        <f t="shared" si="1123"/>
        <v>0</v>
      </c>
      <c r="MQ66" s="737">
        <f t="shared" si="1123"/>
        <v>0</v>
      </c>
      <c r="MR66" s="737" t="e">
        <f t="shared" si="983"/>
        <v>#DIV/0!</v>
      </c>
      <c r="MS66" s="738" t="e">
        <f t="shared" si="984"/>
        <v>#DIV/0!</v>
      </c>
      <c r="MU66" s="739">
        <f t="shared" ref="MU66:MW66" si="1124">SUM(MU28)</f>
        <v>0</v>
      </c>
      <c r="MV66" s="737">
        <f t="shared" si="1124"/>
        <v>0</v>
      </c>
      <c r="MW66" s="737">
        <f t="shared" si="1124"/>
        <v>0</v>
      </c>
      <c r="MX66" s="737" t="e">
        <f t="shared" si="985"/>
        <v>#DIV/0!</v>
      </c>
      <c r="MY66" s="738" t="e">
        <f t="shared" si="986"/>
        <v>#DIV/0!</v>
      </c>
      <c r="NA66" s="743">
        <f t="shared" ref="NA66:NC66" si="1125">SUM(NA28)</f>
        <v>500</v>
      </c>
      <c r="NB66" s="744">
        <f t="shared" si="1125"/>
        <v>5.87</v>
      </c>
      <c r="NC66" s="744">
        <f t="shared" si="1125"/>
        <v>5</v>
      </c>
      <c r="ND66" s="737">
        <f t="shared" si="987"/>
        <v>85.178875638841561</v>
      </c>
      <c r="NE66" s="738">
        <f t="shared" si="988"/>
        <v>1.1739999999999999</v>
      </c>
      <c r="NG66" s="739">
        <f t="shared" ref="NG66:NI66" si="1126">SUM(NG28)</f>
        <v>750</v>
      </c>
      <c r="NH66" s="737">
        <f t="shared" si="1126"/>
        <v>4.2699999999999996</v>
      </c>
      <c r="NI66" s="737">
        <f t="shared" si="1126"/>
        <v>5</v>
      </c>
      <c r="NJ66" s="737">
        <f t="shared" si="989"/>
        <v>175.64402810304452</v>
      </c>
      <c r="NK66" s="738">
        <f t="shared" si="990"/>
        <v>0.85399999999999987</v>
      </c>
      <c r="NM66" s="739">
        <f t="shared" ref="NM66:NO66" si="1127">SUM(NM28)</f>
        <v>750</v>
      </c>
      <c r="NN66" s="737">
        <f t="shared" si="1127"/>
        <v>4.5</v>
      </c>
      <c r="NO66" s="737">
        <f t="shared" si="1127"/>
        <v>5</v>
      </c>
      <c r="NP66" s="737">
        <f t="shared" si="991"/>
        <v>166.66666666666666</v>
      </c>
      <c r="NQ66" s="738">
        <f t="shared" si="992"/>
        <v>0.9</v>
      </c>
      <c r="NS66" s="739">
        <f>SUM(NS28)</f>
        <v>500</v>
      </c>
      <c r="NT66" s="737">
        <f>SUM(NT28)</f>
        <v>4.63</v>
      </c>
      <c r="NU66" s="737">
        <f>SUM(NU28)</f>
        <v>5</v>
      </c>
      <c r="NV66" s="737">
        <f t="shared" si="993"/>
        <v>107.99136069114471</v>
      </c>
      <c r="NW66" s="738">
        <f t="shared" si="994"/>
        <v>0.92599999999999993</v>
      </c>
      <c r="NY66" s="739">
        <f t="shared" ref="NY66:OA66" si="1128">SUM(NY28)</f>
        <v>500</v>
      </c>
      <c r="NZ66" s="737">
        <f t="shared" si="1128"/>
        <v>4.4400000000000004</v>
      </c>
      <c r="OA66" s="737">
        <f t="shared" si="1128"/>
        <v>5</v>
      </c>
      <c r="OB66" s="737">
        <f t="shared" si="995"/>
        <v>112.61261261261261</v>
      </c>
      <c r="OC66" s="738">
        <f t="shared" si="996"/>
        <v>0.88800000000000012</v>
      </c>
      <c r="OE66" s="739">
        <f t="shared" ref="OE66:OG66" si="1129">SUM(OE28)</f>
        <v>0</v>
      </c>
      <c r="OF66" s="737">
        <f t="shared" si="1129"/>
        <v>0</v>
      </c>
      <c r="OG66" s="737">
        <f t="shared" si="1129"/>
        <v>0</v>
      </c>
      <c r="OH66" s="737" t="e">
        <f t="shared" si="997"/>
        <v>#DIV/0!</v>
      </c>
      <c r="OI66" s="738" t="e">
        <f t="shared" si="998"/>
        <v>#DIV/0!</v>
      </c>
    </row>
    <row r="67" spans="1:399">
      <c r="A67" s="715" t="s">
        <v>376</v>
      </c>
      <c r="B67" s="720" t="s">
        <v>374</v>
      </c>
      <c r="C67" s="722"/>
      <c r="D67" s="723" t="s">
        <v>14</v>
      </c>
      <c r="E67" s="79"/>
      <c r="F67" s="82"/>
      <c r="G67" s="79"/>
      <c r="H67" s="361"/>
      <c r="I67" s="362"/>
      <c r="J67" s="589"/>
      <c r="K67" s="79"/>
      <c r="L67" s="82"/>
      <c r="M67" s="79"/>
      <c r="N67" s="361"/>
      <c r="O67" s="362"/>
      <c r="P67" s="589"/>
      <c r="Q67" s="79"/>
      <c r="R67" s="82"/>
      <c r="S67" s="79"/>
      <c r="T67" s="361"/>
      <c r="U67" s="362"/>
      <c r="V67" s="589"/>
      <c r="W67" s="79"/>
      <c r="X67" s="82"/>
      <c r="Y67" s="79"/>
      <c r="Z67" s="361"/>
      <c r="AA67" s="362"/>
      <c r="AB67" s="589"/>
      <c r="AC67" s="79"/>
      <c r="AD67" s="82"/>
      <c r="AE67" s="79"/>
      <c r="AF67" s="361"/>
      <c r="AG67" s="362"/>
      <c r="AH67" s="589"/>
      <c r="AI67" s="79"/>
      <c r="AJ67" s="82"/>
      <c r="AK67" s="79"/>
      <c r="AL67" s="361"/>
      <c r="AM67" s="362"/>
      <c r="AN67" s="589"/>
      <c r="AO67" s="79"/>
      <c r="AP67" s="82"/>
      <c r="AQ67" s="79"/>
      <c r="AR67" s="361"/>
      <c r="AS67" s="362"/>
      <c r="AT67" s="589"/>
      <c r="AU67" s="79"/>
      <c r="AV67" s="82"/>
      <c r="AW67" s="79"/>
      <c r="AX67" s="361"/>
      <c r="AY67" s="362"/>
      <c r="AZ67" s="362"/>
      <c r="BA67" s="79"/>
      <c r="BB67" s="82"/>
      <c r="BC67" s="79"/>
      <c r="BD67" s="361"/>
      <c r="BE67" s="362"/>
      <c r="BF67" s="362"/>
      <c r="BG67" s="79"/>
      <c r="BH67" s="82"/>
      <c r="BI67" s="79"/>
      <c r="BJ67" s="361"/>
      <c r="BK67" s="362"/>
      <c r="BL67" s="362"/>
      <c r="BM67" s="79"/>
      <c r="BN67" s="82"/>
      <c r="BO67" s="79"/>
      <c r="BP67" s="361"/>
      <c r="BQ67" s="362"/>
      <c r="BR67" s="589"/>
      <c r="BS67" s="79"/>
      <c r="BT67" s="82"/>
      <c r="BU67" s="79"/>
      <c r="BV67" s="361"/>
      <c r="BW67" s="362"/>
      <c r="BX67" s="362"/>
      <c r="BY67" s="79"/>
      <c r="BZ67" s="82"/>
      <c r="CA67" s="79"/>
      <c r="CB67" s="361"/>
      <c r="CC67" s="362"/>
      <c r="CD67" s="362"/>
      <c r="CE67" s="79"/>
      <c r="CF67" s="82"/>
      <c r="CG67" s="79"/>
      <c r="CH67" s="361"/>
      <c r="CI67" s="362"/>
      <c r="CJ67" s="362"/>
      <c r="CK67" s="79"/>
      <c r="CL67" s="82"/>
      <c r="CM67" s="79"/>
      <c r="CN67" s="361"/>
      <c r="CO67" s="362"/>
      <c r="CP67" s="362"/>
      <c r="CQ67" s="79"/>
      <c r="CR67" s="82"/>
      <c r="CS67" s="79"/>
      <c r="CT67" s="361"/>
      <c r="CU67" s="362"/>
      <c r="CV67" s="362"/>
      <c r="CW67" s="79"/>
      <c r="CX67" s="82"/>
      <c r="CY67" s="79"/>
      <c r="CZ67" s="361"/>
      <c r="DA67" s="362"/>
      <c r="DB67" s="362"/>
      <c r="DC67" s="79"/>
      <c r="DD67" s="82"/>
      <c r="DE67" s="79"/>
      <c r="DF67" s="361"/>
      <c r="DG67" s="362"/>
      <c r="DH67" s="362"/>
      <c r="DI67" s="79"/>
      <c r="DJ67" s="82"/>
      <c r="DK67" s="79"/>
      <c r="DL67" s="361"/>
      <c r="DM67" s="362"/>
      <c r="DN67" s="362"/>
      <c r="DO67" s="79"/>
      <c r="DP67" s="82"/>
      <c r="DQ67" s="79"/>
      <c r="DR67" s="361"/>
      <c r="DS67" s="362"/>
      <c r="DT67" s="362"/>
      <c r="DU67" s="79"/>
      <c r="DV67" s="82"/>
      <c r="DW67" s="79"/>
      <c r="DX67" s="361"/>
      <c r="DY67" s="362"/>
      <c r="DZ67" s="362"/>
      <c r="EA67" s="79"/>
      <c r="EB67" s="82"/>
      <c r="EC67" s="79"/>
      <c r="ED67" s="361"/>
      <c r="EE67" s="362"/>
      <c r="EF67" s="362"/>
      <c r="EG67" s="79"/>
      <c r="EH67" s="82"/>
      <c r="EI67" s="79"/>
      <c r="EJ67" s="361"/>
      <c r="EK67" s="362"/>
      <c r="EL67" s="362"/>
      <c r="EM67" s="79"/>
      <c r="EN67" s="82"/>
      <c r="EO67" s="79"/>
      <c r="EP67" s="361"/>
      <c r="EQ67" s="362"/>
      <c r="ER67" s="589"/>
      <c r="ES67" s="79"/>
      <c r="ET67" s="82"/>
      <c r="EU67" s="79"/>
      <c r="EV67" s="361"/>
      <c r="EW67" s="362"/>
      <c r="EY67" s="91"/>
      <c r="EZ67" s="369"/>
      <c r="FA67" s="371"/>
      <c r="FB67" s="369"/>
      <c r="FC67" s="370"/>
      <c r="FE67" s="91"/>
      <c r="FF67" s="369"/>
      <c r="FG67" s="371"/>
      <c r="FH67" s="381"/>
      <c r="FI67" s="370"/>
      <c r="FJ67" s="178"/>
      <c r="FK67" s="91"/>
      <c r="FL67" s="82"/>
      <c r="FM67" s="371"/>
      <c r="FN67" s="361"/>
      <c r="FO67" s="362"/>
      <c r="FQ67" s="379"/>
      <c r="FR67" s="369"/>
      <c r="FS67" s="371"/>
      <c r="FT67" s="381"/>
      <c r="FU67" s="370"/>
      <c r="FV67" s="178"/>
      <c r="FW67" s="91"/>
      <c r="FX67" s="82"/>
      <c r="FY67" s="371"/>
      <c r="FZ67" s="369"/>
      <c r="GA67" s="370"/>
      <c r="GC67" s="91"/>
      <c r="GD67" s="369"/>
      <c r="GE67" s="371"/>
      <c r="GF67" s="361"/>
      <c r="GG67" s="362"/>
      <c r="GI67" s="91"/>
      <c r="GJ67" s="82"/>
      <c r="GK67" s="79"/>
      <c r="GL67" s="82"/>
      <c r="GM67" s="84"/>
      <c r="GO67" s="91"/>
      <c r="GP67" s="82"/>
      <c r="GQ67" s="371"/>
      <c r="GR67" s="361"/>
      <c r="GS67" s="362"/>
      <c r="GU67" s="91"/>
      <c r="GV67" s="82"/>
      <c r="GW67" s="79"/>
      <c r="GX67" s="82"/>
      <c r="GY67" s="84"/>
      <c r="HA67" s="91"/>
      <c r="HB67" s="82"/>
      <c r="HC67" s="79"/>
      <c r="HD67" s="369"/>
      <c r="HE67" s="370"/>
      <c r="HG67" s="91"/>
      <c r="HH67" s="82"/>
      <c r="HI67" s="79"/>
      <c r="HJ67" s="82"/>
      <c r="HK67" s="84"/>
      <c r="HM67" s="91"/>
      <c r="HN67" s="82"/>
      <c r="HO67" s="79"/>
      <c r="HP67" s="369"/>
      <c r="HQ67" s="370"/>
      <c r="HS67" s="91"/>
      <c r="HT67" s="82"/>
      <c r="HU67" s="371"/>
      <c r="HV67" s="369"/>
      <c r="HW67" s="370"/>
      <c r="HX67" s="178"/>
      <c r="HY67" s="91"/>
      <c r="HZ67" s="82"/>
      <c r="IA67" s="371"/>
      <c r="IB67" s="369"/>
      <c r="IC67" s="370"/>
      <c r="IE67" s="91"/>
      <c r="IF67" s="82"/>
      <c r="IG67" s="371"/>
      <c r="IH67" s="369"/>
      <c r="II67" s="370"/>
      <c r="IJ67" s="178"/>
      <c r="IK67" s="379"/>
      <c r="IL67" s="369"/>
      <c r="IM67" s="371"/>
      <c r="IN67" s="369"/>
      <c r="IO67" s="370"/>
      <c r="IP67" s="178"/>
      <c r="IQ67" s="379"/>
      <c r="IR67" s="369"/>
      <c r="IS67" s="371"/>
      <c r="IT67" s="369"/>
      <c r="IU67" s="370"/>
      <c r="IW67" s="379"/>
      <c r="IX67" s="369"/>
      <c r="IY67" s="371"/>
      <c r="IZ67" s="369"/>
      <c r="JA67" s="370"/>
      <c r="JC67" s="379"/>
      <c r="JD67" s="369"/>
      <c r="JE67" s="371"/>
      <c r="JF67" s="369"/>
      <c r="JG67" s="370"/>
      <c r="JI67" s="379"/>
      <c r="JJ67" s="369"/>
      <c r="JK67" s="371"/>
      <c r="JL67" s="369"/>
      <c r="JM67" s="370"/>
      <c r="JO67" s="739">
        <f t="shared" si="1094"/>
        <v>0</v>
      </c>
      <c r="JP67" s="737">
        <f t="shared" si="1094"/>
        <v>0</v>
      </c>
      <c r="JQ67" s="740">
        <f t="shared" si="1094"/>
        <v>0</v>
      </c>
      <c r="JR67" s="737" t="e">
        <f t="shared" si="957"/>
        <v>#DIV/0!</v>
      </c>
      <c r="JS67" s="738" t="e">
        <f t="shared" si="958"/>
        <v>#DIV/0!</v>
      </c>
      <c r="JU67" s="739">
        <f t="shared" si="1046"/>
        <v>0</v>
      </c>
      <c r="JV67" s="737">
        <f t="shared" si="1046"/>
        <v>0</v>
      </c>
      <c r="JW67" s="740">
        <f t="shared" si="1046"/>
        <v>0</v>
      </c>
      <c r="JX67" s="737" t="e">
        <f t="shared" si="959"/>
        <v>#DIV/0!</v>
      </c>
      <c r="JY67" s="738" t="e">
        <f t="shared" si="960"/>
        <v>#DIV/0!</v>
      </c>
      <c r="KA67" s="739">
        <f t="shared" ref="KA67:KB75" si="1130">SUM(KA29)</f>
        <v>0</v>
      </c>
      <c r="KB67" s="737">
        <f t="shared" si="1130"/>
        <v>0</v>
      </c>
      <c r="KC67" s="737">
        <f>SUM(KB29)</f>
        <v>0</v>
      </c>
      <c r="KD67" s="737" t="e">
        <f t="shared" si="961"/>
        <v>#DIV/0!</v>
      </c>
      <c r="KE67" s="738" t="e">
        <f t="shared" si="962"/>
        <v>#DIV/0!</v>
      </c>
      <c r="KG67" s="739">
        <f t="shared" ref="KG67:KH67" si="1131">SUM(KG29)</f>
        <v>0</v>
      </c>
      <c r="KH67" s="737">
        <f t="shared" si="1131"/>
        <v>0</v>
      </c>
      <c r="KI67" s="737">
        <f>SUM(KH29)</f>
        <v>0</v>
      </c>
      <c r="KJ67" s="737" t="e">
        <f t="shared" si="963"/>
        <v>#DIV/0!</v>
      </c>
      <c r="KK67" s="738" t="e">
        <f t="shared" si="964"/>
        <v>#DIV/0!</v>
      </c>
      <c r="KM67" s="739">
        <f t="shared" ref="KM67:KN67" si="1132">SUM(KM29)</f>
        <v>0</v>
      </c>
      <c r="KN67" s="737">
        <f t="shared" si="1132"/>
        <v>0</v>
      </c>
      <c r="KO67" s="737">
        <f>SUM(KN29)</f>
        <v>0</v>
      </c>
      <c r="KP67" s="737" t="e">
        <f t="shared" si="965"/>
        <v>#DIV/0!</v>
      </c>
      <c r="KQ67" s="738" t="e">
        <f t="shared" si="966"/>
        <v>#DIV/0!</v>
      </c>
      <c r="KS67" s="739">
        <f t="shared" ref="KS67:KT67" si="1133">SUM(KS29)</f>
        <v>0</v>
      </c>
      <c r="KT67" s="737">
        <f t="shared" si="1133"/>
        <v>0</v>
      </c>
      <c r="KU67" s="737">
        <f>SUM(KT29)</f>
        <v>0</v>
      </c>
      <c r="KV67" s="737" t="e">
        <f t="shared" si="967"/>
        <v>#DIV/0!</v>
      </c>
      <c r="KW67" s="738" t="e">
        <f t="shared" si="968"/>
        <v>#DIV/0!</v>
      </c>
      <c r="KY67" s="739">
        <f t="shared" ref="KY67:KZ67" si="1134">SUM(KY29)</f>
        <v>0</v>
      </c>
      <c r="KZ67" s="737">
        <f t="shared" si="1134"/>
        <v>0</v>
      </c>
      <c r="LA67" s="737">
        <f>SUM(KZ29)</f>
        <v>0</v>
      </c>
      <c r="LB67" s="737" t="e">
        <f t="shared" si="969"/>
        <v>#DIV/0!</v>
      </c>
      <c r="LC67" s="738" t="e">
        <f t="shared" si="970"/>
        <v>#DIV/0!</v>
      </c>
      <c r="LE67" s="739">
        <f t="shared" ref="LE67:LF67" si="1135">SUM(LE29)</f>
        <v>0</v>
      </c>
      <c r="LF67" s="737">
        <f t="shared" si="1135"/>
        <v>0</v>
      </c>
      <c r="LG67" s="737">
        <f>SUM(LF29)</f>
        <v>0</v>
      </c>
      <c r="LH67" s="737" t="e">
        <f t="shared" si="971"/>
        <v>#DIV/0!</v>
      </c>
      <c r="LI67" s="738" t="e">
        <f t="shared" si="972"/>
        <v>#DIV/0!</v>
      </c>
      <c r="LK67" s="739">
        <f t="shared" ref="LK67:LL67" si="1136">SUM(LK29)</f>
        <v>0</v>
      </c>
      <c r="LL67" s="737">
        <f t="shared" si="1136"/>
        <v>0</v>
      </c>
      <c r="LM67" s="737">
        <f>SUM(LL29)</f>
        <v>0</v>
      </c>
      <c r="LN67" s="737" t="e">
        <f t="shared" si="973"/>
        <v>#DIV/0!</v>
      </c>
      <c r="LO67" s="738" t="e">
        <f t="shared" si="974"/>
        <v>#DIV/0!</v>
      </c>
      <c r="LQ67" s="739">
        <f t="shared" ref="LQ67:LR67" si="1137">SUM(LQ29)</f>
        <v>0</v>
      </c>
      <c r="LR67" s="737">
        <f t="shared" si="1137"/>
        <v>0</v>
      </c>
      <c r="LS67" s="737">
        <f>SUM(LR29)</f>
        <v>0</v>
      </c>
      <c r="LT67" s="737" t="e">
        <f t="shared" si="975"/>
        <v>#DIV/0!</v>
      </c>
      <c r="LU67" s="738" t="e">
        <f t="shared" si="976"/>
        <v>#DIV/0!</v>
      </c>
      <c r="LW67" s="739">
        <f t="shared" ref="LW67:LX67" si="1138">SUM(LW29)</f>
        <v>0</v>
      </c>
      <c r="LX67" s="737">
        <f t="shared" si="1138"/>
        <v>0</v>
      </c>
      <c r="LY67" s="737">
        <f>SUM(LX29)</f>
        <v>0</v>
      </c>
      <c r="LZ67" s="737" t="e">
        <f t="shared" si="977"/>
        <v>#DIV/0!</v>
      </c>
      <c r="MA67" s="738" t="e">
        <f t="shared" si="978"/>
        <v>#DIV/0!</v>
      </c>
      <c r="MC67" s="739">
        <f t="shared" ref="MC67:MD67" si="1139">SUM(MC29)</f>
        <v>0</v>
      </c>
      <c r="MD67" s="737">
        <f t="shared" si="1139"/>
        <v>0</v>
      </c>
      <c r="ME67" s="737">
        <f>SUM(MD29)</f>
        <v>0</v>
      </c>
      <c r="MF67" s="737" t="e">
        <f t="shared" si="979"/>
        <v>#DIV/0!</v>
      </c>
      <c r="MG67" s="738" t="e">
        <f t="shared" si="980"/>
        <v>#DIV/0!</v>
      </c>
      <c r="MI67" s="739">
        <f t="shared" ref="MI67:MJ67" si="1140">SUM(MI29)</f>
        <v>0</v>
      </c>
      <c r="MJ67" s="737">
        <f t="shared" si="1140"/>
        <v>0</v>
      </c>
      <c r="MK67" s="737">
        <f>SUM(MJ29)</f>
        <v>0</v>
      </c>
      <c r="ML67" s="737" t="e">
        <f t="shared" si="981"/>
        <v>#DIV/0!</v>
      </c>
      <c r="MM67" s="738" t="e">
        <f t="shared" si="982"/>
        <v>#DIV/0!</v>
      </c>
      <c r="MO67" s="739">
        <f t="shared" ref="MO67:MP67" si="1141">SUM(MO29)</f>
        <v>0</v>
      </c>
      <c r="MP67" s="737">
        <f t="shared" si="1141"/>
        <v>0</v>
      </c>
      <c r="MQ67" s="737">
        <f>SUM(MP29)</f>
        <v>0</v>
      </c>
      <c r="MR67" s="737" t="e">
        <f t="shared" si="983"/>
        <v>#DIV/0!</v>
      </c>
      <c r="MS67" s="738" t="e">
        <f t="shared" si="984"/>
        <v>#DIV/0!</v>
      </c>
      <c r="MU67" s="739">
        <f t="shared" ref="MU67:MV67" si="1142">SUM(MU29)</f>
        <v>0</v>
      </c>
      <c r="MV67" s="737">
        <f t="shared" si="1142"/>
        <v>0</v>
      </c>
      <c r="MW67" s="737">
        <f>SUM(MV29)</f>
        <v>0</v>
      </c>
      <c r="MX67" s="737" t="e">
        <f t="shared" si="985"/>
        <v>#DIV/0!</v>
      </c>
      <c r="MY67" s="738" t="e">
        <f t="shared" si="986"/>
        <v>#DIV/0!</v>
      </c>
      <c r="NA67" s="743">
        <f t="shared" ref="NA67:NB67" si="1143">SUM(NA29)</f>
        <v>0</v>
      </c>
      <c r="NB67" s="744">
        <f t="shared" si="1143"/>
        <v>0</v>
      </c>
      <c r="NC67" s="744">
        <f>SUM(NB29)</f>
        <v>0</v>
      </c>
      <c r="ND67" s="737" t="e">
        <f t="shared" si="987"/>
        <v>#DIV/0!</v>
      </c>
      <c r="NE67" s="738" t="e">
        <f t="shared" si="988"/>
        <v>#DIV/0!</v>
      </c>
      <c r="NG67" s="739">
        <f t="shared" ref="NG67:NH67" si="1144">SUM(NG29)</f>
        <v>0</v>
      </c>
      <c r="NH67" s="737">
        <f t="shared" si="1144"/>
        <v>0</v>
      </c>
      <c r="NI67" s="737">
        <f>SUM(NH29)</f>
        <v>0</v>
      </c>
      <c r="NJ67" s="737" t="e">
        <f t="shared" si="989"/>
        <v>#DIV/0!</v>
      </c>
      <c r="NK67" s="738" t="e">
        <f t="shared" si="990"/>
        <v>#DIV/0!</v>
      </c>
      <c r="NM67" s="739">
        <f t="shared" ref="NM67:NN67" si="1145">SUM(NM29)</f>
        <v>150</v>
      </c>
      <c r="NN67" s="737">
        <f t="shared" si="1145"/>
        <v>0.72</v>
      </c>
      <c r="NO67" s="737">
        <f>SUM(NN29)</f>
        <v>0.72</v>
      </c>
      <c r="NP67" s="737">
        <f t="shared" si="991"/>
        <v>208.33333333333334</v>
      </c>
      <c r="NQ67" s="738">
        <f t="shared" si="992"/>
        <v>1</v>
      </c>
      <c r="NS67" s="739">
        <f t="shared" ref="NS67:NT67" si="1146">SUM(NS29)</f>
        <v>500</v>
      </c>
      <c r="NT67" s="737">
        <f t="shared" si="1146"/>
        <v>1.3</v>
      </c>
      <c r="NU67" s="737">
        <f>SUM(NT29)</f>
        <v>1.3</v>
      </c>
      <c r="NV67" s="737">
        <f t="shared" si="993"/>
        <v>384.61538461538458</v>
      </c>
      <c r="NW67" s="738">
        <f t="shared" si="994"/>
        <v>1</v>
      </c>
      <c r="NY67" s="739">
        <f t="shared" ref="NY67:NZ67" si="1147">SUM(NY29)</f>
        <v>230</v>
      </c>
      <c r="NZ67" s="737">
        <f t="shared" si="1147"/>
        <v>0.21</v>
      </c>
      <c r="OA67" s="737">
        <f>SUM(NZ29)</f>
        <v>0.21</v>
      </c>
      <c r="OB67" s="737">
        <f t="shared" si="995"/>
        <v>1095.2380952380952</v>
      </c>
      <c r="OC67" s="738">
        <f t="shared" si="996"/>
        <v>1</v>
      </c>
      <c r="OE67" s="739">
        <f t="shared" ref="OE67:OF67" si="1148">SUM(OE29)</f>
        <v>0</v>
      </c>
      <c r="OF67" s="737">
        <f t="shared" si="1148"/>
        <v>0</v>
      </c>
      <c r="OG67" s="737">
        <f>SUM(OF29)</f>
        <v>0</v>
      </c>
      <c r="OH67" s="737" t="e">
        <f t="shared" si="997"/>
        <v>#DIV/0!</v>
      </c>
      <c r="OI67" s="738" t="e">
        <f t="shared" si="998"/>
        <v>#DIV/0!</v>
      </c>
    </row>
    <row r="68" spans="1:399" ht="15" thickBot="1">
      <c r="A68" s="715" t="s">
        <v>376</v>
      </c>
      <c r="B68" s="720" t="s">
        <v>375</v>
      </c>
      <c r="C68" s="722"/>
      <c r="D68" s="723" t="s">
        <v>14</v>
      </c>
      <c r="E68" s="79"/>
      <c r="F68" s="82"/>
      <c r="G68" s="79"/>
      <c r="H68" s="361"/>
      <c r="I68" s="362"/>
      <c r="J68" s="589"/>
      <c r="K68" s="79"/>
      <c r="L68" s="82"/>
      <c r="M68" s="79"/>
      <c r="N68" s="361"/>
      <c r="O68" s="362"/>
      <c r="P68" s="589"/>
      <c r="Q68" s="79"/>
      <c r="R68" s="82"/>
      <c r="S68" s="79"/>
      <c r="T68" s="361"/>
      <c r="U68" s="362"/>
      <c r="V68" s="589"/>
      <c r="W68" s="79"/>
      <c r="X68" s="82"/>
      <c r="Y68" s="79"/>
      <c r="Z68" s="361"/>
      <c r="AA68" s="362"/>
      <c r="AB68" s="589"/>
      <c r="AC68" s="79"/>
      <c r="AD68" s="82"/>
      <c r="AE68" s="79"/>
      <c r="AF68" s="361"/>
      <c r="AG68" s="362"/>
      <c r="AH68" s="589"/>
      <c r="AI68" s="79"/>
      <c r="AJ68" s="82"/>
      <c r="AK68" s="79"/>
      <c r="AL68" s="361"/>
      <c r="AM68" s="362"/>
      <c r="AN68" s="589"/>
      <c r="AO68" s="79"/>
      <c r="AP68" s="82"/>
      <c r="AQ68" s="79"/>
      <c r="AR68" s="361"/>
      <c r="AS68" s="362"/>
      <c r="AT68" s="589"/>
      <c r="AU68" s="79"/>
      <c r="AV68" s="82"/>
      <c r="AW68" s="79"/>
      <c r="AX68" s="361"/>
      <c r="AY68" s="362"/>
      <c r="AZ68" s="362"/>
      <c r="BA68" s="79"/>
      <c r="BB68" s="82"/>
      <c r="BC68" s="79"/>
      <c r="BD68" s="361"/>
      <c r="BE68" s="362"/>
      <c r="BF68" s="362"/>
      <c r="BG68" s="79"/>
      <c r="BH68" s="82"/>
      <c r="BI68" s="79"/>
      <c r="BJ68" s="361"/>
      <c r="BK68" s="362"/>
      <c r="BL68" s="362"/>
      <c r="BM68" s="79"/>
      <c r="BN68" s="82"/>
      <c r="BO68" s="79"/>
      <c r="BP68" s="361"/>
      <c r="BQ68" s="362"/>
      <c r="BR68" s="589"/>
      <c r="BS68" s="79"/>
      <c r="BT68" s="82"/>
      <c r="BU68" s="79"/>
      <c r="BV68" s="361"/>
      <c r="BW68" s="362"/>
      <c r="BX68" s="362"/>
      <c r="BY68" s="79"/>
      <c r="BZ68" s="82"/>
      <c r="CA68" s="79"/>
      <c r="CB68" s="361"/>
      <c r="CC68" s="362"/>
      <c r="CD68" s="362"/>
      <c r="CE68" s="79"/>
      <c r="CF68" s="82"/>
      <c r="CG68" s="79"/>
      <c r="CH68" s="361"/>
      <c r="CI68" s="362"/>
      <c r="CJ68" s="362"/>
      <c r="CK68" s="79"/>
      <c r="CL68" s="82"/>
      <c r="CM68" s="79"/>
      <c r="CN68" s="361"/>
      <c r="CO68" s="362"/>
      <c r="CP68" s="362"/>
      <c r="CQ68" s="79"/>
      <c r="CR68" s="82"/>
      <c r="CS68" s="79"/>
      <c r="CT68" s="361"/>
      <c r="CU68" s="362"/>
      <c r="CV68" s="362"/>
      <c r="CW68" s="79"/>
      <c r="CX68" s="82"/>
      <c r="CY68" s="79"/>
      <c r="CZ68" s="361"/>
      <c r="DA68" s="362"/>
      <c r="DB68" s="362"/>
      <c r="DC68" s="79"/>
      <c r="DD68" s="82"/>
      <c r="DE68" s="79"/>
      <c r="DF68" s="361"/>
      <c r="DG68" s="362"/>
      <c r="DH68" s="362"/>
      <c r="DI68" s="79"/>
      <c r="DJ68" s="82"/>
      <c r="DK68" s="79"/>
      <c r="DL68" s="361"/>
      <c r="DM68" s="362"/>
      <c r="DN68" s="362"/>
      <c r="DO68" s="79"/>
      <c r="DP68" s="82"/>
      <c r="DQ68" s="79"/>
      <c r="DR68" s="361"/>
      <c r="DS68" s="362"/>
      <c r="DT68" s="362"/>
      <c r="DU68" s="79"/>
      <c r="DV68" s="82"/>
      <c r="DW68" s="79"/>
      <c r="DX68" s="361"/>
      <c r="DY68" s="362"/>
      <c r="DZ68" s="362"/>
      <c r="EA68" s="79"/>
      <c r="EB68" s="82"/>
      <c r="EC68" s="79"/>
      <c r="ED68" s="361"/>
      <c r="EE68" s="362"/>
      <c r="EF68" s="362"/>
      <c r="EG68" s="79"/>
      <c r="EH68" s="82"/>
      <c r="EI68" s="79"/>
      <c r="EJ68" s="361"/>
      <c r="EK68" s="362"/>
      <c r="EL68" s="362"/>
      <c r="EM68" s="79"/>
      <c r="EN68" s="82"/>
      <c r="EO68" s="79"/>
      <c r="EP68" s="361"/>
      <c r="EQ68" s="362"/>
      <c r="ER68" s="589"/>
      <c r="ES68" s="79"/>
      <c r="ET68" s="82"/>
      <c r="EU68" s="79"/>
      <c r="EV68" s="361"/>
      <c r="EW68" s="362"/>
      <c r="EY68" s="91"/>
      <c r="EZ68" s="369"/>
      <c r="FA68" s="371"/>
      <c r="FB68" s="369"/>
      <c r="FC68" s="370"/>
      <c r="FE68" s="91"/>
      <c r="FF68" s="369"/>
      <c r="FG68" s="371"/>
      <c r="FH68" s="381"/>
      <c r="FI68" s="370"/>
      <c r="FJ68" s="178"/>
      <c r="FK68" s="91"/>
      <c r="FL68" s="82"/>
      <c r="FM68" s="371"/>
      <c r="FN68" s="361"/>
      <c r="FO68" s="362"/>
      <c r="FQ68" s="379"/>
      <c r="FR68" s="369"/>
      <c r="FS68" s="371"/>
      <c r="FT68" s="381"/>
      <c r="FU68" s="370"/>
      <c r="FV68" s="178"/>
      <c r="FW68" s="91"/>
      <c r="FX68" s="82"/>
      <c r="FY68" s="371"/>
      <c r="FZ68" s="369"/>
      <c r="GA68" s="370"/>
      <c r="GC68" s="91"/>
      <c r="GD68" s="369"/>
      <c r="GE68" s="371"/>
      <c r="GF68" s="361"/>
      <c r="GG68" s="362"/>
      <c r="GI68" s="91"/>
      <c r="GJ68" s="82"/>
      <c r="GK68" s="79"/>
      <c r="GL68" s="82"/>
      <c r="GM68" s="84"/>
      <c r="GO68" s="91"/>
      <c r="GP68" s="82"/>
      <c r="GQ68" s="371"/>
      <c r="GR68" s="361"/>
      <c r="GS68" s="362"/>
      <c r="GU68" s="91"/>
      <c r="GV68" s="82"/>
      <c r="GW68" s="79"/>
      <c r="GX68" s="82"/>
      <c r="GY68" s="84"/>
      <c r="HA68" s="91"/>
      <c r="HB68" s="82"/>
      <c r="HC68" s="79"/>
      <c r="HD68" s="369"/>
      <c r="HE68" s="370"/>
      <c r="HG68" s="91"/>
      <c r="HH68" s="82"/>
      <c r="HI68" s="79"/>
      <c r="HJ68" s="82"/>
      <c r="HK68" s="84"/>
      <c r="HM68" s="91"/>
      <c r="HN68" s="82"/>
      <c r="HO68" s="79"/>
      <c r="HP68" s="369"/>
      <c r="HQ68" s="370"/>
      <c r="HS68" s="91"/>
      <c r="HT68" s="82"/>
      <c r="HU68" s="371"/>
      <c r="HV68" s="369"/>
      <c r="HW68" s="370"/>
      <c r="HX68" s="178"/>
      <c r="HY68" s="91"/>
      <c r="HZ68" s="82"/>
      <c r="IA68" s="371"/>
      <c r="IB68" s="369"/>
      <c r="IC68" s="370"/>
      <c r="IE68" s="91"/>
      <c r="IF68" s="82"/>
      <c r="IG68" s="371"/>
      <c r="IH68" s="369"/>
      <c r="II68" s="370"/>
      <c r="IJ68" s="178"/>
      <c r="IK68" s="379"/>
      <c r="IL68" s="369"/>
      <c r="IM68" s="371"/>
      <c r="IN68" s="369"/>
      <c r="IO68" s="370"/>
      <c r="IP68" s="178"/>
      <c r="IQ68" s="379"/>
      <c r="IR68" s="369"/>
      <c r="IS68" s="371"/>
      <c r="IT68" s="369"/>
      <c r="IU68" s="370"/>
      <c r="IW68" s="379"/>
      <c r="IX68" s="369"/>
      <c r="IY68" s="371"/>
      <c r="IZ68" s="369"/>
      <c r="JA68" s="370"/>
      <c r="JC68" s="379"/>
      <c r="JD68" s="369"/>
      <c r="JE68" s="371"/>
      <c r="JF68" s="369"/>
      <c r="JG68" s="370"/>
      <c r="JI68" s="379"/>
      <c r="JJ68" s="369"/>
      <c r="JK68" s="371"/>
      <c r="JL68" s="369"/>
      <c r="JM68" s="370"/>
      <c r="JO68" s="739">
        <f t="shared" si="1094"/>
        <v>0</v>
      </c>
      <c r="JP68" s="737">
        <f t="shared" si="1094"/>
        <v>0</v>
      </c>
      <c r="JQ68" s="740">
        <f t="shared" si="1094"/>
        <v>0</v>
      </c>
      <c r="JR68" s="737" t="e">
        <f t="shared" si="957"/>
        <v>#DIV/0!</v>
      </c>
      <c r="JS68" s="738" t="e">
        <f t="shared" si="958"/>
        <v>#DIV/0!</v>
      </c>
      <c r="JU68" s="739">
        <f t="shared" si="1046"/>
        <v>0</v>
      </c>
      <c r="JV68" s="737">
        <f t="shared" si="1046"/>
        <v>0</v>
      </c>
      <c r="JW68" s="740">
        <f t="shared" si="1046"/>
        <v>0</v>
      </c>
      <c r="JX68" s="737" t="e">
        <f t="shared" si="959"/>
        <v>#DIV/0!</v>
      </c>
      <c r="JY68" s="738" t="e">
        <f t="shared" si="960"/>
        <v>#DIV/0!</v>
      </c>
      <c r="KA68" s="739">
        <f t="shared" si="1130"/>
        <v>0</v>
      </c>
      <c r="KB68" s="737">
        <f t="shared" si="1130"/>
        <v>0</v>
      </c>
      <c r="KC68" s="737">
        <f>SUM(KB30)</f>
        <v>0</v>
      </c>
      <c r="KD68" s="737" t="e">
        <f t="shared" si="961"/>
        <v>#DIV/0!</v>
      </c>
      <c r="KE68" s="738" t="e">
        <f t="shared" si="962"/>
        <v>#DIV/0!</v>
      </c>
      <c r="KG68" s="739">
        <f t="shared" ref="KG68:KH68" si="1149">SUM(KG30)</f>
        <v>0</v>
      </c>
      <c r="KH68" s="737">
        <f t="shared" si="1149"/>
        <v>0</v>
      </c>
      <c r="KI68" s="737">
        <f>SUM(KH30)</f>
        <v>0</v>
      </c>
      <c r="KJ68" s="737" t="e">
        <f t="shared" si="963"/>
        <v>#DIV/0!</v>
      </c>
      <c r="KK68" s="738" t="e">
        <f t="shared" si="964"/>
        <v>#DIV/0!</v>
      </c>
      <c r="KM68" s="739">
        <f t="shared" ref="KM68:KN68" si="1150">SUM(KM30)</f>
        <v>0</v>
      </c>
      <c r="KN68" s="737">
        <f t="shared" si="1150"/>
        <v>0</v>
      </c>
      <c r="KO68" s="737">
        <f>SUM(KN30)</f>
        <v>0</v>
      </c>
      <c r="KP68" s="737" t="e">
        <f t="shared" si="965"/>
        <v>#DIV/0!</v>
      </c>
      <c r="KQ68" s="738" t="e">
        <f t="shared" si="966"/>
        <v>#DIV/0!</v>
      </c>
      <c r="KS68" s="739">
        <f t="shared" ref="KS68:KT68" si="1151">SUM(KS30)</f>
        <v>1000</v>
      </c>
      <c r="KT68" s="737">
        <f t="shared" si="1151"/>
        <v>2.58</v>
      </c>
      <c r="KU68" s="737">
        <f>SUM(KT30)</f>
        <v>2.58</v>
      </c>
      <c r="KV68" s="737">
        <f t="shared" si="967"/>
        <v>387.59689922480618</v>
      </c>
      <c r="KW68" s="738">
        <f t="shared" si="968"/>
        <v>1</v>
      </c>
      <c r="KY68" s="739">
        <f t="shared" ref="KY68:KZ68" si="1152">SUM(KY30)</f>
        <v>0</v>
      </c>
      <c r="KZ68" s="737">
        <f t="shared" si="1152"/>
        <v>0</v>
      </c>
      <c r="LA68" s="737">
        <f>SUM(KZ30)</f>
        <v>0</v>
      </c>
      <c r="LB68" s="737" t="e">
        <f t="shared" si="969"/>
        <v>#DIV/0!</v>
      </c>
      <c r="LC68" s="738" t="e">
        <f t="shared" si="970"/>
        <v>#DIV/0!</v>
      </c>
      <c r="LE68" s="739">
        <f t="shared" ref="LE68:LF68" si="1153">SUM(LE30)</f>
        <v>0</v>
      </c>
      <c r="LF68" s="737">
        <f t="shared" si="1153"/>
        <v>0</v>
      </c>
      <c r="LG68" s="737">
        <f>SUM(LF30)</f>
        <v>0</v>
      </c>
      <c r="LH68" s="737" t="e">
        <f t="shared" si="971"/>
        <v>#DIV/0!</v>
      </c>
      <c r="LI68" s="738" t="e">
        <f t="shared" si="972"/>
        <v>#DIV/0!</v>
      </c>
      <c r="LK68" s="739">
        <f t="shared" ref="LK68:LL68" si="1154">SUM(LK30)</f>
        <v>0</v>
      </c>
      <c r="LL68" s="737">
        <f t="shared" si="1154"/>
        <v>0</v>
      </c>
      <c r="LM68" s="737">
        <f>SUM(LL30)</f>
        <v>0</v>
      </c>
      <c r="LN68" s="737" t="e">
        <f t="shared" si="973"/>
        <v>#DIV/0!</v>
      </c>
      <c r="LO68" s="738" t="e">
        <f t="shared" si="974"/>
        <v>#DIV/0!</v>
      </c>
      <c r="LQ68" s="739">
        <f t="shared" ref="LQ68:LR68" si="1155">SUM(LQ30)</f>
        <v>0</v>
      </c>
      <c r="LR68" s="737">
        <f t="shared" si="1155"/>
        <v>0</v>
      </c>
      <c r="LS68" s="737">
        <f>SUM(LR30)</f>
        <v>0</v>
      </c>
      <c r="LT68" s="737" t="e">
        <f t="shared" si="975"/>
        <v>#DIV/0!</v>
      </c>
      <c r="LU68" s="738" t="e">
        <f t="shared" si="976"/>
        <v>#DIV/0!</v>
      </c>
      <c r="LW68" s="739">
        <f t="shared" ref="LW68:LX68" si="1156">SUM(LW30)</f>
        <v>0</v>
      </c>
      <c r="LX68" s="737">
        <f t="shared" si="1156"/>
        <v>0</v>
      </c>
      <c r="LY68" s="737">
        <f>SUM(LX30)</f>
        <v>0</v>
      </c>
      <c r="LZ68" s="737" t="e">
        <f t="shared" si="977"/>
        <v>#DIV/0!</v>
      </c>
      <c r="MA68" s="738" t="e">
        <f t="shared" si="978"/>
        <v>#DIV/0!</v>
      </c>
      <c r="MC68" s="739">
        <f t="shared" ref="MC68:MD68" si="1157">SUM(MC30)</f>
        <v>850</v>
      </c>
      <c r="MD68" s="737">
        <f t="shared" si="1157"/>
        <v>4.91</v>
      </c>
      <c r="ME68" s="737">
        <f>SUM(MD30)</f>
        <v>4.91</v>
      </c>
      <c r="MF68" s="737">
        <f t="shared" si="979"/>
        <v>173.11608961303463</v>
      </c>
      <c r="MG68" s="738">
        <f t="shared" si="980"/>
        <v>1</v>
      </c>
      <c r="MI68" s="739">
        <f t="shared" ref="MI68:MJ68" si="1158">SUM(MI30)</f>
        <v>650</v>
      </c>
      <c r="MJ68" s="737">
        <f t="shared" si="1158"/>
        <v>4.9400000000000004</v>
      </c>
      <c r="MK68" s="737">
        <f>SUM(MJ30)</f>
        <v>4.9400000000000004</v>
      </c>
      <c r="ML68" s="737">
        <f t="shared" si="981"/>
        <v>131.57894736842104</v>
      </c>
      <c r="MM68" s="738">
        <f t="shared" si="982"/>
        <v>1</v>
      </c>
      <c r="MO68" s="739">
        <f t="shared" ref="MO68:MP68" si="1159">SUM(MO30)</f>
        <v>0</v>
      </c>
      <c r="MP68" s="737">
        <f t="shared" si="1159"/>
        <v>0</v>
      </c>
      <c r="MQ68" s="737">
        <f>SUM(MP30)</f>
        <v>0</v>
      </c>
      <c r="MR68" s="737" t="e">
        <f t="shared" si="983"/>
        <v>#DIV/0!</v>
      </c>
      <c r="MS68" s="738" t="e">
        <f t="shared" si="984"/>
        <v>#DIV/0!</v>
      </c>
      <c r="MU68" s="739">
        <f t="shared" ref="MU68:MV68" si="1160">SUM(MU30)</f>
        <v>0</v>
      </c>
      <c r="MV68" s="737">
        <f t="shared" si="1160"/>
        <v>0</v>
      </c>
      <c r="MW68" s="737">
        <f>SUM(MV30)</f>
        <v>0</v>
      </c>
      <c r="MX68" s="737" t="e">
        <f t="shared" si="985"/>
        <v>#DIV/0!</v>
      </c>
      <c r="MY68" s="738" t="e">
        <f t="shared" si="986"/>
        <v>#DIV/0!</v>
      </c>
      <c r="NA68" s="743">
        <f t="shared" ref="NA68:NB68" si="1161">SUM(NA30)</f>
        <v>0</v>
      </c>
      <c r="NB68" s="744">
        <f t="shared" si="1161"/>
        <v>0</v>
      </c>
      <c r="NC68" s="744">
        <f>SUM(NB30)</f>
        <v>0</v>
      </c>
      <c r="ND68" s="737" t="e">
        <f t="shared" si="987"/>
        <v>#DIV/0!</v>
      </c>
      <c r="NE68" s="738" t="e">
        <f t="shared" si="988"/>
        <v>#DIV/0!</v>
      </c>
      <c r="NG68" s="739">
        <f t="shared" ref="NG68:NH68" si="1162">SUM(NG30)</f>
        <v>550</v>
      </c>
      <c r="NH68" s="737">
        <f t="shared" si="1162"/>
        <v>2.33</v>
      </c>
      <c r="NI68" s="737">
        <f>SUM(NH30)</f>
        <v>2.33</v>
      </c>
      <c r="NJ68" s="737">
        <f t="shared" si="989"/>
        <v>236.05150214592274</v>
      </c>
      <c r="NK68" s="738">
        <f t="shared" si="990"/>
        <v>1</v>
      </c>
      <c r="NM68" s="739">
        <f t="shared" ref="NM68:NN68" si="1163">SUM(NM30)</f>
        <v>0</v>
      </c>
      <c r="NN68" s="737">
        <f t="shared" si="1163"/>
        <v>0</v>
      </c>
      <c r="NO68" s="737">
        <f>SUM(NN30)</f>
        <v>0</v>
      </c>
      <c r="NP68" s="737" t="e">
        <f t="shared" si="991"/>
        <v>#DIV/0!</v>
      </c>
      <c r="NQ68" s="738" t="e">
        <f t="shared" si="992"/>
        <v>#DIV/0!</v>
      </c>
      <c r="NS68" s="739">
        <f t="shared" ref="NS68:NT68" si="1164">SUM(NS30)</f>
        <v>0</v>
      </c>
      <c r="NT68" s="737">
        <f t="shared" si="1164"/>
        <v>0</v>
      </c>
      <c r="NU68" s="737">
        <f>SUM(NT30)</f>
        <v>0</v>
      </c>
      <c r="NV68" s="737" t="e">
        <f t="shared" si="993"/>
        <v>#DIV/0!</v>
      </c>
      <c r="NW68" s="738" t="e">
        <f t="shared" si="994"/>
        <v>#DIV/0!</v>
      </c>
      <c r="NY68" s="739">
        <f t="shared" ref="NY68:NZ68" si="1165">SUM(NY30)</f>
        <v>1250</v>
      </c>
      <c r="NZ68" s="737">
        <f t="shared" si="1165"/>
        <v>8.42</v>
      </c>
      <c r="OA68" s="737">
        <f>SUM(NZ30)</f>
        <v>8.42</v>
      </c>
      <c r="OB68" s="737">
        <f t="shared" si="995"/>
        <v>148.45605700712588</v>
      </c>
      <c r="OC68" s="738">
        <f t="shared" si="996"/>
        <v>1</v>
      </c>
      <c r="OE68" s="739">
        <f t="shared" ref="OE68:OF68" si="1166">SUM(OE30)</f>
        <v>0</v>
      </c>
      <c r="OF68" s="737">
        <f t="shared" si="1166"/>
        <v>0</v>
      </c>
      <c r="OG68" s="737">
        <f>SUM(OF30)</f>
        <v>0</v>
      </c>
      <c r="OH68" s="737" t="e">
        <f t="shared" si="997"/>
        <v>#DIV/0!</v>
      </c>
      <c r="OI68" s="738" t="e">
        <f t="shared" si="998"/>
        <v>#DIV/0!</v>
      </c>
    </row>
    <row r="69" spans="1:399" ht="18.75" customHeight="1">
      <c r="A69" s="66" t="s">
        <v>219</v>
      </c>
      <c r="B69" s="67" t="s">
        <v>33</v>
      </c>
      <c r="C69" s="68"/>
      <c r="D69" s="61" t="s">
        <v>14</v>
      </c>
      <c r="E69" s="79">
        <f t="shared" ref="E69:G75" si="1167">E31</f>
        <v>0</v>
      </c>
      <c r="F69" s="82">
        <f t="shared" si="1167"/>
        <v>0</v>
      </c>
      <c r="G69" s="79">
        <f t="shared" si="1167"/>
        <v>0</v>
      </c>
      <c r="H69" s="82" t="e">
        <f t="shared" ref="H69" si="1168">E69/F69</f>
        <v>#DIV/0!</v>
      </c>
      <c r="I69" s="84" t="e">
        <f t="shared" ref="I69" si="1169">F69/G69</f>
        <v>#DIV/0!</v>
      </c>
      <c r="J69" s="589"/>
      <c r="K69" s="79">
        <f t="shared" ref="K69:M75" si="1170">K31</f>
        <v>0</v>
      </c>
      <c r="L69" s="82">
        <f t="shared" si="1170"/>
        <v>0</v>
      </c>
      <c r="M69" s="79">
        <f t="shared" si="1170"/>
        <v>0</v>
      </c>
      <c r="N69" s="82" t="e">
        <f t="shared" ref="N69" si="1171">K69/L69</f>
        <v>#DIV/0!</v>
      </c>
      <c r="O69" s="84" t="e">
        <f t="shared" ref="O69" si="1172">L69/M69</f>
        <v>#DIV/0!</v>
      </c>
      <c r="P69" s="589"/>
      <c r="Q69" s="79">
        <f t="shared" ref="Q69:S75" si="1173">Q31</f>
        <v>700</v>
      </c>
      <c r="R69" s="82">
        <f t="shared" si="1173"/>
        <v>2</v>
      </c>
      <c r="S69" s="79">
        <f t="shared" si="1173"/>
        <v>2</v>
      </c>
      <c r="T69" s="82">
        <f t="shared" ref="T69" si="1174">Q69/R69</f>
        <v>350</v>
      </c>
      <c r="U69" s="84">
        <f t="shared" ref="U69" si="1175">R69/S69</f>
        <v>1</v>
      </c>
      <c r="V69" s="589"/>
      <c r="W69" s="79">
        <f t="shared" ref="W69:Y75" si="1176">W31</f>
        <v>0</v>
      </c>
      <c r="X69" s="82">
        <f t="shared" si="1176"/>
        <v>0</v>
      </c>
      <c r="Y69" s="79">
        <f t="shared" si="1176"/>
        <v>0</v>
      </c>
      <c r="Z69" s="82" t="e">
        <f t="shared" ref="Z69" si="1177">W69/X69</f>
        <v>#DIV/0!</v>
      </c>
      <c r="AA69" s="84" t="e">
        <f t="shared" ref="AA69" si="1178">X69/Y69</f>
        <v>#DIV/0!</v>
      </c>
      <c r="AB69" s="589"/>
      <c r="AC69" s="79">
        <f t="shared" ref="AC69:AE75" si="1179">AC31</f>
        <v>1050</v>
      </c>
      <c r="AD69" s="82">
        <f t="shared" si="1179"/>
        <v>2.4</v>
      </c>
      <c r="AE69" s="79">
        <f t="shared" si="1179"/>
        <v>2</v>
      </c>
      <c r="AF69" s="82">
        <f t="shared" ref="AF69" si="1180">AC69/AD69</f>
        <v>437.5</v>
      </c>
      <c r="AG69" s="84">
        <f t="shared" ref="AG69" si="1181">AD69/AE69</f>
        <v>1.2</v>
      </c>
      <c r="AH69" s="589"/>
      <c r="AI69" s="79">
        <f t="shared" ref="AI69:AK75" si="1182">AI31</f>
        <v>0</v>
      </c>
      <c r="AJ69" s="82">
        <f t="shared" si="1182"/>
        <v>0</v>
      </c>
      <c r="AK69" s="79">
        <f t="shared" si="1182"/>
        <v>0</v>
      </c>
      <c r="AL69" s="82" t="e">
        <f t="shared" ref="AL69" si="1183">AI69/AJ69</f>
        <v>#DIV/0!</v>
      </c>
      <c r="AM69" s="84" t="e">
        <f t="shared" ref="AM69" si="1184">AJ69/AK69</f>
        <v>#DIV/0!</v>
      </c>
      <c r="AN69" s="589"/>
      <c r="AO69" s="79">
        <f t="shared" ref="AO69:AQ75" si="1185">AO31</f>
        <v>1000</v>
      </c>
      <c r="AP69" s="82">
        <f t="shared" si="1185"/>
        <v>5.1899999999999995</v>
      </c>
      <c r="AQ69" s="79">
        <f t="shared" si="1185"/>
        <v>5</v>
      </c>
      <c r="AR69" s="82">
        <f t="shared" ref="AR69" si="1186">AO69/AP69</f>
        <v>192.67822736030831</v>
      </c>
      <c r="AS69" s="84">
        <f t="shared" ref="AS69" si="1187">AP69/AQ69</f>
        <v>1.0379999999999998</v>
      </c>
      <c r="AT69" s="589"/>
      <c r="AU69" s="79">
        <f t="shared" ref="AU69:AW75" si="1188">AU31</f>
        <v>750</v>
      </c>
      <c r="AV69" s="82">
        <f t="shared" si="1188"/>
        <v>7.59</v>
      </c>
      <c r="AW69" s="79">
        <f t="shared" si="1188"/>
        <v>5</v>
      </c>
      <c r="AX69" s="82">
        <f t="shared" ref="AX69" si="1189">AU69/AV69</f>
        <v>98.814229249011859</v>
      </c>
      <c r="AY69" s="84">
        <f t="shared" ref="AY69" si="1190">AV69/AW69</f>
        <v>1.518</v>
      </c>
      <c r="AZ69" s="84"/>
      <c r="BA69" s="79">
        <f t="shared" ref="BA69:BC75" si="1191">BA31</f>
        <v>1100</v>
      </c>
      <c r="BB69" s="82">
        <f t="shared" si="1191"/>
        <v>11.93</v>
      </c>
      <c r="BC69" s="79">
        <f t="shared" si="1191"/>
        <v>5</v>
      </c>
      <c r="BD69" s="82">
        <f t="shared" ref="BD69" si="1192">BA69/BB69</f>
        <v>92.204526404023468</v>
      </c>
      <c r="BE69" s="84">
        <f t="shared" ref="BE69" si="1193">BB69/BC69</f>
        <v>2.3860000000000001</v>
      </c>
      <c r="BF69" s="84"/>
      <c r="BG69" s="79">
        <f t="shared" ref="BG69:BI75" si="1194">BG31</f>
        <v>0</v>
      </c>
      <c r="BH69" s="82">
        <f t="shared" si="1194"/>
        <v>0</v>
      </c>
      <c r="BI69" s="79">
        <f t="shared" si="1194"/>
        <v>0</v>
      </c>
      <c r="BJ69" s="82" t="e">
        <f t="shared" ref="BJ69" si="1195">BG69/BH69</f>
        <v>#DIV/0!</v>
      </c>
      <c r="BK69" s="84" t="e">
        <f t="shared" ref="BK69" si="1196">BH69/BI69</f>
        <v>#DIV/0!</v>
      </c>
      <c r="BL69" s="84"/>
      <c r="BM69" s="79">
        <f t="shared" ref="BM69:BO75" si="1197">BM31</f>
        <v>0</v>
      </c>
      <c r="BN69" s="82">
        <f t="shared" si="1197"/>
        <v>0</v>
      </c>
      <c r="BO69" s="79">
        <f t="shared" si="1197"/>
        <v>0</v>
      </c>
      <c r="BP69" s="82" t="e">
        <f t="shared" ref="BP69" si="1198">BM69/BN69</f>
        <v>#DIV/0!</v>
      </c>
      <c r="BQ69" s="84" t="e">
        <f t="shared" ref="BQ69" si="1199">BN69/BO69</f>
        <v>#DIV/0!</v>
      </c>
      <c r="BR69" s="589"/>
      <c r="BS69" s="79">
        <f t="shared" ref="BS69:BU75" si="1200">BS31</f>
        <v>2100</v>
      </c>
      <c r="BT69" s="82">
        <f t="shared" si="1200"/>
        <v>9.6300000000000008</v>
      </c>
      <c r="BU69" s="79">
        <f t="shared" si="1200"/>
        <v>5</v>
      </c>
      <c r="BV69" s="82">
        <f t="shared" ref="BV69" si="1201">BS69/BT69</f>
        <v>218.06853582554515</v>
      </c>
      <c r="BW69" s="84">
        <f t="shared" ref="BW69" si="1202">BT69/BU69</f>
        <v>1.9260000000000002</v>
      </c>
      <c r="BX69" s="84"/>
      <c r="BY69" s="79">
        <f t="shared" ref="BY69:CA75" si="1203">BY31</f>
        <v>1500</v>
      </c>
      <c r="BZ69" s="82">
        <f t="shared" si="1203"/>
        <v>7.8</v>
      </c>
      <c r="CA69" s="79">
        <f t="shared" si="1203"/>
        <v>5</v>
      </c>
      <c r="CB69" s="82">
        <f t="shared" ref="CB69" si="1204">BY69/BZ69</f>
        <v>192.30769230769232</v>
      </c>
      <c r="CC69" s="84">
        <f t="shared" ref="CC69" si="1205">BZ69/CA69</f>
        <v>1.56</v>
      </c>
      <c r="CD69" s="84"/>
      <c r="CE69" s="79">
        <f t="shared" ref="CE69:CG75" si="1206">CE31</f>
        <v>0</v>
      </c>
      <c r="CF69" s="82">
        <f t="shared" si="1206"/>
        <v>0</v>
      </c>
      <c r="CG69" s="79">
        <f t="shared" si="1206"/>
        <v>0</v>
      </c>
      <c r="CH69" s="82" t="e">
        <f t="shared" ref="CH69" si="1207">CE69/CF69</f>
        <v>#DIV/0!</v>
      </c>
      <c r="CI69" s="84" t="e">
        <f t="shared" ref="CI69" si="1208">CF69/CG69</f>
        <v>#DIV/0!</v>
      </c>
      <c r="CJ69" s="84"/>
      <c r="CK69" s="79">
        <f t="shared" ref="CK69:CM75" si="1209">CK31</f>
        <v>0</v>
      </c>
      <c r="CL69" s="82">
        <f t="shared" si="1209"/>
        <v>0</v>
      </c>
      <c r="CM69" s="79">
        <f t="shared" si="1209"/>
        <v>0</v>
      </c>
      <c r="CN69" s="82" t="e">
        <f t="shared" ref="CN69" si="1210">CK69/CL69</f>
        <v>#DIV/0!</v>
      </c>
      <c r="CO69" s="84" t="e">
        <f t="shared" ref="CO69" si="1211">CL69/CM69</f>
        <v>#DIV/0!</v>
      </c>
      <c r="CP69" s="84"/>
      <c r="CQ69" s="79">
        <f t="shared" ref="CQ69:CS75" si="1212">CQ31</f>
        <v>0</v>
      </c>
      <c r="CR69" s="82">
        <f t="shared" si="1212"/>
        <v>0</v>
      </c>
      <c r="CS69" s="79">
        <f t="shared" si="1212"/>
        <v>0</v>
      </c>
      <c r="CT69" s="82" t="e">
        <f t="shared" ref="CT69" si="1213">CQ69/CR69</f>
        <v>#DIV/0!</v>
      </c>
      <c r="CU69" s="84" t="e">
        <f t="shared" ref="CU69" si="1214">CR69/CS69</f>
        <v>#DIV/0!</v>
      </c>
      <c r="CV69" s="84"/>
      <c r="CW69" s="79">
        <f t="shared" ref="CW69:CY75" si="1215">CW31</f>
        <v>1500</v>
      </c>
      <c r="CX69" s="82">
        <f t="shared" si="1215"/>
        <v>7.8</v>
      </c>
      <c r="CY69" s="79">
        <f t="shared" si="1215"/>
        <v>5</v>
      </c>
      <c r="CZ69" s="82">
        <f t="shared" ref="CZ69" si="1216">CW69/CX69</f>
        <v>192.30769230769232</v>
      </c>
      <c r="DA69" s="84">
        <f t="shared" ref="DA69" si="1217">CX69/CY69</f>
        <v>1.56</v>
      </c>
      <c r="DB69" s="84"/>
      <c r="DC69" s="79">
        <f t="shared" ref="DC69:DE75" si="1218">DC31</f>
        <v>1250</v>
      </c>
      <c r="DD69" s="82">
        <f t="shared" si="1218"/>
        <v>2.77</v>
      </c>
      <c r="DE69" s="79">
        <f t="shared" si="1218"/>
        <v>5</v>
      </c>
      <c r="DF69" s="82">
        <f t="shared" ref="DF69" si="1219">DC69/DD69</f>
        <v>451.26353790613717</v>
      </c>
      <c r="DG69" s="84">
        <f t="shared" ref="DG69" si="1220">DD69/DE69</f>
        <v>0.55400000000000005</v>
      </c>
      <c r="DH69" s="84"/>
      <c r="DI69" s="79">
        <f t="shared" ref="DI69:DK75" si="1221">DI31</f>
        <v>900</v>
      </c>
      <c r="DJ69" s="82">
        <f t="shared" si="1221"/>
        <v>19.59</v>
      </c>
      <c r="DK69" s="79">
        <f t="shared" si="1221"/>
        <v>5</v>
      </c>
      <c r="DL69" s="82">
        <f t="shared" ref="DL69" si="1222">DI69/DJ69</f>
        <v>45.94180704441041</v>
      </c>
      <c r="DM69" s="84">
        <f t="shared" ref="DM69" si="1223">DJ69/DK69</f>
        <v>3.9180000000000001</v>
      </c>
      <c r="DN69" s="84"/>
      <c r="DO69" s="79">
        <f t="shared" ref="DO69:DQ75" si="1224">DO31</f>
        <v>900</v>
      </c>
      <c r="DP69" s="82">
        <f t="shared" si="1224"/>
        <v>7.41</v>
      </c>
      <c r="DQ69" s="79">
        <f t="shared" si="1224"/>
        <v>5</v>
      </c>
      <c r="DR69" s="82">
        <f t="shared" ref="DR69" si="1225">DO69/DP69</f>
        <v>121.4574898785425</v>
      </c>
      <c r="DS69" s="84">
        <f t="shared" ref="DS69" si="1226">DP69/DQ69</f>
        <v>1.482</v>
      </c>
      <c r="DT69" s="84"/>
      <c r="DU69" s="79">
        <f t="shared" ref="DU69:DW75" si="1227">DU31</f>
        <v>0</v>
      </c>
      <c r="DV69" s="82">
        <f t="shared" si="1227"/>
        <v>0</v>
      </c>
      <c r="DW69" s="79">
        <f t="shared" si="1227"/>
        <v>0</v>
      </c>
      <c r="DX69" s="82" t="e">
        <f t="shared" ref="DX69" si="1228">DU69/DV69</f>
        <v>#DIV/0!</v>
      </c>
      <c r="DY69" s="84" t="e">
        <f t="shared" ref="DY69" si="1229">DV69/DW69</f>
        <v>#DIV/0!</v>
      </c>
      <c r="DZ69" s="84"/>
      <c r="EA69" s="79">
        <f t="shared" ref="EA69:EC75" si="1230">EA31</f>
        <v>0</v>
      </c>
      <c r="EB69" s="82">
        <f t="shared" si="1230"/>
        <v>0</v>
      </c>
      <c r="EC69" s="79">
        <f t="shared" si="1230"/>
        <v>0</v>
      </c>
      <c r="ED69" s="82" t="e">
        <f t="shared" ref="ED69" si="1231">EA69/EB69</f>
        <v>#DIV/0!</v>
      </c>
      <c r="EE69" s="84" t="e">
        <f t="shared" ref="EE69" si="1232">EB69/EC69</f>
        <v>#DIV/0!</v>
      </c>
      <c r="EF69" s="84"/>
      <c r="EG69" s="79">
        <f t="shared" ref="EG69:EI75" si="1233">EG31</f>
        <v>0</v>
      </c>
      <c r="EH69" s="82">
        <f t="shared" si="1233"/>
        <v>0</v>
      </c>
      <c r="EI69" s="79">
        <f t="shared" si="1233"/>
        <v>0</v>
      </c>
      <c r="EJ69" s="82" t="e">
        <f t="shared" ref="EJ69" si="1234">EG69/EH69</f>
        <v>#DIV/0!</v>
      </c>
      <c r="EK69" s="84" t="e">
        <f t="shared" ref="EK69" si="1235">EH69/EI69</f>
        <v>#DIV/0!</v>
      </c>
      <c r="EL69" s="84"/>
      <c r="EM69" s="79">
        <f t="shared" ref="EM69:EO75" si="1236">EM31</f>
        <v>0</v>
      </c>
      <c r="EN69" s="82">
        <f t="shared" si="1236"/>
        <v>0</v>
      </c>
      <c r="EO69" s="79">
        <f t="shared" si="1236"/>
        <v>0</v>
      </c>
      <c r="EP69" s="82" t="e">
        <f t="shared" ref="EP69" si="1237">EM69/EN69</f>
        <v>#DIV/0!</v>
      </c>
      <c r="EQ69" s="84" t="e">
        <f t="shared" ref="EQ69" si="1238">EN69/EO69</f>
        <v>#DIV/0!</v>
      </c>
      <c r="ER69" s="589"/>
      <c r="ES69" s="79">
        <f t="shared" ref="ES69:EU75" si="1239">ES31</f>
        <v>1500</v>
      </c>
      <c r="ET69" s="82">
        <f t="shared" si="1239"/>
        <v>7.8</v>
      </c>
      <c r="EU69" s="79">
        <f t="shared" si="1239"/>
        <v>5</v>
      </c>
      <c r="EV69" s="82">
        <f t="shared" si="915"/>
        <v>192.30769230769232</v>
      </c>
      <c r="EW69" s="84">
        <f t="shared" si="916"/>
        <v>1.56</v>
      </c>
      <c r="EY69" s="91">
        <f t="shared" ref="EY69:FA75" si="1240">EY31</f>
        <v>0</v>
      </c>
      <c r="EZ69" s="369">
        <f t="shared" si="1240"/>
        <v>0</v>
      </c>
      <c r="FA69" s="371">
        <f t="shared" si="1240"/>
        <v>0</v>
      </c>
      <c r="FB69" s="369" t="e">
        <f t="shared" ref="FB69:FC71" si="1241">EY69/EZ69</f>
        <v>#DIV/0!</v>
      </c>
      <c r="FC69" s="370" t="e">
        <f t="shared" si="1241"/>
        <v>#DIV/0!</v>
      </c>
      <c r="FE69" s="91">
        <f t="shared" ref="FE69:FG75" si="1242">FE31</f>
        <v>0</v>
      </c>
      <c r="FF69" s="369">
        <f t="shared" si="1242"/>
        <v>0</v>
      </c>
      <c r="FG69" s="371">
        <f t="shared" si="1242"/>
        <v>0</v>
      </c>
      <c r="FH69" s="381" t="e">
        <f t="shared" si="919"/>
        <v>#DIV/0!</v>
      </c>
      <c r="FI69" s="370" t="e">
        <f t="shared" si="920"/>
        <v>#DIV/0!</v>
      </c>
      <c r="FJ69" s="178"/>
      <c r="FK69" s="91">
        <f t="shared" ref="FK69:FM75" si="1243">FK31</f>
        <v>0</v>
      </c>
      <c r="FL69" s="82">
        <f t="shared" si="1243"/>
        <v>0</v>
      </c>
      <c r="FM69" s="371">
        <f t="shared" si="1243"/>
        <v>0</v>
      </c>
      <c r="FN69" s="361" t="e">
        <f t="shared" si="1065"/>
        <v>#DIV/0!</v>
      </c>
      <c r="FO69" s="362" t="e">
        <f t="shared" si="1065"/>
        <v>#DIV/0!</v>
      </c>
      <c r="FQ69" s="379">
        <f t="shared" ref="FQ69:FS75" si="1244">FQ31</f>
        <v>0</v>
      </c>
      <c r="FR69" s="369">
        <f t="shared" si="1244"/>
        <v>0</v>
      </c>
      <c r="FS69" s="371">
        <f t="shared" si="1244"/>
        <v>0</v>
      </c>
      <c r="FT69" s="382" t="e">
        <f t="shared" si="1066"/>
        <v>#DIV/0!</v>
      </c>
      <c r="FU69" s="362" t="e">
        <f t="shared" si="1066"/>
        <v>#DIV/0!</v>
      </c>
      <c r="FV69" s="178"/>
      <c r="FW69" s="91">
        <f t="shared" ref="FW69:FY75" si="1245">FW31</f>
        <v>1600</v>
      </c>
      <c r="FX69" s="82">
        <f t="shared" si="1245"/>
        <v>6.09</v>
      </c>
      <c r="FY69" s="371">
        <f t="shared" si="1245"/>
        <v>5</v>
      </c>
      <c r="FZ69" s="361">
        <f>IFERROR(FW69/FX69,"0")</f>
        <v>262.72577996715927</v>
      </c>
      <c r="GA69" s="362">
        <f>IFERROR(FX69/FY69,"0")</f>
        <v>1.218</v>
      </c>
      <c r="GC69" s="91">
        <f t="shared" ref="GC69:GE75" si="1246">GC31</f>
        <v>1050</v>
      </c>
      <c r="GD69" s="369">
        <f t="shared" si="1246"/>
        <v>6.6599999999999993</v>
      </c>
      <c r="GE69" s="371">
        <f t="shared" si="1246"/>
        <v>5</v>
      </c>
      <c r="GF69" s="369">
        <f t="shared" ref="GF69:GG71" si="1247">GC69/GD69</f>
        <v>157.65765765765767</v>
      </c>
      <c r="GG69" s="370">
        <f t="shared" si="1247"/>
        <v>1.3319999999999999</v>
      </c>
      <c r="GI69" s="91">
        <f t="shared" ref="GI69:GK75" si="1248">GI31</f>
        <v>1700</v>
      </c>
      <c r="GJ69" s="82">
        <f t="shared" si="1248"/>
        <v>12.100000000000001</v>
      </c>
      <c r="GK69" s="79">
        <f t="shared" si="1248"/>
        <v>5</v>
      </c>
      <c r="GL69" s="82">
        <f t="shared" si="1068"/>
        <v>140.49586776859502</v>
      </c>
      <c r="GM69" s="84">
        <f t="shared" si="1068"/>
        <v>2.4200000000000004</v>
      </c>
      <c r="GO69" s="91">
        <f t="shared" ref="GO69:GQ75" si="1249">GO31</f>
        <v>850</v>
      </c>
      <c r="GP69" s="82">
        <f t="shared" si="1249"/>
        <v>2.6500000000000004</v>
      </c>
      <c r="GQ69" s="371">
        <f t="shared" si="1249"/>
        <v>5</v>
      </c>
      <c r="GR69" s="369">
        <f t="shared" ref="GR69:GS71" si="1250">GO69/GP69</f>
        <v>320.75471698113205</v>
      </c>
      <c r="GS69" s="370">
        <f t="shared" si="1250"/>
        <v>0.53</v>
      </c>
      <c r="GU69" s="91">
        <f t="shared" ref="GU69:GW75" si="1251">GU31</f>
        <v>590</v>
      </c>
      <c r="GV69" s="82">
        <f t="shared" si="1251"/>
        <v>4.21</v>
      </c>
      <c r="GW69" s="79">
        <f t="shared" si="1251"/>
        <v>5</v>
      </c>
      <c r="GX69" s="82">
        <f t="shared" si="1069"/>
        <v>140.14251781472683</v>
      </c>
      <c r="GY69" s="84">
        <f t="shared" si="1069"/>
        <v>0.84199999999999997</v>
      </c>
      <c r="HA69" s="91">
        <f t="shared" ref="HA69:HC75" si="1252">HA31</f>
        <v>470</v>
      </c>
      <c r="HB69" s="82">
        <f t="shared" si="1252"/>
        <v>10</v>
      </c>
      <c r="HC69" s="79">
        <f t="shared" si="1252"/>
        <v>5</v>
      </c>
      <c r="HD69" s="369">
        <f t="shared" si="935"/>
        <v>47</v>
      </c>
      <c r="HE69" s="370">
        <f t="shared" si="936"/>
        <v>2</v>
      </c>
      <c r="HG69" s="91">
        <f t="shared" ref="HG69:HI75" si="1253">HG31</f>
        <v>900</v>
      </c>
      <c r="HH69" s="82">
        <f t="shared" si="1253"/>
        <v>5.98</v>
      </c>
      <c r="HI69" s="79">
        <f t="shared" si="1253"/>
        <v>5</v>
      </c>
      <c r="HJ69" s="82">
        <f t="shared" si="1070"/>
        <v>150.50167224080266</v>
      </c>
      <c r="HK69" s="84">
        <f t="shared" si="1070"/>
        <v>1.1960000000000002</v>
      </c>
      <c r="HM69" s="91">
        <f t="shared" ref="HM69:HO75" si="1254">HM31</f>
        <v>900</v>
      </c>
      <c r="HN69" s="82">
        <f t="shared" si="1254"/>
        <v>5.98</v>
      </c>
      <c r="HO69" s="79">
        <f t="shared" si="1254"/>
        <v>5</v>
      </c>
      <c r="HP69" s="361">
        <f t="shared" si="1071"/>
        <v>150.50167224080266</v>
      </c>
      <c r="HQ69" s="362">
        <f t="shared" si="1071"/>
        <v>1.1960000000000002</v>
      </c>
      <c r="HS69" s="91">
        <f t="shared" ref="HS69:HU75" si="1255">HS31</f>
        <v>0</v>
      </c>
      <c r="HT69" s="82">
        <f t="shared" si="1255"/>
        <v>0</v>
      </c>
      <c r="HU69" s="371">
        <f t="shared" si="1255"/>
        <v>0</v>
      </c>
      <c r="HV69" s="361" t="e">
        <f t="shared" si="1072"/>
        <v>#DIV/0!</v>
      </c>
      <c r="HW69" s="362" t="e">
        <f t="shared" si="1072"/>
        <v>#DIV/0!</v>
      </c>
      <c r="HX69" s="178"/>
      <c r="HY69" s="91">
        <f t="shared" ref="HY69:IA75" si="1256">HY31</f>
        <v>0</v>
      </c>
      <c r="HZ69" s="82">
        <f t="shared" si="1256"/>
        <v>0</v>
      </c>
      <c r="IA69" s="371">
        <f t="shared" si="1256"/>
        <v>0</v>
      </c>
      <c r="IB69" s="361" t="e">
        <f t="shared" si="1073"/>
        <v>#DIV/0!</v>
      </c>
      <c r="IC69" s="362" t="e">
        <f t="shared" si="1073"/>
        <v>#DIV/0!</v>
      </c>
      <c r="IE69" s="91">
        <f t="shared" ref="IE69:IG75" si="1257">IE31</f>
        <v>0</v>
      </c>
      <c r="IF69" s="82">
        <f t="shared" si="1257"/>
        <v>0</v>
      </c>
      <c r="IG69" s="371">
        <f t="shared" si="1257"/>
        <v>0</v>
      </c>
      <c r="IH69" s="361" t="e">
        <f t="shared" si="1074"/>
        <v>#DIV/0!</v>
      </c>
      <c r="II69" s="362" t="e">
        <f t="shared" si="1074"/>
        <v>#DIV/0!</v>
      </c>
      <c r="IJ69" s="178"/>
      <c r="IK69" s="379">
        <f t="shared" ref="IK69:IM75" si="1258">IK31</f>
        <v>1300</v>
      </c>
      <c r="IL69" s="369">
        <f t="shared" si="1258"/>
        <v>3.69</v>
      </c>
      <c r="IM69" s="371">
        <f t="shared" si="1258"/>
        <v>5</v>
      </c>
      <c r="IN69" s="369">
        <f t="shared" si="1075"/>
        <v>352.30352303523034</v>
      </c>
      <c r="IO69" s="370">
        <f t="shared" si="1075"/>
        <v>0.73799999999999999</v>
      </c>
      <c r="IP69" s="178"/>
      <c r="IQ69" s="379">
        <f t="shared" ref="IQ69:IS75" si="1259">IQ31</f>
        <v>2500</v>
      </c>
      <c r="IR69" s="369">
        <f t="shared" si="1259"/>
        <v>5.3999999999999995</v>
      </c>
      <c r="IS69" s="371">
        <f t="shared" si="1259"/>
        <v>5</v>
      </c>
      <c r="IT69" s="369">
        <f>IQ69/IR69</f>
        <v>462.96296296296299</v>
      </c>
      <c r="IU69" s="370">
        <f>IR69/IS69</f>
        <v>1.0799999999999998</v>
      </c>
      <c r="IW69" s="379">
        <f t="shared" ref="IW69:IY75" si="1260">IW31</f>
        <v>1250</v>
      </c>
      <c r="IX69" s="369">
        <f t="shared" si="1260"/>
        <v>7.28</v>
      </c>
      <c r="IY69" s="371">
        <f t="shared" si="1260"/>
        <v>5</v>
      </c>
      <c r="IZ69" s="369">
        <f t="shared" si="951"/>
        <v>171.7032967032967</v>
      </c>
      <c r="JA69" s="370">
        <f t="shared" si="952"/>
        <v>1.456</v>
      </c>
      <c r="JC69" s="379">
        <f t="shared" ref="JC69:JE75" si="1261">JC31</f>
        <v>600</v>
      </c>
      <c r="JD69" s="369">
        <f t="shared" si="1261"/>
        <v>6.49</v>
      </c>
      <c r="JE69" s="371">
        <f t="shared" si="1261"/>
        <v>5</v>
      </c>
      <c r="JF69" s="369">
        <f t="shared" si="953"/>
        <v>92.449922958397536</v>
      </c>
      <c r="JG69" s="370">
        <f t="shared" si="954"/>
        <v>1.298</v>
      </c>
      <c r="JI69" s="379">
        <f t="shared" ref="JI69:JK75" si="1262">JI31</f>
        <v>950</v>
      </c>
      <c r="JJ69" s="369">
        <f t="shared" si="1262"/>
        <v>10.01</v>
      </c>
      <c r="JK69" s="371">
        <f t="shared" si="1262"/>
        <v>5</v>
      </c>
      <c r="JL69" s="369">
        <f t="shared" si="955"/>
        <v>94.905094905094913</v>
      </c>
      <c r="JM69" s="370">
        <f t="shared" si="956"/>
        <v>2.0019999999999998</v>
      </c>
      <c r="JO69" s="379">
        <f t="shared" ref="JO69:JQ75" si="1263">JO31</f>
        <v>750</v>
      </c>
      <c r="JP69" s="369">
        <f t="shared" si="1263"/>
        <v>8.4599999999999991</v>
      </c>
      <c r="JQ69" s="371">
        <f t="shared" si="1263"/>
        <v>5</v>
      </c>
      <c r="JR69" s="369">
        <f t="shared" si="957"/>
        <v>88.652482269503551</v>
      </c>
      <c r="JS69" s="370">
        <f t="shared" si="958"/>
        <v>1.6919999999999997</v>
      </c>
      <c r="JU69" s="379">
        <f t="shared" si="1046"/>
        <v>700</v>
      </c>
      <c r="JV69" s="369">
        <f t="shared" si="1046"/>
        <v>6.01</v>
      </c>
      <c r="JW69" s="371">
        <f t="shared" si="1046"/>
        <v>5</v>
      </c>
      <c r="JX69" s="369">
        <f t="shared" si="959"/>
        <v>116.47254575707156</v>
      </c>
      <c r="JY69" s="370">
        <f t="shared" si="960"/>
        <v>1.202</v>
      </c>
      <c r="KA69" s="379">
        <f t="shared" si="1130"/>
        <v>1350</v>
      </c>
      <c r="KB69" s="369">
        <f t="shared" si="1130"/>
        <v>6.4500000000000011</v>
      </c>
      <c r="KC69" s="371">
        <f t="shared" ref="KC69:KC75" si="1264">SUM(KC31)</f>
        <v>5</v>
      </c>
      <c r="KD69" s="369">
        <f t="shared" si="961"/>
        <v>209.30232558139531</v>
      </c>
      <c r="KE69" s="370">
        <f t="shared" si="962"/>
        <v>1.2900000000000003</v>
      </c>
      <c r="KG69" s="379">
        <f t="shared" ref="KG69:KI75" si="1265">SUM(KG31)</f>
        <v>1100</v>
      </c>
      <c r="KH69" s="369">
        <f t="shared" si="1265"/>
        <v>3.72</v>
      </c>
      <c r="KI69" s="371">
        <f t="shared" si="1265"/>
        <v>5</v>
      </c>
      <c r="KJ69" s="369">
        <f t="shared" si="963"/>
        <v>295.69892473118279</v>
      </c>
      <c r="KK69" s="370">
        <f t="shared" si="964"/>
        <v>0.74399999999999999</v>
      </c>
      <c r="KM69" s="379">
        <f t="shared" ref="KM69:KO69" si="1266">SUM(KM31)</f>
        <v>2500</v>
      </c>
      <c r="KN69" s="369">
        <f t="shared" si="1266"/>
        <v>4.1099999999999994</v>
      </c>
      <c r="KO69" s="371">
        <f t="shared" si="1266"/>
        <v>5</v>
      </c>
      <c r="KP69" s="369">
        <f t="shared" si="965"/>
        <v>608.27250608272516</v>
      </c>
      <c r="KQ69" s="370">
        <f t="shared" si="966"/>
        <v>0.82199999999999984</v>
      </c>
      <c r="KS69" s="379">
        <f t="shared" ref="KS69:KU69" si="1267">SUM(KS31)</f>
        <v>0</v>
      </c>
      <c r="KT69" s="369">
        <f t="shared" si="1267"/>
        <v>0</v>
      </c>
      <c r="KU69" s="371">
        <f t="shared" si="1267"/>
        <v>0</v>
      </c>
      <c r="KV69" s="369" t="e">
        <f t="shared" si="967"/>
        <v>#DIV/0!</v>
      </c>
      <c r="KW69" s="370" t="e">
        <f t="shared" si="968"/>
        <v>#DIV/0!</v>
      </c>
      <c r="KY69" s="379">
        <f t="shared" ref="KY69:LA69" si="1268">SUM(KY31)</f>
        <v>0</v>
      </c>
      <c r="KZ69" s="369">
        <f t="shared" si="1268"/>
        <v>0</v>
      </c>
      <c r="LA69" s="371">
        <f t="shared" si="1268"/>
        <v>0</v>
      </c>
      <c r="LB69" s="369" t="e">
        <f t="shared" si="969"/>
        <v>#DIV/0!</v>
      </c>
      <c r="LC69" s="370" t="e">
        <f t="shared" si="970"/>
        <v>#DIV/0!</v>
      </c>
      <c r="LE69" s="379">
        <f t="shared" ref="LE69:LG69" si="1269">SUM(LE31)</f>
        <v>0</v>
      </c>
      <c r="LF69" s="369">
        <f t="shared" si="1269"/>
        <v>0</v>
      </c>
      <c r="LG69" s="371">
        <f t="shared" si="1269"/>
        <v>0</v>
      </c>
      <c r="LH69" s="369" t="e">
        <f t="shared" si="971"/>
        <v>#DIV/0!</v>
      </c>
      <c r="LI69" s="370" t="e">
        <f t="shared" si="972"/>
        <v>#DIV/0!</v>
      </c>
      <c r="LK69" s="379">
        <f t="shared" ref="LK69:LM69" si="1270">SUM(LK31)</f>
        <v>1900</v>
      </c>
      <c r="LL69" s="369">
        <f t="shared" si="1270"/>
        <v>5.68</v>
      </c>
      <c r="LM69" s="371">
        <f t="shared" si="1270"/>
        <v>5</v>
      </c>
      <c r="LN69" s="369">
        <f t="shared" si="973"/>
        <v>334.50704225352115</v>
      </c>
      <c r="LO69" s="370">
        <f t="shared" si="974"/>
        <v>1.1359999999999999</v>
      </c>
      <c r="LQ69" s="379">
        <f t="shared" ref="LQ69:LS69" si="1271">SUM(LQ31)</f>
        <v>1200</v>
      </c>
      <c r="LR69" s="369">
        <f t="shared" si="1271"/>
        <v>15.88</v>
      </c>
      <c r="LS69" s="371">
        <f t="shared" si="1271"/>
        <v>5</v>
      </c>
      <c r="LT69" s="369">
        <f t="shared" si="975"/>
        <v>75.566750629722918</v>
      </c>
      <c r="LU69" s="370">
        <f t="shared" si="976"/>
        <v>3.1760000000000002</v>
      </c>
      <c r="LW69" s="379">
        <f t="shared" ref="LW69:LY69" si="1272">SUM(LW31)</f>
        <v>800</v>
      </c>
      <c r="LX69" s="369">
        <f t="shared" si="1272"/>
        <v>4.95</v>
      </c>
      <c r="LY69" s="371">
        <f t="shared" si="1272"/>
        <v>5</v>
      </c>
      <c r="LZ69" s="369">
        <f t="shared" si="977"/>
        <v>161.61616161616161</v>
      </c>
      <c r="MA69" s="370">
        <f t="shared" si="978"/>
        <v>0.99</v>
      </c>
      <c r="MC69" s="379">
        <f t="shared" ref="MC69:ME69" si="1273">SUM(MC31)</f>
        <v>450</v>
      </c>
      <c r="MD69" s="369">
        <f t="shared" si="1273"/>
        <v>5.26</v>
      </c>
      <c r="ME69" s="371">
        <f t="shared" si="1273"/>
        <v>5</v>
      </c>
      <c r="MF69" s="369">
        <f t="shared" si="979"/>
        <v>85.551330798479086</v>
      </c>
      <c r="MG69" s="370">
        <f t="shared" si="980"/>
        <v>1.052</v>
      </c>
      <c r="MI69" s="379">
        <f t="shared" ref="MI69:MK69" si="1274">SUM(MI31)</f>
        <v>1000</v>
      </c>
      <c r="MJ69" s="369">
        <f t="shared" si="1274"/>
        <v>9.06</v>
      </c>
      <c r="MK69" s="371">
        <f t="shared" si="1274"/>
        <v>5</v>
      </c>
      <c r="ML69" s="369">
        <f t="shared" si="981"/>
        <v>110.37527593818984</v>
      </c>
      <c r="MM69" s="370">
        <f t="shared" si="982"/>
        <v>1.8120000000000001</v>
      </c>
      <c r="MO69" s="379">
        <f t="shared" ref="MO69:MQ69" si="1275">SUM(MO31)</f>
        <v>0</v>
      </c>
      <c r="MP69" s="369">
        <f t="shared" si="1275"/>
        <v>0</v>
      </c>
      <c r="MQ69" s="371">
        <f t="shared" si="1275"/>
        <v>0</v>
      </c>
      <c r="MR69" s="369" t="e">
        <f t="shared" si="983"/>
        <v>#DIV/0!</v>
      </c>
      <c r="MS69" s="370" t="e">
        <f t="shared" si="984"/>
        <v>#DIV/0!</v>
      </c>
      <c r="MU69" s="379">
        <f t="shared" ref="MU69:MW69" si="1276">SUM(MU31)</f>
        <v>0</v>
      </c>
      <c r="MV69" s="369">
        <f t="shared" si="1276"/>
        <v>0</v>
      </c>
      <c r="MW69" s="371">
        <f t="shared" si="1276"/>
        <v>0</v>
      </c>
      <c r="MX69" s="369" t="e">
        <f t="shared" si="985"/>
        <v>#DIV/0!</v>
      </c>
      <c r="MY69" s="370" t="e">
        <f t="shared" si="986"/>
        <v>#DIV/0!</v>
      </c>
      <c r="NA69" s="755">
        <f t="shared" ref="NA69:NC69" si="1277">SUM(NA31)</f>
        <v>1500</v>
      </c>
      <c r="NB69" s="384">
        <f t="shared" si="1277"/>
        <v>3.03</v>
      </c>
      <c r="NC69" s="384">
        <f t="shared" si="1277"/>
        <v>5</v>
      </c>
      <c r="ND69" s="369">
        <f t="shared" si="987"/>
        <v>495.04950495049508</v>
      </c>
      <c r="NE69" s="370">
        <f t="shared" si="988"/>
        <v>0.60599999999999998</v>
      </c>
      <c r="NG69" s="379">
        <f t="shared" ref="NG69:NI69" si="1278">SUM(NG31)</f>
        <v>0</v>
      </c>
      <c r="NH69" s="369">
        <f t="shared" si="1278"/>
        <v>0</v>
      </c>
      <c r="NI69" s="371">
        <f t="shared" si="1278"/>
        <v>0</v>
      </c>
      <c r="NJ69" s="369" t="e">
        <f t="shared" si="989"/>
        <v>#DIV/0!</v>
      </c>
      <c r="NK69" s="370" t="e">
        <f t="shared" si="990"/>
        <v>#DIV/0!</v>
      </c>
      <c r="NM69" s="379">
        <f t="shared" ref="NM69:NO69" si="1279">SUM(NM31)</f>
        <v>0</v>
      </c>
      <c r="NN69" s="369">
        <f t="shared" si="1279"/>
        <v>0</v>
      </c>
      <c r="NO69" s="371">
        <f t="shared" si="1279"/>
        <v>0</v>
      </c>
      <c r="NP69" s="369" t="e">
        <f t="shared" si="991"/>
        <v>#DIV/0!</v>
      </c>
      <c r="NQ69" s="370" t="e">
        <f t="shared" si="992"/>
        <v>#DIV/0!</v>
      </c>
      <c r="NS69" s="379">
        <f t="shared" ref="NS69:NU69" si="1280">SUM(NS31)</f>
        <v>0</v>
      </c>
      <c r="NT69" s="369">
        <f t="shared" si="1280"/>
        <v>0</v>
      </c>
      <c r="NU69" s="371">
        <f t="shared" si="1280"/>
        <v>0</v>
      </c>
      <c r="NV69" s="369" t="e">
        <f t="shared" si="993"/>
        <v>#DIV/0!</v>
      </c>
      <c r="NW69" s="370" t="e">
        <f t="shared" si="994"/>
        <v>#DIV/0!</v>
      </c>
      <c r="NY69" s="379">
        <f t="shared" ref="NY69:OA69" si="1281">SUM(NY31)</f>
        <v>0</v>
      </c>
      <c r="NZ69" s="369">
        <f t="shared" si="1281"/>
        <v>0</v>
      </c>
      <c r="OA69" s="371">
        <f t="shared" si="1281"/>
        <v>0</v>
      </c>
      <c r="OB69" s="369" t="e">
        <f t="shared" si="995"/>
        <v>#DIV/0!</v>
      </c>
      <c r="OC69" s="370" t="e">
        <f t="shared" si="996"/>
        <v>#DIV/0!</v>
      </c>
      <c r="OE69" s="379">
        <f t="shared" ref="OE69:OG69" si="1282">SUM(OE31)</f>
        <v>0</v>
      </c>
      <c r="OF69" s="369">
        <f t="shared" si="1282"/>
        <v>0</v>
      </c>
      <c r="OG69" s="371">
        <f t="shared" si="1282"/>
        <v>0</v>
      </c>
      <c r="OH69" s="369" t="e">
        <f t="shared" si="997"/>
        <v>#DIV/0!</v>
      </c>
      <c r="OI69" s="370" t="e">
        <f t="shared" si="998"/>
        <v>#DIV/0!</v>
      </c>
    </row>
    <row r="70" spans="1:399">
      <c r="A70" s="69"/>
      <c r="B70" s="70" t="s">
        <v>34</v>
      </c>
      <c r="C70" s="57"/>
      <c r="D70" s="58" t="s">
        <v>14</v>
      </c>
      <c r="E70" s="79">
        <f t="shared" si="1167"/>
        <v>0</v>
      </c>
      <c r="F70" s="82">
        <f t="shared" si="1167"/>
        <v>0</v>
      </c>
      <c r="G70" s="79">
        <f t="shared" si="1167"/>
        <v>0</v>
      </c>
      <c r="H70" s="359" t="e">
        <f>E70/F70</f>
        <v>#DIV/0!</v>
      </c>
      <c r="I70" s="360" t="e">
        <f>F70/G70</f>
        <v>#DIV/0!</v>
      </c>
      <c r="J70" s="589"/>
      <c r="K70" s="79">
        <f t="shared" si="1170"/>
        <v>0</v>
      </c>
      <c r="L70" s="82">
        <f t="shared" si="1170"/>
        <v>0</v>
      </c>
      <c r="M70" s="79">
        <f t="shared" si="1170"/>
        <v>0</v>
      </c>
      <c r="N70" s="359" t="e">
        <f>K70/L70</f>
        <v>#DIV/0!</v>
      </c>
      <c r="O70" s="360" t="e">
        <f>L70/M70</f>
        <v>#DIV/0!</v>
      </c>
      <c r="P70" s="589"/>
      <c r="Q70" s="79">
        <f t="shared" si="1173"/>
        <v>0</v>
      </c>
      <c r="R70" s="82">
        <f t="shared" si="1173"/>
        <v>0</v>
      </c>
      <c r="S70" s="79">
        <f t="shared" si="1173"/>
        <v>0</v>
      </c>
      <c r="T70" s="359" t="e">
        <f>Q70/R70</f>
        <v>#DIV/0!</v>
      </c>
      <c r="U70" s="360" t="e">
        <f>R70/S70</f>
        <v>#DIV/0!</v>
      </c>
      <c r="V70" s="589"/>
      <c r="W70" s="79">
        <f t="shared" si="1176"/>
        <v>0</v>
      </c>
      <c r="X70" s="82">
        <f t="shared" si="1176"/>
        <v>0</v>
      </c>
      <c r="Y70" s="79">
        <f t="shared" si="1176"/>
        <v>0</v>
      </c>
      <c r="Z70" s="359" t="e">
        <f>W70/X70</f>
        <v>#DIV/0!</v>
      </c>
      <c r="AA70" s="360" t="e">
        <f>X70/Y70</f>
        <v>#DIV/0!</v>
      </c>
      <c r="AB70" s="589"/>
      <c r="AC70" s="79">
        <f t="shared" si="1179"/>
        <v>0</v>
      </c>
      <c r="AD70" s="82">
        <f t="shared" si="1179"/>
        <v>0</v>
      </c>
      <c r="AE70" s="79">
        <f t="shared" si="1179"/>
        <v>0</v>
      </c>
      <c r="AF70" s="359" t="e">
        <f>AC70/AD70</f>
        <v>#DIV/0!</v>
      </c>
      <c r="AG70" s="360" t="e">
        <f>AD70/AE70</f>
        <v>#DIV/0!</v>
      </c>
      <c r="AH70" s="589"/>
      <c r="AI70" s="79">
        <f t="shared" si="1182"/>
        <v>0</v>
      </c>
      <c r="AJ70" s="82">
        <f t="shared" si="1182"/>
        <v>0</v>
      </c>
      <c r="AK70" s="79">
        <f t="shared" si="1182"/>
        <v>0</v>
      </c>
      <c r="AL70" s="359" t="e">
        <f>AI70/AJ70</f>
        <v>#DIV/0!</v>
      </c>
      <c r="AM70" s="360" t="e">
        <f>AJ70/AK70</f>
        <v>#DIV/0!</v>
      </c>
      <c r="AN70" s="589"/>
      <c r="AO70" s="79">
        <f t="shared" si="1185"/>
        <v>1300</v>
      </c>
      <c r="AP70" s="82">
        <f t="shared" si="1185"/>
        <v>3.2199999999999998</v>
      </c>
      <c r="AQ70" s="79">
        <f t="shared" si="1185"/>
        <v>5</v>
      </c>
      <c r="AR70" s="359">
        <f>AO70/AP70</f>
        <v>403.7267080745342</v>
      </c>
      <c r="AS70" s="360">
        <f>AP70/AQ70</f>
        <v>0.64399999999999991</v>
      </c>
      <c r="AT70" s="589"/>
      <c r="AU70" s="79">
        <f t="shared" si="1188"/>
        <v>1300</v>
      </c>
      <c r="AV70" s="82">
        <f t="shared" si="1188"/>
        <v>5.24</v>
      </c>
      <c r="AW70" s="79">
        <f t="shared" si="1188"/>
        <v>5</v>
      </c>
      <c r="AX70" s="359">
        <f>AU70/AV70</f>
        <v>248.09160305343511</v>
      </c>
      <c r="AY70" s="360">
        <f>AV70/AW70</f>
        <v>1.048</v>
      </c>
      <c r="AZ70" s="360"/>
      <c r="BA70" s="79">
        <f t="shared" si="1191"/>
        <v>1300</v>
      </c>
      <c r="BB70" s="82">
        <f t="shared" si="1191"/>
        <v>4.8600000000000003</v>
      </c>
      <c r="BC70" s="79">
        <f t="shared" si="1191"/>
        <v>5</v>
      </c>
      <c r="BD70" s="359">
        <f>BA70/BB70</f>
        <v>267.48971193415639</v>
      </c>
      <c r="BE70" s="360">
        <f>BB70/BC70</f>
        <v>0.97200000000000009</v>
      </c>
      <c r="BF70" s="360"/>
      <c r="BG70" s="79">
        <f t="shared" si="1194"/>
        <v>0</v>
      </c>
      <c r="BH70" s="82">
        <f t="shared" si="1194"/>
        <v>0</v>
      </c>
      <c r="BI70" s="79">
        <f t="shared" si="1194"/>
        <v>0</v>
      </c>
      <c r="BJ70" s="359" t="e">
        <f>BG70/BH70</f>
        <v>#DIV/0!</v>
      </c>
      <c r="BK70" s="360" t="e">
        <f>BH70/BI70</f>
        <v>#DIV/0!</v>
      </c>
      <c r="BL70" s="360"/>
      <c r="BM70" s="79">
        <f t="shared" si="1197"/>
        <v>0</v>
      </c>
      <c r="BN70" s="82">
        <f t="shared" si="1197"/>
        <v>0</v>
      </c>
      <c r="BO70" s="79">
        <f t="shared" si="1197"/>
        <v>0</v>
      </c>
      <c r="BP70" s="359" t="e">
        <f>BM70/BN70</f>
        <v>#DIV/0!</v>
      </c>
      <c r="BQ70" s="360" t="e">
        <f>BN70/BO70</f>
        <v>#DIV/0!</v>
      </c>
      <c r="BR70" s="589"/>
      <c r="BS70" s="79">
        <f t="shared" si="1200"/>
        <v>1300</v>
      </c>
      <c r="BT70" s="82">
        <f t="shared" si="1200"/>
        <v>5.55</v>
      </c>
      <c r="BU70" s="79">
        <f t="shared" si="1200"/>
        <v>5</v>
      </c>
      <c r="BV70" s="359">
        <f>BS70/BT70</f>
        <v>234.23423423423424</v>
      </c>
      <c r="BW70" s="360">
        <f>BT70/BU70</f>
        <v>1.1099999999999999</v>
      </c>
      <c r="BX70" s="360"/>
      <c r="BY70" s="79">
        <f t="shared" si="1203"/>
        <v>0</v>
      </c>
      <c r="BZ70" s="82">
        <f t="shared" si="1203"/>
        <v>0</v>
      </c>
      <c r="CA70" s="79">
        <f t="shared" si="1203"/>
        <v>0</v>
      </c>
      <c r="CB70" s="359" t="e">
        <f>BY70/BZ70</f>
        <v>#DIV/0!</v>
      </c>
      <c r="CC70" s="360" t="e">
        <f>BZ70/CA70</f>
        <v>#DIV/0!</v>
      </c>
      <c r="CD70" s="360"/>
      <c r="CE70" s="79">
        <f t="shared" si="1206"/>
        <v>0</v>
      </c>
      <c r="CF70" s="82">
        <f t="shared" si="1206"/>
        <v>0</v>
      </c>
      <c r="CG70" s="79">
        <f t="shared" si="1206"/>
        <v>0</v>
      </c>
      <c r="CH70" s="359" t="e">
        <f>CE70/CF70</f>
        <v>#DIV/0!</v>
      </c>
      <c r="CI70" s="360" t="e">
        <f>CF70/CG70</f>
        <v>#DIV/0!</v>
      </c>
      <c r="CJ70" s="360"/>
      <c r="CK70" s="79">
        <f t="shared" si="1209"/>
        <v>0</v>
      </c>
      <c r="CL70" s="82">
        <f t="shared" si="1209"/>
        <v>0</v>
      </c>
      <c r="CM70" s="79">
        <f t="shared" si="1209"/>
        <v>0</v>
      </c>
      <c r="CN70" s="359" t="e">
        <f>CK70/CL70</f>
        <v>#DIV/0!</v>
      </c>
      <c r="CO70" s="360" t="e">
        <f>CL70/CM70</f>
        <v>#DIV/0!</v>
      </c>
      <c r="CP70" s="360"/>
      <c r="CQ70" s="79">
        <f t="shared" si="1212"/>
        <v>0</v>
      </c>
      <c r="CR70" s="82">
        <f t="shared" si="1212"/>
        <v>0</v>
      </c>
      <c r="CS70" s="79">
        <f t="shared" si="1212"/>
        <v>0</v>
      </c>
      <c r="CT70" s="359" t="e">
        <f>CQ70/CR70</f>
        <v>#DIV/0!</v>
      </c>
      <c r="CU70" s="360" t="e">
        <f>CR70/CS70</f>
        <v>#DIV/0!</v>
      </c>
      <c r="CV70" s="360"/>
      <c r="CW70" s="79">
        <f t="shared" si="1215"/>
        <v>0</v>
      </c>
      <c r="CX70" s="82">
        <f t="shared" si="1215"/>
        <v>0</v>
      </c>
      <c r="CY70" s="79">
        <f t="shared" si="1215"/>
        <v>0</v>
      </c>
      <c r="CZ70" s="359" t="e">
        <f>CW70/CX70</f>
        <v>#DIV/0!</v>
      </c>
      <c r="DA70" s="360" t="e">
        <f>CX70/CY70</f>
        <v>#DIV/0!</v>
      </c>
      <c r="DB70" s="360"/>
      <c r="DC70" s="79">
        <f t="shared" si="1218"/>
        <v>0</v>
      </c>
      <c r="DD70" s="82">
        <f t="shared" si="1218"/>
        <v>0</v>
      </c>
      <c r="DE70" s="79">
        <f t="shared" si="1218"/>
        <v>0</v>
      </c>
      <c r="DF70" s="359" t="e">
        <f>DC70/DD70</f>
        <v>#DIV/0!</v>
      </c>
      <c r="DG70" s="360" t="e">
        <f>DD70/DE70</f>
        <v>#DIV/0!</v>
      </c>
      <c r="DH70" s="360"/>
      <c r="DI70" s="79">
        <f t="shared" si="1221"/>
        <v>0</v>
      </c>
      <c r="DJ70" s="82">
        <f t="shared" si="1221"/>
        <v>0</v>
      </c>
      <c r="DK70" s="79">
        <f t="shared" si="1221"/>
        <v>0</v>
      </c>
      <c r="DL70" s="359" t="e">
        <f>DI70/DJ70</f>
        <v>#DIV/0!</v>
      </c>
      <c r="DM70" s="360" t="e">
        <f>DJ70/DK70</f>
        <v>#DIV/0!</v>
      </c>
      <c r="DN70" s="360"/>
      <c r="DO70" s="79">
        <f t="shared" si="1224"/>
        <v>0</v>
      </c>
      <c r="DP70" s="82">
        <f t="shared" si="1224"/>
        <v>0</v>
      </c>
      <c r="DQ70" s="79">
        <f t="shared" si="1224"/>
        <v>0</v>
      </c>
      <c r="DR70" s="359" t="e">
        <f>DO70/DP70</f>
        <v>#DIV/0!</v>
      </c>
      <c r="DS70" s="360" t="e">
        <f>DP70/DQ70</f>
        <v>#DIV/0!</v>
      </c>
      <c r="DT70" s="360"/>
      <c r="DU70" s="79">
        <f t="shared" si="1227"/>
        <v>0</v>
      </c>
      <c r="DV70" s="82">
        <f t="shared" si="1227"/>
        <v>0</v>
      </c>
      <c r="DW70" s="79">
        <f t="shared" si="1227"/>
        <v>0</v>
      </c>
      <c r="DX70" s="359" t="e">
        <f>DU70/DV70</f>
        <v>#DIV/0!</v>
      </c>
      <c r="DY70" s="360" t="e">
        <f>DV70/DW70</f>
        <v>#DIV/0!</v>
      </c>
      <c r="DZ70" s="360"/>
      <c r="EA70" s="79">
        <f t="shared" si="1230"/>
        <v>0</v>
      </c>
      <c r="EB70" s="82">
        <f t="shared" si="1230"/>
        <v>0</v>
      </c>
      <c r="EC70" s="79">
        <f t="shared" si="1230"/>
        <v>0</v>
      </c>
      <c r="ED70" s="359" t="e">
        <f>EA70/EB70</f>
        <v>#DIV/0!</v>
      </c>
      <c r="EE70" s="360" t="e">
        <f>EB70/EC70</f>
        <v>#DIV/0!</v>
      </c>
      <c r="EF70" s="360"/>
      <c r="EG70" s="79">
        <f t="shared" si="1233"/>
        <v>0</v>
      </c>
      <c r="EH70" s="82">
        <f t="shared" si="1233"/>
        <v>0</v>
      </c>
      <c r="EI70" s="79">
        <f t="shared" si="1233"/>
        <v>0</v>
      </c>
      <c r="EJ70" s="359" t="e">
        <f>EG70/EH70</f>
        <v>#DIV/0!</v>
      </c>
      <c r="EK70" s="360" t="e">
        <f>EH70/EI70</f>
        <v>#DIV/0!</v>
      </c>
      <c r="EL70" s="360"/>
      <c r="EM70" s="79">
        <f t="shared" si="1236"/>
        <v>0</v>
      </c>
      <c r="EN70" s="82">
        <f t="shared" si="1236"/>
        <v>0</v>
      </c>
      <c r="EO70" s="79">
        <f t="shared" si="1236"/>
        <v>0</v>
      </c>
      <c r="EP70" s="359" t="e">
        <f>EM70/EN70</f>
        <v>#DIV/0!</v>
      </c>
      <c r="EQ70" s="360" t="e">
        <f>EN70/EO70</f>
        <v>#DIV/0!</v>
      </c>
      <c r="ER70" s="589"/>
      <c r="ES70" s="79">
        <f t="shared" si="1239"/>
        <v>1200</v>
      </c>
      <c r="ET70" s="82">
        <f t="shared" si="1239"/>
        <v>3.79</v>
      </c>
      <c r="EU70" s="79">
        <f t="shared" si="1239"/>
        <v>5</v>
      </c>
      <c r="EV70" s="359">
        <f>ES70/ET70</f>
        <v>316.62269129287597</v>
      </c>
      <c r="EW70" s="360">
        <f>ET70/EU70</f>
        <v>0.75800000000000001</v>
      </c>
      <c r="EY70" s="91">
        <f t="shared" si="1240"/>
        <v>0</v>
      </c>
      <c r="EZ70" s="369">
        <f t="shared" si="1240"/>
        <v>0</v>
      </c>
      <c r="FA70" s="371">
        <f t="shared" si="1240"/>
        <v>0</v>
      </c>
      <c r="FB70" s="361" t="e">
        <f t="shared" si="1241"/>
        <v>#DIV/0!</v>
      </c>
      <c r="FC70" s="362" t="e">
        <f t="shared" si="1241"/>
        <v>#DIV/0!</v>
      </c>
      <c r="FE70" s="91">
        <f t="shared" si="1242"/>
        <v>0</v>
      </c>
      <c r="FF70" s="369">
        <f t="shared" si="1242"/>
        <v>0</v>
      </c>
      <c r="FG70" s="371">
        <f t="shared" si="1242"/>
        <v>0</v>
      </c>
      <c r="FH70" s="382" t="e">
        <f>FE70/FF70</f>
        <v>#DIV/0!</v>
      </c>
      <c r="FI70" s="362" t="e">
        <f>FF70/FG70</f>
        <v>#DIV/0!</v>
      </c>
      <c r="FJ70" s="178"/>
      <c r="FK70" s="91">
        <f t="shared" si="1243"/>
        <v>0</v>
      </c>
      <c r="FL70" s="82">
        <f t="shared" si="1243"/>
        <v>0</v>
      </c>
      <c r="FM70" s="371">
        <f t="shared" si="1243"/>
        <v>0</v>
      </c>
      <c r="FN70" s="361" t="e">
        <f t="shared" si="1065"/>
        <v>#DIV/0!</v>
      </c>
      <c r="FO70" s="362" t="e">
        <f t="shared" si="1065"/>
        <v>#DIV/0!</v>
      </c>
      <c r="FQ70" s="379">
        <f t="shared" si="1244"/>
        <v>0</v>
      </c>
      <c r="FR70" s="369">
        <f t="shared" si="1244"/>
        <v>0</v>
      </c>
      <c r="FS70" s="371">
        <f t="shared" si="1244"/>
        <v>0</v>
      </c>
      <c r="FT70" s="382" t="e">
        <f t="shared" si="1066"/>
        <v>#DIV/0!</v>
      </c>
      <c r="FU70" s="362" t="e">
        <f t="shared" si="1066"/>
        <v>#DIV/0!</v>
      </c>
      <c r="FV70" s="178"/>
      <c r="FW70" s="91">
        <f t="shared" si="1245"/>
        <v>0</v>
      </c>
      <c r="FX70" s="82">
        <f t="shared" si="1245"/>
        <v>0</v>
      </c>
      <c r="FY70" s="371">
        <f t="shared" si="1245"/>
        <v>0</v>
      </c>
      <c r="FZ70" s="369" t="e">
        <f>FW70/FX70</f>
        <v>#DIV/0!</v>
      </c>
      <c r="GA70" s="370" t="e">
        <f>FX70/FY70</f>
        <v>#DIV/0!</v>
      </c>
      <c r="GC70" s="91">
        <f t="shared" si="1246"/>
        <v>0</v>
      </c>
      <c r="GD70" s="369">
        <f t="shared" si="1246"/>
        <v>0</v>
      </c>
      <c r="GE70" s="371">
        <f t="shared" si="1246"/>
        <v>0</v>
      </c>
      <c r="GF70" s="361" t="e">
        <f>GC70/GD70</f>
        <v>#DIV/0!</v>
      </c>
      <c r="GG70" s="362" t="e">
        <f>GD70/GE70</f>
        <v>#DIV/0!</v>
      </c>
      <c r="GI70" s="91">
        <f t="shared" si="1248"/>
        <v>1100</v>
      </c>
      <c r="GJ70" s="82">
        <f t="shared" si="1248"/>
        <v>3.76</v>
      </c>
      <c r="GK70" s="79">
        <f t="shared" si="1248"/>
        <v>5</v>
      </c>
      <c r="GL70" s="82">
        <f t="shared" si="1068"/>
        <v>292.55319148936172</v>
      </c>
      <c r="GM70" s="84">
        <f t="shared" si="1068"/>
        <v>0.752</v>
      </c>
      <c r="GO70" s="91">
        <f t="shared" si="1249"/>
        <v>1100</v>
      </c>
      <c r="GP70" s="82">
        <f t="shared" si="1249"/>
        <v>2.1300000000000003</v>
      </c>
      <c r="GQ70" s="371">
        <f t="shared" si="1249"/>
        <v>5</v>
      </c>
      <c r="GR70" s="369">
        <f t="shared" si="1250"/>
        <v>516.431924882629</v>
      </c>
      <c r="GS70" s="370">
        <f t="shared" si="1250"/>
        <v>0.42600000000000005</v>
      </c>
      <c r="GU70" s="91">
        <f t="shared" si="1251"/>
        <v>350</v>
      </c>
      <c r="GV70" s="82">
        <f t="shared" si="1251"/>
        <v>3.4899999999999998</v>
      </c>
      <c r="GW70" s="79">
        <f t="shared" si="1251"/>
        <v>5</v>
      </c>
      <c r="GX70" s="82">
        <f t="shared" si="1069"/>
        <v>100.2865329512894</v>
      </c>
      <c r="GY70" s="84">
        <f t="shared" si="1069"/>
        <v>0.69799999999999995</v>
      </c>
      <c r="HA70" s="91">
        <f t="shared" si="1252"/>
        <v>460</v>
      </c>
      <c r="HB70" s="82">
        <f t="shared" si="1252"/>
        <v>5.55</v>
      </c>
      <c r="HC70" s="79">
        <f t="shared" si="1252"/>
        <v>5</v>
      </c>
      <c r="HD70" s="369">
        <f t="shared" si="935"/>
        <v>82.882882882882882</v>
      </c>
      <c r="HE70" s="370">
        <f t="shared" si="936"/>
        <v>1.1099999999999999</v>
      </c>
      <c r="HG70" s="91">
        <f t="shared" si="1253"/>
        <v>900</v>
      </c>
      <c r="HH70" s="82">
        <f t="shared" si="1253"/>
        <v>5.6</v>
      </c>
      <c r="HI70" s="79">
        <f t="shared" si="1253"/>
        <v>5</v>
      </c>
      <c r="HJ70" s="365">
        <f>IFERROR(HG70/HH70,"0")</f>
        <v>160.71428571428572</v>
      </c>
      <c r="HK70" s="366">
        <f>IFERROR(HH70/HI70,"0")</f>
        <v>1.1199999999999999</v>
      </c>
      <c r="HM70" s="91">
        <f t="shared" si="1254"/>
        <v>900</v>
      </c>
      <c r="HN70" s="82">
        <f t="shared" si="1254"/>
        <v>5.6</v>
      </c>
      <c r="HO70" s="79">
        <f t="shared" si="1254"/>
        <v>5</v>
      </c>
      <c r="HP70" s="361">
        <f t="shared" si="1071"/>
        <v>160.71428571428572</v>
      </c>
      <c r="HQ70" s="362">
        <f t="shared" si="1071"/>
        <v>1.1199999999999999</v>
      </c>
      <c r="HS70" s="91">
        <f t="shared" si="1255"/>
        <v>0</v>
      </c>
      <c r="HT70" s="82">
        <f t="shared" si="1255"/>
        <v>0</v>
      </c>
      <c r="HU70" s="371">
        <f t="shared" si="1255"/>
        <v>0</v>
      </c>
      <c r="HV70" s="361" t="e">
        <f t="shared" si="1072"/>
        <v>#DIV/0!</v>
      </c>
      <c r="HW70" s="362" t="e">
        <f t="shared" si="1072"/>
        <v>#DIV/0!</v>
      </c>
      <c r="HX70" s="178"/>
      <c r="HY70" s="91">
        <f t="shared" si="1256"/>
        <v>0</v>
      </c>
      <c r="HZ70" s="82">
        <f t="shared" si="1256"/>
        <v>0</v>
      </c>
      <c r="IA70" s="371">
        <f t="shared" si="1256"/>
        <v>0</v>
      </c>
      <c r="IB70" s="361" t="e">
        <f t="shared" si="1073"/>
        <v>#DIV/0!</v>
      </c>
      <c r="IC70" s="362" t="e">
        <f t="shared" si="1073"/>
        <v>#DIV/0!</v>
      </c>
      <c r="IE70" s="91">
        <f t="shared" si="1257"/>
        <v>0</v>
      </c>
      <c r="IF70" s="82">
        <f t="shared" si="1257"/>
        <v>0</v>
      </c>
      <c r="IG70" s="371">
        <f t="shared" si="1257"/>
        <v>0</v>
      </c>
      <c r="IH70" s="361" t="e">
        <f t="shared" si="1074"/>
        <v>#DIV/0!</v>
      </c>
      <c r="II70" s="362" t="e">
        <f t="shared" si="1074"/>
        <v>#DIV/0!</v>
      </c>
      <c r="IJ70" s="178"/>
      <c r="IK70" s="379">
        <f t="shared" si="1258"/>
        <v>0</v>
      </c>
      <c r="IL70" s="369">
        <f t="shared" si="1258"/>
        <v>0</v>
      </c>
      <c r="IM70" s="371">
        <f t="shared" si="1258"/>
        <v>0</v>
      </c>
      <c r="IN70" s="361" t="e">
        <f t="shared" si="1075"/>
        <v>#DIV/0!</v>
      </c>
      <c r="IO70" s="362" t="e">
        <f t="shared" si="1075"/>
        <v>#DIV/0!</v>
      </c>
      <c r="IP70" s="178"/>
      <c r="IQ70" s="379">
        <f t="shared" si="1259"/>
        <v>0</v>
      </c>
      <c r="IR70" s="369">
        <f t="shared" si="1259"/>
        <v>0</v>
      </c>
      <c r="IS70" s="371">
        <f t="shared" si="1259"/>
        <v>0</v>
      </c>
      <c r="IT70" s="361" t="e">
        <f t="shared" si="949"/>
        <v>#DIV/0!</v>
      </c>
      <c r="IU70" s="362" t="e">
        <f t="shared" si="950"/>
        <v>#DIV/0!</v>
      </c>
      <c r="IW70" s="379">
        <f t="shared" si="1260"/>
        <v>0</v>
      </c>
      <c r="IX70" s="369">
        <f t="shared" si="1260"/>
        <v>0</v>
      </c>
      <c r="IY70" s="371">
        <f t="shared" si="1260"/>
        <v>0</v>
      </c>
      <c r="IZ70" s="361" t="e">
        <f t="shared" si="951"/>
        <v>#DIV/0!</v>
      </c>
      <c r="JA70" s="362" t="e">
        <f t="shared" si="952"/>
        <v>#DIV/0!</v>
      </c>
      <c r="JC70" s="379">
        <f t="shared" si="1261"/>
        <v>1700</v>
      </c>
      <c r="JD70" s="369">
        <f t="shared" si="1261"/>
        <v>3.62</v>
      </c>
      <c r="JE70" s="371">
        <f t="shared" si="1261"/>
        <v>5</v>
      </c>
      <c r="JF70" s="361">
        <f t="shared" si="953"/>
        <v>469.61325966850825</v>
      </c>
      <c r="JG70" s="362">
        <f t="shared" si="954"/>
        <v>0.72399999999999998</v>
      </c>
      <c r="JI70" s="379">
        <f t="shared" si="1262"/>
        <v>1900</v>
      </c>
      <c r="JJ70" s="369">
        <f t="shared" si="1262"/>
        <v>9.7100000000000009</v>
      </c>
      <c r="JK70" s="371">
        <f t="shared" si="1262"/>
        <v>5</v>
      </c>
      <c r="JL70" s="361">
        <f t="shared" si="955"/>
        <v>195.6745623069001</v>
      </c>
      <c r="JM70" s="362">
        <f t="shared" si="956"/>
        <v>1.9420000000000002</v>
      </c>
      <c r="JO70" s="379">
        <f t="shared" si="1263"/>
        <v>650</v>
      </c>
      <c r="JP70" s="369">
        <f t="shared" si="1263"/>
        <v>4.79</v>
      </c>
      <c r="JQ70" s="371">
        <f t="shared" si="1263"/>
        <v>5</v>
      </c>
      <c r="JR70" s="361">
        <f t="shared" si="957"/>
        <v>135.69937369519832</v>
      </c>
      <c r="JS70" s="362">
        <f t="shared" si="958"/>
        <v>0.95799999999999996</v>
      </c>
      <c r="JU70" s="379">
        <f t="shared" si="1046"/>
        <v>1200</v>
      </c>
      <c r="JV70" s="369">
        <f t="shared" si="1046"/>
        <v>3.9400000000000004</v>
      </c>
      <c r="JW70" s="371">
        <f t="shared" si="1046"/>
        <v>5</v>
      </c>
      <c r="JX70" s="361">
        <f t="shared" si="959"/>
        <v>304.56852791878168</v>
      </c>
      <c r="JY70" s="362">
        <f t="shared" si="960"/>
        <v>0.78800000000000003</v>
      </c>
      <c r="KA70" s="379">
        <f t="shared" si="1130"/>
        <v>250</v>
      </c>
      <c r="KB70" s="369">
        <f t="shared" si="1130"/>
        <v>7.21</v>
      </c>
      <c r="KC70" s="371">
        <f t="shared" si="1264"/>
        <v>5</v>
      </c>
      <c r="KD70" s="361">
        <f t="shared" si="961"/>
        <v>34.674063800277395</v>
      </c>
      <c r="KE70" s="362">
        <f t="shared" si="962"/>
        <v>1.4419999999999999</v>
      </c>
      <c r="KG70" s="379">
        <f t="shared" ref="KG70:KH70" si="1283">SUM(KG32)</f>
        <v>0</v>
      </c>
      <c r="KH70" s="369">
        <f t="shared" si="1283"/>
        <v>0</v>
      </c>
      <c r="KI70" s="371">
        <f t="shared" si="1265"/>
        <v>0</v>
      </c>
      <c r="KJ70" s="361" t="e">
        <f t="shared" si="963"/>
        <v>#DIV/0!</v>
      </c>
      <c r="KK70" s="362" t="e">
        <f t="shared" si="964"/>
        <v>#DIV/0!</v>
      </c>
      <c r="KM70" s="379">
        <f t="shared" ref="KM70:KO70" si="1284">SUM(KM32)</f>
        <v>0</v>
      </c>
      <c r="KN70" s="369">
        <f t="shared" si="1284"/>
        <v>0</v>
      </c>
      <c r="KO70" s="371">
        <f t="shared" si="1284"/>
        <v>0</v>
      </c>
      <c r="KP70" s="361" t="e">
        <f t="shared" si="965"/>
        <v>#DIV/0!</v>
      </c>
      <c r="KQ70" s="362" t="e">
        <f t="shared" si="966"/>
        <v>#DIV/0!</v>
      </c>
      <c r="KS70" s="379">
        <f t="shared" ref="KS70:KU70" si="1285">SUM(KS32)</f>
        <v>0</v>
      </c>
      <c r="KT70" s="369">
        <f t="shared" si="1285"/>
        <v>0</v>
      </c>
      <c r="KU70" s="371">
        <f t="shared" si="1285"/>
        <v>0</v>
      </c>
      <c r="KV70" s="361" t="e">
        <f t="shared" si="967"/>
        <v>#DIV/0!</v>
      </c>
      <c r="KW70" s="362" t="e">
        <f t="shared" si="968"/>
        <v>#DIV/0!</v>
      </c>
      <c r="KY70" s="379">
        <f t="shared" ref="KY70:LA70" si="1286">SUM(KY32)</f>
        <v>0</v>
      </c>
      <c r="KZ70" s="369">
        <f t="shared" si="1286"/>
        <v>0</v>
      </c>
      <c r="LA70" s="371">
        <f t="shared" si="1286"/>
        <v>0</v>
      </c>
      <c r="LB70" s="361" t="e">
        <f t="shared" si="969"/>
        <v>#DIV/0!</v>
      </c>
      <c r="LC70" s="362" t="e">
        <f t="shared" si="970"/>
        <v>#DIV/0!</v>
      </c>
      <c r="LE70" s="379">
        <f t="shared" ref="LE70:LG70" si="1287">SUM(LE32)</f>
        <v>0</v>
      </c>
      <c r="LF70" s="369">
        <f t="shared" si="1287"/>
        <v>0</v>
      </c>
      <c r="LG70" s="371">
        <f t="shared" si="1287"/>
        <v>0</v>
      </c>
      <c r="LH70" s="361" t="e">
        <f t="shared" si="971"/>
        <v>#DIV/0!</v>
      </c>
      <c r="LI70" s="362" t="e">
        <f t="shared" si="972"/>
        <v>#DIV/0!</v>
      </c>
      <c r="LK70" s="379">
        <f t="shared" ref="LK70:LM70" si="1288">SUM(LK32)</f>
        <v>0</v>
      </c>
      <c r="LL70" s="369">
        <f t="shared" si="1288"/>
        <v>0</v>
      </c>
      <c r="LM70" s="371">
        <f t="shared" si="1288"/>
        <v>0</v>
      </c>
      <c r="LN70" s="361" t="e">
        <f t="shared" si="973"/>
        <v>#DIV/0!</v>
      </c>
      <c r="LO70" s="362" t="e">
        <f t="shared" si="974"/>
        <v>#DIV/0!</v>
      </c>
      <c r="LQ70" s="379">
        <f t="shared" ref="LQ70:LS70" si="1289">SUM(LQ32)</f>
        <v>0</v>
      </c>
      <c r="LR70" s="369">
        <f t="shared" si="1289"/>
        <v>0</v>
      </c>
      <c r="LS70" s="371">
        <f t="shared" si="1289"/>
        <v>0</v>
      </c>
      <c r="LT70" s="361" t="e">
        <f t="shared" si="975"/>
        <v>#DIV/0!</v>
      </c>
      <c r="LU70" s="362" t="e">
        <f t="shared" si="976"/>
        <v>#DIV/0!</v>
      </c>
      <c r="LW70" s="379">
        <f t="shared" ref="LW70:LY70" si="1290">SUM(LW32)</f>
        <v>1300</v>
      </c>
      <c r="LX70" s="369">
        <f t="shared" si="1290"/>
        <v>5.2299999999999995</v>
      </c>
      <c r="LY70" s="371">
        <f t="shared" si="1290"/>
        <v>5</v>
      </c>
      <c r="LZ70" s="361">
        <f t="shared" si="977"/>
        <v>248.56596558317401</v>
      </c>
      <c r="MA70" s="362">
        <f t="shared" si="978"/>
        <v>1.0459999999999998</v>
      </c>
      <c r="MC70" s="379">
        <f t="shared" ref="MC70:ME70" si="1291">SUM(MC32)</f>
        <v>1000</v>
      </c>
      <c r="MD70" s="369">
        <f t="shared" si="1291"/>
        <v>7.71</v>
      </c>
      <c r="ME70" s="371">
        <f t="shared" si="1291"/>
        <v>5</v>
      </c>
      <c r="MF70" s="361">
        <f t="shared" si="979"/>
        <v>129.70168612191958</v>
      </c>
      <c r="MG70" s="362">
        <f t="shared" si="980"/>
        <v>1.542</v>
      </c>
      <c r="MI70" s="379">
        <f t="shared" ref="MI70:MK70" si="1292">SUM(MI32)</f>
        <v>1050</v>
      </c>
      <c r="MJ70" s="369">
        <f t="shared" si="1292"/>
        <v>5.0400000000000009</v>
      </c>
      <c r="MK70" s="371">
        <f t="shared" si="1292"/>
        <v>5</v>
      </c>
      <c r="ML70" s="361">
        <f t="shared" si="981"/>
        <v>208.33333333333329</v>
      </c>
      <c r="MM70" s="362">
        <f t="shared" si="982"/>
        <v>1.0080000000000002</v>
      </c>
      <c r="MO70" s="379">
        <f t="shared" ref="MO70:MQ70" si="1293">SUM(MO32)</f>
        <v>0</v>
      </c>
      <c r="MP70" s="369">
        <f t="shared" si="1293"/>
        <v>0</v>
      </c>
      <c r="MQ70" s="371">
        <f t="shared" si="1293"/>
        <v>0</v>
      </c>
      <c r="MR70" s="361" t="e">
        <f t="shared" si="983"/>
        <v>#DIV/0!</v>
      </c>
      <c r="MS70" s="362" t="e">
        <f t="shared" si="984"/>
        <v>#DIV/0!</v>
      </c>
      <c r="MU70" s="379">
        <f t="shared" ref="MU70:MW70" si="1294">SUM(MU32)</f>
        <v>0</v>
      </c>
      <c r="MV70" s="369">
        <f t="shared" si="1294"/>
        <v>0</v>
      </c>
      <c r="MW70" s="371">
        <f t="shared" si="1294"/>
        <v>0</v>
      </c>
      <c r="MX70" s="361" t="e">
        <f t="shared" si="985"/>
        <v>#DIV/0!</v>
      </c>
      <c r="MY70" s="362" t="e">
        <f t="shared" si="986"/>
        <v>#DIV/0!</v>
      </c>
      <c r="NA70" s="755">
        <f t="shared" ref="NA70:NC70" si="1295">SUM(NA32)</f>
        <v>0</v>
      </c>
      <c r="NB70" s="384">
        <f t="shared" si="1295"/>
        <v>0</v>
      </c>
      <c r="NC70" s="384">
        <f t="shared" si="1295"/>
        <v>0</v>
      </c>
      <c r="ND70" s="361" t="e">
        <f t="shared" si="987"/>
        <v>#DIV/0!</v>
      </c>
      <c r="NE70" s="362" t="e">
        <f t="shared" si="988"/>
        <v>#DIV/0!</v>
      </c>
      <c r="NG70" s="379">
        <f t="shared" ref="NG70:NI70" si="1296">SUM(NG32)</f>
        <v>0</v>
      </c>
      <c r="NH70" s="369">
        <f t="shared" si="1296"/>
        <v>0</v>
      </c>
      <c r="NI70" s="371">
        <f t="shared" si="1296"/>
        <v>0</v>
      </c>
      <c r="NJ70" s="361" t="e">
        <f t="shared" si="989"/>
        <v>#DIV/0!</v>
      </c>
      <c r="NK70" s="362" t="e">
        <f t="shared" si="990"/>
        <v>#DIV/0!</v>
      </c>
      <c r="NM70" s="379">
        <f t="shared" ref="NM70:NO70" si="1297">SUM(NM32)</f>
        <v>0</v>
      </c>
      <c r="NN70" s="369">
        <f t="shared" si="1297"/>
        <v>0</v>
      </c>
      <c r="NO70" s="371">
        <f t="shared" si="1297"/>
        <v>0</v>
      </c>
      <c r="NP70" s="361" t="e">
        <f t="shared" si="991"/>
        <v>#DIV/0!</v>
      </c>
      <c r="NQ70" s="362" t="e">
        <f t="shared" si="992"/>
        <v>#DIV/0!</v>
      </c>
      <c r="NS70" s="379">
        <f t="shared" ref="NS70:NU70" si="1298">SUM(NS32)</f>
        <v>0</v>
      </c>
      <c r="NT70" s="369">
        <f t="shared" si="1298"/>
        <v>0</v>
      </c>
      <c r="NU70" s="371">
        <f t="shared" si="1298"/>
        <v>0</v>
      </c>
      <c r="NV70" s="361" t="e">
        <f t="shared" si="993"/>
        <v>#DIV/0!</v>
      </c>
      <c r="NW70" s="362" t="e">
        <f t="shared" si="994"/>
        <v>#DIV/0!</v>
      </c>
      <c r="NY70" s="379">
        <f t="shared" ref="NY70:OA70" si="1299">SUM(NY32)</f>
        <v>0</v>
      </c>
      <c r="NZ70" s="369">
        <f t="shared" si="1299"/>
        <v>0</v>
      </c>
      <c r="OA70" s="371">
        <f t="shared" si="1299"/>
        <v>0</v>
      </c>
      <c r="OB70" s="361" t="e">
        <f t="shared" si="995"/>
        <v>#DIV/0!</v>
      </c>
      <c r="OC70" s="362" t="e">
        <f t="shared" si="996"/>
        <v>#DIV/0!</v>
      </c>
      <c r="OE70" s="379">
        <f t="shared" ref="OE70:OG70" si="1300">SUM(OE32)</f>
        <v>0</v>
      </c>
      <c r="OF70" s="369">
        <f t="shared" si="1300"/>
        <v>0</v>
      </c>
      <c r="OG70" s="371">
        <f t="shared" si="1300"/>
        <v>0</v>
      </c>
      <c r="OH70" s="361" t="e">
        <f t="shared" si="997"/>
        <v>#DIV/0!</v>
      </c>
      <c r="OI70" s="362" t="e">
        <f t="shared" si="998"/>
        <v>#DIV/0!</v>
      </c>
    </row>
    <row r="71" spans="1:399">
      <c r="A71" s="69"/>
      <c r="B71" s="70" t="s">
        <v>35</v>
      </c>
      <c r="C71" s="57"/>
      <c r="D71" s="58" t="s">
        <v>36</v>
      </c>
      <c r="E71" s="79">
        <f t="shared" si="1167"/>
        <v>800</v>
      </c>
      <c r="F71" s="82">
        <f t="shared" si="1167"/>
        <v>3.1500000000000004</v>
      </c>
      <c r="G71" s="79">
        <f t="shared" si="1167"/>
        <v>4</v>
      </c>
      <c r="H71" s="82">
        <f t="shared" ref="H71:H86" si="1301">E71/F71</f>
        <v>253.96825396825395</v>
      </c>
      <c r="I71" s="84">
        <f t="shared" ref="I71:I86" si="1302">F71/G71</f>
        <v>0.78750000000000009</v>
      </c>
      <c r="J71" s="589"/>
      <c r="K71" s="79">
        <f t="shared" si="1170"/>
        <v>0</v>
      </c>
      <c r="L71" s="82">
        <f t="shared" si="1170"/>
        <v>0</v>
      </c>
      <c r="M71" s="79">
        <f t="shared" si="1170"/>
        <v>0</v>
      </c>
      <c r="N71" s="82" t="e">
        <f t="shared" ref="N71:N86" si="1303">K71/L71</f>
        <v>#DIV/0!</v>
      </c>
      <c r="O71" s="84" t="e">
        <f t="shared" ref="O71:O86" si="1304">L71/M71</f>
        <v>#DIV/0!</v>
      </c>
      <c r="P71" s="589"/>
      <c r="Q71" s="79">
        <f t="shared" si="1173"/>
        <v>0</v>
      </c>
      <c r="R71" s="82">
        <f t="shared" si="1173"/>
        <v>0</v>
      </c>
      <c r="S71" s="79">
        <f t="shared" si="1173"/>
        <v>0</v>
      </c>
      <c r="T71" s="82" t="e">
        <f t="shared" ref="T71:T86" si="1305">Q71/R71</f>
        <v>#DIV/0!</v>
      </c>
      <c r="U71" s="84" t="e">
        <f t="shared" ref="U71:U86" si="1306">R71/S71</f>
        <v>#DIV/0!</v>
      </c>
      <c r="V71" s="589"/>
      <c r="W71" s="79">
        <f t="shared" si="1176"/>
        <v>0</v>
      </c>
      <c r="X71" s="82">
        <f t="shared" si="1176"/>
        <v>0</v>
      </c>
      <c r="Y71" s="79">
        <f t="shared" si="1176"/>
        <v>0</v>
      </c>
      <c r="Z71" s="82" t="e">
        <f t="shared" ref="Z71:Z86" si="1307">W71/X71</f>
        <v>#DIV/0!</v>
      </c>
      <c r="AA71" s="84" t="e">
        <f t="shared" ref="AA71:AA86" si="1308">X71/Y71</f>
        <v>#DIV/0!</v>
      </c>
      <c r="AB71" s="589"/>
      <c r="AC71" s="79">
        <f t="shared" si="1179"/>
        <v>0</v>
      </c>
      <c r="AD71" s="82">
        <f t="shared" si="1179"/>
        <v>0</v>
      </c>
      <c r="AE71" s="79">
        <f t="shared" si="1179"/>
        <v>0</v>
      </c>
      <c r="AF71" s="82" t="e">
        <f t="shared" ref="AF71:AF86" si="1309">AC71/AD71</f>
        <v>#DIV/0!</v>
      </c>
      <c r="AG71" s="84" t="e">
        <f t="shared" ref="AG71:AG86" si="1310">AD71/AE71</f>
        <v>#DIV/0!</v>
      </c>
      <c r="AH71" s="589"/>
      <c r="AI71" s="79">
        <f t="shared" si="1182"/>
        <v>0</v>
      </c>
      <c r="AJ71" s="82">
        <f t="shared" si="1182"/>
        <v>0</v>
      </c>
      <c r="AK71" s="79">
        <f t="shared" si="1182"/>
        <v>0</v>
      </c>
      <c r="AL71" s="82" t="e">
        <f t="shared" ref="AL71:AL86" si="1311">AI71/AJ71</f>
        <v>#DIV/0!</v>
      </c>
      <c r="AM71" s="84" t="e">
        <f t="shared" ref="AM71:AM86" si="1312">AJ71/AK71</f>
        <v>#DIV/0!</v>
      </c>
      <c r="AN71" s="589"/>
      <c r="AO71" s="79">
        <f t="shared" si="1185"/>
        <v>550</v>
      </c>
      <c r="AP71" s="82">
        <f t="shared" si="1185"/>
        <v>2.6</v>
      </c>
      <c r="AQ71" s="79">
        <f t="shared" si="1185"/>
        <v>5</v>
      </c>
      <c r="AR71" s="82">
        <f t="shared" ref="AR71:AR86" si="1313">AO71/AP71</f>
        <v>211.53846153846152</v>
      </c>
      <c r="AS71" s="84">
        <f t="shared" ref="AS71:AS86" si="1314">AP71/AQ71</f>
        <v>0.52</v>
      </c>
      <c r="AT71" s="589"/>
      <c r="AU71" s="79">
        <f t="shared" si="1188"/>
        <v>500</v>
      </c>
      <c r="AV71" s="82">
        <f t="shared" si="1188"/>
        <v>2.8</v>
      </c>
      <c r="AW71" s="79">
        <f t="shared" si="1188"/>
        <v>5</v>
      </c>
      <c r="AX71" s="82">
        <f t="shared" ref="AX71:AX86" si="1315">AU71/AV71</f>
        <v>178.57142857142858</v>
      </c>
      <c r="AY71" s="84">
        <f t="shared" ref="AY71:AY86" si="1316">AV71/AW71</f>
        <v>0.55999999999999994</v>
      </c>
      <c r="AZ71" s="84"/>
      <c r="BA71" s="79">
        <f t="shared" si="1191"/>
        <v>750</v>
      </c>
      <c r="BB71" s="82">
        <f t="shared" si="1191"/>
        <v>3.2600000000000002</v>
      </c>
      <c r="BC71" s="79">
        <f t="shared" si="1191"/>
        <v>5</v>
      </c>
      <c r="BD71" s="82">
        <f t="shared" ref="BD71:BD86" si="1317">BA71/BB71</f>
        <v>230.06134969325151</v>
      </c>
      <c r="BE71" s="84">
        <f t="shared" ref="BE71:BE86" si="1318">BB71/BC71</f>
        <v>0.65200000000000002</v>
      </c>
      <c r="BF71" s="84"/>
      <c r="BG71" s="79">
        <f t="shared" si="1194"/>
        <v>0</v>
      </c>
      <c r="BH71" s="82">
        <f t="shared" si="1194"/>
        <v>0</v>
      </c>
      <c r="BI71" s="79">
        <f t="shared" si="1194"/>
        <v>0</v>
      </c>
      <c r="BJ71" s="82" t="e">
        <f t="shared" ref="BJ71:BJ86" si="1319">BG71/BH71</f>
        <v>#DIV/0!</v>
      </c>
      <c r="BK71" s="84" t="e">
        <f t="shared" ref="BK71:BK86" si="1320">BH71/BI71</f>
        <v>#DIV/0!</v>
      </c>
      <c r="BL71" s="84"/>
      <c r="BM71" s="79">
        <f t="shared" si="1197"/>
        <v>0</v>
      </c>
      <c r="BN71" s="82">
        <f t="shared" si="1197"/>
        <v>0</v>
      </c>
      <c r="BO71" s="79">
        <f t="shared" si="1197"/>
        <v>0</v>
      </c>
      <c r="BP71" s="82" t="e">
        <f t="shared" ref="BP71:BP86" si="1321">BM71/BN71</f>
        <v>#DIV/0!</v>
      </c>
      <c r="BQ71" s="84" t="e">
        <f t="shared" ref="BQ71:BQ86" si="1322">BN71/BO71</f>
        <v>#DIV/0!</v>
      </c>
      <c r="BR71" s="589"/>
      <c r="BS71" s="79">
        <f t="shared" si="1200"/>
        <v>1000</v>
      </c>
      <c r="BT71" s="82">
        <f t="shared" si="1200"/>
        <v>5.32</v>
      </c>
      <c r="BU71" s="79">
        <f t="shared" si="1200"/>
        <v>5</v>
      </c>
      <c r="BV71" s="82">
        <f t="shared" ref="BV71:BV86" si="1323">BS71/BT71</f>
        <v>187.96992481203006</v>
      </c>
      <c r="BW71" s="84">
        <f t="shared" ref="BW71:BW86" si="1324">BT71/BU71</f>
        <v>1.0640000000000001</v>
      </c>
      <c r="BX71" s="84"/>
      <c r="BY71" s="79">
        <f t="shared" si="1203"/>
        <v>500</v>
      </c>
      <c r="BZ71" s="82">
        <f t="shared" si="1203"/>
        <v>2.8</v>
      </c>
      <c r="CA71" s="79">
        <f t="shared" si="1203"/>
        <v>5</v>
      </c>
      <c r="CB71" s="82">
        <f t="shared" ref="CB71:CB86" si="1325">BY71/BZ71</f>
        <v>178.57142857142858</v>
      </c>
      <c r="CC71" s="84">
        <f t="shared" ref="CC71:CC86" si="1326">BZ71/CA71</f>
        <v>0.55999999999999994</v>
      </c>
      <c r="CD71" s="84"/>
      <c r="CE71" s="79">
        <f t="shared" si="1206"/>
        <v>1000</v>
      </c>
      <c r="CF71" s="82">
        <f t="shared" si="1206"/>
        <v>4.09</v>
      </c>
      <c r="CG71" s="79">
        <f t="shared" si="1206"/>
        <v>5</v>
      </c>
      <c r="CH71" s="82">
        <f t="shared" ref="CH71:CH86" si="1327">CE71/CF71</f>
        <v>244.49877750611248</v>
      </c>
      <c r="CI71" s="84">
        <f t="shared" ref="CI71:CI86" si="1328">CF71/CG71</f>
        <v>0.81799999999999995</v>
      </c>
      <c r="CJ71" s="84"/>
      <c r="CK71" s="79">
        <f t="shared" si="1209"/>
        <v>0</v>
      </c>
      <c r="CL71" s="82">
        <f t="shared" si="1209"/>
        <v>0</v>
      </c>
      <c r="CM71" s="79">
        <f t="shared" si="1209"/>
        <v>0</v>
      </c>
      <c r="CN71" s="82" t="e">
        <f t="shared" ref="CN71:CN86" si="1329">CK71/CL71</f>
        <v>#DIV/0!</v>
      </c>
      <c r="CO71" s="84" t="e">
        <f t="shared" ref="CO71:CO86" si="1330">CL71/CM71</f>
        <v>#DIV/0!</v>
      </c>
      <c r="CP71" s="84"/>
      <c r="CQ71" s="79">
        <f t="shared" si="1212"/>
        <v>0</v>
      </c>
      <c r="CR71" s="82">
        <f t="shared" si="1212"/>
        <v>0</v>
      </c>
      <c r="CS71" s="79">
        <f t="shared" si="1212"/>
        <v>0</v>
      </c>
      <c r="CT71" s="82" t="e">
        <f t="shared" ref="CT71:CT86" si="1331">CQ71/CR71</f>
        <v>#DIV/0!</v>
      </c>
      <c r="CU71" s="84" t="e">
        <f t="shared" ref="CU71:CU86" si="1332">CR71/CS71</f>
        <v>#DIV/0!</v>
      </c>
      <c r="CV71" s="84"/>
      <c r="CW71" s="79">
        <f t="shared" si="1215"/>
        <v>500</v>
      </c>
      <c r="CX71" s="82">
        <f t="shared" si="1215"/>
        <v>2.8</v>
      </c>
      <c r="CY71" s="79">
        <f t="shared" si="1215"/>
        <v>5</v>
      </c>
      <c r="CZ71" s="82">
        <f t="shared" ref="CZ71:CZ86" si="1333">CW71/CX71</f>
        <v>178.57142857142858</v>
      </c>
      <c r="DA71" s="84">
        <f t="shared" ref="DA71:DA86" si="1334">CX71/CY71</f>
        <v>0.55999999999999994</v>
      </c>
      <c r="DB71" s="84"/>
      <c r="DC71" s="79">
        <f t="shared" si="1218"/>
        <v>0</v>
      </c>
      <c r="DD71" s="82">
        <f t="shared" si="1218"/>
        <v>0</v>
      </c>
      <c r="DE71" s="79">
        <f t="shared" si="1218"/>
        <v>0</v>
      </c>
      <c r="DF71" s="82" t="e">
        <f t="shared" ref="DF71:DF86" si="1335">DC71/DD71</f>
        <v>#DIV/0!</v>
      </c>
      <c r="DG71" s="84" t="e">
        <f t="shared" ref="DG71:DG86" si="1336">DD71/DE71</f>
        <v>#DIV/0!</v>
      </c>
      <c r="DH71" s="84"/>
      <c r="DI71" s="79">
        <f t="shared" si="1221"/>
        <v>600</v>
      </c>
      <c r="DJ71" s="82">
        <f t="shared" si="1221"/>
        <v>2.2999999999999998</v>
      </c>
      <c r="DK71" s="79">
        <f t="shared" si="1221"/>
        <v>5</v>
      </c>
      <c r="DL71" s="82">
        <f t="shared" ref="DL71:DL86" si="1337">DI71/DJ71</f>
        <v>260.86956521739131</v>
      </c>
      <c r="DM71" s="84">
        <f t="shared" ref="DM71:DM86" si="1338">DJ71/DK71</f>
        <v>0.45999999999999996</v>
      </c>
      <c r="DN71" s="84"/>
      <c r="DO71" s="79">
        <f t="shared" si="1224"/>
        <v>500</v>
      </c>
      <c r="DP71" s="82">
        <f t="shared" si="1224"/>
        <v>3.09</v>
      </c>
      <c r="DQ71" s="79">
        <f t="shared" si="1224"/>
        <v>5</v>
      </c>
      <c r="DR71" s="82">
        <f t="shared" ref="DR71:DR86" si="1339">DO71/DP71</f>
        <v>161.81229773462783</v>
      </c>
      <c r="DS71" s="84">
        <f t="shared" ref="DS71:DS86" si="1340">DP71/DQ71</f>
        <v>0.61799999999999999</v>
      </c>
      <c r="DT71" s="84"/>
      <c r="DU71" s="79">
        <f t="shared" si="1227"/>
        <v>0</v>
      </c>
      <c r="DV71" s="82">
        <f t="shared" si="1227"/>
        <v>0</v>
      </c>
      <c r="DW71" s="79">
        <f t="shared" si="1227"/>
        <v>0</v>
      </c>
      <c r="DX71" s="82" t="e">
        <f t="shared" ref="DX71:DX86" si="1341">DU71/DV71</f>
        <v>#DIV/0!</v>
      </c>
      <c r="DY71" s="84" t="e">
        <f t="shared" ref="DY71:DY86" si="1342">DV71/DW71</f>
        <v>#DIV/0!</v>
      </c>
      <c r="DZ71" s="84"/>
      <c r="EA71" s="79">
        <f t="shared" si="1230"/>
        <v>0</v>
      </c>
      <c r="EB71" s="82">
        <f t="shared" si="1230"/>
        <v>0</v>
      </c>
      <c r="EC71" s="79">
        <f t="shared" si="1230"/>
        <v>0</v>
      </c>
      <c r="ED71" s="82" t="e">
        <f t="shared" ref="ED71:ED86" si="1343">EA71/EB71</f>
        <v>#DIV/0!</v>
      </c>
      <c r="EE71" s="84" t="e">
        <f t="shared" ref="EE71:EE86" si="1344">EB71/EC71</f>
        <v>#DIV/0!</v>
      </c>
      <c r="EF71" s="84"/>
      <c r="EG71" s="79">
        <f t="shared" si="1233"/>
        <v>0</v>
      </c>
      <c r="EH71" s="82">
        <f t="shared" si="1233"/>
        <v>0</v>
      </c>
      <c r="EI71" s="79">
        <f t="shared" si="1233"/>
        <v>0</v>
      </c>
      <c r="EJ71" s="82" t="e">
        <f t="shared" ref="EJ71:EJ86" si="1345">EG71/EH71</f>
        <v>#DIV/0!</v>
      </c>
      <c r="EK71" s="84" t="e">
        <f t="shared" ref="EK71:EK86" si="1346">EH71/EI71</f>
        <v>#DIV/0!</v>
      </c>
      <c r="EL71" s="84"/>
      <c r="EM71" s="79">
        <f t="shared" si="1236"/>
        <v>0</v>
      </c>
      <c r="EN71" s="82">
        <f t="shared" si="1236"/>
        <v>0</v>
      </c>
      <c r="EO71" s="79">
        <f t="shared" si="1236"/>
        <v>0</v>
      </c>
      <c r="EP71" s="82" t="e">
        <f t="shared" ref="EP71:EP86" si="1347">EM71/EN71</f>
        <v>#DIV/0!</v>
      </c>
      <c r="EQ71" s="84" t="e">
        <f t="shared" ref="EQ71:EQ86" si="1348">EN71/EO71</f>
        <v>#DIV/0!</v>
      </c>
      <c r="ER71" s="589"/>
      <c r="ES71" s="79">
        <f t="shared" si="1239"/>
        <v>500</v>
      </c>
      <c r="ET71" s="82">
        <f t="shared" si="1239"/>
        <v>2.8</v>
      </c>
      <c r="EU71" s="79">
        <f t="shared" si="1239"/>
        <v>5</v>
      </c>
      <c r="EV71" s="82">
        <f t="shared" si="915"/>
        <v>178.57142857142858</v>
      </c>
      <c r="EW71" s="84">
        <f t="shared" si="916"/>
        <v>0.55999999999999994</v>
      </c>
      <c r="EY71" s="91">
        <f t="shared" si="1240"/>
        <v>0</v>
      </c>
      <c r="EZ71" s="369">
        <f t="shared" si="1240"/>
        <v>0</v>
      </c>
      <c r="FA71" s="371">
        <f t="shared" si="1240"/>
        <v>0</v>
      </c>
      <c r="FB71" s="361" t="e">
        <f t="shared" si="1241"/>
        <v>#DIV/0!</v>
      </c>
      <c r="FC71" s="362" t="e">
        <f t="shared" si="1241"/>
        <v>#DIV/0!</v>
      </c>
      <c r="FE71" s="91">
        <f t="shared" si="1242"/>
        <v>0</v>
      </c>
      <c r="FF71" s="369">
        <f t="shared" si="1242"/>
        <v>0</v>
      </c>
      <c r="FG71" s="371">
        <f t="shared" si="1242"/>
        <v>0</v>
      </c>
      <c r="FH71" s="382" t="e">
        <f>FE71/FF71</f>
        <v>#DIV/0!</v>
      </c>
      <c r="FI71" s="362" t="e">
        <f>FF71/FG71</f>
        <v>#DIV/0!</v>
      </c>
      <c r="FJ71" s="178"/>
      <c r="FK71" s="91">
        <f t="shared" si="1243"/>
        <v>0</v>
      </c>
      <c r="FL71" s="82">
        <f t="shared" si="1243"/>
        <v>0</v>
      </c>
      <c r="FM71" s="371">
        <f t="shared" si="1243"/>
        <v>0</v>
      </c>
      <c r="FN71" s="361" t="e">
        <f t="shared" si="1065"/>
        <v>#DIV/0!</v>
      </c>
      <c r="FO71" s="362" t="e">
        <f t="shared" si="1065"/>
        <v>#DIV/0!</v>
      </c>
      <c r="FQ71" s="379">
        <f t="shared" si="1244"/>
        <v>0</v>
      </c>
      <c r="FR71" s="369">
        <f t="shared" si="1244"/>
        <v>0</v>
      </c>
      <c r="FS71" s="371">
        <f t="shared" si="1244"/>
        <v>0</v>
      </c>
      <c r="FT71" s="369" t="e">
        <f t="shared" si="1066"/>
        <v>#DIV/0!</v>
      </c>
      <c r="FU71" s="370" t="e">
        <f t="shared" si="1066"/>
        <v>#DIV/0!</v>
      </c>
      <c r="FV71" s="178"/>
      <c r="FW71" s="91">
        <f t="shared" si="1245"/>
        <v>0</v>
      </c>
      <c r="FX71" s="82">
        <f t="shared" si="1245"/>
        <v>0</v>
      </c>
      <c r="FY71" s="371">
        <f t="shared" si="1245"/>
        <v>0</v>
      </c>
      <c r="FZ71" s="361" t="e">
        <f>FW71/FX71</f>
        <v>#DIV/0!</v>
      </c>
      <c r="GA71" s="362" t="e">
        <f>FX71/FY71</f>
        <v>#DIV/0!</v>
      </c>
      <c r="GC71" s="91">
        <f t="shared" si="1246"/>
        <v>1000</v>
      </c>
      <c r="GD71" s="369">
        <f t="shared" si="1246"/>
        <v>2.5</v>
      </c>
      <c r="GE71" s="371">
        <f t="shared" si="1246"/>
        <v>5</v>
      </c>
      <c r="GF71" s="369">
        <f t="shared" si="1247"/>
        <v>400</v>
      </c>
      <c r="GG71" s="370">
        <f t="shared" si="1247"/>
        <v>0.5</v>
      </c>
      <c r="GI71" s="91">
        <f t="shared" si="1248"/>
        <v>1000</v>
      </c>
      <c r="GJ71" s="82">
        <f t="shared" si="1248"/>
        <v>2.98</v>
      </c>
      <c r="GK71" s="79">
        <f t="shared" si="1248"/>
        <v>5</v>
      </c>
      <c r="GL71" s="82">
        <f t="shared" si="1068"/>
        <v>335.57046979865771</v>
      </c>
      <c r="GM71" s="84">
        <f t="shared" si="1068"/>
        <v>0.59599999999999997</v>
      </c>
      <c r="GO71" s="91">
        <f t="shared" si="1249"/>
        <v>800</v>
      </c>
      <c r="GP71" s="82">
        <f t="shared" si="1249"/>
        <v>3.43</v>
      </c>
      <c r="GQ71" s="371">
        <f t="shared" si="1249"/>
        <v>5</v>
      </c>
      <c r="GR71" s="369">
        <f t="shared" si="1250"/>
        <v>233.23615160349854</v>
      </c>
      <c r="GS71" s="370">
        <f t="shared" si="1250"/>
        <v>0.68600000000000005</v>
      </c>
      <c r="GU71" s="91">
        <f t="shared" si="1251"/>
        <v>600</v>
      </c>
      <c r="GV71" s="82">
        <f t="shared" si="1251"/>
        <v>3.29</v>
      </c>
      <c r="GW71" s="79">
        <f t="shared" si="1251"/>
        <v>5</v>
      </c>
      <c r="GX71" s="82">
        <f t="shared" si="1069"/>
        <v>182.370820668693</v>
      </c>
      <c r="GY71" s="84">
        <f t="shared" si="1069"/>
        <v>0.65800000000000003</v>
      </c>
      <c r="HA71" s="91">
        <f t="shared" si="1252"/>
        <v>500</v>
      </c>
      <c r="HB71" s="82">
        <f t="shared" si="1252"/>
        <v>3</v>
      </c>
      <c r="HC71" s="79">
        <f t="shared" si="1252"/>
        <v>5</v>
      </c>
      <c r="HD71" s="369">
        <f t="shared" si="935"/>
        <v>166.66666666666666</v>
      </c>
      <c r="HE71" s="370">
        <f t="shared" si="936"/>
        <v>0.6</v>
      </c>
      <c r="HG71" s="91">
        <f t="shared" si="1253"/>
        <v>1000</v>
      </c>
      <c r="HH71" s="82">
        <f t="shared" si="1253"/>
        <v>5.8199999999999994</v>
      </c>
      <c r="HI71" s="79">
        <f t="shared" si="1253"/>
        <v>5</v>
      </c>
      <c r="HJ71" s="367">
        <f t="shared" si="1070"/>
        <v>171.82130584192441</v>
      </c>
      <c r="HK71" s="368">
        <f t="shared" si="1070"/>
        <v>1.1639999999999999</v>
      </c>
      <c r="HM71" s="91">
        <f t="shared" si="1254"/>
        <v>800</v>
      </c>
      <c r="HN71" s="82">
        <f t="shared" si="1254"/>
        <v>3.1500000000000004</v>
      </c>
      <c r="HO71" s="79">
        <f t="shared" si="1254"/>
        <v>4</v>
      </c>
      <c r="HP71" s="369">
        <f t="shared" si="1071"/>
        <v>253.96825396825395</v>
      </c>
      <c r="HQ71" s="370">
        <f t="shared" si="1071"/>
        <v>0.78750000000000009</v>
      </c>
      <c r="HS71" s="91">
        <f t="shared" si="1255"/>
        <v>0</v>
      </c>
      <c r="HT71" s="82">
        <f t="shared" si="1255"/>
        <v>0</v>
      </c>
      <c r="HU71" s="371">
        <f t="shared" si="1255"/>
        <v>0</v>
      </c>
      <c r="HV71" s="361" t="e">
        <f t="shared" si="1072"/>
        <v>#DIV/0!</v>
      </c>
      <c r="HW71" s="362" t="e">
        <f t="shared" si="1072"/>
        <v>#DIV/0!</v>
      </c>
      <c r="HX71" s="178"/>
      <c r="HY71" s="91">
        <f t="shared" si="1256"/>
        <v>0</v>
      </c>
      <c r="HZ71" s="82">
        <f t="shared" si="1256"/>
        <v>0</v>
      </c>
      <c r="IA71" s="371">
        <f t="shared" si="1256"/>
        <v>0</v>
      </c>
      <c r="IB71" s="361" t="e">
        <f t="shared" si="1073"/>
        <v>#DIV/0!</v>
      </c>
      <c r="IC71" s="362" t="e">
        <f t="shared" si="1073"/>
        <v>#DIV/0!</v>
      </c>
      <c r="IE71" s="91">
        <f t="shared" si="1257"/>
        <v>1000</v>
      </c>
      <c r="IF71" s="82">
        <f t="shared" si="1257"/>
        <v>3.01</v>
      </c>
      <c r="IG71" s="371">
        <f t="shared" si="1257"/>
        <v>5</v>
      </c>
      <c r="IH71" s="369">
        <f t="shared" si="1074"/>
        <v>332.22591362126246</v>
      </c>
      <c r="II71" s="370">
        <f t="shared" si="1074"/>
        <v>0.60199999999999998</v>
      </c>
      <c r="IJ71" s="178"/>
      <c r="IK71" s="379">
        <f t="shared" si="1258"/>
        <v>0</v>
      </c>
      <c r="IL71" s="369">
        <f t="shared" si="1258"/>
        <v>0</v>
      </c>
      <c r="IM71" s="371">
        <f t="shared" si="1258"/>
        <v>0</v>
      </c>
      <c r="IN71" s="361" t="e">
        <f t="shared" si="1075"/>
        <v>#DIV/0!</v>
      </c>
      <c r="IO71" s="362" t="e">
        <f t="shared" si="1075"/>
        <v>#DIV/0!</v>
      </c>
      <c r="IP71" s="178"/>
      <c r="IQ71" s="379">
        <f t="shared" si="1259"/>
        <v>0</v>
      </c>
      <c r="IR71" s="369">
        <f t="shared" si="1259"/>
        <v>0</v>
      </c>
      <c r="IS71" s="371">
        <f t="shared" si="1259"/>
        <v>0</v>
      </c>
      <c r="IT71" s="361" t="e">
        <f t="shared" si="949"/>
        <v>#DIV/0!</v>
      </c>
      <c r="IU71" s="362" t="e">
        <f t="shared" si="950"/>
        <v>#DIV/0!</v>
      </c>
      <c r="IW71" s="379">
        <f t="shared" si="1260"/>
        <v>750</v>
      </c>
      <c r="IX71" s="369">
        <f t="shared" si="1260"/>
        <v>2.13</v>
      </c>
      <c r="IY71" s="371">
        <f t="shared" si="1260"/>
        <v>5</v>
      </c>
      <c r="IZ71" s="361">
        <f t="shared" si="951"/>
        <v>352.11267605633805</v>
      </c>
      <c r="JA71" s="362">
        <f t="shared" si="952"/>
        <v>0.42599999999999999</v>
      </c>
      <c r="JC71" s="379">
        <f t="shared" si="1261"/>
        <v>1000</v>
      </c>
      <c r="JD71" s="369">
        <f t="shared" si="1261"/>
        <v>4.0199999999999996</v>
      </c>
      <c r="JE71" s="371">
        <f t="shared" si="1261"/>
        <v>5</v>
      </c>
      <c r="JF71" s="361">
        <f t="shared" si="953"/>
        <v>248.75621890547265</v>
      </c>
      <c r="JG71" s="362">
        <f t="shared" si="954"/>
        <v>0.80399999999999994</v>
      </c>
      <c r="JI71" s="379">
        <f t="shared" si="1262"/>
        <v>0</v>
      </c>
      <c r="JJ71" s="369">
        <f t="shared" si="1262"/>
        <v>0</v>
      </c>
      <c r="JK71" s="371">
        <f t="shared" si="1262"/>
        <v>0</v>
      </c>
      <c r="JL71" s="361" t="e">
        <f t="shared" si="955"/>
        <v>#DIV/0!</v>
      </c>
      <c r="JM71" s="362" t="e">
        <f t="shared" si="956"/>
        <v>#DIV/0!</v>
      </c>
      <c r="JO71" s="379">
        <f t="shared" si="1263"/>
        <v>850</v>
      </c>
      <c r="JP71" s="369">
        <f t="shared" si="1263"/>
        <v>4.37</v>
      </c>
      <c r="JQ71" s="371">
        <f t="shared" si="1263"/>
        <v>5</v>
      </c>
      <c r="JR71" s="361">
        <f t="shared" si="957"/>
        <v>194.50800915331808</v>
      </c>
      <c r="JS71" s="362">
        <f t="shared" si="958"/>
        <v>0.874</v>
      </c>
      <c r="JU71" s="379">
        <f t="shared" si="1046"/>
        <v>0</v>
      </c>
      <c r="JV71" s="369">
        <f t="shared" si="1046"/>
        <v>0</v>
      </c>
      <c r="JW71" s="371">
        <f t="shared" si="1046"/>
        <v>0</v>
      </c>
      <c r="JX71" s="361" t="e">
        <f t="shared" si="959"/>
        <v>#DIV/0!</v>
      </c>
      <c r="JY71" s="362" t="e">
        <f t="shared" si="960"/>
        <v>#DIV/0!</v>
      </c>
      <c r="KA71" s="379">
        <f t="shared" si="1130"/>
        <v>1000</v>
      </c>
      <c r="KB71" s="369">
        <f t="shared" si="1130"/>
        <v>3.34</v>
      </c>
      <c r="KC71" s="371">
        <f t="shared" si="1264"/>
        <v>5</v>
      </c>
      <c r="KD71" s="361">
        <f t="shared" si="961"/>
        <v>299.40119760479041</v>
      </c>
      <c r="KE71" s="362">
        <f t="shared" si="962"/>
        <v>0.66799999999999993</v>
      </c>
      <c r="KG71" s="379">
        <f t="shared" ref="KG71:KH71" si="1349">SUM(KG33)</f>
        <v>1000</v>
      </c>
      <c r="KH71" s="369">
        <f t="shared" si="1349"/>
        <v>3.2199999999999998</v>
      </c>
      <c r="KI71" s="371">
        <f t="shared" si="1265"/>
        <v>5</v>
      </c>
      <c r="KJ71" s="361">
        <f t="shared" si="963"/>
        <v>310.55900621118013</v>
      </c>
      <c r="KK71" s="362">
        <f t="shared" si="964"/>
        <v>0.64399999999999991</v>
      </c>
      <c r="KM71" s="379">
        <f t="shared" ref="KM71:KO71" si="1350">SUM(KM33)</f>
        <v>0</v>
      </c>
      <c r="KN71" s="369">
        <f t="shared" si="1350"/>
        <v>0</v>
      </c>
      <c r="KO71" s="371">
        <f t="shared" si="1350"/>
        <v>0</v>
      </c>
      <c r="KP71" s="361" t="e">
        <f t="shared" si="965"/>
        <v>#DIV/0!</v>
      </c>
      <c r="KQ71" s="362" t="e">
        <f t="shared" si="966"/>
        <v>#DIV/0!</v>
      </c>
      <c r="KS71" s="379">
        <f t="shared" ref="KS71:KU71" si="1351">SUM(KS33)</f>
        <v>0</v>
      </c>
      <c r="KT71" s="369">
        <f t="shared" si="1351"/>
        <v>0</v>
      </c>
      <c r="KU71" s="371">
        <f t="shared" si="1351"/>
        <v>0</v>
      </c>
      <c r="KV71" s="361" t="e">
        <f t="shared" si="967"/>
        <v>#DIV/0!</v>
      </c>
      <c r="KW71" s="362" t="e">
        <f t="shared" si="968"/>
        <v>#DIV/0!</v>
      </c>
      <c r="KY71" s="379">
        <f t="shared" ref="KY71:LA71" si="1352">SUM(KY33)</f>
        <v>0</v>
      </c>
      <c r="KZ71" s="369">
        <f t="shared" si="1352"/>
        <v>0</v>
      </c>
      <c r="LA71" s="371">
        <f t="shared" si="1352"/>
        <v>0</v>
      </c>
      <c r="LB71" s="361" t="e">
        <f t="shared" si="969"/>
        <v>#DIV/0!</v>
      </c>
      <c r="LC71" s="362" t="e">
        <f t="shared" si="970"/>
        <v>#DIV/0!</v>
      </c>
      <c r="LE71" s="379">
        <f t="shared" ref="LE71:LG71" si="1353">SUM(LE33)</f>
        <v>0</v>
      </c>
      <c r="LF71" s="369">
        <f t="shared" si="1353"/>
        <v>0</v>
      </c>
      <c r="LG71" s="371">
        <f t="shared" si="1353"/>
        <v>0</v>
      </c>
      <c r="LH71" s="361" t="e">
        <f t="shared" si="971"/>
        <v>#DIV/0!</v>
      </c>
      <c r="LI71" s="362" t="e">
        <f t="shared" si="972"/>
        <v>#DIV/0!</v>
      </c>
      <c r="LK71" s="379">
        <f t="shared" ref="LK71:LM71" si="1354">SUM(LK33)</f>
        <v>0</v>
      </c>
      <c r="LL71" s="369">
        <f t="shared" si="1354"/>
        <v>0</v>
      </c>
      <c r="LM71" s="371">
        <f t="shared" si="1354"/>
        <v>0</v>
      </c>
      <c r="LN71" s="361" t="e">
        <f t="shared" si="973"/>
        <v>#DIV/0!</v>
      </c>
      <c r="LO71" s="362" t="e">
        <f t="shared" si="974"/>
        <v>#DIV/0!</v>
      </c>
      <c r="LQ71" s="379">
        <f t="shared" ref="LQ71:LS71" si="1355">SUM(LQ33)</f>
        <v>0</v>
      </c>
      <c r="LR71" s="369">
        <f t="shared" si="1355"/>
        <v>0</v>
      </c>
      <c r="LS71" s="371">
        <f t="shared" si="1355"/>
        <v>0</v>
      </c>
      <c r="LT71" s="361" t="e">
        <f t="shared" si="975"/>
        <v>#DIV/0!</v>
      </c>
      <c r="LU71" s="362" t="e">
        <f t="shared" si="976"/>
        <v>#DIV/0!</v>
      </c>
      <c r="LW71" s="379">
        <f t="shared" ref="LW71:LY71" si="1356">SUM(LW33)</f>
        <v>1000</v>
      </c>
      <c r="LX71" s="369">
        <f t="shared" si="1356"/>
        <v>3.35</v>
      </c>
      <c r="LY71" s="371">
        <f t="shared" si="1356"/>
        <v>5</v>
      </c>
      <c r="LZ71" s="361">
        <f t="shared" si="977"/>
        <v>298.50746268656718</v>
      </c>
      <c r="MA71" s="362">
        <f t="shared" si="978"/>
        <v>0.67</v>
      </c>
      <c r="MC71" s="379">
        <f t="shared" ref="MC71:ME71" si="1357">SUM(MC33)</f>
        <v>1000</v>
      </c>
      <c r="MD71" s="369">
        <f t="shared" si="1357"/>
        <v>4.05</v>
      </c>
      <c r="ME71" s="371">
        <f t="shared" si="1357"/>
        <v>5</v>
      </c>
      <c r="MF71" s="361">
        <f t="shared" si="979"/>
        <v>246.9135802469136</v>
      </c>
      <c r="MG71" s="362">
        <f t="shared" si="980"/>
        <v>0.80999999999999994</v>
      </c>
      <c r="MI71" s="379">
        <f t="shared" ref="MI71:MK71" si="1358">SUM(MI33)</f>
        <v>1000</v>
      </c>
      <c r="MJ71" s="369">
        <f t="shared" si="1358"/>
        <v>3.7199999999999998</v>
      </c>
      <c r="MK71" s="371">
        <f t="shared" si="1358"/>
        <v>5</v>
      </c>
      <c r="ML71" s="361">
        <f t="shared" si="981"/>
        <v>268.81720430107526</v>
      </c>
      <c r="MM71" s="362">
        <f t="shared" si="982"/>
        <v>0.74399999999999999</v>
      </c>
      <c r="MO71" s="379">
        <f t="shared" ref="MO71:MQ71" si="1359">SUM(MO33)</f>
        <v>0</v>
      </c>
      <c r="MP71" s="369">
        <f t="shared" si="1359"/>
        <v>0</v>
      </c>
      <c r="MQ71" s="371">
        <f t="shared" si="1359"/>
        <v>0</v>
      </c>
      <c r="MR71" s="361" t="e">
        <f t="shared" si="983"/>
        <v>#DIV/0!</v>
      </c>
      <c r="MS71" s="362" t="e">
        <f t="shared" si="984"/>
        <v>#DIV/0!</v>
      </c>
      <c r="MU71" s="379">
        <f t="shared" ref="MU71:MW71" si="1360">SUM(MU33)</f>
        <v>0</v>
      </c>
      <c r="MV71" s="369">
        <f t="shared" si="1360"/>
        <v>0</v>
      </c>
      <c r="MW71" s="371">
        <f t="shared" si="1360"/>
        <v>0</v>
      </c>
      <c r="MX71" s="361" t="e">
        <f t="shared" si="985"/>
        <v>#DIV/0!</v>
      </c>
      <c r="MY71" s="362" t="e">
        <f t="shared" si="986"/>
        <v>#DIV/0!</v>
      </c>
      <c r="NA71" s="755">
        <f t="shared" ref="NA71:NC71" si="1361">SUM(NA33)</f>
        <v>750</v>
      </c>
      <c r="NB71" s="384">
        <f t="shared" si="1361"/>
        <v>2.8</v>
      </c>
      <c r="NC71" s="384">
        <f t="shared" si="1361"/>
        <v>5</v>
      </c>
      <c r="ND71" s="361">
        <f t="shared" si="987"/>
        <v>267.85714285714289</v>
      </c>
      <c r="NE71" s="362">
        <f t="shared" si="988"/>
        <v>0.55999999999999994</v>
      </c>
      <c r="NG71" s="379">
        <f t="shared" ref="NG71:NI71" si="1362">SUM(NG33)</f>
        <v>0</v>
      </c>
      <c r="NH71" s="369">
        <f t="shared" si="1362"/>
        <v>0</v>
      </c>
      <c r="NI71" s="371">
        <f t="shared" si="1362"/>
        <v>0</v>
      </c>
      <c r="NJ71" s="361" t="e">
        <f t="shared" si="989"/>
        <v>#DIV/0!</v>
      </c>
      <c r="NK71" s="362" t="e">
        <f t="shared" si="990"/>
        <v>#DIV/0!</v>
      </c>
      <c r="NM71" s="379">
        <f t="shared" ref="NM71:NO71" si="1363">SUM(NM33)</f>
        <v>0</v>
      </c>
      <c r="NN71" s="369">
        <f t="shared" si="1363"/>
        <v>0</v>
      </c>
      <c r="NO71" s="371">
        <f t="shared" si="1363"/>
        <v>0</v>
      </c>
      <c r="NP71" s="361" t="e">
        <f t="shared" si="991"/>
        <v>#DIV/0!</v>
      </c>
      <c r="NQ71" s="362" t="e">
        <f t="shared" si="992"/>
        <v>#DIV/0!</v>
      </c>
      <c r="NS71" s="379">
        <f t="shared" ref="NS71:NU71" si="1364">SUM(NS33)</f>
        <v>0</v>
      </c>
      <c r="NT71" s="369">
        <f t="shared" si="1364"/>
        <v>0</v>
      </c>
      <c r="NU71" s="371">
        <f t="shared" si="1364"/>
        <v>0</v>
      </c>
      <c r="NV71" s="361" t="e">
        <f t="shared" si="993"/>
        <v>#DIV/0!</v>
      </c>
      <c r="NW71" s="362" t="e">
        <f t="shared" si="994"/>
        <v>#DIV/0!</v>
      </c>
      <c r="NY71" s="379">
        <f t="shared" ref="NY71:OA71" si="1365">SUM(NY33)</f>
        <v>0</v>
      </c>
      <c r="NZ71" s="369">
        <f t="shared" si="1365"/>
        <v>0</v>
      </c>
      <c r="OA71" s="371">
        <f t="shared" si="1365"/>
        <v>0</v>
      </c>
      <c r="OB71" s="361" t="e">
        <f t="shared" si="995"/>
        <v>#DIV/0!</v>
      </c>
      <c r="OC71" s="362" t="e">
        <f t="shared" si="996"/>
        <v>#DIV/0!</v>
      </c>
      <c r="OE71" s="379">
        <f t="shared" ref="OE71:OG71" si="1366">SUM(OE33)</f>
        <v>0</v>
      </c>
      <c r="OF71" s="369">
        <f t="shared" si="1366"/>
        <v>0</v>
      </c>
      <c r="OG71" s="371">
        <f t="shared" si="1366"/>
        <v>0</v>
      </c>
      <c r="OH71" s="361" t="e">
        <f t="shared" si="997"/>
        <v>#DIV/0!</v>
      </c>
      <c r="OI71" s="362" t="e">
        <f t="shared" si="998"/>
        <v>#DIV/0!</v>
      </c>
    </row>
    <row r="72" spans="1:399">
      <c r="A72" s="69"/>
      <c r="B72" s="70" t="s">
        <v>37</v>
      </c>
      <c r="C72" s="57"/>
      <c r="D72" s="58" t="s">
        <v>36</v>
      </c>
      <c r="E72" s="79">
        <f t="shared" si="1167"/>
        <v>1300</v>
      </c>
      <c r="F72" s="82">
        <f t="shared" si="1167"/>
        <v>3.23</v>
      </c>
      <c r="G72" s="79">
        <f t="shared" si="1167"/>
        <v>5</v>
      </c>
      <c r="H72" s="82">
        <f t="shared" si="1301"/>
        <v>402.47678018575851</v>
      </c>
      <c r="I72" s="84">
        <f t="shared" si="1302"/>
        <v>0.64600000000000002</v>
      </c>
      <c r="J72" s="589"/>
      <c r="K72" s="79">
        <f t="shared" si="1170"/>
        <v>0</v>
      </c>
      <c r="L72" s="82">
        <f t="shared" si="1170"/>
        <v>0</v>
      </c>
      <c r="M72" s="79">
        <f t="shared" si="1170"/>
        <v>0</v>
      </c>
      <c r="N72" s="82" t="e">
        <f t="shared" si="1303"/>
        <v>#DIV/0!</v>
      </c>
      <c r="O72" s="84" t="e">
        <f t="shared" si="1304"/>
        <v>#DIV/0!</v>
      </c>
      <c r="P72" s="589"/>
      <c r="Q72" s="79">
        <f t="shared" si="1173"/>
        <v>1000</v>
      </c>
      <c r="R72" s="82">
        <f t="shared" si="1173"/>
        <v>6.5</v>
      </c>
      <c r="S72" s="79">
        <f t="shared" si="1173"/>
        <v>5</v>
      </c>
      <c r="T72" s="82">
        <f t="shared" si="1305"/>
        <v>153.84615384615384</v>
      </c>
      <c r="U72" s="84">
        <f t="shared" si="1306"/>
        <v>1.3</v>
      </c>
      <c r="V72" s="589"/>
      <c r="W72" s="79">
        <f t="shared" si="1176"/>
        <v>1200</v>
      </c>
      <c r="X72" s="82">
        <f t="shared" si="1176"/>
        <v>4.93</v>
      </c>
      <c r="Y72" s="79">
        <f t="shared" si="1176"/>
        <v>5</v>
      </c>
      <c r="Z72" s="82">
        <f t="shared" si="1307"/>
        <v>243.40770791075053</v>
      </c>
      <c r="AA72" s="84">
        <f t="shared" si="1308"/>
        <v>0.98599999999999999</v>
      </c>
      <c r="AB72" s="589"/>
      <c r="AC72" s="79">
        <f t="shared" si="1179"/>
        <v>1150</v>
      </c>
      <c r="AD72" s="82">
        <f t="shared" si="1179"/>
        <v>6.8</v>
      </c>
      <c r="AE72" s="79">
        <f t="shared" si="1179"/>
        <v>5</v>
      </c>
      <c r="AF72" s="82">
        <f t="shared" si="1309"/>
        <v>169.11764705882354</v>
      </c>
      <c r="AG72" s="84">
        <f t="shared" si="1310"/>
        <v>1.3599999999999999</v>
      </c>
      <c r="AH72" s="589"/>
      <c r="AI72" s="79">
        <f t="shared" si="1182"/>
        <v>0</v>
      </c>
      <c r="AJ72" s="82">
        <f t="shared" si="1182"/>
        <v>0</v>
      </c>
      <c r="AK72" s="79">
        <f t="shared" si="1182"/>
        <v>0</v>
      </c>
      <c r="AL72" s="82" t="e">
        <f t="shared" si="1311"/>
        <v>#DIV/0!</v>
      </c>
      <c r="AM72" s="84" t="e">
        <f t="shared" si="1312"/>
        <v>#DIV/0!</v>
      </c>
      <c r="AN72" s="589"/>
      <c r="AO72" s="79">
        <f t="shared" si="1185"/>
        <v>1000</v>
      </c>
      <c r="AP72" s="82">
        <f t="shared" si="1185"/>
        <v>9.5500000000000007</v>
      </c>
      <c r="AQ72" s="79">
        <f t="shared" si="1185"/>
        <v>5</v>
      </c>
      <c r="AR72" s="82">
        <f t="shared" si="1313"/>
        <v>104.71204188481674</v>
      </c>
      <c r="AS72" s="84">
        <f t="shared" si="1314"/>
        <v>1.9100000000000001</v>
      </c>
      <c r="AT72" s="589"/>
      <c r="AU72" s="79">
        <f t="shared" si="1188"/>
        <v>750</v>
      </c>
      <c r="AV72" s="82">
        <f t="shared" si="1188"/>
        <v>8.52</v>
      </c>
      <c r="AW72" s="79">
        <f t="shared" si="1188"/>
        <v>5</v>
      </c>
      <c r="AX72" s="82">
        <f t="shared" si="1315"/>
        <v>88.028169014084511</v>
      </c>
      <c r="AY72" s="84">
        <f t="shared" si="1316"/>
        <v>1.704</v>
      </c>
      <c r="AZ72" s="84"/>
      <c r="BA72" s="79">
        <f t="shared" si="1191"/>
        <v>500</v>
      </c>
      <c r="BB72" s="82">
        <f t="shared" si="1191"/>
        <v>16.86</v>
      </c>
      <c r="BC72" s="79">
        <f t="shared" si="1191"/>
        <v>5</v>
      </c>
      <c r="BD72" s="82">
        <f t="shared" si="1317"/>
        <v>29.655990510083036</v>
      </c>
      <c r="BE72" s="84">
        <f t="shared" si="1318"/>
        <v>3.3719999999999999</v>
      </c>
      <c r="BF72" s="84"/>
      <c r="BG72" s="79">
        <f t="shared" si="1194"/>
        <v>0</v>
      </c>
      <c r="BH72" s="82">
        <f t="shared" si="1194"/>
        <v>0</v>
      </c>
      <c r="BI72" s="79">
        <f t="shared" si="1194"/>
        <v>0</v>
      </c>
      <c r="BJ72" s="82" t="e">
        <f t="shared" si="1319"/>
        <v>#DIV/0!</v>
      </c>
      <c r="BK72" s="84" t="e">
        <f t="shared" si="1320"/>
        <v>#DIV/0!</v>
      </c>
      <c r="BL72" s="84"/>
      <c r="BM72" s="79">
        <f t="shared" si="1197"/>
        <v>0</v>
      </c>
      <c r="BN72" s="82">
        <f t="shared" si="1197"/>
        <v>0</v>
      </c>
      <c r="BO72" s="79">
        <f t="shared" si="1197"/>
        <v>0</v>
      </c>
      <c r="BP72" s="82" t="e">
        <f t="shared" si="1321"/>
        <v>#DIV/0!</v>
      </c>
      <c r="BQ72" s="84" t="e">
        <f t="shared" si="1322"/>
        <v>#DIV/0!</v>
      </c>
      <c r="BR72" s="589"/>
      <c r="BS72" s="79">
        <f t="shared" si="1200"/>
        <v>1000</v>
      </c>
      <c r="BT72" s="82">
        <f t="shared" si="1200"/>
        <v>7.1499999999999995</v>
      </c>
      <c r="BU72" s="79">
        <f t="shared" si="1200"/>
        <v>5</v>
      </c>
      <c r="BV72" s="82">
        <f t="shared" si="1323"/>
        <v>139.86013986013987</v>
      </c>
      <c r="BW72" s="84">
        <f t="shared" si="1324"/>
        <v>1.43</v>
      </c>
      <c r="BX72" s="84"/>
      <c r="BY72" s="79">
        <f t="shared" si="1203"/>
        <v>750</v>
      </c>
      <c r="BZ72" s="82">
        <f t="shared" si="1203"/>
        <v>8.52</v>
      </c>
      <c r="CA72" s="79">
        <f t="shared" si="1203"/>
        <v>5</v>
      </c>
      <c r="CB72" s="82">
        <f t="shared" si="1325"/>
        <v>88.028169014084511</v>
      </c>
      <c r="CC72" s="84">
        <f t="shared" si="1326"/>
        <v>1.704</v>
      </c>
      <c r="CD72" s="84"/>
      <c r="CE72" s="79">
        <f t="shared" si="1206"/>
        <v>530</v>
      </c>
      <c r="CF72" s="82">
        <f t="shared" si="1206"/>
        <v>2</v>
      </c>
      <c r="CG72" s="79">
        <f t="shared" si="1206"/>
        <v>5</v>
      </c>
      <c r="CH72" s="82">
        <f t="shared" si="1327"/>
        <v>265</v>
      </c>
      <c r="CI72" s="84">
        <f t="shared" si="1328"/>
        <v>0.4</v>
      </c>
      <c r="CJ72" s="84"/>
      <c r="CK72" s="79">
        <f t="shared" si="1209"/>
        <v>1400</v>
      </c>
      <c r="CL72" s="82">
        <f t="shared" si="1209"/>
        <v>3.5500000000000003</v>
      </c>
      <c r="CM72" s="79">
        <f t="shared" si="1209"/>
        <v>5</v>
      </c>
      <c r="CN72" s="82">
        <f t="shared" si="1329"/>
        <v>394.36619718309856</v>
      </c>
      <c r="CO72" s="84">
        <f t="shared" si="1330"/>
        <v>0.71000000000000008</v>
      </c>
      <c r="CP72" s="84"/>
      <c r="CQ72" s="79">
        <f t="shared" si="1212"/>
        <v>0</v>
      </c>
      <c r="CR72" s="82">
        <f t="shared" si="1212"/>
        <v>0</v>
      </c>
      <c r="CS72" s="79">
        <f t="shared" si="1212"/>
        <v>0</v>
      </c>
      <c r="CT72" s="82" t="e">
        <f t="shared" si="1331"/>
        <v>#DIV/0!</v>
      </c>
      <c r="CU72" s="84" t="e">
        <f t="shared" si="1332"/>
        <v>#DIV/0!</v>
      </c>
      <c r="CV72" s="84"/>
      <c r="CW72" s="79">
        <f t="shared" si="1215"/>
        <v>750</v>
      </c>
      <c r="CX72" s="82">
        <f t="shared" si="1215"/>
        <v>8.52</v>
      </c>
      <c r="CY72" s="79">
        <f t="shared" si="1215"/>
        <v>5</v>
      </c>
      <c r="CZ72" s="82">
        <f t="shared" si="1333"/>
        <v>88.028169014084511</v>
      </c>
      <c r="DA72" s="84">
        <f t="shared" si="1334"/>
        <v>1.704</v>
      </c>
      <c r="DB72" s="84"/>
      <c r="DC72" s="79">
        <f t="shared" si="1218"/>
        <v>1000</v>
      </c>
      <c r="DD72" s="82">
        <f t="shared" si="1218"/>
        <v>11.32</v>
      </c>
      <c r="DE72" s="79">
        <f t="shared" si="1218"/>
        <v>5</v>
      </c>
      <c r="DF72" s="82">
        <f t="shared" si="1335"/>
        <v>88.339222614840992</v>
      </c>
      <c r="DG72" s="84">
        <f t="shared" si="1336"/>
        <v>2.2640000000000002</v>
      </c>
      <c r="DH72" s="84"/>
      <c r="DI72" s="79">
        <f t="shared" si="1221"/>
        <v>500</v>
      </c>
      <c r="DJ72" s="82">
        <f t="shared" si="1221"/>
        <v>11.63</v>
      </c>
      <c r="DK72" s="79">
        <f t="shared" si="1221"/>
        <v>5</v>
      </c>
      <c r="DL72" s="82">
        <f t="shared" si="1337"/>
        <v>42.992261392949267</v>
      </c>
      <c r="DM72" s="84">
        <f t="shared" si="1338"/>
        <v>2.3260000000000001</v>
      </c>
      <c r="DN72" s="84"/>
      <c r="DO72" s="79">
        <f t="shared" si="1224"/>
        <v>500</v>
      </c>
      <c r="DP72" s="82">
        <f t="shared" si="1224"/>
        <v>6.89</v>
      </c>
      <c r="DQ72" s="79">
        <f t="shared" si="1224"/>
        <v>5</v>
      </c>
      <c r="DR72" s="82">
        <f t="shared" si="1339"/>
        <v>72.568940493468801</v>
      </c>
      <c r="DS72" s="84">
        <f t="shared" si="1340"/>
        <v>1.3779999999999999</v>
      </c>
      <c r="DT72" s="84"/>
      <c r="DU72" s="79">
        <f t="shared" si="1227"/>
        <v>0</v>
      </c>
      <c r="DV72" s="82">
        <f t="shared" si="1227"/>
        <v>0</v>
      </c>
      <c r="DW72" s="79">
        <f t="shared" si="1227"/>
        <v>0</v>
      </c>
      <c r="DX72" s="82" t="e">
        <f t="shared" si="1341"/>
        <v>#DIV/0!</v>
      </c>
      <c r="DY72" s="84" t="e">
        <f t="shared" si="1342"/>
        <v>#DIV/0!</v>
      </c>
      <c r="DZ72" s="84"/>
      <c r="EA72" s="79">
        <f t="shared" si="1230"/>
        <v>0</v>
      </c>
      <c r="EB72" s="82">
        <f t="shared" si="1230"/>
        <v>0</v>
      </c>
      <c r="EC72" s="79">
        <f t="shared" si="1230"/>
        <v>0</v>
      </c>
      <c r="ED72" s="82" t="e">
        <f t="shared" si="1343"/>
        <v>#DIV/0!</v>
      </c>
      <c r="EE72" s="84" t="e">
        <f t="shared" si="1344"/>
        <v>#DIV/0!</v>
      </c>
      <c r="EF72" s="84"/>
      <c r="EG72" s="79">
        <f t="shared" si="1233"/>
        <v>0</v>
      </c>
      <c r="EH72" s="82">
        <f t="shared" si="1233"/>
        <v>0</v>
      </c>
      <c r="EI72" s="79">
        <f t="shared" si="1233"/>
        <v>0</v>
      </c>
      <c r="EJ72" s="82" t="e">
        <f t="shared" si="1345"/>
        <v>#DIV/0!</v>
      </c>
      <c r="EK72" s="84" t="e">
        <f t="shared" si="1346"/>
        <v>#DIV/0!</v>
      </c>
      <c r="EL72" s="84"/>
      <c r="EM72" s="79">
        <f t="shared" si="1236"/>
        <v>0</v>
      </c>
      <c r="EN72" s="82">
        <f t="shared" si="1236"/>
        <v>0</v>
      </c>
      <c r="EO72" s="79">
        <f t="shared" si="1236"/>
        <v>0</v>
      </c>
      <c r="EP72" s="82" t="e">
        <f t="shared" si="1347"/>
        <v>#DIV/0!</v>
      </c>
      <c r="EQ72" s="84" t="e">
        <f t="shared" si="1348"/>
        <v>#DIV/0!</v>
      </c>
      <c r="ER72" s="589"/>
      <c r="ES72" s="79">
        <f t="shared" si="1239"/>
        <v>750</v>
      </c>
      <c r="ET72" s="82">
        <f t="shared" si="1239"/>
        <v>8.52</v>
      </c>
      <c r="EU72" s="79">
        <f t="shared" si="1239"/>
        <v>5</v>
      </c>
      <c r="EV72" s="82">
        <f t="shared" si="915"/>
        <v>88.028169014084511</v>
      </c>
      <c r="EW72" s="84">
        <f t="shared" si="916"/>
        <v>1.704</v>
      </c>
      <c r="EY72" s="91">
        <f t="shared" si="1240"/>
        <v>1000</v>
      </c>
      <c r="EZ72" s="369">
        <f t="shared" si="1240"/>
        <v>4.09</v>
      </c>
      <c r="FA72" s="371">
        <f t="shared" si="1240"/>
        <v>5</v>
      </c>
      <c r="FB72" s="369">
        <f t="shared" si="917"/>
        <v>244.49877750611248</v>
      </c>
      <c r="FC72" s="370">
        <f t="shared" si="918"/>
        <v>0.81799999999999995</v>
      </c>
      <c r="FE72" s="91">
        <f t="shared" si="1242"/>
        <v>1000</v>
      </c>
      <c r="FF72" s="369">
        <f t="shared" si="1242"/>
        <v>6.5</v>
      </c>
      <c r="FG72" s="371">
        <f t="shared" si="1242"/>
        <v>5</v>
      </c>
      <c r="FH72" s="381">
        <f t="shared" si="919"/>
        <v>153.84615384615384</v>
      </c>
      <c r="FI72" s="370">
        <f t="shared" si="920"/>
        <v>1.3</v>
      </c>
      <c r="FJ72" s="178"/>
      <c r="FK72" s="91">
        <f t="shared" si="1243"/>
        <v>1100</v>
      </c>
      <c r="FL72" s="82">
        <f t="shared" si="1243"/>
        <v>2.44</v>
      </c>
      <c r="FM72" s="371">
        <f t="shared" si="1243"/>
        <v>5</v>
      </c>
      <c r="FN72" s="369">
        <f t="shared" si="921"/>
        <v>450.81967213114757</v>
      </c>
      <c r="FO72" s="370">
        <f t="shared" si="922"/>
        <v>0.48799999999999999</v>
      </c>
      <c r="FQ72" s="379">
        <f t="shared" si="1244"/>
        <v>1000</v>
      </c>
      <c r="FR72" s="369">
        <f t="shared" si="1244"/>
        <v>6.26</v>
      </c>
      <c r="FS72" s="371">
        <f t="shared" si="1244"/>
        <v>5</v>
      </c>
      <c r="FT72" s="369">
        <f t="shared" ref="FT72:FT75" si="1367">FQ72/FR72</f>
        <v>159.7444089456869</v>
      </c>
      <c r="FU72" s="370">
        <f t="shared" ref="FU72:FU75" si="1368">FR72/FS72</f>
        <v>1.252</v>
      </c>
      <c r="FV72" s="178"/>
      <c r="FW72" s="91">
        <f t="shared" si="1245"/>
        <v>1000</v>
      </c>
      <c r="FX72" s="82">
        <f t="shared" si="1245"/>
        <v>8.32</v>
      </c>
      <c r="FY72" s="371">
        <f t="shared" si="1245"/>
        <v>5</v>
      </c>
      <c r="FZ72" s="369">
        <f t="shared" ref="FZ72:FZ75" si="1369">FW72/FX72</f>
        <v>120.19230769230769</v>
      </c>
      <c r="GA72" s="370">
        <f t="shared" ref="GA72:GA75" si="1370">FX72/FY72</f>
        <v>1.6640000000000001</v>
      </c>
      <c r="GC72" s="91">
        <f t="shared" si="1246"/>
        <v>1000</v>
      </c>
      <c r="GD72" s="369">
        <f t="shared" si="1246"/>
        <v>8.7100000000000009</v>
      </c>
      <c r="GE72" s="371">
        <f t="shared" si="1246"/>
        <v>5</v>
      </c>
      <c r="GF72" s="369">
        <f t="shared" ref="GF72:GF75" si="1371">GC72/GD72</f>
        <v>114.81056257175659</v>
      </c>
      <c r="GG72" s="370">
        <f t="shared" ref="GG72:GG75" si="1372">GD72/GE72</f>
        <v>1.7420000000000002</v>
      </c>
      <c r="GI72" s="91">
        <f t="shared" si="1248"/>
        <v>1000</v>
      </c>
      <c r="GJ72" s="82">
        <f t="shared" si="1248"/>
        <v>2.98</v>
      </c>
      <c r="GK72" s="79">
        <f t="shared" si="1248"/>
        <v>5</v>
      </c>
      <c r="GL72" s="82">
        <f t="shared" ref="GL72:GL75" si="1373">GI72/GJ72</f>
        <v>335.57046979865771</v>
      </c>
      <c r="GM72" s="84">
        <f t="shared" ref="GM72:GM75" si="1374">GJ72/GK72</f>
        <v>0.59599999999999997</v>
      </c>
      <c r="GO72" s="91">
        <f t="shared" si="1249"/>
        <v>1000</v>
      </c>
      <c r="GP72" s="82">
        <f t="shared" si="1249"/>
        <v>7.8699999999999992</v>
      </c>
      <c r="GQ72" s="371">
        <f t="shared" si="1249"/>
        <v>5</v>
      </c>
      <c r="GR72" s="369">
        <f t="shared" ref="GR72:GR75" si="1375">GO72/GP72</f>
        <v>127.06480304955528</v>
      </c>
      <c r="GS72" s="370">
        <f t="shared" ref="GS72:GS75" si="1376">GP72/GQ72</f>
        <v>1.5739999999999998</v>
      </c>
      <c r="GU72" s="91">
        <f t="shared" si="1251"/>
        <v>1150</v>
      </c>
      <c r="GV72" s="82">
        <f t="shared" si="1251"/>
        <v>2.88</v>
      </c>
      <c r="GW72" s="79">
        <f t="shared" si="1251"/>
        <v>5</v>
      </c>
      <c r="GX72" s="82">
        <f t="shared" ref="GX72:GX75" si="1377">GU72/GV72</f>
        <v>399.30555555555554</v>
      </c>
      <c r="GY72" s="84">
        <f t="shared" ref="GY72:GY75" si="1378">GV72/GW72</f>
        <v>0.57599999999999996</v>
      </c>
      <c r="HA72" s="91">
        <f t="shared" si="1252"/>
        <v>950</v>
      </c>
      <c r="HB72" s="82">
        <f t="shared" si="1252"/>
        <v>9.3500000000000014</v>
      </c>
      <c r="HC72" s="79">
        <f t="shared" si="1252"/>
        <v>5</v>
      </c>
      <c r="HD72" s="369">
        <f t="shared" si="935"/>
        <v>101.6042780748663</v>
      </c>
      <c r="HE72" s="370">
        <f t="shared" si="936"/>
        <v>1.8700000000000003</v>
      </c>
      <c r="HG72" s="91">
        <f t="shared" si="1253"/>
        <v>750</v>
      </c>
      <c r="HH72" s="82">
        <f t="shared" si="1253"/>
        <v>6.9</v>
      </c>
      <c r="HI72" s="79">
        <f t="shared" si="1253"/>
        <v>5</v>
      </c>
      <c r="HJ72" s="365">
        <f>IFERROR(HG72/HH72,"0")</f>
        <v>108.69565217391303</v>
      </c>
      <c r="HK72" s="366">
        <f>IFERROR(HH72/HI72,"0")</f>
        <v>1.3800000000000001</v>
      </c>
      <c r="HM72" s="91">
        <f t="shared" si="1254"/>
        <v>1300</v>
      </c>
      <c r="HN72" s="82">
        <f t="shared" si="1254"/>
        <v>3.23</v>
      </c>
      <c r="HO72" s="79">
        <f t="shared" si="1254"/>
        <v>5</v>
      </c>
      <c r="HP72" s="369">
        <f t="shared" ref="HP72:HP75" si="1379">HM72/HN72</f>
        <v>402.47678018575851</v>
      </c>
      <c r="HQ72" s="370">
        <f t="shared" ref="HQ72:HQ75" si="1380">HN72/HO72</f>
        <v>0.64600000000000002</v>
      </c>
      <c r="HS72" s="91">
        <f t="shared" si="1255"/>
        <v>0</v>
      </c>
      <c r="HT72" s="82">
        <f t="shared" si="1255"/>
        <v>0</v>
      </c>
      <c r="HU72" s="371">
        <f t="shared" si="1255"/>
        <v>0</v>
      </c>
      <c r="HV72" s="361" t="e">
        <f t="shared" si="1072"/>
        <v>#DIV/0!</v>
      </c>
      <c r="HW72" s="362" t="e">
        <f t="shared" si="1072"/>
        <v>#DIV/0!</v>
      </c>
      <c r="HX72" s="178"/>
      <c r="HY72" s="91">
        <f t="shared" si="1256"/>
        <v>1350</v>
      </c>
      <c r="HZ72" s="82">
        <f t="shared" si="1256"/>
        <v>6.61</v>
      </c>
      <c r="IA72" s="371">
        <f t="shared" si="1256"/>
        <v>5</v>
      </c>
      <c r="IB72" s="369">
        <f t="shared" ref="IB72:IB75" si="1381">HY72/HZ72</f>
        <v>204.23600605143722</v>
      </c>
      <c r="IC72" s="370">
        <f t="shared" ref="IC72:IC75" si="1382">HZ72/IA72</f>
        <v>1.3220000000000001</v>
      </c>
      <c r="IE72" s="91">
        <f t="shared" si="1257"/>
        <v>1000</v>
      </c>
      <c r="IF72" s="82">
        <f t="shared" si="1257"/>
        <v>5.7</v>
      </c>
      <c r="IG72" s="371">
        <f t="shared" si="1257"/>
        <v>5</v>
      </c>
      <c r="IH72" s="369">
        <f t="shared" ref="IH72:IH75" si="1383">IE72/IF72</f>
        <v>175.43859649122805</v>
      </c>
      <c r="II72" s="370">
        <f t="shared" ref="II72:II75" si="1384">IF72/IG72</f>
        <v>1.1400000000000001</v>
      </c>
      <c r="IJ72" s="178"/>
      <c r="IK72" s="379">
        <f t="shared" si="1258"/>
        <v>1000</v>
      </c>
      <c r="IL72" s="369">
        <f t="shared" si="1258"/>
        <v>3.83</v>
      </c>
      <c r="IM72" s="371">
        <f t="shared" si="1258"/>
        <v>5</v>
      </c>
      <c r="IN72" s="369">
        <f t="shared" ref="IN72:IN75" si="1385">IK72/IL72</f>
        <v>261.09660574412533</v>
      </c>
      <c r="IO72" s="370">
        <f t="shared" ref="IO72:IO75" si="1386">IL72/IM72</f>
        <v>0.76600000000000001</v>
      </c>
      <c r="IP72" s="178"/>
      <c r="IQ72" s="379">
        <f t="shared" si="1259"/>
        <v>1000</v>
      </c>
      <c r="IR72" s="369">
        <f t="shared" si="1259"/>
        <v>3.37</v>
      </c>
      <c r="IS72" s="371">
        <f t="shared" si="1259"/>
        <v>5</v>
      </c>
      <c r="IT72" s="369">
        <f t="shared" si="949"/>
        <v>296.73590504451039</v>
      </c>
      <c r="IU72" s="370">
        <f t="shared" si="950"/>
        <v>0.67400000000000004</v>
      </c>
      <c r="IW72" s="379">
        <f t="shared" si="1260"/>
        <v>850</v>
      </c>
      <c r="IX72" s="369">
        <f t="shared" si="1260"/>
        <v>6.25</v>
      </c>
      <c r="IY72" s="371">
        <f t="shared" si="1260"/>
        <v>5</v>
      </c>
      <c r="IZ72" s="369">
        <f t="shared" si="951"/>
        <v>136</v>
      </c>
      <c r="JA72" s="370">
        <f t="shared" si="952"/>
        <v>1.25</v>
      </c>
      <c r="JC72" s="379">
        <f t="shared" si="1261"/>
        <v>600</v>
      </c>
      <c r="JD72" s="369">
        <f t="shared" si="1261"/>
        <v>6.76</v>
      </c>
      <c r="JE72" s="371">
        <f t="shared" si="1261"/>
        <v>5</v>
      </c>
      <c r="JF72" s="369">
        <f t="shared" si="953"/>
        <v>88.757396449704146</v>
      </c>
      <c r="JG72" s="370">
        <f t="shared" si="954"/>
        <v>1.3519999999999999</v>
      </c>
      <c r="JI72" s="379">
        <f t="shared" si="1262"/>
        <v>500</v>
      </c>
      <c r="JJ72" s="369">
        <f t="shared" si="1262"/>
        <v>6.03</v>
      </c>
      <c r="JK72" s="371">
        <f t="shared" si="1262"/>
        <v>5</v>
      </c>
      <c r="JL72" s="369">
        <f t="shared" si="955"/>
        <v>82.918739635157536</v>
      </c>
      <c r="JM72" s="370">
        <f t="shared" si="956"/>
        <v>1.206</v>
      </c>
      <c r="JO72" s="379">
        <f t="shared" si="1263"/>
        <v>1250</v>
      </c>
      <c r="JP72" s="369">
        <f t="shared" si="1263"/>
        <v>5.25</v>
      </c>
      <c r="JQ72" s="371">
        <f t="shared" si="1263"/>
        <v>5</v>
      </c>
      <c r="JR72" s="369">
        <f t="shared" si="957"/>
        <v>238.0952380952381</v>
      </c>
      <c r="JS72" s="370">
        <f t="shared" si="958"/>
        <v>1.05</v>
      </c>
      <c r="JU72" s="379">
        <f t="shared" si="1046"/>
        <v>1000</v>
      </c>
      <c r="JV72" s="369">
        <f t="shared" si="1046"/>
        <v>4.62</v>
      </c>
      <c r="JW72" s="371">
        <f t="shared" si="1046"/>
        <v>5</v>
      </c>
      <c r="JX72" s="369">
        <f t="shared" si="959"/>
        <v>216.45021645021646</v>
      </c>
      <c r="JY72" s="370">
        <f t="shared" si="960"/>
        <v>0.92400000000000004</v>
      </c>
      <c r="KA72" s="379">
        <f t="shared" si="1130"/>
        <v>600</v>
      </c>
      <c r="KB72" s="369">
        <f t="shared" si="1130"/>
        <v>2.2000000000000002</v>
      </c>
      <c r="KC72" s="371">
        <f t="shared" si="1264"/>
        <v>3</v>
      </c>
      <c r="KD72" s="369">
        <f t="shared" si="961"/>
        <v>272.72727272727269</v>
      </c>
      <c r="KE72" s="370">
        <f t="shared" si="962"/>
        <v>0.73333333333333339</v>
      </c>
      <c r="KG72" s="379">
        <f t="shared" ref="KG72:KH72" si="1387">SUM(KG34)</f>
        <v>1500</v>
      </c>
      <c r="KH72" s="369">
        <f t="shared" si="1387"/>
        <v>3.12</v>
      </c>
      <c r="KI72" s="371">
        <f t="shared" si="1265"/>
        <v>5</v>
      </c>
      <c r="KJ72" s="369">
        <f t="shared" si="963"/>
        <v>480.76923076923077</v>
      </c>
      <c r="KK72" s="370">
        <f t="shared" si="964"/>
        <v>0.624</v>
      </c>
      <c r="KM72" s="379">
        <f t="shared" ref="KM72:KO72" si="1388">SUM(KM34)</f>
        <v>0</v>
      </c>
      <c r="KN72" s="369">
        <f t="shared" si="1388"/>
        <v>0</v>
      </c>
      <c r="KO72" s="371">
        <f t="shared" si="1388"/>
        <v>0</v>
      </c>
      <c r="KP72" s="369" t="e">
        <f t="shared" si="965"/>
        <v>#DIV/0!</v>
      </c>
      <c r="KQ72" s="370" t="e">
        <f t="shared" si="966"/>
        <v>#DIV/0!</v>
      </c>
      <c r="KS72" s="379">
        <f t="shared" ref="KS72:KU72" si="1389">SUM(KS34)</f>
        <v>0</v>
      </c>
      <c r="KT72" s="369">
        <f t="shared" si="1389"/>
        <v>0</v>
      </c>
      <c r="KU72" s="371">
        <f t="shared" si="1389"/>
        <v>0</v>
      </c>
      <c r="KV72" s="369" t="e">
        <f t="shared" si="967"/>
        <v>#DIV/0!</v>
      </c>
      <c r="KW72" s="370" t="e">
        <f t="shared" si="968"/>
        <v>#DIV/0!</v>
      </c>
      <c r="KY72" s="379">
        <f t="shared" ref="KY72:LA72" si="1390">SUM(KY34)</f>
        <v>0</v>
      </c>
      <c r="KZ72" s="369">
        <f t="shared" si="1390"/>
        <v>0</v>
      </c>
      <c r="LA72" s="371">
        <f t="shared" si="1390"/>
        <v>0</v>
      </c>
      <c r="LB72" s="369" t="e">
        <f t="shared" si="969"/>
        <v>#DIV/0!</v>
      </c>
      <c r="LC72" s="370" t="e">
        <f t="shared" si="970"/>
        <v>#DIV/0!</v>
      </c>
      <c r="LE72" s="379">
        <f t="shared" ref="LE72:LG72" si="1391">SUM(LE34)</f>
        <v>0</v>
      </c>
      <c r="LF72" s="369">
        <f t="shared" si="1391"/>
        <v>0</v>
      </c>
      <c r="LG72" s="371">
        <f t="shared" si="1391"/>
        <v>0</v>
      </c>
      <c r="LH72" s="369" t="e">
        <f t="shared" si="971"/>
        <v>#DIV/0!</v>
      </c>
      <c r="LI72" s="370" t="e">
        <f t="shared" si="972"/>
        <v>#DIV/0!</v>
      </c>
      <c r="LK72" s="379">
        <f t="shared" ref="LK72:LM72" si="1392">SUM(LK34)</f>
        <v>1000</v>
      </c>
      <c r="LL72" s="369">
        <f t="shared" si="1392"/>
        <v>6.48</v>
      </c>
      <c r="LM72" s="371">
        <f t="shared" si="1392"/>
        <v>5</v>
      </c>
      <c r="LN72" s="369">
        <f t="shared" si="973"/>
        <v>154.32098765432099</v>
      </c>
      <c r="LO72" s="370">
        <f t="shared" si="974"/>
        <v>1.296</v>
      </c>
      <c r="LQ72" s="379">
        <f t="shared" ref="LQ72:LS72" si="1393">SUM(LQ34)</f>
        <v>1000</v>
      </c>
      <c r="LR72" s="369">
        <f t="shared" si="1393"/>
        <v>6.16</v>
      </c>
      <c r="LS72" s="371">
        <f t="shared" si="1393"/>
        <v>5</v>
      </c>
      <c r="LT72" s="369">
        <f t="shared" si="975"/>
        <v>162.33766233766232</v>
      </c>
      <c r="LU72" s="370">
        <f t="shared" si="976"/>
        <v>1.232</v>
      </c>
      <c r="LW72" s="379">
        <f t="shared" ref="LW72:LY72" si="1394">SUM(LW34)</f>
        <v>1000</v>
      </c>
      <c r="LX72" s="369">
        <f t="shared" si="1394"/>
        <v>7.0299999999999994</v>
      </c>
      <c r="LY72" s="371">
        <f t="shared" si="1394"/>
        <v>5</v>
      </c>
      <c r="LZ72" s="369">
        <f t="shared" si="977"/>
        <v>142.24751066856331</v>
      </c>
      <c r="MA72" s="370">
        <f t="shared" si="978"/>
        <v>1.4059999999999999</v>
      </c>
      <c r="MC72" s="379">
        <f t="shared" ref="MC72:ME72" si="1395">SUM(MC34)</f>
        <v>1000</v>
      </c>
      <c r="MD72" s="369">
        <f t="shared" si="1395"/>
        <v>7.09</v>
      </c>
      <c r="ME72" s="371">
        <f t="shared" si="1395"/>
        <v>5</v>
      </c>
      <c r="MF72" s="369">
        <f t="shared" si="979"/>
        <v>141.04372355430183</v>
      </c>
      <c r="MG72" s="370">
        <f t="shared" si="980"/>
        <v>1.4179999999999999</v>
      </c>
      <c r="MI72" s="379">
        <f t="shared" ref="MI72:MK72" si="1396">SUM(MI34)</f>
        <v>1000</v>
      </c>
      <c r="MJ72" s="369">
        <f t="shared" si="1396"/>
        <v>6.59</v>
      </c>
      <c r="MK72" s="371">
        <f t="shared" si="1396"/>
        <v>0</v>
      </c>
      <c r="ML72" s="369">
        <f t="shared" si="981"/>
        <v>151.74506828528072</v>
      </c>
      <c r="MM72" s="370" t="e">
        <f t="shared" si="982"/>
        <v>#DIV/0!</v>
      </c>
      <c r="MO72" s="379">
        <f t="shared" ref="MO72:MQ72" si="1397">SUM(MO34)</f>
        <v>0</v>
      </c>
      <c r="MP72" s="369">
        <f t="shared" si="1397"/>
        <v>0</v>
      </c>
      <c r="MQ72" s="371">
        <f t="shared" si="1397"/>
        <v>0</v>
      </c>
      <c r="MR72" s="369" t="e">
        <f t="shared" si="983"/>
        <v>#DIV/0!</v>
      </c>
      <c r="MS72" s="370" t="e">
        <f t="shared" si="984"/>
        <v>#DIV/0!</v>
      </c>
      <c r="MU72" s="379">
        <f t="shared" ref="MU72:MW72" si="1398">SUM(MU34)</f>
        <v>0</v>
      </c>
      <c r="MV72" s="369">
        <f t="shared" si="1398"/>
        <v>0</v>
      </c>
      <c r="MW72" s="371">
        <f t="shared" si="1398"/>
        <v>0</v>
      </c>
      <c r="MX72" s="369" t="e">
        <f t="shared" si="985"/>
        <v>#DIV/0!</v>
      </c>
      <c r="MY72" s="370" t="e">
        <f t="shared" si="986"/>
        <v>#DIV/0!</v>
      </c>
      <c r="NA72" s="755">
        <f t="shared" ref="NA72:NC72" si="1399">SUM(NA34)</f>
        <v>1500</v>
      </c>
      <c r="NB72" s="384">
        <f t="shared" si="1399"/>
        <v>10.74</v>
      </c>
      <c r="NC72" s="384">
        <f t="shared" si="1399"/>
        <v>5</v>
      </c>
      <c r="ND72" s="369">
        <f t="shared" si="987"/>
        <v>139.66480446927375</v>
      </c>
      <c r="NE72" s="370">
        <f t="shared" si="988"/>
        <v>2.1480000000000001</v>
      </c>
      <c r="NG72" s="379">
        <f t="shared" ref="NG72:NI72" si="1400">SUM(NG34)</f>
        <v>0</v>
      </c>
      <c r="NH72" s="369">
        <f t="shared" si="1400"/>
        <v>0</v>
      </c>
      <c r="NI72" s="371">
        <f t="shared" si="1400"/>
        <v>0</v>
      </c>
      <c r="NJ72" s="369" t="e">
        <f t="shared" si="989"/>
        <v>#DIV/0!</v>
      </c>
      <c r="NK72" s="370" t="e">
        <f t="shared" si="990"/>
        <v>#DIV/0!</v>
      </c>
      <c r="NM72" s="379">
        <f t="shared" ref="NM72:NO72" si="1401">SUM(NM34)</f>
        <v>1500</v>
      </c>
      <c r="NN72" s="369">
        <f t="shared" si="1401"/>
        <v>3.79</v>
      </c>
      <c r="NO72" s="371">
        <f t="shared" si="1401"/>
        <v>5</v>
      </c>
      <c r="NP72" s="369">
        <f t="shared" si="991"/>
        <v>395.77836411609496</v>
      </c>
      <c r="NQ72" s="370">
        <f t="shared" si="992"/>
        <v>0.75800000000000001</v>
      </c>
      <c r="NS72" s="379">
        <f t="shared" ref="NS72:NU72" si="1402">SUM(NS34)</f>
        <v>1200</v>
      </c>
      <c r="NT72" s="369">
        <f t="shared" si="1402"/>
        <v>5.1199999999999992</v>
      </c>
      <c r="NU72" s="371">
        <f t="shared" si="1402"/>
        <v>5</v>
      </c>
      <c r="NV72" s="369">
        <f t="shared" si="993"/>
        <v>234.37500000000003</v>
      </c>
      <c r="NW72" s="370">
        <f t="shared" si="994"/>
        <v>1.0239999999999998</v>
      </c>
      <c r="NY72" s="379">
        <f t="shared" ref="NY72:OA72" si="1403">SUM(NY34)</f>
        <v>500</v>
      </c>
      <c r="NZ72" s="369">
        <f t="shared" si="1403"/>
        <v>3.5900000000000003</v>
      </c>
      <c r="OA72" s="371">
        <f t="shared" si="1403"/>
        <v>5</v>
      </c>
      <c r="OB72" s="369">
        <f t="shared" si="995"/>
        <v>139.27576601671308</v>
      </c>
      <c r="OC72" s="370">
        <f t="shared" si="996"/>
        <v>0.71800000000000008</v>
      </c>
      <c r="OE72" s="379">
        <f t="shared" ref="OE72:OG72" si="1404">SUM(OE34)</f>
        <v>1000</v>
      </c>
      <c r="OF72" s="369">
        <f t="shared" si="1404"/>
        <v>5.09</v>
      </c>
      <c r="OG72" s="371">
        <f t="shared" si="1404"/>
        <v>5</v>
      </c>
      <c r="OH72" s="369">
        <f t="shared" si="997"/>
        <v>196.46365422396858</v>
      </c>
      <c r="OI72" s="370">
        <f t="shared" si="998"/>
        <v>1.018</v>
      </c>
    </row>
    <row r="73" spans="1:399">
      <c r="A73" s="69"/>
      <c r="B73" s="70" t="s">
        <v>38</v>
      </c>
      <c r="C73" s="57"/>
      <c r="D73" s="58" t="s">
        <v>14</v>
      </c>
      <c r="E73" s="79">
        <f t="shared" si="1167"/>
        <v>530</v>
      </c>
      <c r="F73" s="82">
        <f t="shared" si="1167"/>
        <v>2.15</v>
      </c>
      <c r="G73" s="79">
        <f t="shared" si="1167"/>
        <v>5</v>
      </c>
      <c r="H73" s="82">
        <f t="shared" si="1301"/>
        <v>246.51162790697674</v>
      </c>
      <c r="I73" s="84">
        <f t="shared" si="1302"/>
        <v>0.43</v>
      </c>
      <c r="J73" s="589"/>
      <c r="K73" s="79">
        <f t="shared" si="1170"/>
        <v>1180</v>
      </c>
      <c r="L73" s="82">
        <f t="shared" si="1170"/>
        <v>2.15</v>
      </c>
      <c r="M73" s="79">
        <f t="shared" si="1170"/>
        <v>5</v>
      </c>
      <c r="N73" s="82">
        <f t="shared" si="1303"/>
        <v>548.83720930232562</v>
      </c>
      <c r="O73" s="84">
        <f t="shared" si="1304"/>
        <v>0.43</v>
      </c>
      <c r="P73" s="589"/>
      <c r="Q73" s="79">
        <f t="shared" si="1173"/>
        <v>650</v>
      </c>
      <c r="R73" s="82">
        <f t="shared" si="1173"/>
        <v>4</v>
      </c>
      <c r="S73" s="79">
        <f t="shared" si="1173"/>
        <v>5</v>
      </c>
      <c r="T73" s="82">
        <f t="shared" si="1305"/>
        <v>162.5</v>
      </c>
      <c r="U73" s="84">
        <f t="shared" si="1306"/>
        <v>0.8</v>
      </c>
      <c r="V73" s="589"/>
      <c r="W73" s="79">
        <f t="shared" si="1176"/>
        <v>350</v>
      </c>
      <c r="X73" s="82">
        <f t="shared" si="1176"/>
        <v>1.5499999999999998</v>
      </c>
      <c r="Y73" s="79">
        <f t="shared" si="1176"/>
        <v>5</v>
      </c>
      <c r="Z73" s="82">
        <f t="shared" si="1307"/>
        <v>225.80645161290326</v>
      </c>
      <c r="AA73" s="84">
        <f t="shared" si="1308"/>
        <v>0.30999999999999994</v>
      </c>
      <c r="AB73" s="589"/>
      <c r="AC73" s="79">
        <f t="shared" si="1179"/>
        <v>750</v>
      </c>
      <c r="AD73" s="82">
        <f t="shared" si="1179"/>
        <v>4.2</v>
      </c>
      <c r="AE73" s="79">
        <f t="shared" si="1179"/>
        <v>5</v>
      </c>
      <c r="AF73" s="82">
        <f t="shared" si="1309"/>
        <v>178.57142857142856</v>
      </c>
      <c r="AG73" s="84">
        <f t="shared" si="1310"/>
        <v>0.84000000000000008</v>
      </c>
      <c r="AH73" s="589"/>
      <c r="AI73" s="79">
        <f t="shared" si="1182"/>
        <v>0</v>
      </c>
      <c r="AJ73" s="82">
        <f t="shared" si="1182"/>
        <v>0</v>
      </c>
      <c r="AK73" s="79">
        <f t="shared" si="1182"/>
        <v>0</v>
      </c>
      <c r="AL73" s="82" t="e">
        <f t="shared" si="1311"/>
        <v>#DIV/0!</v>
      </c>
      <c r="AM73" s="84" t="e">
        <f t="shared" si="1312"/>
        <v>#DIV/0!</v>
      </c>
      <c r="AN73" s="589"/>
      <c r="AO73" s="79">
        <f t="shared" si="1185"/>
        <v>380</v>
      </c>
      <c r="AP73" s="82">
        <f t="shared" si="1185"/>
        <v>2.15</v>
      </c>
      <c r="AQ73" s="79">
        <f t="shared" si="1185"/>
        <v>5</v>
      </c>
      <c r="AR73" s="82">
        <f t="shared" si="1313"/>
        <v>176.74418604651163</v>
      </c>
      <c r="AS73" s="84">
        <f t="shared" si="1314"/>
        <v>0.43</v>
      </c>
      <c r="AT73" s="589"/>
      <c r="AU73" s="79">
        <f t="shared" si="1188"/>
        <v>320</v>
      </c>
      <c r="AV73" s="82">
        <f t="shared" si="1188"/>
        <v>1.39</v>
      </c>
      <c r="AW73" s="79">
        <f t="shared" si="1188"/>
        <v>5</v>
      </c>
      <c r="AX73" s="82">
        <f t="shared" si="1315"/>
        <v>230.21582733812951</v>
      </c>
      <c r="AY73" s="84">
        <f t="shared" si="1316"/>
        <v>0.27799999999999997</v>
      </c>
      <c r="AZ73" s="84"/>
      <c r="BA73" s="79">
        <f t="shared" si="1191"/>
        <v>650</v>
      </c>
      <c r="BB73" s="82">
        <f t="shared" si="1191"/>
        <v>7.8199999999999994</v>
      </c>
      <c r="BC73" s="79">
        <f t="shared" si="1191"/>
        <v>5</v>
      </c>
      <c r="BD73" s="82">
        <f t="shared" si="1317"/>
        <v>83.120204603580575</v>
      </c>
      <c r="BE73" s="84">
        <f t="shared" si="1318"/>
        <v>1.5639999999999998</v>
      </c>
      <c r="BF73" s="84"/>
      <c r="BG73" s="79">
        <f t="shared" si="1194"/>
        <v>0</v>
      </c>
      <c r="BH73" s="82">
        <f t="shared" si="1194"/>
        <v>0</v>
      </c>
      <c r="BI73" s="79">
        <f t="shared" si="1194"/>
        <v>0</v>
      </c>
      <c r="BJ73" s="82" t="e">
        <f t="shared" si="1319"/>
        <v>#DIV/0!</v>
      </c>
      <c r="BK73" s="84" t="e">
        <f t="shared" si="1320"/>
        <v>#DIV/0!</v>
      </c>
      <c r="BL73" s="84"/>
      <c r="BM73" s="79">
        <f t="shared" si="1197"/>
        <v>0</v>
      </c>
      <c r="BN73" s="82">
        <f t="shared" si="1197"/>
        <v>0</v>
      </c>
      <c r="BO73" s="79">
        <f t="shared" si="1197"/>
        <v>0</v>
      </c>
      <c r="BP73" s="82" t="e">
        <f t="shared" si="1321"/>
        <v>#DIV/0!</v>
      </c>
      <c r="BQ73" s="84" t="e">
        <f t="shared" si="1322"/>
        <v>#DIV/0!</v>
      </c>
      <c r="BR73" s="589"/>
      <c r="BS73" s="79">
        <f t="shared" si="1200"/>
        <v>350</v>
      </c>
      <c r="BT73" s="82">
        <f t="shared" si="1200"/>
        <v>1.8199999999999998</v>
      </c>
      <c r="BU73" s="79">
        <f t="shared" si="1200"/>
        <v>5</v>
      </c>
      <c r="BV73" s="82">
        <f t="shared" si="1323"/>
        <v>192.30769230769232</v>
      </c>
      <c r="BW73" s="84">
        <f t="shared" si="1324"/>
        <v>0.36399999999999999</v>
      </c>
      <c r="BX73" s="84"/>
      <c r="BY73" s="79">
        <f t="shared" si="1203"/>
        <v>800</v>
      </c>
      <c r="BZ73" s="82">
        <f t="shared" si="1203"/>
        <v>1.39</v>
      </c>
      <c r="CA73" s="79">
        <f t="shared" si="1203"/>
        <v>5</v>
      </c>
      <c r="CB73" s="82">
        <f t="shared" si="1325"/>
        <v>575.5395683453238</v>
      </c>
      <c r="CC73" s="84">
        <f t="shared" si="1326"/>
        <v>0.27799999999999997</v>
      </c>
      <c r="CD73" s="84"/>
      <c r="CE73" s="79">
        <f t="shared" si="1206"/>
        <v>2100</v>
      </c>
      <c r="CF73" s="82">
        <f t="shared" si="1206"/>
        <v>16</v>
      </c>
      <c r="CG73" s="79">
        <f t="shared" si="1206"/>
        <v>5</v>
      </c>
      <c r="CH73" s="82">
        <f t="shared" si="1327"/>
        <v>131.25</v>
      </c>
      <c r="CI73" s="84">
        <f t="shared" si="1328"/>
        <v>3.2</v>
      </c>
      <c r="CJ73" s="84"/>
      <c r="CK73" s="79">
        <f t="shared" si="1209"/>
        <v>550</v>
      </c>
      <c r="CL73" s="82">
        <f t="shared" si="1209"/>
        <v>2.5600000000000005</v>
      </c>
      <c r="CM73" s="79">
        <f t="shared" si="1209"/>
        <v>5</v>
      </c>
      <c r="CN73" s="82">
        <f t="shared" si="1329"/>
        <v>214.84374999999997</v>
      </c>
      <c r="CO73" s="84">
        <f t="shared" si="1330"/>
        <v>0.51200000000000012</v>
      </c>
      <c r="CP73" s="84"/>
      <c r="CQ73" s="79">
        <f t="shared" si="1212"/>
        <v>0</v>
      </c>
      <c r="CR73" s="82">
        <f t="shared" si="1212"/>
        <v>0</v>
      </c>
      <c r="CS73" s="79">
        <f t="shared" si="1212"/>
        <v>0</v>
      </c>
      <c r="CT73" s="82" t="e">
        <f t="shared" si="1331"/>
        <v>#DIV/0!</v>
      </c>
      <c r="CU73" s="84" t="e">
        <f t="shared" si="1332"/>
        <v>#DIV/0!</v>
      </c>
      <c r="CV73" s="84"/>
      <c r="CW73" s="79">
        <f t="shared" si="1215"/>
        <v>800</v>
      </c>
      <c r="CX73" s="82">
        <f t="shared" si="1215"/>
        <v>1.39</v>
      </c>
      <c r="CY73" s="79">
        <f t="shared" si="1215"/>
        <v>5</v>
      </c>
      <c r="CZ73" s="82">
        <f t="shared" si="1333"/>
        <v>575.5395683453238</v>
      </c>
      <c r="DA73" s="84">
        <f t="shared" si="1334"/>
        <v>0.27799999999999997</v>
      </c>
      <c r="DB73" s="84"/>
      <c r="DC73" s="79">
        <f t="shared" si="1218"/>
        <v>750</v>
      </c>
      <c r="DD73" s="82">
        <f t="shared" si="1218"/>
        <v>2.75</v>
      </c>
      <c r="DE73" s="79">
        <f t="shared" si="1218"/>
        <v>5</v>
      </c>
      <c r="DF73" s="82">
        <f t="shared" si="1335"/>
        <v>272.72727272727275</v>
      </c>
      <c r="DG73" s="84">
        <f t="shared" si="1336"/>
        <v>0.55000000000000004</v>
      </c>
      <c r="DH73" s="84"/>
      <c r="DI73" s="79">
        <f t="shared" si="1221"/>
        <v>280</v>
      </c>
      <c r="DJ73" s="82">
        <f t="shared" si="1221"/>
        <v>1.74</v>
      </c>
      <c r="DK73" s="79">
        <f t="shared" si="1221"/>
        <v>5</v>
      </c>
      <c r="DL73" s="82">
        <f t="shared" si="1337"/>
        <v>160.91954022988506</v>
      </c>
      <c r="DM73" s="84">
        <f t="shared" si="1338"/>
        <v>0.34799999999999998</v>
      </c>
      <c r="DN73" s="84"/>
      <c r="DO73" s="79">
        <f t="shared" si="1224"/>
        <v>600</v>
      </c>
      <c r="DP73" s="82">
        <f t="shared" si="1224"/>
        <v>4.0199999999999996</v>
      </c>
      <c r="DQ73" s="79">
        <f t="shared" si="1224"/>
        <v>5</v>
      </c>
      <c r="DR73" s="82">
        <f t="shared" si="1339"/>
        <v>149.25373134328359</v>
      </c>
      <c r="DS73" s="84">
        <f t="shared" si="1340"/>
        <v>0.80399999999999994</v>
      </c>
      <c r="DT73" s="84"/>
      <c r="DU73" s="79">
        <f t="shared" si="1227"/>
        <v>0</v>
      </c>
      <c r="DV73" s="82">
        <f t="shared" si="1227"/>
        <v>0</v>
      </c>
      <c r="DW73" s="79">
        <f t="shared" si="1227"/>
        <v>0</v>
      </c>
      <c r="DX73" s="82" t="e">
        <f t="shared" si="1341"/>
        <v>#DIV/0!</v>
      </c>
      <c r="DY73" s="84" t="e">
        <f t="shared" si="1342"/>
        <v>#DIV/0!</v>
      </c>
      <c r="DZ73" s="84"/>
      <c r="EA73" s="79">
        <f t="shared" si="1230"/>
        <v>0</v>
      </c>
      <c r="EB73" s="82">
        <f t="shared" si="1230"/>
        <v>0</v>
      </c>
      <c r="EC73" s="79">
        <f t="shared" si="1230"/>
        <v>0</v>
      </c>
      <c r="ED73" s="82" t="e">
        <f t="shared" si="1343"/>
        <v>#DIV/0!</v>
      </c>
      <c r="EE73" s="84" t="e">
        <f t="shared" si="1344"/>
        <v>#DIV/0!</v>
      </c>
      <c r="EF73" s="84"/>
      <c r="EG73" s="79">
        <f t="shared" si="1233"/>
        <v>0</v>
      </c>
      <c r="EH73" s="82">
        <f t="shared" si="1233"/>
        <v>0</v>
      </c>
      <c r="EI73" s="79">
        <f t="shared" si="1233"/>
        <v>0</v>
      </c>
      <c r="EJ73" s="82" t="e">
        <f t="shared" si="1345"/>
        <v>#DIV/0!</v>
      </c>
      <c r="EK73" s="84" t="e">
        <f t="shared" si="1346"/>
        <v>#DIV/0!</v>
      </c>
      <c r="EL73" s="84"/>
      <c r="EM73" s="79">
        <f t="shared" si="1236"/>
        <v>0</v>
      </c>
      <c r="EN73" s="82">
        <f t="shared" si="1236"/>
        <v>0</v>
      </c>
      <c r="EO73" s="79">
        <f t="shared" si="1236"/>
        <v>0</v>
      </c>
      <c r="EP73" s="82" t="e">
        <f t="shared" si="1347"/>
        <v>#DIV/0!</v>
      </c>
      <c r="EQ73" s="84" t="e">
        <f t="shared" si="1348"/>
        <v>#DIV/0!</v>
      </c>
      <c r="ER73" s="589"/>
      <c r="ES73" s="79">
        <f t="shared" si="1239"/>
        <v>800</v>
      </c>
      <c r="ET73" s="82">
        <f t="shared" si="1239"/>
        <v>1.39</v>
      </c>
      <c r="EU73" s="79">
        <f t="shared" si="1239"/>
        <v>5</v>
      </c>
      <c r="EV73" s="82">
        <f t="shared" si="915"/>
        <v>575.5395683453238</v>
      </c>
      <c r="EW73" s="84">
        <f t="shared" si="916"/>
        <v>0.27799999999999997</v>
      </c>
      <c r="EY73" s="91">
        <f t="shared" si="1240"/>
        <v>530</v>
      </c>
      <c r="EZ73" s="369">
        <f t="shared" si="1240"/>
        <v>2</v>
      </c>
      <c r="FA73" s="371">
        <f t="shared" si="1240"/>
        <v>5</v>
      </c>
      <c r="FB73" s="369">
        <f t="shared" si="917"/>
        <v>265</v>
      </c>
      <c r="FC73" s="370">
        <f t="shared" si="918"/>
        <v>0.4</v>
      </c>
      <c r="FE73" s="91">
        <f t="shared" si="1242"/>
        <v>650</v>
      </c>
      <c r="FF73" s="82">
        <f t="shared" si="1242"/>
        <v>4</v>
      </c>
      <c r="FG73" s="79">
        <f t="shared" si="1242"/>
        <v>5</v>
      </c>
      <c r="FH73" s="94">
        <f t="shared" si="919"/>
        <v>162.5</v>
      </c>
      <c r="FI73" s="84">
        <f t="shared" si="920"/>
        <v>0.8</v>
      </c>
      <c r="FK73" s="91">
        <f t="shared" si="1243"/>
        <v>650</v>
      </c>
      <c r="FL73" s="82">
        <f t="shared" si="1243"/>
        <v>2.0499999999999998</v>
      </c>
      <c r="FM73" s="371">
        <f t="shared" si="1243"/>
        <v>5</v>
      </c>
      <c r="FN73" s="369">
        <f t="shared" si="921"/>
        <v>317.07317073170736</v>
      </c>
      <c r="FO73" s="370">
        <f t="shared" si="922"/>
        <v>0.41</v>
      </c>
      <c r="FQ73" s="379">
        <f t="shared" si="1244"/>
        <v>800</v>
      </c>
      <c r="FR73" s="369">
        <f t="shared" si="1244"/>
        <v>2</v>
      </c>
      <c r="FS73" s="371">
        <f t="shared" si="1244"/>
        <v>5</v>
      </c>
      <c r="FT73" s="369">
        <f t="shared" si="1367"/>
        <v>400</v>
      </c>
      <c r="FU73" s="370">
        <f t="shared" si="1368"/>
        <v>0.4</v>
      </c>
      <c r="FV73" s="178"/>
      <c r="FW73" s="91">
        <f t="shared" si="1245"/>
        <v>500</v>
      </c>
      <c r="FX73" s="82">
        <f t="shared" si="1245"/>
        <v>5.75</v>
      </c>
      <c r="FY73" s="371">
        <f t="shared" si="1245"/>
        <v>5</v>
      </c>
      <c r="FZ73" s="369">
        <f t="shared" si="1369"/>
        <v>86.956521739130437</v>
      </c>
      <c r="GA73" s="370">
        <f t="shared" si="1370"/>
        <v>1.1499999999999999</v>
      </c>
      <c r="GC73" s="91">
        <f t="shared" si="1246"/>
        <v>750</v>
      </c>
      <c r="GD73" s="369">
        <f t="shared" si="1246"/>
        <v>8.0500000000000007</v>
      </c>
      <c r="GE73" s="371">
        <f t="shared" si="1246"/>
        <v>5</v>
      </c>
      <c r="GF73" s="369">
        <f t="shared" si="1371"/>
        <v>93.167701863354026</v>
      </c>
      <c r="GG73" s="370">
        <f t="shared" si="1372"/>
        <v>1.61</v>
      </c>
      <c r="GI73" s="91">
        <f t="shared" si="1248"/>
        <v>500</v>
      </c>
      <c r="GJ73" s="82">
        <f t="shared" si="1248"/>
        <v>8.6</v>
      </c>
      <c r="GK73" s="79">
        <f t="shared" si="1248"/>
        <v>5</v>
      </c>
      <c r="GL73" s="82">
        <f t="shared" si="1373"/>
        <v>58.139534883720934</v>
      </c>
      <c r="GM73" s="84">
        <f t="shared" si="1374"/>
        <v>1.72</v>
      </c>
      <c r="GO73" s="91">
        <f t="shared" si="1249"/>
        <v>900</v>
      </c>
      <c r="GP73" s="82">
        <f t="shared" si="1249"/>
        <v>2.09</v>
      </c>
      <c r="GQ73" s="371">
        <f t="shared" si="1249"/>
        <v>5</v>
      </c>
      <c r="GR73" s="369">
        <f t="shared" si="1375"/>
        <v>430.62200956937801</v>
      </c>
      <c r="GS73" s="370">
        <f t="shared" si="1376"/>
        <v>0.41799999999999998</v>
      </c>
      <c r="GU73" s="91">
        <f t="shared" si="1251"/>
        <v>400</v>
      </c>
      <c r="GV73" s="82">
        <f t="shared" si="1251"/>
        <v>2.29</v>
      </c>
      <c r="GW73" s="79">
        <f t="shared" si="1251"/>
        <v>5</v>
      </c>
      <c r="GX73" s="82">
        <f t="shared" si="1377"/>
        <v>174.67248908296943</v>
      </c>
      <c r="GY73" s="84">
        <f t="shared" si="1378"/>
        <v>0.45800000000000002</v>
      </c>
      <c r="HA73" s="91">
        <f t="shared" si="1252"/>
        <v>300</v>
      </c>
      <c r="HB73" s="82">
        <f t="shared" si="1252"/>
        <v>1.3499999999999999</v>
      </c>
      <c r="HC73" s="79">
        <f t="shared" si="1252"/>
        <v>5</v>
      </c>
      <c r="HD73" s="369">
        <f t="shared" si="935"/>
        <v>222.22222222222226</v>
      </c>
      <c r="HE73" s="370">
        <f t="shared" si="936"/>
        <v>0.26999999999999996</v>
      </c>
      <c r="HG73" s="91">
        <f t="shared" si="1253"/>
        <v>600</v>
      </c>
      <c r="HH73" s="82">
        <f t="shared" si="1253"/>
        <v>1.4600000000000002</v>
      </c>
      <c r="HI73" s="79">
        <f t="shared" si="1253"/>
        <v>5</v>
      </c>
      <c r="HJ73" s="367">
        <f t="shared" ref="HJ73:HJ75" si="1405">HG73/HH73</f>
        <v>410.95890410958901</v>
      </c>
      <c r="HK73" s="368">
        <f t="shared" ref="HK73:HK75" si="1406">HH73/HI73</f>
        <v>0.29200000000000004</v>
      </c>
      <c r="HM73" s="91">
        <f t="shared" si="1254"/>
        <v>530</v>
      </c>
      <c r="HN73" s="82">
        <f t="shared" si="1254"/>
        <v>2.15</v>
      </c>
      <c r="HO73" s="79">
        <f t="shared" si="1254"/>
        <v>5</v>
      </c>
      <c r="HP73" s="369">
        <f t="shared" si="1379"/>
        <v>246.51162790697674</v>
      </c>
      <c r="HQ73" s="370">
        <f t="shared" si="1380"/>
        <v>0.43</v>
      </c>
      <c r="HS73" s="91">
        <f t="shared" si="1255"/>
        <v>1180</v>
      </c>
      <c r="HT73" s="82">
        <f t="shared" si="1255"/>
        <v>2.15</v>
      </c>
      <c r="HU73" s="371">
        <f t="shared" si="1255"/>
        <v>5</v>
      </c>
      <c r="HV73" s="369">
        <f t="shared" ref="HV73:HV75" si="1407">HS73/HT73</f>
        <v>548.83720930232562</v>
      </c>
      <c r="HW73" s="370">
        <f t="shared" ref="HW73:HW75" si="1408">HT73/HU73</f>
        <v>0.43</v>
      </c>
      <c r="HX73" s="178"/>
      <c r="HY73" s="91">
        <f t="shared" si="1256"/>
        <v>700</v>
      </c>
      <c r="HZ73" s="82">
        <f t="shared" si="1256"/>
        <v>3.08</v>
      </c>
      <c r="IA73" s="371">
        <f t="shared" si="1256"/>
        <v>5</v>
      </c>
      <c r="IB73" s="369">
        <f t="shared" si="1381"/>
        <v>227.27272727272728</v>
      </c>
      <c r="IC73" s="370">
        <f t="shared" si="1382"/>
        <v>0.61599999999999999</v>
      </c>
      <c r="IE73" s="91">
        <f t="shared" si="1257"/>
        <v>250</v>
      </c>
      <c r="IF73" s="82">
        <f t="shared" si="1257"/>
        <v>1.54</v>
      </c>
      <c r="IG73" s="371">
        <f t="shared" si="1257"/>
        <v>5</v>
      </c>
      <c r="IH73" s="369">
        <f t="shared" si="1383"/>
        <v>162.33766233766232</v>
      </c>
      <c r="II73" s="370">
        <f t="shared" si="1384"/>
        <v>0.308</v>
      </c>
      <c r="IJ73" s="178"/>
      <c r="IK73" s="379">
        <f t="shared" si="1258"/>
        <v>500</v>
      </c>
      <c r="IL73" s="369">
        <f t="shared" si="1258"/>
        <v>2.17</v>
      </c>
      <c r="IM73" s="371">
        <f t="shared" si="1258"/>
        <v>5</v>
      </c>
      <c r="IN73" s="369">
        <f t="shared" si="1385"/>
        <v>230.41474654377882</v>
      </c>
      <c r="IO73" s="370">
        <f t="shared" si="1386"/>
        <v>0.434</v>
      </c>
      <c r="IP73" s="178"/>
      <c r="IQ73" s="379">
        <f t="shared" si="1259"/>
        <v>500</v>
      </c>
      <c r="IR73" s="369">
        <f t="shared" si="1259"/>
        <v>12.25</v>
      </c>
      <c r="IS73" s="371">
        <f t="shared" si="1259"/>
        <v>5</v>
      </c>
      <c r="IT73" s="369">
        <f t="shared" si="949"/>
        <v>40.816326530612244</v>
      </c>
      <c r="IU73" s="370">
        <f t="shared" si="950"/>
        <v>2.4500000000000002</v>
      </c>
      <c r="IW73" s="379">
        <f t="shared" si="1260"/>
        <v>500</v>
      </c>
      <c r="IX73" s="369">
        <f t="shared" si="1260"/>
        <v>1.69</v>
      </c>
      <c r="IY73" s="371">
        <f t="shared" si="1260"/>
        <v>5</v>
      </c>
      <c r="IZ73" s="369">
        <f t="shared" si="951"/>
        <v>295.85798816568047</v>
      </c>
      <c r="JA73" s="370">
        <f t="shared" si="952"/>
        <v>0.33799999999999997</v>
      </c>
      <c r="JC73" s="379">
        <f t="shared" si="1261"/>
        <v>420</v>
      </c>
      <c r="JD73" s="369">
        <f t="shared" si="1261"/>
        <v>1.9700000000000002</v>
      </c>
      <c r="JE73" s="371">
        <f t="shared" si="1261"/>
        <v>5</v>
      </c>
      <c r="JF73" s="369">
        <f t="shared" si="953"/>
        <v>213.1979695431472</v>
      </c>
      <c r="JG73" s="370">
        <f t="shared" si="954"/>
        <v>0.39400000000000002</v>
      </c>
      <c r="JI73" s="379">
        <f t="shared" si="1262"/>
        <v>0</v>
      </c>
      <c r="JJ73" s="369">
        <f t="shared" si="1262"/>
        <v>0</v>
      </c>
      <c r="JK73" s="371">
        <f t="shared" si="1262"/>
        <v>0</v>
      </c>
      <c r="JL73" s="369" t="e">
        <f t="shared" si="955"/>
        <v>#DIV/0!</v>
      </c>
      <c r="JM73" s="370" t="e">
        <f t="shared" si="956"/>
        <v>#DIV/0!</v>
      </c>
      <c r="JO73" s="379">
        <f t="shared" si="1263"/>
        <v>300</v>
      </c>
      <c r="JP73" s="369">
        <f t="shared" si="1263"/>
        <v>2.23</v>
      </c>
      <c r="JQ73" s="371">
        <f t="shared" si="1263"/>
        <v>5</v>
      </c>
      <c r="JR73" s="369">
        <f t="shared" si="957"/>
        <v>134.52914798206277</v>
      </c>
      <c r="JS73" s="370">
        <f t="shared" si="958"/>
        <v>0.44600000000000001</v>
      </c>
      <c r="JU73" s="379">
        <f t="shared" si="1046"/>
        <v>350</v>
      </c>
      <c r="JV73" s="369">
        <f t="shared" si="1046"/>
        <v>2.1</v>
      </c>
      <c r="JW73" s="371">
        <f t="shared" si="1046"/>
        <v>5</v>
      </c>
      <c r="JX73" s="369">
        <f t="shared" si="959"/>
        <v>166.66666666666666</v>
      </c>
      <c r="JY73" s="370">
        <f t="shared" si="960"/>
        <v>0.42000000000000004</v>
      </c>
      <c r="KA73" s="379">
        <f t="shared" si="1130"/>
        <v>430</v>
      </c>
      <c r="KB73" s="369">
        <f t="shared" si="1130"/>
        <v>3</v>
      </c>
      <c r="KC73" s="371">
        <f t="shared" si="1264"/>
        <v>5</v>
      </c>
      <c r="KD73" s="369">
        <f t="shared" si="961"/>
        <v>143.33333333333334</v>
      </c>
      <c r="KE73" s="370">
        <f t="shared" si="962"/>
        <v>0.6</v>
      </c>
      <c r="KG73" s="379">
        <f t="shared" ref="KG73:KH73" si="1409">SUM(KG35)</f>
        <v>850</v>
      </c>
      <c r="KH73" s="369">
        <f t="shared" si="1409"/>
        <v>1.08</v>
      </c>
      <c r="KI73" s="371">
        <f t="shared" si="1265"/>
        <v>4</v>
      </c>
      <c r="KJ73" s="369">
        <f t="shared" si="963"/>
        <v>787.03703703703695</v>
      </c>
      <c r="KK73" s="370">
        <f t="shared" si="964"/>
        <v>0.27</v>
      </c>
      <c r="KM73" s="379">
        <f t="shared" ref="KM73:KO73" si="1410">SUM(KM35)</f>
        <v>700</v>
      </c>
      <c r="KN73" s="369">
        <f t="shared" si="1410"/>
        <v>0.49</v>
      </c>
      <c r="KO73" s="371">
        <f t="shared" si="1410"/>
        <v>5</v>
      </c>
      <c r="KP73" s="369">
        <f t="shared" si="965"/>
        <v>1428.5714285714287</v>
      </c>
      <c r="KQ73" s="370">
        <f t="shared" si="966"/>
        <v>9.8000000000000004E-2</v>
      </c>
      <c r="KS73" s="379">
        <f t="shared" ref="KS73:KU73" si="1411">SUM(KS35)</f>
        <v>650</v>
      </c>
      <c r="KT73" s="369">
        <f t="shared" si="1411"/>
        <v>3.0300000000000002</v>
      </c>
      <c r="KU73" s="371">
        <f t="shared" si="1411"/>
        <v>5</v>
      </c>
      <c r="KV73" s="369">
        <f t="shared" si="967"/>
        <v>214.52145214521451</v>
      </c>
      <c r="KW73" s="370">
        <f t="shared" si="968"/>
        <v>0.60600000000000009</v>
      </c>
      <c r="KY73" s="379">
        <f t="shared" ref="KY73:LA73" si="1412">SUM(KY35)</f>
        <v>0</v>
      </c>
      <c r="KZ73" s="369">
        <f t="shared" si="1412"/>
        <v>0</v>
      </c>
      <c r="LA73" s="371">
        <f t="shared" si="1412"/>
        <v>0</v>
      </c>
      <c r="LB73" s="369" t="e">
        <f t="shared" si="969"/>
        <v>#DIV/0!</v>
      </c>
      <c r="LC73" s="370" t="e">
        <f t="shared" si="970"/>
        <v>#DIV/0!</v>
      </c>
      <c r="LE73" s="379">
        <f t="shared" ref="LE73:LG73" si="1413">SUM(LE35)</f>
        <v>0</v>
      </c>
      <c r="LF73" s="369">
        <f t="shared" si="1413"/>
        <v>0</v>
      </c>
      <c r="LG73" s="371">
        <f t="shared" si="1413"/>
        <v>0</v>
      </c>
      <c r="LH73" s="369" t="e">
        <f t="shared" si="971"/>
        <v>#DIV/0!</v>
      </c>
      <c r="LI73" s="370" t="e">
        <f t="shared" si="972"/>
        <v>#DIV/0!</v>
      </c>
      <c r="LK73" s="379">
        <f t="shared" ref="LK73:LM73" si="1414">SUM(LK35)</f>
        <v>550</v>
      </c>
      <c r="LL73" s="369">
        <f t="shared" si="1414"/>
        <v>1.61</v>
      </c>
      <c r="LM73" s="371">
        <f t="shared" si="1414"/>
        <v>5</v>
      </c>
      <c r="LN73" s="369">
        <f t="shared" si="973"/>
        <v>341.61490683229812</v>
      </c>
      <c r="LO73" s="370">
        <f t="shared" si="974"/>
        <v>0.32200000000000001</v>
      </c>
      <c r="LQ73" s="379">
        <f t="shared" ref="LQ73:LS73" si="1415">SUM(LQ35)</f>
        <v>500</v>
      </c>
      <c r="LR73" s="369">
        <f t="shared" si="1415"/>
        <v>8.6999999999999993</v>
      </c>
      <c r="LS73" s="371">
        <f t="shared" si="1415"/>
        <v>5</v>
      </c>
      <c r="LT73" s="369">
        <f t="shared" si="975"/>
        <v>57.471264367816097</v>
      </c>
      <c r="LU73" s="370">
        <f t="shared" si="976"/>
        <v>1.7399999999999998</v>
      </c>
      <c r="LW73" s="379">
        <f t="shared" ref="LW73:LY73" si="1416">SUM(LW35)</f>
        <v>550</v>
      </c>
      <c r="LX73" s="369">
        <f t="shared" si="1416"/>
        <v>2.77</v>
      </c>
      <c r="LY73" s="371">
        <f t="shared" si="1416"/>
        <v>5</v>
      </c>
      <c r="LZ73" s="369">
        <f t="shared" si="977"/>
        <v>198.55595667870037</v>
      </c>
      <c r="MA73" s="370">
        <f t="shared" si="978"/>
        <v>0.55400000000000005</v>
      </c>
      <c r="MC73" s="379">
        <f t="shared" ref="MC73:ME73" si="1417">SUM(MC35)</f>
        <v>250</v>
      </c>
      <c r="MD73" s="369">
        <f t="shared" si="1417"/>
        <v>2.4</v>
      </c>
      <c r="ME73" s="371">
        <f t="shared" si="1417"/>
        <v>5</v>
      </c>
      <c r="MF73" s="369">
        <f t="shared" si="979"/>
        <v>104.16666666666667</v>
      </c>
      <c r="MG73" s="370">
        <f t="shared" si="980"/>
        <v>0.48</v>
      </c>
      <c r="MI73" s="379">
        <f t="shared" ref="MI73:MK73" si="1418">SUM(MI35)</f>
        <v>500</v>
      </c>
      <c r="MJ73" s="369">
        <f t="shared" si="1418"/>
        <v>2.25</v>
      </c>
      <c r="MK73" s="371">
        <f t="shared" si="1418"/>
        <v>5</v>
      </c>
      <c r="ML73" s="369">
        <f t="shared" si="981"/>
        <v>222.22222222222223</v>
      </c>
      <c r="MM73" s="370">
        <f t="shared" si="982"/>
        <v>0.45</v>
      </c>
      <c r="MO73" s="379">
        <f t="shared" ref="MO73:MQ73" si="1419">SUM(MO35)</f>
        <v>0</v>
      </c>
      <c r="MP73" s="369">
        <f t="shared" si="1419"/>
        <v>0</v>
      </c>
      <c r="MQ73" s="371">
        <f t="shared" si="1419"/>
        <v>0</v>
      </c>
      <c r="MR73" s="369" t="e">
        <f t="shared" si="983"/>
        <v>#DIV/0!</v>
      </c>
      <c r="MS73" s="370" t="e">
        <f t="shared" si="984"/>
        <v>#DIV/0!</v>
      </c>
      <c r="MU73" s="379">
        <f t="shared" ref="MU73:MW73" si="1420">SUM(MU35)</f>
        <v>0</v>
      </c>
      <c r="MV73" s="369">
        <f t="shared" si="1420"/>
        <v>0</v>
      </c>
      <c r="MW73" s="371">
        <f t="shared" si="1420"/>
        <v>0</v>
      </c>
      <c r="MX73" s="369" t="e">
        <f t="shared" si="985"/>
        <v>#DIV/0!</v>
      </c>
      <c r="MY73" s="370" t="e">
        <f t="shared" si="986"/>
        <v>#DIV/0!</v>
      </c>
      <c r="NA73" s="755">
        <f t="shared" ref="NA73:NC73" si="1421">SUM(NA35)</f>
        <v>360</v>
      </c>
      <c r="NB73" s="384">
        <f t="shared" si="1421"/>
        <v>3.7600000000000002</v>
      </c>
      <c r="NC73" s="384">
        <f t="shared" si="1421"/>
        <v>5</v>
      </c>
      <c r="ND73" s="369">
        <f t="shared" si="987"/>
        <v>95.744680851063819</v>
      </c>
      <c r="NE73" s="370">
        <f t="shared" si="988"/>
        <v>0.752</v>
      </c>
      <c r="NG73" s="379">
        <f t="shared" ref="NG73:NI73" si="1422">SUM(NG35)</f>
        <v>530</v>
      </c>
      <c r="NH73" s="369">
        <f t="shared" si="1422"/>
        <v>2.36</v>
      </c>
      <c r="NI73" s="371">
        <f t="shared" si="1422"/>
        <v>5</v>
      </c>
      <c r="NJ73" s="369">
        <f t="shared" si="989"/>
        <v>224.57627118644069</v>
      </c>
      <c r="NK73" s="370">
        <f t="shared" si="990"/>
        <v>0.47199999999999998</v>
      </c>
      <c r="NM73" s="379">
        <f t="shared" ref="NM73:NO73" si="1423">SUM(NM35)</f>
        <v>900</v>
      </c>
      <c r="NN73" s="369">
        <f t="shared" si="1423"/>
        <v>5.4</v>
      </c>
      <c r="NO73" s="371">
        <f t="shared" si="1423"/>
        <v>5</v>
      </c>
      <c r="NP73" s="369">
        <f t="shared" si="991"/>
        <v>166.66666666666666</v>
      </c>
      <c r="NQ73" s="370">
        <f t="shared" si="992"/>
        <v>1.08</v>
      </c>
      <c r="NS73" s="379">
        <f t="shared" ref="NS73:NU73" si="1424">SUM(NS35)</f>
        <v>500</v>
      </c>
      <c r="NT73" s="369">
        <f t="shared" si="1424"/>
        <v>1.3699999999999999</v>
      </c>
      <c r="NU73" s="371">
        <f t="shared" si="1424"/>
        <v>5</v>
      </c>
      <c r="NV73" s="369">
        <f t="shared" si="993"/>
        <v>364.96350364963507</v>
      </c>
      <c r="NW73" s="370">
        <f t="shared" si="994"/>
        <v>0.27399999999999997</v>
      </c>
      <c r="NY73" s="379">
        <f t="shared" ref="NY73:OA73" si="1425">SUM(NY35)</f>
        <v>600</v>
      </c>
      <c r="NZ73" s="369">
        <f t="shared" si="1425"/>
        <v>3.48</v>
      </c>
      <c r="OA73" s="371">
        <f t="shared" si="1425"/>
        <v>5</v>
      </c>
      <c r="OB73" s="369">
        <f t="shared" si="995"/>
        <v>172.41379310344828</v>
      </c>
      <c r="OC73" s="370">
        <f t="shared" si="996"/>
        <v>0.69599999999999995</v>
      </c>
      <c r="OE73" s="379">
        <f t="shared" ref="OE73:OG73" si="1426">SUM(OE35)</f>
        <v>340</v>
      </c>
      <c r="OF73" s="369">
        <f t="shared" si="1426"/>
        <v>2.56</v>
      </c>
      <c r="OG73" s="371">
        <f t="shared" si="1426"/>
        <v>5</v>
      </c>
      <c r="OH73" s="369">
        <f t="shared" si="997"/>
        <v>132.8125</v>
      </c>
      <c r="OI73" s="370">
        <f t="shared" si="998"/>
        <v>0.51200000000000001</v>
      </c>
    </row>
    <row r="74" spans="1:399">
      <c r="A74" s="69"/>
      <c r="B74" s="71" t="s">
        <v>39</v>
      </c>
      <c r="C74" s="60"/>
      <c r="D74" s="58" t="s">
        <v>14</v>
      </c>
      <c r="E74" s="79">
        <f t="shared" si="1167"/>
        <v>0</v>
      </c>
      <c r="F74" s="82">
        <f t="shared" si="1167"/>
        <v>0</v>
      </c>
      <c r="G74" s="79">
        <f t="shared" si="1167"/>
        <v>0</v>
      </c>
      <c r="H74" s="82" t="e">
        <f t="shared" si="1301"/>
        <v>#DIV/0!</v>
      </c>
      <c r="I74" s="84" t="e">
        <f t="shared" si="1302"/>
        <v>#DIV/0!</v>
      </c>
      <c r="J74" s="589"/>
      <c r="K74" s="79">
        <f t="shared" si="1170"/>
        <v>300</v>
      </c>
      <c r="L74" s="82">
        <f t="shared" si="1170"/>
        <v>2.12</v>
      </c>
      <c r="M74" s="79">
        <f t="shared" si="1170"/>
        <v>1</v>
      </c>
      <c r="N74" s="82">
        <f t="shared" si="1303"/>
        <v>141.50943396226415</v>
      </c>
      <c r="O74" s="84">
        <f t="shared" si="1304"/>
        <v>2.12</v>
      </c>
      <c r="P74" s="589"/>
      <c r="Q74" s="79">
        <f t="shared" si="1173"/>
        <v>2300</v>
      </c>
      <c r="R74" s="82">
        <f t="shared" si="1173"/>
        <v>14.2</v>
      </c>
      <c r="S74" s="79">
        <f t="shared" si="1173"/>
        <v>5</v>
      </c>
      <c r="T74" s="82">
        <f t="shared" si="1305"/>
        <v>161.97183098591549</v>
      </c>
      <c r="U74" s="84">
        <f t="shared" si="1306"/>
        <v>2.84</v>
      </c>
      <c r="V74" s="589"/>
      <c r="W74" s="79">
        <f t="shared" si="1176"/>
        <v>0</v>
      </c>
      <c r="X74" s="82">
        <f t="shared" si="1176"/>
        <v>0</v>
      </c>
      <c r="Y74" s="79">
        <f t="shared" si="1176"/>
        <v>0</v>
      </c>
      <c r="Z74" s="82" t="e">
        <f t="shared" si="1307"/>
        <v>#DIV/0!</v>
      </c>
      <c r="AA74" s="84" t="e">
        <f t="shared" si="1308"/>
        <v>#DIV/0!</v>
      </c>
      <c r="AB74" s="589"/>
      <c r="AC74" s="79">
        <f t="shared" si="1179"/>
        <v>2500</v>
      </c>
      <c r="AD74" s="82">
        <f t="shared" si="1179"/>
        <v>11.100000000000001</v>
      </c>
      <c r="AE74" s="79">
        <f t="shared" si="1179"/>
        <v>5</v>
      </c>
      <c r="AF74" s="82">
        <f t="shared" si="1309"/>
        <v>225.22522522522519</v>
      </c>
      <c r="AG74" s="84">
        <f t="shared" si="1310"/>
        <v>2.2200000000000002</v>
      </c>
      <c r="AH74" s="589"/>
      <c r="AI74" s="79">
        <f t="shared" si="1182"/>
        <v>0</v>
      </c>
      <c r="AJ74" s="82">
        <f t="shared" si="1182"/>
        <v>0</v>
      </c>
      <c r="AK74" s="79">
        <f t="shared" si="1182"/>
        <v>0</v>
      </c>
      <c r="AL74" s="82" t="e">
        <f t="shared" si="1311"/>
        <v>#DIV/0!</v>
      </c>
      <c r="AM74" s="84" t="e">
        <f t="shared" si="1312"/>
        <v>#DIV/0!</v>
      </c>
      <c r="AN74" s="589"/>
      <c r="AO74" s="79">
        <f t="shared" si="1185"/>
        <v>1450</v>
      </c>
      <c r="AP74" s="82">
        <f t="shared" si="1185"/>
        <v>10.85</v>
      </c>
      <c r="AQ74" s="79">
        <f t="shared" si="1185"/>
        <v>5</v>
      </c>
      <c r="AR74" s="82">
        <f t="shared" si="1313"/>
        <v>133.64055299539172</v>
      </c>
      <c r="AS74" s="84">
        <f t="shared" si="1314"/>
        <v>2.17</v>
      </c>
      <c r="AT74" s="589"/>
      <c r="AU74" s="79">
        <f t="shared" si="1188"/>
        <v>1600</v>
      </c>
      <c r="AV74" s="82">
        <f t="shared" si="1188"/>
        <v>12.07</v>
      </c>
      <c r="AW74" s="79">
        <f t="shared" si="1188"/>
        <v>5</v>
      </c>
      <c r="AX74" s="82">
        <f t="shared" si="1315"/>
        <v>132.56006628003314</v>
      </c>
      <c r="AY74" s="84">
        <f t="shared" si="1316"/>
        <v>2.4140000000000001</v>
      </c>
      <c r="AZ74" s="84"/>
      <c r="BA74" s="79">
        <f t="shared" si="1191"/>
        <v>1650</v>
      </c>
      <c r="BB74" s="82">
        <f t="shared" si="1191"/>
        <v>15.240000000000002</v>
      </c>
      <c r="BC74" s="79">
        <f t="shared" si="1191"/>
        <v>5</v>
      </c>
      <c r="BD74" s="82">
        <f t="shared" si="1317"/>
        <v>108.26771653543305</v>
      </c>
      <c r="BE74" s="84">
        <f t="shared" si="1318"/>
        <v>3.0480000000000005</v>
      </c>
      <c r="BF74" s="84"/>
      <c r="BG74" s="79">
        <f t="shared" si="1194"/>
        <v>0</v>
      </c>
      <c r="BH74" s="82">
        <f t="shared" si="1194"/>
        <v>0</v>
      </c>
      <c r="BI74" s="79">
        <f t="shared" si="1194"/>
        <v>0</v>
      </c>
      <c r="BJ74" s="82" t="e">
        <f t="shared" si="1319"/>
        <v>#DIV/0!</v>
      </c>
      <c r="BK74" s="84" t="e">
        <f t="shared" si="1320"/>
        <v>#DIV/0!</v>
      </c>
      <c r="BL74" s="84"/>
      <c r="BM74" s="79">
        <f t="shared" si="1197"/>
        <v>0</v>
      </c>
      <c r="BN74" s="82">
        <f t="shared" si="1197"/>
        <v>0</v>
      </c>
      <c r="BO74" s="79">
        <f t="shared" si="1197"/>
        <v>0</v>
      </c>
      <c r="BP74" s="82" t="e">
        <f t="shared" si="1321"/>
        <v>#DIV/0!</v>
      </c>
      <c r="BQ74" s="84" t="e">
        <f t="shared" si="1322"/>
        <v>#DIV/0!</v>
      </c>
      <c r="BR74" s="589"/>
      <c r="BS74" s="79">
        <f t="shared" si="1200"/>
        <v>1100</v>
      </c>
      <c r="BT74" s="82">
        <f t="shared" si="1200"/>
        <v>8.8500000000000014</v>
      </c>
      <c r="BU74" s="79">
        <f t="shared" si="1200"/>
        <v>4</v>
      </c>
      <c r="BV74" s="82">
        <f t="shared" si="1323"/>
        <v>124.29378531073445</v>
      </c>
      <c r="BW74" s="84">
        <f t="shared" si="1324"/>
        <v>2.2125000000000004</v>
      </c>
      <c r="BX74" s="84"/>
      <c r="BY74" s="79">
        <f t="shared" si="1203"/>
        <v>1600</v>
      </c>
      <c r="BZ74" s="82">
        <f t="shared" si="1203"/>
        <v>12.07</v>
      </c>
      <c r="CA74" s="79">
        <f t="shared" si="1203"/>
        <v>5</v>
      </c>
      <c r="CB74" s="82">
        <f t="shared" si="1325"/>
        <v>132.56006628003314</v>
      </c>
      <c r="CC74" s="84">
        <f t="shared" si="1326"/>
        <v>2.4140000000000001</v>
      </c>
      <c r="CD74" s="84"/>
      <c r="CE74" s="79">
        <f t="shared" si="1206"/>
        <v>750</v>
      </c>
      <c r="CF74" s="82">
        <f t="shared" si="1206"/>
        <v>8</v>
      </c>
      <c r="CG74" s="79">
        <f t="shared" si="1206"/>
        <v>5</v>
      </c>
      <c r="CH74" s="82">
        <f t="shared" si="1327"/>
        <v>93.75</v>
      </c>
      <c r="CI74" s="84">
        <f t="shared" si="1328"/>
        <v>1.6</v>
      </c>
      <c r="CJ74" s="84"/>
      <c r="CK74" s="79">
        <f t="shared" si="1209"/>
        <v>1200</v>
      </c>
      <c r="CL74" s="82">
        <f t="shared" si="1209"/>
        <v>16.25</v>
      </c>
      <c r="CM74" s="79">
        <f t="shared" si="1209"/>
        <v>5</v>
      </c>
      <c r="CN74" s="82">
        <f t="shared" si="1329"/>
        <v>73.84615384615384</v>
      </c>
      <c r="CO74" s="84">
        <f t="shared" si="1330"/>
        <v>3.25</v>
      </c>
      <c r="CP74" s="84"/>
      <c r="CQ74" s="79">
        <f t="shared" si="1212"/>
        <v>0</v>
      </c>
      <c r="CR74" s="82">
        <f t="shared" si="1212"/>
        <v>0</v>
      </c>
      <c r="CS74" s="79">
        <f t="shared" si="1212"/>
        <v>0</v>
      </c>
      <c r="CT74" s="82" t="e">
        <f t="shared" si="1331"/>
        <v>#DIV/0!</v>
      </c>
      <c r="CU74" s="84" t="e">
        <f t="shared" si="1332"/>
        <v>#DIV/0!</v>
      </c>
      <c r="CV74" s="84"/>
      <c r="CW74" s="79">
        <f t="shared" si="1215"/>
        <v>1600</v>
      </c>
      <c r="CX74" s="82">
        <f t="shared" si="1215"/>
        <v>12.07</v>
      </c>
      <c r="CY74" s="79">
        <f t="shared" si="1215"/>
        <v>5</v>
      </c>
      <c r="CZ74" s="82">
        <f t="shared" si="1333"/>
        <v>132.56006628003314</v>
      </c>
      <c r="DA74" s="84">
        <f t="shared" si="1334"/>
        <v>2.4140000000000001</v>
      </c>
      <c r="DB74" s="84"/>
      <c r="DC74" s="79">
        <f t="shared" si="1218"/>
        <v>800</v>
      </c>
      <c r="DD74" s="82">
        <f t="shared" si="1218"/>
        <v>4.4799999999999995</v>
      </c>
      <c r="DE74" s="79">
        <f t="shared" si="1218"/>
        <v>2</v>
      </c>
      <c r="DF74" s="82">
        <f t="shared" si="1335"/>
        <v>178.57142857142858</v>
      </c>
      <c r="DG74" s="84">
        <f t="shared" si="1336"/>
        <v>2.2399999999999998</v>
      </c>
      <c r="DH74" s="84"/>
      <c r="DI74" s="79">
        <f t="shared" si="1221"/>
        <v>1550</v>
      </c>
      <c r="DJ74" s="82">
        <f t="shared" si="1221"/>
        <v>14.33</v>
      </c>
      <c r="DK74" s="79">
        <f t="shared" si="1221"/>
        <v>5</v>
      </c>
      <c r="DL74" s="82">
        <f t="shared" si="1337"/>
        <v>108.16468946266573</v>
      </c>
      <c r="DM74" s="84">
        <f t="shared" si="1338"/>
        <v>2.8660000000000001</v>
      </c>
      <c r="DN74" s="84"/>
      <c r="DO74" s="79">
        <f t="shared" si="1224"/>
        <v>1900</v>
      </c>
      <c r="DP74" s="82">
        <f t="shared" si="1224"/>
        <v>12.53</v>
      </c>
      <c r="DQ74" s="79">
        <f t="shared" si="1224"/>
        <v>5</v>
      </c>
      <c r="DR74" s="82">
        <f t="shared" si="1339"/>
        <v>151.63607342378293</v>
      </c>
      <c r="DS74" s="84">
        <f t="shared" si="1340"/>
        <v>2.5059999999999998</v>
      </c>
      <c r="DT74" s="84"/>
      <c r="DU74" s="79">
        <f t="shared" si="1227"/>
        <v>0</v>
      </c>
      <c r="DV74" s="82">
        <f t="shared" si="1227"/>
        <v>0</v>
      </c>
      <c r="DW74" s="79">
        <f t="shared" si="1227"/>
        <v>0</v>
      </c>
      <c r="DX74" s="82" t="e">
        <f t="shared" si="1341"/>
        <v>#DIV/0!</v>
      </c>
      <c r="DY74" s="84" t="e">
        <f t="shared" si="1342"/>
        <v>#DIV/0!</v>
      </c>
      <c r="DZ74" s="84"/>
      <c r="EA74" s="79">
        <f t="shared" si="1230"/>
        <v>0</v>
      </c>
      <c r="EB74" s="82">
        <f t="shared" si="1230"/>
        <v>0</v>
      </c>
      <c r="EC74" s="79">
        <f t="shared" si="1230"/>
        <v>0</v>
      </c>
      <c r="ED74" s="82" t="e">
        <f t="shared" si="1343"/>
        <v>#DIV/0!</v>
      </c>
      <c r="EE74" s="84" t="e">
        <f t="shared" si="1344"/>
        <v>#DIV/0!</v>
      </c>
      <c r="EF74" s="84"/>
      <c r="EG74" s="79">
        <f t="shared" si="1233"/>
        <v>0</v>
      </c>
      <c r="EH74" s="82">
        <f t="shared" si="1233"/>
        <v>0</v>
      </c>
      <c r="EI74" s="79">
        <f t="shared" si="1233"/>
        <v>0</v>
      </c>
      <c r="EJ74" s="82" t="e">
        <f t="shared" si="1345"/>
        <v>#DIV/0!</v>
      </c>
      <c r="EK74" s="84" t="e">
        <f t="shared" si="1346"/>
        <v>#DIV/0!</v>
      </c>
      <c r="EL74" s="84"/>
      <c r="EM74" s="79">
        <f t="shared" si="1236"/>
        <v>0</v>
      </c>
      <c r="EN74" s="82">
        <f t="shared" si="1236"/>
        <v>0</v>
      </c>
      <c r="EO74" s="79">
        <f t="shared" si="1236"/>
        <v>0</v>
      </c>
      <c r="EP74" s="82" t="e">
        <f t="shared" si="1347"/>
        <v>#DIV/0!</v>
      </c>
      <c r="EQ74" s="84" t="e">
        <f t="shared" si="1348"/>
        <v>#DIV/0!</v>
      </c>
      <c r="ER74" s="589"/>
      <c r="ES74" s="79">
        <f t="shared" si="1239"/>
        <v>1600</v>
      </c>
      <c r="ET74" s="82">
        <f t="shared" si="1239"/>
        <v>12.07</v>
      </c>
      <c r="EU74" s="79">
        <f t="shared" si="1239"/>
        <v>5</v>
      </c>
      <c r="EV74" s="82">
        <f t="shared" si="915"/>
        <v>132.56006628003314</v>
      </c>
      <c r="EW74" s="84">
        <f t="shared" si="916"/>
        <v>2.4140000000000001</v>
      </c>
      <c r="EY74" s="91">
        <f t="shared" si="1240"/>
        <v>2100</v>
      </c>
      <c r="EZ74" s="369">
        <f t="shared" si="1240"/>
        <v>16</v>
      </c>
      <c r="FA74" s="371">
        <f t="shared" si="1240"/>
        <v>5</v>
      </c>
      <c r="FB74" s="369">
        <f t="shared" si="917"/>
        <v>131.25</v>
      </c>
      <c r="FC74" s="370">
        <f t="shared" si="918"/>
        <v>3.2</v>
      </c>
      <c r="FE74" s="91">
        <f t="shared" si="1242"/>
        <v>2300</v>
      </c>
      <c r="FF74" s="82">
        <f t="shared" si="1242"/>
        <v>14.2</v>
      </c>
      <c r="FG74" s="79">
        <f t="shared" si="1242"/>
        <v>5</v>
      </c>
      <c r="FH74" s="94">
        <f t="shared" si="919"/>
        <v>161.97183098591549</v>
      </c>
      <c r="FI74" s="84">
        <f t="shared" si="920"/>
        <v>2.84</v>
      </c>
      <c r="FK74" s="91">
        <f t="shared" si="1243"/>
        <v>1700</v>
      </c>
      <c r="FL74" s="82">
        <f t="shared" si="1243"/>
        <v>12.82</v>
      </c>
      <c r="FM74" s="371">
        <f t="shared" si="1243"/>
        <v>4</v>
      </c>
      <c r="FN74" s="369">
        <f t="shared" si="921"/>
        <v>132.60530421216848</v>
      </c>
      <c r="FO74" s="370">
        <f t="shared" si="922"/>
        <v>3.2050000000000001</v>
      </c>
      <c r="FQ74" s="379">
        <f t="shared" si="1244"/>
        <v>1600</v>
      </c>
      <c r="FR74" s="369">
        <f t="shared" si="1244"/>
        <v>10.360000000000001</v>
      </c>
      <c r="FS74" s="371">
        <f t="shared" si="1244"/>
        <v>5</v>
      </c>
      <c r="FT74" s="369">
        <f t="shared" si="1367"/>
        <v>154.44015444015443</v>
      </c>
      <c r="FU74" s="370">
        <f t="shared" si="1368"/>
        <v>2.0720000000000001</v>
      </c>
      <c r="FV74" s="178"/>
      <c r="FW74" s="91">
        <f t="shared" si="1245"/>
        <v>1950</v>
      </c>
      <c r="FX74" s="82">
        <f t="shared" si="1245"/>
        <v>14.739999999999998</v>
      </c>
      <c r="FY74" s="371">
        <f t="shared" si="1245"/>
        <v>5</v>
      </c>
      <c r="FZ74" s="369">
        <f t="shared" si="1369"/>
        <v>132.2930800542741</v>
      </c>
      <c r="GA74" s="370">
        <f t="shared" si="1370"/>
        <v>2.9479999999999995</v>
      </c>
      <c r="GC74" s="91">
        <f t="shared" si="1246"/>
        <v>800</v>
      </c>
      <c r="GD74" s="369">
        <f t="shared" si="1246"/>
        <v>9.8899999999999988</v>
      </c>
      <c r="GE74" s="371">
        <f t="shared" si="1246"/>
        <v>5</v>
      </c>
      <c r="GF74" s="369">
        <f t="shared" si="1371"/>
        <v>80.889787664307391</v>
      </c>
      <c r="GG74" s="370">
        <f t="shared" si="1372"/>
        <v>1.9779999999999998</v>
      </c>
      <c r="GI74" s="91">
        <f t="shared" si="1248"/>
        <v>1500</v>
      </c>
      <c r="GJ74" s="82">
        <f t="shared" si="1248"/>
        <v>14.24</v>
      </c>
      <c r="GK74" s="79">
        <f t="shared" si="1248"/>
        <v>5</v>
      </c>
      <c r="GL74" s="82">
        <f t="shared" si="1373"/>
        <v>105.33707865168539</v>
      </c>
      <c r="GM74" s="84">
        <f t="shared" si="1374"/>
        <v>2.8479999999999999</v>
      </c>
      <c r="GO74" s="91">
        <f t="shared" si="1249"/>
        <v>1000</v>
      </c>
      <c r="GP74" s="82">
        <f t="shared" si="1249"/>
        <v>8.5100000000000016</v>
      </c>
      <c r="GQ74" s="371">
        <f t="shared" si="1249"/>
        <v>5</v>
      </c>
      <c r="GR74" s="369">
        <f t="shared" si="1375"/>
        <v>117.50881316098705</v>
      </c>
      <c r="GS74" s="370">
        <f t="shared" si="1376"/>
        <v>1.7020000000000004</v>
      </c>
      <c r="GU74" s="91">
        <f t="shared" si="1251"/>
        <v>1150</v>
      </c>
      <c r="GV74" s="82">
        <f t="shared" si="1251"/>
        <v>17.14</v>
      </c>
      <c r="GW74" s="79">
        <f t="shared" si="1251"/>
        <v>5</v>
      </c>
      <c r="GX74" s="82">
        <f t="shared" si="1377"/>
        <v>67.094515752625441</v>
      </c>
      <c r="GY74" s="84">
        <f t="shared" si="1378"/>
        <v>3.4279999999999999</v>
      </c>
      <c r="HA74" s="91">
        <f t="shared" si="1252"/>
        <v>1150</v>
      </c>
      <c r="HB74" s="82">
        <f t="shared" si="1252"/>
        <v>16.100000000000001</v>
      </c>
      <c r="HC74" s="79">
        <f t="shared" si="1252"/>
        <v>5</v>
      </c>
      <c r="HD74" s="369">
        <f t="shared" si="935"/>
        <v>71.428571428571416</v>
      </c>
      <c r="HE74" s="370">
        <f t="shared" si="936"/>
        <v>3.22</v>
      </c>
      <c r="HG74" s="91">
        <f t="shared" si="1253"/>
        <v>900</v>
      </c>
      <c r="HH74" s="82">
        <f t="shared" si="1253"/>
        <v>6.95</v>
      </c>
      <c r="HI74" s="79">
        <f t="shared" si="1253"/>
        <v>1</v>
      </c>
      <c r="HJ74" s="82">
        <f t="shared" si="1405"/>
        <v>129.49640287769785</v>
      </c>
      <c r="HK74" s="84">
        <f t="shared" si="1406"/>
        <v>6.95</v>
      </c>
      <c r="HM74" s="91">
        <f t="shared" si="1254"/>
        <v>0</v>
      </c>
      <c r="HN74" s="82">
        <f t="shared" si="1254"/>
        <v>0</v>
      </c>
      <c r="HO74" s="79">
        <f t="shared" si="1254"/>
        <v>0</v>
      </c>
      <c r="HP74" s="361" t="e">
        <f>HM74/HN74</f>
        <v>#DIV/0!</v>
      </c>
      <c r="HQ74" s="362" t="e">
        <f>HN74/HO74</f>
        <v>#DIV/0!</v>
      </c>
      <c r="HS74" s="91">
        <f t="shared" si="1255"/>
        <v>300</v>
      </c>
      <c r="HT74" s="82">
        <f t="shared" si="1255"/>
        <v>2.12</v>
      </c>
      <c r="HU74" s="371">
        <f t="shared" si="1255"/>
        <v>1</v>
      </c>
      <c r="HV74" s="369">
        <f t="shared" si="1407"/>
        <v>141.50943396226415</v>
      </c>
      <c r="HW74" s="370">
        <f t="shared" si="1408"/>
        <v>2.12</v>
      </c>
      <c r="HX74" s="178"/>
      <c r="HY74" s="91">
        <f t="shared" si="1256"/>
        <v>500</v>
      </c>
      <c r="HZ74" s="82">
        <f t="shared" si="1256"/>
        <v>4.45</v>
      </c>
      <c r="IA74" s="371">
        <f t="shared" si="1256"/>
        <v>3</v>
      </c>
      <c r="IB74" s="369">
        <f t="shared" si="1381"/>
        <v>112.35955056179775</v>
      </c>
      <c r="IC74" s="370">
        <f t="shared" si="1382"/>
        <v>1.4833333333333334</v>
      </c>
      <c r="IE74" s="91">
        <f t="shared" si="1257"/>
        <v>1600</v>
      </c>
      <c r="IF74" s="82">
        <f t="shared" si="1257"/>
        <v>7.78</v>
      </c>
      <c r="IG74" s="371">
        <f t="shared" si="1257"/>
        <v>5</v>
      </c>
      <c r="IH74" s="369">
        <f t="shared" si="1383"/>
        <v>205.65552699228792</v>
      </c>
      <c r="II74" s="370">
        <f t="shared" si="1384"/>
        <v>1.556</v>
      </c>
      <c r="IJ74" s="178"/>
      <c r="IK74" s="379">
        <f t="shared" si="1258"/>
        <v>1550</v>
      </c>
      <c r="IL74" s="369">
        <f t="shared" si="1258"/>
        <v>13.36</v>
      </c>
      <c r="IM74" s="371">
        <f t="shared" si="1258"/>
        <v>5</v>
      </c>
      <c r="IN74" s="369">
        <f t="shared" si="1385"/>
        <v>116.0179640718563</v>
      </c>
      <c r="IO74" s="370">
        <f t="shared" si="1386"/>
        <v>2.6719999999999997</v>
      </c>
      <c r="IP74" s="178"/>
      <c r="IQ74" s="379">
        <f t="shared" si="1259"/>
        <v>2500</v>
      </c>
      <c r="IR74" s="369">
        <f t="shared" si="1259"/>
        <v>8.31</v>
      </c>
      <c r="IS74" s="371">
        <f t="shared" si="1259"/>
        <v>5</v>
      </c>
      <c r="IT74" s="369">
        <f t="shared" si="949"/>
        <v>300.84235860409143</v>
      </c>
      <c r="IU74" s="370">
        <f t="shared" si="950"/>
        <v>1.6620000000000001</v>
      </c>
      <c r="IW74" s="379">
        <f t="shared" si="1260"/>
        <v>1150</v>
      </c>
      <c r="IX74" s="369">
        <f t="shared" si="1260"/>
        <v>10.399999999999999</v>
      </c>
      <c r="IY74" s="371">
        <f t="shared" si="1260"/>
        <v>5</v>
      </c>
      <c r="IZ74" s="369">
        <f t="shared" si="951"/>
        <v>110.57692307692309</v>
      </c>
      <c r="JA74" s="370">
        <f t="shared" si="952"/>
        <v>2.0799999999999996</v>
      </c>
      <c r="JC74" s="379">
        <f t="shared" si="1261"/>
        <v>1650</v>
      </c>
      <c r="JD74" s="369">
        <f t="shared" si="1261"/>
        <v>16.500000000000004</v>
      </c>
      <c r="JE74" s="371">
        <f t="shared" si="1261"/>
        <v>5</v>
      </c>
      <c r="JF74" s="369">
        <f t="shared" si="953"/>
        <v>99.999999999999972</v>
      </c>
      <c r="JG74" s="370">
        <f t="shared" si="954"/>
        <v>3.3000000000000007</v>
      </c>
      <c r="JI74" s="379">
        <f t="shared" si="1262"/>
        <v>0</v>
      </c>
      <c r="JJ74" s="369">
        <f t="shared" si="1262"/>
        <v>0</v>
      </c>
      <c r="JK74" s="371">
        <f t="shared" si="1262"/>
        <v>0</v>
      </c>
      <c r="JL74" s="369" t="e">
        <f t="shared" si="955"/>
        <v>#DIV/0!</v>
      </c>
      <c r="JM74" s="370" t="e">
        <f t="shared" si="956"/>
        <v>#DIV/0!</v>
      </c>
      <c r="JO74" s="379">
        <f t="shared" si="1263"/>
        <v>1500</v>
      </c>
      <c r="JP74" s="369">
        <f t="shared" si="1263"/>
        <v>21.819999999999997</v>
      </c>
      <c r="JQ74" s="371">
        <f t="shared" si="1263"/>
        <v>5</v>
      </c>
      <c r="JR74" s="369">
        <f t="shared" si="957"/>
        <v>68.744271310724116</v>
      </c>
      <c r="JS74" s="370">
        <f t="shared" si="958"/>
        <v>4.363999999999999</v>
      </c>
      <c r="JU74" s="379">
        <f t="shared" si="1046"/>
        <v>0</v>
      </c>
      <c r="JV74" s="369">
        <f t="shared" si="1046"/>
        <v>0</v>
      </c>
      <c r="JW74" s="371">
        <f t="shared" si="1046"/>
        <v>0</v>
      </c>
      <c r="JX74" s="369" t="e">
        <f t="shared" si="959"/>
        <v>#DIV/0!</v>
      </c>
      <c r="JY74" s="370" t="e">
        <f t="shared" si="960"/>
        <v>#DIV/0!</v>
      </c>
      <c r="KA74" s="379">
        <f t="shared" si="1130"/>
        <v>0</v>
      </c>
      <c r="KB74" s="369">
        <f t="shared" si="1130"/>
        <v>0</v>
      </c>
      <c r="KC74" s="371">
        <f t="shared" si="1264"/>
        <v>0</v>
      </c>
      <c r="KD74" s="369" t="e">
        <f t="shared" si="961"/>
        <v>#DIV/0!</v>
      </c>
      <c r="KE74" s="370" t="e">
        <f t="shared" si="962"/>
        <v>#DIV/0!</v>
      </c>
      <c r="KG74" s="379">
        <f t="shared" ref="KG74:KH74" si="1427">SUM(KG36)</f>
        <v>1050</v>
      </c>
      <c r="KH74" s="369">
        <f t="shared" si="1427"/>
        <v>7.49</v>
      </c>
      <c r="KI74" s="371">
        <f t="shared" si="1265"/>
        <v>5</v>
      </c>
      <c r="KJ74" s="369">
        <f t="shared" si="963"/>
        <v>140.18691588785046</v>
      </c>
      <c r="KK74" s="370">
        <f t="shared" si="964"/>
        <v>1.498</v>
      </c>
      <c r="KM74" s="379">
        <f t="shared" ref="KM74:KO74" si="1428">SUM(KM36)</f>
        <v>0</v>
      </c>
      <c r="KN74" s="369">
        <f t="shared" si="1428"/>
        <v>0</v>
      </c>
      <c r="KO74" s="371">
        <f t="shared" si="1428"/>
        <v>0</v>
      </c>
      <c r="KP74" s="369" t="e">
        <f t="shared" si="965"/>
        <v>#DIV/0!</v>
      </c>
      <c r="KQ74" s="370" t="e">
        <f t="shared" si="966"/>
        <v>#DIV/0!</v>
      </c>
      <c r="KS74" s="379">
        <f t="shared" ref="KS74:KU74" si="1429">SUM(KS36)</f>
        <v>0</v>
      </c>
      <c r="KT74" s="369">
        <f t="shared" si="1429"/>
        <v>0</v>
      </c>
      <c r="KU74" s="371">
        <f t="shared" si="1429"/>
        <v>0</v>
      </c>
      <c r="KV74" s="369" t="e">
        <f t="shared" si="967"/>
        <v>#DIV/0!</v>
      </c>
      <c r="KW74" s="370" t="e">
        <f t="shared" si="968"/>
        <v>#DIV/0!</v>
      </c>
      <c r="KY74" s="379">
        <f t="shared" ref="KY74:LA74" si="1430">SUM(KY36)</f>
        <v>0</v>
      </c>
      <c r="KZ74" s="369">
        <f t="shared" si="1430"/>
        <v>0</v>
      </c>
      <c r="LA74" s="371">
        <f t="shared" si="1430"/>
        <v>0</v>
      </c>
      <c r="LB74" s="369" t="e">
        <f t="shared" si="969"/>
        <v>#DIV/0!</v>
      </c>
      <c r="LC74" s="370" t="e">
        <f t="shared" si="970"/>
        <v>#DIV/0!</v>
      </c>
      <c r="LE74" s="379">
        <f t="shared" ref="LE74:LG74" si="1431">SUM(LE36)</f>
        <v>0</v>
      </c>
      <c r="LF74" s="369">
        <f t="shared" si="1431"/>
        <v>0</v>
      </c>
      <c r="LG74" s="371">
        <f t="shared" si="1431"/>
        <v>0</v>
      </c>
      <c r="LH74" s="369" t="e">
        <f t="shared" si="971"/>
        <v>#DIV/0!</v>
      </c>
      <c r="LI74" s="370" t="e">
        <f t="shared" si="972"/>
        <v>#DIV/0!</v>
      </c>
      <c r="LK74" s="379">
        <f t="shared" ref="LK74:LM74" si="1432">SUM(LK36)</f>
        <v>0</v>
      </c>
      <c r="LL74" s="369">
        <f t="shared" si="1432"/>
        <v>0</v>
      </c>
      <c r="LM74" s="371">
        <f t="shared" si="1432"/>
        <v>0</v>
      </c>
      <c r="LN74" s="369" t="e">
        <f t="shared" si="973"/>
        <v>#DIV/0!</v>
      </c>
      <c r="LO74" s="370" t="e">
        <f t="shared" si="974"/>
        <v>#DIV/0!</v>
      </c>
      <c r="LQ74" s="379">
        <f t="shared" ref="LQ74:LS74" si="1433">SUM(LQ36)</f>
        <v>1200</v>
      </c>
      <c r="LR74" s="369">
        <f t="shared" si="1433"/>
        <v>9.98</v>
      </c>
      <c r="LS74" s="371">
        <f t="shared" si="1433"/>
        <v>5</v>
      </c>
      <c r="LT74" s="369">
        <f t="shared" si="975"/>
        <v>120.24048096192384</v>
      </c>
      <c r="LU74" s="370">
        <f t="shared" si="976"/>
        <v>1.996</v>
      </c>
      <c r="LW74" s="379">
        <f t="shared" ref="LW74:LY74" si="1434">SUM(LW36)</f>
        <v>1700</v>
      </c>
      <c r="LX74" s="369">
        <f t="shared" si="1434"/>
        <v>16.16</v>
      </c>
      <c r="LY74" s="371">
        <f t="shared" si="1434"/>
        <v>5</v>
      </c>
      <c r="LZ74" s="369">
        <f t="shared" si="977"/>
        <v>105.19801980198019</v>
      </c>
      <c r="MA74" s="370">
        <f t="shared" si="978"/>
        <v>3.2320000000000002</v>
      </c>
      <c r="MC74" s="379">
        <f t="shared" ref="MC74:ME74" si="1435">SUM(MC36)</f>
        <v>900</v>
      </c>
      <c r="MD74" s="369">
        <f t="shared" si="1435"/>
        <v>12.459999999999999</v>
      </c>
      <c r="ME74" s="371">
        <f t="shared" si="1435"/>
        <v>5</v>
      </c>
      <c r="MF74" s="369">
        <f t="shared" si="979"/>
        <v>72.231139646869991</v>
      </c>
      <c r="MG74" s="370">
        <f t="shared" si="980"/>
        <v>2.492</v>
      </c>
      <c r="MI74" s="379">
        <f t="shared" ref="MI74:MK74" si="1436">SUM(MI36)</f>
        <v>1300</v>
      </c>
      <c r="MJ74" s="369">
        <f t="shared" si="1436"/>
        <v>19.18</v>
      </c>
      <c r="MK74" s="371">
        <f t="shared" si="1436"/>
        <v>5</v>
      </c>
      <c r="ML74" s="369">
        <f t="shared" si="981"/>
        <v>67.778936392075082</v>
      </c>
      <c r="MM74" s="370">
        <f t="shared" si="982"/>
        <v>3.8359999999999999</v>
      </c>
      <c r="MO74" s="379">
        <f t="shared" ref="MO74:MQ74" si="1437">SUM(MO36)</f>
        <v>0</v>
      </c>
      <c r="MP74" s="369">
        <f t="shared" si="1437"/>
        <v>0</v>
      </c>
      <c r="MQ74" s="371">
        <f t="shared" si="1437"/>
        <v>0</v>
      </c>
      <c r="MR74" s="369" t="e">
        <f t="shared" si="983"/>
        <v>#DIV/0!</v>
      </c>
      <c r="MS74" s="370" t="e">
        <f t="shared" si="984"/>
        <v>#DIV/0!</v>
      </c>
      <c r="MU74" s="379">
        <f t="shared" ref="MU74:MW74" si="1438">SUM(MU36)</f>
        <v>0</v>
      </c>
      <c r="MV74" s="369">
        <f t="shared" si="1438"/>
        <v>0</v>
      </c>
      <c r="MW74" s="371">
        <f t="shared" si="1438"/>
        <v>0</v>
      </c>
      <c r="MX74" s="369" t="e">
        <f t="shared" si="985"/>
        <v>#DIV/0!</v>
      </c>
      <c r="MY74" s="370" t="e">
        <f t="shared" si="986"/>
        <v>#DIV/0!</v>
      </c>
      <c r="NA74" s="755">
        <f t="shared" ref="NA74:NC74" si="1439">SUM(NA36)</f>
        <v>1400</v>
      </c>
      <c r="NB74" s="384">
        <f t="shared" si="1439"/>
        <v>36.820000000000007</v>
      </c>
      <c r="NC74" s="384">
        <f t="shared" si="1439"/>
        <v>5</v>
      </c>
      <c r="ND74" s="369">
        <f t="shared" si="987"/>
        <v>38.022813688212921</v>
      </c>
      <c r="NE74" s="370">
        <f t="shared" si="988"/>
        <v>7.3640000000000017</v>
      </c>
      <c r="NG74" s="379">
        <f t="shared" ref="NG74:NI74" si="1440">SUM(NG36)</f>
        <v>1500</v>
      </c>
      <c r="NH74" s="369">
        <f t="shared" si="1440"/>
        <v>12.3</v>
      </c>
      <c r="NI74" s="371">
        <f t="shared" si="1440"/>
        <v>5</v>
      </c>
      <c r="NJ74" s="369">
        <f t="shared" si="989"/>
        <v>121.95121951219511</v>
      </c>
      <c r="NK74" s="370">
        <f t="shared" si="990"/>
        <v>2.46</v>
      </c>
      <c r="NM74" s="379">
        <f t="shared" ref="NM74:NO74" si="1441">SUM(NM36)</f>
        <v>300</v>
      </c>
      <c r="NN74" s="369">
        <f t="shared" si="1441"/>
        <v>2.27</v>
      </c>
      <c r="NO74" s="371">
        <f t="shared" si="1441"/>
        <v>2</v>
      </c>
      <c r="NP74" s="369">
        <f t="shared" si="991"/>
        <v>132.15859030837004</v>
      </c>
      <c r="NQ74" s="370">
        <f t="shared" si="992"/>
        <v>1.135</v>
      </c>
      <c r="NS74" s="379">
        <f t="shared" ref="NS74:NU74" si="1442">SUM(NS36)</f>
        <v>650</v>
      </c>
      <c r="NT74" s="369">
        <f t="shared" si="1442"/>
        <v>12.32</v>
      </c>
      <c r="NU74" s="371">
        <f t="shared" si="1442"/>
        <v>5</v>
      </c>
      <c r="NV74" s="369">
        <f t="shared" si="993"/>
        <v>52.759740259740262</v>
      </c>
      <c r="NW74" s="370">
        <f t="shared" si="994"/>
        <v>2.464</v>
      </c>
      <c r="NY74" s="379">
        <f t="shared" ref="NY74:OA74" si="1443">SUM(NY36)</f>
        <v>1500</v>
      </c>
      <c r="NZ74" s="369">
        <f t="shared" si="1443"/>
        <v>13.639999999999999</v>
      </c>
      <c r="OA74" s="371">
        <f t="shared" si="1443"/>
        <v>5</v>
      </c>
      <c r="OB74" s="369">
        <f t="shared" si="995"/>
        <v>109.97067448680353</v>
      </c>
      <c r="OC74" s="370">
        <f t="shared" si="996"/>
        <v>2.7279999999999998</v>
      </c>
      <c r="OE74" s="379">
        <f t="shared" ref="OE74:OG74" si="1444">SUM(OE36)</f>
        <v>1600</v>
      </c>
      <c r="OF74" s="369">
        <f t="shared" si="1444"/>
        <v>10.86</v>
      </c>
      <c r="OG74" s="371">
        <f t="shared" si="1444"/>
        <v>5</v>
      </c>
      <c r="OH74" s="369">
        <f t="shared" si="997"/>
        <v>147.32965009208104</v>
      </c>
      <c r="OI74" s="370">
        <f t="shared" si="998"/>
        <v>2.1719999999999997</v>
      </c>
    </row>
    <row r="75" spans="1:399">
      <c r="A75" s="69"/>
      <c r="B75" s="71" t="s">
        <v>40</v>
      </c>
      <c r="C75" s="60"/>
      <c r="D75" s="58" t="s">
        <v>36</v>
      </c>
      <c r="E75" s="79">
        <f t="shared" si="1167"/>
        <v>1000</v>
      </c>
      <c r="F75" s="82">
        <f t="shared" si="1167"/>
        <v>3.95</v>
      </c>
      <c r="G75" s="79">
        <f t="shared" si="1167"/>
        <v>5</v>
      </c>
      <c r="H75" s="82">
        <f t="shared" si="1301"/>
        <v>253.1645569620253</v>
      </c>
      <c r="I75" s="84">
        <f t="shared" si="1302"/>
        <v>0.79</v>
      </c>
      <c r="J75" s="589"/>
      <c r="K75" s="79">
        <f t="shared" si="1170"/>
        <v>1250</v>
      </c>
      <c r="L75" s="82">
        <f t="shared" si="1170"/>
        <v>2.59</v>
      </c>
      <c r="M75" s="79">
        <f t="shared" si="1170"/>
        <v>5</v>
      </c>
      <c r="N75" s="82">
        <f t="shared" si="1303"/>
        <v>482.62548262548268</v>
      </c>
      <c r="O75" s="84">
        <f t="shared" si="1304"/>
        <v>0.51800000000000002</v>
      </c>
      <c r="P75" s="589"/>
      <c r="Q75" s="79">
        <f t="shared" si="1173"/>
        <v>900</v>
      </c>
      <c r="R75" s="82">
        <f t="shared" si="1173"/>
        <v>5.2</v>
      </c>
      <c r="S75" s="79">
        <f t="shared" si="1173"/>
        <v>5</v>
      </c>
      <c r="T75" s="82">
        <f t="shared" si="1305"/>
        <v>173.07692307692307</v>
      </c>
      <c r="U75" s="84">
        <f t="shared" si="1306"/>
        <v>1.04</v>
      </c>
      <c r="V75" s="589"/>
      <c r="W75" s="79">
        <f t="shared" si="1176"/>
        <v>1150</v>
      </c>
      <c r="X75" s="82">
        <f t="shared" si="1176"/>
        <v>3.5700000000000003</v>
      </c>
      <c r="Y75" s="79">
        <f t="shared" si="1176"/>
        <v>5</v>
      </c>
      <c r="Z75" s="82">
        <f t="shared" si="1307"/>
        <v>322.12885154061621</v>
      </c>
      <c r="AA75" s="84">
        <f t="shared" si="1308"/>
        <v>0.71400000000000008</v>
      </c>
      <c r="AB75" s="589"/>
      <c r="AC75" s="79">
        <f t="shared" si="1179"/>
        <v>1050</v>
      </c>
      <c r="AD75" s="82">
        <f t="shared" si="1179"/>
        <v>4.3</v>
      </c>
      <c r="AE75" s="79">
        <f t="shared" si="1179"/>
        <v>5</v>
      </c>
      <c r="AF75" s="82">
        <f t="shared" si="1309"/>
        <v>244.18604651162792</v>
      </c>
      <c r="AG75" s="84">
        <f t="shared" si="1310"/>
        <v>0.86</v>
      </c>
      <c r="AH75" s="589"/>
      <c r="AI75" s="79">
        <f t="shared" si="1182"/>
        <v>0</v>
      </c>
      <c r="AJ75" s="82">
        <f t="shared" si="1182"/>
        <v>0</v>
      </c>
      <c r="AK75" s="79">
        <f t="shared" si="1182"/>
        <v>0</v>
      </c>
      <c r="AL75" s="82" t="e">
        <f t="shared" si="1311"/>
        <v>#DIV/0!</v>
      </c>
      <c r="AM75" s="84" t="e">
        <f t="shared" si="1312"/>
        <v>#DIV/0!</v>
      </c>
      <c r="AN75" s="589"/>
      <c r="AO75" s="79">
        <f t="shared" si="1185"/>
        <v>1000</v>
      </c>
      <c r="AP75" s="82">
        <f t="shared" si="1185"/>
        <v>3.55</v>
      </c>
      <c r="AQ75" s="79">
        <f t="shared" si="1185"/>
        <v>5</v>
      </c>
      <c r="AR75" s="82">
        <f t="shared" si="1313"/>
        <v>281.69014084507046</v>
      </c>
      <c r="AS75" s="84">
        <f t="shared" si="1314"/>
        <v>0.71</v>
      </c>
      <c r="AT75" s="589"/>
      <c r="AU75" s="79">
        <f t="shared" si="1188"/>
        <v>900</v>
      </c>
      <c r="AV75" s="82">
        <f t="shared" si="1188"/>
        <v>3.46</v>
      </c>
      <c r="AW75" s="79">
        <f t="shared" si="1188"/>
        <v>5</v>
      </c>
      <c r="AX75" s="82">
        <f t="shared" si="1315"/>
        <v>260.11560693641621</v>
      </c>
      <c r="AY75" s="84">
        <f t="shared" si="1316"/>
        <v>0.69199999999999995</v>
      </c>
      <c r="AZ75" s="84"/>
      <c r="BA75" s="79">
        <f t="shared" si="1191"/>
        <v>700</v>
      </c>
      <c r="BB75" s="82">
        <f t="shared" si="1191"/>
        <v>4.79</v>
      </c>
      <c r="BC75" s="79">
        <f t="shared" si="1191"/>
        <v>5</v>
      </c>
      <c r="BD75" s="82">
        <f t="shared" si="1317"/>
        <v>146.13778705636744</v>
      </c>
      <c r="BE75" s="84">
        <f t="shared" si="1318"/>
        <v>0.95799999999999996</v>
      </c>
      <c r="BF75" s="84"/>
      <c r="BG75" s="79">
        <f t="shared" si="1194"/>
        <v>0</v>
      </c>
      <c r="BH75" s="82">
        <f t="shared" si="1194"/>
        <v>0</v>
      </c>
      <c r="BI75" s="79">
        <f t="shared" si="1194"/>
        <v>0</v>
      </c>
      <c r="BJ75" s="82" t="e">
        <f t="shared" si="1319"/>
        <v>#DIV/0!</v>
      </c>
      <c r="BK75" s="84" t="e">
        <f t="shared" si="1320"/>
        <v>#DIV/0!</v>
      </c>
      <c r="BL75" s="84"/>
      <c r="BM75" s="79">
        <f t="shared" si="1197"/>
        <v>0</v>
      </c>
      <c r="BN75" s="82">
        <f t="shared" si="1197"/>
        <v>0</v>
      </c>
      <c r="BO75" s="79">
        <f t="shared" si="1197"/>
        <v>0</v>
      </c>
      <c r="BP75" s="82" t="e">
        <f t="shared" si="1321"/>
        <v>#DIV/0!</v>
      </c>
      <c r="BQ75" s="84" t="e">
        <f t="shared" si="1322"/>
        <v>#DIV/0!</v>
      </c>
      <c r="BR75" s="589"/>
      <c r="BS75" s="79">
        <f t="shared" si="1200"/>
        <v>600</v>
      </c>
      <c r="BT75" s="82">
        <f t="shared" si="1200"/>
        <v>10.96</v>
      </c>
      <c r="BU75" s="79">
        <f t="shared" si="1200"/>
        <v>5</v>
      </c>
      <c r="BV75" s="82">
        <f t="shared" si="1323"/>
        <v>54.744525547445249</v>
      </c>
      <c r="BW75" s="84">
        <f t="shared" si="1324"/>
        <v>2.1920000000000002</v>
      </c>
      <c r="BX75" s="84"/>
      <c r="BY75" s="79">
        <f t="shared" si="1203"/>
        <v>600</v>
      </c>
      <c r="BZ75" s="82">
        <f t="shared" si="1203"/>
        <v>3.46</v>
      </c>
      <c r="CA75" s="79">
        <f t="shared" si="1203"/>
        <v>5</v>
      </c>
      <c r="CB75" s="82">
        <f t="shared" si="1325"/>
        <v>173.41040462427745</v>
      </c>
      <c r="CC75" s="84">
        <f t="shared" si="1326"/>
        <v>0.69199999999999995</v>
      </c>
      <c r="CD75" s="84"/>
      <c r="CE75" s="79">
        <f t="shared" si="1206"/>
        <v>0</v>
      </c>
      <c r="CF75" s="82">
        <f t="shared" si="1206"/>
        <v>0</v>
      </c>
      <c r="CG75" s="79">
        <f t="shared" si="1206"/>
        <v>0</v>
      </c>
      <c r="CH75" s="82" t="e">
        <f t="shared" si="1327"/>
        <v>#DIV/0!</v>
      </c>
      <c r="CI75" s="84" t="e">
        <f t="shared" si="1328"/>
        <v>#DIV/0!</v>
      </c>
      <c r="CJ75" s="84"/>
      <c r="CK75" s="79">
        <f t="shared" si="1209"/>
        <v>500</v>
      </c>
      <c r="CL75" s="82">
        <f t="shared" si="1209"/>
        <v>6.11</v>
      </c>
      <c r="CM75" s="79">
        <f t="shared" si="1209"/>
        <v>5</v>
      </c>
      <c r="CN75" s="82">
        <f t="shared" si="1329"/>
        <v>81.833060556464801</v>
      </c>
      <c r="CO75" s="84">
        <f t="shared" si="1330"/>
        <v>1.222</v>
      </c>
      <c r="CP75" s="84"/>
      <c r="CQ75" s="79">
        <f t="shared" si="1212"/>
        <v>0</v>
      </c>
      <c r="CR75" s="82">
        <f t="shared" si="1212"/>
        <v>0</v>
      </c>
      <c r="CS75" s="79">
        <f t="shared" si="1212"/>
        <v>0</v>
      </c>
      <c r="CT75" s="82" t="e">
        <f t="shared" si="1331"/>
        <v>#DIV/0!</v>
      </c>
      <c r="CU75" s="84" t="e">
        <f t="shared" si="1332"/>
        <v>#DIV/0!</v>
      </c>
      <c r="CV75" s="84"/>
      <c r="CW75" s="79">
        <f t="shared" si="1215"/>
        <v>600</v>
      </c>
      <c r="CX75" s="82">
        <f t="shared" si="1215"/>
        <v>3.46</v>
      </c>
      <c r="CY75" s="79">
        <f t="shared" si="1215"/>
        <v>5</v>
      </c>
      <c r="CZ75" s="82">
        <f t="shared" si="1333"/>
        <v>173.41040462427745</v>
      </c>
      <c r="DA75" s="84">
        <f t="shared" si="1334"/>
        <v>0.69199999999999995</v>
      </c>
      <c r="DB75" s="84"/>
      <c r="DC75" s="79">
        <f t="shared" si="1218"/>
        <v>750</v>
      </c>
      <c r="DD75" s="82">
        <f t="shared" si="1218"/>
        <v>12.02</v>
      </c>
      <c r="DE75" s="79">
        <f t="shared" si="1218"/>
        <v>5</v>
      </c>
      <c r="DF75" s="82">
        <f t="shared" si="1335"/>
        <v>62.396006655574048</v>
      </c>
      <c r="DG75" s="84">
        <f t="shared" si="1336"/>
        <v>2.4039999999999999</v>
      </c>
      <c r="DH75" s="84"/>
      <c r="DI75" s="79">
        <f t="shared" si="1221"/>
        <v>800</v>
      </c>
      <c r="DJ75" s="82">
        <f t="shared" si="1221"/>
        <v>3.97</v>
      </c>
      <c r="DK75" s="79">
        <f t="shared" si="1221"/>
        <v>5</v>
      </c>
      <c r="DL75" s="82">
        <f t="shared" si="1337"/>
        <v>201.51133501259446</v>
      </c>
      <c r="DM75" s="84">
        <f t="shared" si="1338"/>
        <v>0.79400000000000004</v>
      </c>
      <c r="DN75" s="84"/>
      <c r="DO75" s="79">
        <f t="shared" si="1224"/>
        <v>800</v>
      </c>
      <c r="DP75" s="82">
        <f t="shared" si="1224"/>
        <v>3.54</v>
      </c>
      <c r="DQ75" s="79">
        <f t="shared" si="1224"/>
        <v>5</v>
      </c>
      <c r="DR75" s="82">
        <f t="shared" si="1339"/>
        <v>225.98870056497174</v>
      </c>
      <c r="DS75" s="84">
        <f t="shared" si="1340"/>
        <v>0.70799999999999996</v>
      </c>
      <c r="DT75" s="84"/>
      <c r="DU75" s="79">
        <f t="shared" si="1227"/>
        <v>0</v>
      </c>
      <c r="DV75" s="82">
        <f t="shared" si="1227"/>
        <v>0</v>
      </c>
      <c r="DW75" s="79">
        <f t="shared" si="1227"/>
        <v>0</v>
      </c>
      <c r="DX75" s="82" t="e">
        <f t="shared" si="1341"/>
        <v>#DIV/0!</v>
      </c>
      <c r="DY75" s="84" t="e">
        <f t="shared" si="1342"/>
        <v>#DIV/0!</v>
      </c>
      <c r="DZ75" s="84"/>
      <c r="EA75" s="79">
        <f t="shared" si="1230"/>
        <v>0</v>
      </c>
      <c r="EB75" s="82">
        <f t="shared" si="1230"/>
        <v>0</v>
      </c>
      <c r="EC75" s="79">
        <f t="shared" si="1230"/>
        <v>0</v>
      </c>
      <c r="ED75" s="82" t="e">
        <f t="shared" si="1343"/>
        <v>#DIV/0!</v>
      </c>
      <c r="EE75" s="84" t="e">
        <f t="shared" si="1344"/>
        <v>#DIV/0!</v>
      </c>
      <c r="EF75" s="84"/>
      <c r="EG75" s="79">
        <f t="shared" si="1233"/>
        <v>0</v>
      </c>
      <c r="EH75" s="82">
        <f t="shared" si="1233"/>
        <v>0</v>
      </c>
      <c r="EI75" s="79">
        <f t="shared" si="1233"/>
        <v>0</v>
      </c>
      <c r="EJ75" s="82" t="e">
        <f t="shared" si="1345"/>
        <v>#DIV/0!</v>
      </c>
      <c r="EK75" s="84" t="e">
        <f t="shared" si="1346"/>
        <v>#DIV/0!</v>
      </c>
      <c r="EL75" s="84"/>
      <c r="EM75" s="79">
        <f t="shared" si="1236"/>
        <v>0</v>
      </c>
      <c r="EN75" s="82">
        <f t="shared" si="1236"/>
        <v>0</v>
      </c>
      <c r="EO75" s="79">
        <f t="shared" si="1236"/>
        <v>0</v>
      </c>
      <c r="EP75" s="82" t="e">
        <f t="shared" si="1347"/>
        <v>#DIV/0!</v>
      </c>
      <c r="EQ75" s="84" t="e">
        <f t="shared" si="1348"/>
        <v>#DIV/0!</v>
      </c>
      <c r="ER75" s="589"/>
      <c r="ES75" s="79">
        <f t="shared" si="1239"/>
        <v>600</v>
      </c>
      <c r="ET75" s="82">
        <f t="shared" si="1239"/>
        <v>3.46</v>
      </c>
      <c r="EU75" s="79">
        <f t="shared" si="1239"/>
        <v>5</v>
      </c>
      <c r="EV75" s="82">
        <f t="shared" si="915"/>
        <v>173.41040462427745</v>
      </c>
      <c r="EW75" s="84">
        <f t="shared" si="916"/>
        <v>0.69199999999999995</v>
      </c>
      <c r="EY75" s="91">
        <f t="shared" si="1240"/>
        <v>750</v>
      </c>
      <c r="EZ75" s="369">
        <f t="shared" si="1240"/>
        <v>8</v>
      </c>
      <c r="FA75" s="371">
        <f t="shared" si="1240"/>
        <v>5</v>
      </c>
      <c r="FB75" s="369">
        <f t="shared" si="917"/>
        <v>93.75</v>
      </c>
      <c r="FC75" s="370">
        <f t="shared" si="918"/>
        <v>1.6</v>
      </c>
      <c r="FE75" s="91">
        <f t="shared" si="1242"/>
        <v>900</v>
      </c>
      <c r="FF75" s="82">
        <f t="shared" si="1242"/>
        <v>5.2</v>
      </c>
      <c r="FG75" s="79">
        <f t="shared" si="1242"/>
        <v>5</v>
      </c>
      <c r="FH75" s="94">
        <f t="shared" si="919"/>
        <v>173.07692307692307</v>
      </c>
      <c r="FI75" s="84">
        <f t="shared" si="920"/>
        <v>1.04</v>
      </c>
      <c r="FK75" s="91">
        <f t="shared" si="1243"/>
        <v>500</v>
      </c>
      <c r="FL75" s="82">
        <f t="shared" si="1243"/>
        <v>6.84</v>
      </c>
      <c r="FM75" s="371">
        <f t="shared" si="1243"/>
        <v>5</v>
      </c>
      <c r="FN75" s="369">
        <f t="shared" si="921"/>
        <v>73.099415204678365</v>
      </c>
      <c r="FO75" s="370">
        <f t="shared" si="922"/>
        <v>1.3679999999999999</v>
      </c>
      <c r="FQ75" s="91">
        <f t="shared" si="1244"/>
        <v>500</v>
      </c>
      <c r="FR75" s="82">
        <f t="shared" si="1244"/>
        <v>5.83</v>
      </c>
      <c r="FS75" s="79">
        <f t="shared" si="1244"/>
        <v>5</v>
      </c>
      <c r="FT75" s="82">
        <f t="shared" si="1367"/>
        <v>85.763293310463126</v>
      </c>
      <c r="FU75" s="84">
        <f t="shared" si="1368"/>
        <v>1.1659999999999999</v>
      </c>
      <c r="FW75" s="91">
        <f t="shared" si="1245"/>
        <v>1000</v>
      </c>
      <c r="FX75" s="82">
        <f t="shared" si="1245"/>
        <v>5.6400000000000006</v>
      </c>
      <c r="FY75" s="79">
        <f t="shared" si="1245"/>
        <v>5</v>
      </c>
      <c r="FZ75" s="82">
        <f t="shared" si="1369"/>
        <v>177.30496453900707</v>
      </c>
      <c r="GA75" s="84">
        <f t="shared" si="1370"/>
        <v>1.1280000000000001</v>
      </c>
      <c r="GC75" s="91">
        <f t="shared" si="1246"/>
        <v>700</v>
      </c>
      <c r="GD75" s="369">
        <f t="shared" si="1246"/>
        <v>5.29</v>
      </c>
      <c r="GE75" s="371">
        <f t="shared" si="1246"/>
        <v>5</v>
      </c>
      <c r="GF75" s="369">
        <f t="shared" si="1371"/>
        <v>132.32514177693761</v>
      </c>
      <c r="GG75" s="370">
        <f t="shared" si="1372"/>
        <v>1.0580000000000001</v>
      </c>
      <c r="GI75" s="91">
        <f t="shared" si="1248"/>
        <v>800</v>
      </c>
      <c r="GJ75" s="82">
        <f t="shared" si="1248"/>
        <v>3.1999999999999997</v>
      </c>
      <c r="GK75" s="79">
        <f t="shared" si="1248"/>
        <v>5</v>
      </c>
      <c r="GL75" s="82">
        <f t="shared" si="1373"/>
        <v>250.00000000000003</v>
      </c>
      <c r="GM75" s="84">
        <f t="shared" si="1374"/>
        <v>0.6399999999999999</v>
      </c>
      <c r="GO75" s="91">
        <f t="shared" si="1249"/>
        <v>1000</v>
      </c>
      <c r="GP75" s="82">
        <f t="shared" si="1249"/>
        <v>11.319999999999999</v>
      </c>
      <c r="GQ75" s="371">
        <f t="shared" si="1249"/>
        <v>5</v>
      </c>
      <c r="GR75" s="369">
        <f t="shared" si="1375"/>
        <v>88.339222614841006</v>
      </c>
      <c r="GS75" s="370">
        <f t="shared" si="1376"/>
        <v>2.2639999999999998</v>
      </c>
      <c r="GU75" s="91">
        <f t="shared" si="1251"/>
        <v>1000</v>
      </c>
      <c r="GV75" s="82">
        <f t="shared" si="1251"/>
        <v>2.27</v>
      </c>
      <c r="GW75" s="79">
        <f t="shared" si="1251"/>
        <v>5</v>
      </c>
      <c r="GX75" s="82">
        <f t="shared" si="1377"/>
        <v>440.52863436123346</v>
      </c>
      <c r="GY75" s="84">
        <f t="shared" si="1378"/>
        <v>0.45400000000000001</v>
      </c>
      <c r="HA75" s="91">
        <f t="shared" si="1252"/>
        <v>1000</v>
      </c>
      <c r="HB75" s="82">
        <f t="shared" si="1252"/>
        <v>2.91</v>
      </c>
      <c r="HC75" s="79">
        <f t="shared" si="1252"/>
        <v>5</v>
      </c>
      <c r="HD75" s="361">
        <f>IFERROR(HA75/HB75,"0")</f>
        <v>343.64261168384877</v>
      </c>
      <c r="HE75" s="362">
        <f>IFERROR(HB75/HC75,"0")</f>
        <v>0.58200000000000007</v>
      </c>
      <c r="HG75" s="91">
        <f t="shared" si="1253"/>
        <v>800</v>
      </c>
      <c r="HH75" s="82">
        <f t="shared" si="1253"/>
        <v>4.74</v>
      </c>
      <c r="HI75" s="79">
        <f t="shared" si="1253"/>
        <v>4</v>
      </c>
      <c r="HJ75" s="82">
        <f t="shared" si="1405"/>
        <v>168.77637130801688</v>
      </c>
      <c r="HK75" s="84">
        <f t="shared" si="1406"/>
        <v>1.1850000000000001</v>
      </c>
      <c r="HM75" s="91">
        <f t="shared" si="1254"/>
        <v>1000</v>
      </c>
      <c r="HN75" s="82">
        <f t="shared" si="1254"/>
        <v>3.95</v>
      </c>
      <c r="HO75" s="79">
        <f t="shared" si="1254"/>
        <v>5</v>
      </c>
      <c r="HP75" s="369">
        <f t="shared" si="1379"/>
        <v>253.1645569620253</v>
      </c>
      <c r="HQ75" s="370">
        <f t="shared" si="1380"/>
        <v>0.79</v>
      </c>
      <c r="HS75" s="91">
        <f t="shared" si="1255"/>
        <v>1250</v>
      </c>
      <c r="HT75" s="82">
        <f t="shared" si="1255"/>
        <v>2.59</v>
      </c>
      <c r="HU75" s="371">
        <f t="shared" si="1255"/>
        <v>5</v>
      </c>
      <c r="HV75" s="369">
        <f t="shared" si="1407"/>
        <v>482.62548262548268</v>
      </c>
      <c r="HW75" s="370">
        <f t="shared" si="1408"/>
        <v>0.51800000000000002</v>
      </c>
      <c r="HX75" s="178"/>
      <c r="HY75" s="91">
        <f t="shared" si="1256"/>
        <v>300</v>
      </c>
      <c r="HZ75" s="82">
        <f t="shared" si="1256"/>
        <v>4</v>
      </c>
      <c r="IA75" s="371">
        <f t="shared" si="1256"/>
        <v>3</v>
      </c>
      <c r="IB75" s="369">
        <f t="shared" si="1381"/>
        <v>75</v>
      </c>
      <c r="IC75" s="370">
        <f t="shared" si="1382"/>
        <v>1.3333333333333333</v>
      </c>
      <c r="IE75" s="91">
        <f t="shared" si="1257"/>
        <v>500</v>
      </c>
      <c r="IF75" s="82">
        <f t="shared" si="1257"/>
        <v>6.2799999999999994</v>
      </c>
      <c r="IG75" s="371">
        <f t="shared" si="1257"/>
        <v>5</v>
      </c>
      <c r="IH75" s="369">
        <f t="shared" si="1383"/>
        <v>79.617834394904463</v>
      </c>
      <c r="II75" s="370">
        <f t="shared" si="1384"/>
        <v>1.2559999999999998</v>
      </c>
      <c r="IJ75" s="178"/>
      <c r="IK75" s="379">
        <f t="shared" si="1258"/>
        <v>500</v>
      </c>
      <c r="IL75" s="369">
        <f t="shared" si="1258"/>
        <v>6.46</v>
      </c>
      <c r="IM75" s="371">
        <f t="shared" si="1258"/>
        <v>5</v>
      </c>
      <c r="IN75" s="369">
        <f t="shared" si="1385"/>
        <v>77.399380804953566</v>
      </c>
      <c r="IO75" s="370">
        <f t="shared" si="1386"/>
        <v>1.292</v>
      </c>
      <c r="IP75" s="178"/>
      <c r="IQ75" s="379">
        <f t="shared" si="1259"/>
        <v>1000</v>
      </c>
      <c r="IR75" s="369">
        <f t="shared" si="1259"/>
        <v>7.03</v>
      </c>
      <c r="IS75" s="371">
        <f t="shared" si="1259"/>
        <v>5</v>
      </c>
      <c r="IT75" s="369">
        <f t="shared" si="949"/>
        <v>142.24751066856331</v>
      </c>
      <c r="IU75" s="370">
        <f t="shared" si="950"/>
        <v>1.4060000000000001</v>
      </c>
      <c r="IW75" s="379">
        <f t="shared" si="1260"/>
        <v>950</v>
      </c>
      <c r="IX75" s="369">
        <f t="shared" si="1260"/>
        <v>5.17</v>
      </c>
      <c r="IY75" s="371">
        <f t="shared" si="1260"/>
        <v>5</v>
      </c>
      <c r="IZ75" s="369">
        <f t="shared" si="951"/>
        <v>183.752417794971</v>
      </c>
      <c r="JA75" s="370">
        <f t="shared" si="952"/>
        <v>1.034</v>
      </c>
      <c r="JC75" s="379">
        <f t="shared" si="1261"/>
        <v>1000</v>
      </c>
      <c r="JD75" s="369">
        <f t="shared" si="1261"/>
        <v>6.2700000000000005</v>
      </c>
      <c r="JE75" s="371">
        <f t="shared" si="1261"/>
        <v>5</v>
      </c>
      <c r="JF75" s="369">
        <f t="shared" si="953"/>
        <v>159.48963317384369</v>
      </c>
      <c r="JG75" s="370">
        <f t="shared" si="954"/>
        <v>1.254</v>
      </c>
      <c r="JI75" s="379">
        <f t="shared" si="1262"/>
        <v>1000</v>
      </c>
      <c r="JJ75" s="369">
        <f t="shared" si="1262"/>
        <v>3.66</v>
      </c>
      <c r="JK75" s="371">
        <f t="shared" si="1262"/>
        <v>5</v>
      </c>
      <c r="JL75" s="369">
        <f t="shared" si="955"/>
        <v>273.22404371584696</v>
      </c>
      <c r="JM75" s="370">
        <f t="shared" si="956"/>
        <v>0.73199999999999998</v>
      </c>
      <c r="JO75" s="379">
        <f t="shared" si="1263"/>
        <v>1000</v>
      </c>
      <c r="JP75" s="369">
        <f t="shared" si="1263"/>
        <v>6.7</v>
      </c>
      <c r="JQ75" s="371">
        <f t="shared" si="1263"/>
        <v>5</v>
      </c>
      <c r="JR75" s="369">
        <f t="shared" si="957"/>
        <v>149.25373134328359</v>
      </c>
      <c r="JS75" s="370">
        <f t="shared" si="958"/>
        <v>1.34</v>
      </c>
      <c r="JU75" s="379">
        <f t="shared" si="1046"/>
        <v>1000</v>
      </c>
      <c r="JV75" s="369">
        <f t="shared" si="1046"/>
        <v>5.2200000000000006</v>
      </c>
      <c r="JW75" s="371">
        <f t="shared" si="1046"/>
        <v>5</v>
      </c>
      <c r="JX75" s="369">
        <f t="shared" si="959"/>
        <v>191.57088122605361</v>
      </c>
      <c r="JY75" s="370">
        <f t="shared" si="960"/>
        <v>1.044</v>
      </c>
      <c r="KA75" s="379">
        <f t="shared" si="1130"/>
        <v>1000</v>
      </c>
      <c r="KB75" s="369">
        <f t="shared" si="1130"/>
        <v>4.7299999999999995</v>
      </c>
      <c r="KC75" s="371">
        <f t="shared" si="1264"/>
        <v>5</v>
      </c>
      <c r="KD75" s="369">
        <f t="shared" si="961"/>
        <v>211.41649048625794</v>
      </c>
      <c r="KE75" s="370">
        <f t="shared" si="962"/>
        <v>0.94599999999999995</v>
      </c>
      <c r="KG75" s="379">
        <f t="shared" ref="KG75:KH75" si="1445">SUM(KG37)</f>
        <v>1000</v>
      </c>
      <c r="KH75" s="369">
        <f t="shared" si="1445"/>
        <v>3.3899999999999997</v>
      </c>
      <c r="KI75" s="371">
        <f t="shared" si="1265"/>
        <v>5</v>
      </c>
      <c r="KJ75" s="369">
        <f t="shared" si="963"/>
        <v>294.98525073746316</v>
      </c>
      <c r="KK75" s="370">
        <f t="shared" si="964"/>
        <v>0.67799999999999994</v>
      </c>
      <c r="KM75" s="379">
        <f t="shared" ref="KM75:KO75" si="1446">SUM(KM37)</f>
        <v>800</v>
      </c>
      <c r="KN75" s="369">
        <f t="shared" si="1446"/>
        <v>4.12</v>
      </c>
      <c r="KO75" s="371">
        <f t="shared" si="1446"/>
        <v>4</v>
      </c>
      <c r="KP75" s="369">
        <f t="shared" si="965"/>
        <v>194.17475728155338</v>
      </c>
      <c r="KQ75" s="370">
        <f t="shared" si="966"/>
        <v>1.03</v>
      </c>
      <c r="KS75" s="379">
        <f t="shared" ref="KS75:KU75" si="1447">SUM(KS37)</f>
        <v>1000</v>
      </c>
      <c r="KT75" s="369">
        <f t="shared" si="1447"/>
        <v>6.879999999999999</v>
      </c>
      <c r="KU75" s="371">
        <f t="shared" si="1447"/>
        <v>5</v>
      </c>
      <c r="KV75" s="369">
        <f t="shared" si="967"/>
        <v>145.34883720930236</v>
      </c>
      <c r="KW75" s="370">
        <f t="shared" si="968"/>
        <v>1.3759999999999999</v>
      </c>
      <c r="KY75" s="379">
        <f t="shared" ref="KY75:LA75" si="1448">SUM(KY37)</f>
        <v>0</v>
      </c>
      <c r="KZ75" s="369">
        <f t="shared" si="1448"/>
        <v>0</v>
      </c>
      <c r="LA75" s="371">
        <f t="shared" si="1448"/>
        <v>0</v>
      </c>
      <c r="LB75" s="369" t="e">
        <f t="shared" si="969"/>
        <v>#DIV/0!</v>
      </c>
      <c r="LC75" s="370" t="e">
        <f t="shared" si="970"/>
        <v>#DIV/0!</v>
      </c>
      <c r="LE75" s="379">
        <f t="shared" ref="LE75:LG75" si="1449">SUM(LE37)</f>
        <v>0</v>
      </c>
      <c r="LF75" s="369">
        <f t="shared" si="1449"/>
        <v>0</v>
      </c>
      <c r="LG75" s="371">
        <f t="shared" si="1449"/>
        <v>0</v>
      </c>
      <c r="LH75" s="369" t="e">
        <f t="shared" si="971"/>
        <v>#DIV/0!</v>
      </c>
      <c r="LI75" s="370" t="e">
        <f t="shared" si="972"/>
        <v>#DIV/0!</v>
      </c>
      <c r="LK75" s="379">
        <f t="shared" ref="LK75:LM75" si="1450">SUM(LK37)</f>
        <v>1000</v>
      </c>
      <c r="LL75" s="369">
        <f t="shared" si="1450"/>
        <v>5.16</v>
      </c>
      <c r="LM75" s="371">
        <f t="shared" si="1450"/>
        <v>5</v>
      </c>
      <c r="LN75" s="369">
        <f t="shared" si="973"/>
        <v>193.79844961240309</v>
      </c>
      <c r="LO75" s="370">
        <f t="shared" si="974"/>
        <v>1.032</v>
      </c>
      <c r="LQ75" s="379">
        <f t="shared" ref="LQ75:LS75" si="1451">SUM(LQ37)</f>
        <v>1000</v>
      </c>
      <c r="LR75" s="369">
        <f t="shared" si="1451"/>
        <v>6</v>
      </c>
      <c r="LS75" s="371">
        <f t="shared" si="1451"/>
        <v>5</v>
      </c>
      <c r="LT75" s="369">
        <f t="shared" si="975"/>
        <v>166.66666666666666</v>
      </c>
      <c r="LU75" s="370">
        <f t="shared" si="976"/>
        <v>1.2</v>
      </c>
      <c r="LW75" s="379">
        <f t="shared" ref="LW75:LY75" si="1452">SUM(LW37)</f>
        <v>1000</v>
      </c>
      <c r="LX75" s="369">
        <f t="shared" si="1452"/>
        <v>4.3600000000000003</v>
      </c>
      <c r="LY75" s="371">
        <f t="shared" si="1452"/>
        <v>5</v>
      </c>
      <c r="LZ75" s="369">
        <f t="shared" si="977"/>
        <v>229.35779816513761</v>
      </c>
      <c r="MA75" s="370">
        <f t="shared" si="978"/>
        <v>0.87200000000000011</v>
      </c>
      <c r="MC75" s="379">
        <f t="shared" ref="MC75:ME75" si="1453">SUM(MC37)</f>
        <v>800</v>
      </c>
      <c r="MD75" s="369">
        <f t="shared" si="1453"/>
        <v>5.1800000000000006</v>
      </c>
      <c r="ME75" s="371">
        <f t="shared" si="1453"/>
        <v>5</v>
      </c>
      <c r="MF75" s="369">
        <f t="shared" si="979"/>
        <v>154.44015444015443</v>
      </c>
      <c r="MG75" s="370">
        <f t="shared" si="980"/>
        <v>1.036</v>
      </c>
      <c r="MI75" s="379">
        <f t="shared" ref="MI75:MK75" si="1454">SUM(MI37)</f>
        <v>850</v>
      </c>
      <c r="MJ75" s="369">
        <f t="shared" si="1454"/>
        <v>6.26</v>
      </c>
      <c r="MK75" s="371">
        <f t="shared" si="1454"/>
        <v>5</v>
      </c>
      <c r="ML75" s="369">
        <f t="shared" si="981"/>
        <v>135.78274760383388</v>
      </c>
      <c r="MM75" s="370">
        <f t="shared" si="982"/>
        <v>1.252</v>
      </c>
      <c r="MO75" s="379">
        <f t="shared" ref="MO75:MQ75" si="1455">SUM(MO37)</f>
        <v>0</v>
      </c>
      <c r="MP75" s="369">
        <f t="shared" si="1455"/>
        <v>0</v>
      </c>
      <c r="MQ75" s="371">
        <f t="shared" si="1455"/>
        <v>0</v>
      </c>
      <c r="MR75" s="369" t="e">
        <f t="shared" si="983"/>
        <v>#DIV/0!</v>
      </c>
      <c r="MS75" s="370" t="e">
        <f t="shared" si="984"/>
        <v>#DIV/0!</v>
      </c>
      <c r="MU75" s="379">
        <f t="shared" ref="MU75:MW75" si="1456">SUM(MU37)</f>
        <v>0</v>
      </c>
      <c r="MV75" s="369">
        <f t="shared" si="1456"/>
        <v>0</v>
      </c>
      <c r="MW75" s="371">
        <f t="shared" si="1456"/>
        <v>0</v>
      </c>
      <c r="MX75" s="369" t="e">
        <f t="shared" si="985"/>
        <v>#DIV/0!</v>
      </c>
      <c r="MY75" s="370" t="e">
        <f t="shared" si="986"/>
        <v>#DIV/0!</v>
      </c>
      <c r="NA75" s="755">
        <f t="shared" ref="NA75:NC75" si="1457">SUM(NA37)</f>
        <v>850</v>
      </c>
      <c r="NB75" s="384">
        <f t="shared" si="1457"/>
        <v>8.0499999999999989</v>
      </c>
      <c r="NC75" s="384">
        <f t="shared" si="1457"/>
        <v>5</v>
      </c>
      <c r="ND75" s="369">
        <f t="shared" si="987"/>
        <v>105.59006211180126</v>
      </c>
      <c r="NE75" s="370">
        <f t="shared" si="988"/>
        <v>1.6099999999999999</v>
      </c>
      <c r="NG75" s="379">
        <f t="shared" ref="NG75:NI75" si="1458">SUM(NG37)</f>
        <v>950</v>
      </c>
      <c r="NH75" s="369">
        <f t="shared" si="1458"/>
        <v>7.7299999999999995</v>
      </c>
      <c r="NI75" s="371">
        <f t="shared" si="1458"/>
        <v>6</v>
      </c>
      <c r="NJ75" s="369">
        <f t="shared" si="989"/>
        <v>122.89780077619665</v>
      </c>
      <c r="NK75" s="370">
        <f t="shared" si="990"/>
        <v>1.2883333333333333</v>
      </c>
      <c r="NM75" s="379">
        <f t="shared" ref="NM75:NO75" si="1459">SUM(NM37)</f>
        <v>800</v>
      </c>
      <c r="NN75" s="369">
        <f t="shared" si="1459"/>
        <v>5.46</v>
      </c>
      <c r="NO75" s="371">
        <f t="shared" si="1459"/>
        <v>5</v>
      </c>
      <c r="NP75" s="369">
        <f t="shared" si="991"/>
        <v>146.52014652014651</v>
      </c>
      <c r="NQ75" s="370">
        <f t="shared" si="992"/>
        <v>1.0920000000000001</v>
      </c>
      <c r="NS75" s="379">
        <f t="shared" ref="NS75:NU75" si="1460">SUM(NS37)</f>
        <v>800</v>
      </c>
      <c r="NT75" s="369">
        <f t="shared" si="1460"/>
        <v>6.1400000000000006</v>
      </c>
      <c r="NU75" s="371">
        <f t="shared" si="1460"/>
        <v>5</v>
      </c>
      <c r="NV75" s="369">
        <f t="shared" si="993"/>
        <v>130.29315960912052</v>
      </c>
      <c r="NW75" s="370">
        <f t="shared" si="994"/>
        <v>1.2280000000000002</v>
      </c>
      <c r="NY75" s="379">
        <f t="shared" ref="NY75:OA75" si="1461">SUM(NY37)</f>
        <v>500</v>
      </c>
      <c r="NZ75" s="369">
        <f t="shared" si="1461"/>
        <v>6.7</v>
      </c>
      <c r="OA75" s="371">
        <f t="shared" si="1461"/>
        <v>5</v>
      </c>
      <c r="OB75" s="369">
        <f t="shared" si="995"/>
        <v>74.626865671641795</v>
      </c>
      <c r="OC75" s="370">
        <f t="shared" si="996"/>
        <v>1.34</v>
      </c>
      <c r="OE75" s="379">
        <f t="shared" ref="OE75:OG75" si="1462">SUM(OE37)</f>
        <v>1000</v>
      </c>
      <c r="OF75" s="369">
        <f t="shared" si="1462"/>
        <v>5.86</v>
      </c>
      <c r="OG75" s="371">
        <f t="shared" si="1462"/>
        <v>5</v>
      </c>
      <c r="OH75" s="369">
        <f t="shared" si="997"/>
        <v>170.64846416382252</v>
      </c>
      <c r="OI75" s="370">
        <f t="shared" si="998"/>
        <v>1.1720000000000002</v>
      </c>
    </row>
    <row r="76" spans="1:399">
      <c r="A76" s="69"/>
      <c r="B76" s="71" t="s">
        <v>41</v>
      </c>
      <c r="C76" s="60"/>
      <c r="D76" s="58" t="s">
        <v>14</v>
      </c>
      <c r="E76" s="79">
        <f>SUM(E38:E39)</f>
        <v>1000</v>
      </c>
      <c r="F76" s="82">
        <f>SUM(F38:F39)</f>
        <v>1.37</v>
      </c>
      <c r="G76" s="79">
        <f>SUM(G38:G39)</f>
        <v>2</v>
      </c>
      <c r="H76" s="82">
        <f t="shared" si="1301"/>
        <v>729.92700729927003</v>
      </c>
      <c r="I76" s="84">
        <f t="shared" si="1302"/>
        <v>0.68500000000000005</v>
      </c>
      <c r="J76" s="589"/>
      <c r="K76" s="79">
        <f>SUM(K38:K39)</f>
        <v>0</v>
      </c>
      <c r="L76" s="82">
        <f>SUM(L38:L39)</f>
        <v>0</v>
      </c>
      <c r="M76" s="79">
        <f>SUM(M38:M39)</f>
        <v>0</v>
      </c>
      <c r="N76" s="82" t="e">
        <f t="shared" si="1303"/>
        <v>#DIV/0!</v>
      </c>
      <c r="O76" s="84" t="e">
        <f t="shared" si="1304"/>
        <v>#DIV/0!</v>
      </c>
      <c r="P76" s="589"/>
      <c r="Q76" s="79">
        <f>SUM(Q38:Q39)</f>
        <v>1500</v>
      </c>
      <c r="R76" s="82">
        <f>SUM(R38:R39)</f>
        <v>2.1</v>
      </c>
      <c r="S76" s="79">
        <f>SUM(S38:S39)</f>
        <v>5</v>
      </c>
      <c r="T76" s="82">
        <f t="shared" si="1305"/>
        <v>714.28571428571422</v>
      </c>
      <c r="U76" s="84">
        <f t="shared" si="1306"/>
        <v>0.42000000000000004</v>
      </c>
      <c r="V76" s="589"/>
      <c r="W76" s="79">
        <f>SUM(W38:W39)</f>
        <v>0</v>
      </c>
      <c r="X76" s="82">
        <f>SUM(X38:X39)</f>
        <v>0</v>
      </c>
      <c r="Y76" s="79">
        <f>SUM(Y38:Y39)</f>
        <v>0</v>
      </c>
      <c r="Z76" s="82" t="e">
        <f t="shared" si="1307"/>
        <v>#DIV/0!</v>
      </c>
      <c r="AA76" s="84" t="e">
        <f t="shared" si="1308"/>
        <v>#DIV/0!</v>
      </c>
      <c r="AB76" s="589"/>
      <c r="AC76" s="79">
        <f>SUM(AC38:AC39)</f>
        <v>1800</v>
      </c>
      <c r="AD76" s="82">
        <f>SUM(AD38:AD39)</f>
        <v>4.1000000000000005</v>
      </c>
      <c r="AE76" s="79">
        <f>SUM(AE38:AE39)</f>
        <v>5</v>
      </c>
      <c r="AF76" s="82">
        <f t="shared" si="1309"/>
        <v>439.02439024390236</v>
      </c>
      <c r="AG76" s="84">
        <f t="shared" si="1310"/>
        <v>0.82000000000000006</v>
      </c>
      <c r="AH76" s="589"/>
      <c r="AI76" s="79">
        <f>SUM(AI38:AI39)</f>
        <v>0</v>
      </c>
      <c r="AJ76" s="82">
        <f>SUM(AJ38:AJ39)</f>
        <v>0</v>
      </c>
      <c r="AK76" s="79">
        <f>SUM(AK38:AK39)</f>
        <v>0</v>
      </c>
      <c r="AL76" s="82" t="e">
        <f t="shared" si="1311"/>
        <v>#DIV/0!</v>
      </c>
      <c r="AM76" s="84" t="e">
        <f t="shared" si="1312"/>
        <v>#DIV/0!</v>
      </c>
      <c r="AN76" s="589"/>
      <c r="AO76" s="79">
        <f>SUM(AO38:AO39)</f>
        <v>3500</v>
      </c>
      <c r="AP76" s="82">
        <f>SUM(AP38:AP39)</f>
        <v>6.6400000000000015</v>
      </c>
      <c r="AQ76" s="79">
        <f>SUM(AQ38:AQ39)</f>
        <v>10</v>
      </c>
      <c r="AR76" s="82">
        <f t="shared" si="1313"/>
        <v>527.10843373493969</v>
      </c>
      <c r="AS76" s="84">
        <f t="shared" si="1314"/>
        <v>0.66400000000000015</v>
      </c>
      <c r="AT76" s="589"/>
      <c r="AU76" s="79">
        <f>SUM(AU38:AU39)</f>
        <v>2950</v>
      </c>
      <c r="AV76" s="82">
        <f>SUM(AV38:AV39)</f>
        <v>5.8400000000000007</v>
      </c>
      <c r="AW76" s="79">
        <f>SUM(AW38:AW39)</f>
        <v>10</v>
      </c>
      <c r="AX76" s="82">
        <f t="shared" si="1315"/>
        <v>505.1369863013698</v>
      </c>
      <c r="AY76" s="84">
        <f t="shared" si="1316"/>
        <v>0.58400000000000007</v>
      </c>
      <c r="AZ76" s="84"/>
      <c r="BA76" s="79">
        <f>SUM(BA38:BA39)</f>
        <v>1100</v>
      </c>
      <c r="BB76" s="82">
        <f>SUM(BB38:BB39)</f>
        <v>9.08</v>
      </c>
      <c r="BC76" s="79">
        <f>SUM(BC38:BC39)</f>
        <v>10</v>
      </c>
      <c r="BD76" s="82">
        <f t="shared" si="1317"/>
        <v>121.1453744493392</v>
      </c>
      <c r="BE76" s="84">
        <f t="shared" si="1318"/>
        <v>0.90800000000000003</v>
      </c>
      <c r="BF76" s="84"/>
      <c r="BG76" s="79">
        <f>SUM(BG38:BG39)</f>
        <v>0</v>
      </c>
      <c r="BH76" s="82">
        <f>SUM(BH38:BH39)</f>
        <v>0</v>
      </c>
      <c r="BI76" s="79">
        <f>SUM(BI38:BI39)</f>
        <v>0</v>
      </c>
      <c r="BJ76" s="82" t="e">
        <f t="shared" si="1319"/>
        <v>#DIV/0!</v>
      </c>
      <c r="BK76" s="84" t="e">
        <f t="shared" si="1320"/>
        <v>#DIV/0!</v>
      </c>
      <c r="BL76" s="84"/>
      <c r="BM76" s="79">
        <f>SUM(BM38:BM39)</f>
        <v>0</v>
      </c>
      <c r="BN76" s="82">
        <f>SUM(BN38:BN39)</f>
        <v>0</v>
      </c>
      <c r="BO76" s="79">
        <f>SUM(BO38:BO39)</f>
        <v>0</v>
      </c>
      <c r="BP76" s="82" t="e">
        <f t="shared" si="1321"/>
        <v>#DIV/0!</v>
      </c>
      <c r="BQ76" s="84" t="e">
        <f t="shared" si="1322"/>
        <v>#DIV/0!</v>
      </c>
      <c r="BR76" s="589"/>
      <c r="BS76" s="79">
        <f>SUM(BS38:BS39)</f>
        <v>500</v>
      </c>
      <c r="BT76" s="82">
        <f>SUM(BT38:BT39)</f>
        <v>0.99</v>
      </c>
      <c r="BU76" s="79">
        <f>SUM(BU38:BU39)</f>
        <v>5</v>
      </c>
      <c r="BV76" s="82">
        <f t="shared" si="1323"/>
        <v>505.05050505050508</v>
      </c>
      <c r="BW76" s="84">
        <f t="shared" si="1324"/>
        <v>0.19800000000000001</v>
      </c>
      <c r="BX76" s="84"/>
      <c r="BY76" s="79">
        <f>SUM(BY38:BY39)</f>
        <v>2350</v>
      </c>
      <c r="BZ76" s="82">
        <f>SUM(BZ38:BZ39)</f>
        <v>7.12</v>
      </c>
      <c r="CA76" s="79">
        <f>SUM(CA38:CA39)</f>
        <v>7</v>
      </c>
      <c r="CB76" s="82">
        <f t="shared" si="1325"/>
        <v>330.0561797752809</v>
      </c>
      <c r="CC76" s="84">
        <f t="shared" si="1326"/>
        <v>1.0171428571428571</v>
      </c>
      <c r="CD76" s="84"/>
      <c r="CE76" s="79">
        <f>SUM(CE38:CE39)</f>
        <v>0</v>
      </c>
      <c r="CF76" s="82">
        <f>SUM(CF38:CF39)</f>
        <v>0</v>
      </c>
      <c r="CG76" s="79">
        <f>SUM(CG38:CG39)</f>
        <v>0</v>
      </c>
      <c r="CH76" s="82" t="e">
        <f t="shared" si="1327"/>
        <v>#DIV/0!</v>
      </c>
      <c r="CI76" s="84" t="e">
        <f t="shared" si="1328"/>
        <v>#DIV/0!</v>
      </c>
      <c r="CJ76" s="84"/>
      <c r="CK76" s="79">
        <f>SUM(CK38:CK39)</f>
        <v>0</v>
      </c>
      <c r="CL76" s="82">
        <f>SUM(CL38:CL39)</f>
        <v>0</v>
      </c>
      <c r="CM76" s="79">
        <f>SUM(CM38:CM39)</f>
        <v>0</v>
      </c>
      <c r="CN76" s="82" t="e">
        <f t="shared" si="1329"/>
        <v>#DIV/0!</v>
      </c>
      <c r="CO76" s="84" t="e">
        <f t="shared" si="1330"/>
        <v>#DIV/0!</v>
      </c>
      <c r="CP76" s="84"/>
      <c r="CQ76" s="79">
        <f>SUM(CQ38:CQ39)</f>
        <v>0</v>
      </c>
      <c r="CR76" s="82">
        <f>SUM(CR38:CR39)</f>
        <v>0</v>
      </c>
      <c r="CS76" s="79">
        <f>SUM(CS38:CS39)</f>
        <v>0</v>
      </c>
      <c r="CT76" s="82" t="e">
        <f t="shared" si="1331"/>
        <v>#DIV/0!</v>
      </c>
      <c r="CU76" s="84" t="e">
        <f t="shared" si="1332"/>
        <v>#DIV/0!</v>
      </c>
      <c r="CV76" s="84"/>
      <c r="CW76" s="79">
        <f>SUM(CW38:CW39)</f>
        <v>2350</v>
      </c>
      <c r="CX76" s="82">
        <f>SUM(CX38:CX39)</f>
        <v>7.12</v>
      </c>
      <c r="CY76" s="79">
        <f>SUM(CY38:CY39)</f>
        <v>7</v>
      </c>
      <c r="CZ76" s="82">
        <f t="shared" si="1333"/>
        <v>330.0561797752809</v>
      </c>
      <c r="DA76" s="84">
        <f t="shared" si="1334"/>
        <v>1.0171428571428571</v>
      </c>
      <c r="DB76" s="84"/>
      <c r="DC76" s="79">
        <f>SUM(DC38:DC39)</f>
        <v>2500</v>
      </c>
      <c r="DD76" s="82">
        <f>SUM(DD38:DD39)</f>
        <v>6.84</v>
      </c>
      <c r="DE76" s="79">
        <f>SUM(DE38:DE39)</f>
        <v>5</v>
      </c>
      <c r="DF76" s="82">
        <f t="shared" si="1335"/>
        <v>365.4970760233918</v>
      </c>
      <c r="DG76" s="84">
        <f t="shared" si="1336"/>
        <v>1.3679999999999999</v>
      </c>
      <c r="DH76" s="84"/>
      <c r="DI76" s="79">
        <f>SUM(DI38:DI39)</f>
        <v>1900</v>
      </c>
      <c r="DJ76" s="82">
        <f>SUM(DJ38:DJ39)</f>
        <v>9.0299999999999994</v>
      </c>
      <c r="DK76" s="79">
        <f>SUM(DK38:DK39)</f>
        <v>10</v>
      </c>
      <c r="DL76" s="82">
        <f t="shared" si="1337"/>
        <v>210.40974529346624</v>
      </c>
      <c r="DM76" s="84">
        <f t="shared" si="1338"/>
        <v>0.90299999999999991</v>
      </c>
      <c r="DN76" s="84"/>
      <c r="DO76" s="79">
        <f>SUM(DO38:DO39)</f>
        <v>1750</v>
      </c>
      <c r="DP76" s="82">
        <f>SUM(DP38:DP39)</f>
        <v>9.2799999999999994</v>
      </c>
      <c r="DQ76" s="79">
        <f>SUM(DQ38:DQ39)</f>
        <v>10</v>
      </c>
      <c r="DR76" s="82">
        <f t="shared" si="1339"/>
        <v>188.57758620689657</v>
      </c>
      <c r="DS76" s="84">
        <f t="shared" si="1340"/>
        <v>0.92799999999999994</v>
      </c>
      <c r="DT76" s="84"/>
      <c r="DU76" s="79">
        <f>SUM(DU38:DU39)</f>
        <v>0</v>
      </c>
      <c r="DV76" s="82">
        <f>SUM(DV38:DV39)</f>
        <v>0</v>
      </c>
      <c r="DW76" s="79">
        <f>SUM(DW38:DW39)</f>
        <v>0</v>
      </c>
      <c r="DX76" s="82" t="e">
        <f t="shared" si="1341"/>
        <v>#DIV/0!</v>
      </c>
      <c r="DY76" s="84" t="e">
        <f t="shared" si="1342"/>
        <v>#DIV/0!</v>
      </c>
      <c r="DZ76" s="84"/>
      <c r="EA76" s="79">
        <f>SUM(EA38:EA39)</f>
        <v>0</v>
      </c>
      <c r="EB76" s="82">
        <f>SUM(EB38:EB39)</f>
        <v>0</v>
      </c>
      <c r="EC76" s="79">
        <f>SUM(EC38:EC39)</f>
        <v>0</v>
      </c>
      <c r="ED76" s="82" t="e">
        <f t="shared" si="1343"/>
        <v>#DIV/0!</v>
      </c>
      <c r="EE76" s="84" t="e">
        <f t="shared" si="1344"/>
        <v>#DIV/0!</v>
      </c>
      <c r="EF76" s="84"/>
      <c r="EG76" s="79">
        <f>SUM(EG38:EG39)</f>
        <v>0</v>
      </c>
      <c r="EH76" s="82">
        <f>SUM(EH38:EH39)</f>
        <v>0</v>
      </c>
      <c r="EI76" s="79">
        <f>SUM(EI38:EI39)</f>
        <v>0</v>
      </c>
      <c r="EJ76" s="82" t="e">
        <f t="shared" si="1345"/>
        <v>#DIV/0!</v>
      </c>
      <c r="EK76" s="84" t="e">
        <f t="shared" si="1346"/>
        <v>#DIV/0!</v>
      </c>
      <c r="EL76" s="84"/>
      <c r="EM76" s="79">
        <f>SUM(EM38:EM39)</f>
        <v>0</v>
      </c>
      <c r="EN76" s="82">
        <f>SUM(EN38:EN39)</f>
        <v>0</v>
      </c>
      <c r="EO76" s="79">
        <f>SUM(EO38:EO39)</f>
        <v>0</v>
      </c>
      <c r="EP76" s="82" t="e">
        <f t="shared" si="1347"/>
        <v>#DIV/0!</v>
      </c>
      <c r="EQ76" s="84" t="e">
        <f t="shared" si="1348"/>
        <v>#DIV/0!</v>
      </c>
      <c r="ER76" s="589"/>
      <c r="ES76" s="79">
        <f>SUM(ES38:ES39)</f>
        <v>2350</v>
      </c>
      <c r="ET76" s="82">
        <f>SUM(ET38:ET39)</f>
        <v>7.12</v>
      </c>
      <c r="EU76" s="79">
        <f>SUM(EU38:EU39)</f>
        <v>7</v>
      </c>
      <c r="EV76" s="82">
        <f t="shared" si="915"/>
        <v>330.0561797752809</v>
      </c>
      <c r="EW76" s="84">
        <f t="shared" si="916"/>
        <v>1.0171428571428571</v>
      </c>
      <c r="EY76" s="91">
        <f>SUM(EY38:EY39)</f>
        <v>0</v>
      </c>
      <c r="EZ76" s="369">
        <f>SUM(EZ38:EZ39)</f>
        <v>0</v>
      </c>
      <c r="FA76" s="371">
        <f>SUM(FA38:FA39)</f>
        <v>0</v>
      </c>
      <c r="FB76" s="361" t="e">
        <f>EY76/EZ76</f>
        <v>#DIV/0!</v>
      </c>
      <c r="FC76" s="362" t="e">
        <f>EZ76/FA76</f>
        <v>#DIV/0!</v>
      </c>
      <c r="FE76" s="91">
        <f>SUM(FE38:FE39)</f>
        <v>1500</v>
      </c>
      <c r="FF76" s="82">
        <f>SUM(FF38:FF39)</f>
        <v>2.1</v>
      </c>
      <c r="FG76" s="79">
        <f>SUM(FG38:FG39)</f>
        <v>5</v>
      </c>
      <c r="FH76" s="94">
        <f t="shared" si="919"/>
        <v>714.28571428571422</v>
      </c>
      <c r="FI76" s="84">
        <f t="shared" si="920"/>
        <v>0.42000000000000004</v>
      </c>
      <c r="FK76" s="91">
        <f>SUM(FK38:FK39)</f>
        <v>0</v>
      </c>
      <c r="FL76" s="82">
        <f>SUM(FL38:FL39)</f>
        <v>0</v>
      </c>
      <c r="FM76" s="371">
        <f>SUM(FM38:FM39)</f>
        <v>0</v>
      </c>
      <c r="FN76" s="361" t="e">
        <f>FK76/FL76</f>
        <v>#DIV/0!</v>
      </c>
      <c r="FO76" s="362" t="e">
        <f>FL76/FM76</f>
        <v>#DIV/0!</v>
      </c>
      <c r="FQ76" s="91">
        <f>SUM(FQ38:FQ39)</f>
        <v>2700</v>
      </c>
      <c r="FR76" s="82">
        <f>SUM(FR38:FR39)</f>
        <v>8.27</v>
      </c>
      <c r="FS76" s="79">
        <f>SUM(FS38:FS39)</f>
        <v>6</v>
      </c>
      <c r="FT76" s="82">
        <f>FQ76/FR76</f>
        <v>326.48125755743655</v>
      </c>
      <c r="FU76" s="84">
        <f>FR76/FS76</f>
        <v>1.3783333333333332</v>
      </c>
      <c r="FW76" s="91">
        <f>SUM(FW38:FW39)</f>
        <v>2250</v>
      </c>
      <c r="FX76" s="82">
        <f>SUM(FX38:FX39)</f>
        <v>5.81</v>
      </c>
      <c r="FY76" s="79">
        <f>SUM(FY38:FY39)</f>
        <v>10</v>
      </c>
      <c r="FZ76" s="82">
        <f>FW76/FX76</f>
        <v>387.26333907056801</v>
      </c>
      <c r="GA76" s="84">
        <f>FX76/FY76</f>
        <v>0.58099999999999996</v>
      </c>
      <c r="GC76" s="91">
        <f>SUM(GC38:GC39)</f>
        <v>700</v>
      </c>
      <c r="GD76" s="369">
        <f>SUM(GD38:GD39)</f>
        <v>2.5099999999999998</v>
      </c>
      <c r="GE76" s="371">
        <f>SUM(GE38:GE39)</f>
        <v>3</v>
      </c>
      <c r="GF76" s="369">
        <f>GC76/GD76</f>
        <v>278.88446215139447</v>
      </c>
      <c r="GG76" s="370">
        <f>GD76/GE76</f>
        <v>0.83666666666666656</v>
      </c>
      <c r="GI76" s="91">
        <f>SUM(GI38:GI39)</f>
        <v>800</v>
      </c>
      <c r="GJ76" s="82">
        <f>SUM(GJ38:GJ39)</f>
        <v>4.09</v>
      </c>
      <c r="GK76" s="79">
        <f>SUM(GK38:GK39)</f>
        <v>6</v>
      </c>
      <c r="GL76" s="82">
        <f>GI76/GJ76</f>
        <v>195.59902200488997</v>
      </c>
      <c r="GM76" s="84">
        <f>GJ76/GK76</f>
        <v>0.68166666666666664</v>
      </c>
      <c r="GO76" s="91">
        <f>SUM(GO38:GO39)</f>
        <v>2750</v>
      </c>
      <c r="GP76" s="82">
        <f>SUM(GP38:GP39)</f>
        <v>39.200000000000003</v>
      </c>
      <c r="GQ76" s="371">
        <f>SUM(GQ38:GQ39)</f>
        <v>10</v>
      </c>
      <c r="GR76" s="369">
        <f>GO76/GP76</f>
        <v>70.15306122448979</v>
      </c>
      <c r="GS76" s="370">
        <f>GP76/GQ76</f>
        <v>3.9200000000000004</v>
      </c>
      <c r="GU76" s="91">
        <f>SUM(GU38:GU39)</f>
        <v>1700</v>
      </c>
      <c r="GV76" s="82">
        <f>SUM(GV38:GV39)</f>
        <v>9.33</v>
      </c>
      <c r="GW76" s="79">
        <f>SUM(GW38:GW39)</f>
        <v>10</v>
      </c>
      <c r="GX76" s="82">
        <f>GU76/GV76</f>
        <v>182.20793140407289</v>
      </c>
      <c r="GY76" s="84">
        <f>GV76/GW76</f>
        <v>0.93300000000000005</v>
      </c>
      <c r="HA76" s="91">
        <f>SUM(HA38:HA39)</f>
        <v>1200</v>
      </c>
      <c r="HB76" s="82">
        <f>SUM(HB38:HB39)</f>
        <v>11.7</v>
      </c>
      <c r="HC76" s="79">
        <f>SUM(HC38:HC39)</f>
        <v>10</v>
      </c>
      <c r="HD76" s="369">
        <f>HA76/HB76</f>
        <v>102.56410256410257</v>
      </c>
      <c r="HE76" s="370">
        <f>HB76/HC76</f>
        <v>1.17</v>
      </c>
      <c r="HG76" s="91">
        <f>SUM(HG38:HG39)</f>
        <v>1750</v>
      </c>
      <c r="HH76" s="82">
        <f>SUM(HH38:HH39)</f>
        <v>2.8000000000000003</v>
      </c>
      <c r="HI76" s="79">
        <f>SUM(HI38:HI39)</f>
        <v>8</v>
      </c>
      <c r="HJ76" s="82">
        <f>HG76/HH76</f>
        <v>624.99999999999989</v>
      </c>
      <c r="HK76" s="84">
        <f>HH76/HI76</f>
        <v>0.35000000000000003</v>
      </c>
      <c r="HM76" s="91">
        <f>SUM(HM38:HM39)</f>
        <v>1000</v>
      </c>
      <c r="HN76" s="82">
        <f>SUM(HN38:HN39)</f>
        <v>1.37</v>
      </c>
      <c r="HO76" s="79">
        <f>SUM(HO38:HO39)</f>
        <v>2</v>
      </c>
      <c r="HP76" s="369">
        <f>HM76/HN76</f>
        <v>729.92700729927003</v>
      </c>
      <c r="HQ76" s="370">
        <f>HN76/HO76</f>
        <v>0.68500000000000005</v>
      </c>
      <c r="HS76" s="91">
        <f>SUM(HS38:HS39)</f>
        <v>0</v>
      </c>
      <c r="HT76" s="82">
        <f>SUM(HT38:HT39)</f>
        <v>0</v>
      </c>
      <c r="HU76" s="371">
        <f>SUM(HU38:HU39)</f>
        <v>0</v>
      </c>
      <c r="HV76" s="361" t="e">
        <f>HS76/HT76</f>
        <v>#DIV/0!</v>
      </c>
      <c r="HW76" s="362" t="e">
        <f>HT76/HU76</f>
        <v>#DIV/0!</v>
      </c>
      <c r="HX76" s="178"/>
      <c r="HY76" s="91">
        <f>SUM(HY38:HY39)</f>
        <v>0</v>
      </c>
      <c r="HZ76" s="82">
        <f>SUM(HZ38:HZ39)</f>
        <v>0</v>
      </c>
      <c r="IA76" s="371">
        <f>SUM(IA38:IA39)</f>
        <v>0</v>
      </c>
      <c r="IB76" s="361" t="e">
        <f>HY76/HZ76</f>
        <v>#DIV/0!</v>
      </c>
      <c r="IC76" s="362" t="e">
        <f>HZ76/IA76</f>
        <v>#DIV/0!</v>
      </c>
      <c r="IE76" s="91">
        <f>SUM(IE38:IE39)</f>
        <v>3250</v>
      </c>
      <c r="IF76" s="82">
        <f>SUM(IF38:IF39)</f>
        <v>7.2900000000000009</v>
      </c>
      <c r="IG76" s="79">
        <f>SUM(IG38:IG39)</f>
        <v>10</v>
      </c>
      <c r="IH76" s="82">
        <f>IE76/IF76</f>
        <v>445.81618655692722</v>
      </c>
      <c r="II76" s="84">
        <f>IF76/IG76</f>
        <v>0.72900000000000009</v>
      </c>
      <c r="IK76" s="91">
        <f>SUM(IK38:IK39)</f>
        <v>2500</v>
      </c>
      <c r="IL76" s="82">
        <f>SUM(IL38:IL39)</f>
        <v>3.3200000000000003</v>
      </c>
      <c r="IM76" s="79">
        <f>SUM(IM38:IM39)</f>
        <v>5</v>
      </c>
      <c r="IN76" s="82">
        <f>IK76/IL76</f>
        <v>753.01204819277098</v>
      </c>
      <c r="IO76" s="84">
        <f>IL76/IM76</f>
        <v>0.66400000000000003</v>
      </c>
      <c r="IQ76" s="91">
        <f>SUM(IQ38:IQ39)</f>
        <v>2500</v>
      </c>
      <c r="IR76" s="82">
        <f>SUM(IR38:IR39)</f>
        <v>5.69</v>
      </c>
      <c r="IS76" s="79">
        <f>SUM(IS38:IS39)</f>
        <v>7</v>
      </c>
      <c r="IT76" s="82">
        <f>IQ76/IR76</f>
        <v>439.36731107205622</v>
      </c>
      <c r="IU76" s="84">
        <f>IR76/IS76</f>
        <v>0.81285714285714294</v>
      </c>
      <c r="IW76" s="91">
        <f>SUM(IW38:IW39)</f>
        <v>1850</v>
      </c>
      <c r="IX76" s="82">
        <f>SUM(IX38:IX39)</f>
        <v>6.8800000000000008</v>
      </c>
      <c r="IY76" s="79">
        <f>SUM(IY38:IY39)</f>
        <v>10</v>
      </c>
      <c r="IZ76" s="82">
        <f>IW76/IX76</f>
        <v>268.89534883720927</v>
      </c>
      <c r="JA76" s="84">
        <f>IX76/IY76</f>
        <v>0.68800000000000006</v>
      </c>
      <c r="JC76" s="91">
        <f>SUM(JC38:JC39)</f>
        <v>1410</v>
      </c>
      <c r="JD76" s="82">
        <f>SUM(JD38:JD39)</f>
        <v>9.5500000000000007</v>
      </c>
      <c r="JE76" s="79">
        <f>SUM(JE38:JE39)</f>
        <v>10</v>
      </c>
      <c r="JF76" s="82">
        <f>JC76/JD76</f>
        <v>147.64397905759162</v>
      </c>
      <c r="JG76" s="84">
        <f>JD76/JE76</f>
        <v>0.95500000000000007</v>
      </c>
      <c r="JI76" s="91">
        <f>SUM(JI38:JI39)</f>
        <v>1600</v>
      </c>
      <c r="JJ76" s="82">
        <f>SUM(JJ38:JJ39)</f>
        <v>10.49</v>
      </c>
      <c r="JK76" s="79">
        <f>SUM(JK38:JK39)</f>
        <v>10</v>
      </c>
      <c r="JL76" s="82">
        <f>JI76/JJ76</f>
        <v>152.52621544327931</v>
      </c>
      <c r="JM76" s="84">
        <f>JJ76/JK76</f>
        <v>1.0489999999999999</v>
      </c>
      <c r="JO76" s="91">
        <f>SUM(JO38:JO39)</f>
        <v>1400</v>
      </c>
      <c r="JP76" s="82">
        <f>SUM(JP38:JP39)</f>
        <v>7.629999999999999</v>
      </c>
      <c r="JQ76" s="79">
        <f>SUM(JQ38:JQ39)</f>
        <v>10</v>
      </c>
      <c r="JR76" s="82">
        <f>JO76/JP76</f>
        <v>183.48623853211012</v>
      </c>
      <c r="JS76" s="84">
        <f>JP76/JQ76</f>
        <v>0.7629999999999999</v>
      </c>
      <c r="JU76" s="91">
        <f>SUM(JU38:JU39)</f>
        <v>1450</v>
      </c>
      <c r="JV76" s="82">
        <f>SUM(JV38:JV39)</f>
        <v>9.15</v>
      </c>
      <c r="JW76" s="79">
        <f>SUM(JW38:JW39)</f>
        <v>10</v>
      </c>
      <c r="JX76" s="369">
        <f>JU76/JV76</f>
        <v>158.46994535519124</v>
      </c>
      <c r="JY76" s="84">
        <f>JV76/JW76</f>
        <v>0.91500000000000004</v>
      </c>
      <c r="KA76" s="91">
        <f>SUM(KA38:KA39)</f>
        <v>2900</v>
      </c>
      <c r="KB76" s="82">
        <f>SUM(KB38:KB39)</f>
        <v>6.17</v>
      </c>
      <c r="KC76" s="79">
        <f>SUM(KC38:KC39)</f>
        <v>10</v>
      </c>
      <c r="KD76" s="369">
        <f>KA76/KB76</f>
        <v>470.01620745542948</v>
      </c>
      <c r="KE76" s="84">
        <f>KB76/KC76</f>
        <v>0.61699999999999999</v>
      </c>
      <c r="KG76" s="91">
        <f>SUM(KG38:KG39)</f>
        <v>0</v>
      </c>
      <c r="KH76" s="82">
        <f>SUM(KH38:KH39)</f>
        <v>0</v>
      </c>
      <c r="KI76" s="79">
        <f>SUM(KI38:KI39)</f>
        <v>0</v>
      </c>
      <c r="KJ76" s="369" t="e">
        <f>KG76/KH76</f>
        <v>#DIV/0!</v>
      </c>
      <c r="KK76" s="84" t="e">
        <f>KH76/KI76</f>
        <v>#DIV/0!</v>
      </c>
      <c r="KM76" s="91">
        <f>SUM(KM38:KM39)</f>
        <v>0</v>
      </c>
      <c r="KN76" s="82">
        <f>SUM(KN38:KN39)</f>
        <v>0</v>
      </c>
      <c r="KO76" s="79">
        <f>SUM(KO38:KO39)</f>
        <v>0</v>
      </c>
      <c r="KP76" s="369" t="e">
        <f>KM76/KN76</f>
        <v>#DIV/0!</v>
      </c>
      <c r="KQ76" s="84" t="e">
        <f>KN76/KO76</f>
        <v>#DIV/0!</v>
      </c>
      <c r="KS76" s="91">
        <f>SUM(KS38:KS39)</f>
        <v>0</v>
      </c>
      <c r="KT76" s="82">
        <f>SUM(KT38:KT39)</f>
        <v>0</v>
      </c>
      <c r="KU76" s="79">
        <f>SUM(KU38:KU39)</f>
        <v>0</v>
      </c>
      <c r="KV76" s="369" t="e">
        <f>KS76/KT76</f>
        <v>#DIV/0!</v>
      </c>
      <c r="KW76" s="84" t="e">
        <f>KT76/KU76</f>
        <v>#DIV/0!</v>
      </c>
      <c r="KY76" s="91">
        <f>SUM(KY38:KY39)</f>
        <v>0</v>
      </c>
      <c r="KZ76" s="82">
        <f>SUM(KZ38:KZ39)</f>
        <v>0</v>
      </c>
      <c r="LA76" s="79">
        <f>SUM(LA38:LA39)</f>
        <v>0</v>
      </c>
      <c r="LB76" s="369" t="e">
        <f>KY76/KZ76</f>
        <v>#DIV/0!</v>
      </c>
      <c r="LC76" s="84" t="e">
        <f>KZ76/LA76</f>
        <v>#DIV/0!</v>
      </c>
      <c r="LE76" s="91">
        <f>SUM(LE38:LE39)</f>
        <v>0</v>
      </c>
      <c r="LF76" s="82">
        <f>SUM(LF38:LF39)</f>
        <v>0</v>
      </c>
      <c r="LG76" s="79">
        <f>SUM(LG38:LG39)</f>
        <v>0</v>
      </c>
      <c r="LH76" s="369" t="e">
        <f>LE76/LF76</f>
        <v>#DIV/0!</v>
      </c>
      <c r="LI76" s="84" t="e">
        <f>LF76/LG76</f>
        <v>#DIV/0!</v>
      </c>
      <c r="LK76" s="91">
        <f>SUM(LK38:LK39)</f>
        <v>2850</v>
      </c>
      <c r="LL76" s="82">
        <f>SUM(LL38:LL39)</f>
        <v>6.17</v>
      </c>
      <c r="LM76" s="79">
        <f>SUM(LM38:LM39)</f>
        <v>10</v>
      </c>
      <c r="LN76" s="369">
        <f>LK76/LL76</f>
        <v>461.91247974068074</v>
      </c>
      <c r="LO76" s="84">
        <f>LL76/LM76</f>
        <v>0.61699999999999999</v>
      </c>
      <c r="LQ76" s="91">
        <f>SUM(LQ38:LQ39)</f>
        <v>1500</v>
      </c>
      <c r="LR76" s="82">
        <f>SUM(LR38:LR39)</f>
        <v>6.88</v>
      </c>
      <c r="LS76" s="79">
        <f>SUM(LS38:LS39)</f>
        <v>5</v>
      </c>
      <c r="LT76" s="369">
        <f>LQ76/LR76</f>
        <v>218.02325581395348</v>
      </c>
      <c r="LU76" s="84">
        <f>LR76/LS76</f>
        <v>1.3759999999999999</v>
      </c>
      <c r="LW76" s="91">
        <f>SUM(LW38:LW39)</f>
        <v>900</v>
      </c>
      <c r="LX76" s="82">
        <f>SUM(LX38:LX39)</f>
        <v>3.8600000000000003</v>
      </c>
      <c r="LY76" s="79">
        <f>SUM(LY38:LY39)</f>
        <v>3</v>
      </c>
      <c r="LZ76" s="369">
        <f>LW76/LX76</f>
        <v>233.16062176165801</v>
      </c>
      <c r="MA76" s="84">
        <f>LX76/LY76</f>
        <v>1.2866666666666668</v>
      </c>
      <c r="MC76" s="91">
        <f>SUM(MC38:MC39)</f>
        <v>2100</v>
      </c>
      <c r="MD76" s="82">
        <f>SUM(MD38:MD39)</f>
        <v>4.8800000000000008</v>
      </c>
      <c r="ME76" s="79">
        <f>SUM(ME38:ME39)</f>
        <v>5</v>
      </c>
      <c r="MF76" s="369">
        <f>MC76/MD76</f>
        <v>430.32786885245895</v>
      </c>
      <c r="MG76" s="84">
        <f>MD76/ME76</f>
        <v>0.9760000000000002</v>
      </c>
      <c r="MI76" s="91">
        <f>SUM(MI38:MI39)</f>
        <v>1950</v>
      </c>
      <c r="MJ76" s="82">
        <f>SUM(MJ38:MJ39)</f>
        <v>8.7200000000000006</v>
      </c>
      <c r="MK76" s="79">
        <f>SUM(MK38:MK39)</f>
        <v>10</v>
      </c>
      <c r="ML76" s="369">
        <f>MI76/MJ76</f>
        <v>223.62385321100916</v>
      </c>
      <c r="MM76" s="84">
        <f>MJ76/MK76</f>
        <v>0.87200000000000011</v>
      </c>
      <c r="MO76" s="91">
        <f>SUM(MO38:MO39)</f>
        <v>0</v>
      </c>
      <c r="MP76" s="82">
        <f>SUM(MP38:MP39)</f>
        <v>0</v>
      </c>
      <c r="MQ76" s="79">
        <f>SUM(MQ38:MQ39)</f>
        <v>0</v>
      </c>
      <c r="MR76" s="369" t="e">
        <f>MO76/MP76</f>
        <v>#DIV/0!</v>
      </c>
      <c r="MS76" s="84" t="e">
        <f>MP76/MQ76</f>
        <v>#DIV/0!</v>
      </c>
      <c r="MU76" s="91">
        <f>SUM(MU38:MU39)</f>
        <v>0</v>
      </c>
      <c r="MV76" s="82">
        <f>SUM(MV38:MV39)</f>
        <v>0</v>
      </c>
      <c r="MW76" s="79">
        <f>SUM(MW38:MW39)</f>
        <v>0</v>
      </c>
      <c r="MX76" s="369" t="e">
        <f>MU76/MV76</f>
        <v>#DIV/0!</v>
      </c>
      <c r="MY76" s="84" t="e">
        <f>MV76/MW76</f>
        <v>#DIV/0!</v>
      </c>
      <c r="NA76" s="383">
        <f>SUM(NA38:NA39)</f>
        <v>2000</v>
      </c>
      <c r="NB76" s="748">
        <f>SUM(NB38:NB39)</f>
        <v>3.3800000000000003</v>
      </c>
      <c r="NC76" s="748">
        <f>SUM(NC38:NC39)</f>
        <v>4</v>
      </c>
      <c r="ND76" s="369">
        <f>NA76/NB76</f>
        <v>591.71597633136093</v>
      </c>
      <c r="NE76" s="84">
        <f>NB76/NC76</f>
        <v>0.84500000000000008</v>
      </c>
      <c r="NG76" s="91">
        <f>SUM(NG38:NG39)</f>
        <v>0</v>
      </c>
      <c r="NH76" s="82">
        <f>SUM(NH38:NH39)</f>
        <v>0</v>
      </c>
      <c r="NI76" s="79">
        <f>SUM(NI38:NI39)</f>
        <v>0</v>
      </c>
      <c r="NJ76" s="369" t="e">
        <f>NG76/NH76</f>
        <v>#DIV/0!</v>
      </c>
      <c r="NK76" s="84" t="e">
        <f>NH76/NI76</f>
        <v>#DIV/0!</v>
      </c>
      <c r="NM76" s="91">
        <f>SUM(NM38:NM39)</f>
        <v>0</v>
      </c>
      <c r="NN76" s="82">
        <f>SUM(NN38:NN39)</f>
        <v>0</v>
      </c>
      <c r="NO76" s="79">
        <f>SUM(NO38:NO39)</f>
        <v>0</v>
      </c>
      <c r="NP76" s="369" t="e">
        <f>NM76/NN76</f>
        <v>#DIV/0!</v>
      </c>
      <c r="NQ76" s="84" t="e">
        <f>NN76/NO76</f>
        <v>#DIV/0!</v>
      </c>
      <c r="NS76" s="91">
        <f>SUM(NS38:NS39)</f>
        <v>2500</v>
      </c>
      <c r="NT76" s="82">
        <f>SUM(NT38:NT39)</f>
        <v>2.5499999999999998</v>
      </c>
      <c r="NU76" s="79">
        <f>SUM(NU38:NU39)</f>
        <v>5</v>
      </c>
      <c r="NV76" s="369">
        <f>NS76/NT76</f>
        <v>980.3921568627452</v>
      </c>
      <c r="NW76" s="84">
        <f>NT76/NU76</f>
        <v>0.51</v>
      </c>
      <c r="NY76" s="91">
        <f>SUM(NY38:NY39)</f>
        <v>1000</v>
      </c>
      <c r="NZ76" s="82">
        <f>SUM(NZ38:NZ39)</f>
        <v>0.8600000000000001</v>
      </c>
      <c r="OA76" s="79">
        <f>SUM(OA38:OA39)</f>
        <v>5</v>
      </c>
      <c r="OB76" s="369">
        <f>NY76/NZ76</f>
        <v>1162.7906976744184</v>
      </c>
      <c r="OC76" s="84">
        <f>NZ76/OA76</f>
        <v>0.17200000000000001</v>
      </c>
      <c r="OE76" s="91">
        <f>SUM(OE38:OE39)</f>
        <v>2500</v>
      </c>
      <c r="OF76" s="82">
        <f>SUM(OF38:OF39)</f>
        <v>4.2300000000000004</v>
      </c>
      <c r="OG76" s="79">
        <f>SUM(OG38:OG39)</f>
        <v>5</v>
      </c>
      <c r="OH76" s="369">
        <f>OE76/OF76</f>
        <v>591.01654846335691</v>
      </c>
      <c r="OI76" s="84">
        <f>OF76/OG76</f>
        <v>0.84600000000000009</v>
      </c>
    </row>
    <row r="77" spans="1:399">
      <c r="A77" s="69"/>
      <c r="B77" s="71" t="s">
        <v>43</v>
      </c>
      <c r="C77" s="60"/>
      <c r="D77" s="58" t="s">
        <v>44</v>
      </c>
      <c r="E77" s="79">
        <f>SUM(E40:E42)</f>
        <v>1100</v>
      </c>
      <c r="F77" s="82">
        <f>SUM(F40:F42)</f>
        <v>2.5</v>
      </c>
      <c r="G77" s="79">
        <f>SUM(G40:G42)</f>
        <v>5</v>
      </c>
      <c r="H77" s="82">
        <f t="shared" si="1301"/>
        <v>440</v>
      </c>
      <c r="I77" s="84">
        <f t="shared" si="1302"/>
        <v>0.5</v>
      </c>
      <c r="J77" s="589"/>
      <c r="K77" s="79">
        <f>SUM(K40:K42)</f>
        <v>1200</v>
      </c>
      <c r="L77" s="82">
        <f>SUM(L40:L42)</f>
        <v>2.9299999999999997</v>
      </c>
      <c r="M77" s="79">
        <f>SUM(M40:M42)</f>
        <v>5</v>
      </c>
      <c r="N77" s="82">
        <f t="shared" si="1303"/>
        <v>409.55631399317411</v>
      </c>
      <c r="O77" s="84">
        <f t="shared" si="1304"/>
        <v>0.58599999999999997</v>
      </c>
      <c r="P77" s="589"/>
      <c r="Q77" s="79">
        <f>SUM(Q40:Q42)</f>
        <v>1900</v>
      </c>
      <c r="R77" s="82">
        <f>SUM(R40:R42)</f>
        <v>2.2999999999999998</v>
      </c>
      <c r="S77" s="79">
        <f>SUM(S40:S42)</f>
        <v>5</v>
      </c>
      <c r="T77" s="82">
        <f t="shared" si="1305"/>
        <v>826.08695652173924</v>
      </c>
      <c r="U77" s="84">
        <f t="shared" si="1306"/>
        <v>0.45999999999999996</v>
      </c>
      <c r="V77" s="589"/>
      <c r="W77" s="79">
        <f>SUM(W40:W42)</f>
        <v>0</v>
      </c>
      <c r="X77" s="82">
        <f>SUM(X40:X42)</f>
        <v>0</v>
      </c>
      <c r="Y77" s="79">
        <f>SUM(Y40:Y42)</f>
        <v>0</v>
      </c>
      <c r="Z77" s="82" t="e">
        <f t="shared" si="1307"/>
        <v>#DIV/0!</v>
      </c>
      <c r="AA77" s="84" t="e">
        <f t="shared" si="1308"/>
        <v>#DIV/0!</v>
      </c>
      <c r="AB77" s="589"/>
      <c r="AC77" s="79">
        <f>SUM(AC40:AC42)</f>
        <v>1350</v>
      </c>
      <c r="AD77" s="82">
        <f>SUM(AD40:AD42)</f>
        <v>3.7</v>
      </c>
      <c r="AE77" s="79">
        <f>SUM(AE40:AE42)</f>
        <v>5</v>
      </c>
      <c r="AF77" s="82">
        <f t="shared" si="1309"/>
        <v>364.86486486486484</v>
      </c>
      <c r="AG77" s="84">
        <f t="shared" si="1310"/>
        <v>0.74</v>
      </c>
      <c r="AH77" s="589"/>
      <c r="AI77" s="79">
        <f>SUM(AI40:AI42)</f>
        <v>0</v>
      </c>
      <c r="AJ77" s="82">
        <f>SUM(AJ40:AJ42)</f>
        <v>0</v>
      </c>
      <c r="AK77" s="79">
        <f>SUM(AK40:AK42)</f>
        <v>0</v>
      </c>
      <c r="AL77" s="82" t="e">
        <f t="shared" si="1311"/>
        <v>#DIV/0!</v>
      </c>
      <c r="AM77" s="84" t="e">
        <f t="shared" si="1312"/>
        <v>#DIV/0!</v>
      </c>
      <c r="AN77" s="589"/>
      <c r="AO77" s="79">
        <f>SUM(AO40:AO42)</f>
        <v>3060</v>
      </c>
      <c r="AP77" s="82">
        <f>SUM(AP40:AP42)</f>
        <v>9.39</v>
      </c>
      <c r="AQ77" s="79">
        <f>SUM(AQ40:AQ42)</f>
        <v>15</v>
      </c>
      <c r="AR77" s="82">
        <f t="shared" si="1313"/>
        <v>325.87859424920129</v>
      </c>
      <c r="AS77" s="84">
        <f t="shared" si="1314"/>
        <v>0.626</v>
      </c>
      <c r="AT77" s="589"/>
      <c r="AU77" s="79">
        <f>SUM(AU40:AU42)</f>
        <v>2360</v>
      </c>
      <c r="AV77" s="82">
        <f>SUM(AV40:AV42)</f>
        <v>9.34</v>
      </c>
      <c r="AW77" s="79">
        <f>SUM(AW40:AW42)</f>
        <v>15</v>
      </c>
      <c r="AX77" s="82">
        <f t="shared" si="1315"/>
        <v>252.67665952890792</v>
      </c>
      <c r="AY77" s="84">
        <f t="shared" si="1316"/>
        <v>0.6226666666666667</v>
      </c>
      <c r="AZ77" s="84"/>
      <c r="BA77" s="79">
        <f>SUM(BA40:BA42)</f>
        <v>2380</v>
      </c>
      <c r="BB77" s="82">
        <f>SUM(BB40:BB42)</f>
        <v>18.900000000000002</v>
      </c>
      <c r="BC77" s="79">
        <f>SUM(BC40:BC42)</f>
        <v>15</v>
      </c>
      <c r="BD77" s="82">
        <f t="shared" si="1317"/>
        <v>125.92592592592591</v>
      </c>
      <c r="BE77" s="84">
        <f t="shared" si="1318"/>
        <v>1.2600000000000002</v>
      </c>
      <c r="BF77" s="84"/>
      <c r="BG77" s="79">
        <f>SUM(BG40:BG42)</f>
        <v>0</v>
      </c>
      <c r="BH77" s="82">
        <f>SUM(BH40:BH42)</f>
        <v>0</v>
      </c>
      <c r="BI77" s="79">
        <f>SUM(BI40:BI42)</f>
        <v>0</v>
      </c>
      <c r="BJ77" s="82" t="e">
        <f t="shared" si="1319"/>
        <v>#DIV/0!</v>
      </c>
      <c r="BK77" s="84" t="e">
        <f t="shared" si="1320"/>
        <v>#DIV/0!</v>
      </c>
      <c r="BL77" s="84"/>
      <c r="BM77" s="79">
        <f>SUM(BM40:BM42)</f>
        <v>0</v>
      </c>
      <c r="BN77" s="82">
        <f>SUM(BN40:BN42)</f>
        <v>0</v>
      </c>
      <c r="BO77" s="79">
        <f>SUM(BO40:BO42)</f>
        <v>0</v>
      </c>
      <c r="BP77" s="82" t="e">
        <f t="shared" si="1321"/>
        <v>#DIV/0!</v>
      </c>
      <c r="BQ77" s="84" t="e">
        <f t="shared" si="1322"/>
        <v>#DIV/0!</v>
      </c>
      <c r="BR77" s="589"/>
      <c r="BS77" s="79">
        <f>SUM(BS40:BS42)</f>
        <v>1450</v>
      </c>
      <c r="BT77" s="82">
        <f>SUM(BT40:BT42)</f>
        <v>7.29</v>
      </c>
      <c r="BU77" s="79">
        <f>SUM(BU40:BU42)</f>
        <v>7</v>
      </c>
      <c r="BV77" s="82">
        <f t="shared" si="1323"/>
        <v>198.90260631001371</v>
      </c>
      <c r="BW77" s="84">
        <f t="shared" si="1324"/>
        <v>1.0414285714285714</v>
      </c>
      <c r="BX77" s="84"/>
      <c r="BY77" s="79">
        <f>SUM(BY40:BY42)</f>
        <v>850</v>
      </c>
      <c r="BZ77" s="82">
        <f>SUM(BZ40:BZ42)</f>
        <v>5.3100000000000005</v>
      </c>
      <c r="CA77" s="79">
        <f>SUM(CA40:CA42)</f>
        <v>5</v>
      </c>
      <c r="CB77" s="82">
        <f t="shared" si="1325"/>
        <v>160.07532956685498</v>
      </c>
      <c r="CC77" s="84">
        <f t="shared" si="1326"/>
        <v>1.0620000000000001</v>
      </c>
      <c r="CD77" s="84"/>
      <c r="CE77" s="79">
        <f>SUM(CE40:CE42)</f>
        <v>3500</v>
      </c>
      <c r="CF77" s="82">
        <f>SUM(CF40:CF42)</f>
        <v>27.86</v>
      </c>
      <c r="CG77" s="79">
        <f>SUM(CG40:CG42)</f>
        <v>10</v>
      </c>
      <c r="CH77" s="82">
        <f t="shared" si="1327"/>
        <v>125.62814070351759</v>
      </c>
      <c r="CI77" s="84">
        <f t="shared" si="1328"/>
        <v>2.786</v>
      </c>
      <c r="CJ77" s="84"/>
      <c r="CK77" s="79">
        <f>SUM(CK40:CK42)</f>
        <v>2500</v>
      </c>
      <c r="CL77" s="82">
        <f>SUM(CL40:CL42)</f>
        <v>2.87</v>
      </c>
      <c r="CM77" s="79">
        <f>SUM(CM40:CM42)</f>
        <v>5</v>
      </c>
      <c r="CN77" s="82">
        <f t="shared" si="1329"/>
        <v>871.08013937282226</v>
      </c>
      <c r="CO77" s="84">
        <f t="shared" si="1330"/>
        <v>0.57400000000000007</v>
      </c>
      <c r="CP77" s="84"/>
      <c r="CQ77" s="79">
        <f>SUM(CQ40:CQ42)</f>
        <v>0</v>
      </c>
      <c r="CR77" s="82">
        <f>SUM(CR40:CR42)</f>
        <v>0</v>
      </c>
      <c r="CS77" s="79">
        <f>SUM(CS40:CS42)</f>
        <v>0</v>
      </c>
      <c r="CT77" s="82" t="e">
        <f t="shared" si="1331"/>
        <v>#DIV/0!</v>
      </c>
      <c r="CU77" s="84" t="e">
        <f t="shared" si="1332"/>
        <v>#DIV/0!</v>
      </c>
      <c r="CV77" s="84"/>
      <c r="CW77" s="79">
        <f>SUM(CW40:CW42)</f>
        <v>850</v>
      </c>
      <c r="CX77" s="82">
        <f>SUM(CX40:CX42)</f>
        <v>5.3100000000000005</v>
      </c>
      <c r="CY77" s="79">
        <f>SUM(CY40:CY42)</f>
        <v>5</v>
      </c>
      <c r="CZ77" s="82">
        <f t="shared" si="1333"/>
        <v>160.07532956685498</v>
      </c>
      <c r="DA77" s="84">
        <f t="shared" si="1334"/>
        <v>1.0620000000000001</v>
      </c>
      <c r="DB77" s="84"/>
      <c r="DC77" s="79">
        <f>SUM(DC40:DC42)</f>
        <v>2500</v>
      </c>
      <c r="DD77" s="82">
        <f>SUM(DD40:DD42)</f>
        <v>2.8899999999999997</v>
      </c>
      <c r="DE77" s="79">
        <f>SUM(DE40:DE42)</f>
        <v>5</v>
      </c>
      <c r="DF77" s="82">
        <f t="shared" si="1335"/>
        <v>865.05190311418698</v>
      </c>
      <c r="DG77" s="84">
        <f t="shared" si="1336"/>
        <v>0.57799999999999996</v>
      </c>
      <c r="DH77" s="84"/>
      <c r="DI77" s="79">
        <f>SUM(DI40:DI42)</f>
        <v>3180</v>
      </c>
      <c r="DJ77" s="82">
        <f>SUM(DJ40:DJ42)</f>
        <v>10.6</v>
      </c>
      <c r="DK77" s="79">
        <f>SUM(DK40:DK42)</f>
        <v>15</v>
      </c>
      <c r="DL77" s="82">
        <f t="shared" si="1337"/>
        <v>300</v>
      </c>
      <c r="DM77" s="84">
        <f t="shared" si="1338"/>
        <v>0.70666666666666667</v>
      </c>
      <c r="DN77" s="84"/>
      <c r="DO77" s="79">
        <f>SUM(DO40:DO42)</f>
        <v>4300</v>
      </c>
      <c r="DP77" s="82">
        <f>SUM(DP40:DP42)</f>
        <v>10.46</v>
      </c>
      <c r="DQ77" s="79">
        <f>SUM(DQ40:DQ42)</f>
        <v>15</v>
      </c>
      <c r="DR77" s="82">
        <f t="shared" si="1339"/>
        <v>411.08986615678771</v>
      </c>
      <c r="DS77" s="84">
        <f t="shared" si="1340"/>
        <v>0.69733333333333336</v>
      </c>
      <c r="DT77" s="84"/>
      <c r="DU77" s="79">
        <f>SUM(DU40:DU42)</f>
        <v>0</v>
      </c>
      <c r="DV77" s="82">
        <f>SUM(DV40:DV42)</f>
        <v>0</v>
      </c>
      <c r="DW77" s="79">
        <f>SUM(DW40:DW42)</f>
        <v>0</v>
      </c>
      <c r="DX77" s="82" t="e">
        <f t="shared" si="1341"/>
        <v>#DIV/0!</v>
      </c>
      <c r="DY77" s="84" t="e">
        <f t="shared" si="1342"/>
        <v>#DIV/0!</v>
      </c>
      <c r="DZ77" s="84"/>
      <c r="EA77" s="79">
        <f>SUM(EA40:EA42)</f>
        <v>0</v>
      </c>
      <c r="EB77" s="82">
        <f>SUM(EB40:EB42)</f>
        <v>0</v>
      </c>
      <c r="EC77" s="79">
        <f>SUM(EC40:EC42)</f>
        <v>0</v>
      </c>
      <c r="ED77" s="82" t="e">
        <f t="shared" si="1343"/>
        <v>#DIV/0!</v>
      </c>
      <c r="EE77" s="84" t="e">
        <f t="shared" si="1344"/>
        <v>#DIV/0!</v>
      </c>
      <c r="EF77" s="84"/>
      <c r="EG77" s="79">
        <f>SUM(EG40:EG42)</f>
        <v>0</v>
      </c>
      <c r="EH77" s="82">
        <f>SUM(EH40:EH42)</f>
        <v>0</v>
      </c>
      <c r="EI77" s="79">
        <f>SUM(EI40:EI42)</f>
        <v>0</v>
      </c>
      <c r="EJ77" s="82" t="e">
        <f t="shared" si="1345"/>
        <v>#DIV/0!</v>
      </c>
      <c r="EK77" s="84" t="e">
        <f t="shared" si="1346"/>
        <v>#DIV/0!</v>
      </c>
      <c r="EL77" s="84"/>
      <c r="EM77" s="79">
        <f>SUM(EM40:EM42)</f>
        <v>0</v>
      </c>
      <c r="EN77" s="82">
        <f>SUM(EN40:EN42)</f>
        <v>0</v>
      </c>
      <c r="EO77" s="79">
        <f>SUM(EO40:EO42)</f>
        <v>0</v>
      </c>
      <c r="EP77" s="82" t="e">
        <f t="shared" si="1347"/>
        <v>#DIV/0!</v>
      </c>
      <c r="EQ77" s="84" t="e">
        <f t="shared" si="1348"/>
        <v>#DIV/0!</v>
      </c>
      <c r="ER77" s="589"/>
      <c r="ES77" s="79">
        <f>SUM(ES40:ES42)</f>
        <v>850</v>
      </c>
      <c r="ET77" s="82">
        <f>SUM(ET40:ET42)</f>
        <v>5.3100000000000005</v>
      </c>
      <c r="EU77" s="79">
        <f>SUM(EU40:EU42)</f>
        <v>5</v>
      </c>
      <c r="EV77" s="82">
        <f t="shared" si="915"/>
        <v>160.07532956685498</v>
      </c>
      <c r="EW77" s="84">
        <f t="shared" si="916"/>
        <v>1.0620000000000001</v>
      </c>
      <c r="EY77" s="91">
        <f>SUM(EY40:EY42)</f>
        <v>2500</v>
      </c>
      <c r="EZ77" s="369">
        <f>SUM(EZ40:EZ42)</f>
        <v>3</v>
      </c>
      <c r="FA77" s="371">
        <f>SUM(FA40:FA42)</f>
        <v>5</v>
      </c>
      <c r="FB77" s="369">
        <f t="shared" si="917"/>
        <v>833.33333333333337</v>
      </c>
      <c r="FC77" s="370">
        <f>EZ77/FA77</f>
        <v>0.6</v>
      </c>
      <c r="FE77" s="91">
        <f>SUM(FE40:FE42)</f>
        <v>0</v>
      </c>
      <c r="FF77" s="82">
        <f>SUM(FF40:FF42)</f>
        <v>0</v>
      </c>
      <c r="FG77" s="79">
        <f>SUM(FG40:FG42)</f>
        <v>0</v>
      </c>
      <c r="FH77" s="94" t="e">
        <f t="shared" si="919"/>
        <v>#DIV/0!</v>
      </c>
      <c r="FI77" s="84" t="e">
        <f t="shared" si="920"/>
        <v>#DIV/0!</v>
      </c>
      <c r="FK77" s="91">
        <f>SUM(FK40:FK42)</f>
        <v>0</v>
      </c>
      <c r="FL77" s="82">
        <f>SUM(FL40:FL42)</f>
        <v>0</v>
      </c>
      <c r="FM77" s="371">
        <f>SUM(FM40:FM42)</f>
        <v>0</v>
      </c>
      <c r="FN77" s="361" t="e">
        <f>FK77/FL77</f>
        <v>#DIV/0!</v>
      </c>
      <c r="FO77" s="362" t="e">
        <f>FL77/FM77</f>
        <v>#DIV/0!</v>
      </c>
      <c r="FQ77" s="91">
        <f>SUM(FQ40:FQ42)</f>
        <v>2500</v>
      </c>
      <c r="FR77" s="82">
        <f>SUM(FR40:FR42)</f>
        <v>1.6400000000000001</v>
      </c>
      <c r="FS77" s="79">
        <f>SUM(FS40:FS42)</f>
        <v>5</v>
      </c>
      <c r="FT77" s="82">
        <f>FQ77/FR77</f>
        <v>1524.3902439024389</v>
      </c>
      <c r="FU77" s="84">
        <f>FR77/FS77</f>
        <v>0.32800000000000001</v>
      </c>
      <c r="FW77" s="91">
        <f>SUM(FW40:FW42)</f>
        <v>2500</v>
      </c>
      <c r="FX77" s="82">
        <f>SUM(FX40:FX42)</f>
        <v>2.88</v>
      </c>
      <c r="FY77" s="79">
        <f>SUM(FY40:FY42)</f>
        <v>5</v>
      </c>
      <c r="FZ77" s="82">
        <f>FW77/FX77</f>
        <v>868.05555555555554</v>
      </c>
      <c r="GA77" s="84">
        <f>FX77/FY77</f>
        <v>0.57599999999999996</v>
      </c>
      <c r="GC77" s="91">
        <f>SUM(GC40:GC42)</f>
        <v>3800</v>
      </c>
      <c r="GD77" s="369">
        <f>SUM(GD40:GD42)</f>
        <v>16.690000000000001</v>
      </c>
      <c r="GE77" s="371">
        <f>SUM(GE40:GE42)</f>
        <v>15</v>
      </c>
      <c r="GF77" s="369">
        <f>GC77/GD77</f>
        <v>227.68124625524266</v>
      </c>
      <c r="GG77" s="370">
        <f>GD77/GE77</f>
        <v>1.1126666666666667</v>
      </c>
      <c r="GI77" s="91">
        <f>SUM(GI40:GI42)</f>
        <v>2800</v>
      </c>
      <c r="GJ77" s="82">
        <f>SUM(GJ40:GJ42)</f>
        <v>15.219999999999999</v>
      </c>
      <c r="GK77" s="79">
        <f>SUM(GK40:GK42)</f>
        <v>15</v>
      </c>
      <c r="GL77" s="82">
        <f>GI77/GJ77</f>
        <v>183.96846254927729</v>
      </c>
      <c r="GM77" s="84">
        <f>GJ77/GK77</f>
        <v>1.0146666666666666</v>
      </c>
      <c r="GO77" s="91">
        <f>SUM(GO40:GO42)</f>
        <v>2550</v>
      </c>
      <c r="GP77" s="82">
        <f>SUM(GP40:GP42)</f>
        <v>8.94</v>
      </c>
      <c r="GQ77" s="79">
        <f>SUM(GQ40:GQ42)</f>
        <v>15</v>
      </c>
      <c r="GR77" s="82">
        <f>GO77/GP77</f>
        <v>285.23489932885906</v>
      </c>
      <c r="GS77" s="84">
        <f>GP77/GQ77</f>
        <v>0.59599999999999997</v>
      </c>
      <c r="GU77" s="91">
        <f>SUM(GU40:GU42)</f>
        <v>1750</v>
      </c>
      <c r="GV77" s="82">
        <f>SUM(GV40:GV42)</f>
        <v>12.59</v>
      </c>
      <c r="GW77" s="79">
        <f>SUM(GW40:GW42)</f>
        <v>15</v>
      </c>
      <c r="GX77" s="82">
        <f>GU77/GV77</f>
        <v>138.99920571882447</v>
      </c>
      <c r="GY77" s="84">
        <f>GV77/GW77</f>
        <v>0.83933333333333338</v>
      </c>
      <c r="HA77" s="91">
        <f>SUM(HA40:HA42)</f>
        <v>1110</v>
      </c>
      <c r="HB77" s="82">
        <f>SUM(HB40:HB42)</f>
        <v>11.899999999999999</v>
      </c>
      <c r="HC77" s="79">
        <f>SUM(HC40:HC42)</f>
        <v>15</v>
      </c>
      <c r="HD77" s="369">
        <f>HA77/HB77</f>
        <v>93.277310924369758</v>
      </c>
      <c r="HE77" s="370">
        <f>HB77/HC77</f>
        <v>0.79333333333333322</v>
      </c>
      <c r="HG77" s="91">
        <f>SUM(HG40:HG42)</f>
        <v>2700</v>
      </c>
      <c r="HH77" s="82">
        <f>SUM(HH40:HH42)</f>
        <v>10.69</v>
      </c>
      <c r="HI77" s="79">
        <f>SUM(HI40:HI42)</f>
        <v>15</v>
      </c>
      <c r="HJ77" s="82">
        <f>HG77/HH77</f>
        <v>252.57249766136579</v>
      </c>
      <c r="HK77" s="84">
        <f>HH77/HI77</f>
        <v>0.71266666666666667</v>
      </c>
      <c r="HM77" s="91">
        <f>SUM(HM40:HM42)</f>
        <v>2550</v>
      </c>
      <c r="HN77" s="82">
        <f>SUM(HN40:HN42)</f>
        <v>8</v>
      </c>
      <c r="HO77" s="79">
        <f>SUM(HO40:HO42)</f>
        <v>10</v>
      </c>
      <c r="HP77" s="82">
        <f>HM77/HN77</f>
        <v>318.75</v>
      </c>
      <c r="HQ77" s="84">
        <f>HN77/HO77</f>
        <v>0.8</v>
      </c>
      <c r="HS77" s="91">
        <f>SUM(HS40:HS42)</f>
        <v>1200</v>
      </c>
      <c r="HT77" s="82">
        <f>SUM(HT40:HT42)</f>
        <v>2.9299999999999997</v>
      </c>
      <c r="HU77" s="371">
        <f>SUM(HU40:HU42)</f>
        <v>5</v>
      </c>
      <c r="HV77" s="369">
        <f>HS77/HT77</f>
        <v>409.55631399317411</v>
      </c>
      <c r="HW77" s="370">
        <f>HT77/HU77</f>
        <v>0.58599999999999997</v>
      </c>
      <c r="HX77" s="178"/>
      <c r="HY77" s="91">
        <f>SUM(HY40:HY42)</f>
        <v>0</v>
      </c>
      <c r="HZ77" s="82">
        <f>SUM(HZ40:HZ42)</f>
        <v>0</v>
      </c>
      <c r="IA77" s="371">
        <f>SUM(IA40:IA42)</f>
        <v>0</v>
      </c>
      <c r="IB77" s="361" t="e">
        <f>HY77/HZ77</f>
        <v>#DIV/0!</v>
      </c>
      <c r="IC77" s="362" t="e">
        <f>HZ77/IA77</f>
        <v>#DIV/0!</v>
      </c>
      <c r="IE77" s="91">
        <f>SUM(IE40:IE42)</f>
        <v>2500</v>
      </c>
      <c r="IF77" s="82">
        <f>SUM(IF40:IF42)</f>
        <v>3.1399999999999997</v>
      </c>
      <c r="IG77" s="79">
        <f>SUM(IG40:IG42)</f>
        <v>5</v>
      </c>
      <c r="IH77" s="82">
        <f>IE77/IF77</f>
        <v>796.17834394904469</v>
      </c>
      <c r="II77" s="84">
        <f>IF77/IG77</f>
        <v>0.62799999999999989</v>
      </c>
      <c r="IK77" s="91">
        <f>SUM(IK40:IK42)</f>
        <v>4000</v>
      </c>
      <c r="IL77" s="82">
        <f>SUM(IL40:IL42)</f>
        <v>4.42</v>
      </c>
      <c r="IM77" s="79">
        <f>SUM(IM40:IM42)</f>
        <v>8</v>
      </c>
      <c r="IN77" s="82">
        <f>IK77/IL77</f>
        <v>904.97737556561083</v>
      </c>
      <c r="IO77" s="84">
        <f>IL77/IM77</f>
        <v>0.55249999999999999</v>
      </c>
      <c r="IQ77" s="91">
        <f>SUM(IQ40:IQ42)</f>
        <v>2000</v>
      </c>
      <c r="IR77" s="82">
        <f>SUM(IR40:IR42)</f>
        <v>2.25</v>
      </c>
      <c r="IS77" s="79">
        <f>SUM(IS40:IS42)</f>
        <v>5</v>
      </c>
      <c r="IT77" s="82">
        <f>IQ77/IR77</f>
        <v>888.88888888888891</v>
      </c>
      <c r="IU77" s="84">
        <f>IR77/IS77</f>
        <v>0.45</v>
      </c>
      <c r="IW77" s="91">
        <f>SUM(IW40:IW42)</f>
        <v>5750</v>
      </c>
      <c r="IX77" s="82">
        <f>SUM(IX40:IX42)</f>
        <v>9.8999999999999986</v>
      </c>
      <c r="IY77" s="79">
        <f>SUM(IY40:IY42)</f>
        <v>15</v>
      </c>
      <c r="IZ77" s="82">
        <f>IW77/IX77</f>
        <v>580.80808080808094</v>
      </c>
      <c r="JA77" s="84">
        <f>IX77/IY77</f>
        <v>0.65999999999999992</v>
      </c>
      <c r="JC77" s="91">
        <f>SUM(JC40:JC42)</f>
        <v>3100</v>
      </c>
      <c r="JD77" s="82">
        <f>SUM(JD40:JD42)</f>
        <v>11.52</v>
      </c>
      <c r="JE77" s="79">
        <f>SUM(JE40:JE42)</f>
        <v>15</v>
      </c>
      <c r="JF77" s="82">
        <f>JC77/JD77</f>
        <v>269.09722222222223</v>
      </c>
      <c r="JG77" s="84">
        <f>JD77/JE77</f>
        <v>0.76800000000000002</v>
      </c>
      <c r="JI77" s="91">
        <f>SUM(JI40:JI42)</f>
        <v>2000</v>
      </c>
      <c r="JJ77" s="82">
        <f>SUM(JJ40:JJ42)</f>
        <v>9.8000000000000007</v>
      </c>
      <c r="JK77" s="79">
        <f>SUM(JK40:JK42)</f>
        <v>10</v>
      </c>
      <c r="JL77" s="82">
        <f>JI77/JJ77</f>
        <v>204.08163265306121</v>
      </c>
      <c r="JM77" s="84">
        <f>JJ77/JK77</f>
        <v>0.98000000000000009</v>
      </c>
      <c r="JO77" s="91">
        <f>SUM(JO40:JO42)</f>
        <v>2700</v>
      </c>
      <c r="JP77" s="82">
        <f>SUM(JP40:JP42)</f>
        <v>13.18</v>
      </c>
      <c r="JQ77" s="79">
        <f>SUM(JQ40:JQ42)</f>
        <v>10</v>
      </c>
      <c r="JR77" s="82">
        <f>JO77/JP77</f>
        <v>204.85584218512898</v>
      </c>
      <c r="JS77" s="84">
        <f>JP77/JQ77</f>
        <v>1.3180000000000001</v>
      </c>
      <c r="JU77" s="91">
        <f>SUM(JU40:JU42)</f>
        <v>1650</v>
      </c>
      <c r="JV77" s="82">
        <f>SUM(JV40:JV42)</f>
        <v>14.54</v>
      </c>
      <c r="JW77" s="79">
        <f>SUM(JW40:JW42)</f>
        <v>15</v>
      </c>
      <c r="JX77" s="369">
        <f>JU77/JV77</f>
        <v>113.48005502063275</v>
      </c>
      <c r="JY77" s="84">
        <f>JV77/JW77</f>
        <v>0.96933333333333327</v>
      </c>
      <c r="KA77" s="91">
        <f>SUM(KA40:KA42)</f>
        <v>1000</v>
      </c>
      <c r="KB77" s="82">
        <f>SUM(KB40:KB42)</f>
        <v>4.13</v>
      </c>
      <c r="KC77" s="79">
        <f>SUM(KC40:KC42)</f>
        <v>5</v>
      </c>
      <c r="KD77" s="369">
        <f>KA77/KB77</f>
        <v>242.13075060532688</v>
      </c>
      <c r="KE77" s="84">
        <f>KB77/KC77</f>
        <v>0.82599999999999996</v>
      </c>
      <c r="KG77" s="91">
        <f>SUM(KG40:KG42)</f>
        <v>0</v>
      </c>
      <c r="KH77" s="82">
        <f>SUM(KH40:KH42)</f>
        <v>0</v>
      </c>
      <c r="KI77" s="79">
        <f>SUM(KI40:KI42)</f>
        <v>0</v>
      </c>
      <c r="KJ77" s="369" t="e">
        <f>KG77/KH77</f>
        <v>#DIV/0!</v>
      </c>
      <c r="KK77" s="84" t="e">
        <f>KH77/KI77</f>
        <v>#DIV/0!</v>
      </c>
      <c r="KM77" s="91">
        <f>SUM(KM40:KM42)</f>
        <v>2000</v>
      </c>
      <c r="KN77" s="82">
        <f>SUM(KN40:KN42)</f>
        <v>3.77</v>
      </c>
      <c r="KO77" s="79">
        <f>SUM(KO40:KO42)</f>
        <v>4</v>
      </c>
      <c r="KP77" s="369">
        <f>KM77/KN77</f>
        <v>530.50397877984085</v>
      </c>
      <c r="KQ77" s="84">
        <f>KN77/KO77</f>
        <v>0.9425</v>
      </c>
      <c r="KS77" s="91">
        <f>SUM(KS40:KS42)</f>
        <v>0</v>
      </c>
      <c r="KT77" s="82">
        <f>SUM(KT40:KT42)</f>
        <v>0</v>
      </c>
      <c r="KU77" s="79">
        <f>SUM(KU40:KU42)</f>
        <v>0</v>
      </c>
      <c r="KV77" s="369" t="e">
        <f>KS77/KT77</f>
        <v>#DIV/0!</v>
      </c>
      <c r="KW77" s="84" t="e">
        <f>KT77/KU77</f>
        <v>#DIV/0!</v>
      </c>
      <c r="KY77" s="91">
        <f>SUM(KY40:KY42)</f>
        <v>0</v>
      </c>
      <c r="KZ77" s="82">
        <f>SUM(KZ40:KZ42)</f>
        <v>0</v>
      </c>
      <c r="LA77" s="79">
        <f>SUM(LA40:LA42)</f>
        <v>0</v>
      </c>
      <c r="LB77" s="369" t="e">
        <f>KY77/KZ77</f>
        <v>#DIV/0!</v>
      </c>
      <c r="LC77" s="84" t="e">
        <f>KZ77/LA77</f>
        <v>#DIV/0!</v>
      </c>
      <c r="LE77" s="91">
        <f>SUM(LE40:LE42)</f>
        <v>0</v>
      </c>
      <c r="LF77" s="82">
        <f>SUM(LF40:LF42)</f>
        <v>0</v>
      </c>
      <c r="LG77" s="79">
        <f>SUM(LG40:LG42)</f>
        <v>0</v>
      </c>
      <c r="LH77" s="369" t="e">
        <f>LE77/LF77</f>
        <v>#DIV/0!</v>
      </c>
      <c r="LI77" s="84" t="e">
        <f>LF77/LG77</f>
        <v>#DIV/0!</v>
      </c>
      <c r="LK77" s="91">
        <f>SUM(LK40:LK42)</f>
        <v>1200</v>
      </c>
      <c r="LL77" s="82">
        <f>SUM(LL40:LL42)</f>
        <v>0</v>
      </c>
      <c r="LM77" s="79">
        <f>SUM(LM40:LM42)</f>
        <v>3</v>
      </c>
      <c r="LN77" s="369" t="e">
        <f>LK77/LL77</f>
        <v>#DIV/0!</v>
      </c>
      <c r="LO77" s="84">
        <f>LL77/LM77</f>
        <v>0</v>
      </c>
      <c r="LQ77" s="91">
        <f>SUM(LQ40:LQ42)</f>
        <v>1500</v>
      </c>
      <c r="LR77" s="82">
        <f>SUM(LR40:LR42)</f>
        <v>8.61</v>
      </c>
      <c r="LS77" s="79">
        <f>SUM(LS40:LS42)</f>
        <v>5</v>
      </c>
      <c r="LT77" s="369">
        <f>LQ77/LR77</f>
        <v>174.21602787456447</v>
      </c>
      <c r="LU77" s="84">
        <f>LR77/LS77</f>
        <v>1.722</v>
      </c>
      <c r="LW77" s="91">
        <f>SUM(LW40:LW42)</f>
        <v>2650</v>
      </c>
      <c r="LX77" s="82">
        <f>SUM(LX40:LX42)</f>
        <v>9.9899999999999984</v>
      </c>
      <c r="LY77" s="79">
        <f>SUM(LY40:LY42)</f>
        <v>10</v>
      </c>
      <c r="LZ77" s="369">
        <f>LW77/LX77</f>
        <v>265.26526526526533</v>
      </c>
      <c r="MA77" s="84">
        <f>LX77/LY77</f>
        <v>0.99899999999999989</v>
      </c>
      <c r="MC77" s="91">
        <f>SUM(MC40:MC42)</f>
        <v>1500</v>
      </c>
      <c r="MD77" s="82">
        <f>SUM(MD40:MD42)</f>
        <v>8.42</v>
      </c>
      <c r="ME77" s="79">
        <f>SUM(ME40:ME42)</f>
        <v>15</v>
      </c>
      <c r="MF77" s="369">
        <f>MC77/MD77</f>
        <v>178.14726840855107</v>
      </c>
      <c r="MG77" s="84">
        <f>MD77/ME77</f>
        <v>0.56133333333333335</v>
      </c>
      <c r="MI77" s="91">
        <f>SUM(MI40:MI42)</f>
        <v>1000</v>
      </c>
      <c r="MJ77" s="82">
        <f>SUM(MJ40:MJ42)</f>
        <v>3.9899999999999998</v>
      </c>
      <c r="MK77" s="79">
        <f>SUM(MK40:MK42)</f>
        <v>5</v>
      </c>
      <c r="ML77" s="369">
        <f>MI77/MJ77</f>
        <v>250.62656641604011</v>
      </c>
      <c r="MM77" s="84">
        <f>MJ77/MK77</f>
        <v>0.79799999999999993</v>
      </c>
      <c r="MO77" s="91">
        <f>SUM(MO40:MO42)</f>
        <v>0</v>
      </c>
      <c r="MP77" s="82">
        <f>SUM(MP40:MP42)</f>
        <v>0</v>
      </c>
      <c r="MQ77" s="79">
        <f>SUM(MQ40:MQ42)</f>
        <v>0</v>
      </c>
      <c r="MR77" s="369" t="e">
        <f>MO77/MP77</f>
        <v>#DIV/0!</v>
      </c>
      <c r="MS77" s="84" t="e">
        <f>MP77/MQ77</f>
        <v>#DIV/0!</v>
      </c>
      <c r="MU77" s="91">
        <f>SUM(MU40:MU42)</f>
        <v>0</v>
      </c>
      <c r="MV77" s="82">
        <f>SUM(MV40:MV42)</f>
        <v>0</v>
      </c>
      <c r="MW77" s="79">
        <f>SUM(MW40:MW42)</f>
        <v>0</v>
      </c>
      <c r="MX77" s="369" t="e">
        <f>MU77/MV77</f>
        <v>#DIV/0!</v>
      </c>
      <c r="MY77" s="84" t="e">
        <f>MV77/MW77</f>
        <v>#DIV/0!</v>
      </c>
      <c r="NA77" s="383">
        <f>SUM(NA40:NA42)</f>
        <v>2500</v>
      </c>
      <c r="NB77" s="748">
        <f>SUM(NB40:NB42)</f>
        <v>3.3</v>
      </c>
      <c r="NC77" s="748">
        <f>SUM(NC40:NC42)</f>
        <v>5</v>
      </c>
      <c r="ND77" s="369">
        <f>NA77/NB77</f>
        <v>757.57575757575762</v>
      </c>
      <c r="NE77" s="84">
        <f>NB77/NC77</f>
        <v>0.65999999999999992</v>
      </c>
      <c r="NG77" s="91">
        <f>SUM(NG40:NG42)</f>
        <v>0</v>
      </c>
      <c r="NH77" s="82">
        <f>SUM(NH40:NH42)</f>
        <v>0</v>
      </c>
      <c r="NI77" s="79">
        <f>SUM(NI40:NI42)</f>
        <v>0</v>
      </c>
      <c r="NJ77" s="369" t="e">
        <f>NG77/NH77</f>
        <v>#DIV/0!</v>
      </c>
      <c r="NK77" s="84" t="e">
        <f>NH77/NI77</f>
        <v>#DIV/0!</v>
      </c>
      <c r="NM77" s="91">
        <f>SUM(NM40:NM42)</f>
        <v>2500</v>
      </c>
      <c r="NN77" s="82">
        <f>SUM(NN40:NN42)</f>
        <v>3.15</v>
      </c>
      <c r="NO77" s="79">
        <f>SUM(NO40:NO42)</f>
        <v>5</v>
      </c>
      <c r="NP77" s="369">
        <f>NM77/NN77</f>
        <v>793.65079365079362</v>
      </c>
      <c r="NQ77" s="84">
        <f>NN77/NO77</f>
        <v>0.63</v>
      </c>
      <c r="NS77" s="91">
        <f>SUM(NS40:NS42)</f>
        <v>1500</v>
      </c>
      <c r="NT77" s="82">
        <f>SUM(NT40:NT42)</f>
        <v>1.9</v>
      </c>
      <c r="NU77" s="79">
        <f>SUM(NU40:NU42)</f>
        <v>3</v>
      </c>
      <c r="NV77" s="369">
        <f>NS77/NT77</f>
        <v>789.47368421052636</v>
      </c>
      <c r="NW77" s="84">
        <f>NT77/NU77</f>
        <v>0.6333333333333333</v>
      </c>
      <c r="NY77" s="91">
        <f>SUM(NY40:NY42)</f>
        <v>2500</v>
      </c>
      <c r="NZ77" s="82">
        <f>SUM(NZ40:NZ42)</f>
        <v>4.25</v>
      </c>
      <c r="OA77" s="79">
        <f>SUM(OA40:OA42)</f>
        <v>5</v>
      </c>
      <c r="OB77" s="369">
        <f>NY77/NZ77</f>
        <v>588.23529411764707</v>
      </c>
      <c r="OC77" s="84">
        <f>NZ77/OA77</f>
        <v>0.85</v>
      </c>
      <c r="OE77" s="91">
        <f>SUM(OE40:OE42)</f>
        <v>2500</v>
      </c>
      <c r="OF77" s="82">
        <f>SUM(OF40:OF42)</f>
        <v>4.75</v>
      </c>
      <c r="OG77" s="79">
        <f>SUM(OG40:OG42)</f>
        <v>5</v>
      </c>
      <c r="OH77" s="369">
        <f>OE77/OF77</f>
        <v>526.31578947368416</v>
      </c>
      <c r="OI77" s="84">
        <f>OF77/OG77</f>
        <v>0.95</v>
      </c>
    </row>
    <row r="78" spans="1:399">
      <c r="A78" s="715" t="s">
        <v>376</v>
      </c>
      <c r="B78" s="720" t="s">
        <v>377</v>
      </c>
      <c r="C78" s="722"/>
      <c r="D78" s="723" t="s">
        <v>11</v>
      </c>
      <c r="E78" s="79"/>
      <c r="F78" s="82"/>
      <c r="G78" s="79"/>
      <c r="H78" s="82"/>
      <c r="I78" s="84"/>
      <c r="J78" s="589"/>
      <c r="K78" s="79"/>
      <c r="L78" s="82"/>
      <c r="M78" s="79"/>
      <c r="N78" s="82"/>
      <c r="O78" s="84"/>
      <c r="P78" s="589"/>
      <c r="Q78" s="79"/>
      <c r="R78" s="82"/>
      <c r="S78" s="79"/>
      <c r="T78" s="82"/>
      <c r="U78" s="84"/>
      <c r="V78" s="589"/>
      <c r="W78" s="79"/>
      <c r="X78" s="82"/>
      <c r="Y78" s="79"/>
      <c r="Z78" s="82"/>
      <c r="AA78" s="84"/>
      <c r="AB78" s="589"/>
      <c r="AC78" s="79"/>
      <c r="AD78" s="82"/>
      <c r="AE78" s="79"/>
      <c r="AF78" s="82"/>
      <c r="AG78" s="84"/>
      <c r="AH78" s="589"/>
      <c r="AI78" s="79"/>
      <c r="AJ78" s="82"/>
      <c r="AK78" s="79"/>
      <c r="AL78" s="82"/>
      <c r="AM78" s="84"/>
      <c r="AN78" s="589"/>
      <c r="AO78" s="79"/>
      <c r="AP78" s="82"/>
      <c r="AQ78" s="79"/>
      <c r="AR78" s="82"/>
      <c r="AS78" s="84"/>
      <c r="AT78" s="589"/>
      <c r="AU78" s="79"/>
      <c r="AV78" s="82"/>
      <c r="AW78" s="79"/>
      <c r="AX78" s="82"/>
      <c r="AY78" s="84"/>
      <c r="AZ78" s="84"/>
      <c r="BA78" s="79"/>
      <c r="BB78" s="82"/>
      <c r="BC78" s="79"/>
      <c r="BD78" s="82"/>
      <c r="BE78" s="84"/>
      <c r="BF78" s="84"/>
      <c r="BG78" s="79"/>
      <c r="BH78" s="82"/>
      <c r="BI78" s="79"/>
      <c r="BJ78" s="82"/>
      <c r="BK78" s="84"/>
      <c r="BL78" s="84"/>
      <c r="BM78" s="79"/>
      <c r="BN78" s="82"/>
      <c r="BO78" s="79"/>
      <c r="BP78" s="82"/>
      <c r="BQ78" s="84"/>
      <c r="BR78" s="589"/>
      <c r="BS78" s="79"/>
      <c r="BT78" s="82"/>
      <c r="BU78" s="79"/>
      <c r="BV78" s="82"/>
      <c r="BW78" s="84"/>
      <c r="BX78" s="84"/>
      <c r="BY78" s="79"/>
      <c r="BZ78" s="82"/>
      <c r="CA78" s="79"/>
      <c r="CB78" s="82"/>
      <c r="CC78" s="84"/>
      <c r="CD78" s="84"/>
      <c r="CE78" s="79"/>
      <c r="CF78" s="82"/>
      <c r="CG78" s="79"/>
      <c r="CH78" s="82"/>
      <c r="CI78" s="84"/>
      <c r="CJ78" s="84"/>
      <c r="CK78" s="79"/>
      <c r="CL78" s="82"/>
      <c r="CM78" s="79"/>
      <c r="CN78" s="82"/>
      <c r="CO78" s="84"/>
      <c r="CP78" s="84"/>
      <c r="CQ78" s="79"/>
      <c r="CR78" s="82"/>
      <c r="CS78" s="79"/>
      <c r="CT78" s="82"/>
      <c r="CU78" s="84"/>
      <c r="CV78" s="84"/>
      <c r="CW78" s="79"/>
      <c r="CX78" s="82"/>
      <c r="CY78" s="79"/>
      <c r="CZ78" s="82"/>
      <c r="DA78" s="84"/>
      <c r="DB78" s="84"/>
      <c r="DC78" s="79"/>
      <c r="DD78" s="82"/>
      <c r="DE78" s="79"/>
      <c r="DF78" s="82"/>
      <c r="DG78" s="84"/>
      <c r="DH78" s="84"/>
      <c r="DI78" s="79"/>
      <c r="DJ78" s="82"/>
      <c r="DK78" s="79"/>
      <c r="DL78" s="82"/>
      <c r="DM78" s="84"/>
      <c r="DN78" s="84"/>
      <c r="DO78" s="79"/>
      <c r="DP78" s="82"/>
      <c r="DQ78" s="79"/>
      <c r="DR78" s="82"/>
      <c r="DS78" s="84"/>
      <c r="DT78" s="84"/>
      <c r="DU78" s="79"/>
      <c r="DV78" s="82"/>
      <c r="DW78" s="79"/>
      <c r="DX78" s="82"/>
      <c r="DY78" s="84"/>
      <c r="DZ78" s="84"/>
      <c r="EA78" s="79"/>
      <c r="EB78" s="82"/>
      <c r="EC78" s="79"/>
      <c r="ED78" s="82"/>
      <c r="EE78" s="84"/>
      <c r="EF78" s="84"/>
      <c r="EG78" s="79"/>
      <c r="EH78" s="82"/>
      <c r="EI78" s="79"/>
      <c r="EJ78" s="82"/>
      <c r="EK78" s="84"/>
      <c r="EL78" s="84"/>
      <c r="EM78" s="79"/>
      <c r="EN78" s="82"/>
      <c r="EO78" s="79"/>
      <c r="EP78" s="82"/>
      <c r="EQ78" s="84"/>
      <c r="ER78" s="589"/>
      <c r="ES78" s="79"/>
      <c r="ET78" s="82"/>
      <c r="EU78" s="79"/>
      <c r="EV78" s="82"/>
      <c r="EW78" s="84"/>
      <c r="EY78" s="91"/>
      <c r="EZ78" s="369"/>
      <c r="FA78" s="371"/>
      <c r="FB78" s="369"/>
      <c r="FC78" s="370"/>
      <c r="FE78" s="91"/>
      <c r="FF78" s="82"/>
      <c r="FG78" s="79"/>
      <c r="FH78" s="94"/>
      <c r="FI78" s="84"/>
      <c r="FK78" s="91"/>
      <c r="FL78" s="82"/>
      <c r="FM78" s="371"/>
      <c r="FN78" s="361"/>
      <c r="FO78" s="362"/>
      <c r="FQ78" s="91"/>
      <c r="FR78" s="82"/>
      <c r="FS78" s="79"/>
      <c r="FT78" s="82"/>
      <c r="FU78" s="84"/>
      <c r="FW78" s="91"/>
      <c r="FX78" s="82"/>
      <c r="FY78" s="79"/>
      <c r="FZ78" s="82"/>
      <c r="GA78" s="84"/>
      <c r="GC78" s="91"/>
      <c r="GD78" s="369"/>
      <c r="GE78" s="371"/>
      <c r="GF78" s="369"/>
      <c r="GG78" s="370"/>
      <c r="GI78" s="91"/>
      <c r="GJ78" s="82"/>
      <c r="GK78" s="79"/>
      <c r="GL78" s="82"/>
      <c r="GM78" s="84"/>
      <c r="GO78" s="91"/>
      <c r="GP78" s="82"/>
      <c r="GQ78" s="79"/>
      <c r="GR78" s="82"/>
      <c r="GS78" s="84"/>
      <c r="GU78" s="91"/>
      <c r="GV78" s="82"/>
      <c r="GW78" s="79"/>
      <c r="GX78" s="82"/>
      <c r="GY78" s="84"/>
      <c r="HA78" s="91"/>
      <c r="HB78" s="82"/>
      <c r="HC78" s="79"/>
      <c r="HD78" s="369"/>
      <c r="HE78" s="370"/>
      <c r="HG78" s="91"/>
      <c r="HH78" s="82"/>
      <c r="HI78" s="79"/>
      <c r="HJ78" s="82"/>
      <c r="HK78" s="84"/>
      <c r="HM78" s="91"/>
      <c r="HN78" s="82"/>
      <c r="HO78" s="79"/>
      <c r="HP78" s="82"/>
      <c r="HQ78" s="84"/>
      <c r="HS78" s="91"/>
      <c r="HT78" s="82"/>
      <c r="HU78" s="371"/>
      <c r="HV78" s="369"/>
      <c r="HW78" s="370"/>
      <c r="HX78" s="178"/>
      <c r="HY78" s="91"/>
      <c r="HZ78" s="82"/>
      <c r="IA78" s="371"/>
      <c r="IB78" s="361"/>
      <c r="IC78" s="362"/>
      <c r="IE78" s="91"/>
      <c r="IF78" s="82"/>
      <c r="IG78" s="79"/>
      <c r="IH78" s="82"/>
      <c r="II78" s="84"/>
      <c r="IK78" s="91"/>
      <c r="IL78" s="82"/>
      <c r="IM78" s="79"/>
      <c r="IN78" s="82"/>
      <c r="IO78" s="84"/>
      <c r="IQ78" s="91"/>
      <c r="IR78" s="82"/>
      <c r="IS78" s="79"/>
      <c r="IT78" s="82"/>
      <c r="IU78" s="84"/>
      <c r="IW78" s="91"/>
      <c r="IX78" s="82"/>
      <c r="IY78" s="79"/>
      <c r="IZ78" s="82"/>
      <c r="JA78" s="84"/>
      <c r="JC78" s="91"/>
      <c r="JD78" s="82"/>
      <c r="JE78" s="79"/>
      <c r="JF78" s="82"/>
      <c r="JG78" s="84"/>
      <c r="JI78" s="91"/>
      <c r="JJ78" s="82"/>
      <c r="JK78" s="79"/>
      <c r="JL78" s="82"/>
      <c r="JM78" s="84"/>
      <c r="JO78" s="739">
        <f>JO43</f>
        <v>0</v>
      </c>
      <c r="JP78" s="737">
        <f>JP43</f>
        <v>0</v>
      </c>
      <c r="JQ78" s="740">
        <f>JQ43</f>
        <v>0</v>
      </c>
      <c r="JR78" s="737" t="e">
        <f t="shared" ref="JR78:JR84" si="1463">JO78/JP78</f>
        <v>#DIV/0!</v>
      </c>
      <c r="JS78" s="738" t="e">
        <f t="shared" ref="JS78:JS84" si="1464">JP78/JQ78</f>
        <v>#DIV/0!</v>
      </c>
      <c r="JU78" s="739">
        <f t="shared" ref="JU78:JW86" si="1465">SUM(JU43)</f>
        <v>0</v>
      </c>
      <c r="JV78" s="737">
        <f t="shared" si="1465"/>
        <v>0</v>
      </c>
      <c r="JW78" s="740">
        <f t="shared" si="1465"/>
        <v>0</v>
      </c>
      <c r="JX78" s="737" t="e">
        <f t="shared" ref="JX78:JX85" si="1466">JU78/JV78</f>
        <v>#DIV/0!</v>
      </c>
      <c r="JY78" s="738" t="e">
        <f t="shared" ref="JY78:JY85" si="1467">JV78/JW78</f>
        <v>#DIV/0!</v>
      </c>
      <c r="KA78" s="739">
        <f t="shared" ref="KA78:KC86" si="1468">SUM(KA43)</f>
        <v>0</v>
      </c>
      <c r="KB78" s="737">
        <f t="shared" si="1468"/>
        <v>0</v>
      </c>
      <c r="KC78" s="740">
        <f t="shared" si="1468"/>
        <v>0</v>
      </c>
      <c r="KD78" s="737" t="e">
        <f t="shared" ref="KD78:KD85" si="1469">KA78/KB78</f>
        <v>#DIV/0!</v>
      </c>
      <c r="KE78" s="738" t="e">
        <f t="shared" ref="KE78:KE85" si="1470">KB78/KC78</f>
        <v>#DIV/0!</v>
      </c>
      <c r="KG78" s="739">
        <f t="shared" ref="KG78:KI78" si="1471">SUM(KG43)</f>
        <v>0</v>
      </c>
      <c r="KH78" s="737">
        <f t="shared" si="1471"/>
        <v>0</v>
      </c>
      <c r="KI78" s="740">
        <f t="shared" si="1471"/>
        <v>0</v>
      </c>
      <c r="KJ78" s="737" t="e">
        <f t="shared" ref="KJ78:KJ85" si="1472">KG78/KH78</f>
        <v>#DIV/0!</v>
      </c>
      <c r="KK78" s="738" t="e">
        <f t="shared" ref="KK78:KK85" si="1473">KH78/KI78</f>
        <v>#DIV/0!</v>
      </c>
      <c r="KM78" s="739">
        <f t="shared" ref="KM78:KO78" si="1474">SUM(KM43)</f>
        <v>0</v>
      </c>
      <c r="KN78" s="737">
        <f t="shared" si="1474"/>
        <v>0</v>
      </c>
      <c r="KO78" s="740">
        <f t="shared" si="1474"/>
        <v>0</v>
      </c>
      <c r="KP78" s="737" t="e">
        <f t="shared" ref="KP78:KP85" si="1475">KM78/KN78</f>
        <v>#DIV/0!</v>
      </c>
      <c r="KQ78" s="738" t="e">
        <f t="shared" ref="KQ78:KQ85" si="1476">KN78/KO78</f>
        <v>#DIV/0!</v>
      </c>
      <c r="KS78" s="739">
        <f t="shared" ref="KS78:KU78" si="1477">SUM(KS43)</f>
        <v>0</v>
      </c>
      <c r="KT78" s="737">
        <f t="shared" si="1477"/>
        <v>0</v>
      </c>
      <c r="KU78" s="740">
        <f t="shared" si="1477"/>
        <v>0</v>
      </c>
      <c r="KV78" s="737" t="e">
        <f t="shared" ref="KV78:KV85" si="1478">KS78/KT78</f>
        <v>#DIV/0!</v>
      </c>
      <c r="KW78" s="738" t="e">
        <f t="shared" ref="KW78:KW85" si="1479">KT78/KU78</f>
        <v>#DIV/0!</v>
      </c>
      <c r="KY78" s="739">
        <f t="shared" ref="KY78:LA78" si="1480">SUM(KY43)</f>
        <v>0</v>
      </c>
      <c r="KZ78" s="737">
        <f t="shared" si="1480"/>
        <v>0</v>
      </c>
      <c r="LA78" s="740">
        <f t="shared" si="1480"/>
        <v>0</v>
      </c>
      <c r="LB78" s="737" t="e">
        <f t="shared" ref="LB78:LB85" si="1481">KY78/KZ78</f>
        <v>#DIV/0!</v>
      </c>
      <c r="LC78" s="738" t="e">
        <f t="shared" ref="LC78:LC85" si="1482">KZ78/LA78</f>
        <v>#DIV/0!</v>
      </c>
      <c r="LE78" s="739">
        <f t="shared" ref="LE78:LG78" si="1483">SUM(LE43)</f>
        <v>0</v>
      </c>
      <c r="LF78" s="737">
        <f t="shared" si="1483"/>
        <v>0</v>
      </c>
      <c r="LG78" s="740">
        <f t="shared" si="1483"/>
        <v>0</v>
      </c>
      <c r="LH78" s="737" t="e">
        <f t="shared" ref="LH78:LH85" si="1484">LE78/LF78</f>
        <v>#DIV/0!</v>
      </c>
      <c r="LI78" s="738" t="e">
        <f t="shared" ref="LI78:LI85" si="1485">LF78/LG78</f>
        <v>#DIV/0!</v>
      </c>
      <c r="LK78" s="739">
        <f t="shared" ref="LK78:LM78" si="1486">SUM(LK43)</f>
        <v>0</v>
      </c>
      <c r="LL78" s="737">
        <f t="shared" si="1486"/>
        <v>0</v>
      </c>
      <c r="LM78" s="740">
        <f t="shared" si="1486"/>
        <v>0</v>
      </c>
      <c r="LN78" s="737" t="e">
        <f t="shared" ref="LN78:LN85" si="1487">LK78/LL78</f>
        <v>#DIV/0!</v>
      </c>
      <c r="LO78" s="738" t="e">
        <f t="shared" ref="LO78:LO85" si="1488">LL78/LM78</f>
        <v>#DIV/0!</v>
      </c>
      <c r="LQ78" s="739">
        <f t="shared" ref="LQ78:LS78" si="1489">SUM(LQ43)</f>
        <v>0</v>
      </c>
      <c r="LR78" s="737">
        <f t="shared" si="1489"/>
        <v>0</v>
      </c>
      <c r="LS78" s="740">
        <f t="shared" si="1489"/>
        <v>0</v>
      </c>
      <c r="LT78" s="737" t="e">
        <f t="shared" ref="LT78:LT85" si="1490">LQ78/LR78</f>
        <v>#DIV/0!</v>
      </c>
      <c r="LU78" s="738" t="e">
        <f t="shared" ref="LU78:LU85" si="1491">LR78/LS78</f>
        <v>#DIV/0!</v>
      </c>
      <c r="LW78" s="739">
        <f t="shared" ref="LW78:LY78" si="1492">SUM(LW43)</f>
        <v>0</v>
      </c>
      <c r="LX78" s="737">
        <f t="shared" si="1492"/>
        <v>0</v>
      </c>
      <c r="LY78" s="740">
        <f t="shared" si="1492"/>
        <v>0</v>
      </c>
      <c r="LZ78" s="737" t="e">
        <f t="shared" ref="LZ78:LZ85" si="1493">LW78/LX78</f>
        <v>#DIV/0!</v>
      </c>
      <c r="MA78" s="738" t="e">
        <f t="shared" ref="MA78:MA85" si="1494">LX78/LY78</f>
        <v>#DIV/0!</v>
      </c>
      <c r="MC78" s="739">
        <f t="shared" ref="MC78:ME78" si="1495">SUM(MC43)</f>
        <v>0</v>
      </c>
      <c r="MD78" s="737">
        <f t="shared" si="1495"/>
        <v>0</v>
      </c>
      <c r="ME78" s="740">
        <f t="shared" si="1495"/>
        <v>0</v>
      </c>
      <c r="MF78" s="737" t="e">
        <f t="shared" ref="MF78:MF85" si="1496">MC78/MD78</f>
        <v>#DIV/0!</v>
      </c>
      <c r="MG78" s="738" t="e">
        <f t="shared" ref="MG78:MG85" si="1497">MD78/ME78</f>
        <v>#DIV/0!</v>
      </c>
      <c r="MI78" s="739">
        <f t="shared" ref="MI78:MK78" si="1498">SUM(MI43)</f>
        <v>0</v>
      </c>
      <c r="MJ78" s="737">
        <f t="shared" si="1498"/>
        <v>0</v>
      </c>
      <c r="MK78" s="740">
        <f t="shared" si="1498"/>
        <v>0</v>
      </c>
      <c r="ML78" s="737" t="e">
        <f t="shared" ref="ML78:ML85" si="1499">MI78/MJ78</f>
        <v>#DIV/0!</v>
      </c>
      <c r="MM78" s="738" t="e">
        <f t="shared" ref="MM78:MM85" si="1500">MJ78/MK78</f>
        <v>#DIV/0!</v>
      </c>
      <c r="MO78" s="739">
        <f t="shared" ref="MO78:MQ78" si="1501">SUM(MO43)</f>
        <v>0</v>
      </c>
      <c r="MP78" s="737">
        <f t="shared" si="1501"/>
        <v>0</v>
      </c>
      <c r="MQ78" s="740">
        <f t="shared" si="1501"/>
        <v>0</v>
      </c>
      <c r="MR78" s="737" t="e">
        <f t="shared" ref="MR78:MR85" si="1502">MO78/MP78</f>
        <v>#DIV/0!</v>
      </c>
      <c r="MS78" s="738" t="e">
        <f t="shared" ref="MS78:MS85" si="1503">MP78/MQ78</f>
        <v>#DIV/0!</v>
      </c>
      <c r="MU78" s="739">
        <f t="shared" ref="MU78:MW78" si="1504">SUM(MU43)</f>
        <v>0</v>
      </c>
      <c r="MV78" s="737">
        <f t="shared" si="1504"/>
        <v>0</v>
      </c>
      <c r="MW78" s="740">
        <f t="shared" si="1504"/>
        <v>0</v>
      </c>
      <c r="MX78" s="737" t="e">
        <f t="shared" ref="MX78:MX85" si="1505">MU78/MV78</f>
        <v>#DIV/0!</v>
      </c>
      <c r="MY78" s="738" t="e">
        <f t="shared" ref="MY78:MY85" si="1506">MV78/MW78</f>
        <v>#DIV/0!</v>
      </c>
      <c r="NA78" s="743">
        <f t="shared" ref="NA78:NC78" si="1507">SUM(NA43)</f>
        <v>0</v>
      </c>
      <c r="NB78" s="744">
        <f t="shared" si="1507"/>
        <v>0</v>
      </c>
      <c r="NC78" s="744">
        <f t="shared" si="1507"/>
        <v>0</v>
      </c>
      <c r="ND78" s="737" t="e">
        <f t="shared" ref="ND78:ND85" si="1508">NA78/NB78</f>
        <v>#DIV/0!</v>
      </c>
      <c r="NE78" s="738" t="e">
        <f t="shared" ref="NE78:NE85" si="1509">NB78/NC78</f>
        <v>#DIV/0!</v>
      </c>
      <c r="NG78" s="739">
        <f t="shared" ref="NG78:NI78" si="1510">SUM(NG43)</f>
        <v>0</v>
      </c>
      <c r="NH78" s="737">
        <f t="shared" si="1510"/>
        <v>0</v>
      </c>
      <c r="NI78" s="740">
        <f t="shared" si="1510"/>
        <v>0</v>
      </c>
      <c r="NJ78" s="737" t="e">
        <f t="shared" ref="NJ78:NJ85" si="1511">NG78/NH78</f>
        <v>#DIV/0!</v>
      </c>
      <c r="NK78" s="738" t="e">
        <f t="shared" ref="NK78:NK85" si="1512">NH78/NI78</f>
        <v>#DIV/0!</v>
      </c>
      <c r="NM78" s="739">
        <f t="shared" ref="NM78:NO78" si="1513">SUM(NM43)</f>
        <v>0</v>
      </c>
      <c r="NN78" s="737">
        <f t="shared" si="1513"/>
        <v>0</v>
      </c>
      <c r="NO78" s="740">
        <f t="shared" si="1513"/>
        <v>0</v>
      </c>
      <c r="NP78" s="737" t="e">
        <f t="shared" ref="NP78:NP85" si="1514">NM78/NN78</f>
        <v>#DIV/0!</v>
      </c>
      <c r="NQ78" s="738" t="e">
        <f t="shared" ref="NQ78:NQ85" si="1515">NN78/NO78</f>
        <v>#DIV/0!</v>
      </c>
      <c r="NS78" s="739">
        <f t="shared" ref="NS78:NU78" si="1516">SUM(NS43)</f>
        <v>0</v>
      </c>
      <c r="NT78" s="737">
        <f t="shared" si="1516"/>
        <v>0</v>
      </c>
      <c r="NU78" s="740">
        <f t="shared" si="1516"/>
        <v>0</v>
      </c>
      <c r="NV78" s="737" t="e">
        <f t="shared" ref="NV78:NV85" si="1517">NS78/NT78</f>
        <v>#DIV/0!</v>
      </c>
      <c r="NW78" s="738" t="e">
        <f t="shared" ref="NW78:NW85" si="1518">NT78/NU78</f>
        <v>#DIV/0!</v>
      </c>
      <c r="NY78" s="739">
        <f t="shared" ref="NY78:OA78" si="1519">SUM(NY43)</f>
        <v>0</v>
      </c>
      <c r="NZ78" s="737">
        <f t="shared" si="1519"/>
        <v>0</v>
      </c>
      <c r="OA78" s="740">
        <f t="shared" si="1519"/>
        <v>0</v>
      </c>
      <c r="OB78" s="737" t="e">
        <f t="shared" ref="OB78:OB85" si="1520">NY78/NZ78</f>
        <v>#DIV/0!</v>
      </c>
      <c r="OC78" s="738" t="e">
        <f t="shared" ref="OC78:OC85" si="1521">NZ78/OA78</f>
        <v>#DIV/0!</v>
      </c>
      <c r="OE78" s="739">
        <f t="shared" ref="OE78:OG78" si="1522">SUM(OE43)</f>
        <v>0</v>
      </c>
      <c r="OF78" s="737">
        <f t="shared" si="1522"/>
        <v>0</v>
      </c>
      <c r="OG78" s="740">
        <f t="shared" si="1522"/>
        <v>0</v>
      </c>
      <c r="OH78" s="737" t="e">
        <f t="shared" ref="OH78:OH85" si="1523">OE78/OF78</f>
        <v>#DIV/0!</v>
      </c>
      <c r="OI78" s="738" t="e">
        <f t="shared" ref="OI78:OI85" si="1524">OF78/OG78</f>
        <v>#DIV/0!</v>
      </c>
    </row>
    <row r="79" spans="1:399">
      <c r="A79" s="715" t="s">
        <v>376</v>
      </c>
      <c r="B79" s="720" t="s">
        <v>378</v>
      </c>
      <c r="C79" s="722"/>
      <c r="D79" s="723" t="s">
        <v>11</v>
      </c>
      <c r="E79" s="79"/>
      <c r="F79" s="82"/>
      <c r="G79" s="79"/>
      <c r="H79" s="82"/>
      <c r="I79" s="84"/>
      <c r="J79" s="589"/>
      <c r="K79" s="79"/>
      <c r="L79" s="82"/>
      <c r="M79" s="79"/>
      <c r="N79" s="82"/>
      <c r="O79" s="84"/>
      <c r="P79" s="589"/>
      <c r="Q79" s="79"/>
      <c r="R79" s="82"/>
      <c r="S79" s="79"/>
      <c r="T79" s="82"/>
      <c r="U79" s="84"/>
      <c r="V79" s="589"/>
      <c r="W79" s="79"/>
      <c r="X79" s="82"/>
      <c r="Y79" s="79"/>
      <c r="Z79" s="82"/>
      <c r="AA79" s="84"/>
      <c r="AB79" s="589"/>
      <c r="AC79" s="79"/>
      <c r="AD79" s="82"/>
      <c r="AE79" s="79"/>
      <c r="AF79" s="82"/>
      <c r="AG79" s="84"/>
      <c r="AH79" s="589"/>
      <c r="AI79" s="79"/>
      <c r="AJ79" s="82"/>
      <c r="AK79" s="79"/>
      <c r="AL79" s="82"/>
      <c r="AM79" s="84"/>
      <c r="AN79" s="589"/>
      <c r="AO79" s="79"/>
      <c r="AP79" s="82"/>
      <c r="AQ79" s="79"/>
      <c r="AR79" s="82"/>
      <c r="AS79" s="84"/>
      <c r="AT79" s="589"/>
      <c r="AU79" s="79"/>
      <c r="AV79" s="82"/>
      <c r="AW79" s="79"/>
      <c r="AX79" s="82"/>
      <c r="AY79" s="84"/>
      <c r="AZ79" s="84"/>
      <c r="BA79" s="79"/>
      <c r="BB79" s="82"/>
      <c r="BC79" s="79"/>
      <c r="BD79" s="82"/>
      <c r="BE79" s="84"/>
      <c r="BF79" s="84"/>
      <c r="BG79" s="79"/>
      <c r="BH79" s="82"/>
      <c r="BI79" s="79"/>
      <c r="BJ79" s="82"/>
      <c r="BK79" s="84"/>
      <c r="BL79" s="84"/>
      <c r="BM79" s="79"/>
      <c r="BN79" s="82"/>
      <c r="BO79" s="79"/>
      <c r="BP79" s="82"/>
      <c r="BQ79" s="84"/>
      <c r="BR79" s="589"/>
      <c r="BS79" s="79"/>
      <c r="BT79" s="82"/>
      <c r="BU79" s="79"/>
      <c r="BV79" s="82"/>
      <c r="BW79" s="84"/>
      <c r="BX79" s="84"/>
      <c r="BY79" s="79"/>
      <c r="BZ79" s="82"/>
      <c r="CA79" s="79"/>
      <c r="CB79" s="82"/>
      <c r="CC79" s="84"/>
      <c r="CD79" s="84"/>
      <c r="CE79" s="79"/>
      <c r="CF79" s="82"/>
      <c r="CG79" s="79"/>
      <c r="CH79" s="82"/>
      <c r="CI79" s="84"/>
      <c r="CJ79" s="84"/>
      <c r="CK79" s="79"/>
      <c r="CL79" s="82"/>
      <c r="CM79" s="79"/>
      <c r="CN79" s="82"/>
      <c r="CO79" s="84"/>
      <c r="CP79" s="84"/>
      <c r="CQ79" s="79"/>
      <c r="CR79" s="82"/>
      <c r="CS79" s="79"/>
      <c r="CT79" s="82"/>
      <c r="CU79" s="84"/>
      <c r="CV79" s="84"/>
      <c r="CW79" s="79"/>
      <c r="CX79" s="82"/>
      <c r="CY79" s="79"/>
      <c r="CZ79" s="82"/>
      <c r="DA79" s="84"/>
      <c r="DB79" s="84"/>
      <c r="DC79" s="79"/>
      <c r="DD79" s="82"/>
      <c r="DE79" s="79"/>
      <c r="DF79" s="82"/>
      <c r="DG79" s="84"/>
      <c r="DH79" s="84"/>
      <c r="DI79" s="79"/>
      <c r="DJ79" s="82"/>
      <c r="DK79" s="79"/>
      <c r="DL79" s="82"/>
      <c r="DM79" s="84"/>
      <c r="DN79" s="84"/>
      <c r="DO79" s="79"/>
      <c r="DP79" s="82"/>
      <c r="DQ79" s="79"/>
      <c r="DR79" s="82"/>
      <c r="DS79" s="84"/>
      <c r="DT79" s="84"/>
      <c r="DU79" s="79"/>
      <c r="DV79" s="82"/>
      <c r="DW79" s="79"/>
      <c r="DX79" s="82"/>
      <c r="DY79" s="84"/>
      <c r="DZ79" s="84"/>
      <c r="EA79" s="79"/>
      <c r="EB79" s="82"/>
      <c r="EC79" s="79"/>
      <c r="ED79" s="82"/>
      <c r="EE79" s="84"/>
      <c r="EF79" s="84"/>
      <c r="EG79" s="79"/>
      <c r="EH79" s="82"/>
      <c r="EI79" s="79"/>
      <c r="EJ79" s="82"/>
      <c r="EK79" s="84"/>
      <c r="EL79" s="84"/>
      <c r="EM79" s="79"/>
      <c r="EN79" s="82"/>
      <c r="EO79" s="79"/>
      <c r="EP79" s="82"/>
      <c r="EQ79" s="84"/>
      <c r="ER79" s="589"/>
      <c r="ES79" s="79"/>
      <c r="ET79" s="82"/>
      <c r="EU79" s="79"/>
      <c r="EV79" s="82"/>
      <c r="EW79" s="84"/>
      <c r="EY79" s="91"/>
      <c r="EZ79" s="369"/>
      <c r="FA79" s="371"/>
      <c r="FB79" s="369"/>
      <c r="FC79" s="370"/>
      <c r="FE79" s="91"/>
      <c r="FF79" s="82"/>
      <c r="FG79" s="79"/>
      <c r="FH79" s="94"/>
      <c r="FI79" s="84"/>
      <c r="FK79" s="91"/>
      <c r="FL79" s="82"/>
      <c r="FM79" s="371"/>
      <c r="FN79" s="361"/>
      <c r="FO79" s="362"/>
      <c r="FQ79" s="91"/>
      <c r="FR79" s="82"/>
      <c r="FS79" s="79"/>
      <c r="FT79" s="82"/>
      <c r="FU79" s="84"/>
      <c r="FW79" s="91"/>
      <c r="FX79" s="82"/>
      <c r="FY79" s="79"/>
      <c r="FZ79" s="82"/>
      <c r="GA79" s="84"/>
      <c r="GC79" s="91"/>
      <c r="GD79" s="369"/>
      <c r="GE79" s="371"/>
      <c r="GF79" s="369"/>
      <c r="GG79" s="370"/>
      <c r="GI79" s="91"/>
      <c r="GJ79" s="82"/>
      <c r="GK79" s="79"/>
      <c r="GL79" s="82"/>
      <c r="GM79" s="84"/>
      <c r="GO79" s="91"/>
      <c r="GP79" s="82"/>
      <c r="GQ79" s="79"/>
      <c r="GR79" s="82"/>
      <c r="GS79" s="84"/>
      <c r="GU79" s="91"/>
      <c r="GV79" s="82"/>
      <c r="GW79" s="79"/>
      <c r="GX79" s="82"/>
      <c r="GY79" s="84"/>
      <c r="HA79" s="91"/>
      <c r="HB79" s="82"/>
      <c r="HC79" s="79"/>
      <c r="HD79" s="369"/>
      <c r="HE79" s="370"/>
      <c r="HG79" s="91"/>
      <c r="HH79" s="82"/>
      <c r="HI79" s="79"/>
      <c r="HJ79" s="82"/>
      <c r="HK79" s="84"/>
      <c r="HM79" s="91"/>
      <c r="HN79" s="82"/>
      <c r="HO79" s="79"/>
      <c r="HP79" s="82"/>
      <c r="HQ79" s="84"/>
      <c r="HS79" s="91"/>
      <c r="HT79" s="82"/>
      <c r="HU79" s="371"/>
      <c r="HV79" s="369"/>
      <c r="HW79" s="370"/>
      <c r="HX79" s="178"/>
      <c r="HY79" s="91"/>
      <c r="HZ79" s="82"/>
      <c r="IA79" s="371"/>
      <c r="IB79" s="361"/>
      <c r="IC79" s="362"/>
      <c r="IE79" s="91"/>
      <c r="IF79" s="82"/>
      <c r="IG79" s="79"/>
      <c r="IH79" s="82"/>
      <c r="II79" s="84"/>
      <c r="IK79" s="91"/>
      <c r="IL79" s="82"/>
      <c r="IM79" s="79"/>
      <c r="IN79" s="82"/>
      <c r="IO79" s="84"/>
      <c r="IQ79" s="91"/>
      <c r="IR79" s="82"/>
      <c r="IS79" s="79"/>
      <c r="IT79" s="82"/>
      <c r="IU79" s="84"/>
      <c r="IW79" s="91"/>
      <c r="IX79" s="82"/>
      <c r="IY79" s="79"/>
      <c r="IZ79" s="82"/>
      <c r="JA79" s="84"/>
      <c r="JC79" s="91"/>
      <c r="JD79" s="82"/>
      <c r="JE79" s="79"/>
      <c r="JF79" s="82"/>
      <c r="JG79" s="84"/>
      <c r="JI79" s="91"/>
      <c r="JJ79" s="82"/>
      <c r="JK79" s="79"/>
      <c r="JL79" s="82"/>
      <c r="JM79" s="84"/>
      <c r="JO79" s="739">
        <f t="shared" ref="JO79:JQ84" si="1525">JO44</f>
        <v>0</v>
      </c>
      <c r="JP79" s="737">
        <f t="shared" si="1525"/>
        <v>0</v>
      </c>
      <c r="JQ79" s="740">
        <f t="shared" si="1525"/>
        <v>0</v>
      </c>
      <c r="JR79" s="737" t="e">
        <f t="shared" si="1463"/>
        <v>#DIV/0!</v>
      </c>
      <c r="JS79" s="738" t="e">
        <f t="shared" si="1464"/>
        <v>#DIV/0!</v>
      </c>
      <c r="JU79" s="739">
        <f t="shared" si="1465"/>
        <v>0</v>
      </c>
      <c r="JV79" s="737">
        <f t="shared" si="1465"/>
        <v>0</v>
      </c>
      <c r="JW79" s="740">
        <f t="shared" si="1465"/>
        <v>0</v>
      </c>
      <c r="JX79" s="737" t="e">
        <f t="shared" si="1466"/>
        <v>#DIV/0!</v>
      </c>
      <c r="JY79" s="738" t="e">
        <f t="shared" si="1467"/>
        <v>#DIV/0!</v>
      </c>
      <c r="KA79" s="739">
        <f t="shared" si="1468"/>
        <v>0</v>
      </c>
      <c r="KB79" s="737">
        <f t="shared" si="1468"/>
        <v>0</v>
      </c>
      <c r="KC79" s="740">
        <f t="shared" si="1468"/>
        <v>0</v>
      </c>
      <c r="KD79" s="737" t="e">
        <f t="shared" si="1469"/>
        <v>#DIV/0!</v>
      </c>
      <c r="KE79" s="738" t="e">
        <f t="shared" si="1470"/>
        <v>#DIV/0!</v>
      </c>
      <c r="KG79" s="739">
        <f t="shared" ref="KG79:KI79" si="1526">SUM(KG44)</f>
        <v>0</v>
      </c>
      <c r="KH79" s="737">
        <f t="shared" si="1526"/>
        <v>0</v>
      </c>
      <c r="KI79" s="740">
        <f t="shared" si="1526"/>
        <v>0</v>
      </c>
      <c r="KJ79" s="737" t="e">
        <f t="shared" si="1472"/>
        <v>#DIV/0!</v>
      </c>
      <c r="KK79" s="738" t="e">
        <f t="shared" si="1473"/>
        <v>#DIV/0!</v>
      </c>
      <c r="KM79" s="739">
        <f t="shared" ref="KM79:KO79" si="1527">SUM(KM44)</f>
        <v>0</v>
      </c>
      <c r="KN79" s="737">
        <f t="shared" si="1527"/>
        <v>0</v>
      </c>
      <c r="KO79" s="740">
        <f t="shared" si="1527"/>
        <v>0</v>
      </c>
      <c r="KP79" s="737" t="e">
        <f t="shared" si="1475"/>
        <v>#DIV/0!</v>
      </c>
      <c r="KQ79" s="738" t="e">
        <f t="shared" si="1476"/>
        <v>#DIV/0!</v>
      </c>
      <c r="KS79" s="739">
        <f t="shared" ref="KS79:KU79" si="1528">SUM(KS44)</f>
        <v>0</v>
      </c>
      <c r="KT79" s="737">
        <f t="shared" si="1528"/>
        <v>0</v>
      </c>
      <c r="KU79" s="740">
        <f t="shared" si="1528"/>
        <v>0</v>
      </c>
      <c r="KV79" s="737" t="e">
        <f t="shared" si="1478"/>
        <v>#DIV/0!</v>
      </c>
      <c r="KW79" s="738" t="e">
        <f t="shared" si="1479"/>
        <v>#DIV/0!</v>
      </c>
      <c r="KY79" s="739">
        <f t="shared" ref="KY79:LA79" si="1529">SUM(KY44)</f>
        <v>0</v>
      </c>
      <c r="KZ79" s="737">
        <f t="shared" si="1529"/>
        <v>0</v>
      </c>
      <c r="LA79" s="740">
        <f t="shared" si="1529"/>
        <v>0</v>
      </c>
      <c r="LB79" s="737" t="e">
        <f t="shared" si="1481"/>
        <v>#DIV/0!</v>
      </c>
      <c r="LC79" s="738" t="e">
        <f t="shared" si="1482"/>
        <v>#DIV/0!</v>
      </c>
      <c r="LE79" s="739">
        <f t="shared" ref="LE79:LG79" si="1530">SUM(LE44)</f>
        <v>0</v>
      </c>
      <c r="LF79" s="737">
        <f t="shared" si="1530"/>
        <v>0</v>
      </c>
      <c r="LG79" s="740">
        <f t="shared" si="1530"/>
        <v>0</v>
      </c>
      <c r="LH79" s="737" t="e">
        <f t="shared" si="1484"/>
        <v>#DIV/0!</v>
      </c>
      <c r="LI79" s="738" t="e">
        <f t="shared" si="1485"/>
        <v>#DIV/0!</v>
      </c>
      <c r="LK79" s="739">
        <f t="shared" ref="LK79:LM79" si="1531">SUM(LK44)</f>
        <v>0</v>
      </c>
      <c r="LL79" s="737">
        <f t="shared" si="1531"/>
        <v>0</v>
      </c>
      <c r="LM79" s="740">
        <f t="shared" si="1531"/>
        <v>0</v>
      </c>
      <c r="LN79" s="737" t="e">
        <f t="shared" si="1487"/>
        <v>#DIV/0!</v>
      </c>
      <c r="LO79" s="738" t="e">
        <f t="shared" si="1488"/>
        <v>#DIV/0!</v>
      </c>
      <c r="LQ79" s="739">
        <f t="shared" ref="LQ79:LS79" si="1532">SUM(LQ44)</f>
        <v>0</v>
      </c>
      <c r="LR79" s="737">
        <f t="shared" si="1532"/>
        <v>0</v>
      </c>
      <c r="LS79" s="740">
        <f t="shared" si="1532"/>
        <v>0</v>
      </c>
      <c r="LT79" s="737" t="e">
        <f t="shared" si="1490"/>
        <v>#DIV/0!</v>
      </c>
      <c r="LU79" s="738" t="e">
        <f t="shared" si="1491"/>
        <v>#DIV/0!</v>
      </c>
      <c r="LW79" s="739">
        <f t="shared" ref="LW79:LY79" si="1533">SUM(LW44)</f>
        <v>600</v>
      </c>
      <c r="LX79" s="737">
        <f t="shared" si="1533"/>
        <v>1.24</v>
      </c>
      <c r="LY79" s="740">
        <f t="shared" si="1533"/>
        <v>3</v>
      </c>
      <c r="LZ79" s="737">
        <f t="shared" si="1493"/>
        <v>483.87096774193549</v>
      </c>
      <c r="MA79" s="738">
        <f t="shared" si="1494"/>
        <v>0.41333333333333333</v>
      </c>
      <c r="MC79" s="739">
        <f t="shared" ref="MC79:ME79" si="1534">SUM(MC44)</f>
        <v>0</v>
      </c>
      <c r="MD79" s="737">
        <f t="shared" si="1534"/>
        <v>0</v>
      </c>
      <c r="ME79" s="740">
        <f t="shared" si="1534"/>
        <v>0</v>
      </c>
      <c r="MF79" s="737" t="e">
        <f t="shared" si="1496"/>
        <v>#DIV/0!</v>
      </c>
      <c r="MG79" s="738" t="e">
        <f t="shared" si="1497"/>
        <v>#DIV/0!</v>
      </c>
      <c r="MI79" s="739">
        <f t="shared" ref="MI79:MK79" si="1535">SUM(MI44)</f>
        <v>0</v>
      </c>
      <c r="MJ79" s="737">
        <f t="shared" si="1535"/>
        <v>0</v>
      </c>
      <c r="MK79" s="740">
        <f t="shared" si="1535"/>
        <v>0</v>
      </c>
      <c r="ML79" s="737" t="e">
        <f t="shared" si="1499"/>
        <v>#DIV/0!</v>
      </c>
      <c r="MM79" s="738" t="e">
        <f t="shared" si="1500"/>
        <v>#DIV/0!</v>
      </c>
      <c r="MO79" s="739">
        <f t="shared" ref="MO79:MQ79" si="1536">SUM(MO44)</f>
        <v>0</v>
      </c>
      <c r="MP79" s="737">
        <f t="shared" si="1536"/>
        <v>0</v>
      </c>
      <c r="MQ79" s="740">
        <f t="shared" si="1536"/>
        <v>0</v>
      </c>
      <c r="MR79" s="737" t="e">
        <f t="shared" si="1502"/>
        <v>#DIV/0!</v>
      </c>
      <c r="MS79" s="738" t="e">
        <f t="shared" si="1503"/>
        <v>#DIV/0!</v>
      </c>
      <c r="MU79" s="739">
        <f t="shared" ref="MU79:MW79" si="1537">SUM(MU44)</f>
        <v>0</v>
      </c>
      <c r="MV79" s="737">
        <f t="shared" si="1537"/>
        <v>0</v>
      </c>
      <c r="MW79" s="740">
        <f t="shared" si="1537"/>
        <v>0</v>
      </c>
      <c r="MX79" s="737" t="e">
        <f t="shared" si="1505"/>
        <v>#DIV/0!</v>
      </c>
      <c r="MY79" s="738" t="e">
        <f t="shared" si="1506"/>
        <v>#DIV/0!</v>
      </c>
      <c r="NA79" s="743">
        <f t="shared" ref="NA79:NC79" si="1538">SUM(NA44)</f>
        <v>0</v>
      </c>
      <c r="NB79" s="744">
        <f t="shared" si="1538"/>
        <v>0</v>
      </c>
      <c r="NC79" s="744">
        <f t="shared" si="1538"/>
        <v>0</v>
      </c>
      <c r="ND79" s="737" t="e">
        <f t="shared" si="1508"/>
        <v>#DIV/0!</v>
      </c>
      <c r="NE79" s="738" t="e">
        <f t="shared" si="1509"/>
        <v>#DIV/0!</v>
      </c>
      <c r="NG79" s="739">
        <f t="shared" ref="NG79:NI79" si="1539">SUM(NG44)</f>
        <v>0</v>
      </c>
      <c r="NH79" s="737">
        <f t="shared" si="1539"/>
        <v>0</v>
      </c>
      <c r="NI79" s="740">
        <f t="shared" si="1539"/>
        <v>0</v>
      </c>
      <c r="NJ79" s="737" t="e">
        <f t="shared" si="1511"/>
        <v>#DIV/0!</v>
      </c>
      <c r="NK79" s="738" t="e">
        <f t="shared" si="1512"/>
        <v>#DIV/0!</v>
      </c>
      <c r="NM79" s="739">
        <f t="shared" ref="NM79:NO79" si="1540">SUM(NM44)</f>
        <v>0</v>
      </c>
      <c r="NN79" s="737">
        <f t="shared" si="1540"/>
        <v>0</v>
      </c>
      <c r="NO79" s="740">
        <f t="shared" si="1540"/>
        <v>0</v>
      </c>
      <c r="NP79" s="737" t="e">
        <f t="shared" si="1514"/>
        <v>#DIV/0!</v>
      </c>
      <c r="NQ79" s="738" t="e">
        <f t="shared" si="1515"/>
        <v>#DIV/0!</v>
      </c>
      <c r="NS79" s="739">
        <f t="shared" ref="NS79:NU79" si="1541">SUM(NS44)</f>
        <v>0</v>
      </c>
      <c r="NT79" s="737">
        <f t="shared" si="1541"/>
        <v>0</v>
      </c>
      <c r="NU79" s="740">
        <f t="shared" si="1541"/>
        <v>0</v>
      </c>
      <c r="NV79" s="737" t="e">
        <f t="shared" si="1517"/>
        <v>#DIV/0!</v>
      </c>
      <c r="NW79" s="738" t="e">
        <f t="shared" si="1518"/>
        <v>#DIV/0!</v>
      </c>
      <c r="NY79" s="739">
        <f t="shared" ref="NY79:OA79" si="1542">SUM(NY44)</f>
        <v>0</v>
      </c>
      <c r="NZ79" s="737">
        <f t="shared" si="1542"/>
        <v>0</v>
      </c>
      <c r="OA79" s="740">
        <f t="shared" si="1542"/>
        <v>0</v>
      </c>
      <c r="OB79" s="737" t="e">
        <f t="shared" si="1520"/>
        <v>#DIV/0!</v>
      </c>
      <c r="OC79" s="738" t="e">
        <f t="shared" si="1521"/>
        <v>#DIV/0!</v>
      </c>
      <c r="OE79" s="739">
        <f t="shared" ref="OE79:OG79" si="1543">SUM(OE44)</f>
        <v>0</v>
      </c>
      <c r="OF79" s="737">
        <f t="shared" si="1543"/>
        <v>0</v>
      </c>
      <c r="OG79" s="740">
        <f t="shared" si="1543"/>
        <v>0</v>
      </c>
      <c r="OH79" s="737" t="e">
        <f t="shared" si="1523"/>
        <v>#DIV/0!</v>
      </c>
      <c r="OI79" s="738" t="e">
        <f t="shared" si="1524"/>
        <v>#DIV/0!</v>
      </c>
    </row>
    <row r="80" spans="1:399">
      <c r="A80" s="715" t="s">
        <v>376</v>
      </c>
      <c r="B80" s="720" t="s">
        <v>379</v>
      </c>
      <c r="C80" s="722"/>
      <c r="D80" s="723" t="s">
        <v>11</v>
      </c>
      <c r="E80" s="79"/>
      <c r="F80" s="82"/>
      <c r="G80" s="79"/>
      <c r="H80" s="82"/>
      <c r="I80" s="84"/>
      <c r="J80" s="589"/>
      <c r="K80" s="79"/>
      <c r="L80" s="82"/>
      <c r="M80" s="79"/>
      <c r="N80" s="82"/>
      <c r="O80" s="84"/>
      <c r="P80" s="589"/>
      <c r="Q80" s="79"/>
      <c r="R80" s="82"/>
      <c r="S80" s="79"/>
      <c r="T80" s="82"/>
      <c r="U80" s="84"/>
      <c r="V80" s="589"/>
      <c r="W80" s="79"/>
      <c r="X80" s="82"/>
      <c r="Y80" s="79"/>
      <c r="Z80" s="82"/>
      <c r="AA80" s="84"/>
      <c r="AB80" s="589"/>
      <c r="AC80" s="79"/>
      <c r="AD80" s="82"/>
      <c r="AE80" s="79"/>
      <c r="AF80" s="82"/>
      <c r="AG80" s="84"/>
      <c r="AH80" s="589"/>
      <c r="AI80" s="79"/>
      <c r="AJ80" s="82"/>
      <c r="AK80" s="79"/>
      <c r="AL80" s="82"/>
      <c r="AM80" s="84"/>
      <c r="AN80" s="589"/>
      <c r="AO80" s="79"/>
      <c r="AP80" s="82"/>
      <c r="AQ80" s="79"/>
      <c r="AR80" s="82"/>
      <c r="AS80" s="84"/>
      <c r="AT80" s="589"/>
      <c r="AU80" s="79"/>
      <c r="AV80" s="82"/>
      <c r="AW80" s="79"/>
      <c r="AX80" s="82"/>
      <c r="AY80" s="84"/>
      <c r="AZ80" s="84"/>
      <c r="BA80" s="79"/>
      <c r="BB80" s="82"/>
      <c r="BC80" s="79"/>
      <c r="BD80" s="82"/>
      <c r="BE80" s="84"/>
      <c r="BF80" s="84"/>
      <c r="BG80" s="79"/>
      <c r="BH80" s="82"/>
      <c r="BI80" s="79"/>
      <c r="BJ80" s="82"/>
      <c r="BK80" s="84"/>
      <c r="BL80" s="84"/>
      <c r="BM80" s="79"/>
      <c r="BN80" s="82"/>
      <c r="BO80" s="79"/>
      <c r="BP80" s="82"/>
      <c r="BQ80" s="84"/>
      <c r="BR80" s="589"/>
      <c r="BS80" s="79"/>
      <c r="BT80" s="82"/>
      <c r="BU80" s="79"/>
      <c r="BV80" s="82"/>
      <c r="BW80" s="84"/>
      <c r="BX80" s="84"/>
      <c r="BY80" s="79"/>
      <c r="BZ80" s="82"/>
      <c r="CA80" s="79"/>
      <c r="CB80" s="82"/>
      <c r="CC80" s="84"/>
      <c r="CD80" s="84"/>
      <c r="CE80" s="79"/>
      <c r="CF80" s="82"/>
      <c r="CG80" s="79"/>
      <c r="CH80" s="82"/>
      <c r="CI80" s="84"/>
      <c r="CJ80" s="84"/>
      <c r="CK80" s="79"/>
      <c r="CL80" s="82"/>
      <c r="CM80" s="79"/>
      <c r="CN80" s="82"/>
      <c r="CO80" s="84"/>
      <c r="CP80" s="84"/>
      <c r="CQ80" s="79"/>
      <c r="CR80" s="82"/>
      <c r="CS80" s="79"/>
      <c r="CT80" s="82"/>
      <c r="CU80" s="84"/>
      <c r="CV80" s="84"/>
      <c r="CW80" s="79"/>
      <c r="CX80" s="82"/>
      <c r="CY80" s="79"/>
      <c r="CZ80" s="82"/>
      <c r="DA80" s="84"/>
      <c r="DB80" s="84"/>
      <c r="DC80" s="79"/>
      <c r="DD80" s="82"/>
      <c r="DE80" s="79"/>
      <c r="DF80" s="82"/>
      <c r="DG80" s="84"/>
      <c r="DH80" s="84"/>
      <c r="DI80" s="79"/>
      <c r="DJ80" s="82"/>
      <c r="DK80" s="79"/>
      <c r="DL80" s="82"/>
      <c r="DM80" s="84"/>
      <c r="DN80" s="84"/>
      <c r="DO80" s="79"/>
      <c r="DP80" s="82"/>
      <c r="DQ80" s="79"/>
      <c r="DR80" s="82"/>
      <c r="DS80" s="84"/>
      <c r="DT80" s="84"/>
      <c r="DU80" s="79"/>
      <c r="DV80" s="82"/>
      <c r="DW80" s="79"/>
      <c r="DX80" s="82"/>
      <c r="DY80" s="84"/>
      <c r="DZ80" s="84"/>
      <c r="EA80" s="79"/>
      <c r="EB80" s="82"/>
      <c r="EC80" s="79"/>
      <c r="ED80" s="82"/>
      <c r="EE80" s="84"/>
      <c r="EF80" s="84"/>
      <c r="EG80" s="79"/>
      <c r="EH80" s="82"/>
      <c r="EI80" s="79"/>
      <c r="EJ80" s="82"/>
      <c r="EK80" s="84"/>
      <c r="EL80" s="84"/>
      <c r="EM80" s="79"/>
      <c r="EN80" s="82"/>
      <c r="EO80" s="79"/>
      <c r="EP80" s="82"/>
      <c r="EQ80" s="84"/>
      <c r="ER80" s="589"/>
      <c r="ES80" s="79"/>
      <c r="ET80" s="82"/>
      <c r="EU80" s="79"/>
      <c r="EV80" s="82"/>
      <c r="EW80" s="84"/>
      <c r="EY80" s="91"/>
      <c r="EZ80" s="369"/>
      <c r="FA80" s="371"/>
      <c r="FB80" s="369"/>
      <c r="FC80" s="370"/>
      <c r="FE80" s="91"/>
      <c r="FF80" s="82"/>
      <c r="FG80" s="79"/>
      <c r="FH80" s="94"/>
      <c r="FI80" s="84"/>
      <c r="FK80" s="91"/>
      <c r="FL80" s="82"/>
      <c r="FM80" s="371"/>
      <c r="FN80" s="361"/>
      <c r="FO80" s="362"/>
      <c r="FQ80" s="91"/>
      <c r="FR80" s="82"/>
      <c r="FS80" s="79"/>
      <c r="FT80" s="82"/>
      <c r="FU80" s="84"/>
      <c r="FW80" s="91"/>
      <c r="FX80" s="82"/>
      <c r="FY80" s="79"/>
      <c r="FZ80" s="82"/>
      <c r="GA80" s="84"/>
      <c r="GC80" s="91"/>
      <c r="GD80" s="369"/>
      <c r="GE80" s="371"/>
      <c r="GF80" s="369"/>
      <c r="GG80" s="370"/>
      <c r="GI80" s="91"/>
      <c r="GJ80" s="82"/>
      <c r="GK80" s="79"/>
      <c r="GL80" s="82"/>
      <c r="GM80" s="84"/>
      <c r="GO80" s="91"/>
      <c r="GP80" s="82"/>
      <c r="GQ80" s="79"/>
      <c r="GR80" s="82"/>
      <c r="GS80" s="84"/>
      <c r="GU80" s="91"/>
      <c r="GV80" s="82"/>
      <c r="GW80" s="79"/>
      <c r="GX80" s="82"/>
      <c r="GY80" s="84"/>
      <c r="HA80" s="91"/>
      <c r="HB80" s="82"/>
      <c r="HC80" s="79"/>
      <c r="HD80" s="369"/>
      <c r="HE80" s="370"/>
      <c r="HG80" s="91"/>
      <c r="HH80" s="82"/>
      <c r="HI80" s="79"/>
      <c r="HJ80" s="82"/>
      <c r="HK80" s="84"/>
      <c r="HM80" s="91"/>
      <c r="HN80" s="82"/>
      <c r="HO80" s="79"/>
      <c r="HP80" s="82"/>
      <c r="HQ80" s="84"/>
      <c r="HS80" s="91"/>
      <c r="HT80" s="82"/>
      <c r="HU80" s="371"/>
      <c r="HV80" s="369"/>
      <c r="HW80" s="370"/>
      <c r="HX80" s="178"/>
      <c r="HY80" s="91"/>
      <c r="HZ80" s="82"/>
      <c r="IA80" s="371"/>
      <c r="IB80" s="361"/>
      <c r="IC80" s="362"/>
      <c r="IE80" s="91"/>
      <c r="IF80" s="82"/>
      <c r="IG80" s="79"/>
      <c r="IH80" s="82"/>
      <c r="II80" s="84"/>
      <c r="IK80" s="91"/>
      <c r="IL80" s="82"/>
      <c r="IM80" s="79"/>
      <c r="IN80" s="82"/>
      <c r="IO80" s="84"/>
      <c r="IQ80" s="91"/>
      <c r="IR80" s="82"/>
      <c r="IS80" s="79"/>
      <c r="IT80" s="82"/>
      <c r="IU80" s="84"/>
      <c r="IW80" s="91"/>
      <c r="IX80" s="82"/>
      <c r="IY80" s="79"/>
      <c r="IZ80" s="82"/>
      <c r="JA80" s="84"/>
      <c r="JC80" s="91"/>
      <c r="JD80" s="82"/>
      <c r="JE80" s="79"/>
      <c r="JF80" s="82"/>
      <c r="JG80" s="84"/>
      <c r="JI80" s="91"/>
      <c r="JJ80" s="82"/>
      <c r="JK80" s="79"/>
      <c r="JL80" s="82"/>
      <c r="JM80" s="84"/>
      <c r="JO80" s="739">
        <f t="shared" si="1525"/>
        <v>1000</v>
      </c>
      <c r="JP80" s="737">
        <f t="shared" si="1525"/>
        <v>3.0100000000000002</v>
      </c>
      <c r="JQ80" s="740">
        <f t="shared" si="1525"/>
        <v>5</v>
      </c>
      <c r="JR80" s="737">
        <f t="shared" si="1463"/>
        <v>332.22591362126241</v>
      </c>
      <c r="JS80" s="738">
        <f t="shared" si="1464"/>
        <v>0.60200000000000009</v>
      </c>
      <c r="JU80" s="739">
        <f t="shared" si="1465"/>
        <v>1000</v>
      </c>
      <c r="JV80" s="737">
        <f t="shared" si="1465"/>
        <v>2.89</v>
      </c>
      <c r="JW80" s="740">
        <f t="shared" si="1465"/>
        <v>5</v>
      </c>
      <c r="JX80" s="737">
        <f t="shared" si="1466"/>
        <v>346.02076124567475</v>
      </c>
      <c r="JY80" s="738">
        <f t="shared" si="1467"/>
        <v>0.57800000000000007</v>
      </c>
      <c r="KA80" s="739">
        <f t="shared" si="1468"/>
        <v>1000</v>
      </c>
      <c r="KB80" s="737">
        <f t="shared" si="1468"/>
        <v>5.0400000000000009</v>
      </c>
      <c r="KC80" s="740">
        <f t="shared" si="1468"/>
        <v>5</v>
      </c>
      <c r="KD80" s="737">
        <f t="shared" si="1469"/>
        <v>198.41269841269838</v>
      </c>
      <c r="KE80" s="738">
        <f t="shared" si="1470"/>
        <v>1.0080000000000002</v>
      </c>
      <c r="KG80" s="739">
        <f t="shared" ref="KG80:KI80" si="1544">SUM(KG45)</f>
        <v>500</v>
      </c>
      <c r="KH80" s="737">
        <f t="shared" si="1544"/>
        <v>3.24</v>
      </c>
      <c r="KI80" s="740">
        <f t="shared" si="1544"/>
        <v>5</v>
      </c>
      <c r="KJ80" s="737">
        <f t="shared" si="1472"/>
        <v>154.32098765432099</v>
      </c>
      <c r="KK80" s="738">
        <f t="shared" si="1473"/>
        <v>0.64800000000000002</v>
      </c>
      <c r="KM80" s="739">
        <f t="shared" ref="KM80:KO80" si="1545">SUM(KM45)</f>
        <v>500</v>
      </c>
      <c r="KN80" s="737">
        <f t="shared" si="1545"/>
        <v>3.17</v>
      </c>
      <c r="KO80" s="740">
        <f t="shared" si="1545"/>
        <v>5</v>
      </c>
      <c r="KP80" s="737">
        <f t="shared" si="1475"/>
        <v>157.72870662460568</v>
      </c>
      <c r="KQ80" s="738">
        <f t="shared" si="1476"/>
        <v>0.63400000000000001</v>
      </c>
      <c r="KS80" s="739">
        <f t="shared" ref="KS80:KU80" si="1546">SUM(KS45)</f>
        <v>1000</v>
      </c>
      <c r="KT80" s="737">
        <f t="shared" si="1546"/>
        <v>3.3099999999999996</v>
      </c>
      <c r="KU80" s="740">
        <f t="shared" si="1546"/>
        <v>5</v>
      </c>
      <c r="KV80" s="737">
        <f t="shared" si="1478"/>
        <v>302.1148036253777</v>
      </c>
      <c r="KW80" s="738">
        <f t="shared" si="1479"/>
        <v>0.66199999999999992</v>
      </c>
      <c r="KY80" s="739">
        <f t="shared" ref="KY80:LA80" si="1547">SUM(KY45)</f>
        <v>0</v>
      </c>
      <c r="KZ80" s="737">
        <f t="shared" si="1547"/>
        <v>0</v>
      </c>
      <c r="LA80" s="740">
        <f t="shared" si="1547"/>
        <v>0</v>
      </c>
      <c r="LB80" s="737" t="e">
        <f t="shared" si="1481"/>
        <v>#DIV/0!</v>
      </c>
      <c r="LC80" s="738" t="e">
        <f t="shared" si="1482"/>
        <v>#DIV/0!</v>
      </c>
      <c r="LE80" s="739">
        <f t="shared" ref="LE80:LG80" si="1548">SUM(LE45)</f>
        <v>0</v>
      </c>
      <c r="LF80" s="737">
        <f t="shared" si="1548"/>
        <v>0</v>
      </c>
      <c r="LG80" s="740">
        <f t="shared" si="1548"/>
        <v>0</v>
      </c>
      <c r="LH80" s="737" t="e">
        <f t="shared" si="1484"/>
        <v>#DIV/0!</v>
      </c>
      <c r="LI80" s="738" t="e">
        <f t="shared" si="1485"/>
        <v>#DIV/0!</v>
      </c>
      <c r="LK80" s="739">
        <f t="shared" ref="LK80:LM80" si="1549">SUM(LK45)</f>
        <v>0</v>
      </c>
      <c r="LL80" s="737">
        <f t="shared" si="1549"/>
        <v>0</v>
      </c>
      <c r="LM80" s="740">
        <f t="shared" si="1549"/>
        <v>0</v>
      </c>
      <c r="LN80" s="737" t="e">
        <f t="shared" si="1487"/>
        <v>#DIV/0!</v>
      </c>
      <c r="LO80" s="738" t="e">
        <f t="shared" si="1488"/>
        <v>#DIV/0!</v>
      </c>
      <c r="LQ80" s="739">
        <f t="shared" ref="LQ80:LS80" si="1550">SUM(LQ45)</f>
        <v>0</v>
      </c>
      <c r="LR80" s="737">
        <f t="shared" si="1550"/>
        <v>0</v>
      </c>
      <c r="LS80" s="740">
        <f t="shared" si="1550"/>
        <v>0</v>
      </c>
      <c r="LT80" s="737" t="e">
        <f t="shared" si="1490"/>
        <v>#DIV/0!</v>
      </c>
      <c r="LU80" s="738" t="e">
        <f t="shared" si="1491"/>
        <v>#DIV/0!</v>
      </c>
      <c r="LW80" s="739">
        <f t="shared" ref="LW80:LY80" si="1551">SUM(LW45)</f>
        <v>0</v>
      </c>
      <c r="LX80" s="737">
        <f t="shared" si="1551"/>
        <v>0</v>
      </c>
      <c r="LY80" s="740">
        <f t="shared" si="1551"/>
        <v>0</v>
      </c>
      <c r="LZ80" s="737" t="e">
        <f t="shared" si="1493"/>
        <v>#DIV/0!</v>
      </c>
      <c r="MA80" s="738" t="e">
        <f t="shared" si="1494"/>
        <v>#DIV/0!</v>
      </c>
      <c r="MC80" s="739">
        <f t="shared" ref="MC80:ME80" si="1552">SUM(MC45)</f>
        <v>0</v>
      </c>
      <c r="MD80" s="737">
        <f t="shared" si="1552"/>
        <v>0</v>
      </c>
      <c r="ME80" s="740">
        <f t="shared" si="1552"/>
        <v>0</v>
      </c>
      <c r="MF80" s="737" t="e">
        <f t="shared" si="1496"/>
        <v>#DIV/0!</v>
      </c>
      <c r="MG80" s="738" t="e">
        <f t="shared" si="1497"/>
        <v>#DIV/0!</v>
      </c>
      <c r="MI80" s="739">
        <f t="shared" ref="MI80:MK80" si="1553">SUM(MI45)</f>
        <v>900</v>
      </c>
      <c r="MJ80" s="737">
        <f t="shared" si="1553"/>
        <v>2.34</v>
      </c>
      <c r="MK80" s="740">
        <f t="shared" si="1553"/>
        <v>5</v>
      </c>
      <c r="ML80" s="737">
        <f t="shared" si="1499"/>
        <v>384.61538461538464</v>
      </c>
      <c r="MM80" s="738">
        <f t="shared" si="1500"/>
        <v>0.46799999999999997</v>
      </c>
      <c r="MO80" s="739">
        <f t="shared" ref="MO80:MQ80" si="1554">SUM(MO45)</f>
        <v>0</v>
      </c>
      <c r="MP80" s="737">
        <f t="shared" si="1554"/>
        <v>0</v>
      </c>
      <c r="MQ80" s="740">
        <f t="shared" si="1554"/>
        <v>0</v>
      </c>
      <c r="MR80" s="737" t="e">
        <f t="shared" si="1502"/>
        <v>#DIV/0!</v>
      </c>
      <c r="MS80" s="738" t="e">
        <f t="shared" si="1503"/>
        <v>#DIV/0!</v>
      </c>
      <c r="MU80" s="739">
        <f t="shared" ref="MU80:MW80" si="1555">SUM(MU45)</f>
        <v>0</v>
      </c>
      <c r="MV80" s="737">
        <f t="shared" si="1555"/>
        <v>0</v>
      </c>
      <c r="MW80" s="740">
        <f t="shared" si="1555"/>
        <v>0</v>
      </c>
      <c r="MX80" s="737" t="e">
        <f t="shared" si="1505"/>
        <v>#DIV/0!</v>
      </c>
      <c r="MY80" s="738" t="e">
        <f t="shared" si="1506"/>
        <v>#DIV/0!</v>
      </c>
      <c r="NA80" s="743">
        <f t="shared" ref="NA80:NC80" si="1556">SUM(NA45)</f>
        <v>1000</v>
      </c>
      <c r="NB80" s="744">
        <f t="shared" si="1556"/>
        <v>2.27</v>
      </c>
      <c r="NC80" s="744">
        <f t="shared" si="1556"/>
        <v>5</v>
      </c>
      <c r="ND80" s="737">
        <f t="shared" si="1508"/>
        <v>440.52863436123346</v>
      </c>
      <c r="NE80" s="738">
        <f t="shared" si="1509"/>
        <v>0.45400000000000001</v>
      </c>
      <c r="NG80" s="739">
        <f t="shared" ref="NG80:NI80" si="1557">SUM(NG45)</f>
        <v>0</v>
      </c>
      <c r="NH80" s="737">
        <f t="shared" si="1557"/>
        <v>0</v>
      </c>
      <c r="NI80" s="740">
        <f t="shared" si="1557"/>
        <v>0</v>
      </c>
      <c r="NJ80" s="737" t="e">
        <f t="shared" si="1511"/>
        <v>#DIV/0!</v>
      </c>
      <c r="NK80" s="738" t="e">
        <f t="shared" si="1512"/>
        <v>#DIV/0!</v>
      </c>
      <c r="NM80" s="739">
        <f t="shared" ref="NM80:NO80" si="1558">SUM(NM45)</f>
        <v>550</v>
      </c>
      <c r="NN80" s="737">
        <f t="shared" si="1558"/>
        <v>1.1399999999999999</v>
      </c>
      <c r="NO80" s="740">
        <f t="shared" si="1558"/>
        <v>3</v>
      </c>
      <c r="NP80" s="737">
        <f t="shared" si="1514"/>
        <v>482.45614035087721</v>
      </c>
      <c r="NQ80" s="738">
        <f t="shared" si="1515"/>
        <v>0.37999999999999995</v>
      </c>
      <c r="NS80" s="739">
        <f t="shared" ref="NS80:NU80" si="1559">SUM(NS45)</f>
        <v>700</v>
      </c>
      <c r="NT80" s="737">
        <f t="shared" si="1559"/>
        <v>2.1800000000000002</v>
      </c>
      <c r="NU80" s="740">
        <f t="shared" si="1559"/>
        <v>5</v>
      </c>
      <c r="NV80" s="737">
        <f t="shared" si="1517"/>
        <v>321.10091743119261</v>
      </c>
      <c r="NW80" s="738">
        <f t="shared" si="1518"/>
        <v>0.43600000000000005</v>
      </c>
      <c r="NY80" s="739">
        <f t="shared" ref="NY80:OA80" si="1560">SUM(NY45)</f>
        <v>1000</v>
      </c>
      <c r="NZ80" s="737">
        <f t="shared" si="1560"/>
        <v>2.2599999999999998</v>
      </c>
      <c r="OA80" s="740">
        <f t="shared" si="1560"/>
        <v>5</v>
      </c>
      <c r="OB80" s="737">
        <f t="shared" si="1520"/>
        <v>442.47787610619474</v>
      </c>
      <c r="OC80" s="738">
        <f t="shared" si="1521"/>
        <v>0.45199999999999996</v>
      </c>
      <c r="OE80" s="739">
        <f t="shared" ref="OE80:OG80" si="1561">SUM(OE45)</f>
        <v>450</v>
      </c>
      <c r="OF80" s="737">
        <f t="shared" si="1561"/>
        <v>2.1</v>
      </c>
      <c r="OG80" s="740">
        <f t="shared" si="1561"/>
        <v>5</v>
      </c>
      <c r="OH80" s="737">
        <f t="shared" si="1523"/>
        <v>214.28571428571428</v>
      </c>
      <c r="OI80" s="738">
        <f t="shared" si="1524"/>
        <v>0.42000000000000004</v>
      </c>
    </row>
    <row r="81" spans="1:399">
      <c r="A81" s="715" t="s">
        <v>376</v>
      </c>
      <c r="B81" s="720" t="s">
        <v>380</v>
      </c>
      <c r="C81" s="722"/>
      <c r="D81" s="723" t="s">
        <v>11</v>
      </c>
      <c r="E81" s="79"/>
      <c r="F81" s="82"/>
      <c r="G81" s="79"/>
      <c r="H81" s="82"/>
      <c r="I81" s="84"/>
      <c r="J81" s="589"/>
      <c r="K81" s="79"/>
      <c r="L81" s="82"/>
      <c r="M81" s="79"/>
      <c r="N81" s="82"/>
      <c r="O81" s="84"/>
      <c r="P81" s="589"/>
      <c r="Q81" s="79"/>
      <c r="R81" s="82"/>
      <c r="S81" s="79"/>
      <c r="T81" s="82"/>
      <c r="U81" s="84"/>
      <c r="V81" s="589"/>
      <c r="W81" s="79"/>
      <c r="X81" s="82"/>
      <c r="Y81" s="79"/>
      <c r="Z81" s="82"/>
      <c r="AA81" s="84"/>
      <c r="AB81" s="589"/>
      <c r="AC81" s="79"/>
      <c r="AD81" s="82"/>
      <c r="AE81" s="79"/>
      <c r="AF81" s="82"/>
      <c r="AG81" s="84"/>
      <c r="AH81" s="589"/>
      <c r="AI81" s="79"/>
      <c r="AJ81" s="82"/>
      <c r="AK81" s="79"/>
      <c r="AL81" s="82"/>
      <c r="AM81" s="84"/>
      <c r="AN81" s="589"/>
      <c r="AO81" s="79"/>
      <c r="AP81" s="82"/>
      <c r="AQ81" s="79"/>
      <c r="AR81" s="82"/>
      <c r="AS81" s="84"/>
      <c r="AT81" s="589"/>
      <c r="AU81" s="79"/>
      <c r="AV81" s="82"/>
      <c r="AW81" s="79"/>
      <c r="AX81" s="82"/>
      <c r="AY81" s="84"/>
      <c r="AZ81" s="84"/>
      <c r="BA81" s="79"/>
      <c r="BB81" s="82"/>
      <c r="BC81" s="79"/>
      <c r="BD81" s="82"/>
      <c r="BE81" s="84"/>
      <c r="BF81" s="84"/>
      <c r="BG81" s="79"/>
      <c r="BH81" s="82"/>
      <c r="BI81" s="79"/>
      <c r="BJ81" s="82"/>
      <c r="BK81" s="84"/>
      <c r="BL81" s="84"/>
      <c r="BM81" s="79"/>
      <c r="BN81" s="82"/>
      <c r="BO81" s="79"/>
      <c r="BP81" s="82"/>
      <c r="BQ81" s="84"/>
      <c r="BR81" s="589"/>
      <c r="BS81" s="79"/>
      <c r="BT81" s="82"/>
      <c r="BU81" s="79"/>
      <c r="BV81" s="82"/>
      <c r="BW81" s="84"/>
      <c r="BX81" s="84"/>
      <c r="BY81" s="79"/>
      <c r="BZ81" s="82"/>
      <c r="CA81" s="79"/>
      <c r="CB81" s="82"/>
      <c r="CC81" s="84"/>
      <c r="CD81" s="84"/>
      <c r="CE81" s="79"/>
      <c r="CF81" s="82"/>
      <c r="CG81" s="79"/>
      <c r="CH81" s="82"/>
      <c r="CI81" s="84"/>
      <c r="CJ81" s="84"/>
      <c r="CK81" s="79"/>
      <c r="CL81" s="82"/>
      <c r="CM81" s="79"/>
      <c r="CN81" s="82"/>
      <c r="CO81" s="84"/>
      <c r="CP81" s="84"/>
      <c r="CQ81" s="79"/>
      <c r="CR81" s="82"/>
      <c r="CS81" s="79"/>
      <c r="CT81" s="82"/>
      <c r="CU81" s="84"/>
      <c r="CV81" s="84"/>
      <c r="CW81" s="79"/>
      <c r="CX81" s="82"/>
      <c r="CY81" s="79"/>
      <c r="CZ81" s="82"/>
      <c r="DA81" s="84"/>
      <c r="DB81" s="84"/>
      <c r="DC81" s="79"/>
      <c r="DD81" s="82"/>
      <c r="DE81" s="79"/>
      <c r="DF81" s="82"/>
      <c r="DG81" s="84"/>
      <c r="DH81" s="84"/>
      <c r="DI81" s="79"/>
      <c r="DJ81" s="82"/>
      <c r="DK81" s="79"/>
      <c r="DL81" s="82"/>
      <c r="DM81" s="84"/>
      <c r="DN81" s="84"/>
      <c r="DO81" s="79"/>
      <c r="DP81" s="82"/>
      <c r="DQ81" s="79"/>
      <c r="DR81" s="82"/>
      <c r="DS81" s="84"/>
      <c r="DT81" s="84"/>
      <c r="DU81" s="79"/>
      <c r="DV81" s="82"/>
      <c r="DW81" s="79"/>
      <c r="DX81" s="82"/>
      <c r="DY81" s="84"/>
      <c r="DZ81" s="84"/>
      <c r="EA81" s="79"/>
      <c r="EB81" s="82"/>
      <c r="EC81" s="79"/>
      <c r="ED81" s="82"/>
      <c r="EE81" s="84"/>
      <c r="EF81" s="84"/>
      <c r="EG81" s="79"/>
      <c r="EH81" s="82"/>
      <c r="EI81" s="79"/>
      <c r="EJ81" s="82"/>
      <c r="EK81" s="84"/>
      <c r="EL81" s="84"/>
      <c r="EM81" s="79"/>
      <c r="EN81" s="82"/>
      <c r="EO81" s="79"/>
      <c r="EP81" s="82"/>
      <c r="EQ81" s="84"/>
      <c r="ER81" s="589"/>
      <c r="ES81" s="79"/>
      <c r="ET81" s="82"/>
      <c r="EU81" s="79"/>
      <c r="EV81" s="82"/>
      <c r="EW81" s="84"/>
      <c r="EY81" s="91"/>
      <c r="EZ81" s="369"/>
      <c r="FA81" s="371"/>
      <c r="FB81" s="369"/>
      <c r="FC81" s="370"/>
      <c r="FE81" s="91"/>
      <c r="FF81" s="82"/>
      <c r="FG81" s="79"/>
      <c r="FH81" s="94"/>
      <c r="FI81" s="84"/>
      <c r="FK81" s="91"/>
      <c r="FL81" s="82"/>
      <c r="FM81" s="371"/>
      <c r="FN81" s="361"/>
      <c r="FO81" s="362"/>
      <c r="FQ81" s="91"/>
      <c r="FR81" s="82"/>
      <c r="FS81" s="79"/>
      <c r="FT81" s="82"/>
      <c r="FU81" s="84"/>
      <c r="FW81" s="91"/>
      <c r="FX81" s="82"/>
      <c r="FY81" s="79"/>
      <c r="FZ81" s="82"/>
      <c r="GA81" s="84"/>
      <c r="GC81" s="91"/>
      <c r="GD81" s="369"/>
      <c r="GE81" s="371"/>
      <c r="GF81" s="369"/>
      <c r="GG81" s="370"/>
      <c r="GI81" s="91"/>
      <c r="GJ81" s="82"/>
      <c r="GK81" s="79"/>
      <c r="GL81" s="82"/>
      <c r="GM81" s="84"/>
      <c r="GO81" s="91"/>
      <c r="GP81" s="82"/>
      <c r="GQ81" s="79"/>
      <c r="GR81" s="82"/>
      <c r="GS81" s="84"/>
      <c r="GU81" s="91"/>
      <c r="GV81" s="82"/>
      <c r="GW81" s="79"/>
      <c r="GX81" s="82"/>
      <c r="GY81" s="84"/>
      <c r="HA81" s="91"/>
      <c r="HB81" s="82"/>
      <c r="HC81" s="79"/>
      <c r="HD81" s="369"/>
      <c r="HE81" s="370"/>
      <c r="HG81" s="91"/>
      <c r="HH81" s="82"/>
      <c r="HI81" s="79"/>
      <c r="HJ81" s="82"/>
      <c r="HK81" s="84"/>
      <c r="HM81" s="91"/>
      <c r="HN81" s="82"/>
      <c r="HO81" s="79"/>
      <c r="HP81" s="82"/>
      <c r="HQ81" s="84"/>
      <c r="HS81" s="91"/>
      <c r="HT81" s="82"/>
      <c r="HU81" s="371"/>
      <c r="HV81" s="369"/>
      <c r="HW81" s="370"/>
      <c r="HX81" s="178"/>
      <c r="HY81" s="91"/>
      <c r="HZ81" s="82"/>
      <c r="IA81" s="371"/>
      <c r="IB81" s="361"/>
      <c r="IC81" s="362"/>
      <c r="IE81" s="91"/>
      <c r="IF81" s="82"/>
      <c r="IG81" s="79"/>
      <c r="IH81" s="82"/>
      <c r="II81" s="84"/>
      <c r="IK81" s="91"/>
      <c r="IL81" s="82"/>
      <c r="IM81" s="79"/>
      <c r="IN81" s="82"/>
      <c r="IO81" s="84"/>
      <c r="IQ81" s="91"/>
      <c r="IR81" s="82"/>
      <c r="IS81" s="79"/>
      <c r="IT81" s="82"/>
      <c r="IU81" s="84"/>
      <c r="IW81" s="91"/>
      <c r="IX81" s="82"/>
      <c r="IY81" s="79"/>
      <c r="IZ81" s="82"/>
      <c r="JA81" s="84"/>
      <c r="JC81" s="91"/>
      <c r="JD81" s="82"/>
      <c r="JE81" s="79"/>
      <c r="JF81" s="82"/>
      <c r="JG81" s="84"/>
      <c r="JI81" s="91"/>
      <c r="JJ81" s="82"/>
      <c r="JK81" s="79"/>
      <c r="JL81" s="82"/>
      <c r="JM81" s="84"/>
      <c r="JO81" s="739">
        <f t="shared" si="1525"/>
        <v>0</v>
      </c>
      <c r="JP81" s="737">
        <f t="shared" si="1525"/>
        <v>0</v>
      </c>
      <c r="JQ81" s="740">
        <f t="shared" si="1525"/>
        <v>0</v>
      </c>
      <c r="JR81" s="737" t="e">
        <f t="shared" si="1463"/>
        <v>#DIV/0!</v>
      </c>
      <c r="JS81" s="738" t="e">
        <f t="shared" si="1464"/>
        <v>#DIV/0!</v>
      </c>
      <c r="JU81" s="739">
        <f t="shared" si="1465"/>
        <v>300</v>
      </c>
      <c r="JV81" s="737">
        <f t="shared" si="1465"/>
        <v>3.4</v>
      </c>
      <c r="JW81" s="740">
        <f t="shared" si="1465"/>
        <v>5</v>
      </c>
      <c r="JX81" s="737">
        <f t="shared" si="1466"/>
        <v>88.235294117647058</v>
      </c>
      <c r="JY81" s="738">
        <f t="shared" si="1467"/>
        <v>0.67999999999999994</v>
      </c>
      <c r="KA81" s="739">
        <f t="shared" si="1468"/>
        <v>1000</v>
      </c>
      <c r="KB81" s="737">
        <f t="shared" si="1468"/>
        <v>2.86</v>
      </c>
      <c r="KC81" s="740">
        <f t="shared" si="1468"/>
        <v>5</v>
      </c>
      <c r="KD81" s="737">
        <f t="shared" si="1469"/>
        <v>349.65034965034965</v>
      </c>
      <c r="KE81" s="738">
        <f t="shared" si="1470"/>
        <v>0.57199999999999995</v>
      </c>
      <c r="KG81" s="739">
        <f t="shared" ref="KG81:KI81" si="1562">SUM(KG46)</f>
        <v>1150</v>
      </c>
      <c r="KH81" s="737">
        <f t="shared" si="1562"/>
        <v>2.83</v>
      </c>
      <c r="KI81" s="740">
        <f t="shared" si="1562"/>
        <v>5</v>
      </c>
      <c r="KJ81" s="737">
        <f t="shared" si="1472"/>
        <v>406.36042402826854</v>
      </c>
      <c r="KK81" s="738">
        <f t="shared" si="1473"/>
        <v>0.56600000000000006</v>
      </c>
      <c r="KM81" s="739">
        <f t="shared" ref="KM81:KO81" si="1563">SUM(KM46)</f>
        <v>0</v>
      </c>
      <c r="KN81" s="737">
        <f t="shared" si="1563"/>
        <v>0</v>
      </c>
      <c r="KO81" s="740">
        <f t="shared" si="1563"/>
        <v>0</v>
      </c>
      <c r="KP81" s="737" t="e">
        <f t="shared" si="1475"/>
        <v>#DIV/0!</v>
      </c>
      <c r="KQ81" s="738" t="e">
        <f t="shared" si="1476"/>
        <v>#DIV/0!</v>
      </c>
      <c r="KS81" s="739">
        <f t="shared" ref="KS81:KU81" si="1564">SUM(KS46)</f>
        <v>0</v>
      </c>
      <c r="KT81" s="737">
        <f t="shared" si="1564"/>
        <v>0</v>
      </c>
      <c r="KU81" s="740">
        <f t="shared" si="1564"/>
        <v>0</v>
      </c>
      <c r="KV81" s="737" t="e">
        <f t="shared" si="1478"/>
        <v>#DIV/0!</v>
      </c>
      <c r="KW81" s="738" t="e">
        <f t="shared" si="1479"/>
        <v>#DIV/0!</v>
      </c>
      <c r="KY81" s="739">
        <f t="shared" ref="KY81:LA81" si="1565">SUM(KY46)</f>
        <v>0</v>
      </c>
      <c r="KZ81" s="737">
        <f t="shared" si="1565"/>
        <v>0</v>
      </c>
      <c r="LA81" s="740">
        <f t="shared" si="1565"/>
        <v>0</v>
      </c>
      <c r="LB81" s="737" t="e">
        <f t="shared" si="1481"/>
        <v>#DIV/0!</v>
      </c>
      <c r="LC81" s="738" t="e">
        <f t="shared" si="1482"/>
        <v>#DIV/0!</v>
      </c>
      <c r="LE81" s="739">
        <f t="shared" ref="LE81:LG81" si="1566">SUM(LE46)</f>
        <v>0</v>
      </c>
      <c r="LF81" s="737">
        <f t="shared" si="1566"/>
        <v>0</v>
      </c>
      <c r="LG81" s="740">
        <f t="shared" si="1566"/>
        <v>0</v>
      </c>
      <c r="LH81" s="737" t="e">
        <f t="shared" si="1484"/>
        <v>#DIV/0!</v>
      </c>
      <c r="LI81" s="738" t="e">
        <f t="shared" si="1485"/>
        <v>#DIV/0!</v>
      </c>
      <c r="LK81" s="739">
        <f t="shared" ref="LK81:LM81" si="1567">SUM(LK46)</f>
        <v>900</v>
      </c>
      <c r="LL81" s="737">
        <f t="shared" si="1567"/>
        <v>0.56000000000000005</v>
      </c>
      <c r="LM81" s="740">
        <f t="shared" si="1567"/>
        <v>5</v>
      </c>
      <c r="LN81" s="737">
        <f t="shared" si="1487"/>
        <v>1607.1428571428569</v>
      </c>
      <c r="LO81" s="738">
        <f t="shared" si="1488"/>
        <v>0.11200000000000002</v>
      </c>
      <c r="LQ81" s="739">
        <f t="shared" ref="LQ81:LS81" si="1568">SUM(LQ46)</f>
        <v>1000</v>
      </c>
      <c r="LR81" s="737">
        <f t="shared" si="1568"/>
        <v>1.8000000000000003</v>
      </c>
      <c r="LS81" s="740">
        <f t="shared" si="1568"/>
        <v>5</v>
      </c>
      <c r="LT81" s="737">
        <f t="shared" si="1490"/>
        <v>555.55555555555543</v>
      </c>
      <c r="LU81" s="738">
        <f t="shared" si="1491"/>
        <v>0.36000000000000004</v>
      </c>
      <c r="LW81" s="739">
        <f t="shared" ref="LW81:LY81" si="1569">SUM(LW46)</f>
        <v>0</v>
      </c>
      <c r="LX81" s="737">
        <f t="shared" si="1569"/>
        <v>0</v>
      </c>
      <c r="LY81" s="740">
        <f t="shared" si="1569"/>
        <v>0</v>
      </c>
      <c r="LZ81" s="737" t="e">
        <f t="shared" si="1493"/>
        <v>#DIV/0!</v>
      </c>
      <c r="MA81" s="738" t="e">
        <f t="shared" si="1494"/>
        <v>#DIV/0!</v>
      </c>
      <c r="MC81" s="739">
        <f t="shared" ref="MC81:ME81" si="1570">SUM(MC46)</f>
        <v>750</v>
      </c>
      <c r="MD81" s="737">
        <f t="shared" si="1570"/>
        <v>1.9399999999999997</v>
      </c>
      <c r="ME81" s="740">
        <f t="shared" si="1570"/>
        <v>5</v>
      </c>
      <c r="MF81" s="737">
        <f t="shared" si="1496"/>
        <v>386.59793814432993</v>
      </c>
      <c r="MG81" s="738">
        <f t="shared" si="1497"/>
        <v>0.38799999999999996</v>
      </c>
      <c r="MI81" s="739">
        <f t="shared" ref="MI81:MK81" si="1571">SUM(MI46)</f>
        <v>500</v>
      </c>
      <c r="MJ81" s="737">
        <f t="shared" si="1571"/>
        <v>2.2300000000000004</v>
      </c>
      <c r="MK81" s="740">
        <f t="shared" si="1571"/>
        <v>5</v>
      </c>
      <c r="ML81" s="737">
        <f t="shared" si="1499"/>
        <v>224.21524663677127</v>
      </c>
      <c r="MM81" s="738">
        <f t="shared" si="1500"/>
        <v>0.44600000000000006</v>
      </c>
      <c r="MO81" s="739">
        <f t="shared" ref="MO81:MQ81" si="1572">SUM(MO46)</f>
        <v>0</v>
      </c>
      <c r="MP81" s="737">
        <f t="shared" si="1572"/>
        <v>0</v>
      </c>
      <c r="MQ81" s="740">
        <f t="shared" si="1572"/>
        <v>0</v>
      </c>
      <c r="MR81" s="737" t="e">
        <f t="shared" si="1502"/>
        <v>#DIV/0!</v>
      </c>
      <c r="MS81" s="738" t="e">
        <f t="shared" si="1503"/>
        <v>#DIV/0!</v>
      </c>
      <c r="MU81" s="739">
        <f t="shared" ref="MU81:MW81" si="1573">SUM(MU46)</f>
        <v>0</v>
      </c>
      <c r="MV81" s="737">
        <f t="shared" si="1573"/>
        <v>0</v>
      </c>
      <c r="MW81" s="740">
        <f t="shared" si="1573"/>
        <v>0</v>
      </c>
      <c r="MX81" s="737" t="e">
        <f t="shared" si="1505"/>
        <v>#DIV/0!</v>
      </c>
      <c r="MY81" s="738" t="e">
        <f t="shared" si="1506"/>
        <v>#DIV/0!</v>
      </c>
      <c r="NA81" s="743">
        <f t="shared" ref="NA81:NC81" si="1574">SUM(NA46)</f>
        <v>1000</v>
      </c>
      <c r="NB81" s="744">
        <f t="shared" si="1574"/>
        <v>2.34</v>
      </c>
      <c r="NC81" s="744">
        <f t="shared" si="1574"/>
        <v>5</v>
      </c>
      <c r="ND81" s="737">
        <f t="shared" si="1508"/>
        <v>427.35042735042737</v>
      </c>
      <c r="NE81" s="738">
        <f t="shared" si="1509"/>
        <v>0.46799999999999997</v>
      </c>
      <c r="NG81" s="739">
        <f t="shared" ref="NG81:NI81" si="1575">SUM(NG46)</f>
        <v>0</v>
      </c>
      <c r="NH81" s="737">
        <f t="shared" si="1575"/>
        <v>0</v>
      </c>
      <c r="NI81" s="740">
        <f t="shared" si="1575"/>
        <v>0</v>
      </c>
      <c r="NJ81" s="737" t="e">
        <f t="shared" si="1511"/>
        <v>#DIV/0!</v>
      </c>
      <c r="NK81" s="738" t="e">
        <f t="shared" si="1512"/>
        <v>#DIV/0!</v>
      </c>
      <c r="NM81" s="739">
        <f t="shared" ref="NM81:NO81" si="1576">SUM(NM46)</f>
        <v>750</v>
      </c>
      <c r="NN81" s="737">
        <f t="shared" si="1576"/>
        <v>2.14</v>
      </c>
      <c r="NO81" s="740">
        <f t="shared" si="1576"/>
        <v>5</v>
      </c>
      <c r="NP81" s="737">
        <f t="shared" si="1514"/>
        <v>350.46728971962614</v>
      </c>
      <c r="NQ81" s="738">
        <f t="shared" si="1515"/>
        <v>0.42800000000000005</v>
      </c>
      <c r="NS81" s="739">
        <f t="shared" ref="NS81:NU81" si="1577">SUM(NS46)</f>
        <v>1000</v>
      </c>
      <c r="NT81" s="737">
        <f t="shared" si="1577"/>
        <v>2.4</v>
      </c>
      <c r="NU81" s="740">
        <f t="shared" si="1577"/>
        <v>5</v>
      </c>
      <c r="NV81" s="737">
        <f t="shared" si="1517"/>
        <v>416.66666666666669</v>
      </c>
      <c r="NW81" s="738">
        <f t="shared" si="1518"/>
        <v>0.48</v>
      </c>
      <c r="NY81" s="739">
        <f t="shared" ref="NY81:OA81" si="1578">SUM(NY46)</f>
        <v>1000</v>
      </c>
      <c r="NZ81" s="737">
        <f t="shared" si="1578"/>
        <v>3.61</v>
      </c>
      <c r="OA81" s="740">
        <f t="shared" si="1578"/>
        <v>5</v>
      </c>
      <c r="OB81" s="737">
        <f t="shared" si="1520"/>
        <v>277.0083102493075</v>
      </c>
      <c r="OC81" s="738">
        <f t="shared" si="1521"/>
        <v>0.72199999999999998</v>
      </c>
      <c r="OE81" s="739">
        <f t="shared" ref="OE81:OG81" si="1579">SUM(OE46)</f>
        <v>1000</v>
      </c>
      <c r="OF81" s="737">
        <f t="shared" si="1579"/>
        <v>1.9700000000000002</v>
      </c>
      <c r="OG81" s="740">
        <f t="shared" si="1579"/>
        <v>5</v>
      </c>
      <c r="OH81" s="737">
        <f t="shared" si="1523"/>
        <v>507.61421319796949</v>
      </c>
      <c r="OI81" s="738">
        <f t="shared" si="1524"/>
        <v>0.39400000000000002</v>
      </c>
    </row>
    <row r="82" spans="1:399">
      <c r="A82" s="715" t="s">
        <v>376</v>
      </c>
      <c r="B82" s="720" t="s">
        <v>381</v>
      </c>
      <c r="C82" s="722"/>
      <c r="D82" s="723" t="s">
        <v>384</v>
      </c>
      <c r="E82" s="79"/>
      <c r="F82" s="82"/>
      <c r="G82" s="79"/>
      <c r="H82" s="82"/>
      <c r="I82" s="84"/>
      <c r="J82" s="589"/>
      <c r="K82" s="79"/>
      <c r="L82" s="82"/>
      <c r="M82" s="79"/>
      <c r="N82" s="82"/>
      <c r="O82" s="84"/>
      <c r="P82" s="589"/>
      <c r="Q82" s="79"/>
      <c r="R82" s="82"/>
      <c r="S82" s="79"/>
      <c r="T82" s="82"/>
      <c r="U82" s="84"/>
      <c r="V82" s="589"/>
      <c r="W82" s="79"/>
      <c r="X82" s="82"/>
      <c r="Y82" s="79"/>
      <c r="Z82" s="82"/>
      <c r="AA82" s="84"/>
      <c r="AB82" s="589"/>
      <c r="AC82" s="79"/>
      <c r="AD82" s="82"/>
      <c r="AE82" s="79"/>
      <c r="AF82" s="82"/>
      <c r="AG82" s="84"/>
      <c r="AH82" s="589"/>
      <c r="AI82" s="79"/>
      <c r="AJ82" s="82"/>
      <c r="AK82" s="79"/>
      <c r="AL82" s="82"/>
      <c r="AM82" s="84"/>
      <c r="AN82" s="589"/>
      <c r="AO82" s="79"/>
      <c r="AP82" s="82"/>
      <c r="AQ82" s="79"/>
      <c r="AR82" s="82"/>
      <c r="AS82" s="84"/>
      <c r="AT82" s="589"/>
      <c r="AU82" s="79"/>
      <c r="AV82" s="82"/>
      <c r="AW82" s="79"/>
      <c r="AX82" s="82"/>
      <c r="AY82" s="84"/>
      <c r="AZ82" s="84"/>
      <c r="BA82" s="79"/>
      <c r="BB82" s="82"/>
      <c r="BC82" s="79"/>
      <c r="BD82" s="82"/>
      <c r="BE82" s="84"/>
      <c r="BF82" s="84"/>
      <c r="BG82" s="79"/>
      <c r="BH82" s="82"/>
      <c r="BI82" s="79"/>
      <c r="BJ82" s="82"/>
      <c r="BK82" s="84"/>
      <c r="BL82" s="84"/>
      <c r="BM82" s="79"/>
      <c r="BN82" s="82"/>
      <c r="BO82" s="79"/>
      <c r="BP82" s="82"/>
      <c r="BQ82" s="84"/>
      <c r="BR82" s="589"/>
      <c r="BS82" s="79"/>
      <c r="BT82" s="82"/>
      <c r="BU82" s="79"/>
      <c r="BV82" s="82"/>
      <c r="BW82" s="84"/>
      <c r="BX82" s="84"/>
      <c r="BY82" s="79"/>
      <c r="BZ82" s="82"/>
      <c r="CA82" s="79"/>
      <c r="CB82" s="82"/>
      <c r="CC82" s="84"/>
      <c r="CD82" s="84"/>
      <c r="CE82" s="79"/>
      <c r="CF82" s="82"/>
      <c r="CG82" s="79"/>
      <c r="CH82" s="82"/>
      <c r="CI82" s="84"/>
      <c r="CJ82" s="84"/>
      <c r="CK82" s="79"/>
      <c r="CL82" s="82"/>
      <c r="CM82" s="79"/>
      <c r="CN82" s="82"/>
      <c r="CO82" s="84"/>
      <c r="CP82" s="84"/>
      <c r="CQ82" s="79"/>
      <c r="CR82" s="82"/>
      <c r="CS82" s="79"/>
      <c r="CT82" s="82"/>
      <c r="CU82" s="84"/>
      <c r="CV82" s="84"/>
      <c r="CW82" s="79"/>
      <c r="CX82" s="82"/>
      <c r="CY82" s="79"/>
      <c r="CZ82" s="82"/>
      <c r="DA82" s="84"/>
      <c r="DB82" s="84"/>
      <c r="DC82" s="79"/>
      <c r="DD82" s="82"/>
      <c r="DE82" s="79"/>
      <c r="DF82" s="82"/>
      <c r="DG82" s="84"/>
      <c r="DH82" s="84"/>
      <c r="DI82" s="79"/>
      <c r="DJ82" s="82"/>
      <c r="DK82" s="79"/>
      <c r="DL82" s="82"/>
      <c r="DM82" s="84"/>
      <c r="DN82" s="84"/>
      <c r="DO82" s="79"/>
      <c r="DP82" s="82"/>
      <c r="DQ82" s="79"/>
      <c r="DR82" s="82"/>
      <c r="DS82" s="84"/>
      <c r="DT82" s="84"/>
      <c r="DU82" s="79"/>
      <c r="DV82" s="82"/>
      <c r="DW82" s="79"/>
      <c r="DX82" s="82"/>
      <c r="DY82" s="84"/>
      <c r="DZ82" s="84"/>
      <c r="EA82" s="79"/>
      <c r="EB82" s="82"/>
      <c r="EC82" s="79"/>
      <c r="ED82" s="82"/>
      <c r="EE82" s="84"/>
      <c r="EF82" s="84"/>
      <c r="EG82" s="79"/>
      <c r="EH82" s="82"/>
      <c r="EI82" s="79"/>
      <c r="EJ82" s="82"/>
      <c r="EK82" s="84"/>
      <c r="EL82" s="84"/>
      <c r="EM82" s="79"/>
      <c r="EN82" s="82"/>
      <c r="EO82" s="79"/>
      <c r="EP82" s="82"/>
      <c r="EQ82" s="84"/>
      <c r="ER82" s="589"/>
      <c r="ES82" s="79"/>
      <c r="ET82" s="82"/>
      <c r="EU82" s="79"/>
      <c r="EV82" s="82"/>
      <c r="EW82" s="84"/>
      <c r="EY82" s="91"/>
      <c r="EZ82" s="369"/>
      <c r="FA82" s="371"/>
      <c r="FB82" s="369"/>
      <c r="FC82" s="370"/>
      <c r="FE82" s="91"/>
      <c r="FF82" s="82"/>
      <c r="FG82" s="79"/>
      <c r="FH82" s="94"/>
      <c r="FI82" s="84"/>
      <c r="FK82" s="91"/>
      <c r="FL82" s="82"/>
      <c r="FM82" s="371"/>
      <c r="FN82" s="361"/>
      <c r="FO82" s="362"/>
      <c r="FQ82" s="91"/>
      <c r="FR82" s="82"/>
      <c r="FS82" s="79"/>
      <c r="FT82" s="82"/>
      <c r="FU82" s="84"/>
      <c r="FW82" s="91"/>
      <c r="FX82" s="82"/>
      <c r="FY82" s="79"/>
      <c r="FZ82" s="82"/>
      <c r="GA82" s="84"/>
      <c r="GC82" s="91"/>
      <c r="GD82" s="369"/>
      <c r="GE82" s="371"/>
      <c r="GF82" s="369"/>
      <c r="GG82" s="370"/>
      <c r="GI82" s="91"/>
      <c r="GJ82" s="82"/>
      <c r="GK82" s="79"/>
      <c r="GL82" s="82"/>
      <c r="GM82" s="84"/>
      <c r="GO82" s="91"/>
      <c r="GP82" s="82"/>
      <c r="GQ82" s="79"/>
      <c r="GR82" s="82"/>
      <c r="GS82" s="84"/>
      <c r="GU82" s="91"/>
      <c r="GV82" s="82"/>
      <c r="GW82" s="79"/>
      <c r="GX82" s="82"/>
      <c r="GY82" s="84"/>
      <c r="HA82" s="91"/>
      <c r="HB82" s="82"/>
      <c r="HC82" s="79"/>
      <c r="HD82" s="369"/>
      <c r="HE82" s="370"/>
      <c r="HG82" s="91"/>
      <c r="HH82" s="82"/>
      <c r="HI82" s="79"/>
      <c r="HJ82" s="82"/>
      <c r="HK82" s="84"/>
      <c r="HM82" s="91"/>
      <c r="HN82" s="82"/>
      <c r="HO82" s="79"/>
      <c r="HP82" s="82"/>
      <c r="HQ82" s="84"/>
      <c r="HS82" s="91"/>
      <c r="HT82" s="82"/>
      <c r="HU82" s="371"/>
      <c r="HV82" s="369"/>
      <c r="HW82" s="370"/>
      <c r="HX82" s="178"/>
      <c r="HY82" s="91"/>
      <c r="HZ82" s="82"/>
      <c r="IA82" s="371"/>
      <c r="IB82" s="361"/>
      <c r="IC82" s="362"/>
      <c r="IE82" s="91"/>
      <c r="IF82" s="82"/>
      <c r="IG82" s="79"/>
      <c r="IH82" s="82"/>
      <c r="II82" s="84"/>
      <c r="IK82" s="91"/>
      <c r="IL82" s="82"/>
      <c r="IM82" s="79"/>
      <c r="IN82" s="82"/>
      <c r="IO82" s="84"/>
      <c r="IQ82" s="91"/>
      <c r="IR82" s="82"/>
      <c r="IS82" s="79"/>
      <c r="IT82" s="82"/>
      <c r="IU82" s="84"/>
      <c r="IW82" s="91"/>
      <c r="IX82" s="82"/>
      <c r="IY82" s="79"/>
      <c r="IZ82" s="82"/>
      <c r="JA82" s="84"/>
      <c r="JC82" s="91"/>
      <c r="JD82" s="82"/>
      <c r="JE82" s="79"/>
      <c r="JF82" s="82"/>
      <c r="JG82" s="84"/>
      <c r="JI82" s="91"/>
      <c r="JJ82" s="82"/>
      <c r="JK82" s="79"/>
      <c r="JL82" s="82"/>
      <c r="JM82" s="84"/>
      <c r="JO82" s="739">
        <f t="shared" si="1525"/>
        <v>500</v>
      </c>
      <c r="JP82" s="737">
        <f t="shared" si="1525"/>
        <v>0.77</v>
      </c>
      <c r="JQ82" s="740">
        <f t="shared" si="1525"/>
        <v>5</v>
      </c>
      <c r="JR82" s="737">
        <f t="shared" si="1463"/>
        <v>649.35064935064929</v>
      </c>
      <c r="JS82" s="738">
        <f t="shared" si="1464"/>
        <v>0.154</v>
      </c>
      <c r="JU82" s="739">
        <f t="shared" si="1465"/>
        <v>500</v>
      </c>
      <c r="JV82" s="737">
        <f t="shared" si="1465"/>
        <v>0.77</v>
      </c>
      <c r="JW82" s="740">
        <f t="shared" si="1465"/>
        <v>5</v>
      </c>
      <c r="JX82" s="737">
        <f t="shared" si="1466"/>
        <v>649.35064935064929</v>
      </c>
      <c r="JY82" s="738">
        <f t="shared" si="1467"/>
        <v>0.154</v>
      </c>
      <c r="KA82" s="739">
        <f t="shared" si="1468"/>
        <v>500</v>
      </c>
      <c r="KB82" s="737">
        <f t="shared" si="1468"/>
        <v>6.9300000000000006</v>
      </c>
      <c r="KC82" s="740">
        <f t="shared" si="1468"/>
        <v>5</v>
      </c>
      <c r="KD82" s="737">
        <f t="shared" si="1469"/>
        <v>72.150072150072148</v>
      </c>
      <c r="KE82" s="738">
        <f t="shared" si="1470"/>
        <v>1.3860000000000001</v>
      </c>
      <c r="KG82" s="739">
        <f t="shared" ref="KG82:KI82" si="1580">SUM(KG47)</f>
        <v>800</v>
      </c>
      <c r="KH82" s="737">
        <f t="shared" si="1580"/>
        <v>1.9400000000000002</v>
      </c>
      <c r="KI82" s="740">
        <f t="shared" si="1580"/>
        <v>4</v>
      </c>
      <c r="KJ82" s="737">
        <f t="shared" si="1472"/>
        <v>412.37113402061851</v>
      </c>
      <c r="KK82" s="738">
        <f t="shared" si="1473"/>
        <v>0.48500000000000004</v>
      </c>
      <c r="KM82" s="739">
        <f t="shared" ref="KM82:KO82" si="1581">SUM(KM47)</f>
        <v>0</v>
      </c>
      <c r="KN82" s="737">
        <f t="shared" si="1581"/>
        <v>0</v>
      </c>
      <c r="KO82" s="740">
        <f t="shared" si="1581"/>
        <v>0</v>
      </c>
      <c r="KP82" s="737" t="e">
        <f t="shared" si="1475"/>
        <v>#DIV/0!</v>
      </c>
      <c r="KQ82" s="738" t="e">
        <f t="shared" si="1476"/>
        <v>#DIV/0!</v>
      </c>
      <c r="KS82" s="739">
        <f t="shared" ref="KS82:KU82" si="1582">SUM(KS47)</f>
        <v>0</v>
      </c>
      <c r="KT82" s="737">
        <f t="shared" si="1582"/>
        <v>0</v>
      </c>
      <c r="KU82" s="740">
        <f t="shared" si="1582"/>
        <v>0</v>
      </c>
      <c r="KV82" s="737" t="e">
        <f t="shared" si="1478"/>
        <v>#DIV/0!</v>
      </c>
      <c r="KW82" s="738" t="e">
        <f t="shared" si="1479"/>
        <v>#DIV/0!</v>
      </c>
      <c r="KY82" s="739">
        <f t="shared" ref="KY82:LA82" si="1583">SUM(KY47)</f>
        <v>0</v>
      </c>
      <c r="KZ82" s="737">
        <f t="shared" si="1583"/>
        <v>0</v>
      </c>
      <c r="LA82" s="740">
        <f t="shared" si="1583"/>
        <v>0</v>
      </c>
      <c r="LB82" s="737" t="e">
        <f t="shared" si="1481"/>
        <v>#DIV/0!</v>
      </c>
      <c r="LC82" s="738" t="e">
        <f t="shared" si="1482"/>
        <v>#DIV/0!</v>
      </c>
      <c r="LE82" s="739">
        <f t="shared" ref="LE82:LG82" si="1584">SUM(LE47)</f>
        <v>0</v>
      </c>
      <c r="LF82" s="737">
        <f t="shared" si="1584"/>
        <v>0</v>
      </c>
      <c r="LG82" s="740">
        <f t="shared" si="1584"/>
        <v>0</v>
      </c>
      <c r="LH82" s="737" t="e">
        <f t="shared" si="1484"/>
        <v>#DIV/0!</v>
      </c>
      <c r="LI82" s="738" t="e">
        <f t="shared" si="1485"/>
        <v>#DIV/0!</v>
      </c>
      <c r="LK82" s="739">
        <f t="shared" ref="LK82:LM82" si="1585">SUM(LK47)</f>
        <v>0</v>
      </c>
      <c r="LL82" s="737">
        <f t="shared" si="1585"/>
        <v>0</v>
      </c>
      <c r="LM82" s="740">
        <f t="shared" si="1585"/>
        <v>0</v>
      </c>
      <c r="LN82" s="737" t="e">
        <f t="shared" si="1487"/>
        <v>#DIV/0!</v>
      </c>
      <c r="LO82" s="738" t="e">
        <f t="shared" si="1488"/>
        <v>#DIV/0!</v>
      </c>
      <c r="LQ82" s="739">
        <f t="shared" ref="LQ82:LS82" si="1586">SUM(LQ47)</f>
        <v>0</v>
      </c>
      <c r="LR82" s="737">
        <f t="shared" si="1586"/>
        <v>0</v>
      </c>
      <c r="LS82" s="740">
        <f t="shared" si="1586"/>
        <v>0</v>
      </c>
      <c r="LT82" s="737" t="e">
        <f t="shared" si="1490"/>
        <v>#DIV/0!</v>
      </c>
      <c r="LU82" s="738" t="e">
        <f t="shared" si="1491"/>
        <v>#DIV/0!</v>
      </c>
      <c r="LW82" s="739">
        <f t="shared" ref="LW82:LY82" si="1587">SUM(LW47)</f>
        <v>0</v>
      </c>
      <c r="LX82" s="737">
        <f t="shared" si="1587"/>
        <v>0</v>
      </c>
      <c r="LY82" s="740">
        <f t="shared" si="1587"/>
        <v>0</v>
      </c>
      <c r="LZ82" s="737" t="e">
        <f t="shared" si="1493"/>
        <v>#DIV/0!</v>
      </c>
      <c r="MA82" s="738" t="e">
        <f t="shared" si="1494"/>
        <v>#DIV/0!</v>
      </c>
      <c r="MC82" s="739">
        <f t="shared" ref="MC82:ME82" si="1588">SUM(MC47)</f>
        <v>100</v>
      </c>
      <c r="MD82" s="737">
        <f t="shared" si="1588"/>
        <v>0.1</v>
      </c>
      <c r="ME82" s="740">
        <f t="shared" si="1588"/>
        <v>1</v>
      </c>
      <c r="MF82" s="737">
        <f t="shared" si="1496"/>
        <v>1000</v>
      </c>
      <c r="MG82" s="738">
        <f t="shared" si="1497"/>
        <v>0.1</v>
      </c>
      <c r="MI82" s="739">
        <f t="shared" ref="MI82:MK82" si="1589">SUM(MI47)</f>
        <v>800</v>
      </c>
      <c r="MJ82" s="737">
        <f t="shared" si="1589"/>
        <v>2.11</v>
      </c>
      <c r="MK82" s="740">
        <f t="shared" si="1589"/>
        <v>5</v>
      </c>
      <c r="ML82" s="737">
        <f t="shared" si="1499"/>
        <v>379.14691943127963</v>
      </c>
      <c r="MM82" s="738">
        <f t="shared" si="1500"/>
        <v>0.42199999999999999</v>
      </c>
      <c r="MO82" s="739">
        <f t="shared" ref="MO82:MQ82" si="1590">SUM(MO47)</f>
        <v>0</v>
      </c>
      <c r="MP82" s="737">
        <f t="shared" si="1590"/>
        <v>0</v>
      </c>
      <c r="MQ82" s="740">
        <f t="shared" si="1590"/>
        <v>0</v>
      </c>
      <c r="MR82" s="737" t="e">
        <f t="shared" si="1502"/>
        <v>#DIV/0!</v>
      </c>
      <c r="MS82" s="738" t="e">
        <f t="shared" si="1503"/>
        <v>#DIV/0!</v>
      </c>
      <c r="MU82" s="739">
        <f t="shared" ref="MU82:MW82" si="1591">SUM(MU47)</f>
        <v>0</v>
      </c>
      <c r="MV82" s="737">
        <f t="shared" si="1591"/>
        <v>0</v>
      </c>
      <c r="MW82" s="740">
        <f t="shared" si="1591"/>
        <v>0</v>
      </c>
      <c r="MX82" s="737" t="e">
        <f t="shared" si="1505"/>
        <v>#DIV/0!</v>
      </c>
      <c r="MY82" s="738" t="e">
        <f t="shared" si="1506"/>
        <v>#DIV/0!</v>
      </c>
      <c r="NA82" s="743">
        <f t="shared" ref="NA82:NC82" si="1592">SUM(NA47)</f>
        <v>600</v>
      </c>
      <c r="NB82" s="744">
        <f t="shared" si="1592"/>
        <v>1.55</v>
      </c>
      <c r="NC82" s="744">
        <f t="shared" si="1592"/>
        <v>3</v>
      </c>
      <c r="ND82" s="737">
        <f t="shared" si="1508"/>
        <v>387.09677419354836</v>
      </c>
      <c r="NE82" s="738">
        <f t="shared" si="1509"/>
        <v>0.51666666666666672</v>
      </c>
      <c r="NG82" s="739">
        <f t="shared" ref="NG82:NI82" si="1593">SUM(NG47)</f>
        <v>0</v>
      </c>
      <c r="NH82" s="737">
        <f t="shared" si="1593"/>
        <v>0</v>
      </c>
      <c r="NI82" s="740">
        <f t="shared" si="1593"/>
        <v>0</v>
      </c>
      <c r="NJ82" s="737" t="e">
        <f t="shared" si="1511"/>
        <v>#DIV/0!</v>
      </c>
      <c r="NK82" s="738" t="e">
        <f t="shared" si="1512"/>
        <v>#DIV/0!</v>
      </c>
      <c r="NM82" s="739">
        <f t="shared" ref="NM82:NO82" si="1594">SUM(NM47)</f>
        <v>1000</v>
      </c>
      <c r="NN82" s="737">
        <f t="shared" si="1594"/>
        <v>1.85</v>
      </c>
      <c r="NO82" s="740">
        <f t="shared" si="1594"/>
        <v>5</v>
      </c>
      <c r="NP82" s="737">
        <f t="shared" si="1514"/>
        <v>540.54054054054052</v>
      </c>
      <c r="NQ82" s="738">
        <f t="shared" si="1515"/>
        <v>0.37</v>
      </c>
      <c r="NS82" s="739">
        <f t="shared" ref="NS82:NU82" si="1595">SUM(NS47)</f>
        <v>500</v>
      </c>
      <c r="NT82" s="737">
        <f t="shared" si="1595"/>
        <v>2.02</v>
      </c>
      <c r="NU82" s="740">
        <f t="shared" si="1595"/>
        <v>5</v>
      </c>
      <c r="NV82" s="737">
        <f t="shared" si="1517"/>
        <v>247.52475247524751</v>
      </c>
      <c r="NW82" s="738">
        <f t="shared" si="1518"/>
        <v>0.40400000000000003</v>
      </c>
      <c r="NY82" s="739">
        <f t="shared" ref="NY82:OA82" si="1596">SUM(NY47)</f>
        <v>700</v>
      </c>
      <c r="NZ82" s="737">
        <f t="shared" si="1596"/>
        <v>1.44</v>
      </c>
      <c r="OA82" s="740">
        <f t="shared" si="1596"/>
        <v>5</v>
      </c>
      <c r="OB82" s="737">
        <f t="shared" si="1520"/>
        <v>486.11111111111114</v>
      </c>
      <c r="OC82" s="738">
        <f t="shared" si="1521"/>
        <v>0.28799999999999998</v>
      </c>
      <c r="OE82" s="739">
        <f t="shared" ref="OE82:OG82" si="1597">SUM(OE47)</f>
        <v>1000</v>
      </c>
      <c r="OF82" s="737">
        <f t="shared" si="1597"/>
        <v>2.5600000000000005</v>
      </c>
      <c r="OG82" s="740">
        <f t="shared" si="1597"/>
        <v>5</v>
      </c>
      <c r="OH82" s="737">
        <f t="shared" si="1523"/>
        <v>390.62499999999994</v>
      </c>
      <c r="OI82" s="738">
        <f t="shared" si="1524"/>
        <v>0.51200000000000012</v>
      </c>
    </row>
    <row r="83" spans="1:399">
      <c r="A83" s="715" t="s">
        <v>376</v>
      </c>
      <c r="B83" s="720" t="s">
        <v>382</v>
      </c>
      <c r="C83" s="722"/>
      <c r="D83" s="723" t="s">
        <v>36</v>
      </c>
      <c r="E83" s="79"/>
      <c r="F83" s="82"/>
      <c r="G83" s="79"/>
      <c r="H83" s="82"/>
      <c r="I83" s="84"/>
      <c r="J83" s="589"/>
      <c r="K83" s="79"/>
      <c r="L83" s="82"/>
      <c r="M83" s="79"/>
      <c r="N83" s="82"/>
      <c r="O83" s="84"/>
      <c r="P83" s="589"/>
      <c r="Q83" s="79"/>
      <c r="R83" s="82"/>
      <c r="S83" s="79"/>
      <c r="T83" s="82"/>
      <c r="U83" s="84"/>
      <c r="V83" s="589"/>
      <c r="W83" s="79"/>
      <c r="X83" s="82"/>
      <c r="Y83" s="79"/>
      <c r="Z83" s="82"/>
      <c r="AA83" s="84"/>
      <c r="AB83" s="589"/>
      <c r="AC83" s="79"/>
      <c r="AD83" s="82"/>
      <c r="AE83" s="79"/>
      <c r="AF83" s="82"/>
      <c r="AG83" s="84"/>
      <c r="AH83" s="589"/>
      <c r="AI83" s="79"/>
      <c r="AJ83" s="82"/>
      <c r="AK83" s="79"/>
      <c r="AL83" s="82"/>
      <c r="AM83" s="84"/>
      <c r="AN83" s="589"/>
      <c r="AO83" s="79"/>
      <c r="AP83" s="82"/>
      <c r="AQ83" s="79"/>
      <c r="AR83" s="82"/>
      <c r="AS83" s="84"/>
      <c r="AT83" s="589"/>
      <c r="AU83" s="79"/>
      <c r="AV83" s="82"/>
      <c r="AW83" s="79"/>
      <c r="AX83" s="82"/>
      <c r="AY83" s="84"/>
      <c r="AZ83" s="84"/>
      <c r="BA83" s="79"/>
      <c r="BB83" s="82"/>
      <c r="BC83" s="79"/>
      <c r="BD83" s="82"/>
      <c r="BE83" s="84"/>
      <c r="BF83" s="84"/>
      <c r="BG83" s="79"/>
      <c r="BH83" s="82"/>
      <c r="BI83" s="79"/>
      <c r="BJ83" s="82"/>
      <c r="BK83" s="84"/>
      <c r="BL83" s="84"/>
      <c r="BM83" s="79"/>
      <c r="BN83" s="82"/>
      <c r="BO83" s="79"/>
      <c r="BP83" s="82"/>
      <c r="BQ83" s="84"/>
      <c r="BR83" s="589"/>
      <c r="BS83" s="79"/>
      <c r="BT83" s="82"/>
      <c r="BU83" s="79"/>
      <c r="BV83" s="82"/>
      <c r="BW83" s="84"/>
      <c r="BX83" s="84"/>
      <c r="BY83" s="79"/>
      <c r="BZ83" s="82"/>
      <c r="CA83" s="79"/>
      <c r="CB83" s="82"/>
      <c r="CC83" s="84"/>
      <c r="CD83" s="84"/>
      <c r="CE83" s="79"/>
      <c r="CF83" s="82"/>
      <c r="CG83" s="79"/>
      <c r="CH83" s="82"/>
      <c r="CI83" s="84"/>
      <c r="CJ83" s="84"/>
      <c r="CK83" s="79"/>
      <c r="CL83" s="82"/>
      <c r="CM83" s="79"/>
      <c r="CN83" s="82"/>
      <c r="CO83" s="84"/>
      <c r="CP83" s="84"/>
      <c r="CQ83" s="79"/>
      <c r="CR83" s="82"/>
      <c r="CS83" s="79"/>
      <c r="CT83" s="82"/>
      <c r="CU83" s="84"/>
      <c r="CV83" s="84"/>
      <c r="CW83" s="79"/>
      <c r="CX83" s="82"/>
      <c r="CY83" s="79"/>
      <c r="CZ83" s="82"/>
      <c r="DA83" s="84"/>
      <c r="DB83" s="84"/>
      <c r="DC83" s="79"/>
      <c r="DD83" s="82"/>
      <c r="DE83" s="79"/>
      <c r="DF83" s="82"/>
      <c r="DG83" s="84"/>
      <c r="DH83" s="84"/>
      <c r="DI83" s="79"/>
      <c r="DJ83" s="82"/>
      <c r="DK83" s="79"/>
      <c r="DL83" s="82"/>
      <c r="DM83" s="84"/>
      <c r="DN83" s="84"/>
      <c r="DO83" s="79"/>
      <c r="DP83" s="82"/>
      <c r="DQ83" s="79"/>
      <c r="DR83" s="82"/>
      <c r="DS83" s="84"/>
      <c r="DT83" s="84"/>
      <c r="DU83" s="79"/>
      <c r="DV83" s="82"/>
      <c r="DW83" s="79"/>
      <c r="DX83" s="82"/>
      <c r="DY83" s="84"/>
      <c r="DZ83" s="84"/>
      <c r="EA83" s="79"/>
      <c r="EB83" s="82"/>
      <c r="EC83" s="79"/>
      <c r="ED83" s="82"/>
      <c r="EE83" s="84"/>
      <c r="EF83" s="84"/>
      <c r="EG83" s="79"/>
      <c r="EH83" s="82"/>
      <c r="EI83" s="79"/>
      <c r="EJ83" s="82"/>
      <c r="EK83" s="84"/>
      <c r="EL83" s="84"/>
      <c r="EM83" s="79"/>
      <c r="EN83" s="82"/>
      <c r="EO83" s="79"/>
      <c r="EP83" s="82"/>
      <c r="EQ83" s="84"/>
      <c r="ER83" s="589"/>
      <c r="ES83" s="79"/>
      <c r="ET83" s="82"/>
      <c r="EU83" s="79"/>
      <c r="EV83" s="82"/>
      <c r="EW83" s="84"/>
      <c r="EY83" s="91"/>
      <c r="EZ83" s="369"/>
      <c r="FA83" s="371"/>
      <c r="FB83" s="369"/>
      <c r="FC83" s="370"/>
      <c r="FE83" s="91"/>
      <c r="FF83" s="82"/>
      <c r="FG83" s="79"/>
      <c r="FH83" s="94"/>
      <c r="FI83" s="84"/>
      <c r="FK83" s="91"/>
      <c r="FL83" s="82"/>
      <c r="FM83" s="371"/>
      <c r="FN83" s="361"/>
      <c r="FO83" s="362"/>
      <c r="FQ83" s="91"/>
      <c r="FR83" s="82"/>
      <c r="FS83" s="79"/>
      <c r="FT83" s="82"/>
      <c r="FU83" s="84"/>
      <c r="FW83" s="91"/>
      <c r="FX83" s="82"/>
      <c r="FY83" s="79"/>
      <c r="FZ83" s="82"/>
      <c r="GA83" s="84"/>
      <c r="GC83" s="91"/>
      <c r="GD83" s="369"/>
      <c r="GE83" s="371"/>
      <c r="GF83" s="369"/>
      <c r="GG83" s="370"/>
      <c r="GI83" s="91"/>
      <c r="GJ83" s="82"/>
      <c r="GK83" s="79"/>
      <c r="GL83" s="82"/>
      <c r="GM83" s="84"/>
      <c r="GO83" s="91"/>
      <c r="GP83" s="82"/>
      <c r="GQ83" s="79"/>
      <c r="GR83" s="82"/>
      <c r="GS83" s="84"/>
      <c r="GU83" s="91"/>
      <c r="GV83" s="82"/>
      <c r="GW83" s="79"/>
      <c r="GX83" s="82"/>
      <c r="GY83" s="84"/>
      <c r="HA83" s="91"/>
      <c r="HB83" s="82"/>
      <c r="HC83" s="79"/>
      <c r="HD83" s="369"/>
      <c r="HE83" s="370"/>
      <c r="HG83" s="91"/>
      <c r="HH83" s="82"/>
      <c r="HI83" s="79"/>
      <c r="HJ83" s="82"/>
      <c r="HK83" s="84"/>
      <c r="HM83" s="91"/>
      <c r="HN83" s="82"/>
      <c r="HO83" s="79"/>
      <c r="HP83" s="82"/>
      <c r="HQ83" s="84"/>
      <c r="HS83" s="91"/>
      <c r="HT83" s="82"/>
      <c r="HU83" s="371"/>
      <c r="HV83" s="369"/>
      <c r="HW83" s="370"/>
      <c r="HX83" s="178"/>
      <c r="HY83" s="91"/>
      <c r="HZ83" s="82"/>
      <c r="IA83" s="371"/>
      <c r="IB83" s="361"/>
      <c r="IC83" s="362"/>
      <c r="IE83" s="91"/>
      <c r="IF83" s="82"/>
      <c r="IG83" s="79"/>
      <c r="IH83" s="82"/>
      <c r="II83" s="84"/>
      <c r="IK83" s="91"/>
      <c r="IL83" s="82"/>
      <c r="IM83" s="79"/>
      <c r="IN83" s="82"/>
      <c r="IO83" s="84"/>
      <c r="IQ83" s="91"/>
      <c r="IR83" s="82"/>
      <c r="IS83" s="79"/>
      <c r="IT83" s="82"/>
      <c r="IU83" s="84"/>
      <c r="IW83" s="91"/>
      <c r="IX83" s="82"/>
      <c r="IY83" s="79"/>
      <c r="IZ83" s="82"/>
      <c r="JA83" s="84"/>
      <c r="JC83" s="91"/>
      <c r="JD83" s="82"/>
      <c r="JE83" s="79"/>
      <c r="JF83" s="82"/>
      <c r="JG83" s="84"/>
      <c r="JI83" s="91"/>
      <c r="JJ83" s="82"/>
      <c r="JK83" s="79"/>
      <c r="JL83" s="82"/>
      <c r="JM83" s="84"/>
      <c r="JO83" s="739">
        <f t="shared" si="1525"/>
        <v>0</v>
      </c>
      <c r="JP83" s="737">
        <f t="shared" si="1525"/>
        <v>0</v>
      </c>
      <c r="JQ83" s="740">
        <f t="shared" si="1525"/>
        <v>0</v>
      </c>
      <c r="JR83" s="737" t="e">
        <f t="shared" si="1463"/>
        <v>#DIV/0!</v>
      </c>
      <c r="JS83" s="738" t="e">
        <f t="shared" si="1464"/>
        <v>#DIV/0!</v>
      </c>
      <c r="JU83" s="739">
        <f t="shared" si="1465"/>
        <v>0</v>
      </c>
      <c r="JV83" s="737">
        <f t="shared" si="1465"/>
        <v>0</v>
      </c>
      <c r="JW83" s="740">
        <f t="shared" si="1465"/>
        <v>0</v>
      </c>
      <c r="JX83" s="737" t="e">
        <f t="shared" si="1466"/>
        <v>#DIV/0!</v>
      </c>
      <c r="JY83" s="738" t="e">
        <f t="shared" si="1467"/>
        <v>#DIV/0!</v>
      </c>
      <c r="KA83" s="739">
        <f t="shared" si="1468"/>
        <v>1000</v>
      </c>
      <c r="KB83" s="737">
        <f t="shared" si="1468"/>
        <v>8.4799999999999986</v>
      </c>
      <c r="KC83" s="740">
        <f t="shared" si="1468"/>
        <v>5</v>
      </c>
      <c r="KD83" s="737">
        <f t="shared" si="1469"/>
        <v>117.92452830188681</v>
      </c>
      <c r="KE83" s="738">
        <f t="shared" si="1470"/>
        <v>1.6959999999999997</v>
      </c>
      <c r="KG83" s="739">
        <f t="shared" ref="KG83:KI83" si="1598">SUM(KG48)</f>
        <v>1000</v>
      </c>
      <c r="KH83" s="737">
        <f t="shared" si="1598"/>
        <v>7.7</v>
      </c>
      <c r="KI83" s="740">
        <f t="shared" si="1598"/>
        <v>5</v>
      </c>
      <c r="KJ83" s="737">
        <f t="shared" si="1472"/>
        <v>129.87012987012986</v>
      </c>
      <c r="KK83" s="738">
        <f t="shared" si="1473"/>
        <v>1.54</v>
      </c>
      <c r="KM83" s="739">
        <f t="shared" ref="KM83:KO83" si="1599">SUM(KM48)</f>
        <v>300</v>
      </c>
      <c r="KN83" s="737">
        <f t="shared" si="1599"/>
        <v>3.0700000000000003</v>
      </c>
      <c r="KO83" s="740">
        <f t="shared" si="1599"/>
        <v>2</v>
      </c>
      <c r="KP83" s="737">
        <f t="shared" si="1475"/>
        <v>97.719869706840385</v>
      </c>
      <c r="KQ83" s="738">
        <f t="shared" si="1476"/>
        <v>1.5350000000000001</v>
      </c>
      <c r="KS83" s="739">
        <f t="shared" ref="KS83:KU83" si="1600">SUM(KS48)</f>
        <v>0</v>
      </c>
      <c r="KT83" s="737">
        <f t="shared" si="1600"/>
        <v>0</v>
      </c>
      <c r="KU83" s="740">
        <f t="shared" si="1600"/>
        <v>0</v>
      </c>
      <c r="KV83" s="737" t="e">
        <f t="shared" si="1478"/>
        <v>#DIV/0!</v>
      </c>
      <c r="KW83" s="738" t="e">
        <f t="shared" si="1479"/>
        <v>#DIV/0!</v>
      </c>
      <c r="KY83" s="739">
        <f t="shared" ref="KY83:LA83" si="1601">SUM(KY48)</f>
        <v>0</v>
      </c>
      <c r="KZ83" s="737">
        <f t="shared" si="1601"/>
        <v>0</v>
      </c>
      <c r="LA83" s="740">
        <f t="shared" si="1601"/>
        <v>0</v>
      </c>
      <c r="LB83" s="737" t="e">
        <f t="shared" si="1481"/>
        <v>#DIV/0!</v>
      </c>
      <c r="LC83" s="738" t="e">
        <f t="shared" si="1482"/>
        <v>#DIV/0!</v>
      </c>
      <c r="LE83" s="739">
        <f t="shared" ref="LE83:LG83" si="1602">SUM(LE48)</f>
        <v>0</v>
      </c>
      <c r="LF83" s="737">
        <f t="shared" si="1602"/>
        <v>0</v>
      </c>
      <c r="LG83" s="740">
        <f t="shared" si="1602"/>
        <v>0</v>
      </c>
      <c r="LH83" s="737" t="e">
        <f t="shared" si="1484"/>
        <v>#DIV/0!</v>
      </c>
      <c r="LI83" s="738" t="e">
        <f t="shared" si="1485"/>
        <v>#DIV/0!</v>
      </c>
      <c r="LK83" s="739">
        <f t="shared" ref="LK83:LM83" si="1603">SUM(LK48)</f>
        <v>0</v>
      </c>
      <c r="LL83" s="737">
        <f t="shared" si="1603"/>
        <v>0</v>
      </c>
      <c r="LM83" s="740">
        <f t="shared" si="1603"/>
        <v>0</v>
      </c>
      <c r="LN83" s="737" t="e">
        <f t="shared" si="1487"/>
        <v>#DIV/0!</v>
      </c>
      <c r="LO83" s="738" t="e">
        <f t="shared" si="1488"/>
        <v>#DIV/0!</v>
      </c>
      <c r="LQ83" s="739">
        <f t="shared" ref="LQ83:LS83" si="1604">SUM(LQ48)</f>
        <v>1000</v>
      </c>
      <c r="LR83" s="737">
        <f t="shared" si="1604"/>
        <v>6.1</v>
      </c>
      <c r="LS83" s="740">
        <f t="shared" si="1604"/>
        <v>5</v>
      </c>
      <c r="LT83" s="737">
        <f t="shared" si="1490"/>
        <v>163.9344262295082</v>
      </c>
      <c r="LU83" s="738">
        <f t="shared" si="1491"/>
        <v>1.22</v>
      </c>
      <c r="LW83" s="739">
        <f t="shared" ref="LW83:LY83" si="1605">SUM(LW48)</f>
        <v>0</v>
      </c>
      <c r="LX83" s="737">
        <f t="shared" si="1605"/>
        <v>0</v>
      </c>
      <c r="LY83" s="740">
        <f t="shared" si="1605"/>
        <v>0</v>
      </c>
      <c r="LZ83" s="737" t="e">
        <f t="shared" si="1493"/>
        <v>#DIV/0!</v>
      </c>
      <c r="MA83" s="738" t="e">
        <f t="shared" si="1494"/>
        <v>#DIV/0!</v>
      </c>
      <c r="MC83" s="739">
        <f t="shared" ref="MC83:ME83" si="1606">SUM(MC48)</f>
        <v>0</v>
      </c>
      <c r="MD83" s="737">
        <f t="shared" si="1606"/>
        <v>0</v>
      </c>
      <c r="ME83" s="740">
        <f t="shared" si="1606"/>
        <v>0</v>
      </c>
      <c r="MF83" s="737" t="e">
        <f t="shared" si="1496"/>
        <v>#DIV/0!</v>
      </c>
      <c r="MG83" s="738" t="e">
        <f t="shared" si="1497"/>
        <v>#DIV/0!</v>
      </c>
      <c r="MI83" s="739">
        <f t="shared" ref="MI83:MK83" si="1607">SUM(MI48)</f>
        <v>0</v>
      </c>
      <c r="MJ83" s="737">
        <f t="shared" si="1607"/>
        <v>0</v>
      </c>
      <c r="MK83" s="740">
        <f t="shared" si="1607"/>
        <v>0</v>
      </c>
      <c r="ML83" s="737" t="e">
        <f t="shared" si="1499"/>
        <v>#DIV/0!</v>
      </c>
      <c r="MM83" s="738" t="e">
        <f t="shared" si="1500"/>
        <v>#DIV/0!</v>
      </c>
      <c r="MO83" s="739">
        <f t="shared" ref="MO83:MQ83" si="1608">SUM(MO48)</f>
        <v>0</v>
      </c>
      <c r="MP83" s="737">
        <f t="shared" si="1608"/>
        <v>0</v>
      </c>
      <c r="MQ83" s="740">
        <f t="shared" si="1608"/>
        <v>0</v>
      </c>
      <c r="MR83" s="737" t="e">
        <f t="shared" si="1502"/>
        <v>#DIV/0!</v>
      </c>
      <c r="MS83" s="738" t="e">
        <f t="shared" si="1503"/>
        <v>#DIV/0!</v>
      </c>
      <c r="MU83" s="739">
        <f t="shared" ref="MU83:MW83" si="1609">SUM(MU48)</f>
        <v>0</v>
      </c>
      <c r="MV83" s="737">
        <f t="shared" si="1609"/>
        <v>0</v>
      </c>
      <c r="MW83" s="740">
        <f t="shared" si="1609"/>
        <v>0</v>
      </c>
      <c r="MX83" s="737" t="e">
        <f t="shared" si="1505"/>
        <v>#DIV/0!</v>
      </c>
      <c r="MY83" s="738" t="e">
        <f t="shared" si="1506"/>
        <v>#DIV/0!</v>
      </c>
      <c r="NA83" s="743">
        <f t="shared" ref="NA83:NC83" si="1610">SUM(NA48)</f>
        <v>800</v>
      </c>
      <c r="NB83" s="744">
        <f t="shared" si="1610"/>
        <v>4.3499999999999996</v>
      </c>
      <c r="NC83" s="744">
        <f t="shared" si="1610"/>
        <v>4</v>
      </c>
      <c r="ND83" s="737">
        <f t="shared" si="1508"/>
        <v>183.90804597701151</v>
      </c>
      <c r="NE83" s="738">
        <f t="shared" si="1509"/>
        <v>1.0874999999999999</v>
      </c>
      <c r="NG83" s="739">
        <f t="shared" ref="NG83:NI83" si="1611">SUM(NG48)</f>
        <v>1000</v>
      </c>
      <c r="NH83" s="737">
        <f t="shared" si="1611"/>
        <v>4.04</v>
      </c>
      <c r="NI83" s="740">
        <f t="shared" si="1611"/>
        <v>5</v>
      </c>
      <c r="NJ83" s="737">
        <f t="shared" si="1511"/>
        <v>247.52475247524751</v>
      </c>
      <c r="NK83" s="738">
        <f t="shared" si="1512"/>
        <v>0.80800000000000005</v>
      </c>
      <c r="NM83" s="739">
        <f t="shared" ref="NM83:NO83" si="1612">SUM(NM48)</f>
        <v>0</v>
      </c>
      <c r="NN83" s="737">
        <f t="shared" si="1612"/>
        <v>0</v>
      </c>
      <c r="NO83" s="740">
        <f t="shared" si="1612"/>
        <v>0</v>
      </c>
      <c r="NP83" s="737" t="e">
        <f t="shared" si="1514"/>
        <v>#DIV/0!</v>
      </c>
      <c r="NQ83" s="738" t="e">
        <f t="shared" si="1515"/>
        <v>#DIV/0!</v>
      </c>
      <c r="NS83" s="739">
        <f t="shared" ref="NS83:NU83" si="1613">SUM(NS48)</f>
        <v>0</v>
      </c>
      <c r="NT83" s="737">
        <f t="shared" si="1613"/>
        <v>0</v>
      </c>
      <c r="NU83" s="740">
        <f t="shared" si="1613"/>
        <v>0</v>
      </c>
      <c r="NV83" s="737" t="e">
        <f t="shared" si="1517"/>
        <v>#DIV/0!</v>
      </c>
      <c r="NW83" s="738" t="e">
        <f t="shared" si="1518"/>
        <v>#DIV/0!</v>
      </c>
      <c r="NY83" s="739">
        <f t="shared" ref="NY83:OA83" si="1614">SUM(NY48)</f>
        <v>1000</v>
      </c>
      <c r="NZ83" s="737">
        <f t="shared" si="1614"/>
        <v>6.23</v>
      </c>
      <c r="OA83" s="740">
        <f t="shared" si="1614"/>
        <v>5</v>
      </c>
      <c r="OB83" s="737">
        <f t="shared" si="1520"/>
        <v>160.51364365971105</v>
      </c>
      <c r="OC83" s="738">
        <f t="shared" si="1521"/>
        <v>1.246</v>
      </c>
      <c r="OE83" s="739">
        <f t="shared" ref="OE83:OG83" si="1615">SUM(OE48)</f>
        <v>1000</v>
      </c>
      <c r="OF83" s="737">
        <f t="shared" si="1615"/>
        <v>4.7200000000000006</v>
      </c>
      <c r="OG83" s="740">
        <f t="shared" si="1615"/>
        <v>5</v>
      </c>
      <c r="OH83" s="737">
        <f t="shared" si="1523"/>
        <v>211.86440677966098</v>
      </c>
      <c r="OI83" s="738">
        <f t="shared" si="1524"/>
        <v>0.94400000000000017</v>
      </c>
    </row>
    <row r="84" spans="1:399" ht="15" thickBot="1">
      <c r="A84" s="715" t="s">
        <v>376</v>
      </c>
      <c r="B84" s="720" t="s">
        <v>383</v>
      </c>
      <c r="C84" s="722"/>
      <c r="D84" s="724" t="s">
        <v>14</v>
      </c>
      <c r="E84" s="79"/>
      <c r="F84" s="82"/>
      <c r="G84" s="79"/>
      <c r="H84" s="82"/>
      <c r="I84" s="84"/>
      <c r="J84" s="589"/>
      <c r="K84" s="79"/>
      <c r="L84" s="82"/>
      <c r="M84" s="79"/>
      <c r="N84" s="82"/>
      <c r="O84" s="84"/>
      <c r="P84" s="589"/>
      <c r="Q84" s="79"/>
      <c r="R84" s="82"/>
      <c r="S84" s="79"/>
      <c r="T84" s="82"/>
      <c r="U84" s="84"/>
      <c r="V84" s="589"/>
      <c r="W84" s="79"/>
      <c r="X84" s="82"/>
      <c r="Y84" s="79"/>
      <c r="Z84" s="82"/>
      <c r="AA84" s="84"/>
      <c r="AB84" s="589"/>
      <c r="AC84" s="79"/>
      <c r="AD84" s="82"/>
      <c r="AE84" s="79"/>
      <c r="AF84" s="82"/>
      <c r="AG84" s="84"/>
      <c r="AH84" s="589"/>
      <c r="AI84" s="79"/>
      <c r="AJ84" s="82"/>
      <c r="AK84" s="79"/>
      <c r="AL84" s="82"/>
      <c r="AM84" s="84"/>
      <c r="AN84" s="589"/>
      <c r="AO84" s="79"/>
      <c r="AP84" s="82"/>
      <c r="AQ84" s="79"/>
      <c r="AR84" s="82"/>
      <c r="AS84" s="84"/>
      <c r="AT84" s="589"/>
      <c r="AU84" s="79"/>
      <c r="AV84" s="82"/>
      <c r="AW84" s="79"/>
      <c r="AX84" s="82"/>
      <c r="AY84" s="84"/>
      <c r="AZ84" s="84"/>
      <c r="BA84" s="79"/>
      <c r="BB84" s="82"/>
      <c r="BC84" s="79"/>
      <c r="BD84" s="82"/>
      <c r="BE84" s="84"/>
      <c r="BF84" s="84"/>
      <c r="BG84" s="79"/>
      <c r="BH84" s="82"/>
      <c r="BI84" s="79"/>
      <c r="BJ84" s="82"/>
      <c r="BK84" s="84"/>
      <c r="BL84" s="84"/>
      <c r="BM84" s="79"/>
      <c r="BN84" s="82"/>
      <c r="BO84" s="79"/>
      <c r="BP84" s="82"/>
      <c r="BQ84" s="84"/>
      <c r="BR84" s="589"/>
      <c r="BS84" s="79"/>
      <c r="BT84" s="82"/>
      <c r="BU84" s="79"/>
      <c r="BV84" s="82"/>
      <c r="BW84" s="84"/>
      <c r="BX84" s="84"/>
      <c r="BY84" s="79"/>
      <c r="BZ84" s="82"/>
      <c r="CA84" s="79"/>
      <c r="CB84" s="82"/>
      <c r="CC84" s="84"/>
      <c r="CD84" s="84"/>
      <c r="CE84" s="79"/>
      <c r="CF84" s="82"/>
      <c r="CG84" s="79"/>
      <c r="CH84" s="82"/>
      <c r="CI84" s="84"/>
      <c r="CJ84" s="84"/>
      <c r="CK84" s="79"/>
      <c r="CL84" s="82"/>
      <c r="CM84" s="79"/>
      <c r="CN84" s="82"/>
      <c r="CO84" s="84"/>
      <c r="CP84" s="84"/>
      <c r="CQ84" s="79"/>
      <c r="CR84" s="82"/>
      <c r="CS84" s="79"/>
      <c r="CT84" s="82"/>
      <c r="CU84" s="84"/>
      <c r="CV84" s="84"/>
      <c r="CW84" s="79"/>
      <c r="CX84" s="82"/>
      <c r="CY84" s="79"/>
      <c r="CZ84" s="82"/>
      <c r="DA84" s="84"/>
      <c r="DB84" s="84"/>
      <c r="DC84" s="79"/>
      <c r="DD84" s="82"/>
      <c r="DE84" s="79"/>
      <c r="DF84" s="82"/>
      <c r="DG84" s="84"/>
      <c r="DH84" s="84"/>
      <c r="DI84" s="79"/>
      <c r="DJ84" s="82"/>
      <c r="DK84" s="79"/>
      <c r="DL84" s="82"/>
      <c r="DM84" s="84"/>
      <c r="DN84" s="84"/>
      <c r="DO84" s="79"/>
      <c r="DP84" s="82"/>
      <c r="DQ84" s="79"/>
      <c r="DR84" s="82"/>
      <c r="DS84" s="84"/>
      <c r="DT84" s="84"/>
      <c r="DU84" s="79"/>
      <c r="DV84" s="82"/>
      <c r="DW84" s="79"/>
      <c r="DX84" s="82"/>
      <c r="DY84" s="84"/>
      <c r="DZ84" s="84"/>
      <c r="EA84" s="79"/>
      <c r="EB84" s="82"/>
      <c r="EC84" s="79"/>
      <c r="ED84" s="82"/>
      <c r="EE84" s="84"/>
      <c r="EF84" s="84"/>
      <c r="EG84" s="79"/>
      <c r="EH84" s="82"/>
      <c r="EI84" s="79"/>
      <c r="EJ84" s="82"/>
      <c r="EK84" s="84"/>
      <c r="EL84" s="84"/>
      <c r="EM84" s="79"/>
      <c r="EN84" s="82"/>
      <c r="EO84" s="79"/>
      <c r="EP84" s="82"/>
      <c r="EQ84" s="84"/>
      <c r="ER84" s="589"/>
      <c r="ES84" s="79"/>
      <c r="ET84" s="82"/>
      <c r="EU84" s="79"/>
      <c r="EV84" s="82"/>
      <c r="EW84" s="84"/>
      <c r="EY84" s="91"/>
      <c r="EZ84" s="369"/>
      <c r="FA84" s="371"/>
      <c r="FB84" s="369"/>
      <c r="FC84" s="370"/>
      <c r="FE84" s="91"/>
      <c r="FF84" s="82"/>
      <c r="FG84" s="79"/>
      <c r="FH84" s="94"/>
      <c r="FI84" s="84"/>
      <c r="FK84" s="91"/>
      <c r="FL84" s="82"/>
      <c r="FM84" s="371"/>
      <c r="FN84" s="361"/>
      <c r="FO84" s="362"/>
      <c r="FQ84" s="91"/>
      <c r="FR84" s="82"/>
      <c r="FS84" s="79"/>
      <c r="FT84" s="82"/>
      <c r="FU84" s="84"/>
      <c r="FW84" s="91"/>
      <c r="FX84" s="82"/>
      <c r="FY84" s="79"/>
      <c r="FZ84" s="82"/>
      <c r="GA84" s="84"/>
      <c r="GC84" s="91"/>
      <c r="GD84" s="369"/>
      <c r="GE84" s="371"/>
      <c r="GF84" s="369"/>
      <c r="GG84" s="370"/>
      <c r="GI84" s="91"/>
      <c r="GJ84" s="82"/>
      <c r="GK84" s="79"/>
      <c r="GL84" s="82"/>
      <c r="GM84" s="84"/>
      <c r="GO84" s="91"/>
      <c r="GP84" s="82"/>
      <c r="GQ84" s="79"/>
      <c r="GR84" s="82"/>
      <c r="GS84" s="84"/>
      <c r="GU84" s="91"/>
      <c r="GV84" s="82"/>
      <c r="GW84" s="79"/>
      <c r="GX84" s="82"/>
      <c r="GY84" s="84"/>
      <c r="HA84" s="91"/>
      <c r="HB84" s="82"/>
      <c r="HC84" s="79"/>
      <c r="HD84" s="369"/>
      <c r="HE84" s="370"/>
      <c r="HG84" s="91"/>
      <c r="HH84" s="82"/>
      <c r="HI84" s="79"/>
      <c r="HJ84" s="82"/>
      <c r="HK84" s="84"/>
      <c r="HM84" s="91"/>
      <c r="HN84" s="82"/>
      <c r="HO84" s="79"/>
      <c r="HP84" s="82"/>
      <c r="HQ84" s="84"/>
      <c r="HS84" s="91"/>
      <c r="HT84" s="82"/>
      <c r="HU84" s="371"/>
      <c r="HV84" s="369"/>
      <c r="HW84" s="370"/>
      <c r="HX84" s="178"/>
      <c r="HY84" s="91"/>
      <c r="HZ84" s="82"/>
      <c r="IA84" s="371"/>
      <c r="IB84" s="361"/>
      <c r="IC84" s="362"/>
      <c r="IE84" s="91"/>
      <c r="IF84" s="82"/>
      <c r="IG84" s="79"/>
      <c r="IH84" s="82"/>
      <c r="II84" s="84"/>
      <c r="IK84" s="91"/>
      <c r="IL84" s="82"/>
      <c r="IM84" s="79"/>
      <c r="IN84" s="82"/>
      <c r="IO84" s="84"/>
      <c r="IQ84" s="91"/>
      <c r="IR84" s="82"/>
      <c r="IS84" s="79"/>
      <c r="IT84" s="82"/>
      <c r="IU84" s="84"/>
      <c r="IW84" s="91"/>
      <c r="IX84" s="82"/>
      <c r="IY84" s="79"/>
      <c r="IZ84" s="82"/>
      <c r="JA84" s="84"/>
      <c r="JC84" s="91"/>
      <c r="JD84" s="82"/>
      <c r="JE84" s="79"/>
      <c r="JF84" s="82"/>
      <c r="JG84" s="84"/>
      <c r="JI84" s="91"/>
      <c r="JJ84" s="82"/>
      <c r="JK84" s="79"/>
      <c r="JL84" s="82"/>
      <c r="JM84" s="84"/>
      <c r="JO84" s="739">
        <f t="shared" si="1525"/>
        <v>1300</v>
      </c>
      <c r="JP84" s="737">
        <f t="shared" si="1525"/>
        <v>2.6399999999999997</v>
      </c>
      <c r="JQ84" s="740">
        <f t="shared" si="1525"/>
        <v>5</v>
      </c>
      <c r="JR84" s="737">
        <f t="shared" si="1463"/>
        <v>492.42424242424249</v>
      </c>
      <c r="JS84" s="738">
        <f t="shared" si="1464"/>
        <v>0.52799999999999991</v>
      </c>
      <c r="JU84" s="739">
        <f t="shared" si="1465"/>
        <v>350</v>
      </c>
      <c r="JV84" s="737">
        <f t="shared" si="1465"/>
        <v>1.5499999999999998</v>
      </c>
      <c r="JW84" s="740">
        <f t="shared" si="1465"/>
        <v>5</v>
      </c>
      <c r="JX84" s="737">
        <f t="shared" si="1466"/>
        <v>225.80645161290326</v>
      </c>
      <c r="JY84" s="738">
        <f t="shared" si="1467"/>
        <v>0.30999999999999994</v>
      </c>
      <c r="KA84" s="739">
        <f t="shared" si="1468"/>
        <v>0</v>
      </c>
      <c r="KB84" s="737">
        <f t="shared" si="1468"/>
        <v>0</v>
      </c>
      <c r="KC84" s="740">
        <f t="shared" si="1468"/>
        <v>0</v>
      </c>
      <c r="KD84" s="737" t="e">
        <f t="shared" si="1469"/>
        <v>#DIV/0!</v>
      </c>
      <c r="KE84" s="738" t="e">
        <f t="shared" si="1470"/>
        <v>#DIV/0!</v>
      </c>
      <c r="KG84" s="739">
        <f t="shared" ref="KG84:KI84" si="1616">SUM(KG49)</f>
        <v>0</v>
      </c>
      <c r="KH84" s="737">
        <f t="shared" si="1616"/>
        <v>0</v>
      </c>
      <c r="KI84" s="740">
        <f t="shared" si="1616"/>
        <v>0</v>
      </c>
      <c r="KJ84" s="737" t="e">
        <f t="shared" si="1472"/>
        <v>#DIV/0!</v>
      </c>
      <c r="KK84" s="738" t="e">
        <f t="shared" si="1473"/>
        <v>#DIV/0!</v>
      </c>
      <c r="KM84" s="739">
        <f t="shared" ref="KM84:KO84" si="1617">SUM(KM49)</f>
        <v>0</v>
      </c>
      <c r="KN84" s="737">
        <f t="shared" si="1617"/>
        <v>0</v>
      </c>
      <c r="KO84" s="740">
        <f t="shared" si="1617"/>
        <v>0</v>
      </c>
      <c r="KP84" s="737" t="e">
        <f t="shared" si="1475"/>
        <v>#DIV/0!</v>
      </c>
      <c r="KQ84" s="738" t="e">
        <f t="shared" si="1476"/>
        <v>#DIV/0!</v>
      </c>
      <c r="KS84" s="739">
        <f t="shared" ref="KS84:KU84" si="1618">SUM(KS49)</f>
        <v>0</v>
      </c>
      <c r="KT84" s="737">
        <f t="shared" si="1618"/>
        <v>0</v>
      </c>
      <c r="KU84" s="740">
        <f t="shared" si="1618"/>
        <v>0</v>
      </c>
      <c r="KV84" s="737" t="e">
        <f t="shared" si="1478"/>
        <v>#DIV/0!</v>
      </c>
      <c r="KW84" s="738" t="e">
        <f t="shared" si="1479"/>
        <v>#DIV/0!</v>
      </c>
      <c r="KY84" s="739">
        <f t="shared" ref="KY84:LA84" si="1619">SUM(KY49)</f>
        <v>0</v>
      </c>
      <c r="KZ84" s="737">
        <f t="shared" si="1619"/>
        <v>0</v>
      </c>
      <c r="LA84" s="740">
        <f t="shared" si="1619"/>
        <v>0</v>
      </c>
      <c r="LB84" s="737" t="e">
        <f t="shared" si="1481"/>
        <v>#DIV/0!</v>
      </c>
      <c r="LC84" s="738" t="e">
        <f t="shared" si="1482"/>
        <v>#DIV/0!</v>
      </c>
      <c r="LE84" s="739">
        <f t="shared" ref="LE84:LG84" si="1620">SUM(LE49)</f>
        <v>0</v>
      </c>
      <c r="LF84" s="737">
        <f t="shared" si="1620"/>
        <v>0</v>
      </c>
      <c r="LG84" s="740">
        <f t="shared" si="1620"/>
        <v>0</v>
      </c>
      <c r="LH84" s="737" t="e">
        <f t="shared" si="1484"/>
        <v>#DIV/0!</v>
      </c>
      <c r="LI84" s="738" t="e">
        <f t="shared" si="1485"/>
        <v>#DIV/0!</v>
      </c>
      <c r="LK84" s="739">
        <f t="shared" ref="LK84:LM84" si="1621">SUM(LK49)</f>
        <v>0</v>
      </c>
      <c r="LL84" s="737">
        <f t="shared" si="1621"/>
        <v>0</v>
      </c>
      <c r="LM84" s="740">
        <f t="shared" si="1621"/>
        <v>0</v>
      </c>
      <c r="LN84" s="737" t="e">
        <f t="shared" si="1487"/>
        <v>#DIV/0!</v>
      </c>
      <c r="LO84" s="738" t="e">
        <f t="shared" si="1488"/>
        <v>#DIV/0!</v>
      </c>
      <c r="LQ84" s="739">
        <f t="shared" ref="LQ84:LS84" si="1622">SUM(LQ49)</f>
        <v>1500</v>
      </c>
      <c r="LR84" s="737">
        <f t="shared" si="1622"/>
        <v>1.72</v>
      </c>
      <c r="LS84" s="740">
        <f t="shared" si="1622"/>
        <v>3</v>
      </c>
      <c r="LT84" s="737">
        <f t="shared" si="1490"/>
        <v>872.09302325581393</v>
      </c>
      <c r="LU84" s="738">
        <f t="shared" si="1491"/>
        <v>0.57333333333333336</v>
      </c>
      <c r="LW84" s="739">
        <f t="shared" ref="LW84:LY84" si="1623">SUM(LW49)</f>
        <v>1200</v>
      </c>
      <c r="LX84" s="737">
        <f t="shared" si="1623"/>
        <v>1.3599999999999999</v>
      </c>
      <c r="LY84" s="740">
        <f t="shared" si="1623"/>
        <v>5</v>
      </c>
      <c r="LZ84" s="737">
        <f t="shared" si="1493"/>
        <v>882.35294117647072</v>
      </c>
      <c r="MA84" s="738">
        <f t="shared" si="1494"/>
        <v>0.27199999999999996</v>
      </c>
      <c r="MC84" s="739">
        <f t="shared" ref="MC84:ME84" si="1624">SUM(MC49)</f>
        <v>300</v>
      </c>
      <c r="MD84" s="737">
        <f t="shared" si="1624"/>
        <v>0.42</v>
      </c>
      <c r="ME84" s="740">
        <f t="shared" si="1624"/>
        <v>2</v>
      </c>
      <c r="MF84" s="737">
        <f t="shared" si="1496"/>
        <v>714.28571428571433</v>
      </c>
      <c r="MG84" s="738">
        <f t="shared" si="1497"/>
        <v>0.21</v>
      </c>
      <c r="MI84" s="739">
        <f t="shared" ref="MI84:MK84" si="1625">SUM(MI49)</f>
        <v>2500</v>
      </c>
      <c r="MJ84" s="737">
        <f t="shared" si="1625"/>
        <v>4.5999999999999996</v>
      </c>
      <c r="MK84" s="740">
        <f t="shared" si="1625"/>
        <v>5</v>
      </c>
      <c r="ML84" s="737">
        <f t="shared" si="1499"/>
        <v>543.47826086956525</v>
      </c>
      <c r="MM84" s="738">
        <f t="shared" si="1500"/>
        <v>0.91999999999999993</v>
      </c>
      <c r="MO84" s="739">
        <f t="shared" ref="MO84:MQ84" si="1626">SUM(MO49)</f>
        <v>0</v>
      </c>
      <c r="MP84" s="737">
        <f t="shared" si="1626"/>
        <v>0</v>
      </c>
      <c r="MQ84" s="740">
        <f t="shared" si="1626"/>
        <v>0</v>
      </c>
      <c r="MR84" s="737" t="e">
        <f t="shared" si="1502"/>
        <v>#DIV/0!</v>
      </c>
      <c r="MS84" s="738" t="e">
        <f t="shared" si="1503"/>
        <v>#DIV/0!</v>
      </c>
      <c r="MU84" s="739">
        <f t="shared" ref="MU84:MW84" si="1627">SUM(MU49)</f>
        <v>0</v>
      </c>
      <c r="MV84" s="737">
        <f t="shared" si="1627"/>
        <v>0</v>
      </c>
      <c r="MW84" s="740">
        <f t="shared" si="1627"/>
        <v>0</v>
      </c>
      <c r="MX84" s="737" t="e">
        <f t="shared" si="1505"/>
        <v>#DIV/0!</v>
      </c>
      <c r="MY84" s="738" t="e">
        <f t="shared" si="1506"/>
        <v>#DIV/0!</v>
      </c>
      <c r="NA84" s="743">
        <f t="shared" ref="NA84:NC84" si="1628">SUM(NA49)</f>
        <v>0</v>
      </c>
      <c r="NB84" s="744">
        <f t="shared" si="1628"/>
        <v>0</v>
      </c>
      <c r="NC84" s="744">
        <f t="shared" si="1628"/>
        <v>0</v>
      </c>
      <c r="ND84" s="737" t="e">
        <f t="shared" si="1508"/>
        <v>#DIV/0!</v>
      </c>
      <c r="NE84" s="738" t="e">
        <f t="shared" si="1509"/>
        <v>#DIV/0!</v>
      </c>
      <c r="NG84" s="739">
        <f t="shared" ref="NG84:NI84" si="1629">SUM(NG49)</f>
        <v>0</v>
      </c>
      <c r="NH84" s="737">
        <f t="shared" si="1629"/>
        <v>0</v>
      </c>
      <c r="NI84" s="740">
        <f t="shared" si="1629"/>
        <v>0</v>
      </c>
      <c r="NJ84" s="737" t="e">
        <f t="shared" si="1511"/>
        <v>#DIV/0!</v>
      </c>
      <c r="NK84" s="738" t="e">
        <f t="shared" si="1512"/>
        <v>#DIV/0!</v>
      </c>
      <c r="NM84" s="739">
        <f t="shared" ref="NM84:NO84" si="1630">SUM(NM49)</f>
        <v>0</v>
      </c>
      <c r="NN84" s="737">
        <f t="shared" si="1630"/>
        <v>0</v>
      </c>
      <c r="NO84" s="740">
        <f t="shared" si="1630"/>
        <v>0</v>
      </c>
      <c r="NP84" s="737" t="e">
        <f t="shared" si="1514"/>
        <v>#DIV/0!</v>
      </c>
      <c r="NQ84" s="738" t="e">
        <f t="shared" si="1515"/>
        <v>#DIV/0!</v>
      </c>
      <c r="NS84" s="739">
        <f t="shared" ref="NS84:NU84" si="1631">SUM(NS49)</f>
        <v>0</v>
      </c>
      <c r="NT84" s="737">
        <f t="shared" si="1631"/>
        <v>0</v>
      </c>
      <c r="NU84" s="740">
        <f t="shared" si="1631"/>
        <v>0</v>
      </c>
      <c r="NV84" s="737" t="e">
        <f t="shared" si="1517"/>
        <v>#DIV/0!</v>
      </c>
      <c r="NW84" s="738" t="e">
        <f t="shared" si="1518"/>
        <v>#DIV/0!</v>
      </c>
      <c r="NY84" s="739">
        <f t="shared" ref="NY84:OA84" si="1632">SUM(NY49)</f>
        <v>0</v>
      </c>
      <c r="NZ84" s="737">
        <f t="shared" si="1632"/>
        <v>0</v>
      </c>
      <c r="OA84" s="740">
        <f t="shared" si="1632"/>
        <v>0</v>
      </c>
      <c r="OB84" s="737" t="e">
        <f t="shared" si="1520"/>
        <v>#DIV/0!</v>
      </c>
      <c r="OC84" s="738" t="e">
        <f t="shared" si="1521"/>
        <v>#DIV/0!</v>
      </c>
      <c r="OE84" s="739">
        <f t="shared" ref="OE84:OG84" si="1633">SUM(OE49)</f>
        <v>0</v>
      </c>
      <c r="OF84" s="737">
        <f t="shared" si="1633"/>
        <v>0</v>
      </c>
      <c r="OG84" s="740">
        <f t="shared" si="1633"/>
        <v>0</v>
      </c>
      <c r="OH84" s="737" t="e">
        <f t="shared" si="1523"/>
        <v>#DIV/0!</v>
      </c>
      <c r="OI84" s="738" t="e">
        <f t="shared" si="1524"/>
        <v>#DIV/0!</v>
      </c>
    </row>
    <row r="85" spans="1:399">
      <c r="A85" s="72" t="s">
        <v>47</v>
      </c>
      <c r="B85" s="73" t="s">
        <v>48</v>
      </c>
      <c r="C85" s="74"/>
      <c r="D85" s="61" t="s">
        <v>36</v>
      </c>
      <c r="E85" s="79">
        <f t="shared" ref="E85:G86" si="1634">E50</f>
        <v>1000</v>
      </c>
      <c r="F85" s="82">
        <f t="shared" si="1634"/>
        <v>13.87</v>
      </c>
      <c r="G85" s="79">
        <f t="shared" si="1634"/>
        <v>5</v>
      </c>
      <c r="H85" s="82">
        <f t="shared" si="1301"/>
        <v>72.098053352559489</v>
      </c>
      <c r="I85" s="84">
        <f t="shared" si="1302"/>
        <v>2.774</v>
      </c>
      <c r="J85" s="589"/>
      <c r="K85" s="79">
        <f t="shared" ref="K85:M86" si="1635">K50</f>
        <v>1800</v>
      </c>
      <c r="L85" s="82">
        <f t="shared" si="1635"/>
        <v>21.099999999999998</v>
      </c>
      <c r="M85" s="79">
        <f t="shared" si="1635"/>
        <v>5</v>
      </c>
      <c r="N85" s="82">
        <f t="shared" si="1303"/>
        <v>85.308056872037923</v>
      </c>
      <c r="O85" s="84">
        <f t="shared" si="1304"/>
        <v>4.22</v>
      </c>
      <c r="P85" s="589"/>
      <c r="Q85" s="79">
        <f t="shared" ref="Q85:S86" si="1636">Q50</f>
        <v>950</v>
      </c>
      <c r="R85" s="82">
        <f t="shared" si="1636"/>
        <v>29</v>
      </c>
      <c r="S85" s="79">
        <f t="shared" si="1636"/>
        <v>5</v>
      </c>
      <c r="T85" s="82">
        <f t="shared" si="1305"/>
        <v>32.758620689655174</v>
      </c>
      <c r="U85" s="84">
        <f t="shared" si="1306"/>
        <v>5.8</v>
      </c>
      <c r="V85" s="589"/>
      <c r="W85" s="79">
        <f t="shared" ref="W85:Y86" si="1637">W50</f>
        <v>1000</v>
      </c>
      <c r="X85" s="82">
        <f t="shared" si="1637"/>
        <v>17.130000000000003</v>
      </c>
      <c r="Y85" s="79">
        <f t="shared" si="1637"/>
        <v>5</v>
      </c>
      <c r="Z85" s="82">
        <f t="shared" si="1307"/>
        <v>58.377116170461171</v>
      </c>
      <c r="AA85" s="84">
        <f t="shared" si="1308"/>
        <v>3.4260000000000006</v>
      </c>
      <c r="AB85" s="589"/>
      <c r="AC85" s="79">
        <f t="shared" ref="AC85:AE86" si="1638">AC50</f>
        <v>1400</v>
      </c>
      <c r="AD85" s="82">
        <f t="shared" si="1638"/>
        <v>33.099999999999994</v>
      </c>
      <c r="AE85" s="79">
        <f t="shared" si="1638"/>
        <v>5</v>
      </c>
      <c r="AF85" s="82">
        <f t="shared" si="1309"/>
        <v>42.296072507552879</v>
      </c>
      <c r="AG85" s="84">
        <f t="shared" si="1310"/>
        <v>6.6199999999999992</v>
      </c>
      <c r="AH85" s="589"/>
      <c r="AI85" s="79">
        <f t="shared" ref="AI85:AK86" si="1639">AI50</f>
        <v>0</v>
      </c>
      <c r="AJ85" s="82">
        <f t="shared" si="1639"/>
        <v>0</v>
      </c>
      <c r="AK85" s="79">
        <f t="shared" si="1639"/>
        <v>0</v>
      </c>
      <c r="AL85" s="82" t="e">
        <f t="shared" si="1311"/>
        <v>#DIV/0!</v>
      </c>
      <c r="AM85" s="84" t="e">
        <f t="shared" si="1312"/>
        <v>#DIV/0!</v>
      </c>
      <c r="AN85" s="589"/>
      <c r="AO85" s="79">
        <f t="shared" ref="AO85:AQ86" si="1640">AO50</f>
        <v>1500</v>
      </c>
      <c r="AP85" s="82">
        <f t="shared" si="1640"/>
        <v>25.630000000000003</v>
      </c>
      <c r="AQ85" s="79">
        <f t="shared" si="1640"/>
        <v>5</v>
      </c>
      <c r="AR85" s="82">
        <f t="shared" si="1313"/>
        <v>58.525165821303155</v>
      </c>
      <c r="AS85" s="84">
        <f t="shared" si="1314"/>
        <v>5.1260000000000003</v>
      </c>
      <c r="AT85" s="589"/>
      <c r="AU85" s="79">
        <f t="shared" ref="AU85:AW86" si="1641">AU50</f>
        <v>1500</v>
      </c>
      <c r="AV85" s="82">
        <f t="shared" si="1641"/>
        <v>18.46</v>
      </c>
      <c r="AW85" s="79">
        <f t="shared" si="1641"/>
        <v>5</v>
      </c>
      <c r="AX85" s="82">
        <f t="shared" si="1315"/>
        <v>81.256771397616461</v>
      </c>
      <c r="AY85" s="84">
        <f t="shared" si="1316"/>
        <v>3.6920000000000002</v>
      </c>
      <c r="AZ85" s="84"/>
      <c r="BA85" s="79">
        <f t="shared" ref="BA85:BC86" si="1642">BA50</f>
        <v>1500</v>
      </c>
      <c r="BB85" s="82">
        <f t="shared" si="1642"/>
        <v>18.82</v>
      </c>
      <c r="BC85" s="79">
        <f t="shared" si="1642"/>
        <v>5</v>
      </c>
      <c r="BD85" s="82">
        <f t="shared" si="1317"/>
        <v>79.702444208289052</v>
      </c>
      <c r="BE85" s="84">
        <f t="shared" si="1318"/>
        <v>3.7640000000000002</v>
      </c>
      <c r="BF85" s="84"/>
      <c r="BG85" s="79">
        <f t="shared" ref="BG85:BI86" si="1643">BG50</f>
        <v>0</v>
      </c>
      <c r="BH85" s="82">
        <f t="shared" si="1643"/>
        <v>0</v>
      </c>
      <c r="BI85" s="79">
        <f t="shared" si="1643"/>
        <v>0</v>
      </c>
      <c r="BJ85" s="82" t="e">
        <f t="shared" si="1319"/>
        <v>#DIV/0!</v>
      </c>
      <c r="BK85" s="84" t="e">
        <f t="shared" si="1320"/>
        <v>#DIV/0!</v>
      </c>
      <c r="BL85" s="84"/>
      <c r="BM85" s="79">
        <f t="shared" ref="BM85:BO86" si="1644">BM50</f>
        <v>0</v>
      </c>
      <c r="BN85" s="82">
        <f t="shared" si="1644"/>
        <v>0</v>
      </c>
      <c r="BO85" s="79">
        <f t="shared" si="1644"/>
        <v>0</v>
      </c>
      <c r="BP85" s="82" t="e">
        <f t="shared" si="1321"/>
        <v>#DIV/0!</v>
      </c>
      <c r="BQ85" s="84" t="e">
        <f t="shared" si="1322"/>
        <v>#DIV/0!</v>
      </c>
      <c r="BR85" s="589"/>
      <c r="BS85" s="79">
        <f t="shared" ref="BS85:BU86" si="1645">BS50</f>
        <v>1900</v>
      </c>
      <c r="BT85" s="82">
        <f t="shared" si="1645"/>
        <v>51.710000000000008</v>
      </c>
      <c r="BU85" s="79">
        <f t="shared" si="1645"/>
        <v>5</v>
      </c>
      <c r="BV85" s="82">
        <f t="shared" si="1323"/>
        <v>36.743376522916257</v>
      </c>
      <c r="BW85" s="84">
        <f t="shared" si="1324"/>
        <v>10.342000000000002</v>
      </c>
      <c r="BX85" s="84"/>
      <c r="BY85" s="79">
        <f t="shared" ref="BY85:CA86" si="1646">BY50</f>
        <v>1700</v>
      </c>
      <c r="BZ85" s="82">
        <f t="shared" si="1646"/>
        <v>20.67</v>
      </c>
      <c r="CA85" s="79">
        <f t="shared" si="1646"/>
        <v>5</v>
      </c>
      <c r="CB85" s="82">
        <f t="shared" si="1325"/>
        <v>82.244799225931288</v>
      </c>
      <c r="CC85" s="84">
        <f t="shared" si="1326"/>
        <v>4.1340000000000003</v>
      </c>
      <c r="CD85" s="84"/>
      <c r="CE85" s="79">
        <f t="shared" ref="CE85:CG86" si="1647">CE50</f>
        <v>650</v>
      </c>
      <c r="CF85" s="82">
        <f t="shared" si="1647"/>
        <v>4</v>
      </c>
      <c r="CG85" s="79">
        <f t="shared" si="1647"/>
        <v>5</v>
      </c>
      <c r="CH85" s="82">
        <f t="shared" si="1327"/>
        <v>162.5</v>
      </c>
      <c r="CI85" s="84">
        <f t="shared" si="1328"/>
        <v>0.8</v>
      </c>
      <c r="CJ85" s="84"/>
      <c r="CK85" s="79">
        <f t="shared" ref="CK85:CM86" si="1648">CK50</f>
        <v>1000</v>
      </c>
      <c r="CL85" s="82">
        <f t="shared" si="1648"/>
        <v>28.09</v>
      </c>
      <c r="CM85" s="79">
        <f t="shared" si="1648"/>
        <v>5</v>
      </c>
      <c r="CN85" s="82">
        <f t="shared" si="1329"/>
        <v>35.599857600569599</v>
      </c>
      <c r="CO85" s="84">
        <f t="shared" si="1330"/>
        <v>5.6180000000000003</v>
      </c>
      <c r="CP85" s="84"/>
      <c r="CQ85" s="79">
        <f t="shared" ref="CQ85:CS86" si="1649">CQ50</f>
        <v>0</v>
      </c>
      <c r="CR85" s="82">
        <f t="shared" si="1649"/>
        <v>0</v>
      </c>
      <c r="CS85" s="79">
        <f t="shared" si="1649"/>
        <v>0</v>
      </c>
      <c r="CT85" s="82" t="e">
        <f t="shared" si="1331"/>
        <v>#DIV/0!</v>
      </c>
      <c r="CU85" s="84" t="e">
        <f t="shared" si="1332"/>
        <v>#DIV/0!</v>
      </c>
      <c r="CV85" s="84"/>
      <c r="CW85" s="79">
        <f t="shared" ref="CW85:CY86" si="1650">CW50</f>
        <v>1700</v>
      </c>
      <c r="CX85" s="82">
        <f t="shared" si="1650"/>
        <v>20.67</v>
      </c>
      <c r="CY85" s="79">
        <f t="shared" si="1650"/>
        <v>5</v>
      </c>
      <c r="CZ85" s="82">
        <f t="shared" si="1333"/>
        <v>82.244799225931288</v>
      </c>
      <c r="DA85" s="84">
        <f t="shared" si="1334"/>
        <v>4.1340000000000003</v>
      </c>
      <c r="DB85" s="84"/>
      <c r="DC85" s="79">
        <f t="shared" ref="DC85:DE86" si="1651">DC50</f>
        <v>1000</v>
      </c>
      <c r="DD85" s="82">
        <f t="shared" si="1651"/>
        <v>58.040000000000006</v>
      </c>
      <c r="DE85" s="79">
        <f t="shared" si="1651"/>
        <v>5</v>
      </c>
      <c r="DF85" s="82">
        <f t="shared" si="1335"/>
        <v>17.229496898690556</v>
      </c>
      <c r="DG85" s="84">
        <f t="shared" si="1336"/>
        <v>11.608000000000001</v>
      </c>
      <c r="DH85" s="84"/>
      <c r="DI85" s="79">
        <f t="shared" ref="DI85:DK86" si="1652">DI50</f>
        <v>1400</v>
      </c>
      <c r="DJ85" s="82">
        <f t="shared" si="1652"/>
        <v>31.04</v>
      </c>
      <c r="DK85" s="79">
        <f t="shared" si="1652"/>
        <v>5</v>
      </c>
      <c r="DL85" s="82">
        <f t="shared" si="1337"/>
        <v>45.103092783505154</v>
      </c>
      <c r="DM85" s="84">
        <f t="shared" si="1338"/>
        <v>6.2080000000000002</v>
      </c>
      <c r="DN85" s="84"/>
      <c r="DO85" s="79">
        <f t="shared" ref="DO85:DQ86" si="1653">DO50</f>
        <v>1400</v>
      </c>
      <c r="DP85" s="82">
        <f t="shared" si="1653"/>
        <v>26.97</v>
      </c>
      <c r="DQ85" s="79">
        <f t="shared" si="1653"/>
        <v>5</v>
      </c>
      <c r="DR85" s="82">
        <f t="shared" si="1339"/>
        <v>51.909529106414539</v>
      </c>
      <c r="DS85" s="84">
        <f t="shared" si="1340"/>
        <v>5.3940000000000001</v>
      </c>
      <c r="DT85" s="84"/>
      <c r="DU85" s="79">
        <f t="shared" ref="DU85:DW86" si="1654">DU50</f>
        <v>0</v>
      </c>
      <c r="DV85" s="82">
        <f t="shared" si="1654"/>
        <v>0</v>
      </c>
      <c r="DW85" s="79">
        <f t="shared" si="1654"/>
        <v>0</v>
      </c>
      <c r="DX85" s="82" t="e">
        <f t="shared" si="1341"/>
        <v>#DIV/0!</v>
      </c>
      <c r="DY85" s="84" t="e">
        <f t="shared" si="1342"/>
        <v>#DIV/0!</v>
      </c>
      <c r="DZ85" s="84"/>
      <c r="EA85" s="79">
        <f t="shared" ref="EA85:EC86" si="1655">EA50</f>
        <v>0</v>
      </c>
      <c r="EB85" s="82">
        <f t="shared" si="1655"/>
        <v>0</v>
      </c>
      <c r="EC85" s="79">
        <f t="shared" si="1655"/>
        <v>0</v>
      </c>
      <c r="ED85" s="82" t="e">
        <f t="shared" si="1343"/>
        <v>#DIV/0!</v>
      </c>
      <c r="EE85" s="84" t="e">
        <f t="shared" si="1344"/>
        <v>#DIV/0!</v>
      </c>
      <c r="EF85" s="84"/>
      <c r="EG85" s="79">
        <f t="shared" ref="EG85:EI86" si="1656">EG50</f>
        <v>0</v>
      </c>
      <c r="EH85" s="82">
        <f t="shared" si="1656"/>
        <v>0</v>
      </c>
      <c r="EI85" s="79">
        <f t="shared" si="1656"/>
        <v>0</v>
      </c>
      <c r="EJ85" s="82" t="e">
        <f t="shared" si="1345"/>
        <v>#DIV/0!</v>
      </c>
      <c r="EK85" s="84" t="e">
        <f t="shared" si="1346"/>
        <v>#DIV/0!</v>
      </c>
      <c r="EL85" s="84"/>
      <c r="EM85" s="79">
        <f t="shared" ref="EM85:EO86" si="1657">EM50</f>
        <v>0</v>
      </c>
      <c r="EN85" s="82">
        <f t="shared" si="1657"/>
        <v>0</v>
      </c>
      <c r="EO85" s="79">
        <f t="shared" si="1657"/>
        <v>0</v>
      </c>
      <c r="EP85" s="82" t="e">
        <f t="shared" si="1347"/>
        <v>#DIV/0!</v>
      </c>
      <c r="EQ85" s="84" t="e">
        <f t="shared" si="1348"/>
        <v>#DIV/0!</v>
      </c>
      <c r="ER85" s="589"/>
      <c r="ES85" s="79">
        <f t="shared" ref="ES85:EU86" si="1658">ES50</f>
        <v>1700</v>
      </c>
      <c r="ET85" s="82">
        <f t="shared" si="1658"/>
        <v>20.67</v>
      </c>
      <c r="EU85" s="79">
        <f t="shared" si="1658"/>
        <v>5</v>
      </c>
      <c r="EV85" s="82">
        <f t="shared" si="915"/>
        <v>82.244799225931288</v>
      </c>
      <c r="EW85" s="84">
        <f t="shared" si="916"/>
        <v>4.1340000000000003</v>
      </c>
      <c r="EY85" s="91">
        <f t="shared" ref="EY85:FA86" si="1659">EY50</f>
        <v>1000</v>
      </c>
      <c r="EZ85" s="369">
        <f t="shared" si="1659"/>
        <v>24.86</v>
      </c>
      <c r="FA85" s="371">
        <f t="shared" si="1659"/>
        <v>5</v>
      </c>
      <c r="FB85" s="369">
        <f t="shared" si="917"/>
        <v>40.225261464199519</v>
      </c>
      <c r="FC85" s="370">
        <f t="shared" si="918"/>
        <v>4.9719999999999995</v>
      </c>
      <c r="FE85" s="91">
        <f t="shared" ref="FE85:FG86" si="1660">FE50</f>
        <v>950</v>
      </c>
      <c r="FF85" s="82">
        <f t="shared" si="1660"/>
        <v>29</v>
      </c>
      <c r="FG85" s="79">
        <f t="shared" si="1660"/>
        <v>5</v>
      </c>
      <c r="FH85" s="94">
        <f t="shared" si="919"/>
        <v>32.758620689655174</v>
      </c>
      <c r="FI85" s="84">
        <f t="shared" si="920"/>
        <v>5.8</v>
      </c>
      <c r="FK85" s="91">
        <f t="shared" ref="FK85:FM86" si="1661">FK50</f>
        <v>1500</v>
      </c>
      <c r="FL85" s="82">
        <f t="shared" si="1661"/>
        <v>65.72</v>
      </c>
      <c r="FM85" s="371">
        <f t="shared" si="1661"/>
        <v>5</v>
      </c>
      <c r="FN85" s="369">
        <f t="shared" si="921"/>
        <v>22.82410225197809</v>
      </c>
      <c r="FO85" s="370">
        <f t="shared" si="922"/>
        <v>13.144</v>
      </c>
      <c r="FQ85" s="91">
        <f t="shared" ref="FQ85:FS86" si="1662">FQ50</f>
        <v>1000</v>
      </c>
      <c r="FR85" s="82">
        <f t="shared" si="1662"/>
        <v>25.900000000000002</v>
      </c>
      <c r="FS85" s="79">
        <f t="shared" si="1662"/>
        <v>5</v>
      </c>
      <c r="FT85" s="82">
        <f t="shared" ref="FT85:FT86" si="1663">FQ85/FR85</f>
        <v>38.610038610038607</v>
      </c>
      <c r="FU85" s="84">
        <f t="shared" ref="FU85:FU86" si="1664">FR85/FS85</f>
        <v>5.1800000000000006</v>
      </c>
      <c r="FW85" s="91">
        <f t="shared" ref="FW85:FY86" si="1665">FW50</f>
        <v>900</v>
      </c>
      <c r="FX85" s="82">
        <f t="shared" si="1665"/>
        <v>20.509999999999998</v>
      </c>
      <c r="FY85" s="79">
        <f t="shared" si="1665"/>
        <v>5</v>
      </c>
      <c r="FZ85" s="82">
        <f t="shared" ref="FZ85:FZ86" si="1666">FW85/FX85</f>
        <v>43.8810336421258</v>
      </c>
      <c r="GA85" s="84">
        <f t="shared" ref="GA85:GA86" si="1667">FX85/FY85</f>
        <v>4.1019999999999994</v>
      </c>
      <c r="GC85" s="91">
        <f t="shared" ref="GC85:GE86" si="1668">GC50</f>
        <v>1250</v>
      </c>
      <c r="GD85" s="369">
        <f t="shared" si="1668"/>
        <v>28.12</v>
      </c>
      <c r="GE85" s="371">
        <f t="shared" si="1668"/>
        <v>5</v>
      </c>
      <c r="GF85" s="369">
        <f t="shared" ref="GF85:GF86" si="1669">GC85/GD85</f>
        <v>44.452347083926028</v>
      </c>
      <c r="GG85" s="370">
        <f t="shared" ref="GG85:GG86" si="1670">GD85/GE85</f>
        <v>5.6240000000000006</v>
      </c>
      <c r="GI85" s="91">
        <f t="shared" ref="GI85:GK86" si="1671">GI50</f>
        <v>1500</v>
      </c>
      <c r="GJ85" s="82">
        <f t="shared" si="1671"/>
        <v>34.050000000000004</v>
      </c>
      <c r="GK85" s="79">
        <f t="shared" si="1671"/>
        <v>5</v>
      </c>
      <c r="GL85" s="82">
        <f t="shared" ref="GL85:GL86" si="1672">GI85/GJ85</f>
        <v>44.052863436123346</v>
      </c>
      <c r="GM85" s="84">
        <f t="shared" ref="GM85:GM86" si="1673">GJ85/GK85</f>
        <v>6.8100000000000005</v>
      </c>
      <c r="GO85" s="91">
        <f t="shared" ref="GO85:GQ86" si="1674">GO50</f>
        <v>1250</v>
      </c>
      <c r="GP85" s="82">
        <f t="shared" si="1674"/>
        <v>26.5</v>
      </c>
      <c r="GQ85" s="79">
        <f t="shared" si="1674"/>
        <v>5</v>
      </c>
      <c r="GR85" s="82">
        <f t="shared" ref="GR85:GR86" si="1675">GO85/GP85</f>
        <v>47.169811320754718</v>
      </c>
      <c r="GS85" s="84">
        <f t="shared" ref="GS85:GS86" si="1676">GP85/GQ85</f>
        <v>5.3</v>
      </c>
      <c r="GU85" s="91">
        <f t="shared" ref="GU85:GW86" si="1677">GU50</f>
        <v>1750</v>
      </c>
      <c r="GV85" s="82">
        <f t="shared" si="1677"/>
        <v>19.88</v>
      </c>
      <c r="GW85" s="79">
        <f t="shared" si="1677"/>
        <v>5</v>
      </c>
      <c r="GX85" s="82">
        <f t="shared" ref="GX85:GX86" si="1678">GU85/GV85</f>
        <v>88.028169014084511</v>
      </c>
      <c r="GY85" s="84">
        <f t="shared" ref="GY85:GY86" si="1679">GV85/GW85</f>
        <v>3.976</v>
      </c>
      <c r="HA85" s="91">
        <f t="shared" ref="HA85:HC86" si="1680">HA50</f>
        <v>1400</v>
      </c>
      <c r="HB85" s="82">
        <f t="shared" si="1680"/>
        <v>20.85</v>
      </c>
      <c r="HC85" s="79">
        <f t="shared" si="1680"/>
        <v>5</v>
      </c>
      <c r="HD85" s="369">
        <f t="shared" ref="HD85:HD86" si="1681">HA85/HB85</f>
        <v>67.146282973621098</v>
      </c>
      <c r="HE85" s="370">
        <f t="shared" ref="HE85:HE86" si="1682">HB85/HC85</f>
        <v>4.17</v>
      </c>
      <c r="HG85" s="91">
        <f t="shared" ref="HG85:HI86" si="1683">HG50</f>
        <v>1500</v>
      </c>
      <c r="HH85" s="82">
        <f t="shared" si="1683"/>
        <v>30.640000000000004</v>
      </c>
      <c r="HI85" s="79">
        <f t="shared" si="1683"/>
        <v>5</v>
      </c>
      <c r="HJ85" s="82">
        <f t="shared" ref="HJ85:HJ86" si="1684">HG85/HH85</f>
        <v>48.955613577023492</v>
      </c>
      <c r="HK85" s="84">
        <f t="shared" ref="HK85:HK86" si="1685">HH85/HI85</f>
        <v>6.128000000000001</v>
      </c>
      <c r="HM85" s="91">
        <f t="shared" ref="HM85:HO86" si="1686">HM50</f>
        <v>1000</v>
      </c>
      <c r="HN85" s="82">
        <f t="shared" si="1686"/>
        <v>13.87</v>
      </c>
      <c r="HO85" s="79">
        <f t="shared" si="1686"/>
        <v>5</v>
      </c>
      <c r="HP85" s="82">
        <f t="shared" ref="HP85:HP86" si="1687">HM85/HN85</f>
        <v>72.098053352559489</v>
      </c>
      <c r="HQ85" s="84">
        <f t="shared" ref="HQ85:HQ86" si="1688">HN85/HO85</f>
        <v>2.774</v>
      </c>
      <c r="HS85" s="91">
        <f t="shared" ref="HS85:HU86" si="1689">HS50</f>
        <v>1800</v>
      </c>
      <c r="HT85" s="82">
        <f t="shared" si="1689"/>
        <v>21.099999999999998</v>
      </c>
      <c r="HU85" s="371">
        <f t="shared" si="1689"/>
        <v>5</v>
      </c>
      <c r="HV85" s="369">
        <f t="shared" ref="HV85:HV86" si="1690">HS85/HT85</f>
        <v>85.308056872037923</v>
      </c>
      <c r="HW85" s="370">
        <f t="shared" ref="HW85:HW86" si="1691">HT85/HU85</f>
        <v>4.22</v>
      </c>
      <c r="HX85" s="178"/>
      <c r="HY85" s="91">
        <f t="shared" ref="HY85:IA86" si="1692">HY50</f>
        <v>1100</v>
      </c>
      <c r="HZ85" s="82">
        <f t="shared" si="1692"/>
        <v>32.199999999999996</v>
      </c>
      <c r="IA85" s="371">
        <f t="shared" si="1692"/>
        <v>4</v>
      </c>
      <c r="IB85" s="369">
        <f t="shared" ref="IB85:IB86" si="1693">HY85/HZ85</f>
        <v>34.161490683229815</v>
      </c>
      <c r="IC85" s="370">
        <f t="shared" ref="IC85" si="1694">HZ85/IA85</f>
        <v>8.0499999999999989</v>
      </c>
      <c r="IE85" s="91">
        <f t="shared" ref="IE85:IG86" si="1695">IE50</f>
        <v>1000</v>
      </c>
      <c r="IF85" s="82">
        <f t="shared" si="1695"/>
        <v>28.49</v>
      </c>
      <c r="IG85" s="79">
        <f t="shared" si="1695"/>
        <v>5</v>
      </c>
      <c r="IH85" s="82">
        <f t="shared" ref="IH85:IH86" si="1696">IE85/IF85</f>
        <v>35.1000351000351</v>
      </c>
      <c r="II85" s="84">
        <f t="shared" ref="II85:II86" si="1697">IF85/IG85</f>
        <v>5.6979999999999995</v>
      </c>
      <c r="IK85" s="91">
        <f t="shared" ref="IK85:IM86" si="1698">IK50</f>
        <v>1000</v>
      </c>
      <c r="IL85" s="82">
        <f t="shared" si="1698"/>
        <v>33</v>
      </c>
      <c r="IM85" s="79">
        <f t="shared" si="1698"/>
        <v>5</v>
      </c>
      <c r="IN85" s="82">
        <f t="shared" ref="IN85" si="1699">IK85/IL85</f>
        <v>30.303030303030305</v>
      </c>
      <c r="IO85" s="84">
        <f t="shared" ref="IO85" si="1700">IL85/IM85</f>
        <v>6.6</v>
      </c>
      <c r="IQ85" s="91">
        <f t="shared" ref="IQ85:IS86" si="1701">IQ50</f>
        <v>1500</v>
      </c>
      <c r="IR85" s="82">
        <f t="shared" si="1701"/>
        <v>29.16</v>
      </c>
      <c r="IS85" s="79">
        <f t="shared" si="1701"/>
        <v>5</v>
      </c>
      <c r="IT85" s="82">
        <f t="shared" ref="IT85" si="1702">IQ85/IR85</f>
        <v>51.440329218106996</v>
      </c>
      <c r="IU85" s="84">
        <f t="shared" ref="IU85" si="1703">IR85/IS85</f>
        <v>5.8319999999999999</v>
      </c>
      <c r="IW85" s="91">
        <f t="shared" ref="IW85:IY86" si="1704">IW50</f>
        <v>1050</v>
      </c>
      <c r="IX85" s="82">
        <f t="shared" si="1704"/>
        <v>29.26</v>
      </c>
      <c r="IY85" s="79">
        <f t="shared" si="1704"/>
        <v>5</v>
      </c>
      <c r="IZ85" s="82">
        <f t="shared" ref="IZ85" si="1705">IW85/IX85</f>
        <v>35.885167464114829</v>
      </c>
      <c r="JA85" s="84">
        <f t="shared" ref="JA85" si="1706">IX85/IY85</f>
        <v>5.8520000000000003</v>
      </c>
      <c r="JC85" s="91">
        <f t="shared" ref="JC85:JE86" si="1707">JC50</f>
        <v>1500</v>
      </c>
      <c r="JD85" s="82">
        <f t="shared" si="1707"/>
        <v>25.099999999999998</v>
      </c>
      <c r="JE85" s="79">
        <f t="shared" si="1707"/>
        <v>5</v>
      </c>
      <c r="JF85" s="82">
        <f t="shared" ref="JF85" si="1708">JC85/JD85</f>
        <v>59.760956175298809</v>
      </c>
      <c r="JG85" s="84">
        <f t="shared" ref="JG85" si="1709">JD85/JE85</f>
        <v>5.0199999999999996</v>
      </c>
      <c r="JI85" s="91">
        <f t="shared" ref="JI85:JK86" si="1710">JI50</f>
        <v>1000</v>
      </c>
      <c r="JJ85" s="82">
        <f t="shared" si="1710"/>
        <v>22.28</v>
      </c>
      <c r="JK85" s="79">
        <f t="shared" si="1710"/>
        <v>5</v>
      </c>
      <c r="JL85" s="82">
        <f t="shared" ref="JL85" si="1711">JI85/JJ85</f>
        <v>44.88330341113106</v>
      </c>
      <c r="JM85" s="84">
        <f t="shared" ref="JM85" si="1712">JJ85/JK85</f>
        <v>4.4560000000000004</v>
      </c>
      <c r="JO85" s="91">
        <f t="shared" ref="JO85:JQ86" si="1713">JO50</f>
        <v>2500</v>
      </c>
      <c r="JP85" s="82">
        <f t="shared" si="1713"/>
        <v>31.459999999999997</v>
      </c>
      <c r="JQ85" s="79">
        <f t="shared" si="1713"/>
        <v>5</v>
      </c>
      <c r="JR85" s="82">
        <f t="shared" ref="JR85" si="1714">JO85/JP85</f>
        <v>79.465988556897656</v>
      </c>
      <c r="JS85" s="84">
        <f t="shared" ref="JS85" si="1715">JP85/JQ85</f>
        <v>6.2919999999999998</v>
      </c>
      <c r="JU85" s="91">
        <f t="shared" si="1465"/>
        <v>1500</v>
      </c>
      <c r="JV85" s="82">
        <f t="shared" si="1465"/>
        <v>26.800000000000004</v>
      </c>
      <c r="JW85" s="79">
        <f t="shared" si="1465"/>
        <v>5</v>
      </c>
      <c r="JX85" s="369">
        <f t="shared" si="1466"/>
        <v>55.970149253731336</v>
      </c>
      <c r="JY85" s="84">
        <f t="shared" si="1467"/>
        <v>5.3600000000000012</v>
      </c>
      <c r="KA85" s="91">
        <f t="shared" si="1468"/>
        <v>1500</v>
      </c>
      <c r="KB85" s="82">
        <f t="shared" si="1468"/>
        <v>23.89</v>
      </c>
      <c r="KC85" s="79">
        <f t="shared" si="1468"/>
        <v>5</v>
      </c>
      <c r="KD85" s="369">
        <f t="shared" si="1469"/>
        <v>62.787777312683133</v>
      </c>
      <c r="KE85" s="84">
        <f t="shared" si="1470"/>
        <v>4.7780000000000005</v>
      </c>
      <c r="KG85" s="91">
        <f t="shared" ref="KG85:KI85" si="1716">SUM(KG50)</f>
        <v>1550</v>
      </c>
      <c r="KH85" s="82">
        <f t="shared" si="1716"/>
        <v>23.39</v>
      </c>
      <c r="KI85" s="79">
        <f t="shared" si="1716"/>
        <v>5</v>
      </c>
      <c r="KJ85" s="369">
        <f t="shared" si="1472"/>
        <v>66.267635741769979</v>
      </c>
      <c r="KK85" s="84">
        <f t="shared" si="1473"/>
        <v>4.6779999999999999</v>
      </c>
      <c r="KM85" s="91">
        <f t="shared" ref="KM85:KO85" si="1717">SUM(KM50)</f>
        <v>1100</v>
      </c>
      <c r="KN85" s="82">
        <f t="shared" si="1717"/>
        <v>32.47</v>
      </c>
      <c r="KO85" s="79">
        <f t="shared" si="1717"/>
        <v>5</v>
      </c>
      <c r="KP85" s="369">
        <f t="shared" si="1475"/>
        <v>33.877425315676007</v>
      </c>
      <c r="KQ85" s="84">
        <f t="shared" si="1476"/>
        <v>6.4939999999999998</v>
      </c>
      <c r="KS85" s="91">
        <f t="shared" ref="KS85:KU85" si="1718">SUM(KS50)</f>
        <v>1500</v>
      </c>
      <c r="KT85" s="82">
        <f t="shared" si="1718"/>
        <v>25.259999999999998</v>
      </c>
      <c r="KU85" s="79">
        <f t="shared" si="1718"/>
        <v>5</v>
      </c>
      <c r="KV85" s="369">
        <f t="shared" si="1478"/>
        <v>59.382422802850364</v>
      </c>
      <c r="KW85" s="84">
        <f t="shared" si="1479"/>
        <v>5.0519999999999996</v>
      </c>
      <c r="KY85" s="91">
        <f t="shared" ref="KY85:LA85" si="1719">SUM(KY50)</f>
        <v>0</v>
      </c>
      <c r="KZ85" s="82">
        <f t="shared" si="1719"/>
        <v>0</v>
      </c>
      <c r="LA85" s="79">
        <f t="shared" si="1719"/>
        <v>0</v>
      </c>
      <c r="LB85" s="369" t="e">
        <f t="shared" si="1481"/>
        <v>#DIV/0!</v>
      </c>
      <c r="LC85" s="84" t="e">
        <f t="shared" si="1482"/>
        <v>#DIV/0!</v>
      </c>
      <c r="LE85" s="91">
        <f t="shared" ref="LE85:LG85" si="1720">SUM(LE50)</f>
        <v>0</v>
      </c>
      <c r="LF85" s="82">
        <f t="shared" si="1720"/>
        <v>0</v>
      </c>
      <c r="LG85" s="79">
        <f t="shared" si="1720"/>
        <v>0</v>
      </c>
      <c r="LH85" s="369" t="e">
        <f t="shared" si="1484"/>
        <v>#DIV/0!</v>
      </c>
      <c r="LI85" s="84" t="e">
        <f t="shared" si="1485"/>
        <v>#DIV/0!</v>
      </c>
      <c r="LK85" s="91">
        <f t="shared" ref="LK85:LM85" si="1721">SUM(LK50)</f>
        <v>1000</v>
      </c>
      <c r="LL85" s="82">
        <f t="shared" si="1721"/>
        <v>30.11</v>
      </c>
      <c r="LM85" s="79">
        <f t="shared" si="1721"/>
        <v>5</v>
      </c>
      <c r="LN85" s="369">
        <f t="shared" si="1487"/>
        <v>33.211557622052474</v>
      </c>
      <c r="LO85" s="84">
        <f t="shared" si="1488"/>
        <v>6.0220000000000002</v>
      </c>
      <c r="LQ85" s="91">
        <f t="shared" ref="LQ85:LS85" si="1722">SUM(LQ50)</f>
        <v>0</v>
      </c>
      <c r="LR85" s="82">
        <f t="shared" si="1722"/>
        <v>0</v>
      </c>
      <c r="LS85" s="79">
        <f t="shared" si="1722"/>
        <v>0</v>
      </c>
      <c r="LT85" s="369" t="e">
        <f t="shared" si="1490"/>
        <v>#DIV/0!</v>
      </c>
      <c r="LU85" s="84" t="e">
        <f t="shared" si="1491"/>
        <v>#DIV/0!</v>
      </c>
      <c r="LW85" s="91">
        <f t="shared" ref="LW85:LY85" si="1723">SUM(LW50)</f>
        <v>1500</v>
      </c>
      <c r="LX85" s="82">
        <f t="shared" si="1723"/>
        <v>22.5</v>
      </c>
      <c r="LY85" s="79">
        <f t="shared" si="1723"/>
        <v>5</v>
      </c>
      <c r="LZ85" s="369">
        <f t="shared" si="1493"/>
        <v>66.666666666666671</v>
      </c>
      <c r="MA85" s="84">
        <f t="shared" si="1494"/>
        <v>4.5</v>
      </c>
      <c r="MC85" s="91">
        <f t="shared" ref="MC85:ME85" si="1724">SUM(MC50)</f>
        <v>1350</v>
      </c>
      <c r="MD85" s="82">
        <f t="shared" si="1724"/>
        <v>24.060000000000002</v>
      </c>
      <c r="ME85" s="79">
        <f t="shared" si="1724"/>
        <v>5</v>
      </c>
      <c r="MF85" s="369">
        <f t="shared" si="1496"/>
        <v>56.109725685785534</v>
      </c>
      <c r="MG85" s="84">
        <f t="shared" si="1497"/>
        <v>4.8120000000000003</v>
      </c>
      <c r="MI85" s="91">
        <f t="shared" ref="MI85:MK85" si="1725">SUM(MI50)</f>
        <v>1400</v>
      </c>
      <c r="MJ85" s="82">
        <f t="shared" si="1725"/>
        <v>25.939999999999998</v>
      </c>
      <c r="MK85" s="79">
        <f t="shared" si="1725"/>
        <v>5</v>
      </c>
      <c r="ML85" s="369">
        <f t="shared" si="1499"/>
        <v>53.970701619121051</v>
      </c>
      <c r="MM85" s="84">
        <f t="shared" si="1500"/>
        <v>5.1879999999999997</v>
      </c>
      <c r="MO85" s="91">
        <f t="shared" ref="MO85:MQ85" si="1726">SUM(MO50)</f>
        <v>0</v>
      </c>
      <c r="MP85" s="82">
        <f t="shared" si="1726"/>
        <v>0</v>
      </c>
      <c r="MQ85" s="79">
        <f t="shared" si="1726"/>
        <v>0</v>
      </c>
      <c r="MR85" s="369" t="e">
        <f t="shared" si="1502"/>
        <v>#DIV/0!</v>
      </c>
      <c r="MS85" s="84" t="e">
        <f t="shared" si="1503"/>
        <v>#DIV/0!</v>
      </c>
      <c r="MU85" s="91">
        <f t="shared" ref="MU85:MW85" si="1727">SUM(MU50)</f>
        <v>0</v>
      </c>
      <c r="MV85" s="82">
        <f t="shared" si="1727"/>
        <v>0</v>
      </c>
      <c r="MW85" s="79">
        <f t="shared" si="1727"/>
        <v>0</v>
      </c>
      <c r="MX85" s="369" t="e">
        <f t="shared" si="1505"/>
        <v>#DIV/0!</v>
      </c>
      <c r="MY85" s="84" t="e">
        <f t="shared" si="1506"/>
        <v>#DIV/0!</v>
      </c>
      <c r="NA85" s="383">
        <f t="shared" ref="NA85:NC85" si="1728">SUM(NA50)</f>
        <v>1200</v>
      </c>
      <c r="NB85" s="748">
        <f t="shared" si="1728"/>
        <v>23.85</v>
      </c>
      <c r="NC85" s="748">
        <f t="shared" si="1728"/>
        <v>5</v>
      </c>
      <c r="ND85" s="369">
        <f t="shared" si="1508"/>
        <v>50.314465408805027</v>
      </c>
      <c r="NE85" s="84">
        <f t="shared" si="1509"/>
        <v>4.7700000000000005</v>
      </c>
      <c r="NG85" s="91">
        <f t="shared" ref="NG85:NI85" si="1729">SUM(NG50)</f>
        <v>1000</v>
      </c>
      <c r="NH85" s="82">
        <f t="shared" si="1729"/>
        <v>22.62</v>
      </c>
      <c r="NI85" s="79">
        <f t="shared" si="1729"/>
        <v>5</v>
      </c>
      <c r="NJ85" s="369">
        <f t="shared" si="1511"/>
        <v>44.208664898320066</v>
      </c>
      <c r="NK85" s="84">
        <f t="shared" si="1512"/>
        <v>4.524</v>
      </c>
      <c r="NM85" s="91">
        <f t="shared" ref="NM85:NO85" si="1730">SUM(NM50)</f>
        <v>1450</v>
      </c>
      <c r="NN85" s="82">
        <f t="shared" si="1730"/>
        <v>27.2</v>
      </c>
      <c r="NO85" s="79">
        <f t="shared" si="1730"/>
        <v>5</v>
      </c>
      <c r="NP85" s="369">
        <f t="shared" si="1514"/>
        <v>53.308823529411768</v>
      </c>
      <c r="NQ85" s="84">
        <f t="shared" si="1515"/>
        <v>5.4399999999999995</v>
      </c>
      <c r="NS85" s="91">
        <f t="shared" ref="NS85:NU85" si="1731">SUM(NS50)</f>
        <v>1000</v>
      </c>
      <c r="NT85" s="82">
        <f t="shared" si="1731"/>
        <v>27.24</v>
      </c>
      <c r="NU85" s="79">
        <f t="shared" si="1731"/>
        <v>5</v>
      </c>
      <c r="NV85" s="369">
        <f t="shared" si="1517"/>
        <v>36.710719530102793</v>
      </c>
      <c r="NW85" s="84">
        <f t="shared" si="1518"/>
        <v>5.4479999999999995</v>
      </c>
      <c r="NY85" s="91">
        <f t="shared" ref="NY85:OA85" si="1732">SUM(NY50)</f>
        <v>1000</v>
      </c>
      <c r="NZ85" s="82">
        <f t="shared" si="1732"/>
        <v>31.31</v>
      </c>
      <c r="OA85" s="79">
        <f t="shared" si="1732"/>
        <v>5</v>
      </c>
      <c r="OB85" s="369">
        <f t="shared" si="1520"/>
        <v>31.938677738741617</v>
      </c>
      <c r="OC85" s="84">
        <f t="shared" si="1521"/>
        <v>6.2619999999999996</v>
      </c>
      <c r="OE85" s="91">
        <f t="shared" ref="OE85:OG85" si="1733">SUM(OE50)</f>
        <v>1000</v>
      </c>
      <c r="OF85" s="82">
        <f t="shared" si="1733"/>
        <v>22.11</v>
      </c>
      <c r="OG85" s="79">
        <f t="shared" si="1733"/>
        <v>5</v>
      </c>
      <c r="OH85" s="369">
        <f t="shared" si="1523"/>
        <v>45.228403437358665</v>
      </c>
      <c r="OI85" s="84">
        <f t="shared" si="1524"/>
        <v>4.4219999999999997</v>
      </c>
    </row>
    <row r="86" spans="1:399">
      <c r="A86" s="75"/>
      <c r="B86" s="76" t="s">
        <v>49</v>
      </c>
      <c r="C86" s="77"/>
      <c r="D86" s="78" t="s">
        <v>14</v>
      </c>
      <c r="E86" s="85">
        <f t="shared" si="1634"/>
        <v>300</v>
      </c>
      <c r="F86" s="87">
        <f t="shared" si="1634"/>
        <v>8.2900000000000009</v>
      </c>
      <c r="G86" s="86">
        <f t="shared" si="1634"/>
        <v>3</v>
      </c>
      <c r="H86" s="87">
        <f t="shared" si="1301"/>
        <v>36.1881785283474</v>
      </c>
      <c r="I86" s="88">
        <f t="shared" si="1302"/>
        <v>2.7633333333333336</v>
      </c>
      <c r="J86" s="589"/>
      <c r="K86" s="85">
        <f t="shared" si="1635"/>
        <v>750</v>
      </c>
      <c r="L86" s="87">
        <f t="shared" si="1635"/>
        <v>4.24</v>
      </c>
      <c r="M86" s="86">
        <f t="shared" si="1635"/>
        <v>5</v>
      </c>
      <c r="N86" s="87">
        <f t="shared" si="1303"/>
        <v>176.88679245283018</v>
      </c>
      <c r="O86" s="88">
        <f t="shared" si="1304"/>
        <v>0.84800000000000009</v>
      </c>
      <c r="P86" s="589"/>
      <c r="Q86" s="85">
        <f t="shared" si="1636"/>
        <v>150</v>
      </c>
      <c r="R86" s="87">
        <f t="shared" si="1636"/>
        <v>1</v>
      </c>
      <c r="S86" s="86">
        <f t="shared" si="1636"/>
        <v>1</v>
      </c>
      <c r="T86" s="87">
        <f t="shared" si="1305"/>
        <v>150</v>
      </c>
      <c r="U86" s="88">
        <f t="shared" si="1306"/>
        <v>1</v>
      </c>
      <c r="V86" s="589"/>
      <c r="W86" s="85">
        <f t="shared" si="1637"/>
        <v>350</v>
      </c>
      <c r="X86" s="87">
        <f t="shared" si="1637"/>
        <v>2.9</v>
      </c>
      <c r="Y86" s="86">
        <f t="shared" si="1637"/>
        <v>5</v>
      </c>
      <c r="Z86" s="87">
        <f t="shared" si="1307"/>
        <v>120.68965517241379</v>
      </c>
      <c r="AA86" s="88">
        <f t="shared" si="1308"/>
        <v>0.57999999999999996</v>
      </c>
      <c r="AB86" s="589"/>
      <c r="AC86" s="85">
        <f t="shared" si="1638"/>
        <v>200</v>
      </c>
      <c r="AD86" s="87">
        <f t="shared" si="1638"/>
        <v>0.7</v>
      </c>
      <c r="AE86" s="86">
        <f t="shared" si="1638"/>
        <v>1</v>
      </c>
      <c r="AF86" s="87">
        <f t="shared" si="1309"/>
        <v>285.71428571428572</v>
      </c>
      <c r="AG86" s="88">
        <f t="shared" si="1310"/>
        <v>0.7</v>
      </c>
      <c r="AH86" s="589"/>
      <c r="AI86" s="85">
        <f t="shared" si="1639"/>
        <v>0</v>
      </c>
      <c r="AJ86" s="87">
        <f t="shared" si="1639"/>
        <v>0</v>
      </c>
      <c r="AK86" s="86">
        <f t="shared" si="1639"/>
        <v>0</v>
      </c>
      <c r="AL86" s="87" t="e">
        <f t="shared" si="1311"/>
        <v>#DIV/0!</v>
      </c>
      <c r="AM86" s="88" t="e">
        <f t="shared" si="1312"/>
        <v>#DIV/0!</v>
      </c>
      <c r="AN86" s="589"/>
      <c r="AO86" s="85">
        <f t="shared" si="1640"/>
        <v>450</v>
      </c>
      <c r="AP86" s="87">
        <f t="shared" si="1640"/>
        <v>3.78</v>
      </c>
      <c r="AQ86" s="86">
        <f t="shared" si="1640"/>
        <v>5</v>
      </c>
      <c r="AR86" s="87">
        <f t="shared" si="1313"/>
        <v>119.04761904761905</v>
      </c>
      <c r="AS86" s="88">
        <f t="shared" si="1314"/>
        <v>0.75600000000000001</v>
      </c>
      <c r="AT86" s="589"/>
      <c r="AU86" s="85">
        <f t="shared" si="1641"/>
        <v>330</v>
      </c>
      <c r="AV86" s="87">
        <f t="shared" si="1641"/>
        <v>3.61</v>
      </c>
      <c r="AW86" s="86">
        <f t="shared" si="1641"/>
        <v>5</v>
      </c>
      <c r="AX86" s="87">
        <f t="shared" si="1315"/>
        <v>91.412742382271475</v>
      </c>
      <c r="AY86" s="88">
        <f t="shared" si="1316"/>
        <v>0.72199999999999998</v>
      </c>
      <c r="AZ86" s="84"/>
      <c r="BA86" s="85">
        <f t="shared" si="1642"/>
        <v>400</v>
      </c>
      <c r="BB86" s="87">
        <f t="shared" si="1642"/>
        <v>4.63</v>
      </c>
      <c r="BC86" s="86">
        <f t="shared" si="1642"/>
        <v>5</v>
      </c>
      <c r="BD86" s="87">
        <f t="shared" si="1317"/>
        <v>86.393088552915771</v>
      </c>
      <c r="BE86" s="88">
        <f t="shared" si="1318"/>
        <v>0.92599999999999993</v>
      </c>
      <c r="BF86" s="84"/>
      <c r="BG86" s="85">
        <f t="shared" si="1643"/>
        <v>0</v>
      </c>
      <c r="BH86" s="87">
        <f t="shared" si="1643"/>
        <v>0</v>
      </c>
      <c r="BI86" s="86">
        <f t="shared" si="1643"/>
        <v>0</v>
      </c>
      <c r="BJ86" s="87" t="e">
        <f t="shared" si="1319"/>
        <v>#DIV/0!</v>
      </c>
      <c r="BK86" s="88" t="e">
        <f t="shared" si="1320"/>
        <v>#DIV/0!</v>
      </c>
      <c r="BL86" s="84"/>
      <c r="BM86" s="85">
        <f t="shared" si="1644"/>
        <v>0</v>
      </c>
      <c r="BN86" s="87">
        <f t="shared" si="1644"/>
        <v>0</v>
      </c>
      <c r="BO86" s="86">
        <f t="shared" si="1644"/>
        <v>0</v>
      </c>
      <c r="BP86" s="87" t="e">
        <f t="shared" si="1321"/>
        <v>#DIV/0!</v>
      </c>
      <c r="BQ86" s="88" t="e">
        <f t="shared" si="1322"/>
        <v>#DIV/0!</v>
      </c>
      <c r="BR86" s="589"/>
      <c r="BS86" s="85">
        <f t="shared" si="1645"/>
        <v>350</v>
      </c>
      <c r="BT86" s="87">
        <f t="shared" si="1645"/>
        <v>3.5300000000000002</v>
      </c>
      <c r="BU86" s="86">
        <f t="shared" si="1645"/>
        <v>5</v>
      </c>
      <c r="BV86" s="87">
        <f t="shared" si="1323"/>
        <v>99.150141643059484</v>
      </c>
      <c r="BW86" s="88">
        <f t="shared" si="1324"/>
        <v>0.70600000000000007</v>
      </c>
      <c r="BX86" s="84"/>
      <c r="BY86" s="85">
        <f t="shared" si="1646"/>
        <v>350</v>
      </c>
      <c r="BZ86" s="87">
        <f t="shared" si="1646"/>
        <v>3.71</v>
      </c>
      <c r="CA86" s="86">
        <f t="shared" si="1646"/>
        <v>5</v>
      </c>
      <c r="CB86" s="87">
        <f t="shared" si="1325"/>
        <v>94.339622641509436</v>
      </c>
      <c r="CC86" s="88">
        <f t="shared" si="1326"/>
        <v>0.74199999999999999</v>
      </c>
      <c r="CD86" s="84"/>
      <c r="CE86" s="85">
        <f t="shared" si="1647"/>
        <v>0</v>
      </c>
      <c r="CF86" s="87">
        <f t="shared" si="1647"/>
        <v>0</v>
      </c>
      <c r="CG86" s="86">
        <f t="shared" si="1647"/>
        <v>0</v>
      </c>
      <c r="CH86" s="87" t="e">
        <f t="shared" si="1327"/>
        <v>#DIV/0!</v>
      </c>
      <c r="CI86" s="88" t="e">
        <f t="shared" si="1328"/>
        <v>#DIV/0!</v>
      </c>
      <c r="CJ86" s="84"/>
      <c r="CK86" s="85">
        <f t="shared" si="1648"/>
        <v>500</v>
      </c>
      <c r="CL86" s="87">
        <f t="shared" si="1648"/>
        <v>3.8499999999999996</v>
      </c>
      <c r="CM86" s="86">
        <f t="shared" si="1648"/>
        <v>5</v>
      </c>
      <c r="CN86" s="87">
        <f t="shared" si="1329"/>
        <v>129.87012987012989</v>
      </c>
      <c r="CO86" s="88">
        <f t="shared" si="1330"/>
        <v>0.76999999999999991</v>
      </c>
      <c r="CP86" s="84"/>
      <c r="CQ86" s="85">
        <f t="shared" si="1649"/>
        <v>0</v>
      </c>
      <c r="CR86" s="87">
        <f t="shared" si="1649"/>
        <v>0</v>
      </c>
      <c r="CS86" s="86">
        <f t="shared" si="1649"/>
        <v>0</v>
      </c>
      <c r="CT86" s="87" t="e">
        <f t="shared" si="1331"/>
        <v>#DIV/0!</v>
      </c>
      <c r="CU86" s="88" t="e">
        <f t="shared" si="1332"/>
        <v>#DIV/0!</v>
      </c>
      <c r="CV86" s="84"/>
      <c r="CW86" s="85">
        <f t="shared" si="1650"/>
        <v>350</v>
      </c>
      <c r="CX86" s="87">
        <f t="shared" si="1650"/>
        <v>3.71</v>
      </c>
      <c r="CY86" s="86">
        <f t="shared" si="1650"/>
        <v>5</v>
      </c>
      <c r="CZ86" s="87">
        <f t="shared" si="1333"/>
        <v>94.339622641509436</v>
      </c>
      <c r="DA86" s="88">
        <f t="shared" si="1334"/>
        <v>0.74199999999999999</v>
      </c>
      <c r="DB86" s="84"/>
      <c r="DC86" s="85">
        <f t="shared" si="1651"/>
        <v>650</v>
      </c>
      <c r="DD86" s="87">
        <f t="shared" si="1651"/>
        <v>8.48</v>
      </c>
      <c r="DE86" s="86">
        <f t="shared" si="1651"/>
        <v>5</v>
      </c>
      <c r="DF86" s="87">
        <f t="shared" si="1335"/>
        <v>76.65094339622641</v>
      </c>
      <c r="DG86" s="88">
        <f t="shared" si="1336"/>
        <v>1.6960000000000002</v>
      </c>
      <c r="DH86" s="84"/>
      <c r="DI86" s="85">
        <f t="shared" si="1652"/>
        <v>450</v>
      </c>
      <c r="DJ86" s="87">
        <f t="shared" si="1652"/>
        <v>4.33</v>
      </c>
      <c r="DK86" s="86">
        <f t="shared" si="1652"/>
        <v>5</v>
      </c>
      <c r="DL86" s="87">
        <f t="shared" si="1337"/>
        <v>103.92609699769054</v>
      </c>
      <c r="DM86" s="88">
        <f t="shared" si="1338"/>
        <v>0.86599999999999999</v>
      </c>
      <c r="DN86" s="84"/>
      <c r="DO86" s="85">
        <f t="shared" si="1653"/>
        <v>600</v>
      </c>
      <c r="DP86" s="87">
        <f t="shared" si="1653"/>
        <v>4.1500000000000004</v>
      </c>
      <c r="DQ86" s="86">
        <f t="shared" si="1653"/>
        <v>5</v>
      </c>
      <c r="DR86" s="87">
        <f t="shared" si="1339"/>
        <v>144.57831325301203</v>
      </c>
      <c r="DS86" s="88">
        <f t="shared" si="1340"/>
        <v>0.83000000000000007</v>
      </c>
      <c r="DT86" s="84"/>
      <c r="DU86" s="85">
        <f t="shared" si="1654"/>
        <v>0</v>
      </c>
      <c r="DV86" s="87">
        <f t="shared" si="1654"/>
        <v>0</v>
      </c>
      <c r="DW86" s="86">
        <f t="shared" si="1654"/>
        <v>0</v>
      </c>
      <c r="DX86" s="87" t="e">
        <f t="shared" si="1341"/>
        <v>#DIV/0!</v>
      </c>
      <c r="DY86" s="88" t="e">
        <f t="shared" si="1342"/>
        <v>#DIV/0!</v>
      </c>
      <c r="DZ86" s="84"/>
      <c r="EA86" s="85">
        <f t="shared" si="1655"/>
        <v>0</v>
      </c>
      <c r="EB86" s="87">
        <f t="shared" si="1655"/>
        <v>0</v>
      </c>
      <c r="EC86" s="86">
        <f t="shared" si="1655"/>
        <v>0</v>
      </c>
      <c r="ED86" s="87" t="e">
        <f t="shared" si="1343"/>
        <v>#DIV/0!</v>
      </c>
      <c r="EE86" s="88" t="e">
        <f t="shared" si="1344"/>
        <v>#DIV/0!</v>
      </c>
      <c r="EF86" s="84"/>
      <c r="EG86" s="85">
        <f t="shared" si="1656"/>
        <v>0</v>
      </c>
      <c r="EH86" s="87">
        <f t="shared" si="1656"/>
        <v>0</v>
      </c>
      <c r="EI86" s="86">
        <f t="shared" si="1656"/>
        <v>0</v>
      </c>
      <c r="EJ86" s="87" t="e">
        <f t="shared" si="1345"/>
        <v>#DIV/0!</v>
      </c>
      <c r="EK86" s="88" t="e">
        <f t="shared" si="1346"/>
        <v>#DIV/0!</v>
      </c>
      <c r="EL86" s="84"/>
      <c r="EM86" s="85">
        <f t="shared" si="1657"/>
        <v>0</v>
      </c>
      <c r="EN86" s="87">
        <f t="shared" si="1657"/>
        <v>0</v>
      </c>
      <c r="EO86" s="86">
        <f t="shared" si="1657"/>
        <v>0</v>
      </c>
      <c r="EP86" s="87" t="e">
        <f t="shared" si="1347"/>
        <v>#DIV/0!</v>
      </c>
      <c r="EQ86" s="88" t="e">
        <f t="shared" si="1348"/>
        <v>#DIV/0!</v>
      </c>
      <c r="ER86" s="589"/>
      <c r="ES86" s="86">
        <f t="shared" si="1658"/>
        <v>350</v>
      </c>
      <c r="ET86" s="87">
        <f t="shared" si="1658"/>
        <v>3.71</v>
      </c>
      <c r="EU86" s="86">
        <f t="shared" si="1658"/>
        <v>5</v>
      </c>
      <c r="EV86" s="87">
        <f t="shared" si="915"/>
        <v>94.339622641509436</v>
      </c>
      <c r="EW86" s="88">
        <f t="shared" si="916"/>
        <v>0.74199999999999999</v>
      </c>
      <c r="EY86" s="92">
        <f t="shared" si="1659"/>
        <v>650</v>
      </c>
      <c r="EZ86" s="373">
        <f t="shared" si="1659"/>
        <v>4</v>
      </c>
      <c r="FA86" s="372">
        <f t="shared" si="1659"/>
        <v>5</v>
      </c>
      <c r="FB86" s="373">
        <f t="shared" si="917"/>
        <v>162.5</v>
      </c>
      <c r="FC86" s="374">
        <f t="shared" si="918"/>
        <v>0.8</v>
      </c>
      <c r="FE86" s="92">
        <f t="shared" si="1660"/>
        <v>150</v>
      </c>
      <c r="FF86" s="87">
        <f t="shared" si="1660"/>
        <v>1</v>
      </c>
      <c r="FG86" s="86">
        <f t="shared" si="1660"/>
        <v>1</v>
      </c>
      <c r="FH86" s="87">
        <f t="shared" si="919"/>
        <v>150</v>
      </c>
      <c r="FI86" s="88">
        <f t="shared" si="920"/>
        <v>1</v>
      </c>
      <c r="FK86" s="92">
        <f t="shared" si="1661"/>
        <v>500</v>
      </c>
      <c r="FL86" s="87">
        <f t="shared" si="1661"/>
        <v>19.2</v>
      </c>
      <c r="FM86" s="372">
        <f t="shared" si="1661"/>
        <v>5</v>
      </c>
      <c r="FN86" s="373">
        <f t="shared" si="921"/>
        <v>26.041666666666668</v>
      </c>
      <c r="FO86" s="374">
        <f t="shared" si="922"/>
        <v>3.84</v>
      </c>
      <c r="FQ86" s="92">
        <f t="shared" si="1662"/>
        <v>500</v>
      </c>
      <c r="FR86" s="87">
        <f t="shared" si="1662"/>
        <v>21.8</v>
      </c>
      <c r="FS86" s="86">
        <f t="shared" si="1662"/>
        <v>5</v>
      </c>
      <c r="FT86" s="87">
        <f t="shared" si="1663"/>
        <v>22.935779816513762</v>
      </c>
      <c r="FU86" s="88">
        <f t="shared" si="1664"/>
        <v>4.3600000000000003</v>
      </c>
      <c r="FW86" s="92">
        <f t="shared" si="1665"/>
        <v>500</v>
      </c>
      <c r="FX86" s="87">
        <f t="shared" si="1665"/>
        <v>3.55</v>
      </c>
      <c r="FY86" s="86">
        <f t="shared" si="1665"/>
        <v>5</v>
      </c>
      <c r="FZ86" s="87">
        <f t="shared" si="1666"/>
        <v>140.84507042253523</v>
      </c>
      <c r="GA86" s="88">
        <f t="shared" si="1667"/>
        <v>0.71</v>
      </c>
      <c r="GC86" s="92">
        <f t="shared" si="1668"/>
        <v>250</v>
      </c>
      <c r="GD86" s="373">
        <f t="shared" si="1668"/>
        <v>3.07</v>
      </c>
      <c r="GE86" s="372">
        <f t="shared" si="1668"/>
        <v>5</v>
      </c>
      <c r="GF86" s="373">
        <f t="shared" si="1669"/>
        <v>81.433224755700337</v>
      </c>
      <c r="GG86" s="374">
        <f t="shared" si="1670"/>
        <v>0.61399999999999999</v>
      </c>
      <c r="GI86" s="92">
        <f t="shared" si="1671"/>
        <v>250</v>
      </c>
      <c r="GJ86" s="87">
        <f t="shared" si="1671"/>
        <v>3.31</v>
      </c>
      <c r="GK86" s="86">
        <f t="shared" si="1671"/>
        <v>5</v>
      </c>
      <c r="GL86" s="87">
        <f t="shared" si="1672"/>
        <v>75.528700906344412</v>
      </c>
      <c r="GM86" s="88">
        <f t="shared" si="1673"/>
        <v>0.66200000000000003</v>
      </c>
      <c r="GO86" s="92">
        <f t="shared" si="1674"/>
        <v>400</v>
      </c>
      <c r="GP86" s="87">
        <f t="shared" si="1674"/>
        <v>3.84</v>
      </c>
      <c r="GQ86" s="86">
        <f t="shared" si="1674"/>
        <v>5</v>
      </c>
      <c r="GR86" s="87">
        <f t="shared" si="1675"/>
        <v>104.16666666666667</v>
      </c>
      <c r="GS86" s="88">
        <f t="shared" si="1676"/>
        <v>0.76800000000000002</v>
      </c>
      <c r="GU86" s="92">
        <f t="shared" si="1677"/>
        <v>900</v>
      </c>
      <c r="GV86" s="87">
        <f t="shared" si="1677"/>
        <v>3.7600000000000002</v>
      </c>
      <c r="GW86" s="86">
        <f t="shared" si="1677"/>
        <v>5</v>
      </c>
      <c r="GX86" s="87">
        <f t="shared" si="1678"/>
        <v>239.36170212765956</v>
      </c>
      <c r="GY86" s="88">
        <f t="shared" si="1679"/>
        <v>0.752</v>
      </c>
      <c r="HA86" s="92">
        <f t="shared" si="1680"/>
        <v>750</v>
      </c>
      <c r="HB86" s="87">
        <f t="shared" si="1680"/>
        <v>3.75</v>
      </c>
      <c r="HC86" s="86">
        <f t="shared" si="1680"/>
        <v>5</v>
      </c>
      <c r="HD86" s="87">
        <f t="shared" si="1681"/>
        <v>200</v>
      </c>
      <c r="HE86" s="88">
        <f t="shared" si="1682"/>
        <v>0.75</v>
      </c>
      <c r="HG86" s="92">
        <f t="shared" si="1683"/>
        <v>250</v>
      </c>
      <c r="HH86" s="87">
        <f t="shared" si="1683"/>
        <v>4.9800000000000004</v>
      </c>
      <c r="HI86" s="86">
        <f t="shared" si="1683"/>
        <v>5</v>
      </c>
      <c r="HJ86" s="87">
        <f t="shared" si="1684"/>
        <v>50.200803212851405</v>
      </c>
      <c r="HK86" s="88">
        <f t="shared" si="1685"/>
        <v>0.99600000000000011</v>
      </c>
      <c r="HM86" s="92">
        <f t="shared" si="1686"/>
        <v>300</v>
      </c>
      <c r="HN86" s="87">
        <f t="shared" si="1686"/>
        <v>8.2900000000000009</v>
      </c>
      <c r="HO86" s="86">
        <f t="shared" si="1686"/>
        <v>3</v>
      </c>
      <c r="HP86" s="87">
        <f t="shared" si="1687"/>
        <v>36.1881785283474</v>
      </c>
      <c r="HQ86" s="88">
        <f t="shared" si="1688"/>
        <v>2.7633333333333336</v>
      </c>
      <c r="HS86" s="92">
        <f t="shared" si="1689"/>
        <v>750</v>
      </c>
      <c r="HT86" s="87">
        <f t="shared" si="1689"/>
        <v>4.24</v>
      </c>
      <c r="HU86" s="86">
        <f t="shared" si="1689"/>
        <v>5</v>
      </c>
      <c r="HV86" s="87">
        <f t="shared" si="1690"/>
        <v>176.88679245283018</v>
      </c>
      <c r="HW86" s="88">
        <f t="shared" si="1691"/>
        <v>0.84800000000000009</v>
      </c>
      <c r="HY86" s="92">
        <f t="shared" si="1692"/>
        <v>500</v>
      </c>
      <c r="HZ86" s="87">
        <f t="shared" si="1692"/>
        <v>4.2699999999999996</v>
      </c>
      <c r="IA86" s="372">
        <f t="shared" si="1692"/>
        <v>5</v>
      </c>
      <c r="IB86" s="373">
        <f t="shared" si="1693"/>
        <v>117.096018735363</v>
      </c>
      <c r="IC86" s="374">
        <f>HZ86/IA86</f>
        <v>0.85399999999999987</v>
      </c>
      <c r="IE86" s="92">
        <f t="shared" si="1695"/>
        <v>500</v>
      </c>
      <c r="IF86" s="87">
        <f t="shared" si="1695"/>
        <v>4.0599999999999996</v>
      </c>
      <c r="IG86" s="86">
        <f t="shared" si="1695"/>
        <v>5</v>
      </c>
      <c r="IH86" s="87">
        <f t="shared" si="1696"/>
        <v>123.15270935960592</v>
      </c>
      <c r="II86" s="88">
        <f t="shared" si="1697"/>
        <v>0.81199999999999994</v>
      </c>
      <c r="IK86" s="92">
        <f t="shared" si="1698"/>
        <v>250</v>
      </c>
      <c r="IL86" s="87">
        <f t="shared" si="1698"/>
        <v>3.34</v>
      </c>
      <c r="IM86" s="86">
        <f t="shared" si="1698"/>
        <v>5</v>
      </c>
      <c r="IN86" s="87">
        <f>IK86/IL86</f>
        <v>74.850299401197603</v>
      </c>
      <c r="IO86" s="88">
        <f>IL86/IM86</f>
        <v>0.66799999999999993</v>
      </c>
      <c r="IQ86" s="92">
        <f t="shared" si="1701"/>
        <v>500</v>
      </c>
      <c r="IR86" s="87">
        <f t="shared" si="1701"/>
        <v>20.350000000000001</v>
      </c>
      <c r="IS86" s="86">
        <f t="shared" si="1701"/>
        <v>5</v>
      </c>
      <c r="IT86" s="87">
        <f>IQ86/IR86</f>
        <v>24.570024570024568</v>
      </c>
      <c r="IU86" s="88">
        <f>IR86/IS86</f>
        <v>4.07</v>
      </c>
      <c r="IW86" s="92">
        <f t="shared" si="1704"/>
        <v>250</v>
      </c>
      <c r="IX86" s="87">
        <f t="shared" si="1704"/>
        <v>3.87</v>
      </c>
      <c r="IY86" s="86">
        <f t="shared" si="1704"/>
        <v>5</v>
      </c>
      <c r="IZ86" s="87">
        <f>IW86/IX86</f>
        <v>64.599483204134359</v>
      </c>
      <c r="JA86" s="88">
        <f>IX86/IY86</f>
        <v>0.77400000000000002</v>
      </c>
      <c r="JC86" s="92">
        <f t="shared" si="1707"/>
        <v>350</v>
      </c>
      <c r="JD86" s="87">
        <f t="shared" si="1707"/>
        <v>3.6</v>
      </c>
      <c r="JE86" s="86">
        <f t="shared" si="1707"/>
        <v>5</v>
      </c>
      <c r="JF86" s="87">
        <f>JC86/JD86</f>
        <v>97.222222222222214</v>
      </c>
      <c r="JG86" s="88">
        <f>JD86/JE86</f>
        <v>0.72</v>
      </c>
      <c r="JI86" s="92">
        <f t="shared" si="1710"/>
        <v>0</v>
      </c>
      <c r="JJ86" s="87">
        <f t="shared" si="1710"/>
        <v>0</v>
      </c>
      <c r="JK86" s="86">
        <f t="shared" si="1710"/>
        <v>0</v>
      </c>
      <c r="JL86" s="87" t="e">
        <f>JI86/JJ86</f>
        <v>#DIV/0!</v>
      </c>
      <c r="JM86" s="88" t="e">
        <f>JJ86/JK86</f>
        <v>#DIV/0!</v>
      </c>
      <c r="JO86" s="92">
        <f t="shared" si="1713"/>
        <v>380</v>
      </c>
      <c r="JP86" s="87">
        <f t="shared" si="1713"/>
        <v>2.5</v>
      </c>
      <c r="JQ86" s="86">
        <f t="shared" si="1713"/>
        <v>5</v>
      </c>
      <c r="JR86" s="87">
        <f>JO86/JP86</f>
        <v>152</v>
      </c>
      <c r="JS86" s="88">
        <f>JP86/JQ86</f>
        <v>0.5</v>
      </c>
      <c r="JU86" s="92">
        <f t="shared" si="1465"/>
        <v>330</v>
      </c>
      <c r="JV86" s="87">
        <f t="shared" si="1465"/>
        <v>4.2200000000000006</v>
      </c>
      <c r="JW86" s="86">
        <f t="shared" si="1465"/>
        <v>5</v>
      </c>
      <c r="JX86" s="373">
        <f>JU86/JV86</f>
        <v>78.199052132701411</v>
      </c>
      <c r="JY86" s="88">
        <f>JV86/JW86</f>
        <v>0.84400000000000008</v>
      </c>
      <c r="KA86" s="92">
        <f t="shared" si="1468"/>
        <v>330</v>
      </c>
      <c r="KB86" s="87">
        <f t="shared" si="1468"/>
        <v>2.6100000000000003</v>
      </c>
      <c r="KC86" s="86">
        <f t="shared" si="1468"/>
        <v>5</v>
      </c>
      <c r="KD86" s="373">
        <f>KA86/KB86</f>
        <v>126.43678160919539</v>
      </c>
      <c r="KE86" s="88">
        <f>KB86/KC86</f>
        <v>0.52200000000000002</v>
      </c>
      <c r="KG86" s="92">
        <f t="shared" ref="KG86:KI86" si="1734">SUM(KG51)</f>
        <v>600</v>
      </c>
      <c r="KH86" s="87">
        <f t="shared" si="1734"/>
        <v>3.79</v>
      </c>
      <c r="KI86" s="86">
        <f t="shared" si="1734"/>
        <v>5</v>
      </c>
      <c r="KJ86" s="373">
        <f>KG86/KH86</f>
        <v>158.31134564643799</v>
      </c>
      <c r="KK86" s="88">
        <f>KH86/KI86</f>
        <v>0.75800000000000001</v>
      </c>
      <c r="KM86" s="92">
        <f t="shared" ref="KM86:KO86" si="1735">SUM(KM51)</f>
        <v>0</v>
      </c>
      <c r="KN86" s="87">
        <f t="shared" si="1735"/>
        <v>0</v>
      </c>
      <c r="KO86" s="86">
        <f t="shared" si="1735"/>
        <v>0</v>
      </c>
      <c r="KP86" s="373" t="e">
        <f>KM86/KN86</f>
        <v>#DIV/0!</v>
      </c>
      <c r="KQ86" s="88" t="e">
        <f>KN86/KO86</f>
        <v>#DIV/0!</v>
      </c>
      <c r="KS86" s="92">
        <f t="shared" ref="KS86:KU86" si="1736">SUM(KS51)</f>
        <v>500</v>
      </c>
      <c r="KT86" s="87">
        <f t="shared" si="1736"/>
        <v>3.1900000000000004</v>
      </c>
      <c r="KU86" s="86">
        <f t="shared" si="1736"/>
        <v>5</v>
      </c>
      <c r="KV86" s="373">
        <f>KS86/KT86</f>
        <v>156.73981191222569</v>
      </c>
      <c r="KW86" s="88">
        <f>KT86/KU86</f>
        <v>0.63800000000000012</v>
      </c>
      <c r="KY86" s="92">
        <f t="shared" ref="KY86:LA86" si="1737">SUM(KY51)</f>
        <v>0</v>
      </c>
      <c r="KZ86" s="87">
        <f t="shared" si="1737"/>
        <v>0</v>
      </c>
      <c r="LA86" s="86">
        <f t="shared" si="1737"/>
        <v>0</v>
      </c>
      <c r="LB86" s="373" t="e">
        <f>KY86/KZ86</f>
        <v>#DIV/0!</v>
      </c>
      <c r="LC86" s="88" t="e">
        <f>KZ86/LA86</f>
        <v>#DIV/0!</v>
      </c>
      <c r="LE86" s="92">
        <f t="shared" ref="LE86:LG86" si="1738">SUM(LE51)</f>
        <v>0</v>
      </c>
      <c r="LF86" s="87">
        <f t="shared" si="1738"/>
        <v>0</v>
      </c>
      <c r="LG86" s="86">
        <f t="shared" si="1738"/>
        <v>0</v>
      </c>
      <c r="LH86" s="373" t="e">
        <f>LE86/LF86</f>
        <v>#DIV/0!</v>
      </c>
      <c r="LI86" s="88" t="e">
        <f>LF86/LG86</f>
        <v>#DIV/0!</v>
      </c>
      <c r="LK86" s="92">
        <f t="shared" ref="LK86:LM86" si="1739">SUM(LK51)</f>
        <v>0</v>
      </c>
      <c r="LL86" s="87">
        <f t="shared" si="1739"/>
        <v>0</v>
      </c>
      <c r="LM86" s="86">
        <f t="shared" si="1739"/>
        <v>0</v>
      </c>
      <c r="LN86" s="373" t="e">
        <f>LK86/LL86</f>
        <v>#DIV/0!</v>
      </c>
      <c r="LO86" s="88" t="e">
        <f>LL86/LM86</f>
        <v>#DIV/0!</v>
      </c>
      <c r="LQ86" s="92">
        <f t="shared" ref="LQ86:LS86" si="1740">SUM(LQ51)</f>
        <v>0</v>
      </c>
      <c r="LR86" s="87">
        <f t="shared" si="1740"/>
        <v>0</v>
      </c>
      <c r="LS86" s="86">
        <f t="shared" si="1740"/>
        <v>0</v>
      </c>
      <c r="LT86" s="373" t="e">
        <f>LQ86/LR86</f>
        <v>#DIV/0!</v>
      </c>
      <c r="LU86" s="88" t="e">
        <f>LR86/LS86</f>
        <v>#DIV/0!</v>
      </c>
      <c r="LW86" s="92">
        <f t="shared" ref="LW86:LY86" si="1741">SUM(LW51)</f>
        <v>650</v>
      </c>
      <c r="LX86" s="87">
        <f t="shared" si="1741"/>
        <v>5.2000000000000011</v>
      </c>
      <c r="LY86" s="86">
        <f t="shared" si="1741"/>
        <v>5</v>
      </c>
      <c r="LZ86" s="373">
        <f>LW86/LX86</f>
        <v>124.99999999999997</v>
      </c>
      <c r="MA86" s="88">
        <f>LX86/LY86</f>
        <v>1.0400000000000003</v>
      </c>
      <c r="MC86" s="92">
        <f t="shared" ref="MC86:ME86" si="1742">SUM(MC51)</f>
        <v>600</v>
      </c>
      <c r="MD86" s="87">
        <f t="shared" si="1742"/>
        <v>3.32</v>
      </c>
      <c r="ME86" s="86">
        <f t="shared" si="1742"/>
        <v>5</v>
      </c>
      <c r="MF86" s="373">
        <f>MC86/MD86</f>
        <v>180.72289156626508</v>
      </c>
      <c r="MG86" s="88">
        <f>MD86/ME86</f>
        <v>0.66399999999999992</v>
      </c>
      <c r="MI86" s="92">
        <f t="shared" ref="MI86:MK86" si="1743">SUM(MI51)</f>
        <v>500</v>
      </c>
      <c r="MJ86" s="87">
        <f t="shared" si="1743"/>
        <v>4.93</v>
      </c>
      <c r="MK86" s="86">
        <f t="shared" si="1743"/>
        <v>5</v>
      </c>
      <c r="ML86" s="373">
        <f>MI86/MJ86</f>
        <v>101.41987829614605</v>
      </c>
      <c r="MM86" s="88">
        <f>MJ86/MK86</f>
        <v>0.98599999999999999</v>
      </c>
      <c r="MO86" s="92">
        <f t="shared" ref="MO86:MQ86" si="1744">SUM(MO51)</f>
        <v>0</v>
      </c>
      <c r="MP86" s="87">
        <f t="shared" si="1744"/>
        <v>0</v>
      </c>
      <c r="MQ86" s="86">
        <f t="shared" si="1744"/>
        <v>0</v>
      </c>
      <c r="MR86" s="373" t="e">
        <f>MO86/MP86</f>
        <v>#DIV/0!</v>
      </c>
      <c r="MS86" s="88" t="e">
        <f>MP86/MQ86</f>
        <v>#DIV/0!</v>
      </c>
      <c r="MU86" s="92">
        <f t="shared" ref="MU86:MW86" si="1745">SUM(MU51)</f>
        <v>0</v>
      </c>
      <c r="MV86" s="87">
        <f t="shared" si="1745"/>
        <v>0</v>
      </c>
      <c r="MW86" s="86">
        <f t="shared" si="1745"/>
        <v>0</v>
      </c>
      <c r="MX86" s="373" t="e">
        <f>MU86/MV86</f>
        <v>#DIV/0!</v>
      </c>
      <c r="MY86" s="88" t="e">
        <f>MV86/MW86</f>
        <v>#DIV/0!</v>
      </c>
      <c r="NA86" s="747">
        <f t="shared" ref="NA86:NC86" si="1746">SUM(NA51)</f>
        <v>400</v>
      </c>
      <c r="NB86" s="749">
        <f t="shared" si="1746"/>
        <v>4.2699999999999996</v>
      </c>
      <c r="NC86" s="749">
        <f t="shared" si="1746"/>
        <v>5</v>
      </c>
      <c r="ND86" s="373">
        <f>NA86/NB86</f>
        <v>93.676814988290403</v>
      </c>
      <c r="NE86" s="88">
        <f>NB86/NC86</f>
        <v>0.85399999999999987</v>
      </c>
      <c r="NG86" s="92">
        <f t="shared" ref="NG86:NI86" si="1747">SUM(NG51)</f>
        <v>250</v>
      </c>
      <c r="NH86" s="87">
        <f t="shared" si="1747"/>
        <v>3.35</v>
      </c>
      <c r="NI86" s="86">
        <f t="shared" si="1747"/>
        <v>5</v>
      </c>
      <c r="NJ86" s="373">
        <f>NG86/NH86</f>
        <v>74.626865671641795</v>
      </c>
      <c r="NK86" s="88">
        <f>NH86/NI86</f>
        <v>0.67</v>
      </c>
      <c r="NM86" s="92">
        <f t="shared" ref="NM86:NO86" si="1748">SUM(NM51)</f>
        <v>600</v>
      </c>
      <c r="NN86" s="87">
        <f t="shared" si="1748"/>
        <v>4.4000000000000004</v>
      </c>
      <c r="NO86" s="86">
        <f t="shared" si="1748"/>
        <v>5</v>
      </c>
      <c r="NP86" s="373">
        <f>NM86/NN86</f>
        <v>136.36363636363635</v>
      </c>
      <c r="NQ86" s="88">
        <f>NN86/NO86</f>
        <v>0.88000000000000012</v>
      </c>
      <c r="NS86" s="92">
        <f t="shared" ref="NS86:NU86" si="1749">SUM(NS51)</f>
        <v>550</v>
      </c>
      <c r="NT86" s="87">
        <f t="shared" si="1749"/>
        <v>4.3</v>
      </c>
      <c r="NU86" s="86">
        <f t="shared" si="1749"/>
        <v>5</v>
      </c>
      <c r="NV86" s="373">
        <f>NS86/NT86</f>
        <v>127.90697674418605</v>
      </c>
      <c r="NW86" s="88">
        <f>NT86/NU86</f>
        <v>0.86</v>
      </c>
      <c r="NY86" s="92">
        <f t="shared" ref="NY86:OA86" si="1750">SUM(NY51)</f>
        <v>650</v>
      </c>
      <c r="NZ86" s="87">
        <f t="shared" si="1750"/>
        <v>5.32</v>
      </c>
      <c r="OA86" s="86">
        <f t="shared" si="1750"/>
        <v>5</v>
      </c>
      <c r="OB86" s="373">
        <f>NY86/NZ86</f>
        <v>122.18045112781954</v>
      </c>
      <c r="OC86" s="88">
        <f>NZ86/OA86</f>
        <v>1.0640000000000001</v>
      </c>
      <c r="OE86" s="92">
        <f t="shared" ref="OE86:OG86" si="1751">SUM(OE51)</f>
        <v>350</v>
      </c>
      <c r="OF86" s="87">
        <f t="shared" si="1751"/>
        <v>4.08</v>
      </c>
      <c r="OG86" s="86">
        <f t="shared" si="1751"/>
        <v>5</v>
      </c>
      <c r="OH86" s="373">
        <f>OE86/OF86</f>
        <v>85.784313725490193</v>
      </c>
      <c r="OI86" s="88">
        <f>OF86/OG86</f>
        <v>0.81600000000000006</v>
      </c>
    </row>
    <row r="87" spans="1:399">
      <c r="IA87" s="178"/>
      <c r="IB87" s="178"/>
      <c r="IC87" s="178"/>
      <c r="KP87" s="178"/>
      <c r="KV87" s="178"/>
    </row>
    <row r="88" spans="1:399" ht="15" customHeight="1">
      <c r="C88" s="947" t="s">
        <v>102</v>
      </c>
      <c r="KP88" s="178"/>
      <c r="KV88" s="178"/>
    </row>
    <row r="89" spans="1:399" ht="15" customHeight="1">
      <c r="C89" s="947"/>
      <c r="E89" s="934" t="s">
        <v>51</v>
      </c>
      <c r="F89" s="934"/>
      <c r="G89" s="934"/>
      <c r="H89" s="934"/>
      <c r="I89" s="934"/>
      <c r="K89" s="934" t="s">
        <v>51</v>
      </c>
      <c r="L89" s="934"/>
      <c r="M89" s="934"/>
      <c r="N89" s="934"/>
      <c r="O89" s="934"/>
      <c r="Q89" s="934" t="s">
        <v>51</v>
      </c>
      <c r="R89" s="934"/>
      <c r="S89" s="934"/>
      <c r="T89" s="934"/>
      <c r="U89" s="934"/>
      <c r="W89" s="934" t="s">
        <v>51</v>
      </c>
      <c r="X89" s="934"/>
      <c r="Y89" s="934"/>
      <c r="Z89" s="934"/>
      <c r="AA89" s="934"/>
      <c r="AC89" s="934" t="s">
        <v>51</v>
      </c>
      <c r="AD89" s="934"/>
      <c r="AE89" s="934"/>
      <c r="AF89" s="934"/>
      <c r="AG89" s="934"/>
      <c r="AI89" s="934" t="s">
        <v>51</v>
      </c>
      <c r="AJ89" s="934"/>
      <c r="AK89" s="934"/>
      <c r="AL89" s="934"/>
      <c r="AM89" s="934"/>
      <c r="AO89" s="934" t="s">
        <v>51</v>
      </c>
      <c r="AP89" s="934"/>
      <c r="AQ89" s="934"/>
      <c r="AR89" s="934"/>
      <c r="AS89" s="934"/>
      <c r="AU89" s="934" t="s">
        <v>51</v>
      </c>
      <c r="AV89" s="934"/>
      <c r="AW89" s="934"/>
      <c r="AX89" s="934"/>
      <c r="AY89" s="934"/>
      <c r="AZ89" s="590"/>
      <c r="BA89" s="934" t="s">
        <v>51</v>
      </c>
      <c r="BB89" s="934"/>
      <c r="BC89" s="934"/>
      <c r="BD89" s="934"/>
      <c r="BE89" s="934"/>
      <c r="BF89" s="590"/>
      <c r="BG89" s="934" t="s">
        <v>51</v>
      </c>
      <c r="BH89" s="934"/>
      <c r="BI89" s="934"/>
      <c r="BJ89" s="934"/>
      <c r="BK89" s="934"/>
      <c r="BL89" s="590"/>
      <c r="BM89" s="934" t="s">
        <v>51</v>
      </c>
      <c r="BN89" s="934"/>
      <c r="BO89" s="934"/>
      <c r="BP89" s="934"/>
      <c r="BQ89" s="934"/>
      <c r="BS89" s="934" t="s">
        <v>51</v>
      </c>
      <c r="BT89" s="934"/>
      <c r="BU89" s="934"/>
      <c r="BV89" s="934"/>
      <c r="BW89" s="934"/>
      <c r="BX89" s="590"/>
      <c r="BY89" s="934" t="s">
        <v>51</v>
      </c>
      <c r="BZ89" s="934"/>
      <c r="CA89" s="934"/>
      <c r="CB89" s="934"/>
      <c r="CC89" s="934"/>
      <c r="CD89" s="590"/>
      <c r="CE89" s="934" t="s">
        <v>51</v>
      </c>
      <c r="CF89" s="934"/>
      <c r="CG89" s="934"/>
      <c r="CH89" s="934"/>
      <c r="CI89" s="934"/>
      <c r="CJ89" s="590"/>
      <c r="CK89" s="934" t="s">
        <v>51</v>
      </c>
      <c r="CL89" s="934"/>
      <c r="CM89" s="934"/>
      <c r="CN89" s="934"/>
      <c r="CO89" s="934"/>
      <c r="CP89" s="590"/>
      <c r="CQ89" s="934" t="s">
        <v>51</v>
      </c>
      <c r="CR89" s="934"/>
      <c r="CS89" s="934"/>
      <c r="CT89" s="934"/>
      <c r="CU89" s="934"/>
      <c r="CV89" s="590"/>
      <c r="CW89" s="934" t="s">
        <v>51</v>
      </c>
      <c r="CX89" s="934"/>
      <c r="CY89" s="934"/>
      <c r="CZ89" s="934"/>
      <c r="DA89" s="934"/>
      <c r="DB89" s="590"/>
      <c r="DC89" s="934" t="s">
        <v>51</v>
      </c>
      <c r="DD89" s="934"/>
      <c r="DE89" s="934"/>
      <c r="DF89" s="934"/>
      <c r="DG89" s="934"/>
      <c r="DH89" s="590"/>
      <c r="DI89" s="934" t="s">
        <v>51</v>
      </c>
      <c r="DJ89" s="934"/>
      <c r="DK89" s="934"/>
      <c r="DL89" s="934"/>
      <c r="DM89" s="934"/>
      <c r="DN89" s="590"/>
      <c r="DO89" s="934" t="s">
        <v>51</v>
      </c>
      <c r="DP89" s="934"/>
      <c r="DQ89" s="934"/>
      <c r="DR89" s="934"/>
      <c r="DS89" s="934"/>
      <c r="DT89" s="590"/>
      <c r="DU89" s="934" t="s">
        <v>51</v>
      </c>
      <c r="DV89" s="934"/>
      <c r="DW89" s="934"/>
      <c r="DX89" s="934"/>
      <c r="DY89" s="934"/>
      <c r="DZ89" s="590"/>
      <c r="EA89" s="934" t="s">
        <v>51</v>
      </c>
      <c r="EB89" s="934"/>
      <c r="EC89" s="934"/>
      <c r="ED89" s="934"/>
      <c r="EE89" s="934"/>
      <c r="EF89" s="590"/>
      <c r="EG89" s="934" t="s">
        <v>51</v>
      </c>
      <c r="EH89" s="934"/>
      <c r="EI89" s="934"/>
      <c r="EJ89" s="934"/>
      <c r="EK89" s="934"/>
      <c r="EL89" s="590"/>
      <c r="EM89" s="934" t="s">
        <v>51</v>
      </c>
      <c r="EN89" s="934"/>
      <c r="EO89" s="934"/>
      <c r="EP89" s="934"/>
      <c r="EQ89" s="934"/>
      <c r="ES89" s="934" t="s">
        <v>51</v>
      </c>
      <c r="ET89" s="934"/>
      <c r="EU89" s="934"/>
      <c r="EV89" s="934"/>
      <c r="EW89" s="934"/>
      <c r="EY89" s="934" t="s">
        <v>51</v>
      </c>
      <c r="EZ89" s="934"/>
      <c r="FA89" s="934"/>
      <c r="FB89" s="934"/>
      <c r="FC89" s="934"/>
      <c r="FE89" s="934" t="s">
        <v>51</v>
      </c>
      <c r="FF89" s="934"/>
      <c r="FG89" s="934"/>
      <c r="FH89" s="934"/>
      <c r="FI89" s="934"/>
      <c r="FK89" s="934" t="s">
        <v>51</v>
      </c>
      <c r="FL89" s="934"/>
      <c r="FM89" s="934"/>
      <c r="FN89" s="934"/>
      <c r="FO89" s="934"/>
      <c r="FQ89" s="934" t="s">
        <v>51</v>
      </c>
      <c r="FR89" s="934"/>
      <c r="FS89" s="934"/>
      <c r="FT89" s="934"/>
      <c r="FU89" s="934"/>
      <c r="FW89" s="934" t="s">
        <v>51</v>
      </c>
      <c r="FX89" s="934"/>
      <c r="FY89" s="934"/>
      <c r="FZ89" s="934"/>
      <c r="GA89" s="934"/>
      <c r="GC89" s="934" t="s">
        <v>51</v>
      </c>
      <c r="GD89" s="934"/>
      <c r="GE89" s="934"/>
      <c r="GF89" s="934"/>
      <c r="GG89" s="934"/>
      <c r="GI89" s="934" t="s">
        <v>51</v>
      </c>
      <c r="GJ89" s="934"/>
      <c r="GK89" s="934"/>
      <c r="GL89" s="934"/>
      <c r="GM89" s="934"/>
      <c r="GO89" s="934" t="s">
        <v>51</v>
      </c>
      <c r="GP89" s="934"/>
      <c r="GQ89" s="934"/>
      <c r="GR89" s="934"/>
      <c r="GS89" s="934"/>
      <c r="GU89" s="934" t="s">
        <v>51</v>
      </c>
      <c r="GV89" s="934"/>
      <c r="GW89" s="934"/>
      <c r="GX89" s="934"/>
      <c r="GY89" s="934"/>
      <c r="HA89" s="934" t="s">
        <v>51</v>
      </c>
      <c r="HB89" s="934"/>
      <c r="HC89" s="934"/>
      <c r="HD89" s="934"/>
      <c r="HE89" s="934"/>
      <c r="HG89" s="934" t="s">
        <v>51</v>
      </c>
      <c r="HH89" s="934"/>
      <c r="HI89" s="934"/>
      <c r="HJ89" s="934"/>
      <c r="HK89" s="934"/>
      <c r="HM89" s="934" t="s">
        <v>51</v>
      </c>
      <c r="HN89" s="934"/>
      <c r="HO89" s="934"/>
      <c r="HP89" s="934"/>
      <c r="HQ89" s="934"/>
      <c r="HS89" s="934" t="s">
        <v>51</v>
      </c>
      <c r="HT89" s="934"/>
      <c r="HU89" s="934"/>
      <c r="HV89" s="934"/>
      <c r="HW89" s="934"/>
      <c r="HY89" s="934" t="s">
        <v>51</v>
      </c>
      <c r="HZ89" s="934"/>
      <c r="IA89" s="934"/>
      <c r="IB89" s="934"/>
      <c r="IC89" s="934"/>
      <c r="IE89" s="934" t="s">
        <v>51</v>
      </c>
      <c r="IF89" s="934"/>
      <c r="IG89" s="934"/>
      <c r="IH89" s="934"/>
      <c r="II89" s="934"/>
      <c r="IK89" s="934" t="s">
        <v>51</v>
      </c>
      <c r="IL89" s="934"/>
      <c r="IM89" s="934"/>
      <c r="IN89" s="934"/>
      <c r="IO89" s="934"/>
      <c r="IQ89" s="934" t="s">
        <v>51</v>
      </c>
      <c r="IR89" s="934"/>
      <c r="IS89" s="934"/>
      <c r="IT89" s="934"/>
      <c r="IU89" s="934"/>
      <c r="IW89" s="934" t="s">
        <v>51</v>
      </c>
      <c r="IX89" s="934"/>
      <c r="IY89" s="934"/>
      <c r="IZ89" s="934"/>
      <c r="JA89" s="934"/>
      <c r="JC89" s="934" t="s">
        <v>51</v>
      </c>
      <c r="JD89" s="934"/>
      <c r="JE89" s="934"/>
      <c r="JF89" s="934"/>
      <c r="JG89" s="934"/>
      <c r="JI89" s="934" t="s">
        <v>51</v>
      </c>
      <c r="JJ89" s="934"/>
      <c r="JK89" s="934"/>
      <c r="JL89" s="934"/>
      <c r="JM89" s="934"/>
      <c r="JO89" s="934" t="s">
        <v>51</v>
      </c>
      <c r="JP89" s="934"/>
      <c r="JQ89" s="934"/>
      <c r="JR89" s="934"/>
      <c r="JS89" s="934"/>
      <c r="JU89" s="934" t="s">
        <v>51</v>
      </c>
      <c r="JV89" s="934"/>
      <c r="JW89" s="934"/>
      <c r="JX89" s="934"/>
      <c r="JY89" s="934"/>
      <c r="KA89" s="934" t="s">
        <v>51</v>
      </c>
      <c r="KB89" s="934"/>
      <c r="KC89" s="934"/>
      <c r="KD89" s="934"/>
      <c r="KE89" s="934"/>
      <c r="KG89" s="934" t="s">
        <v>51</v>
      </c>
      <c r="KH89" s="934"/>
      <c r="KI89" s="934"/>
      <c r="KJ89" s="934"/>
      <c r="KK89" s="934"/>
      <c r="KM89" s="934" t="s">
        <v>51</v>
      </c>
      <c r="KN89" s="934"/>
      <c r="KO89" s="934"/>
      <c r="KP89" s="934"/>
      <c r="KQ89" s="934"/>
      <c r="KS89" s="934" t="s">
        <v>51</v>
      </c>
      <c r="KT89" s="934"/>
      <c r="KU89" s="934"/>
      <c r="KV89" s="934"/>
      <c r="KW89" s="934"/>
      <c r="KY89" s="934" t="s">
        <v>51</v>
      </c>
      <c r="KZ89" s="934"/>
      <c r="LA89" s="934"/>
      <c r="LB89" s="934"/>
      <c r="LC89" s="934"/>
      <c r="LE89" s="934" t="s">
        <v>51</v>
      </c>
      <c r="LF89" s="934"/>
      <c r="LG89" s="934"/>
      <c r="LH89" s="934"/>
      <c r="LI89" s="934"/>
      <c r="LK89" s="934" t="s">
        <v>51</v>
      </c>
      <c r="LL89" s="934"/>
      <c r="LM89" s="934"/>
      <c r="LN89" s="934"/>
      <c r="LO89" s="934"/>
      <c r="LQ89" s="934" t="s">
        <v>51</v>
      </c>
      <c r="LR89" s="934"/>
      <c r="LS89" s="934"/>
      <c r="LT89" s="934"/>
      <c r="LU89" s="934"/>
      <c r="LW89" s="934" t="s">
        <v>51</v>
      </c>
      <c r="LX89" s="934"/>
      <c r="LY89" s="934"/>
      <c r="LZ89" s="934"/>
      <c r="MA89" s="934"/>
      <c r="MC89" s="934" t="s">
        <v>51</v>
      </c>
      <c r="MD89" s="934"/>
      <c r="ME89" s="934"/>
      <c r="MF89" s="934"/>
      <c r="MG89" s="934"/>
      <c r="MI89" s="934" t="s">
        <v>51</v>
      </c>
      <c r="MJ89" s="934"/>
      <c r="MK89" s="934"/>
      <c r="ML89" s="934"/>
      <c r="MM89" s="934"/>
      <c r="MO89" s="934" t="s">
        <v>51</v>
      </c>
      <c r="MP89" s="934"/>
      <c r="MQ89" s="934"/>
      <c r="MR89" s="934"/>
      <c r="MS89" s="934"/>
      <c r="MU89" s="934" t="s">
        <v>51</v>
      </c>
      <c r="MV89" s="934"/>
      <c r="MW89" s="934"/>
      <c r="MX89" s="934"/>
      <c r="MY89" s="934"/>
      <c r="NA89" s="934" t="s">
        <v>51</v>
      </c>
      <c r="NB89" s="934"/>
      <c r="NC89" s="934"/>
      <c r="ND89" s="934"/>
      <c r="NE89" s="934"/>
      <c r="NG89" s="934" t="s">
        <v>51</v>
      </c>
      <c r="NH89" s="934"/>
      <c r="NI89" s="934"/>
      <c r="NJ89" s="934"/>
      <c r="NK89" s="934"/>
      <c r="NM89" s="934" t="s">
        <v>51</v>
      </c>
      <c r="NN89" s="934"/>
      <c r="NO89" s="934"/>
      <c r="NP89" s="934"/>
      <c r="NQ89" s="934"/>
      <c r="NS89" s="934" t="s">
        <v>51</v>
      </c>
      <c r="NT89" s="934"/>
      <c r="NU89" s="934"/>
      <c r="NV89" s="934"/>
      <c r="NW89" s="934"/>
      <c r="NY89" s="934" t="s">
        <v>51</v>
      </c>
      <c r="NZ89" s="934"/>
      <c r="OA89" s="934"/>
      <c r="OB89" s="934"/>
      <c r="OC89" s="934"/>
      <c r="OE89" s="934" t="s">
        <v>51</v>
      </c>
      <c r="OF89" s="934"/>
      <c r="OG89" s="934"/>
      <c r="OH89" s="934"/>
      <c r="OI89" s="934"/>
    </row>
    <row r="90" spans="1:399" ht="15" customHeight="1">
      <c r="C90" s="947"/>
      <c r="E90" s="929" t="s">
        <v>1</v>
      </c>
      <c r="F90" s="929" t="s">
        <v>2</v>
      </c>
      <c r="G90" s="930" t="s">
        <v>3</v>
      </c>
      <c r="H90" s="932" t="s">
        <v>4</v>
      </c>
      <c r="I90" s="929" t="s">
        <v>5</v>
      </c>
      <c r="K90" s="929" t="s">
        <v>1</v>
      </c>
      <c r="L90" s="929" t="s">
        <v>2</v>
      </c>
      <c r="M90" s="930" t="s">
        <v>3</v>
      </c>
      <c r="N90" s="932" t="s">
        <v>4</v>
      </c>
      <c r="O90" s="929" t="s">
        <v>5</v>
      </c>
      <c r="Q90" s="929" t="s">
        <v>1</v>
      </c>
      <c r="R90" s="929" t="s">
        <v>2</v>
      </c>
      <c r="S90" s="930" t="s">
        <v>3</v>
      </c>
      <c r="T90" s="932" t="s">
        <v>4</v>
      </c>
      <c r="U90" s="929" t="s">
        <v>5</v>
      </c>
      <c r="W90" s="929" t="s">
        <v>1</v>
      </c>
      <c r="X90" s="929" t="s">
        <v>2</v>
      </c>
      <c r="Y90" s="930" t="s">
        <v>3</v>
      </c>
      <c r="Z90" s="932" t="s">
        <v>4</v>
      </c>
      <c r="AA90" s="929" t="s">
        <v>5</v>
      </c>
      <c r="AC90" s="929" t="s">
        <v>1</v>
      </c>
      <c r="AD90" s="929" t="s">
        <v>2</v>
      </c>
      <c r="AE90" s="930" t="s">
        <v>3</v>
      </c>
      <c r="AF90" s="932" t="s">
        <v>4</v>
      </c>
      <c r="AG90" s="929" t="s">
        <v>5</v>
      </c>
      <c r="AI90" s="929" t="s">
        <v>1</v>
      </c>
      <c r="AJ90" s="929" t="s">
        <v>2</v>
      </c>
      <c r="AK90" s="930" t="s">
        <v>3</v>
      </c>
      <c r="AL90" s="932" t="s">
        <v>4</v>
      </c>
      <c r="AM90" s="929" t="s">
        <v>5</v>
      </c>
      <c r="AO90" s="929" t="s">
        <v>1</v>
      </c>
      <c r="AP90" s="929" t="s">
        <v>2</v>
      </c>
      <c r="AQ90" s="930" t="s">
        <v>3</v>
      </c>
      <c r="AR90" s="932" t="s">
        <v>4</v>
      </c>
      <c r="AS90" s="929" t="s">
        <v>5</v>
      </c>
      <c r="AU90" s="929" t="s">
        <v>1</v>
      </c>
      <c r="AV90" s="929" t="s">
        <v>2</v>
      </c>
      <c r="AW90" s="930" t="s">
        <v>3</v>
      </c>
      <c r="AX90" s="932" t="s">
        <v>4</v>
      </c>
      <c r="AY90" s="929" t="s">
        <v>5</v>
      </c>
      <c r="AZ90" s="591"/>
      <c r="BA90" s="929" t="s">
        <v>1</v>
      </c>
      <c r="BB90" s="929" t="s">
        <v>2</v>
      </c>
      <c r="BC90" s="930" t="s">
        <v>3</v>
      </c>
      <c r="BD90" s="932" t="s">
        <v>4</v>
      </c>
      <c r="BE90" s="929" t="s">
        <v>5</v>
      </c>
      <c r="BF90" s="591"/>
      <c r="BG90" s="929" t="s">
        <v>1</v>
      </c>
      <c r="BH90" s="929" t="s">
        <v>2</v>
      </c>
      <c r="BI90" s="930" t="s">
        <v>3</v>
      </c>
      <c r="BJ90" s="932" t="s">
        <v>4</v>
      </c>
      <c r="BK90" s="929" t="s">
        <v>5</v>
      </c>
      <c r="BL90" s="591"/>
      <c r="BM90" s="929" t="s">
        <v>1</v>
      </c>
      <c r="BN90" s="929" t="s">
        <v>2</v>
      </c>
      <c r="BO90" s="930" t="s">
        <v>3</v>
      </c>
      <c r="BP90" s="932" t="s">
        <v>4</v>
      </c>
      <c r="BQ90" s="929" t="s">
        <v>5</v>
      </c>
      <c r="BS90" s="929" t="s">
        <v>1</v>
      </c>
      <c r="BT90" s="929" t="s">
        <v>2</v>
      </c>
      <c r="BU90" s="930" t="s">
        <v>3</v>
      </c>
      <c r="BV90" s="932" t="s">
        <v>4</v>
      </c>
      <c r="BW90" s="929" t="s">
        <v>5</v>
      </c>
      <c r="BX90" s="591"/>
      <c r="BY90" s="929" t="s">
        <v>1</v>
      </c>
      <c r="BZ90" s="929" t="s">
        <v>2</v>
      </c>
      <c r="CA90" s="930" t="s">
        <v>3</v>
      </c>
      <c r="CB90" s="932" t="s">
        <v>4</v>
      </c>
      <c r="CC90" s="929" t="s">
        <v>5</v>
      </c>
      <c r="CD90" s="591"/>
      <c r="CE90" s="929" t="s">
        <v>1</v>
      </c>
      <c r="CF90" s="929" t="s">
        <v>2</v>
      </c>
      <c r="CG90" s="930" t="s">
        <v>3</v>
      </c>
      <c r="CH90" s="932" t="s">
        <v>4</v>
      </c>
      <c r="CI90" s="929" t="s">
        <v>5</v>
      </c>
      <c r="CJ90" s="591"/>
      <c r="CK90" s="929" t="s">
        <v>1</v>
      </c>
      <c r="CL90" s="929" t="s">
        <v>2</v>
      </c>
      <c r="CM90" s="930" t="s">
        <v>3</v>
      </c>
      <c r="CN90" s="932" t="s">
        <v>4</v>
      </c>
      <c r="CO90" s="929" t="s">
        <v>5</v>
      </c>
      <c r="CP90" s="591"/>
      <c r="CQ90" s="929" t="s">
        <v>1</v>
      </c>
      <c r="CR90" s="929" t="s">
        <v>2</v>
      </c>
      <c r="CS90" s="930" t="s">
        <v>3</v>
      </c>
      <c r="CT90" s="932" t="s">
        <v>4</v>
      </c>
      <c r="CU90" s="929" t="s">
        <v>5</v>
      </c>
      <c r="CV90" s="591"/>
      <c r="CW90" s="929" t="s">
        <v>1</v>
      </c>
      <c r="CX90" s="929" t="s">
        <v>2</v>
      </c>
      <c r="CY90" s="930" t="s">
        <v>3</v>
      </c>
      <c r="CZ90" s="932" t="s">
        <v>4</v>
      </c>
      <c r="DA90" s="929" t="s">
        <v>5</v>
      </c>
      <c r="DB90" s="591"/>
      <c r="DC90" s="929" t="s">
        <v>1</v>
      </c>
      <c r="DD90" s="929" t="s">
        <v>2</v>
      </c>
      <c r="DE90" s="930" t="s">
        <v>3</v>
      </c>
      <c r="DF90" s="932" t="s">
        <v>4</v>
      </c>
      <c r="DG90" s="929" t="s">
        <v>5</v>
      </c>
      <c r="DH90" s="591"/>
      <c r="DI90" s="929" t="s">
        <v>1</v>
      </c>
      <c r="DJ90" s="929" t="s">
        <v>2</v>
      </c>
      <c r="DK90" s="930" t="s">
        <v>3</v>
      </c>
      <c r="DL90" s="932" t="s">
        <v>4</v>
      </c>
      <c r="DM90" s="929" t="s">
        <v>5</v>
      </c>
      <c r="DN90" s="591"/>
      <c r="DO90" s="929" t="s">
        <v>1</v>
      </c>
      <c r="DP90" s="929" t="s">
        <v>2</v>
      </c>
      <c r="DQ90" s="930" t="s">
        <v>3</v>
      </c>
      <c r="DR90" s="932" t="s">
        <v>4</v>
      </c>
      <c r="DS90" s="929" t="s">
        <v>5</v>
      </c>
      <c r="DT90" s="591"/>
      <c r="DU90" s="929" t="s">
        <v>1</v>
      </c>
      <c r="DV90" s="929" t="s">
        <v>2</v>
      </c>
      <c r="DW90" s="930" t="s">
        <v>3</v>
      </c>
      <c r="DX90" s="932" t="s">
        <v>4</v>
      </c>
      <c r="DY90" s="929" t="s">
        <v>5</v>
      </c>
      <c r="DZ90" s="591"/>
      <c r="EA90" s="929" t="s">
        <v>1</v>
      </c>
      <c r="EB90" s="929" t="s">
        <v>2</v>
      </c>
      <c r="EC90" s="930" t="s">
        <v>3</v>
      </c>
      <c r="ED90" s="932" t="s">
        <v>4</v>
      </c>
      <c r="EE90" s="929" t="s">
        <v>5</v>
      </c>
      <c r="EF90" s="591"/>
      <c r="EG90" s="929" t="s">
        <v>1</v>
      </c>
      <c r="EH90" s="929" t="s">
        <v>2</v>
      </c>
      <c r="EI90" s="930" t="s">
        <v>3</v>
      </c>
      <c r="EJ90" s="932" t="s">
        <v>4</v>
      </c>
      <c r="EK90" s="929" t="s">
        <v>5</v>
      </c>
      <c r="EL90" s="591"/>
      <c r="EM90" s="929" t="s">
        <v>1</v>
      </c>
      <c r="EN90" s="929" t="s">
        <v>2</v>
      </c>
      <c r="EO90" s="930" t="s">
        <v>3</v>
      </c>
      <c r="EP90" s="932" t="s">
        <v>4</v>
      </c>
      <c r="EQ90" s="929" t="s">
        <v>5</v>
      </c>
      <c r="ES90" s="929" t="s">
        <v>1</v>
      </c>
      <c r="ET90" s="929" t="s">
        <v>2</v>
      </c>
      <c r="EU90" s="930" t="s">
        <v>3</v>
      </c>
      <c r="EV90" s="932" t="s">
        <v>4</v>
      </c>
      <c r="EW90" s="929" t="s">
        <v>5</v>
      </c>
      <c r="EY90" s="929" t="s">
        <v>1</v>
      </c>
      <c r="EZ90" s="929" t="s">
        <v>2</v>
      </c>
      <c r="FA90" s="930" t="s">
        <v>3</v>
      </c>
      <c r="FB90" s="932" t="s">
        <v>4</v>
      </c>
      <c r="FC90" s="929" t="s">
        <v>5</v>
      </c>
      <c r="FE90" s="929" t="s">
        <v>1</v>
      </c>
      <c r="FF90" s="929" t="s">
        <v>2</v>
      </c>
      <c r="FG90" s="930" t="s">
        <v>3</v>
      </c>
      <c r="FH90" s="932" t="s">
        <v>4</v>
      </c>
      <c r="FI90" s="929" t="s">
        <v>5</v>
      </c>
      <c r="FK90" s="929" t="s">
        <v>1</v>
      </c>
      <c r="FL90" s="929" t="s">
        <v>2</v>
      </c>
      <c r="FM90" s="930" t="s">
        <v>3</v>
      </c>
      <c r="FN90" s="932" t="s">
        <v>4</v>
      </c>
      <c r="FO90" s="929" t="s">
        <v>5</v>
      </c>
      <c r="FQ90" s="929" t="s">
        <v>1</v>
      </c>
      <c r="FR90" s="929" t="s">
        <v>2</v>
      </c>
      <c r="FS90" s="930" t="s">
        <v>3</v>
      </c>
      <c r="FT90" s="932" t="s">
        <v>4</v>
      </c>
      <c r="FU90" s="929" t="s">
        <v>5</v>
      </c>
      <c r="FW90" s="929" t="s">
        <v>1</v>
      </c>
      <c r="FX90" s="929" t="s">
        <v>2</v>
      </c>
      <c r="FY90" s="930" t="s">
        <v>3</v>
      </c>
      <c r="FZ90" s="932" t="s">
        <v>4</v>
      </c>
      <c r="GA90" s="929" t="s">
        <v>5</v>
      </c>
      <c r="GC90" s="929" t="s">
        <v>1</v>
      </c>
      <c r="GD90" s="929" t="s">
        <v>2</v>
      </c>
      <c r="GE90" s="930" t="s">
        <v>3</v>
      </c>
      <c r="GF90" s="932" t="s">
        <v>4</v>
      </c>
      <c r="GG90" s="929" t="s">
        <v>5</v>
      </c>
      <c r="GI90" s="929" t="s">
        <v>1</v>
      </c>
      <c r="GJ90" s="929" t="s">
        <v>2</v>
      </c>
      <c r="GK90" s="930" t="s">
        <v>3</v>
      </c>
      <c r="GL90" s="932" t="s">
        <v>4</v>
      </c>
      <c r="GM90" s="929" t="s">
        <v>5</v>
      </c>
      <c r="GO90" s="929" t="s">
        <v>1</v>
      </c>
      <c r="GP90" s="929" t="s">
        <v>2</v>
      </c>
      <c r="GQ90" s="930" t="s">
        <v>3</v>
      </c>
      <c r="GR90" s="932" t="s">
        <v>4</v>
      </c>
      <c r="GS90" s="929" t="s">
        <v>5</v>
      </c>
      <c r="GU90" s="929" t="s">
        <v>1</v>
      </c>
      <c r="GV90" s="929" t="s">
        <v>2</v>
      </c>
      <c r="GW90" s="930" t="s">
        <v>3</v>
      </c>
      <c r="GX90" s="932" t="s">
        <v>4</v>
      </c>
      <c r="GY90" s="929" t="s">
        <v>5</v>
      </c>
      <c r="HA90" s="929" t="s">
        <v>1</v>
      </c>
      <c r="HB90" s="929" t="s">
        <v>2</v>
      </c>
      <c r="HC90" s="930" t="s">
        <v>3</v>
      </c>
      <c r="HD90" s="932" t="s">
        <v>4</v>
      </c>
      <c r="HE90" s="929" t="s">
        <v>5</v>
      </c>
      <c r="HG90" s="929" t="s">
        <v>1</v>
      </c>
      <c r="HH90" s="929" t="s">
        <v>2</v>
      </c>
      <c r="HI90" s="930" t="s">
        <v>3</v>
      </c>
      <c r="HJ90" s="932" t="s">
        <v>4</v>
      </c>
      <c r="HK90" s="929" t="s">
        <v>5</v>
      </c>
      <c r="HM90" s="929" t="s">
        <v>1</v>
      </c>
      <c r="HN90" s="929" t="s">
        <v>2</v>
      </c>
      <c r="HO90" s="930" t="s">
        <v>3</v>
      </c>
      <c r="HP90" s="932" t="s">
        <v>4</v>
      </c>
      <c r="HQ90" s="929" t="s">
        <v>5</v>
      </c>
      <c r="HS90" s="929" t="s">
        <v>1</v>
      </c>
      <c r="HT90" s="929" t="s">
        <v>2</v>
      </c>
      <c r="HU90" s="930" t="s">
        <v>3</v>
      </c>
      <c r="HV90" s="932" t="s">
        <v>4</v>
      </c>
      <c r="HW90" s="929" t="s">
        <v>5</v>
      </c>
      <c r="HY90" s="929" t="s">
        <v>1</v>
      </c>
      <c r="HZ90" s="929" t="s">
        <v>2</v>
      </c>
      <c r="IA90" s="930" t="s">
        <v>3</v>
      </c>
      <c r="IB90" s="932" t="s">
        <v>4</v>
      </c>
      <c r="IC90" s="929" t="s">
        <v>5</v>
      </c>
      <c r="IE90" s="929" t="s">
        <v>1</v>
      </c>
      <c r="IF90" s="929" t="s">
        <v>2</v>
      </c>
      <c r="IG90" s="930" t="s">
        <v>3</v>
      </c>
      <c r="IH90" s="932" t="s">
        <v>4</v>
      </c>
      <c r="II90" s="929" t="s">
        <v>5</v>
      </c>
      <c r="IK90" s="929" t="s">
        <v>1</v>
      </c>
      <c r="IL90" s="929" t="s">
        <v>2</v>
      </c>
      <c r="IM90" s="930" t="s">
        <v>3</v>
      </c>
      <c r="IN90" s="932" t="s">
        <v>4</v>
      </c>
      <c r="IO90" s="929" t="s">
        <v>5</v>
      </c>
      <c r="IQ90" s="929" t="s">
        <v>1</v>
      </c>
      <c r="IR90" s="929" t="s">
        <v>2</v>
      </c>
      <c r="IS90" s="930" t="s">
        <v>3</v>
      </c>
      <c r="IT90" s="932" t="s">
        <v>4</v>
      </c>
      <c r="IU90" s="929" t="s">
        <v>5</v>
      </c>
      <c r="IW90" s="929" t="s">
        <v>1</v>
      </c>
      <c r="IX90" s="929" t="s">
        <v>2</v>
      </c>
      <c r="IY90" s="930" t="s">
        <v>3</v>
      </c>
      <c r="IZ90" s="932" t="s">
        <v>4</v>
      </c>
      <c r="JA90" s="929" t="s">
        <v>5</v>
      </c>
      <c r="JC90" s="929" t="s">
        <v>1</v>
      </c>
      <c r="JD90" s="929" t="s">
        <v>2</v>
      </c>
      <c r="JE90" s="930" t="s">
        <v>3</v>
      </c>
      <c r="JF90" s="932" t="s">
        <v>4</v>
      </c>
      <c r="JG90" s="929" t="s">
        <v>5</v>
      </c>
      <c r="JI90" s="929" t="s">
        <v>1</v>
      </c>
      <c r="JJ90" s="929" t="s">
        <v>2</v>
      </c>
      <c r="JK90" s="930" t="s">
        <v>3</v>
      </c>
      <c r="JL90" s="932" t="s">
        <v>4</v>
      </c>
      <c r="JM90" s="929" t="s">
        <v>5</v>
      </c>
      <c r="JO90" s="929" t="s">
        <v>1</v>
      </c>
      <c r="JP90" s="929" t="s">
        <v>2</v>
      </c>
      <c r="JQ90" s="930" t="s">
        <v>3</v>
      </c>
      <c r="JR90" s="932" t="s">
        <v>4</v>
      </c>
      <c r="JS90" s="929" t="s">
        <v>5</v>
      </c>
      <c r="JU90" s="929" t="s">
        <v>1</v>
      </c>
      <c r="JV90" s="929" t="s">
        <v>2</v>
      </c>
      <c r="JW90" s="930" t="s">
        <v>3</v>
      </c>
      <c r="JX90" s="932" t="s">
        <v>4</v>
      </c>
      <c r="JY90" s="929" t="s">
        <v>5</v>
      </c>
      <c r="KA90" s="929" t="s">
        <v>1</v>
      </c>
      <c r="KB90" s="929" t="s">
        <v>2</v>
      </c>
      <c r="KC90" s="930" t="s">
        <v>3</v>
      </c>
      <c r="KD90" s="932" t="s">
        <v>4</v>
      </c>
      <c r="KE90" s="929" t="s">
        <v>5</v>
      </c>
      <c r="KG90" s="929" t="s">
        <v>1</v>
      </c>
      <c r="KH90" s="929" t="s">
        <v>2</v>
      </c>
      <c r="KI90" s="930" t="s">
        <v>3</v>
      </c>
      <c r="KJ90" s="932" t="s">
        <v>4</v>
      </c>
      <c r="KK90" s="929" t="s">
        <v>5</v>
      </c>
      <c r="KM90" s="929" t="s">
        <v>1</v>
      </c>
      <c r="KN90" s="929" t="s">
        <v>2</v>
      </c>
      <c r="KO90" s="930" t="s">
        <v>3</v>
      </c>
      <c r="KP90" s="932" t="s">
        <v>4</v>
      </c>
      <c r="KQ90" s="929" t="s">
        <v>5</v>
      </c>
      <c r="KS90" s="929" t="s">
        <v>1</v>
      </c>
      <c r="KT90" s="929" t="s">
        <v>2</v>
      </c>
      <c r="KU90" s="930" t="s">
        <v>3</v>
      </c>
      <c r="KV90" s="932" t="s">
        <v>4</v>
      </c>
      <c r="KW90" s="929" t="s">
        <v>5</v>
      </c>
      <c r="KY90" s="929" t="s">
        <v>1</v>
      </c>
      <c r="KZ90" s="929" t="s">
        <v>2</v>
      </c>
      <c r="LA90" s="930" t="s">
        <v>3</v>
      </c>
      <c r="LB90" s="932" t="s">
        <v>4</v>
      </c>
      <c r="LC90" s="929" t="s">
        <v>5</v>
      </c>
      <c r="LE90" s="929" t="s">
        <v>1</v>
      </c>
      <c r="LF90" s="929" t="s">
        <v>2</v>
      </c>
      <c r="LG90" s="930" t="s">
        <v>3</v>
      </c>
      <c r="LH90" s="932" t="s">
        <v>4</v>
      </c>
      <c r="LI90" s="929" t="s">
        <v>5</v>
      </c>
      <c r="LK90" s="929" t="s">
        <v>1</v>
      </c>
      <c r="LL90" s="929" t="s">
        <v>2</v>
      </c>
      <c r="LM90" s="930" t="s">
        <v>3</v>
      </c>
      <c r="LN90" s="932" t="s">
        <v>4</v>
      </c>
      <c r="LO90" s="929" t="s">
        <v>5</v>
      </c>
      <c r="LQ90" s="929" t="s">
        <v>1</v>
      </c>
      <c r="LR90" s="929" t="s">
        <v>2</v>
      </c>
      <c r="LS90" s="930" t="s">
        <v>3</v>
      </c>
      <c r="LT90" s="932" t="s">
        <v>4</v>
      </c>
      <c r="LU90" s="929" t="s">
        <v>5</v>
      </c>
      <c r="LW90" s="929" t="s">
        <v>1</v>
      </c>
      <c r="LX90" s="929" t="s">
        <v>2</v>
      </c>
      <c r="LY90" s="930" t="s">
        <v>3</v>
      </c>
      <c r="LZ90" s="932" t="s">
        <v>4</v>
      </c>
      <c r="MA90" s="929" t="s">
        <v>5</v>
      </c>
      <c r="MC90" s="929" t="s">
        <v>1</v>
      </c>
      <c r="MD90" s="929" t="s">
        <v>2</v>
      </c>
      <c r="ME90" s="930" t="s">
        <v>3</v>
      </c>
      <c r="MF90" s="932" t="s">
        <v>4</v>
      </c>
      <c r="MG90" s="929" t="s">
        <v>5</v>
      </c>
      <c r="MI90" s="929" t="s">
        <v>1</v>
      </c>
      <c r="MJ90" s="929" t="s">
        <v>2</v>
      </c>
      <c r="MK90" s="930" t="s">
        <v>3</v>
      </c>
      <c r="ML90" s="932" t="s">
        <v>4</v>
      </c>
      <c r="MM90" s="929" t="s">
        <v>5</v>
      </c>
      <c r="MO90" s="929" t="s">
        <v>1</v>
      </c>
      <c r="MP90" s="929" t="s">
        <v>2</v>
      </c>
      <c r="MQ90" s="930" t="s">
        <v>3</v>
      </c>
      <c r="MR90" s="932" t="s">
        <v>4</v>
      </c>
      <c r="MS90" s="929" t="s">
        <v>5</v>
      </c>
      <c r="MU90" s="929" t="s">
        <v>1</v>
      </c>
      <c r="MV90" s="929" t="s">
        <v>2</v>
      </c>
      <c r="MW90" s="930" t="s">
        <v>3</v>
      </c>
      <c r="MX90" s="932" t="s">
        <v>4</v>
      </c>
      <c r="MY90" s="929" t="s">
        <v>5</v>
      </c>
      <c r="NA90" s="938" t="s">
        <v>1</v>
      </c>
      <c r="NB90" s="938" t="s">
        <v>2</v>
      </c>
      <c r="NC90" s="941" t="s">
        <v>3</v>
      </c>
      <c r="ND90" s="932" t="s">
        <v>4</v>
      </c>
      <c r="NE90" s="929" t="s">
        <v>5</v>
      </c>
      <c r="NG90" s="929" t="s">
        <v>1</v>
      </c>
      <c r="NH90" s="929" t="s">
        <v>2</v>
      </c>
      <c r="NI90" s="930" t="s">
        <v>3</v>
      </c>
      <c r="NJ90" s="932" t="s">
        <v>4</v>
      </c>
      <c r="NK90" s="929" t="s">
        <v>5</v>
      </c>
      <c r="NM90" s="929" t="s">
        <v>1</v>
      </c>
      <c r="NN90" s="929" t="s">
        <v>2</v>
      </c>
      <c r="NO90" s="930" t="s">
        <v>3</v>
      </c>
      <c r="NP90" s="932" t="s">
        <v>4</v>
      </c>
      <c r="NQ90" s="929" t="s">
        <v>5</v>
      </c>
      <c r="NS90" s="929" t="s">
        <v>1</v>
      </c>
      <c r="NT90" s="929" t="s">
        <v>2</v>
      </c>
      <c r="NU90" s="930" t="s">
        <v>3</v>
      </c>
      <c r="NV90" s="932" t="s">
        <v>4</v>
      </c>
      <c r="NW90" s="929" t="s">
        <v>5</v>
      </c>
      <c r="NY90" s="929" t="s">
        <v>1</v>
      </c>
      <c r="NZ90" s="929" t="s">
        <v>2</v>
      </c>
      <c r="OA90" s="930" t="s">
        <v>3</v>
      </c>
      <c r="OB90" s="932" t="s">
        <v>4</v>
      </c>
      <c r="OC90" s="929" t="s">
        <v>5</v>
      </c>
      <c r="OE90" s="929" t="s">
        <v>1</v>
      </c>
      <c r="OF90" s="929" t="s">
        <v>2</v>
      </c>
      <c r="OG90" s="930" t="s">
        <v>3</v>
      </c>
      <c r="OH90" s="932" t="s">
        <v>4</v>
      </c>
      <c r="OI90" s="929" t="s">
        <v>5</v>
      </c>
    </row>
    <row r="91" spans="1:399">
      <c r="C91" s="947"/>
      <c r="D91" s="8"/>
      <c r="E91" s="935"/>
      <c r="F91" s="935"/>
      <c r="G91" s="936"/>
      <c r="H91" s="937"/>
      <c r="I91" s="935"/>
      <c r="K91" s="935"/>
      <c r="L91" s="935"/>
      <c r="M91" s="936"/>
      <c r="N91" s="937"/>
      <c r="O91" s="935"/>
      <c r="Q91" s="935"/>
      <c r="R91" s="935"/>
      <c r="S91" s="936"/>
      <c r="T91" s="937"/>
      <c r="U91" s="935"/>
      <c r="W91" s="935"/>
      <c r="X91" s="935"/>
      <c r="Y91" s="936"/>
      <c r="Z91" s="937"/>
      <c r="AA91" s="935"/>
      <c r="AC91" s="935"/>
      <c r="AD91" s="935"/>
      <c r="AE91" s="936"/>
      <c r="AF91" s="937"/>
      <c r="AG91" s="935"/>
      <c r="AI91" s="935"/>
      <c r="AJ91" s="935"/>
      <c r="AK91" s="936"/>
      <c r="AL91" s="937"/>
      <c r="AM91" s="935"/>
      <c r="AO91" s="935"/>
      <c r="AP91" s="935"/>
      <c r="AQ91" s="936"/>
      <c r="AR91" s="937"/>
      <c r="AS91" s="935"/>
      <c r="AU91" s="935"/>
      <c r="AV91" s="935"/>
      <c r="AW91" s="936"/>
      <c r="AX91" s="937"/>
      <c r="AY91" s="935"/>
      <c r="AZ91" s="591"/>
      <c r="BA91" s="935"/>
      <c r="BB91" s="935"/>
      <c r="BC91" s="936"/>
      <c r="BD91" s="937"/>
      <c r="BE91" s="935"/>
      <c r="BF91" s="591"/>
      <c r="BG91" s="935"/>
      <c r="BH91" s="935"/>
      <c r="BI91" s="936"/>
      <c r="BJ91" s="937"/>
      <c r="BK91" s="935"/>
      <c r="BL91" s="591"/>
      <c r="BM91" s="935"/>
      <c r="BN91" s="935"/>
      <c r="BO91" s="936"/>
      <c r="BP91" s="937"/>
      <c r="BQ91" s="935"/>
      <c r="BS91" s="935"/>
      <c r="BT91" s="935"/>
      <c r="BU91" s="936"/>
      <c r="BV91" s="937"/>
      <c r="BW91" s="935"/>
      <c r="BX91" s="591"/>
      <c r="BY91" s="935"/>
      <c r="BZ91" s="935"/>
      <c r="CA91" s="936"/>
      <c r="CB91" s="937"/>
      <c r="CC91" s="935"/>
      <c r="CD91" s="591"/>
      <c r="CE91" s="935"/>
      <c r="CF91" s="935"/>
      <c r="CG91" s="936"/>
      <c r="CH91" s="937"/>
      <c r="CI91" s="935"/>
      <c r="CJ91" s="591"/>
      <c r="CK91" s="935"/>
      <c r="CL91" s="935"/>
      <c r="CM91" s="936"/>
      <c r="CN91" s="937"/>
      <c r="CO91" s="935"/>
      <c r="CP91" s="591"/>
      <c r="CQ91" s="935"/>
      <c r="CR91" s="935"/>
      <c r="CS91" s="936"/>
      <c r="CT91" s="937"/>
      <c r="CU91" s="935"/>
      <c r="CV91" s="591"/>
      <c r="CW91" s="935"/>
      <c r="CX91" s="935"/>
      <c r="CY91" s="936"/>
      <c r="CZ91" s="937"/>
      <c r="DA91" s="935"/>
      <c r="DB91" s="591"/>
      <c r="DC91" s="935"/>
      <c r="DD91" s="935"/>
      <c r="DE91" s="936"/>
      <c r="DF91" s="937"/>
      <c r="DG91" s="935"/>
      <c r="DH91" s="591"/>
      <c r="DI91" s="935"/>
      <c r="DJ91" s="935"/>
      <c r="DK91" s="936"/>
      <c r="DL91" s="937"/>
      <c r="DM91" s="935"/>
      <c r="DN91" s="591"/>
      <c r="DO91" s="935"/>
      <c r="DP91" s="935"/>
      <c r="DQ91" s="936"/>
      <c r="DR91" s="937"/>
      <c r="DS91" s="935"/>
      <c r="DT91" s="591"/>
      <c r="DU91" s="935"/>
      <c r="DV91" s="935"/>
      <c r="DW91" s="936"/>
      <c r="DX91" s="937"/>
      <c r="DY91" s="935"/>
      <c r="DZ91" s="591"/>
      <c r="EA91" s="935"/>
      <c r="EB91" s="935"/>
      <c r="EC91" s="936"/>
      <c r="ED91" s="937"/>
      <c r="EE91" s="935"/>
      <c r="EF91" s="591"/>
      <c r="EG91" s="935"/>
      <c r="EH91" s="935"/>
      <c r="EI91" s="936"/>
      <c r="EJ91" s="937"/>
      <c r="EK91" s="935"/>
      <c r="EL91" s="591"/>
      <c r="EM91" s="935"/>
      <c r="EN91" s="935"/>
      <c r="EO91" s="936"/>
      <c r="EP91" s="937"/>
      <c r="EQ91" s="935"/>
      <c r="ES91" s="935"/>
      <c r="ET91" s="935"/>
      <c r="EU91" s="936"/>
      <c r="EV91" s="937"/>
      <c r="EW91" s="935"/>
      <c r="EY91" s="935"/>
      <c r="EZ91" s="935"/>
      <c r="FA91" s="936"/>
      <c r="FB91" s="937"/>
      <c r="FC91" s="935"/>
      <c r="FE91" s="935"/>
      <c r="FF91" s="935"/>
      <c r="FG91" s="936"/>
      <c r="FH91" s="937"/>
      <c r="FI91" s="935"/>
      <c r="FK91" s="935"/>
      <c r="FL91" s="935"/>
      <c r="FM91" s="936"/>
      <c r="FN91" s="937"/>
      <c r="FO91" s="935"/>
      <c r="FQ91" s="935"/>
      <c r="FR91" s="935"/>
      <c r="FS91" s="936"/>
      <c r="FT91" s="937"/>
      <c r="FU91" s="935"/>
      <c r="FW91" s="935"/>
      <c r="FX91" s="935"/>
      <c r="FY91" s="936"/>
      <c r="FZ91" s="937"/>
      <c r="GA91" s="935"/>
      <c r="GC91" s="935"/>
      <c r="GD91" s="935"/>
      <c r="GE91" s="936"/>
      <c r="GF91" s="937"/>
      <c r="GG91" s="935"/>
      <c r="GI91" s="935"/>
      <c r="GJ91" s="935"/>
      <c r="GK91" s="936"/>
      <c r="GL91" s="937"/>
      <c r="GM91" s="935"/>
      <c r="GO91" s="935"/>
      <c r="GP91" s="935"/>
      <c r="GQ91" s="936"/>
      <c r="GR91" s="937"/>
      <c r="GS91" s="935"/>
      <c r="GU91" s="935"/>
      <c r="GV91" s="935"/>
      <c r="GW91" s="936"/>
      <c r="GX91" s="937"/>
      <c r="GY91" s="935"/>
      <c r="HA91" s="935"/>
      <c r="HB91" s="935"/>
      <c r="HC91" s="936"/>
      <c r="HD91" s="937"/>
      <c r="HE91" s="935"/>
      <c r="HG91" s="935"/>
      <c r="HH91" s="935"/>
      <c r="HI91" s="936"/>
      <c r="HJ91" s="937"/>
      <c r="HK91" s="935"/>
      <c r="HM91" s="935"/>
      <c r="HN91" s="935"/>
      <c r="HO91" s="936"/>
      <c r="HP91" s="937"/>
      <c r="HQ91" s="935"/>
      <c r="HS91" s="935"/>
      <c r="HT91" s="935"/>
      <c r="HU91" s="936"/>
      <c r="HV91" s="937"/>
      <c r="HW91" s="935"/>
      <c r="HY91" s="935"/>
      <c r="HZ91" s="935"/>
      <c r="IA91" s="936"/>
      <c r="IB91" s="937"/>
      <c r="IC91" s="935"/>
      <c r="IE91" s="935"/>
      <c r="IF91" s="935"/>
      <c r="IG91" s="936"/>
      <c r="IH91" s="937"/>
      <c r="II91" s="935"/>
      <c r="IK91" s="935"/>
      <c r="IL91" s="935"/>
      <c r="IM91" s="936"/>
      <c r="IN91" s="937"/>
      <c r="IO91" s="935"/>
      <c r="IQ91" s="935"/>
      <c r="IR91" s="935"/>
      <c r="IS91" s="936"/>
      <c r="IT91" s="937"/>
      <c r="IU91" s="935"/>
      <c r="IW91" s="935"/>
      <c r="IX91" s="935"/>
      <c r="IY91" s="936"/>
      <c r="IZ91" s="937"/>
      <c r="JA91" s="935"/>
      <c r="JC91" s="935"/>
      <c r="JD91" s="935"/>
      <c r="JE91" s="936"/>
      <c r="JF91" s="937"/>
      <c r="JG91" s="935"/>
      <c r="JI91" s="935"/>
      <c r="JJ91" s="935"/>
      <c r="JK91" s="936"/>
      <c r="JL91" s="937"/>
      <c r="JM91" s="935"/>
      <c r="JO91" s="935"/>
      <c r="JP91" s="935"/>
      <c r="JQ91" s="936"/>
      <c r="JR91" s="937"/>
      <c r="JS91" s="935"/>
      <c r="JU91" s="935"/>
      <c r="JV91" s="935"/>
      <c r="JW91" s="936"/>
      <c r="JX91" s="937"/>
      <c r="JY91" s="935"/>
      <c r="KA91" s="935"/>
      <c r="KB91" s="935"/>
      <c r="KC91" s="936"/>
      <c r="KD91" s="937"/>
      <c r="KE91" s="935"/>
      <c r="KG91" s="935"/>
      <c r="KH91" s="935"/>
      <c r="KI91" s="936"/>
      <c r="KJ91" s="937"/>
      <c r="KK91" s="935"/>
      <c r="KM91" s="935"/>
      <c r="KN91" s="935"/>
      <c r="KO91" s="936"/>
      <c r="KP91" s="937"/>
      <c r="KQ91" s="935"/>
      <c r="KS91" s="935"/>
      <c r="KT91" s="935"/>
      <c r="KU91" s="936"/>
      <c r="KV91" s="937"/>
      <c r="KW91" s="935"/>
      <c r="KY91" s="935"/>
      <c r="KZ91" s="935"/>
      <c r="LA91" s="936"/>
      <c r="LB91" s="937"/>
      <c r="LC91" s="935"/>
      <c r="LE91" s="935"/>
      <c r="LF91" s="935"/>
      <c r="LG91" s="936"/>
      <c r="LH91" s="937"/>
      <c r="LI91" s="935"/>
      <c r="LK91" s="935"/>
      <c r="LL91" s="935"/>
      <c r="LM91" s="936"/>
      <c r="LN91" s="937"/>
      <c r="LO91" s="935"/>
      <c r="LQ91" s="935"/>
      <c r="LR91" s="935"/>
      <c r="LS91" s="936"/>
      <c r="LT91" s="937"/>
      <c r="LU91" s="935"/>
      <c r="LW91" s="935"/>
      <c r="LX91" s="935"/>
      <c r="LY91" s="936"/>
      <c r="LZ91" s="937"/>
      <c r="MA91" s="935"/>
      <c r="MC91" s="935"/>
      <c r="MD91" s="935"/>
      <c r="ME91" s="936"/>
      <c r="MF91" s="937"/>
      <c r="MG91" s="935"/>
      <c r="MI91" s="935"/>
      <c r="MJ91" s="935"/>
      <c r="MK91" s="936"/>
      <c r="ML91" s="937"/>
      <c r="MM91" s="935"/>
      <c r="MO91" s="935"/>
      <c r="MP91" s="935"/>
      <c r="MQ91" s="936"/>
      <c r="MR91" s="937"/>
      <c r="MS91" s="935"/>
      <c r="MU91" s="935"/>
      <c r="MV91" s="935"/>
      <c r="MW91" s="936"/>
      <c r="MX91" s="937"/>
      <c r="MY91" s="935"/>
      <c r="NA91" s="939"/>
      <c r="NB91" s="939"/>
      <c r="NC91" s="942"/>
      <c r="ND91" s="937"/>
      <c r="NE91" s="935"/>
      <c r="NG91" s="935"/>
      <c r="NH91" s="935"/>
      <c r="NI91" s="936"/>
      <c r="NJ91" s="937"/>
      <c r="NK91" s="935"/>
      <c r="NM91" s="935"/>
      <c r="NN91" s="935"/>
      <c r="NO91" s="936"/>
      <c r="NP91" s="937"/>
      <c r="NQ91" s="935"/>
      <c r="NS91" s="935"/>
      <c r="NT91" s="935"/>
      <c r="NU91" s="936"/>
      <c r="NV91" s="937"/>
      <c r="NW91" s="935"/>
      <c r="NY91" s="935"/>
      <c r="NZ91" s="935"/>
      <c r="OA91" s="936"/>
      <c r="OB91" s="937"/>
      <c r="OC91" s="935"/>
      <c r="OE91" s="935"/>
      <c r="OF91" s="935"/>
      <c r="OG91" s="936"/>
      <c r="OH91" s="937"/>
      <c r="OI91" s="935"/>
    </row>
    <row r="92" spans="1:399" ht="15" thickBot="1">
      <c r="C92" s="7" t="s">
        <v>6</v>
      </c>
      <c r="D92" s="8" t="s">
        <v>7</v>
      </c>
      <c r="E92" s="928"/>
      <c r="F92" s="928"/>
      <c r="G92" s="931"/>
      <c r="H92" s="933"/>
      <c r="I92" s="928"/>
      <c r="K92" s="928"/>
      <c r="L92" s="928"/>
      <c r="M92" s="931"/>
      <c r="N92" s="933"/>
      <c r="O92" s="928"/>
      <c r="Q92" s="928"/>
      <c r="R92" s="928"/>
      <c r="S92" s="931"/>
      <c r="T92" s="933"/>
      <c r="U92" s="928"/>
      <c r="W92" s="928"/>
      <c r="X92" s="928"/>
      <c r="Y92" s="931"/>
      <c r="Z92" s="933"/>
      <c r="AA92" s="928"/>
      <c r="AC92" s="928"/>
      <c r="AD92" s="928"/>
      <c r="AE92" s="931"/>
      <c r="AF92" s="933"/>
      <c r="AG92" s="928"/>
      <c r="AI92" s="928"/>
      <c r="AJ92" s="928"/>
      <c r="AK92" s="931"/>
      <c r="AL92" s="933"/>
      <c r="AM92" s="928"/>
      <c r="AO92" s="928"/>
      <c r="AP92" s="928"/>
      <c r="AQ92" s="931"/>
      <c r="AR92" s="933"/>
      <c r="AS92" s="928"/>
      <c r="AU92" s="928"/>
      <c r="AV92" s="928"/>
      <c r="AW92" s="931"/>
      <c r="AX92" s="933"/>
      <c r="AY92" s="928"/>
      <c r="AZ92" s="591"/>
      <c r="BA92" s="928"/>
      <c r="BB92" s="928"/>
      <c r="BC92" s="931"/>
      <c r="BD92" s="933"/>
      <c r="BE92" s="928"/>
      <c r="BF92" s="591"/>
      <c r="BG92" s="928"/>
      <c r="BH92" s="928"/>
      <c r="BI92" s="931"/>
      <c r="BJ92" s="933"/>
      <c r="BK92" s="928"/>
      <c r="BL92" s="591"/>
      <c r="BM92" s="928"/>
      <c r="BN92" s="928"/>
      <c r="BO92" s="931"/>
      <c r="BP92" s="933"/>
      <c r="BQ92" s="928"/>
      <c r="BS92" s="928"/>
      <c r="BT92" s="928"/>
      <c r="BU92" s="931"/>
      <c r="BV92" s="933"/>
      <c r="BW92" s="928"/>
      <c r="BX92" s="591"/>
      <c r="BY92" s="928"/>
      <c r="BZ92" s="928"/>
      <c r="CA92" s="931"/>
      <c r="CB92" s="933"/>
      <c r="CC92" s="928"/>
      <c r="CD92" s="591"/>
      <c r="CE92" s="928"/>
      <c r="CF92" s="928"/>
      <c r="CG92" s="931"/>
      <c r="CH92" s="933"/>
      <c r="CI92" s="928"/>
      <c r="CJ92" s="591"/>
      <c r="CK92" s="928"/>
      <c r="CL92" s="928"/>
      <c r="CM92" s="931"/>
      <c r="CN92" s="933"/>
      <c r="CO92" s="928"/>
      <c r="CP92" s="591"/>
      <c r="CQ92" s="928"/>
      <c r="CR92" s="928"/>
      <c r="CS92" s="931"/>
      <c r="CT92" s="933"/>
      <c r="CU92" s="928"/>
      <c r="CV92" s="591"/>
      <c r="CW92" s="928"/>
      <c r="CX92" s="928"/>
      <c r="CY92" s="931"/>
      <c r="CZ92" s="933"/>
      <c r="DA92" s="928"/>
      <c r="DB92" s="591"/>
      <c r="DC92" s="928"/>
      <c r="DD92" s="928"/>
      <c r="DE92" s="931"/>
      <c r="DF92" s="933"/>
      <c r="DG92" s="928"/>
      <c r="DH92" s="591"/>
      <c r="DI92" s="928"/>
      <c r="DJ92" s="928"/>
      <c r="DK92" s="931"/>
      <c r="DL92" s="933"/>
      <c r="DM92" s="928"/>
      <c r="DN92" s="591"/>
      <c r="DO92" s="928"/>
      <c r="DP92" s="928"/>
      <c r="DQ92" s="931"/>
      <c r="DR92" s="933"/>
      <c r="DS92" s="928"/>
      <c r="DT92" s="591"/>
      <c r="DU92" s="928"/>
      <c r="DV92" s="928"/>
      <c r="DW92" s="931"/>
      <c r="DX92" s="933"/>
      <c r="DY92" s="928"/>
      <c r="DZ92" s="591"/>
      <c r="EA92" s="928"/>
      <c r="EB92" s="928"/>
      <c r="EC92" s="931"/>
      <c r="ED92" s="933"/>
      <c r="EE92" s="928"/>
      <c r="EF92" s="591"/>
      <c r="EG92" s="928"/>
      <c r="EH92" s="928"/>
      <c r="EI92" s="931"/>
      <c r="EJ92" s="933"/>
      <c r="EK92" s="928"/>
      <c r="EL92" s="591"/>
      <c r="EM92" s="928"/>
      <c r="EN92" s="928"/>
      <c r="EO92" s="931"/>
      <c r="EP92" s="933"/>
      <c r="EQ92" s="928"/>
      <c r="ES92" s="928"/>
      <c r="ET92" s="928"/>
      <c r="EU92" s="931"/>
      <c r="EV92" s="933"/>
      <c r="EW92" s="928"/>
      <c r="EY92" s="928"/>
      <c r="EZ92" s="928"/>
      <c r="FA92" s="931"/>
      <c r="FB92" s="933"/>
      <c r="FC92" s="928"/>
      <c r="FE92" s="928"/>
      <c r="FF92" s="928"/>
      <c r="FG92" s="931"/>
      <c r="FH92" s="933"/>
      <c r="FI92" s="928"/>
      <c r="FK92" s="928"/>
      <c r="FL92" s="928"/>
      <c r="FM92" s="931"/>
      <c r="FN92" s="933"/>
      <c r="FO92" s="928"/>
      <c r="FQ92" s="928"/>
      <c r="FR92" s="928"/>
      <c r="FS92" s="931"/>
      <c r="FT92" s="933"/>
      <c r="FU92" s="928"/>
      <c r="FW92" s="928"/>
      <c r="FX92" s="928"/>
      <c r="FY92" s="931"/>
      <c r="FZ92" s="933"/>
      <c r="GA92" s="928"/>
      <c r="GC92" s="928"/>
      <c r="GD92" s="928"/>
      <c r="GE92" s="931"/>
      <c r="GF92" s="933"/>
      <c r="GG92" s="928"/>
      <c r="GI92" s="928"/>
      <c r="GJ92" s="928"/>
      <c r="GK92" s="931"/>
      <c r="GL92" s="933"/>
      <c r="GM92" s="928"/>
      <c r="GO92" s="928"/>
      <c r="GP92" s="928"/>
      <c r="GQ92" s="931"/>
      <c r="GR92" s="933"/>
      <c r="GS92" s="928"/>
      <c r="GU92" s="928"/>
      <c r="GV92" s="928"/>
      <c r="GW92" s="931"/>
      <c r="GX92" s="933"/>
      <c r="GY92" s="928"/>
      <c r="HA92" s="928"/>
      <c r="HB92" s="928"/>
      <c r="HC92" s="931"/>
      <c r="HD92" s="933"/>
      <c r="HE92" s="928"/>
      <c r="HG92" s="928"/>
      <c r="HH92" s="928"/>
      <c r="HI92" s="931"/>
      <c r="HJ92" s="933"/>
      <c r="HK92" s="928"/>
      <c r="HM92" s="928"/>
      <c r="HN92" s="928"/>
      <c r="HO92" s="931"/>
      <c r="HP92" s="933"/>
      <c r="HQ92" s="928"/>
      <c r="HS92" s="928"/>
      <c r="HT92" s="928"/>
      <c r="HU92" s="931"/>
      <c r="HV92" s="933"/>
      <c r="HW92" s="928"/>
      <c r="HY92" s="928"/>
      <c r="HZ92" s="928"/>
      <c r="IA92" s="931"/>
      <c r="IB92" s="933"/>
      <c r="IC92" s="928"/>
      <c r="IE92" s="928"/>
      <c r="IF92" s="928"/>
      <c r="IG92" s="931"/>
      <c r="IH92" s="933"/>
      <c r="II92" s="928"/>
      <c r="IK92" s="928"/>
      <c r="IL92" s="928"/>
      <c r="IM92" s="931"/>
      <c r="IN92" s="933"/>
      <c r="IO92" s="928"/>
      <c r="IQ92" s="928"/>
      <c r="IR92" s="928"/>
      <c r="IS92" s="931"/>
      <c r="IT92" s="933"/>
      <c r="IU92" s="928"/>
      <c r="IW92" s="928"/>
      <c r="IX92" s="928"/>
      <c r="IY92" s="931"/>
      <c r="IZ92" s="933"/>
      <c r="JA92" s="928"/>
      <c r="JC92" s="928"/>
      <c r="JD92" s="928"/>
      <c r="JE92" s="931"/>
      <c r="JF92" s="933"/>
      <c r="JG92" s="928"/>
      <c r="JI92" s="928"/>
      <c r="JJ92" s="928"/>
      <c r="JK92" s="931"/>
      <c r="JL92" s="933"/>
      <c r="JM92" s="928"/>
      <c r="JO92" s="928"/>
      <c r="JP92" s="928"/>
      <c r="JQ92" s="931"/>
      <c r="JR92" s="933"/>
      <c r="JS92" s="928"/>
      <c r="JU92" s="928"/>
      <c r="JV92" s="928"/>
      <c r="JW92" s="931"/>
      <c r="JX92" s="933"/>
      <c r="JY92" s="928"/>
      <c r="KA92" s="928"/>
      <c r="KB92" s="928"/>
      <c r="KC92" s="931"/>
      <c r="KD92" s="933"/>
      <c r="KE92" s="928"/>
      <c r="KG92" s="928"/>
      <c r="KH92" s="928"/>
      <c r="KI92" s="931"/>
      <c r="KJ92" s="933"/>
      <c r="KK92" s="928"/>
      <c r="KM92" s="928"/>
      <c r="KN92" s="928"/>
      <c r="KO92" s="931"/>
      <c r="KP92" s="933"/>
      <c r="KQ92" s="928"/>
      <c r="KS92" s="928"/>
      <c r="KT92" s="928"/>
      <c r="KU92" s="931"/>
      <c r="KV92" s="933"/>
      <c r="KW92" s="928"/>
      <c r="KY92" s="928"/>
      <c r="KZ92" s="928"/>
      <c r="LA92" s="931"/>
      <c r="LB92" s="933"/>
      <c r="LC92" s="928"/>
      <c r="LE92" s="928"/>
      <c r="LF92" s="928"/>
      <c r="LG92" s="931"/>
      <c r="LH92" s="933"/>
      <c r="LI92" s="928"/>
      <c r="LK92" s="928"/>
      <c r="LL92" s="928"/>
      <c r="LM92" s="931"/>
      <c r="LN92" s="933"/>
      <c r="LO92" s="928"/>
      <c r="LQ92" s="928"/>
      <c r="LR92" s="928"/>
      <c r="LS92" s="931"/>
      <c r="LT92" s="933"/>
      <c r="LU92" s="928"/>
      <c r="LW92" s="928"/>
      <c r="LX92" s="928"/>
      <c r="LY92" s="931"/>
      <c r="LZ92" s="933"/>
      <c r="MA92" s="928"/>
      <c r="MC92" s="928"/>
      <c r="MD92" s="928"/>
      <c r="ME92" s="931"/>
      <c r="MF92" s="933"/>
      <c r="MG92" s="928"/>
      <c r="MI92" s="928"/>
      <c r="MJ92" s="928"/>
      <c r="MK92" s="931"/>
      <c r="ML92" s="933"/>
      <c r="MM92" s="928"/>
      <c r="MO92" s="928"/>
      <c r="MP92" s="928"/>
      <c r="MQ92" s="931"/>
      <c r="MR92" s="933"/>
      <c r="MS92" s="928"/>
      <c r="MU92" s="928"/>
      <c r="MV92" s="928"/>
      <c r="MW92" s="931"/>
      <c r="MX92" s="933"/>
      <c r="MY92" s="928"/>
      <c r="NA92" s="940"/>
      <c r="NB92" s="940"/>
      <c r="NC92" s="943"/>
      <c r="ND92" s="933"/>
      <c r="NE92" s="928"/>
      <c r="NG92" s="928"/>
      <c r="NH92" s="928"/>
      <c r="NI92" s="931"/>
      <c r="NJ92" s="933"/>
      <c r="NK92" s="928"/>
      <c r="NM92" s="928"/>
      <c r="NN92" s="928"/>
      <c r="NO92" s="931"/>
      <c r="NP92" s="933"/>
      <c r="NQ92" s="928"/>
      <c r="NS92" s="928"/>
      <c r="NT92" s="928"/>
      <c r="NU92" s="931"/>
      <c r="NV92" s="933"/>
      <c r="NW92" s="928"/>
      <c r="NY92" s="928"/>
      <c r="NZ92" s="928"/>
      <c r="OA92" s="931"/>
      <c r="OB92" s="933"/>
      <c r="OC92" s="928"/>
      <c r="OE92" s="928"/>
      <c r="OF92" s="928"/>
      <c r="OG92" s="931"/>
      <c r="OH92" s="933"/>
      <c r="OI92" s="928"/>
    </row>
    <row r="93" spans="1:399">
      <c r="B93" s="109" t="s">
        <v>8</v>
      </c>
      <c r="C93" s="9" t="s">
        <v>9</v>
      </c>
      <c r="D93" s="61" t="s">
        <v>10</v>
      </c>
      <c r="E93" s="726"/>
      <c r="F93" s="45"/>
      <c r="G93" s="46"/>
      <c r="H93" s="48"/>
      <c r="I93" s="48"/>
      <c r="K93" s="45"/>
      <c r="L93" s="45"/>
      <c r="M93" s="46"/>
      <c r="N93" s="48"/>
      <c r="O93" s="48"/>
      <c r="Q93" s="45">
        <v>3000</v>
      </c>
      <c r="R93" s="45">
        <v>31.4</v>
      </c>
      <c r="S93" s="46">
        <v>5</v>
      </c>
      <c r="T93" s="48">
        <f t="shared" ref="T93:T96" si="1752">Q93/R93</f>
        <v>95.541401273885356</v>
      </c>
      <c r="U93" s="48">
        <f t="shared" ref="U93:U96" si="1753">R93/S93</f>
        <v>6.2799999999999994</v>
      </c>
      <c r="W93" s="45"/>
      <c r="X93" s="45"/>
      <c r="Y93" s="46"/>
      <c r="Z93" s="48"/>
      <c r="AA93" s="48"/>
      <c r="AC93" s="45">
        <f>700+700+600+600+600</f>
        <v>3200</v>
      </c>
      <c r="AD93" s="45">
        <f>6.5+6.2+5.8+5.5+5.4</f>
        <v>29.4</v>
      </c>
      <c r="AE93" s="46">
        <v>5</v>
      </c>
      <c r="AF93" s="48">
        <f t="shared" ref="AF93" si="1754">AC93/AD93</f>
        <v>108.84353741496599</v>
      </c>
      <c r="AG93" s="48">
        <f t="shared" ref="AG93" si="1755">AD93/AE93</f>
        <v>5.88</v>
      </c>
      <c r="AI93" s="45"/>
      <c r="AJ93" s="45"/>
      <c r="AK93" s="46"/>
      <c r="AL93" s="48"/>
      <c r="AM93" s="48"/>
      <c r="AO93" s="45"/>
      <c r="AP93" s="45"/>
      <c r="AQ93" s="46"/>
      <c r="AR93" s="48"/>
      <c r="AS93" s="48"/>
      <c r="AU93" s="45">
        <f>600+600+600+600+600</f>
        <v>3000</v>
      </c>
      <c r="AV93" s="45">
        <f>7.49+5.72+6.21+5.38+5.24</f>
        <v>30.04</v>
      </c>
      <c r="AW93" s="46">
        <v>5</v>
      </c>
      <c r="AX93" s="48">
        <f t="shared" ref="AX93:AX94" si="1756">AU93/AV93</f>
        <v>99.866844207723034</v>
      </c>
      <c r="AY93" s="48">
        <f t="shared" ref="AY93:AY94" si="1757">AV93/AW93</f>
        <v>6.008</v>
      </c>
      <c r="AZ93" s="593"/>
      <c r="BA93" s="45"/>
      <c r="BB93" s="45"/>
      <c r="BC93" s="46"/>
      <c r="BD93" s="48"/>
      <c r="BE93" s="48"/>
      <c r="BF93" s="593"/>
      <c r="BG93" s="45"/>
      <c r="BH93" s="45"/>
      <c r="BI93" s="46"/>
      <c r="BJ93" s="48"/>
      <c r="BK93" s="48"/>
      <c r="BL93" s="593"/>
      <c r="BM93" s="45"/>
      <c r="BN93" s="45"/>
      <c r="BO93" s="46"/>
      <c r="BP93" s="48"/>
      <c r="BQ93" s="48"/>
      <c r="BS93" s="45"/>
      <c r="BT93" s="45"/>
      <c r="BU93" s="46"/>
      <c r="BV93" s="48"/>
      <c r="BW93" s="48"/>
      <c r="BX93" s="593"/>
      <c r="BY93" s="45"/>
      <c r="BZ93" s="45"/>
      <c r="CA93" s="46"/>
      <c r="CB93" s="48"/>
      <c r="CC93" s="48"/>
      <c r="CD93" s="593"/>
      <c r="CE93" s="45"/>
      <c r="CF93" s="45"/>
      <c r="CG93" s="46"/>
      <c r="CH93" s="48"/>
      <c r="CI93" s="48"/>
      <c r="CJ93" s="593"/>
      <c r="CK93" s="45"/>
      <c r="CL93" s="45"/>
      <c r="CM93" s="46"/>
      <c r="CN93" s="48"/>
      <c r="CO93" s="48"/>
      <c r="CP93" s="593"/>
      <c r="CQ93" s="45">
        <f>700+700</f>
        <v>1400</v>
      </c>
      <c r="CR93" s="45">
        <f>5.7+5.43</f>
        <v>11.129999999999999</v>
      </c>
      <c r="CS93" s="46">
        <v>2</v>
      </c>
      <c r="CT93" s="48">
        <f>CQ93/CR93</f>
        <v>125.78616352201259</v>
      </c>
      <c r="CU93" s="48">
        <f t="shared" ref="CU93:CU106" si="1758">CR93/CS93</f>
        <v>5.5649999999999995</v>
      </c>
      <c r="CV93" s="593"/>
      <c r="CW93" s="45"/>
      <c r="CX93" s="45"/>
      <c r="CY93" s="46"/>
      <c r="CZ93" s="48"/>
      <c r="DA93" s="48"/>
      <c r="DB93" s="593"/>
      <c r="DC93" s="45">
        <f>600+600+600+700+700</f>
        <v>3200</v>
      </c>
      <c r="DD93" s="45">
        <f>6.81+5.86+5.73+6.77+5.08</f>
        <v>30.25</v>
      </c>
      <c r="DE93" s="46">
        <v>5</v>
      </c>
      <c r="DF93" s="48">
        <f t="shared" ref="DF93" si="1759">DC93/DD93</f>
        <v>105.78512396694215</v>
      </c>
      <c r="DG93" s="48">
        <f t="shared" ref="DG93" si="1760">DD93/DE93</f>
        <v>6.05</v>
      </c>
      <c r="DH93" s="593"/>
      <c r="DI93" s="45">
        <v>3200</v>
      </c>
      <c r="DJ93" s="45">
        <v>29.4</v>
      </c>
      <c r="DK93" s="46">
        <v>5</v>
      </c>
      <c r="DL93" s="48">
        <f t="shared" ref="DL93" si="1761">DI93/DJ93</f>
        <v>108.84353741496599</v>
      </c>
      <c r="DM93" s="48">
        <f t="shared" ref="DM93" si="1762">DJ93/DK93</f>
        <v>5.88</v>
      </c>
      <c r="DN93" s="593"/>
      <c r="DO93" s="45">
        <v>2900</v>
      </c>
      <c r="DP93" s="45">
        <v>30.89</v>
      </c>
      <c r="DQ93" s="46">
        <v>5</v>
      </c>
      <c r="DR93" s="48">
        <f t="shared" ref="DR93" si="1763">DO93/DP93</f>
        <v>93.881515053415342</v>
      </c>
      <c r="DS93" s="48">
        <f t="shared" ref="DS93" si="1764">DP93/DQ93</f>
        <v>6.1779999999999999</v>
      </c>
      <c r="DT93" s="593"/>
      <c r="DU93" s="45"/>
      <c r="DV93" s="45"/>
      <c r="DW93" s="46"/>
      <c r="DX93" s="48"/>
      <c r="DY93" s="48"/>
      <c r="DZ93" s="593"/>
      <c r="EA93" s="45"/>
      <c r="EB93" s="45"/>
      <c r="EC93" s="46"/>
      <c r="ED93" s="48"/>
      <c r="EE93" s="48"/>
      <c r="EF93" s="593"/>
      <c r="EG93" s="45"/>
      <c r="EH93" s="45"/>
      <c r="EI93" s="46"/>
      <c r="EJ93" s="48"/>
      <c r="EK93" s="48"/>
      <c r="EL93" s="593"/>
      <c r="EM93" s="45"/>
      <c r="EN93" s="45"/>
      <c r="EO93" s="46"/>
      <c r="EP93" s="48"/>
      <c r="EQ93" s="48"/>
      <c r="ES93" s="45"/>
      <c r="ET93" s="45"/>
      <c r="EU93" s="46"/>
      <c r="EV93" s="48"/>
      <c r="EW93" s="48"/>
      <c r="EY93" s="45"/>
      <c r="EZ93" s="45"/>
      <c r="FA93" s="46"/>
      <c r="FB93" s="48"/>
      <c r="FC93" s="48"/>
      <c r="FE93" s="45">
        <v>3000</v>
      </c>
      <c r="FF93" s="45">
        <v>31.4</v>
      </c>
      <c r="FG93" s="46">
        <v>5</v>
      </c>
      <c r="FH93" s="48">
        <f>FE93/FF93</f>
        <v>95.541401273885356</v>
      </c>
      <c r="FI93" s="48">
        <f>FF93/FG93</f>
        <v>6.2799999999999994</v>
      </c>
      <c r="FK93" s="38"/>
      <c r="FL93" s="40"/>
      <c r="FM93" s="38"/>
      <c r="FN93" s="40"/>
      <c r="FO93" s="40"/>
      <c r="FP93" s="231"/>
      <c r="FQ93" s="45">
        <f>500+500+500</f>
        <v>1500</v>
      </c>
      <c r="FR93" s="45">
        <f>5.48+6.17+6.93</f>
        <v>18.579999999999998</v>
      </c>
      <c r="FS93" s="45">
        <f>3</f>
        <v>3</v>
      </c>
      <c r="FT93" s="48">
        <f t="shared" ref="FT93:FU138" si="1765">FQ93/FR93</f>
        <v>80.731969860064595</v>
      </c>
      <c r="FU93" s="48">
        <f t="shared" si="1765"/>
        <v>6.1933333333333325</v>
      </c>
      <c r="FW93" s="45">
        <f>600+600+600+700+700</f>
        <v>3200</v>
      </c>
      <c r="FX93" s="45">
        <f>6.81+5.86+5.73+6.77+5.08</f>
        <v>30.25</v>
      </c>
      <c r="FY93" s="46">
        <v>5</v>
      </c>
      <c r="FZ93" s="48">
        <f t="shared" ref="FZ93:GA138" si="1766">FW93/FX93</f>
        <v>105.78512396694215</v>
      </c>
      <c r="GA93" s="48">
        <f t="shared" si="1766"/>
        <v>6.05</v>
      </c>
      <c r="GC93" s="26">
        <f>700+700+700+700+800</f>
        <v>3600</v>
      </c>
      <c r="GD93" s="45">
        <f>4.36+5.51+4.46+5.3+9.77</f>
        <v>29.400000000000002</v>
      </c>
      <c r="GE93" s="45">
        <f>5</f>
        <v>5</v>
      </c>
      <c r="GF93" s="48">
        <f t="shared" ref="GF93:GG138" si="1767">GC93/GD93</f>
        <v>122.44897959183673</v>
      </c>
      <c r="GG93" s="48">
        <f t="shared" si="1767"/>
        <v>5.8800000000000008</v>
      </c>
      <c r="GI93" s="45">
        <f>600+600+600+600+600</f>
        <v>3000</v>
      </c>
      <c r="GJ93" s="45">
        <f>5.44+6.68+6.77+6.44+6.01</f>
        <v>31.340000000000003</v>
      </c>
      <c r="GK93" s="45">
        <f>5</f>
        <v>5</v>
      </c>
      <c r="GL93" s="48">
        <f t="shared" ref="GL93:GM138" si="1768">GI93/GJ93</f>
        <v>95.724313975749837</v>
      </c>
      <c r="GM93" s="48">
        <f t="shared" si="1768"/>
        <v>6.2680000000000007</v>
      </c>
      <c r="GO93" s="45">
        <f>700+700</f>
        <v>1400</v>
      </c>
      <c r="GP93" s="45">
        <f>7.4+7.5</f>
        <v>14.9</v>
      </c>
      <c r="GQ93" s="45">
        <f>2</f>
        <v>2</v>
      </c>
      <c r="GR93" s="48">
        <f t="shared" ref="GR93:GS138" si="1769">GO93/GP93</f>
        <v>93.959731543624159</v>
      </c>
      <c r="GS93" s="48">
        <f t="shared" si="1769"/>
        <v>7.45</v>
      </c>
      <c r="GU93" s="99">
        <f>600+500</f>
        <v>1100</v>
      </c>
      <c r="GV93" s="99">
        <f>6.75+5.17</f>
        <v>11.92</v>
      </c>
      <c r="GW93" s="100">
        <v>2</v>
      </c>
      <c r="GX93" s="101">
        <f t="shared" ref="GX93:GY138" si="1770">GU93/GV93</f>
        <v>92.281879194630875</v>
      </c>
      <c r="GY93" s="101">
        <f t="shared" si="1770"/>
        <v>5.96</v>
      </c>
      <c r="GZ93" s="43"/>
      <c r="HA93" s="28">
        <f>500</f>
        <v>500</v>
      </c>
      <c r="HB93" s="28">
        <f>5.09</f>
        <v>5.09</v>
      </c>
      <c r="HC93" s="28">
        <v>1</v>
      </c>
      <c r="HD93" s="40">
        <f t="shared" ref="HD93:HE138" si="1771">HA93/HB93</f>
        <v>98.231827111984288</v>
      </c>
      <c r="HE93" s="40">
        <f t="shared" si="1771"/>
        <v>5.09</v>
      </c>
      <c r="HG93" s="45">
        <v>2900</v>
      </c>
      <c r="HH93" s="45">
        <v>30.89</v>
      </c>
      <c r="HI93" s="46">
        <v>5</v>
      </c>
      <c r="HJ93" s="48">
        <f t="shared" ref="HJ93:HK111" si="1772">HG93/HH93</f>
        <v>93.881515053415342</v>
      </c>
      <c r="HK93" s="48">
        <f t="shared" si="1772"/>
        <v>6.1779999999999999</v>
      </c>
      <c r="HM93" s="45"/>
      <c r="HN93" s="45"/>
      <c r="HO93" s="46"/>
      <c r="HP93" s="48"/>
      <c r="HQ93" s="48"/>
      <c r="HS93" s="45"/>
      <c r="HT93" s="45"/>
      <c r="HU93" s="46"/>
      <c r="HV93" s="48"/>
      <c r="HW93" s="48"/>
      <c r="HX93" s="231"/>
      <c r="HY93" s="38">
        <f>700+700+700+700+700</f>
        <v>3500</v>
      </c>
      <c r="HZ93" s="40">
        <f>5.65+4.71+4.87+4.61+5.49</f>
        <v>25.33</v>
      </c>
      <c r="IA93" s="38">
        <f>5</f>
        <v>5</v>
      </c>
      <c r="IB93" s="40">
        <f>HY93/HZ93</f>
        <v>138.17607579944732</v>
      </c>
      <c r="IC93" s="40">
        <f>HZ93/IA93</f>
        <v>5.0659999999999998</v>
      </c>
      <c r="IE93" s="38"/>
      <c r="IF93" s="40"/>
      <c r="IG93" s="38"/>
      <c r="IH93" s="40"/>
      <c r="II93" s="40"/>
      <c r="IK93" s="38">
        <f>800+800+800</f>
        <v>2400</v>
      </c>
      <c r="IL93" s="40">
        <f>5.77+5.08+6.78</f>
        <v>17.63</v>
      </c>
      <c r="IM93" s="38">
        <f>3</f>
        <v>3</v>
      </c>
      <c r="IN93" s="40">
        <f>IK93/IL93</f>
        <v>136.13159387407828</v>
      </c>
      <c r="IO93" s="40">
        <f>IL93/IM93</f>
        <v>5.876666666666666</v>
      </c>
      <c r="IQ93" s="38">
        <f>800+800+600+600+600</f>
        <v>3400</v>
      </c>
      <c r="IR93" s="40">
        <f>6.31+0.09+4.23+3.8+5.01</f>
        <v>19.439999999999998</v>
      </c>
      <c r="IS93" s="38">
        <v>5</v>
      </c>
      <c r="IT93" s="40">
        <f>IQ93/IR93</f>
        <v>174.89711934156381</v>
      </c>
      <c r="IU93" s="40">
        <f>IR93/IS93</f>
        <v>3.8879999999999995</v>
      </c>
      <c r="IW93" s="38"/>
      <c r="IX93" s="40"/>
      <c r="IY93" s="38"/>
      <c r="IZ93" s="40"/>
      <c r="JA93" s="40"/>
      <c r="JC93" s="38">
        <f>700+700+700+700+500</f>
        <v>3300</v>
      </c>
      <c r="JD93" s="40">
        <f>6.41+5.59+6.42+5.97+4.39</f>
        <v>28.78</v>
      </c>
      <c r="JE93" s="38">
        <v>5</v>
      </c>
      <c r="JF93" s="40">
        <f>JC93/JD93</f>
        <v>114.66296038915914</v>
      </c>
      <c r="JG93" s="40">
        <f>JD93/JE93</f>
        <v>5.7560000000000002</v>
      </c>
      <c r="JI93" s="38">
        <f>700+700+600+600+600</f>
        <v>3200</v>
      </c>
      <c r="JJ93" s="40">
        <f>7.26+8.42+5.53+4.65+6.08</f>
        <v>31.939999999999998</v>
      </c>
      <c r="JK93" s="38">
        <v>5</v>
      </c>
      <c r="JL93" s="40">
        <f>JI93/JJ93</f>
        <v>100.18785222291798</v>
      </c>
      <c r="JM93" s="40">
        <f>JJ93/JK93</f>
        <v>6.3879999999999999</v>
      </c>
      <c r="JO93" s="38">
        <f>600+600+600+600+600</f>
        <v>3000</v>
      </c>
      <c r="JP93" s="40">
        <f>6.33+5.68+3.99+6.99+5.88</f>
        <v>28.87</v>
      </c>
      <c r="JQ93" s="38">
        <v>5</v>
      </c>
      <c r="JR93" s="40">
        <f>JO93/JP93</f>
        <v>103.91409767925181</v>
      </c>
      <c r="JS93" s="40">
        <f>JP93/JQ93</f>
        <v>5.774</v>
      </c>
      <c r="JU93" s="38"/>
      <c r="JV93" s="40"/>
      <c r="JW93" s="38"/>
      <c r="JX93" s="40"/>
      <c r="JY93" s="40"/>
      <c r="KA93" s="38">
        <f>1000+1000+1000+1000+1000</f>
        <v>5000</v>
      </c>
      <c r="KB93" s="40">
        <f>9.77+10.83+9.74+9.6+6.99</f>
        <v>46.930000000000007</v>
      </c>
      <c r="KC93" s="38">
        <v>5</v>
      </c>
      <c r="KD93" s="40">
        <f t="shared" ref="KD93:KE93" si="1773">KA93/KB93</f>
        <v>106.54165778819517</v>
      </c>
      <c r="KE93" s="40">
        <f t="shared" si="1773"/>
        <v>9.386000000000001</v>
      </c>
      <c r="KG93" s="38">
        <f>800+800+800+800+800</f>
        <v>4000</v>
      </c>
      <c r="KH93" s="40">
        <f>9.5+7.96+6.67+7.63+8.76</f>
        <v>40.520000000000003</v>
      </c>
      <c r="KI93" s="38">
        <v>5</v>
      </c>
      <c r="KJ93" s="40">
        <f t="shared" ref="KJ93:KJ94" si="1774">KG93/KH93</f>
        <v>98.716683119447183</v>
      </c>
      <c r="KK93" s="40">
        <f t="shared" ref="KK93:KK94" si="1775">KH93/KI93</f>
        <v>8.104000000000001</v>
      </c>
      <c r="KM93" s="38">
        <f>500+500+500+500+400</f>
        <v>2400</v>
      </c>
      <c r="KN93" s="40">
        <f>6.12+6.72+6.71+6.46+5.54</f>
        <v>31.55</v>
      </c>
      <c r="KO93" s="38">
        <v>5</v>
      </c>
      <c r="KP93" s="40">
        <f t="shared" ref="KP93:KP103" si="1776">KM93/KN93</f>
        <v>76.069730586370838</v>
      </c>
      <c r="KQ93" s="40">
        <f t="shared" ref="KQ93:KQ138" si="1777">KN93/KO93</f>
        <v>6.3100000000000005</v>
      </c>
      <c r="KS93" s="38">
        <f>500+500</f>
        <v>1000</v>
      </c>
      <c r="KT93" s="40">
        <f>3.14+3.32</f>
        <v>6.46</v>
      </c>
      <c r="KU93" s="38">
        <v>2</v>
      </c>
      <c r="KV93" s="40">
        <f t="shared" ref="KV93:KV103" si="1778">KS93/KT93</f>
        <v>154.79876160990713</v>
      </c>
      <c r="KW93" s="40">
        <f t="shared" ref="KW93:KW138" si="1779">KT93/KU93</f>
        <v>3.23</v>
      </c>
      <c r="KY93" s="38"/>
      <c r="KZ93" s="40"/>
      <c r="LA93" s="38"/>
      <c r="LB93" s="40" t="e">
        <f t="shared" ref="LB93:LB103" si="1780">KY93/KZ93</f>
        <v>#DIV/0!</v>
      </c>
      <c r="LC93" s="40" t="e">
        <f t="shared" ref="LC93:LC138" si="1781">KZ93/LA93</f>
        <v>#DIV/0!</v>
      </c>
      <c r="LE93" s="38">
        <f>700+600+600</f>
        <v>1900</v>
      </c>
      <c r="LF93" s="40">
        <f>5.97+6.65+5.91</f>
        <v>18.53</v>
      </c>
      <c r="LG93" s="38">
        <v>3</v>
      </c>
      <c r="LH93" s="40">
        <f t="shared" ref="LH93:LH103" si="1782">LE93/LF93</f>
        <v>102.53642741500269</v>
      </c>
      <c r="LI93" s="40">
        <f t="shared" ref="LI93:LI138" si="1783">LF93/LG93</f>
        <v>6.1766666666666667</v>
      </c>
      <c r="LK93" s="38">
        <v>800</v>
      </c>
      <c r="LL93" s="40">
        <v>6.28</v>
      </c>
      <c r="LM93" s="38">
        <v>1</v>
      </c>
      <c r="LN93" s="40">
        <f t="shared" ref="LN93:LN103" si="1784">LK93/LL93</f>
        <v>127.38853503184713</v>
      </c>
      <c r="LO93" s="40">
        <f t="shared" ref="LO93:LO138" si="1785">LL93/LM93</f>
        <v>6.28</v>
      </c>
      <c r="LQ93" s="38">
        <f>500+500+500+500+500</f>
        <v>2500</v>
      </c>
      <c r="LR93" s="40">
        <f>4.31+3.79+3.7+4.55+3.22</f>
        <v>19.57</v>
      </c>
      <c r="LS93" s="38">
        <v>5</v>
      </c>
      <c r="LT93" s="40">
        <f t="shared" ref="LT93:LT103" si="1786">LQ93/LR93</f>
        <v>127.74655084312724</v>
      </c>
      <c r="LU93" s="40">
        <f t="shared" ref="LU93:LU138" si="1787">LR93/LS93</f>
        <v>3.9140000000000001</v>
      </c>
      <c r="LW93" s="38">
        <f>600+600+600+600+600</f>
        <v>3000</v>
      </c>
      <c r="LX93" s="40">
        <f>5.52+4.64+4.92+5.42+5.16</f>
        <v>25.66</v>
      </c>
      <c r="LY93" s="38">
        <v>5</v>
      </c>
      <c r="LZ93" s="40">
        <f t="shared" ref="LZ93:LZ103" si="1788">LW93/LX93</f>
        <v>116.91348402182385</v>
      </c>
      <c r="MA93" s="40">
        <f t="shared" ref="MA93:MA138" si="1789">LX93/LY93</f>
        <v>5.1319999999999997</v>
      </c>
      <c r="MC93" s="38">
        <f>800+800+800+800+800</f>
        <v>4000</v>
      </c>
      <c r="MD93" s="40">
        <f>16.38+16.86+7.64+16.86+7.53</f>
        <v>65.27</v>
      </c>
      <c r="ME93" s="38">
        <v>5</v>
      </c>
      <c r="MF93" s="40">
        <f t="shared" ref="MF93:MF103" si="1790">MC93/MD93</f>
        <v>61.283897655890918</v>
      </c>
      <c r="MG93" s="40">
        <f t="shared" ref="MG93:MG138" si="1791">MD93/ME93</f>
        <v>13.053999999999998</v>
      </c>
      <c r="MI93" s="38">
        <f>600+600+600+600+600</f>
        <v>3000</v>
      </c>
      <c r="MJ93" s="40">
        <f>5.19+4.64+5.16+5.92+4.79</f>
        <v>25.7</v>
      </c>
      <c r="MK93" s="38">
        <v>5</v>
      </c>
      <c r="ML93" s="40">
        <f t="shared" ref="ML93:ML103" si="1792">MI93/MJ93</f>
        <v>116.73151750972762</v>
      </c>
      <c r="MM93" s="40">
        <f t="shared" ref="MM93:MM138" si="1793">MJ93/MK93</f>
        <v>5.14</v>
      </c>
      <c r="MO93" s="38"/>
      <c r="MP93" s="40"/>
      <c r="MQ93" s="38"/>
      <c r="MR93" s="40" t="e">
        <f t="shared" ref="MR93:MR103" si="1794">MO93/MP93</f>
        <v>#DIV/0!</v>
      </c>
      <c r="MS93" s="40" t="e">
        <f t="shared" ref="MS93:MS138" si="1795">MP93/MQ93</f>
        <v>#DIV/0!</v>
      </c>
      <c r="MU93" s="38"/>
      <c r="MV93" s="40"/>
      <c r="MW93" s="38"/>
      <c r="MX93" s="40" t="e">
        <f t="shared" ref="MX93:MX103" si="1796">MU93/MV93</f>
        <v>#DIV/0!</v>
      </c>
      <c r="MY93" s="40" t="e">
        <f t="shared" ref="MY93:MY138" si="1797">MV93/MW93</f>
        <v>#DIV/0!</v>
      </c>
      <c r="NA93" s="825">
        <f>600+600+600+600+600</f>
        <v>3000</v>
      </c>
      <c r="NB93" s="826">
        <f>5.02+4.29+4.66+4.43+5.38</f>
        <v>23.779999999999998</v>
      </c>
      <c r="NC93" s="825">
        <v>5</v>
      </c>
      <c r="ND93" s="40">
        <f t="shared" ref="ND93:ND103" si="1798">NA93/NB93</f>
        <v>126.1564339781329</v>
      </c>
      <c r="NE93" s="40">
        <f t="shared" ref="NE93:NE138" si="1799">NB93/NC93</f>
        <v>4.7559999999999993</v>
      </c>
      <c r="NG93" s="825">
        <f>600+600+600+600+400</f>
        <v>2800</v>
      </c>
      <c r="NH93" s="826">
        <f>7.2+7+7.2+4.46+5.45</f>
        <v>31.31</v>
      </c>
      <c r="NI93" s="825">
        <v>5</v>
      </c>
      <c r="NJ93" s="40">
        <f t="shared" ref="NJ93:NJ103" si="1800">NG93/NH93</f>
        <v>89.428297668476532</v>
      </c>
      <c r="NK93" s="40">
        <f t="shared" ref="NK93:NK138" si="1801">NH93/NI93</f>
        <v>6.2619999999999996</v>
      </c>
      <c r="NM93" s="825">
        <f>800+800+800+800+800</f>
        <v>4000</v>
      </c>
      <c r="NN93" s="826">
        <f>7.59+8.49+6.92+6.74+6.94</f>
        <v>36.68</v>
      </c>
      <c r="NO93" s="825">
        <v>5</v>
      </c>
      <c r="NP93" s="40">
        <f t="shared" ref="NP93:NP103" si="1802">NM93/NN93</f>
        <v>109.05125408942203</v>
      </c>
      <c r="NQ93" s="40">
        <f t="shared" ref="NQ93:NQ138" si="1803">NN93/NO93</f>
        <v>7.3360000000000003</v>
      </c>
      <c r="NS93" s="825">
        <f>600+600+700+700+700</f>
        <v>3300</v>
      </c>
      <c r="NT93" s="826">
        <f>4.29+4.62+4.54+7.23+4.38</f>
        <v>25.06</v>
      </c>
      <c r="NU93" s="825">
        <v>5</v>
      </c>
      <c r="NV93" s="40">
        <f t="shared" ref="NV93:NV103" si="1804">NS93/NT93</f>
        <v>131.68395849960098</v>
      </c>
      <c r="NW93" s="40">
        <f t="shared" ref="NW93:NW138" si="1805">NT93/NU93</f>
        <v>5.0119999999999996</v>
      </c>
      <c r="NY93" s="911">
        <f>600+600+600+600+600</f>
        <v>3000</v>
      </c>
      <c r="NZ93" s="912">
        <f>6.69+7.3+7.1+7.2+7.35</f>
        <v>35.64</v>
      </c>
      <c r="OA93" s="917">
        <v>5</v>
      </c>
      <c r="OB93" s="40">
        <f t="shared" ref="OB93:OB103" si="1806">NY93/NZ93</f>
        <v>84.17508417508418</v>
      </c>
      <c r="OC93" s="40">
        <f t="shared" ref="OC93:OC138" si="1807">NZ93/OA93</f>
        <v>7.1280000000000001</v>
      </c>
      <c r="OE93" s="825">
        <f>600+600+600+600+600</f>
        <v>3000</v>
      </c>
      <c r="OF93" s="826">
        <f>6.21+4.35+5.18+5.46+5.25</f>
        <v>26.45</v>
      </c>
      <c r="OG93" s="825">
        <v>5</v>
      </c>
      <c r="OH93" s="40">
        <f t="shared" ref="OH93:OH103" si="1808">OE93/OF93</f>
        <v>113.42155009451797</v>
      </c>
      <c r="OI93" s="40">
        <f t="shared" ref="OI93:OI138" si="1809">OF93/OG93</f>
        <v>5.29</v>
      </c>
    </row>
    <row r="94" spans="1:399">
      <c r="B94" s="11"/>
      <c r="C94" s="12"/>
      <c r="D94" s="58" t="s">
        <v>11</v>
      </c>
      <c r="E94" s="726"/>
      <c r="F94" s="45"/>
      <c r="G94" s="46"/>
      <c r="H94" s="48"/>
      <c r="I94" s="48"/>
      <c r="K94" s="45"/>
      <c r="L94" s="45"/>
      <c r="M94" s="46"/>
      <c r="N94" s="48"/>
      <c r="O94" s="48"/>
      <c r="Q94" s="45">
        <v>2700</v>
      </c>
      <c r="R94" s="45">
        <v>20.950000000000003</v>
      </c>
      <c r="S94" s="46">
        <v>5</v>
      </c>
      <c r="T94" s="48">
        <f t="shared" si="1752"/>
        <v>128.87828162291169</v>
      </c>
      <c r="U94" s="48">
        <f t="shared" si="1753"/>
        <v>4.1900000000000004</v>
      </c>
      <c r="W94" s="45">
        <f>500+500+500+500+500</f>
        <v>2500</v>
      </c>
      <c r="X94" s="45">
        <f>1.7+2.53+2.28+1.89+2.71</f>
        <v>11.11</v>
      </c>
      <c r="Y94" s="46">
        <v>5</v>
      </c>
      <c r="Z94" s="48">
        <f t="shared" ref="Z94:Z96" si="1810">W94/X94</f>
        <v>225.02250225022505</v>
      </c>
      <c r="AA94" s="48">
        <f t="shared" ref="AA94:AA96" si="1811">X94/Y94</f>
        <v>2.222</v>
      </c>
      <c r="AC94" s="45">
        <f>500+600</f>
        <v>1100</v>
      </c>
      <c r="AD94" s="45">
        <f>2.8+3.5</f>
        <v>6.3</v>
      </c>
      <c r="AE94" s="46">
        <v>2</v>
      </c>
      <c r="AF94" s="48">
        <f t="shared" ref="AF94" si="1812">AC94/AD94</f>
        <v>174.60317460317461</v>
      </c>
      <c r="AG94" s="48">
        <f t="shared" ref="AG94" si="1813">AD94/AE94</f>
        <v>3.15</v>
      </c>
      <c r="AI94" s="45"/>
      <c r="AJ94" s="45"/>
      <c r="AK94" s="46"/>
      <c r="AL94" s="48"/>
      <c r="AM94" s="48"/>
      <c r="AO94" s="45"/>
      <c r="AP94" s="45"/>
      <c r="AQ94" s="46"/>
      <c r="AR94" s="48"/>
      <c r="AS94" s="48"/>
      <c r="AU94" s="45">
        <f>600+600+600+600+700</f>
        <v>3100</v>
      </c>
      <c r="AV94" s="45">
        <f>3.52+4.35+2.85+3.22+4.37</f>
        <v>18.309999999999999</v>
      </c>
      <c r="AW94" s="46">
        <v>5</v>
      </c>
      <c r="AX94" s="48">
        <f t="shared" si="1756"/>
        <v>169.30638995084655</v>
      </c>
      <c r="AY94" s="48">
        <f t="shared" si="1757"/>
        <v>3.6619999999999999</v>
      </c>
      <c r="AZ94" s="593"/>
      <c r="BA94" s="45">
        <f>500+500+500+600</f>
        <v>2100</v>
      </c>
      <c r="BB94" s="45">
        <f>3.7+3.14+3.79+2.45</f>
        <v>13.079999999999998</v>
      </c>
      <c r="BC94" s="46">
        <v>4</v>
      </c>
      <c r="BD94" s="48">
        <f t="shared" ref="BD94" si="1814">BA94/BB94</f>
        <v>160.55045871559636</v>
      </c>
      <c r="BE94" s="48">
        <f t="shared" ref="BE94" si="1815">BB94/BC94</f>
        <v>3.2699999999999996</v>
      </c>
      <c r="BF94" s="593"/>
      <c r="BG94" s="45"/>
      <c r="BH94" s="45"/>
      <c r="BI94" s="46"/>
      <c r="BJ94" s="48"/>
      <c r="BK94" s="48"/>
      <c r="BL94" s="593"/>
      <c r="BM94" s="45"/>
      <c r="BN94" s="45"/>
      <c r="BO94" s="46"/>
      <c r="BP94" s="48"/>
      <c r="BQ94" s="48"/>
      <c r="BS94" s="45"/>
      <c r="BT94" s="45"/>
      <c r="BU94" s="46"/>
      <c r="BV94" s="48"/>
      <c r="BW94" s="48"/>
      <c r="BX94" s="593"/>
      <c r="BY94" s="45">
        <f>600+600+600+600+700</f>
        <v>3100</v>
      </c>
      <c r="BZ94" s="45">
        <f>3.52+4.35+3.5+3.8+4.2</f>
        <v>19.369999999999997</v>
      </c>
      <c r="CA94" s="46">
        <v>5</v>
      </c>
      <c r="CB94" s="48">
        <f t="shared" ref="CB94" si="1816">BY94/BZ94</f>
        <v>160.04130098089831</v>
      </c>
      <c r="CC94" s="48">
        <f t="shared" ref="CC94" si="1817">BZ94/CA94</f>
        <v>3.8739999999999997</v>
      </c>
      <c r="CD94" s="593"/>
      <c r="CE94" s="45"/>
      <c r="CF94" s="45"/>
      <c r="CG94" s="46"/>
      <c r="CH94" s="48"/>
      <c r="CI94" s="48"/>
      <c r="CJ94" s="593"/>
      <c r="CK94" s="45"/>
      <c r="CL94" s="45"/>
      <c r="CM94" s="46"/>
      <c r="CN94" s="48"/>
      <c r="CO94" s="48"/>
      <c r="CP94" s="593"/>
      <c r="CQ94" s="45">
        <f>500+500+500+500+500</f>
        <v>2500</v>
      </c>
      <c r="CR94" s="45">
        <f>2.63+3.13+2.38+2.67+3.61</f>
        <v>14.42</v>
      </c>
      <c r="CS94" s="46">
        <v>5</v>
      </c>
      <c r="CT94" s="48">
        <f t="shared" ref="CT94:CT106" si="1818">CQ94/CR94</f>
        <v>173.37031900138697</v>
      </c>
      <c r="CU94" s="48">
        <f t="shared" si="1758"/>
        <v>2.8839999999999999</v>
      </c>
      <c r="CV94" s="593"/>
      <c r="CW94" s="45">
        <f>600+600+600+600+700</f>
        <v>3100</v>
      </c>
      <c r="CX94" s="45">
        <f>3.52+4.35+3.5+3.8+4.2</f>
        <v>19.369999999999997</v>
      </c>
      <c r="CY94" s="46">
        <v>5</v>
      </c>
      <c r="CZ94" s="48">
        <f t="shared" ref="CZ94" si="1819">CW94/CX94</f>
        <v>160.04130098089831</v>
      </c>
      <c r="DA94" s="48">
        <f t="shared" ref="DA94" si="1820">CX94/CY94</f>
        <v>3.8739999999999997</v>
      </c>
      <c r="DB94" s="593"/>
      <c r="DC94" s="45">
        <f>500+500+500+500</f>
        <v>2000</v>
      </c>
      <c r="DD94" s="45">
        <f>3.03+3.26+2.65+2.31</f>
        <v>11.25</v>
      </c>
      <c r="DE94" s="46">
        <v>4</v>
      </c>
      <c r="DF94" s="48">
        <f t="shared" ref="DF94:DF95" si="1821">DC94/DD94</f>
        <v>177.77777777777777</v>
      </c>
      <c r="DG94" s="48">
        <f t="shared" ref="DG94:DG95" si="1822">DD94/DE94</f>
        <v>2.8125</v>
      </c>
      <c r="DH94" s="593"/>
      <c r="DI94" s="45">
        <v>1100</v>
      </c>
      <c r="DJ94" s="45">
        <v>6.3</v>
      </c>
      <c r="DK94" s="46">
        <v>2</v>
      </c>
      <c r="DL94" s="48">
        <f t="shared" ref="DL94" si="1823">DI94/DJ94</f>
        <v>174.60317460317461</v>
      </c>
      <c r="DM94" s="48">
        <f t="shared" ref="DM94" si="1824">DJ94/DK94</f>
        <v>3.15</v>
      </c>
      <c r="DN94" s="593"/>
      <c r="DO94" s="45">
        <v>2300</v>
      </c>
      <c r="DP94" s="45">
        <v>22.54</v>
      </c>
      <c r="DQ94" s="46">
        <v>5</v>
      </c>
      <c r="DR94" s="48">
        <f t="shared" ref="DR94" si="1825">DO94/DP94</f>
        <v>102.04081632653062</v>
      </c>
      <c r="DS94" s="48">
        <f t="shared" ref="DS94" si="1826">DP94/DQ94</f>
        <v>4.508</v>
      </c>
      <c r="DT94" s="593"/>
      <c r="DU94" s="45"/>
      <c r="DV94" s="45"/>
      <c r="DW94" s="46"/>
      <c r="DX94" s="48"/>
      <c r="DY94" s="48"/>
      <c r="DZ94" s="593"/>
      <c r="EA94" s="45"/>
      <c r="EB94" s="45"/>
      <c r="EC94" s="46"/>
      <c r="ED94" s="48"/>
      <c r="EE94" s="48"/>
      <c r="EF94" s="593"/>
      <c r="EG94" s="45"/>
      <c r="EH94" s="45"/>
      <c r="EI94" s="46"/>
      <c r="EJ94" s="48"/>
      <c r="EK94" s="48"/>
      <c r="EL94" s="593"/>
      <c r="EM94" s="45"/>
      <c r="EN94" s="45"/>
      <c r="EO94" s="46"/>
      <c r="EP94" s="48"/>
      <c r="EQ94" s="48"/>
      <c r="ES94" s="45">
        <f>600+600+600+600+700</f>
        <v>3100</v>
      </c>
      <c r="ET94" s="45">
        <f>3.52+4.35+3.5+3.8+4.2</f>
        <v>19.369999999999997</v>
      </c>
      <c r="EU94" s="46">
        <v>5</v>
      </c>
      <c r="EV94" s="48">
        <f>ES94/ET94</f>
        <v>160.04130098089831</v>
      </c>
      <c r="EW94" s="48">
        <f>ET94/EU94</f>
        <v>3.8739999999999997</v>
      </c>
      <c r="EY94" s="45"/>
      <c r="EZ94" s="45"/>
      <c r="FA94" s="46"/>
      <c r="FB94" s="48"/>
      <c r="FC94" s="48"/>
      <c r="FE94" s="45">
        <v>2700</v>
      </c>
      <c r="FF94" s="45">
        <v>20.950000000000003</v>
      </c>
      <c r="FG94" s="46">
        <v>5</v>
      </c>
      <c r="FH94" s="48">
        <f t="shared" ref="FH94:FI138" si="1827">FE94/FF94</f>
        <v>128.87828162291169</v>
      </c>
      <c r="FI94" s="48">
        <f t="shared" si="1827"/>
        <v>4.1900000000000004</v>
      </c>
      <c r="FK94" s="38">
        <f>500+500+500+500+500</f>
        <v>2500</v>
      </c>
      <c r="FL94" s="40">
        <f>2.44+2.51+2.57+2.46+2.55</f>
        <v>12.530000000000001</v>
      </c>
      <c r="FM94" s="38">
        <f>5</f>
        <v>5</v>
      </c>
      <c r="FN94" s="40">
        <f>FK94/FL94</f>
        <v>199.52114924181961</v>
      </c>
      <c r="FO94" s="40">
        <f>FL94/FM94</f>
        <v>2.5060000000000002</v>
      </c>
      <c r="FP94" s="231"/>
      <c r="FQ94" s="45">
        <f>500+500+500+500+600</f>
        <v>2600</v>
      </c>
      <c r="FR94" s="27">
        <f>2.29+2.78+2.05+2.2+4.19</f>
        <v>13.510000000000002</v>
      </c>
      <c r="FS94" s="45">
        <f>5</f>
        <v>5</v>
      </c>
      <c r="FT94" s="48">
        <f t="shared" si="1765"/>
        <v>192.45003700962249</v>
      </c>
      <c r="FU94" s="48">
        <f t="shared" si="1765"/>
        <v>2.7020000000000004</v>
      </c>
      <c r="FW94" s="45">
        <f>500+500+500+500</f>
        <v>2000</v>
      </c>
      <c r="FX94" s="27">
        <f>3.03+3.26+2.65+2.31</f>
        <v>11.25</v>
      </c>
      <c r="FY94" s="46">
        <v>4</v>
      </c>
      <c r="FZ94" s="48">
        <f t="shared" si="1766"/>
        <v>177.77777777777777</v>
      </c>
      <c r="GA94" s="48">
        <f t="shared" si="1766"/>
        <v>2.8125</v>
      </c>
      <c r="GC94" s="26">
        <f>600+600+600+500+500</f>
        <v>2800</v>
      </c>
      <c r="GD94" s="45">
        <f>3.03+3.56+4.5+3.88+3.07</f>
        <v>18.04</v>
      </c>
      <c r="GE94" s="45">
        <f>5</f>
        <v>5</v>
      </c>
      <c r="GF94" s="48">
        <f t="shared" si="1767"/>
        <v>155.21064301552107</v>
      </c>
      <c r="GG94" s="48">
        <f t="shared" si="1767"/>
        <v>3.6079999999999997</v>
      </c>
      <c r="GI94" s="45">
        <f>500+500+500+500+500</f>
        <v>2500</v>
      </c>
      <c r="GJ94" s="45">
        <f>4.18+4.44+3.94+3.33+4.23</f>
        <v>20.12</v>
      </c>
      <c r="GK94" s="45">
        <f>5</f>
        <v>5</v>
      </c>
      <c r="GL94" s="48">
        <f t="shared" si="1768"/>
        <v>124.25447316103379</v>
      </c>
      <c r="GM94" s="48">
        <f t="shared" si="1768"/>
        <v>4.024</v>
      </c>
      <c r="GO94" s="45">
        <f>700+700+700+700+700</f>
        <v>3500</v>
      </c>
      <c r="GP94" s="27">
        <f>4.9+4.8+5.4+5.1+4.89</f>
        <v>25.09</v>
      </c>
      <c r="GQ94" s="45">
        <f>5</f>
        <v>5</v>
      </c>
      <c r="GR94" s="48">
        <f t="shared" si="1769"/>
        <v>139.49780789159027</v>
      </c>
      <c r="GS94" s="48">
        <f t="shared" si="1769"/>
        <v>5.0179999999999998</v>
      </c>
      <c r="GU94" s="99">
        <f>700+300+350+300+300</f>
        <v>1950</v>
      </c>
      <c r="GV94" s="99">
        <f>3.93+1.93+1.88+1.88+1.96</f>
        <v>11.580000000000002</v>
      </c>
      <c r="GW94" s="100">
        <v>5</v>
      </c>
      <c r="GX94" s="101">
        <f t="shared" si="1770"/>
        <v>168.39378238341968</v>
      </c>
      <c r="GY94" s="101">
        <f t="shared" si="1770"/>
        <v>2.3160000000000003</v>
      </c>
      <c r="GZ94" s="43"/>
      <c r="HA94" s="28">
        <f>500+700+600+600+600</f>
        <v>3000</v>
      </c>
      <c r="HB94" s="28">
        <f>7+5.13+3.46+4.02+4.29</f>
        <v>23.9</v>
      </c>
      <c r="HC94" s="28">
        <v>5</v>
      </c>
      <c r="HD94" s="40">
        <f t="shared" si="1771"/>
        <v>125.52301255230127</v>
      </c>
      <c r="HE94" s="40">
        <f t="shared" si="1771"/>
        <v>4.7799999999999994</v>
      </c>
      <c r="HG94" s="45">
        <v>2300</v>
      </c>
      <c r="HH94" s="27">
        <v>22.54</v>
      </c>
      <c r="HI94" s="46">
        <v>5</v>
      </c>
      <c r="HJ94" s="48">
        <f t="shared" si="1772"/>
        <v>102.04081632653062</v>
      </c>
      <c r="HK94" s="48">
        <f t="shared" si="1772"/>
        <v>4.508</v>
      </c>
      <c r="HM94" s="45"/>
      <c r="HN94" s="45"/>
      <c r="HO94" s="46"/>
      <c r="HP94" s="48"/>
      <c r="HQ94" s="48"/>
      <c r="HS94" s="45"/>
      <c r="HT94" s="45"/>
      <c r="HU94" s="46"/>
      <c r="HV94" s="48"/>
      <c r="HW94" s="48"/>
      <c r="HX94" s="231"/>
      <c r="HY94" s="38">
        <f>600+600+600+600+600</f>
        <v>3000</v>
      </c>
      <c r="HZ94" s="40">
        <f>3.71+3.46+3.16+3.53+4.03</f>
        <v>17.89</v>
      </c>
      <c r="IA94" s="38">
        <f>5</f>
        <v>5</v>
      </c>
      <c r="IB94" s="40">
        <f t="shared" ref="IB94:IB137" si="1828">HY94/HZ94</f>
        <v>167.69144773616546</v>
      </c>
      <c r="IC94" s="40">
        <f>HZ94/IA94</f>
        <v>3.5780000000000003</v>
      </c>
      <c r="IE94" s="38">
        <f>500+500+500+600+600</f>
        <v>2700</v>
      </c>
      <c r="IF94" s="40">
        <f>3.18+3.06+2.64+3.11+3.08</f>
        <v>15.07</v>
      </c>
      <c r="IG94" s="38">
        <f>5</f>
        <v>5</v>
      </c>
      <c r="IH94" s="40">
        <f>IE94/IF94</f>
        <v>179.16390179163901</v>
      </c>
      <c r="II94" s="40">
        <f>IF94/IG94</f>
        <v>3.0140000000000002</v>
      </c>
      <c r="IK94" s="38">
        <f>600+600+600+600+200</f>
        <v>2600</v>
      </c>
      <c r="IL94" s="40">
        <f>2.06+3.04+2.82+2.99+2.77</f>
        <v>13.68</v>
      </c>
      <c r="IM94" s="38">
        <v>5</v>
      </c>
      <c r="IN94" s="40">
        <f>IK94/IL94</f>
        <v>190.05847953216374</v>
      </c>
      <c r="IO94" s="40">
        <f>IL94/IM94</f>
        <v>2.7359999999999998</v>
      </c>
      <c r="IQ94" s="38">
        <f>600+600+600+500+500</f>
        <v>2800</v>
      </c>
      <c r="IR94" s="40">
        <f>3.86+3.86+3.86+2.89+3.22</f>
        <v>17.690000000000001</v>
      </c>
      <c r="IS94" s="38">
        <v>5</v>
      </c>
      <c r="IT94" s="40">
        <f>IQ94/IR94</f>
        <v>158.28151498021481</v>
      </c>
      <c r="IU94" s="40">
        <f>IR94/IS94</f>
        <v>3.5380000000000003</v>
      </c>
      <c r="IW94" s="38">
        <f>500+500+500+500</f>
        <v>2000</v>
      </c>
      <c r="IX94" s="40">
        <f>3.41+3.76+3.75+4.01</f>
        <v>14.93</v>
      </c>
      <c r="IY94" s="38">
        <v>4</v>
      </c>
      <c r="IZ94" s="40">
        <f>IW94/IX94</f>
        <v>133.95847287340925</v>
      </c>
      <c r="JA94" s="40">
        <f>IX94/IY94</f>
        <v>3.7324999999999999</v>
      </c>
      <c r="JC94" s="38">
        <f>500+500+600+600+700</f>
        <v>2900</v>
      </c>
      <c r="JD94" s="40">
        <f>3.17+3.14+4.66+4.81+5.23</f>
        <v>21.01</v>
      </c>
      <c r="JE94" s="38">
        <v>5</v>
      </c>
      <c r="JF94" s="40">
        <f>JC94/JD94</f>
        <v>138.02950975725844</v>
      </c>
      <c r="JG94" s="40">
        <f>JD94/JE94</f>
        <v>4.202</v>
      </c>
      <c r="JI94" s="38">
        <f>600+600+600+600+600</f>
        <v>3000</v>
      </c>
      <c r="JJ94" s="40">
        <f>3.9+3.4+3.78+3.57+3.68</f>
        <v>18.330000000000002</v>
      </c>
      <c r="JK94" s="38">
        <v>5</v>
      </c>
      <c r="JL94" s="40">
        <f>JI94/JJ94</f>
        <v>163.6661211129296</v>
      </c>
      <c r="JM94" s="40">
        <f>JJ94/JK94</f>
        <v>3.6660000000000004</v>
      </c>
      <c r="JO94" s="38">
        <f>500+500+500+500+500</f>
        <v>2500</v>
      </c>
      <c r="JP94" s="40">
        <f>3.04+2.4+2.98+3.06+2.9</f>
        <v>14.38</v>
      </c>
      <c r="JQ94" s="38">
        <v>5</v>
      </c>
      <c r="JR94" s="40">
        <f>JO94/JP94</f>
        <v>173.85257301808065</v>
      </c>
      <c r="JS94" s="40">
        <f>JP94/JQ94</f>
        <v>2.8760000000000003</v>
      </c>
      <c r="JU94" s="38">
        <f>600+600+800+600+600</f>
        <v>3200</v>
      </c>
      <c r="JV94" s="40">
        <f>2.27+2.98+7.09+3.61+3.6</f>
        <v>19.55</v>
      </c>
      <c r="JW94" s="38">
        <v>5</v>
      </c>
      <c r="JX94" s="40">
        <f>JU94/JV94</f>
        <v>163.68286445012788</v>
      </c>
      <c r="JY94" s="40">
        <f>JV94/JW94</f>
        <v>3.91</v>
      </c>
      <c r="KA94" s="38"/>
      <c r="KB94" s="40"/>
      <c r="KC94" s="38"/>
      <c r="KD94" s="40"/>
      <c r="KE94" s="40"/>
      <c r="KG94" s="38"/>
      <c r="KH94" s="40"/>
      <c r="KI94" s="38"/>
      <c r="KJ94" s="40" t="e">
        <f t="shared" si="1774"/>
        <v>#DIV/0!</v>
      </c>
      <c r="KK94" s="40" t="e">
        <f t="shared" si="1775"/>
        <v>#DIV/0!</v>
      </c>
      <c r="KM94" s="38"/>
      <c r="KN94" s="40"/>
      <c r="KO94" s="38"/>
      <c r="KP94" s="40" t="e">
        <f t="shared" si="1776"/>
        <v>#DIV/0!</v>
      </c>
      <c r="KQ94" s="40" t="e">
        <f t="shared" si="1777"/>
        <v>#DIV/0!</v>
      </c>
      <c r="KS94" s="38"/>
      <c r="KT94" s="40"/>
      <c r="KU94" s="38"/>
      <c r="KV94" s="40" t="e">
        <f t="shared" si="1778"/>
        <v>#DIV/0!</v>
      </c>
      <c r="KW94" s="40" t="e">
        <f t="shared" si="1779"/>
        <v>#DIV/0!</v>
      </c>
      <c r="KY94" s="38"/>
      <c r="KZ94" s="40"/>
      <c r="LA94" s="38"/>
      <c r="LB94" s="40" t="e">
        <f t="shared" si="1780"/>
        <v>#DIV/0!</v>
      </c>
      <c r="LC94" s="40" t="e">
        <f t="shared" si="1781"/>
        <v>#DIV/0!</v>
      </c>
      <c r="LE94" s="38"/>
      <c r="LF94" s="40"/>
      <c r="LG94" s="38"/>
      <c r="LH94" s="40" t="e">
        <f t="shared" si="1782"/>
        <v>#DIV/0!</v>
      </c>
      <c r="LI94" s="40" t="e">
        <f t="shared" si="1783"/>
        <v>#DIV/0!</v>
      </c>
      <c r="LK94" s="38"/>
      <c r="LL94" s="40"/>
      <c r="LM94" s="38"/>
      <c r="LN94" s="40" t="e">
        <f t="shared" si="1784"/>
        <v>#DIV/0!</v>
      </c>
      <c r="LO94" s="40" t="e">
        <f t="shared" si="1785"/>
        <v>#DIV/0!</v>
      </c>
      <c r="LQ94" s="38"/>
      <c r="LR94" s="40"/>
      <c r="LS94" s="38"/>
      <c r="LT94" s="40" t="e">
        <f t="shared" si="1786"/>
        <v>#DIV/0!</v>
      </c>
      <c r="LU94" s="40" t="e">
        <f t="shared" si="1787"/>
        <v>#DIV/0!</v>
      </c>
      <c r="LW94" s="38">
        <f>500+500+500+500+300</f>
        <v>2300</v>
      </c>
      <c r="LX94" s="40">
        <f>2.37+2.22+2.59+2.29+1.43</f>
        <v>10.899999999999999</v>
      </c>
      <c r="LY94" s="38">
        <v>5</v>
      </c>
      <c r="LZ94" s="40">
        <f t="shared" si="1788"/>
        <v>211.00917431192664</v>
      </c>
      <c r="MA94" s="40">
        <f t="shared" si="1789"/>
        <v>2.1799999999999997</v>
      </c>
      <c r="MC94" s="38">
        <f>500+500+500+500+500</f>
        <v>2500</v>
      </c>
      <c r="MD94" s="40">
        <f>3.53+3.37+2.79+3.73+2.9</f>
        <v>16.32</v>
      </c>
      <c r="ME94" s="38">
        <v>5</v>
      </c>
      <c r="MF94" s="40">
        <f t="shared" si="1790"/>
        <v>153.18627450980392</v>
      </c>
      <c r="MG94" s="40">
        <f t="shared" si="1791"/>
        <v>3.2640000000000002</v>
      </c>
      <c r="MI94" s="38">
        <f>400+400+400+400+400</f>
        <v>2000</v>
      </c>
      <c r="MJ94" s="40">
        <f>2.89+2.75+2.9+3.12+3.02</f>
        <v>14.68</v>
      </c>
      <c r="MK94" s="38">
        <v>5</v>
      </c>
      <c r="ML94" s="40">
        <f t="shared" si="1792"/>
        <v>136.23978201634878</v>
      </c>
      <c r="MM94" s="40">
        <f t="shared" si="1793"/>
        <v>2.9359999999999999</v>
      </c>
      <c r="MO94" s="38"/>
      <c r="MP94" s="40"/>
      <c r="MQ94" s="38"/>
      <c r="MR94" s="40" t="e">
        <f t="shared" si="1794"/>
        <v>#DIV/0!</v>
      </c>
      <c r="MS94" s="40" t="e">
        <f t="shared" si="1795"/>
        <v>#DIV/0!</v>
      </c>
      <c r="MU94" s="38"/>
      <c r="MV94" s="40"/>
      <c r="MW94" s="38"/>
      <c r="MX94" s="40" t="e">
        <f t="shared" si="1796"/>
        <v>#DIV/0!</v>
      </c>
      <c r="MY94" s="40" t="e">
        <f t="shared" si="1797"/>
        <v>#DIV/0!</v>
      </c>
      <c r="NA94" s="825"/>
      <c r="NB94" s="826"/>
      <c r="NC94" s="825"/>
      <c r="ND94" s="40" t="e">
        <f t="shared" si="1798"/>
        <v>#DIV/0!</v>
      </c>
      <c r="NE94" s="40" t="e">
        <f t="shared" si="1799"/>
        <v>#DIV/0!</v>
      </c>
      <c r="NG94" s="825"/>
      <c r="NH94" s="826"/>
      <c r="NI94" s="825"/>
      <c r="NJ94" s="40" t="e">
        <f t="shared" si="1800"/>
        <v>#DIV/0!</v>
      </c>
      <c r="NK94" s="40" t="e">
        <f t="shared" si="1801"/>
        <v>#DIV/0!</v>
      </c>
      <c r="NM94" s="825"/>
      <c r="NN94" s="825"/>
      <c r="NO94" s="825"/>
      <c r="NP94" s="40" t="e">
        <f t="shared" si="1802"/>
        <v>#DIV/0!</v>
      </c>
      <c r="NQ94" s="40" t="e">
        <f t="shared" si="1803"/>
        <v>#DIV/0!</v>
      </c>
      <c r="NS94" s="825">
        <f>400+400+500+300+300</f>
        <v>1900</v>
      </c>
      <c r="NT94" s="825">
        <f>2.15+1.88+2.08+0.95+1.03</f>
        <v>8.09</v>
      </c>
      <c r="NU94" s="825">
        <v>5</v>
      </c>
      <c r="NV94" s="40">
        <f t="shared" si="1804"/>
        <v>234.85784919653895</v>
      </c>
      <c r="NW94" s="40">
        <f t="shared" si="1805"/>
        <v>1.6179999999999999</v>
      </c>
      <c r="NY94" s="913"/>
      <c r="NZ94" s="914"/>
      <c r="OA94" s="918"/>
      <c r="OB94" s="40" t="e">
        <f t="shared" si="1806"/>
        <v>#DIV/0!</v>
      </c>
      <c r="OC94" s="40" t="e">
        <f t="shared" si="1807"/>
        <v>#DIV/0!</v>
      </c>
      <c r="OE94" s="825"/>
      <c r="OF94" s="825"/>
      <c r="OG94" s="825"/>
      <c r="OH94" s="40" t="e">
        <f t="shared" si="1808"/>
        <v>#DIV/0!</v>
      </c>
      <c r="OI94" s="40" t="e">
        <f t="shared" si="1809"/>
        <v>#DIV/0!</v>
      </c>
    </row>
    <row r="95" spans="1:399">
      <c r="B95" s="11"/>
      <c r="C95" s="12" t="s">
        <v>12</v>
      </c>
      <c r="D95" s="58" t="s">
        <v>13</v>
      </c>
      <c r="E95" s="726">
        <f>500+500+500</f>
        <v>1500</v>
      </c>
      <c r="F95" s="45">
        <f>3.04+3.47+3.12</f>
        <v>9.629999999999999</v>
      </c>
      <c r="G95" s="46">
        <v>3</v>
      </c>
      <c r="H95" s="48">
        <f>E95/F95</f>
        <v>155.76323987538942</v>
      </c>
      <c r="I95" s="48">
        <f>F95/G95</f>
        <v>3.2099999999999995</v>
      </c>
      <c r="K95" s="45"/>
      <c r="L95" s="45"/>
      <c r="M95" s="46"/>
      <c r="N95" s="48"/>
      <c r="O95" s="48"/>
      <c r="Q95" s="45">
        <v>3400</v>
      </c>
      <c r="R95" s="45">
        <v>30.3</v>
      </c>
      <c r="S95" s="46">
        <v>5</v>
      </c>
      <c r="T95" s="48">
        <f t="shared" si="1752"/>
        <v>112.21122112211221</v>
      </c>
      <c r="U95" s="48">
        <f t="shared" si="1753"/>
        <v>6.0600000000000005</v>
      </c>
      <c r="W95" s="45"/>
      <c r="X95" s="45"/>
      <c r="Y95" s="46"/>
      <c r="Z95" s="48"/>
      <c r="AA95" s="48"/>
      <c r="AC95" s="45">
        <f>600+600+500+400+500</f>
        <v>2600</v>
      </c>
      <c r="AD95" s="45">
        <f>5.4+5.2+3.8+3.5+3.6</f>
        <v>21.500000000000004</v>
      </c>
      <c r="AE95" s="46">
        <v>5</v>
      </c>
      <c r="AF95" s="48">
        <f t="shared" ref="AF95" si="1829">AC95/AD95</f>
        <v>120.93023255813951</v>
      </c>
      <c r="AG95" s="48">
        <f t="shared" ref="AG95" si="1830">AD95/AE95</f>
        <v>4.3000000000000007</v>
      </c>
      <c r="AI95" s="45"/>
      <c r="AJ95" s="45"/>
      <c r="AK95" s="46"/>
      <c r="AL95" s="48"/>
      <c r="AM95" s="48"/>
      <c r="AO95" s="45"/>
      <c r="AP95" s="45"/>
      <c r="AQ95" s="46"/>
      <c r="AR95" s="48"/>
      <c r="AS95" s="48"/>
      <c r="AU95" s="45"/>
      <c r="AV95" s="45"/>
      <c r="AW95" s="46"/>
      <c r="AX95" s="48"/>
      <c r="AY95" s="48"/>
      <c r="AZ95" s="593"/>
      <c r="BA95" s="45">
        <f>500+500</f>
        <v>1000</v>
      </c>
      <c r="BB95" s="45">
        <f>4.39+3.89</f>
        <v>8.2799999999999994</v>
      </c>
      <c r="BC95" s="46">
        <v>2</v>
      </c>
      <c r="BD95" s="48">
        <f t="shared" ref="BD95" si="1831">BA95/BB95</f>
        <v>120.77294685990339</v>
      </c>
      <c r="BE95" s="48">
        <f t="shared" ref="BE95" si="1832">BB95/BC95</f>
        <v>4.1399999999999997</v>
      </c>
      <c r="BF95" s="593"/>
      <c r="BG95" s="45"/>
      <c r="BH95" s="45"/>
      <c r="BI95" s="46"/>
      <c r="BJ95" s="48"/>
      <c r="BK95" s="48"/>
      <c r="BL95" s="593"/>
      <c r="BM95" s="45"/>
      <c r="BN95" s="45"/>
      <c r="BO95" s="46"/>
      <c r="BP95" s="48"/>
      <c r="BQ95" s="48"/>
      <c r="BS95" s="45"/>
      <c r="BT95" s="45"/>
      <c r="BU95" s="46"/>
      <c r="BV95" s="48"/>
      <c r="BW95" s="48"/>
      <c r="BX95" s="593"/>
      <c r="BY95" s="45"/>
      <c r="BZ95" s="45"/>
      <c r="CA95" s="46"/>
      <c r="CB95" s="48"/>
      <c r="CC95" s="48"/>
      <c r="CD95" s="593"/>
      <c r="CE95" s="45"/>
      <c r="CF95" s="45"/>
      <c r="CG95" s="46"/>
      <c r="CH95" s="48"/>
      <c r="CI95" s="48"/>
      <c r="CJ95" s="593"/>
      <c r="CK95" s="45">
        <v>2500</v>
      </c>
      <c r="CL95" s="45">
        <v>22.27</v>
      </c>
      <c r="CM95" s="46">
        <v>5</v>
      </c>
      <c r="CN95" s="48">
        <f t="shared" ref="CN95" si="1833">CK95/CL95</f>
        <v>112.2586439155815</v>
      </c>
      <c r="CO95" s="48">
        <f t="shared" ref="CO95" si="1834">CL95/CM95</f>
        <v>4.4539999999999997</v>
      </c>
      <c r="CP95" s="593"/>
      <c r="CQ95" s="45">
        <f>600+600+600</f>
        <v>1800</v>
      </c>
      <c r="CR95" s="45">
        <f>6.37+5.39+6.16</f>
        <v>17.920000000000002</v>
      </c>
      <c r="CS95" s="46">
        <v>3</v>
      </c>
      <c r="CT95" s="48">
        <f t="shared" si="1818"/>
        <v>100.44642857142856</v>
      </c>
      <c r="CU95" s="48">
        <f t="shared" si="1758"/>
        <v>5.9733333333333336</v>
      </c>
      <c r="CV95" s="593"/>
      <c r="CW95" s="45"/>
      <c r="CX95" s="45"/>
      <c r="CY95" s="46"/>
      <c r="CZ95" s="48"/>
      <c r="DA95" s="48"/>
      <c r="DB95" s="593"/>
      <c r="DC95" s="45">
        <f>600+500+700+600+700</f>
        <v>3100</v>
      </c>
      <c r="DD95" s="45">
        <f>5.69+3.94+6.14+4.34+7.83</f>
        <v>27.939999999999998</v>
      </c>
      <c r="DE95" s="46">
        <v>5</v>
      </c>
      <c r="DF95" s="48">
        <f t="shared" si="1821"/>
        <v>110.95204008589836</v>
      </c>
      <c r="DG95" s="48">
        <f t="shared" si="1822"/>
        <v>5.5879999999999992</v>
      </c>
      <c r="DH95" s="593"/>
      <c r="DI95" s="45">
        <v>2600</v>
      </c>
      <c r="DJ95" s="45">
        <v>21.500000000000004</v>
      </c>
      <c r="DK95" s="46">
        <v>5</v>
      </c>
      <c r="DL95" s="48">
        <f t="shared" ref="DL95" si="1835">DI95/DJ95</f>
        <v>120.93023255813951</v>
      </c>
      <c r="DM95" s="48">
        <f t="shared" ref="DM95" si="1836">DJ95/DK95</f>
        <v>4.3000000000000007</v>
      </c>
      <c r="DN95" s="593"/>
      <c r="DO95" s="45">
        <v>3400</v>
      </c>
      <c r="DP95" s="45">
        <v>28.09</v>
      </c>
      <c r="DQ95" s="46">
        <v>5</v>
      </c>
      <c r="DR95" s="48">
        <f t="shared" ref="DR95" si="1837">DO95/DP95</f>
        <v>121.03951584193663</v>
      </c>
      <c r="DS95" s="48">
        <f t="shared" ref="DS95" si="1838">DP95/DQ95</f>
        <v>5.6180000000000003</v>
      </c>
      <c r="DT95" s="593"/>
      <c r="DU95" s="45"/>
      <c r="DV95" s="45"/>
      <c r="DW95" s="46"/>
      <c r="DX95" s="48"/>
      <c r="DY95" s="48"/>
      <c r="DZ95" s="593"/>
      <c r="EA95" s="45"/>
      <c r="EB95" s="45"/>
      <c r="EC95" s="46"/>
      <c r="ED95" s="48"/>
      <c r="EE95" s="48"/>
      <c r="EF95" s="593"/>
      <c r="EG95" s="45"/>
      <c r="EH95" s="45"/>
      <c r="EI95" s="46"/>
      <c r="EJ95" s="48"/>
      <c r="EK95" s="48"/>
      <c r="EL95" s="593"/>
      <c r="EM95" s="45"/>
      <c r="EN95" s="45"/>
      <c r="EO95" s="46"/>
      <c r="EP95" s="48"/>
      <c r="EQ95" s="48"/>
      <c r="ES95" s="45"/>
      <c r="ET95" s="45"/>
      <c r="EU95" s="46"/>
      <c r="EV95" s="48"/>
      <c r="EW95" s="48"/>
      <c r="EY95" s="45"/>
      <c r="EZ95" s="45"/>
      <c r="FA95" s="46"/>
      <c r="FB95" s="48"/>
      <c r="FC95" s="48"/>
      <c r="FE95" s="45">
        <v>3400</v>
      </c>
      <c r="FF95" s="45">
        <v>30.3</v>
      </c>
      <c r="FG95" s="46">
        <v>5</v>
      </c>
      <c r="FH95" s="48">
        <f t="shared" si="1827"/>
        <v>112.21122112211221</v>
      </c>
      <c r="FI95" s="48">
        <f t="shared" si="1827"/>
        <v>6.0600000000000005</v>
      </c>
      <c r="FK95" s="38"/>
      <c r="FL95" s="40"/>
      <c r="FM95" s="38"/>
      <c r="FN95" s="40"/>
      <c r="FO95" s="40"/>
      <c r="FP95" s="231"/>
      <c r="FQ95" s="45">
        <f>600+600+600+600+600</f>
        <v>3000</v>
      </c>
      <c r="FR95" s="45">
        <f>7.65+7.62+5.12+4.96+5.14</f>
        <v>30.490000000000002</v>
      </c>
      <c r="FS95" s="45">
        <f>5</f>
        <v>5</v>
      </c>
      <c r="FT95" s="48">
        <f t="shared" si="1765"/>
        <v>98.392915710068863</v>
      </c>
      <c r="FU95" s="48">
        <f t="shared" si="1765"/>
        <v>6.0980000000000008</v>
      </c>
      <c r="FW95" s="45">
        <f>600+500+700+600+700</f>
        <v>3100</v>
      </c>
      <c r="FX95" s="45">
        <f>5.69+3.94+6.14+4.34+7.83</f>
        <v>27.939999999999998</v>
      </c>
      <c r="FY95" s="46">
        <v>5</v>
      </c>
      <c r="FZ95" s="48">
        <f t="shared" si="1766"/>
        <v>110.95204008589836</v>
      </c>
      <c r="GA95" s="48">
        <f t="shared" si="1766"/>
        <v>5.5879999999999992</v>
      </c>
      <c r="GC95" s="26"/>
      <c r="GD95" s="45"/>
      <c r="GE95" s="45"/>
      <c r="GF95" s="48"/>
      <c r="GG95" s="48"/>
      <c r="GI95" s="45">
        <f>800+600+600+600+600</f>
        <v>3200</v>
      </c>
      <c r="GJ95" s="45">
        <f>5.19+3.44+4.69+4.48+4.3</f>
        <v>22.1</v>
      </c>
      <c r="GK95" s="45">
        <f>5</f>
        <v>5</v>
      </c>
      <c r="GL95" s="48">
        <f t="shared" si="1768"/>
        <v>144.79638009049773</v>
      </c>
      <c r="GM95" s="48">
        <f t="shared" si="1768"/>
        <v>4.42</v>
      </c>
      <c r="GO95" s="45"/>
      <c r="GP95" s="45"/>
      <c r="GQ95" s="45"/>
      <c r="GR95" s="48"/>
      <c r="GS95" s="48"/>
      <c r="GU95" s="99">
        <f>600+600+300+300+300</f>
        <v>2100</v>
      </c>
      <c r="GV95" s="99">
        <f>3.69+4.03+3.64+3.43+3.34</f>
        <v>18.130000000000003</v>
      </c>
      <c r="GW95" s="100">
        <v>5</v>
      </c>
      <c r="GX95" s="101">
        <f t="shared" si="1770"/>
        <v>115.83011583011582</v>
      </c>
      <c r="GY95" s="101">
        <f t="shared" si="1770"/>
        <v>3.6260000000000003</v>
      </c>
      <c r="GZ95" s="43"/>
      <c r="HA95" s="28">
        <f>500</f>
        <v>500</v>
      </c>
      <c r="HB95" s="28">
        <f>5.55</f>
        <v>5.55</v>
      </c>
      <c r="HC95" s="28">
        <v>1</v>
      </c>
      <c r="HD95" s="40">
        <f t="shared" si="1771"/>
        <v>90.090090090090087</v>
      </c>
      <c r="HE95" s="40">
        <f t="shared" si="1771"/>
        <v>5.55</v>
      </c>
      <c r="HG95" s="45">
        <v>3400</v>
      </c>
      <c r="HH95" s="45">
        <v>28.09</v>
      </c>
      <c r="HI95" s="46">
        <v>5</v>
      </c>
      <c r="HJ95" s="48">
        <f t="shared" si="1772"/>
        <v>121.03951584193663</v>
      </c>
      <c r="HK95" s="48">
        <f t="shared" si="1772"/>
        <v>5.6180000000000003</v>
      </c>
      <c r="HM95" s="45">
        <f>500+500+500</f>
        <v>1500</v>
      </c>
      <c r="HN95" s="45">
        <f>3.04+3.47+3.12</f>
        <v>9.629999999999999</v>
      </c>
      <c r="HO95" s="46">
        <v>3</v>
      </c>
      <c r="HP95" s="48">
        <f t="shared" ref="HP95:HQ138" si="1839">HM95/HN95</f>
        <v>155.76323987538942</v>
      </c>
      <c r="HQ95" s="48">
        <f t="shared" si="1839"/>
        <v>3.2099999999999995</v>
      </c>
      <c r="HS95" s="45"/>
      <c r="HT95" s="45"/>
      <c r="HU95" s="46"/>
      <c r="HV95" s="48"/>
      <c r="HW95" s="48"/>
      <c r="HX95" s="231"/>
      <c r="HY95" s="38">
        <f>500</f>
        <v>500</v>
      </c>
      <c r="HZ95" s="40">
        <f>5.01</f>
        <v>5.01</v>
      </c>
      <c r="IA95" s="38">
        <f>1</f>
        <v>1</v>
      </c>
      <c r="IB95" s="40">
        <f t="shared" si="1828"/>
        <v>99.800399201596804</v>
      </c>
      <c r="IC95" s="40">
        <f t="shared" ref="IC95:IC137" si="1840">HZ95/IA95</f>
        <v>5.01</v>
      </c>
      <c r="IE95" s="38">
        <f>600+600+600+600+600</f>
        <v>3000</v>
      </c>
      <c r="IF95" s="40">
        <f>4.37+3.23+5.27+7.09+6.08</f>
        <v>26.04</v>
      </c>
      <c r="IG95" s="38">
        <f>5</f>
        <v>5</v>
      </c>
      <c r="IH95" s="40">
        <f t="shared" ref="IH95:IH138" si="1841">IE95/IF95</f>
        <v>115.20737327188941</v>
      </c>
      <c r="II95" s="40">
        <f t="shared" ref="II95:II138" si="1842">IF95/IG95</f>
        <v>5.2080000000000002</v>
      </c>
      <c r="IK95" s="38">
        <v>600</v>
      </c>
      <c r="IL95" s="40">
        <v>3.97</v>
      </c>
      <c r="IM95" s="38">
        <v>1</v>
      </c>
      <c r="IN95" s="40">
        <f t="shared" ref="IN95:IN97" si="1843">IK95/IL95</f>
        <v>151.13350125944584</v>
      </c>
      <c r="IO95" s="40">
        <f t="shared" ref="IO95:IO97" si="1844">IL95/IM95</f>
        <v>3.97</v>
      </c>
      <c r="IQ95" s="38">
        <f>500+500</f>
        <v>1000</v>
      </c>
      <c r="IR95" s="40">
        <f>4.49+4.8</f>
        <v>9.2899999999999991</v>
      </c>
      <c r="IS95" s="38">
        <v>2</v>
      </c>
      <c r="IT95" s="40">
        <f t="shared" ref="IT95:IT97" si="1845">IQ95/IR95</f>
        <v>107.64262648008612</v>
      </c>
      <c r="IU95" s="40">
        <f t="shared" ref="IU95:IU97" si="1846">IR95/IS95</f>
        <v>4.6449999999999996</v>
      </c>
      <c r="IW95" s="38">
        <f>600+600+600+600+600</f>
        <v>3000</v>
      </c>
      <c r="IX95" s="40">
        <f>5.22+5.44+4.87+6.06+6.24</f>
        <v>27.83</v>
      </c>
      <c r="IY95" s="38">
        <v>5</v>
      </c>
      <c r="IZ95" s="40">
        <f t="shared" ref="IZ95:IZ97" si="1847">IW95/IX95</f>
        <v>107.79734099892204</v>
      </c>
      <c r="JA95" s="40">
        <f t="shared" ref="JA95:JA97" si="1848">IX95/IY95</f>
        <v>5.5659999999999998</v>
      </c>
      <c r="JC95" s="38"/>
      <c r="JD95" s="40"/>
      <c r="JE95" s="38"/>
      <c r="JF95" s="40"/>
      <c r="JG95" s="40"/>
      <c r="JI95" s="38">
        <f>500+600+500+500+700</f>
        <v>2800</v>
      </c>
      <c r="JJ95" s="40">
        <f>3.64+6.13+3.65+4.12+5.09</f>
        <v>22.63</v>
      </c>
      <c r="JK95" s="38">
        <v>5</v>
      </c>
      <c r="JL95" s="40">
        <f t="shared" ref="JL95:JL97" si="1849">JI95/JJ95</f>
        <v>123.72956252761821</v>
      </c>
      <c r="JM95" s="40">
        <f t="shared" ref="JM95:JM97" si="1850">JJ95/JK95</f>
        <v>4.5259999999999998</v>
      </c>
      <c r="JO95" s="38"/>
      <c r="JP95" s="40"/>
      <c r="JQ95" s="38"/>
      <c r="JR95" s="40"/>
      <c r="JS95" s="40"/>
      <c r="JU95" s="38"/>
      <c r="JV95" s="40"/>
      <c r="JW95" s="38"/>
      <c r="JX95" s="40"/>
      <c r="JY95" s="40"/>
      <c r="KA95" s="38">
        <f>600+400+200+500+600</f>
        <v>2300</v>
      </c>
      <c r="KB95" s="40">
        <f>2.87+1.3+0.9+1.58+2.71</f>
        <v>9.36</v>
      </c>
      <c r="KC95" s="38">
        <v>5</v>
      </c>
      <c r="KD95" s="40">
        <f t="shared" ref="KD95:KE95" si="1851">KA95/KB95</f>
        <v>245.72649572649573</v>
      </c>
      <c r="KE95" s="40">
        <f t="shared" si="1851"/>
        <v>1.8719999999999999</v>
      </c>
      <c r="KG95" s="38"/>
      <c r="KH95" s="40"/>
      <c r="KI95" s="38"/>
      <c r="KJ95" s="40" t="e">
        <f t="shared" ref="KJ95:KJ102" si="1852">KG95/KH95</f>
        <v>#DIV/0!</v>
      </c>
      <c r="KK95" s="40" t="e">
        <f t="shared" ref="KK95:KK138" si="1853">KH95/KI95</f>
        <v>#DIV/0!</v>
      </c>
      <c r="KM95" s="38"/>
      <c r="KN95" s="40"/>
      <c r="KO95" s="38"/>
      <c r="KP95" s="40" t="e">
        <f t="shared" si="1776"/>
        <v>#DIV/0!</v>
      </c>
      <c r="KQ95" s="40" t="e">
        <f t="shared" si="1777"/>
        <v>#DIV/0!</v>
      </c>
      <c r="KS95" s="38"/>
      <c r="KT95" s="40"/>
      <c r="KU95" s="38"/>
      <c r="KV95" s="40" t="e">
        <f t="shared" si="1778"/>
        <v>#DIV/0!</v>
      </c>
      <c r="KW95" s="40" t="e">
        <f t="shared" si="1779"/>
        <v>#DIV/0!</v>
      </c>
      <c r="KY95" s="38"/>
      <c r="KZ95" s="40"/>
      <c r="LA95" s="38"/>
      <c r="LB95" s="40" t="e">
        <f t="shared" si="1780"/>
        <v>#DIV/0!</v>
      </c>
      <c r="LC95" s="40" t="e">
        <f t="shared" si="1781"/>
        <v>#DIV/0!</v>
      </c>
      <c r="LE95" s="38">
        <f>200+300+500+600+600</f>
        <v>2200</v>
      </c>
      <c r="LF95" s="40">
        <f>1.76+1.93+1.63+1.46+3.48</f>
        <v>10.26</v>
      </c>
      <c r="LG95" s="38">
        <v>5</v>
      </c>
      <c r="LH95" s="40">
        <f t="shared" si="1782"/>
        <v>214.42495126705654</v>
      </c>
      <c r="LI95" s="40">
        <f t="shared" si="1783"/>
        <v>2.052</v>
      </c>
      <c r="LK95" s="38"/>
      <c r="LL95" s="40"/>
      <c r="LM95" s="38"/>
      <c r="LN95" s="40" t="e">
        <f t="shared" si="1784"/>
        <v>#DIV/0!</v>
      </c>
      <c r="LO95" s="40" t="e">
        <f t="shared" si="1785"/>
        <v>#DIV/0!</v>
      </c>
      <c r="LQ95" s="38"/>
      <c r="LR95" s="40"/>
      <c r="LS95" s="38"/>
      <c r="LT95" s="40" t="e">
        <f t="shared" si="1786"/>
        <v>#DIV/0!</v>
      </c>
      <c r="LU95" s="40" t="e">
        <f t="shared" si="1787"/>
        <v>#DIV/0!</v>
      </c>
      <c r="LW95" s="38"/>
      <c r="LX95" s="40"/>
      <c r="LY95" s="38"/>
      <c r="LZ95" s="40" t="e">
        <f t="shared" si="1788"/>
        <v>#DIV/0!</v>
      </c>
      <c r="MA95" s="40" t="e">
        <f t="shared" si="1789"/>
        <v>#DIV/0!</v>
      </c>
      <c r="MC95" s="38"/>
      <c r="MD95" s="40"/>
      <c r="ME95" s="38"/>
      <c r="MF95" s="40" t="e">
        <f t="shared" si="1790"/>
        <v>#DIV/0!</v>
      </c>
      <c r="MG95" s="40" t="e">
        <f t="shared" si="1791"/>
        <v>#DIV/0!</v>
      </c>
      <c r="MI95" s="38">
        <f>600+600</f>
        <v>1200</v>
      </c>
      <c r="MJ95" s="40">
        <f>3.79+3.37</f>
        <v>7.16</v>
      </c>
      <c r="MK95" s="38">
        <v>2</v>
      </c>
      <c r="ML95" s="40">
        <f t="shared" si="1792"/>
        <v>167.5977653631285</v>
      </c>
      <c r="MM95" s="40">
        <f t="shared" si="1793"/>
        <v>3.58</v>
      </c>
      <c r="MO95" s="38"/>
      <c r="MP95" s="40"/>
      <c r="MQ95" s="38"/>
      <c r="MR95" s="40" t="e">
        <f t="shared" si="1794"/>
        <v>#DIV/0!</v>
      </c>
      <c r="MS95" s="40" t="e">
        <f t="shared" si="1795"/>
        <v>#DIV/0!</v>
      </c>
      <c r="MU95" s="38"/>
      <c r="MV95" s="40"/>
      <c r="MW95" s="38"/>
      <c r="MX95" s="40" t="e">
        <f t="shared" si="1796"/>
        <v>#DIV/0!</v>
      </c>
      <c r="MY95" s="40" t="e">
        <f t="shared" si="1797"/>
        <v>#DIV/0!</v>
      </c>
      <c r="NA95" s="825">
        <f>500+500+600+600+600</f>
        <v>2800</v>
      </c>
      <c r="NB95" s="826">
        <f>3.52+4.52+4.41+4.32+3.83</f>
        <v>20.6</v>
      </c>
      <c r="NC95" s="825">
        <v>5</v>
      </c>
      <c r="ND95" s="40">
        <f t="shared" si="1798"/>
        <v>135.92233009708738</v>
      </c>
      <c r="NE95" s="40">
        <f t="shared" si="1799"/>
        <v>4.12</v>
      </c>
      <c r="NG95" s="825">
        <f>1000+1000+1000+500+500</f>
        <v>4000</v>
      </c>
      <c r="NH95" s="826">
        <f>6.09+5.05+6+5+5.1</f>
        <v>27.240000000000002</v>
      </c>
      <c r="NI95" s="825">
        <v>5</v>
      </c>
      <c r="NJ95" s="40">
        <f t="shared" si="1800"/>
        <v>146.84287812041114</v>
      </c>
      <c r="NK95" s="40">
        <f t="shared" si="1801"/>
        <v>5.4480000000000004</v>
      </c>
      <c r="NM95" s="825">
        <f>250+250+400+400+400</f>
        <v>1700</v>
      </c>
      <c r="NN95" s="826">
        <f>1.11+0.88+1.29+1.61+6.64</f>
        <v>11.530000000000001</v>
      </c>
      <c r="NO95" s="825">
        <v>5</v>
      </c>
      <c r="NP95" s="40">
        <f t="shared" si="1802"/>
        <v>147.44145706851691</v>
      </c>
      <c r="NQ95" s="40">
        <f t="shared" si="1803"/>
        <v>2.306</v>
      </c>
      <c r="NS95" s="825">
        <f>500+500+500+500+500</f>
        <v>2500</v>
      </c>
      <c r="NT95" s="826">
        <f>4.35+4.76+3.36+4.53+4.6</f>
        <v>21.6</v>
      </c>
      <c r="NU95" s="825">
        <v>5</v>
      </c>
      <c r="NV95" s="40">
        <f t="shared" si="1804"/>
        <v>115.74074074074073</v>
      </c>
      <c r="NW95" s="40">
        <f t="shared" si="1805"/>
        <v>4.32</v>
      </c>
      <c r="NY95" s="913">
        <f>800+800+800+800+800</f>
        <v>4000</v>
      </c>
      <c r="NZ95" s="914">
        <f>4.69+4.4+4.5+5.01+4.35</f>
        <v>22.950000000000003</v>
      </c>
      <c r="OA95" s="918">
        <v>5</v>
      </c>
      <c r="OB95" s="40">
        <f t="shared" si="1806"/>
        <v>174.29193899782132</v>
      </c>
      <c r="OC95" s="40">
        <f t="shared" si="1807"/>
        <v>4.5900000000000007</v>
      </c>
      <c r="OE95" s="825">
        <f>200+100+300+200+200</f>
        <v>1000</v>
      </c>
      <c r="OF95" s="826">
        <f>1.22+0.81+1.41+1.29+1.39</f>
        <v>6.12</v>
      </c>
      <c r="OG95" s="825">
        <v>5</v>
      </c>
      <c r="OH95" s="40">
        <f t="shared" si="1808"/>
        <v>163.3986928104575</v>
      </c>
      <c r="OI95" s="40">
        <f t="shared" si="1809"/>
        <v>1.224</v>
      </c>
    </row>
    <row r="96" spans="1:399">
      <c r="B96" s="11"/>
      <c r="C96" s="12"/>
      <c r="D96" s="58" t="s">
        <v>14</v>
      </c>
      <c r="E96" s="726"/>
      <c r="F96" s="45"/>
      <c r="G96" s="46"/>
      <c r="H96" s="48"/>
      <c r="I96" s="48"/>
      <c r="K96" s="45"/>
      <c r="L96" s="45"/>
      <c r="M96" s="46"/>
      <c r="N96" s="48"/>
      <c r="O96" s="48"/>
      <c r="Q96" s="45">
        <v>1950</v>
      </c>
      <c r="R96" s="45">
        <v>10.55</v>
      </c>
      <c r="S96" s="46">
        <v>5</v>
      </c>
      <c r="T96" s="48">
        <f t="shared" si="1752"/>
        <v>184.83412322274881</v>
      </c>
      <c r="U96" s="48">
        <f t="shared" si="1753"/>
        <v>2.1100000000000003</v>
      </c>
      <c r="W96" s="45">
        <f>300+200+500+400+500</f>
        <v>1900</v>
      </c>
      <c r="X96" s="45">
        <f>2.3+1.58+2.35+1.1+2.2</f>
        <v>9.5300000000000011</v>
      </c>
      <c r="Y96" s="46">
        <v>5</v>
      </c>
      <c r="Z96" s="48">
        <f t="shared" si="1810"/>
        <v>199.37040923399789</v>
      </c>
      <c r="AA96" s="48">
        <f t="shared" si="1811"/>
        <v>1.9060000000000001</v>
      </c>
      <c r="AC96" s="45">
        <f>400+200+350+250+150</f>
        <v>1350</v>
      </c>
      <c r="AD96" s="45">
        <f>1.9+1.3+1.6+0.9+0.5</f>
        <v>6.2000000000000011</v>
      </c>
      <c r="AE96" s="46">
        <v>5</v>
      </c>
      <c r="AF96" s="48">
        <f t="shared" ref="AF96:AF97" si="1854">AC96/AD96</f>
        <v>217.74193548387092</v>
      </c>
      <c r="AG96" s="48">
        <f t="shared" ref="AG96:AG97" si="1855">AD96/AE96</f>
        <v>1.2400000000000002</v>
      </c>
      <c r="AI96" s="45">
        <f>100+200+300+500+600</f>
        <v>1700</v>
      </c>
      <c r="AJ96" s="45">
        <f>1.18+1.68+1.44+2.27+3.94</f>
        <v>10.51</v>
      </c>
      <c r="AK96" s="46">
        <v>5</v>
      </c>
      <c r="AL96" s="48">
        <f t="shared" ref="AL96:AL101" si="1856">AI96/AJ96</f>
        <v>161.75071360608945</v>
      </c>
      <c r="AM96" s="48">
        <f t="shared" ref="AM96:AM101" si="1857">AJ96/AK96</f>
        <v>2.1019999999999999</v>
      </c>
      <c r="AO96" s="45"/>
      <c r="AP96" s="45"/>
      <c r="AQ96" s="46"/>
      <c r="AR96" s="48"/>
      <c r="AS96" s="48"/>
      <c r="AU96" s="45">
        <f>100+250+350+400+500</f>
        <v>1600</v>
      </c>
      <c r="AV96" s="45">
        <f>1.13+1.77+1.98+2.29+1.86</f>
        <v>9.0299999999999994</v>
      </c>
      <c r="AW96" s="46">
        <v>5</v>
      </c>
      <c r="AX96" s="48">
        <f t="shared" ref="AX96:AX98" si="1858">AU96/AV96</f>
        <v>177.18715393133999</v>
      </c>
      <c r="AY96" s="48">
        <f t="shared" ref="AY96:AY98" si="1859">AV96/AW96</f>
        <v>1.8059999999999998</v>
      </c>
      <c r="AZ96" s="593"/>
      <c r="BA96" s="45"/>
      <c r="BB96" s="45"/>
      <c r="BC96" s="46"/>
      <c r="BD96" s="48"/>
      <c r="BE96" s="48"/>
      <c r="BF96" s="593"/>
      <c r="BG96" s="45"/>
      <c r="BH96" s="45"/>
      <c r="BI96" s="46"/>
      <c r="BJ96" s="48"/>
      <c r="BK96" s="48"/>
      <c r="BL96" s="593"/>
      <c r="BM96" s="45"/>
      <c r="BN96" s="45"/>
      <c r="BO96" s="46"/>
      <c r="BP96" s="48"/>
      <c r="BQ96" s="48"/>
      <c r="BS96" s="45"/>
      <c r="BT96" s="45"/>
      <c r="BU96" s="46"/>
      <c r="BV96" s="48"/>
      <c r="BW96" s="48"/>
      <c r="BX96" s="593"/>
      <c r="BY96" s="45">
        <f>100+250+350+400+500</f>
        <v>1600</v>
      </c>
      <c r="BZ96" s="45">
        <f>1.2+1.8+2.2+2.1+2</f>
        <v>9.3000000000000007</v>
      </c>
      <c r="CA96" s="46">
        <v>5</v>
      </c>
      <c r="CB96" s="48">
        <f t="shared" ref="CB96:CB97" si="1860">BY96/BZ96</f>
        <v>172.04301075268816</v>
      </c>
      <c r="CC96" s="48">
        <f t="shared" ref="CC96:CC97" si="1861">BZ96/CA96</f>
        <v>1.86</v>
      </c>
      <c r="CD96" s="593"/>
      <c r="CE96" s="45"/>
      <c r="CF96" s="45"/>
      <c r="CG96" s="46"/>
      <c r="CH96" s="48"/>
      <c r="CI96" s="48"/>
      <c r="CJ96" s="593"/>
      <c r="CK96" s="45">
        <v>2050</v>
      </c>
      <c r="CL96" s="45">
        <v>12.26</v>
      </c>
      <c r="CM96" s="46">
        <v>5</v>
      </c>
      <c r="CN96" s="48">
        <f t="shared" ref="CN96:CN97" si="1862">CK96/CL96</f>
        <v>167.21044045676999</v>
      </c>
      <c r="CO96" s="48">
        <f t="shared" ref="CO96:CO97" si="1863">CL96/CM96</f>
        <v>2.452</v>
      </c>
      <c r="CP96" s="593"/>
      <c r="CQ96" s="45">
        <f>450+200+200+600+500</f>
        <v>1950</v>
      </c>
      <c r="CR96" s="45">
        <f>2.58+1.24+1.63+3.42+2.6</f>
        <v>11.47</v>
      </c>
      <c r="CS96" s="46">
        <v>5</v>
      </c>
      <c r="CT96" s="48">
        <f t="shared" si="1818"/>
        <v>170.00871839581515</v>
      </c>
      <c r="CU96" s="48">
        <f t="shared" si="1758"/>
        <v>2.294</v>
      </c>
      <c r="CV96" s="593"/>
      <c r="CW96" s="45">
        <f>100+250+350+400+500</f>
        <v>1600</v>
      </c>
      <c r="CX96" s="45">
        <f>1.2+1.8+2.2+2.1+2</f>
        <v>9.3000000000000007</v>
      </c>
      <c r="CY96" s="46">
        <v>5</v>
      </c>
      <c r="CZ96" s="48">
        <f t="shared" ref="CZ96:CZ97" si="1864">CW96/CX96</f>
        <v>172.04301075268816</v>
      </c>
      <c r="DA96" s="48">
        <f t="shared" ref="DA96:DA97" si="1865">CX96/CY96</f>
        <v>1.86</v>
      </c>
      <c r="DB96" s="593"/>
      <c r="DC96" s="45">
        <f>500+500+200+200+100</f>
        <v>1500</v>
      </c>
      <c r="DD96" s="45">
        <f>2.75+3.23+1.83+1.51+1.28</f>
        <v>10.6</v>
      </c>
      <c r="DE96" s="46">
        <v>5</v>
      </c>
      <c r="DF96" s="48">
        <f t="shared" ref="DF96:DF97" si="1866">DC96/DD96</f>
        <v>141.50943396226415</v>
      </c>
      <c r="DG96" s="48">
        <f t="shared" ref="DG96:DG97" si="1867">DD96/DE96</f>
        <v>2.12</v>
      </c>
      <c r="DH96" s="593"/>
      <c r="DI96" s="45">
        <v>1350</v>
      </c>
      <c r="DJ96" s="45">
        <v>6.2000000000000011</v>
      </c>
      <c r="DK96" s="46">
        <v>5</v>
      </c>
      <c r="DL96" s="48">
        <f t="shared" ref="DL96:DL97" si="1868">DI96/DJ96</f>
        <v>217.74193548387092</v>
      </c>
      <c r="DM96" s="48">
        <f t="shared" ref="DM96:DM97" si="1869">DJ96/DK96</f>
        <v>1.2400000000000002</v>
      </c>
      <c r="DN96" s="593"/>
      <c r="DO96" s="45">
        <v>1050</v>
      </c>
      <c r="DP96" s="45">
        <v>6.81</v>
      </c>
      <c r="DQ96" s="46">
        <v>5</v>
      </c>
      <c r="DR96" s="48">
        <f t="shared" ref="DR96:DR97" si="1870">DO96/DP96</f>
        <v>154.18502202643174</v>
      </c>
      <c r="DS96" s="48">
        <f t="shared" ref="DS96:DS97" si="1871">DP96/DQ96</f>
        <v>1.3619999999999999</v>
      </c>
      <c r="DT96" s="593"/>
      <c r="DU96" s="45"/>
      <c r="DV96" s="45"/>
      <c r="DW96" s="46"/>
      <c r="DX96" s="48"/>
      <c r="DY96" s="48"/>
      <c r="DZ96" s="593"/>
      <c r="EA96" s="45"/>
      <c r="EB96" s="45"/>
      <c r="EC96" s="46"/>
      <c r="ED96" s="48"/>
      <c r="EE96" s="48"/>
      <c r="EF96" s="593"/>
      <c r="EG96" s="45"/>
      <c r="EH96" s="45"/>
      <c r="EI96" s="46"/>
      <c r="EJ96" s="48"/>
      <c r="EK96" s="48"/>
      <c r="EL96" s="593"/>
      <c r="EM96" s="45"/>
      <c r="EN96" s="45"/>
      <c r="EO96" s="46"/>
      <c r="EP96" s="48"/>
      <c r="EQ96" s="48"/>
      <c r="ES96" s="45">
        <f>100+250+350+400+500</f>
        <v>1600</v>
      </c>
      <c r="ET96" s="45">
        <f>1.2+1.8+2.2+2.1+2</f>
        <v>9.3000000000000007</v>
      </c>
      <c r="EU96" s="46">
        <v>5</v>
      </c>
      <c r="EV96" s="48">
        <f>ES96/ET96</f>
        <v>172.04301075268816</v>
      </c>
      <c r="EW96" s="48">
        <f>ET96/EU96</f>
        <v>1.86</v>
      </c>
      <c r="EY96" s="45">
        <v>2500</v>
      </c>
      <c r="EZ96" s="45">
        <v>55.49</v>
      </c>
      <c r="FA96" s="45">
        <v>5</v>
      </c>
      <c r="FB96" s="48">
        <f t="shared" ref="FB96:FC96" si="1872">EY96/EZ96</f>
        <v>45.053162732023786</v>
      </c>
      <c r="FC96" s="48">
        <f t="shared" si="1872"/>
        <v>11.098000000000001</v>
      </c>
      <c r="FE96" s="45">
        <v>1950</v>
      </c>
      <c r="FF96" s="45">
        <v>10.55</v>
      </c>
      <c r="FG96" s="46">
        <v>5</v>
      </c>
      <c r="FH96" s="48">
        <f t="shared" si="1827"/>
        <v>184.83412322274881</v>
      </c>
      <c r="FI96" s="48">
        <f t="shared" si="1827"/>
        <v>2.1100000000000003</v>
      </c>
      <c r="FK96" s="38">
        <f>500+500+400+400+400</f>
        <v>2200</v>
      </c>
      <c r="FL96" s="40">
        <f>4.84+6.52+6.72+5.28+5.84</f>
        <v>29.2</v>
      </c>
      <c r="FM96" s="38">
        <f>5</f>
        <v>5</v>
      </c>
      <c r="FN96" s="40">
        <f>FK96/FL96</f>
        <v>75.342465753424662</v>
      </c>
      <c r="FO96" s="40">
        <f t="shared" ref="FO96" si="1873">FL96/FM96</f>
        <v>5.84</v>
      </c>
      <c r="FP96" s="231"/>
      <c r="FQ96" s="45">
        <f>500+700+200+150+300</f>
        <v>1850</v>
      </c>
      <c r="FR96" s="45">
        <f>2.28+2.95+1.42+0.94+1.88</f>
        <v>9.4699999999999989</v>
      </c>
      <c r="FS96" s="45">
        <f>5</f>
        <v>5</v>
      </c>
      <c r="FT96" s="48">
        <f t="shared" si="1765"/>
        <v>195.35374868004226</v>
      </c>
      <c r="FU96" s="48">
        <f t="shared" si="1765"/>
        <v>1.8939999999999997</v>
      </c>
      <c r="FW96" s="45">
        <f>500+500+200+200+100</f>
        <v>1500</v>
      </c>
      <c r="FX96" s="45">
        <f>2.75+3.23+1.83+1.51+1.28</f>
        <v>10.6</v>
      </c>
      <c r="FY96" s="46">
        <v>5</v>
      </c>
      <c r="FZ96" s="48">
        <f t="shared" si="1766"/>
        <v>141.50943396226415</v>
      </c>
      <c r="GA96" s="48">
        <f t="shared" si="1766"/>
        <v>2.12</v>
      </c>
      <c r="GC96" s="26">
        <f>500+350+200+400+450</f>
        <v>1900</v>
      </c>
      <c r="GD96" s="45">
        <f>2.33+1.31+1.49+1.95+2.3</f>
        <v>9.379999999999999</v>
      </c>
      <c r="GE96" s="45">
        <f>5</f>
        <v>5</v>
      </c>
      <c r="GF96" s="48">
        <f t="shared" si="1767"/>
        <v>202.5586353944563</v>
      </c>
      <c r="GG96" s="48">
        <f t="shared" si="1767"/>
        <v>1.8759999999999999</v>
      </c>
      <c r="GI96" s="45">
        <f>200+200+200+200+200</f>
        <v>1000</v>
      </c>
      <c r="GJ96" s="45">
        <f>1.04+1.04+1.04+1.04+1.04</f>
        <v>5.2</v>
      </c>
      <c r="GK96" s="45">
        <f>5</f>
        <v>5</v>
      </c>
      <c r="GL96" s="48">
        <f t="shared" si="1768"/>
        <v>192.30769230769229</v>
      </c>
      <c r="GM96" s="48">
        <f t="shared" si="1768"/>
        <v>1.04</v>
      </c>
      <c r="GO96" s="45">
        <f>150+250+500+400+300</f>
        <v>1600</v>
      </c>
      <c r="GP96" s="45">
        <f>1.7+1.79+1.67+1.67+0.82</f>
        <v>7.65</v>
      </c>
      <c r="GQ96" s="45">
        <f>5</f>
        <v>5</v>
      </c>
      <c r="GR96" s="48">
        <f t="shared" si="1769"/>
        <v>209.15032679738562</v>
      </c>
      <c r="GS96" s="48">
        <f t="shared" si="1769"/>
        <v>1.53</v>
      </c>
      <c r="GU96" s="99"/>
      <c r="GV96" s="99"/>
      <c r="GW96" s="100"/>
      <c r="GX96" s="101"/>
      <c r="GY96" s="101"/>
      <c r="GZ96" s="43"/>
      <c r="HA96" s="28">
        <f>300+150+200+500+700</f>
        <v>1850</v>
      </c>
      <c r="HB96" s="28">
        <f>1.44+0.94+1.29+2.09+3.31</f>
        <v>9.07</v>
      </c>
      <c r="HC96" s="28">
        <v>5</v>
      </c>
      <c r="HD96" s="40">
        <f t="shared" si="1771"/>
        <v>203.96912899669238</v>
      </c>
      <c r="HE96" s="40">
        <f t="shared" si="1771"/>
        <v>1.8140000000000001</v>
      </c>
      <c r="HG96" s="45">
        <v>1050</v>
      </c>
      <c r="HH96" s="45">
        <v>6.81</v>
      </c>
      <c r="HI96" s="46">
        <v>5</v>
      </c>
      <c r="HJ96" s="48">
        <f t="shared" si="1772"/>
        <v>154.18502202643174</v>
      </c>
      <c r="HK96" s="48">
        <f t="shared" si="1772"/>
        <v>1.3619999999999999</v>
      </c>
      <c r="HM96" s="45"/>
      <c r="HN96" s="45"/>
      <c r="HO96" s="46"/>
      <c r="HP96" s="48"/>
      <c r="HQ96" s="48"/>
      <c r="HS96" s="45"/>
      <c r="HT96" s="45"/>
      <c r="HU96" s="46"/>
      <c r="HV96" s="48"/>
      <c r="HW96" s="48"/>
      <c r="HX96" s="231"/>
      <c r="HY96" s="38">
        <f>500+300+400+250+600</f>
        <v>2050</v>
      </c>
      <c r="HZ96" s="40">
        <f>2.64+1.58+1.14+0.67+2.4</f>
        <v>8.43</v>
      </c>
      <c r="IA96" s="38">
        <f>5</f>
        <v>5</v>
      </c>
      <c r="IB96" s="40">
        <f t="shared" si="1828"/>
        <v>243.17912218268091</v>
      </c>
      <c r="IC96" s="40">
        <f t="shared" si="1840"/>
        <v>1.6859999999999999</v>
      </c>
      <c r="IE96" s="38">
        <f>700+300+200+500+600</f>
        <v>2300</v>
      </c>
      <c r="IF96" s="40">
        <f>4.45+1.26+0.85+1.81+2.59</f>
        <v>10.959999999999999</v>
      </c>
      <c r="IG96" s="38">
        <f>5</f>
        <v>5</v>
      </c>
      <c r="IH96" s="40">
        <f t="shared" si="1841"/>
        <v>209.85401459854018</v>
      </c>
      <c r="II96" s="40">
        <f t="shared" si="1842"/>
        <v>2.1919999999999997</v>
      </c>
      <c r="IK96" s="38">
        <f>600+500+300+200+600+700</f>
        <v>2900</v>
      </c>
      <c r="IL96" s="40">
        <f>1.11+1.68+1.05+0.79+2.28+2.42</f>
        <v>9.33</v>
      </c>
      <c r="IM96" s="38">
        <v>6</v>
      </c>
      <c r="IN96" s="40">
        <f t="shared" si="1843"/>
        <v>310.82529474812435</v>
      </c>
      <c r="IO96" s="40">
        <f t="shared" si="1844"/>
        <v>1.5549999999999999</v>
      </c>
      <c r="IQ96" s="38">
        <f>250+250+150+500+500</f>
        <v>1650</v>
      </c>
      <c r="IR96" s="40">
        <f>1.18+1.44+0.74+1.73+1.4</f>
        <v>6.49</v>
      </c>
      <c r="IS96" s="38">
        <v>5</v>
      </c>
      <c r="IT96" s="40">
        <f t="shared" si="1845"/>
        <v>254.23728813559322</v>
      </c>
      <c r="IU96" s="40">
        <f t="shared" si="1846"/>
        <v>1.298</v>
      </c>
      <c r="IW96" s="38">
        <f>400+300+200+500+300</f>
        <v>1700</v>
      </c>
      <c r="IX96" s="40">
        <f>2.1+1.73+1.14+1.56+1.41</f>
        <v>7.9399999999999995</v>
      </c>
      <c r="IY96" s="38">
        <v>5</v>
      </c>
      <c r="IZ96" s="40">
        <f t="shared" si="1847"/>
        <v>214.10579345088163</v>
      </c>
      <c r="JA96" s="40">
        <f t="shared" si="1848"/>
        <v>1.5879999999999999</v>
      </c>
      <c r="JC96" s="38">
        <f>500+300+200+100+50</f>
        <v>1150</v>
      </c>
      <c r="JD96" s="40">
        <f>2.58+0.7+1.04+0.77+0.35</f>
        <v>5.4399999999999995</v>
      </c>
      <c r="JE96" s="38">
        <f>5</f>
        <v>5</v>
      </c>
      <c r="JF96" s="40">
        <f t="shared" ref="JF96:JF97" si="1874">JC96/JD96</f>
        <v>211.39705882352942</v>
      </c>
      <c r="JG96" s="40">
        <f t="shared" ref="JG96:JG97" si="1875">JD96/JE96</f>
        <v>1.0879999999999999</v>
      </c>
      <c r="JI96" s="38"/>
      <c r="JJ96" s="40"/>
      <c r="JK96" s="38"/>
      <c r="JL96" s="40"/>
      <c r="JM96" s="40"/>
      <c r="JO96" s="38">
        <f>100+200+400+300+500</f>
        <v>1500</v>
      </c>
      <c r="JP96" s="40">
        <f>0.8+1.31+1.96+1.74+2.03</f>
        <v>7.84</v>
      </c>
      <c r="JQ96" s="38">
        <v>5</v>
      </c>
      <c r="JR96" s="40">
        <f t="shared" ref="JR96:JR97" si="1876">JO96/JP96</f>
        <v>191.32653061224491</v>
      </c>
      <c r="JS96" s="40">
        <f t="shared" ref="JS96:JS97" si="1877">JP96/JQ96</f>
        <v>1.5680000000000001</v>
      </c>
      <c r="JU96" s="38">
        <f>500+400+700+300+1500</f>
        <v>3400</v>
      </c>
      <c r="JV96" s="40">
        <f>6.23+5.48+6.91+4.23+9.82</f>
        <v>32.67</v>
      </c>
      <c r="JW96" s="38">
        <v>5</v>
      </c>
      <c r="JX96" s="40">
        <f t="shared" ref="JX96:JX97" si="1878">JU96/JV96</f>
        <v>104.07101316192225</v>
      </c>
      <c r="JY96" s="40">
        <f t="shared" ref="JY96:JY97" si="1879">JV96/JW96</f>
        <v>6.5340000000000007</v>
      </c>
      <c r="KA96" s="38"/>
      <c r="KB96" s="40"/>
      <c r="KC96" s="38"/>
      <c r="KD96" s="40"/>
      <c r="KE96" s="40"/>
      <c r="KG96" s="38">
        <f>700+800+900+800+700</f>
        <v>3900</v>
      </c>
      <c r="KH96" s="40">
        <f>3.17+3.12+4.65+2.91+3.06</f>
        <v>16.91</v>
      </c>
      <c r="KI96" s="38">
        <v>5</v>
      </c>
      <c r="KJ96" s="40">
        <f t="shared" si="1852"/>
        <v>230.63276167947959</v>
      </c>
      <c r="KK96" s="40">
        <f t="shared" si="1853"/>
        <v>3.3820000000000001</v>
      </c>
      <c r="KM96" s="38">
        <f>500+500+500+500+500</f>
        <v>2500</v>
      </c>
      <c r="KN96" s="40">
        <f>8.46+9.28+10.21+10.13+9.24</f>
        <v>47.320000000000007</v>
      </c>
      <c r="KO96" s="38">
        <v>5</v>
      </c>
      <c r="KP96" s="40">
        <f t="shared" si="1776"/>
        <v>52.831783601014365</v>
      </c>
      <c r="KQ96" s="40">
        <f t="shared" si="1777"/>
        <v>9.4640000000000022</v>
      </c>
      <c r="KS96" s="38">
        <f>700+700+400+400+1000</f>
        <v>3200</v>
      </c>
      <c r="KT96" s="40">
        <f>2.45+2.65+1.47+1.39+4.2</f>
        <v>12.16</v>
      </c>
      <c r="KU96" s="38">
        <v>5</v>
      </c>
      <c r="KV96" s="40">
        <f t="shared" si="1778"/>
        <v>263.15789473684208</v>
      </c>
      <c r="KW96" s="40">
        <f t="shared" si="1779"/>
        <v>2.4319999999999999</v>
      </c>
      <c r="KY96" s="38"/>
      <c r="KZ96" s="40"/>
      <c r="LA96" s="38"/>
      <c r="LB96" s="40" t="e">
        <f t="shared" si="1780"/>
        <v>#DIV/0!</v>
      </c>
      <c r="LC96" s="40" t="e">
        <f t="shared" si="1781"/>
        <v>#DIV/0!</v>
      </c>
      <c r="LE96" s="38"/>
      <c r="LF96" s="40"/>
      <c r="LG96" s="38"/>
      <c r="LH96" s="40" t="e">
        <f t="shared" si="1782"/>
        <v>#DIV/0!</v>
      </c>
      <c r="LI96" s="40" t="e">
        <f t="shared" si="1783"/>
        <v>#DIV/0!</v>
      </c>
      <c r="LK96" s="38"/>
      <c r="LL96" s="40"/>
      <c r="LM96" s="38"/>
      <c r="LN96" s="40" t="e">
        <f t="shared" si="1784"/>
        <v>#DIV/0!</v>
      </c>
      <c r="LO96" s="40" t="e">
        <f t="shared" si="1785"/>
        <v>#DIV/0!</v>
      </c>
      <c r="LQ96" s="38"/>
      <c r="LR96" s="40"/>
      <c r="LS96" s="38"/>
      <c r="LT96" s="40" t="e">
        <f t="shared" si="1786"/>
        <v>#DIV/0!</v>
      </c>
      <c r="LU96" s="40" t="e">
        <f t="shared" si="1787"/>
        <v>#DIV/0!</v>
      </c>
      <c r="LW96" s="38"/>
      <c r="LX96" s="40"/>
      <c r="LY96" s="38"/>
      <c r="LZ96" s="40" t="e">
        <f t="shared" si="1788"/>
        <v>#DIV/0!</v>
      </c>
      <c r="MA96" s="40" t="e">
        <f t="shared" si="1789"/>
        <v>#DIV/0!</v>
      </c>
      <c r="MC96" s="38">
        <f>300+300+500+500+500</f>
        <v>2100</v>
      </c>
      <c r="MD96" s="40">
        <f>0.85+0.11+1.02+0.76+4.04</f>
        <v>6.78</v>
      </c>
      <c r="ME96" s="38">
        <v>5</v>
      </c>
      <c r="MF96" s="40">
        <f t="shared" si="1790"/>
        <v>309.73451327433628</v>
      </c>
      <c r="MG96" s="40">
        <f t="shared" si="1791"/>
        <v>1.3560000000000001</v>
      </c>
      <c r="MI96" s="38"/>
      <c r="MJ96" s="40"/>
      <c r="MK96" s="38"/>
      <c r="ML96" s="40" t="e">
        <f t="shared" si="1792"/>
        <v>#DIV/0!</v>
      </c>
      <c r="MM96" s="40" t="e">
        <f t="shared" si="1793"/>
        <v>#DIV/0!</v>
      </c>
      <c r="MO96" s="38"/>
      <c r="MP96" s="40"/>
      <c r="MQ96" s="38"/>
      <c r="MR96" s="40" t="e">
        <f t="shared" si="1794"/>
        <v>#DIV/0!</v>
      </c>
      <c r="MS96" s="40" t="e">
        <f t="shared" si="1795"/>
        <v>#DIV/0!</v>
      </c>
      <c r="MU96" s="38"/>
      <c r="MV96" s="40"/>
      <c r="MW96" s="38"/>
      <c r="MX96" s="40" t="e">
        <f t="shared" si="1796"/>
        <v>#DIV/0!</v>
      </c>
      <c r="MY96" s="40" t="e">
        <f t="shared" si="1797"/>
        <v>#DIV/0!</v>
      </c>
      <c r="NA96" s="825">
        <f>300+500+500+800+700</f>
        <v>2800</v>
      </c>
      <c r="NB96" s="826">
        <f>1.49+2.44+2.72+3.02+2.37</f>
        <v>12.04</v>
      </c>
      <c r="NC96" s="825">
        <v>5</v>
      </c>
      <c r="ND96" s="40">
        <f t="shared" si="1798"/>
        <v>232.55813953488374</v>
      </c>
      <c r="NE96" s="40">
        <f t="shared" si="1799"/>
        <v>2.4079999999999999</v>
      </c>
      <c r="NG96" s="825">
        <f>500+400+300+150+400</f>
        <v>1750</v>
      </c>
      <c r="NH96" s="826">
        <f>1.5+1.26+1.2+0.76+1.3</f>
        <v>6.02</v>
      </c>
      <c r="NI96" s="825">
        <v>5</v>
      </c>
      <c r="NJ96" s="40">
        <f t="shared" si="1800"/>
        <v>290.69767441860466</v>
      </c>
      <c r="NK96" s="40">
        <f t="shared" si="1801"/>
        <v>1.204</v>
      </c>
      <c r="NM96" s="825"/>
      <c r="NN96" s="825"/>
      <c r="NO96" s="825"/>
      <c r="NP96" s="40" t="e">
        <f t="shared" si="1802"/>
        <v>#DIV/0!</v>
      </c>
      <c r="NQ96" s="40" t="e">
        <f t="shared" si="1803"/>
        <v>#DIV/0!</v>
      </c>
      <c r="NS96" s="825"/>
      <c r="NT96" s="825"/>
      <c r="NU96" s="825"/>
      <c r="NV96" s="40" t="e">
        <f t="shared" si="1804"/>
        <v>#DIV/0!</v>
      </c>
      <c r="NW96" s="40" t="e">
        <f t="shared" si="1805"/>
        <v>#DIV/0!</v>
      </c>
      <c r="NY96" s="913"/>
      <c r="NZ96" s="914"/>
      <c r="OA96" s="918"/>
      <c r="OB96" s="40" t="e">
        <f t="shared" si="1806"/>
        <v>#DIV/0!</v>
      </c>
      <c r="OC96" s="40" t="e">
        <f t="shared" si="1807"/>
        <v>#DIV/0!</v>
      </c>
      <c r="OE96" s="825"/>
      <c r="OF96" s="825"/>
      <c r="OG96" s="825"/>
      <c r="OH96" s="40" t="e">
        <f t="shared" si="1808"/>
        <v>#DIV/0!</v>
      </c>
      <c r="OI96" s="40" t="e">
        <f t="shared" si="1809"/>
        <v>#DIV/0!</v>
      </c>
    </row>
    <row r="97" spans="2:399">
      <c r="B97" s="11"/>
      <c r="C97" s="12" t="s">
        <v>15</v>
      </c>
      <c r="D97" s="58" t="s">
        <v>16</v>
      </c>
      <c r="E97" s="726">
        <f>500+500+500+700</f>
        <v>2200</v>
      </c>
      <c r="F97" s="45">
        <f>12.19+14.2+4.2+11.68</f>
        <v>42.269999999999996</v>
      </c>
      <c r="G97" s="46">
        <v>4</v>
      </c>
      <c r="H97" s="48">
        <f t="shared" ref="H97" si="1880">E97/F97</f>
        <v>52.046368582919335</v>
      </c>
      <c r="I97" s="48">
        <f t="shared" ref="I97" si="1881">F97/G97</f>
        <v>10.567499999999999</v>
      </c>
      <c r="K97" s="45">
        <f>400+500+500</f>
        <v>1400</v>
      </c>
      <c r="L97" s="45">
        <f>8.5+9.6+5.8+10.6+8.7</f>
        <v>43.2</v>
      </c>
      <c r="M97" s="46">
        <v>5</v>
      </c>
      <c r="N97" s="48">
        <f t="shared" ref="N97:N101" si="1882">K97/L97</f>
        <v>32.407407407407405</v>
      </c>
      <c r="O97" s="48">
        <f t="shared" ref="O97:O101" si="1883">L97/M97</f>
        <v>8.64</v>
      </c>
      <c r="Q97" s="45">
        <v>2800</v>
      </c>
      <c r="R97" s="45">
        <v>48.25</v>
      </c>
      <c r="S97" s="46">
        <v>5</v>
      </c>
      <c r="T97" s="48">
        <f t="shared" ref="T97" si="1884">Q97/R97</f>
        <v>58.031088082901555</v>
      </c>
      <c r="U97" s="48">
        <f t="shared" ref="U97" si="1885">R97/S97</f>
        <v>9.65</v>
      </c>
      <c r="W97" s="45">
        <f>500+500+600+600+400</f>
        <v>2600</v>
      </c>
      <c r="X97" s="45">
        <f>7.61+7.6+7.9+8.89+9.76</f>
        <v>41.76</v>
      </c>
      <c r="Y97" s="46">
        <v>5</v>
      </c>
      <c r="Z97" s="48">
        <f t="shared" ref="Z97" si="1886">W97/X97</f>
        <v>62.260536398467437</v>
      </c>
      <c r="AA97" s="48">
        <f t="shared" ref="AA97" si="1887">X97/Y97</f>
        <v>8.3520000000000003</v>
      </c>
      <c r="AC97" s="45">
        <f>500+500+500+500</f>
        <v>2000</v>
      </c>
      <c r="AD97" s="45">
        <f>7.2+7.3+7.6+7.5</f>
        <v>29.6</v>
      </c>
      <c r="AE97" s="46">
        <v>4</v>
      </c>
      <c r="AF97" s="48">
        <f t="shared" si="1854"/>
        <v>67.567567567567565</v>
      </c>
      <c r="AG97" s="48">
        <f t="shared" si="1855"/>
        <v>7.4</v>
      </c>
      <c r="AI97" s="45">
        <f>500+500+500+500+500</f>
        <v>2500</v>
      </c>
      <c r="AJ97" s="45">
        <f>11.32+11.02+12.38+10.59+10.18</f>
        <v>55.49</v>
      </c>
      <c r="AK97" s="46">
        <v>5</v>
      </c>
      <c r="AL97" s="48">
        <f t="shared" si="1856"/>
        <v>45.053162732023786</v>
      </c>
      <c r="AM97" s="48">
        <f t="shared" si="1857"/>
        <v>11.098000000000001</v>
      </c>
      <c r="AO97" s="45"/>
      <c r="AP97" s="45"/>
      <c r="AQ97" s="46"/>
      <c r="AR97" s="48"/>
      <c r="AS97" s="48"/>
      <c r="AU97" s="45">
        <f>500+500+400+300+400</f>
        <v>2100</v>
      </c>
      <c r="AV97" s="45">
        <f>12.04+11.53+11.28+11.71+8.1</f>
        <v>54.660000000000004</v>
      </c>
      <c r="AW97" s="46">
        <v>5</v>
      </c>
      <c r="AX97" s="48">
        <f t="shared" si="1858"/>
        <v>38.41931942919868</v>
      </c>
      <c r="AY97" s="48">
        <f t="shared" si="1859"/>
        <v>10.932</v>
      </c>
      <c r="AZ97" s="593"/>
      <c r="BA97" s="45">
        <f>500+500+500+500+500</f>
        <v>2500</v>
      </c>
      <c r="BB97" s="45">
        <f>12.48+10.7+13.34+8.27+9.3</f>
        <v>54.089999999999989</v>
      </c>
      <c r="BC97" s="46">
        <v>5</v>
      </c>
      <c r="BD97" s="48">
        <f t="shared" ref="BD97:BD98" si="1888">BA97/BB97</f>
        <v>46.219264189314117</v>
      </c>
      <c r="BE97" s="48">
        <f t="shared" ref="BE97:BE98" si="1889">BB97/BC97</f>
        <v>10.817999999999998</v>
      </c>
      <c r="BF97" s="593"/>
      <c r="BG97" s="45"/>
      <c r="BH97" s="45"/>
      <c r="BI97" s="46"/>
      <c r="BJ97" s="48"/>
      <c r="BK97" s="48"/>
      <c r="BL97" s="593"/>
      <c r="BM97" s="45"/>
      <c r="BN97" s="45"/>
      <c r="BO97" s="46"/>
      <c r="BP97" s="48"/>
      <c r="BQ97" s="48"/>
      <c r="BS97" s="45"/>
      <c r="BT97" s="45"/>
      <c r="BU97" s="46"/>
      <c r="BV97" s="48"/>
      <c r="BW97" s="48"/>
      <c r="BX97" s="593"/>
      <c r="BY97" s="45">
        <f>500+500+500+500+500</f>
        <v>2500</v>
      </c>
      <c r="BZ97" s="45">
        <f>12.04+11.53+11.28+11.71+8.1</f>
        <v>54.660000000000004</v>
      </c>
      <c r="CA97" s="46">
        <v>5</v>
      </c>
      <c r="CB97" s="48">
        <f t="shared" si="1860"/>
        <v>45.737285034760333</v>
      </c>
      <c r="CC97" s="48">
        <f t="shared" si="1861"/>
        <v>10.932</v>
      </c>
      <c r="CD97" s="593"/>
      <c r="CE97" s="45"/>
      <c r="CF97" s="45"/>
      <c r="CG97" s="46"/>
      <c r="CH97" s="48"/>
      <c r="CI97" s="48"/>
      <c r="CJ97" s="593"/>
      <c r="CK97" s="45">
        <v>2000</v>
      </c>
      <c r="CL97" s="45">
        <v>58.45</v>
      </c>
      <c r="CM97" s="46">
        <v>5</v>
      </c>
      <c r="CN97" s="48">
        <f t="shared" si="1862"/>
        <v>34.217279726261758</v>
      </c>
      <c r="CO97" s="48">
        <f t="shared" si="1863"/>
        <v>11.690000000000001</v>
      </c>
      <c r="CP97" s="593"/>
      <c r="CQ97" s="45">
        <f>400+500+300+300+500</f>
        <v>2000</v>
      </c>
      <c r="CR97" s="45">
        <f>9.16+13.24+11.77+10.37+14.77</f>
        <v>59.31</v>
      </c>
      <c r="CS97" s="46">
        <v>5</v>
      </c>
      <c r="CT97" s="48">
        <f t="shared" si="1818"/>
        <v>33.721126285617942</v>
      </c>
      <c r="CU97" s="48">
        <f t="shared" si="1758"/>
        <v>11.862</v>
      </c>
      <c r="CV97" s="593"/>
      <c r="CW97" s="45">
        <f>500+500+500+500+500</f>
        <v>2500</v>
      </c>
      <c r="CX97" s="45">
        <f>12.04+11.53+11.28+11.71+8.1</f>
        <v>54.660000000000004</v>
      </c>
      <c r="CY97" s="46">
        <v>5</v>
      </c>
      <c r="CZ97" s="48">
        <f t="shared" si="1864"/>
        <v>45.737285034760333</v>
      </c>
      <c r="DA97" s="48">
        <f t="shared" si="1865"/>
        <v>10.932</v>
      </c>
      <c r="DB97" s="593"/>
      <c r="DC97" s="45">
        <f>500+500+500+500+500</f>
        <v>2500</v>
      </c>
      <c r="DD97" s="45">
        <f>12.08+12.74+12.41+10.89+11.77</f>
        <v>59.89</v>
      </c>
      <c r="DE97" s="46">
        <v>5</v>
      </c>
      <c r="DF97" s="48">
        <f t="shared" si="1866"/>
        <v>41.743195859074973</v>
      </c>
      <c r="DG97" s="48">
        <f t="shared" si="1867"/>
        <v>11.978</v>
      </c>
      <c r="DH97" s="593"/>
      <c r="DI97" s="45">
        <v>2000</v>
      </c>
      <c r="DJ97" s="45">
        <v>29.6</v>
      </c>
      <c r="DK97" s="46">
        <v>4</v>
      </c>
      <c r="DL97" s="48">
        <f t="shared" si="1868"/>
        <v>67.567567567567565</v>
      </c>
      <c r="DM97" s="48">
        <f t="shared" si="1869"/>
        <v>7.4</v>
      </c>
      <c r="DN97" s="593"/>
      <c r="DO97" s="45">
        <v>1700</v>
      </c>
      <c r="DP97" s="45">
        <v>56.82</v>
      </c>
      <c r="DQ97" s="46">
        <v>5</v>
      </c>
      <c r="DR97" s="48">
        <f t="shared" si="1870"/>
        <v>29.919042590637101</v>
      </c>
      <c r="DS97" s="48">
        <f t="shared" si="1871"/>
        <v>11.364000000000001</v>
      </c>
      <c r="DT97" s="593"/>
      <c r="DU97" s="45"/>
      <c r="DV97" s="45"/>
      <c r="DW97" s="46"/>
      <c r="DX97" s="48"/>
      <c r="DY97" s="48"/>
      <c r="DZ97" s="593"/>
      <c r="EA97" s="45"/>
      <c r="EB97" s="45"/>
      <c r="EC97" s="46"/>
      <c r="ED97" s="48"/>
      <c r="EE97" s="48"/>
      <c r="EF97" s="593"/>
      <c r="EG97" s="45"/>
      <c r="EH97" s="45"/>
      <c r="EI97" s="46"/>
      <c r="EJ97" s="48"/>
      <c r="EK97" s="48"/>
      <c r="EL97" s="593"/>
      <c r="EM97" s="45"/>
      <c r="EN97" s="45"/>
      <c r="EO97" s="46"/>
      <c r="EP97" s="48"/>
      <c r="EQ97" s="48"/>
      <c r="ES97" s="45">
        <f>500+500+500+500+500</f>
        <v>2500</v>
      </c>
      <c r="ET97" s="45">
        <f>12.04+11.53+11.28+11.71+8.1</f>
        <v>54.660000000000004</v>
      </c>
      <c r="EU97" s="46">
        <v>5</v>
      </c>
      <c r="EV97" s="48">
        <f t="shared" ref="EV97:EW138" si="1890">ES97/ET97</f>
        <v>45.737285034760333</v>
      </c>
      <c r="EW97" s="48">
        <f t="shared" si="1890"/>
        <v>10.932</v>
      </c>
      <c r="EY97" s="45"/>
      <c r="EZ97" s="45"/>
      <c r="FA97" s="45"/>
      <c r="FB97" s="48"/>
      <c r="FC97" s="48"/>
      <c r="FE97" s="45">
        <v>2800</v>
      </c>
      <c r="FF97" s="45">
        <v>48.25</v>
      </c>
      <c r="FG97" s="46">
        <v>5</v>
      </c>
      <c r="FH97" s="48">
        <f t="shared" si="1827"/>
        <v>58.031088082901555</v>
      </c>
      <c r="FI97" s="48">
        <f t="shared" si="1827"/>
        <v>9.65</v>
      </c>
      <c r="FK97" s="38">
        <f>500+500+500+500+500</f>
        <v>2500</v>
      </c>
      <c r="FL97" s="40">
        <f>8.45+8.04+8.38+8.73+8.66</f>
        <v>42.259999999999991</v>
      </c>
      <c r="FM97" s="38">
        <f>5</f>
        <v>5</v>
      </c>
      <c r="FN97" s="40">
        <f t="shared" ref="FN97" si="1891">FK97/FL97</f>
        <v>59.157595835305266</v>
      </c>
      <c r="FO97" s="40">
        <f>FL97/FM97</f>
        <v>8.4519999999999982</v>
      </c>
      <c r="FP97" s="231"/>
      <c r="FQ97" s="45">
        <f>500+500+500+500+500</f>
        <v>2500</v>
      </c>
      <c r="FR97" s="45">
        <f>13.44+9.98+8.45+10.47+8.91</f>
        <v>51.25</v>
      </c>
      <c r="FS97" s="45">
        <f>5</f>
        <v>5</v>
      </c>
      <c r="FT97" s="48">
        <f t="shared" si="1765"/>
        <v>48.780487804878049</v>
      </c>
      <c r="FU97" s="48">
        <f t="shared" si="1765"/>
        <v>10.25</v>
      </c>
      <c r="FW97" s="45">
        <f>500+500+500+500+500</f>
        <v>2500</v>
      </c>
      <c r="FX97" s="45">
        <f>12.08+12.74+12.41+10.89+11.77</f>
        <v>59.89</v>
      </c>
      <c r="FY97" s="46">
        <v>5</v>
      </c>
      <c r="FZ97" s="48">
        <f t="shared" si="1766"/>
        <v>41.743195859074973</v>
      </c>
      <c r="GA97" s="48">
        <f t="shared" si="1766"/>
        <v>11.978</v>
      </c>
      <c r="GC97" s="26">
        <f>500+500+500+500+500</f>
        <v>2500</v>
      </c>
      <c r="GD97" s="45">
        <f>7.94+8.03+7.85+7.95+9.45</f>
        <v>41.22</v>
      </c>
      <c r="GE97" s="45">
        <f>5</f>
        <v>5</v>
      </c>
      <c r="GF97" s="48">
        <f t="shared" si="1767"/>
        <v>60.650169820475497</v>
      </c>
      <c r="GG97" s="48">
        <f t="shared" si="1767"/>
        <v>8.2439999999999998</v>
      </c>
      <c r="GI97" s="45">
        <f>200+500+400+500+500</f>
        <v>2100</v>
      </c>
      <c r="GJ97" s="45">
        <f>6.14+8.39+8.74+8.76+8.58</f>
        <v>40.61</v>
      </c>
      <c r="GK97" s="45">
        <f>5</f>
        <v>5</v>
      </c>
      <c r="GL97" s="48">
        <f t="shared" si="1768"/>
        <v>51.711401132725932</v>
      </c>
      <c r="GM97" s="48">
        <f t="shared" si="1768"/>
        <v>8.1219999999999999</v>
      </c>
      <c r="GO97" s="45">
        <f>500+500+500+500+500</f>
        <v>2500</v>
      </c>
      <c r="GP97" s="45">
        <f>11.03+9.35+8.16+9.85+10.7</f>
        <v>49.09</v>
      </c>
      <c r="GQ97" s="45">
        <f>5</f>
        <v>5</v>
      </c>
      <c r="GR97" s="48">
        <f t="shared" si="1769"/>
        <v>50.926869016092887</v>
      </c>
      <c r="GS97" s="48">
        <f t="shared" si="1769"/>
        <v>9.8180000000000014</v>
      </c>
      <c r="GU97" s="99">
        <f>600+600+500+500+500</f>
        <v>2700</v>
      </c>
      <c r="GV97" s="99">
        <f>8.97+9.71+5.91+10.26+8.35</f>
        <v>43.2</v>
      </c>
      <c r="GW97" s="100">
        <v>5</v>
      </c>
      <c r="GX97" s="101">
        <f t="shared" si="1770"/>
        <v>62.499999999999993</v>
      </c>
      <c r="GY97" s="101">
        <f t="shared" si="1770"/>
        <v>8.64</v>
      </c>
      <c r="GZ97" s="43"/>
      <c r="HA97" s="28">
        <f>500+500+700+700+500</f>
        <v>2900</v>
      </c>
      <c r="HB97" s="28">
        <f>10.88+11.52+12.65+12.43+9.45</f>
        <v>56.929999999999993</v>
      </c>
      <c r="HC97" s="28">
        <v>5</v>
      </c>
      <c r="HD97" s="40">
        <f t="shared" si="1771"/>
        <v>50.939750570876519</v>
      </c>
      <c r="HE97" s="40">
        <f t="shared" si="1771"/>
        <v>11.385999999999999</v>
      </c>
      <c r="HG97" s="45">
        <v>1700</v>
      </c>
      <c r="HH97" s="45">
        <v>56.82</v>
      </c>
      <c r="HI97" s="46">
        <v>5</v>
      </c>
      <c r="HJ97" s="48">
        <f t="shared" si="1772"/>
        <v>29.919042590637101</v>
      </c>
      <c r="HK97" s="48">
        <f t="shared" si="1772"/>
        <v>11.364000000000001</v>
      </c>
      <c r="HM97" s="45">
        <f>500+500+500+700</f>
        <v>2200</v>
      </c>
      <c r="HN97" s="45">
        <f>12.19+14.2+4.2+11.68</f>
        <v>42.269999999999996</v>
      </c>
      <c r="HO97" s="46">
        <v>4</v>
      </c>
      <c r="HP97" s="48">
        <f>HM97/HN97</f>
        <v>52.046368582919335</v>
      </c>
      <c r="HQ97" s="48">
        <f>HN97/HO97</f>
        <v>10.567499999999999</v>
      </c>
      <c r="HS97" s="45">
        <f>400+500+500</f>
        <v>1400</v>
      </c>
      <c r="HT97" s="45">
        <f>8.5+9.6+5.8+10.6+8.7</f>
        <v>43.2</v>
      </c>
      <c r="HU97" s="46">
        <v>5</v>
      </c>
      <c r="HV97" s="48">
        <f>HS97/HT97</f>
        <v>32.407407407407405</v>
      </c>
      <c r="HW97" s="48">
        <f>HT97/HU97</f>
        <v>8.64</v>
      </c>
      <c r="HX97" s="231"/>
      <c r="HY97" s="38">
        <f>500+500+500+500+500</f>
        <v>2500</v>
      </c>
      <c r="HZ97" s="40">
        <f>12.42+9.33+10.66+7.18+9.49</f>
        <v>49.08</v>
      </c>
      <c r="IA97" s="38">
        <f>5</f>
        <v>5</v>
      </c>
      <c r="IB97" s="40">
        <f t="shared" si="1828"/>
        <v>50.937245313773431</v>
      </c>
      <c r="IC97" s="40">
        <f t="shared" si="1840"/>
        <v>9.8159999999999989</v>
      </c>
      <c r="IE97" s="38">
        <f>500+500+500+500+500</f>
        <v>2500</v>
      </c>
      <c r="IF97" s="40">
        <f>10.94+11.14+10.86+11.38+9.9</f>
        <v>54.22</v>
      </c>
      <c r="IG97" s="38">
        <f>5</f>
        <v>5</v>
      </c>
      <c r="IH97" s="40">
        <f t="shared" si="1841"/>
        <v>46.108447067502766</v>
      </c>
      <c r="II97" s="40">
        <f t="shared" si="1842"/>
        <v>10.843999999999999</v>
      </c>
      <c r="IK97" s="38">
        <f>600+600+600+600+600</f>
        <v>3000</v>
      </c>
      <c r="IL97" s="40">
        <f>10.96+10.35+9.52+11.93+6.8</f>
        <v>49.56</v>
      </c>
      <c r="IM97" s="38">
        <v>5</v>
      </c>
      <c r="IN97" s="40">
        <f t="shared" si="1843"/>
        <v>60.532687651331713</v>
      </c>
      <c r="IO97" s="40">
        <f t="shared" si="1844"/>
        <v>9.9120000000000008</v>
      </c>
      <c r="IQ97" s="38">
        <f>500+500+500+500</f>
        <v>2000</v>
      </c>
      <c r="IR97" s="40">
        <f>11.56+7.59+6.26+6.81</f>
        <v>32.22</v>
      </c>
      <c r="IS97" s="38">
        <v>4</v>
      </c>
      <c r="IT97" s="40">
        <f t="shared" si="1845"/>
        <v>62.07324643078833</v>
      </c>
      <c r="IU97" s="40">
        <f t="shared" si="1846"/>
        <v>8.0549999999999997</v>
      </c>
      <c r="IW97" s="38">
        <f>500+500+500+400</f>
        <v>1900</v>
      </c>
      <c r="IX97" s="40">
        <f>10.53+10.22+11.35+9.42</f>
        <v>41.52</v>
      </c>
      <c r="IY97" s="38">
        <v>4</v>
      </c>
      <c r="IZ97" s="40">
        <f t="shared" si="1847"/>
        <v>45.761078998073216</v>
      </c>
      <c r="JA97" s="40">
        <f t="shared" si="1848"/>
        <v>10.38</v>
      </c>
      <c r="JC97" s="38">
        <f>400+500+500+500+500</f>
        <v>2400</v>
      </c>
      <c r="JD97" s="40">
        <f>8.77+9.64+9.66+7.16+6.9</f>
        <v>42.13</v>
      </c>
      <c r="JE97" s="38">
        <v>5</v>
      </c>
      <c r="JF97" s="40">
        <f t="shared" si="1874"/>
        <v>56.966532162354611</v>
      </c>
      <c r="JG97" s="40">
        <f t="shared" si="1875"/>
        <v>8.4260000000000002</v>
      </c>
      <c r="JI97" s="38">
        <f>500+500+500+500+500</f>
        <v>2500</v>
      </c>
      <c r="JJ97" s="40">
        <f>8.57+9.02+9.21+6.85+8.5</f>
        <v>42.15</v>
      </c>
      <c r="JK97" s="38">
        <v>5</v>
      </c>
      <c r="JL97" s="40">
        <f t="shared" si="1849"/>
        <v>59.311981020166073</v>
      </c>
      <c r="JM97" s="40">
        <f t="shared" si="1850"/>
        <v>8.43</v>
      </c>
      <c r="JO97" s="38">
        <f>500+500+500+500+500</f>
        <v>2500</v>
      </c>
      <c r="JP97" s="40">
        <f>8.83+8.62+8.2+12.06+9.74</f>
        <v>47.45</v>
      </c>
      <c r="JQ97" s="38">
        <v>5</v>
      </c>
      <c r="JR97" s="40">
        <f t="shared" si="1876"/>
        <v>52.687038988408851</v>
      </c>
      <c r="JS97" s="40">
        <f t="shared" si="1877"/>
        <v>9.49</v>
      </c>
      <c r="JU97" s="38">
        <f>500+500</f>
        <v>1000</v>
      </c>
      <c r="JV97" s="40">
        <f>6.6+6.59</f>
        <v>13.19</v>
      </c>
      <c r="JW97" s="38">
        <v>2</v>
      </c>
      <c r="JX97" s="40">
        <f t="shared" si="1878"/>
        <v>75.815011372251703</v>
      </c>
      <c r="JY97" s="40">
        <f t="shared" si="1879"/>
        <v>6.5949999999999998</v>
      </c>
      <c r="KA97" s="38">
        <f>600+600+600+600+600</f>
        <v>3000</v>
      </c>
      <c r="KB97" s="40">
        <f>12.28+12.07+12.08+14.16+16.13</f>
        <v>66.72</v>
      </c>
      <c r="KC97" s="38">
        <v>5</v>
      </c>
      <c r="KD97" s="40">
        <f t="shared" ref="KD97" si="1892">KA97/KB97</f>
        <v>44.964028776978417</v>
      </c>
      <c r="KE97" s="40">
        <f t="shared" ref="KE97" si="1893">KB97/KC97</f>
        <v>13.343999999999999</v>
      </c>
      <c r="KG97" s="38">
        <f>500+500+500+600+600</f>
        <v>2700</v>
      </c>
      <c r="KH97" s="40">
        <f>7.3+16.1+16.61+7.5+10.25</f>
        <v>57.760000000000005</v>
      </c>
      <c r="KI97" s="38">
        <v>5</v>
      </c>
      <c r="KJ97" s="40">
        <f t="shared" si="1852"/>
        <v>46.745152354570635</v>
      </c>
      <c r="KK97" s="40">
        <f t="shared" si="1853"/>
        <v>11.552000000000001</v>
      </c>
      <c r="KM97" s="38"/>
      <c r="KN97" s="40"/>
      <c r="KO97" s="38"/>
      <c r="KP97" s="40" t="e">
        <f t="shared" si="1776"/>
        <v>#DIV/0!</v>
      </c>
      <c r="KQ97" s="40" t="e">
        <f t="shared" si="1777"/>
        <v>#DIV/0!</v>
      </c>
      <c r="KS97" s="38">
        <f>500+500+500+500+500</f>
        <v>2500</v>
      </c>
      <c r="KT97" s="40">
        <f>7+7.8+7.68+7.6+6.99</f>
        <v>37.07</v>
      </c>
      <c r="KU97" s="38">
        <v>5</v>
      </c>
      <c r="KV97" s="40">
        <f t="shared" si="1778"/>
        <v>67.439978419206909</v>
      </c>
      <c r="KW97" s="40">
        <f t="shared" si="1779"/>
        <v>7.4139999999999997</v>
      </c>
      <c r="KY97" s="38"/>
      <c r="KZ97" s="40"/>
      <c r="LA97" s="38"/>
      <c r="LB97" s="40" t="e">
        <f t="shared" si="1780"/>
        <v>#DIV/0!</v>
      </c>
      <c r="LC97" s="40" t="e">
        <f t="shared" si="1781"/>
        <v>#DIV/0!</v>
      </c>
      <c r="LE97" s="38">
        <f>500+500+500+600+600</f>
        <v>2700</v>
      </c>
      <c r="LF97" s="40">
        <f>9.97+8.81+9.07+11.95+12.79</f>
        <v>52.589999999999996</v>
      </c>
      <c r="LG97" s="38">
        <v>5</v>
      </c>
      <c r="LH97" s="40">
        <f t="shared" si="1782"/>
        <v>51.340559041642905</v>
      </c>
      <c r="LI97" s="40">
        <f t="shared" si="1783"/>
        <v>10.517999999999999</v>
      </c>
      <c r="LK97" s="38">
        <f>500+500+500</f>
        <v>1500</v>
      </c>
      <c r="LL97" s="40">
        <f>3.93+2.73+2.87</f>
        <v>9.5300000000000011</v>
      </c>
      <c r="LM97" s="38">
        <v>3</v>
      </c>
      <c r="LN97" s="40">
        <f t="shared" si="1784"/>
        <v>157.39769150052464</v>
      </c>
      <c r="LO97" s="40">
        <f t="shared" si="1785"/>
        <v>3.1766666666666672</v>
      </c>
      <c r="LQ97" s="38">
        <f>500+500+500+500+500</f>
        <v>2500</v>
      </c>
      <c r="LR97" s="40">
        <f>8.31+8.26+8.78+6.39+8.86</f>
        <v>40.6</v>
      </c>
      <c r="LS97" s="38">
        <v>5</v>
      </c>
      <c r="LT97" s="40">
        <f t="shared" si="1786"/>
        <v>61.576354679802954</v>
      </c>
      <c r="LU97" s="40">
        <f t="shared" si="1787"/>
        <v>8.120000000000001</v>
      </c>
      <c r="LW97" s="38">
        <f>500+500+500</f>
        <v>1500</v>
      </c>
      <c r="LX97" s="40">
        <f>9.87+10.49+9.78</f>
        <v>30.14</v>
      </c>
      <c r="LY97" s="38">
        <v>5</v>
      </c>
      <c r="LZ97" s="40">
        <f t="shared" si="1788"/>
        <v>49.767750497677504</v>
      </c>
      <c r="MA97" s="40">
        <f t="shared" si="1789"/>
        <v>6.0280000000000005</v>
      </c>
      <c r="MC97" s="38">
        <f>500+500+500+500+500</f>
        <v>2500</v>
      </c>
      <c r="MD97" s="40">
        <f>16.96+14.63+11.23+16.68+11.29</f>
        <v>70.790000000000006</v>
      </c>
      <c r="ME97" s="38">
        <v>5</v>
      </c>
      <c r="MF97" s="40">
        <f t="shared" si="1790"/>
        <v>35.315722559683572</v>
      </c>
      <c r="MG97" s="40">
        <f t="shared" si="1791"/>
        <v>14.158000000000001</v>
      </c>
      <c r="MI97" s="38">
        <f>500+500+500+500+500</f>
        <v>2500</v>
      </c>
      <c r="MJ97" s="40">
        <f>5.86+5.6+11.92+11.03+10.9</f>
        <v>45.31</v>
      </c>
      <c r="MK97" s="38">
        <v>5</v>
      </c>
      <c r="ML97" s="40">
        <f t="shared" si="1792"/>
        <v>55.175457956301031</v>
      </c>
      <c r="MM97" s="40">
        <f t="shared" si="1793"/>
        <v>9.0620000000000012</v>
      </c>
      <c r="MO97" s="38"/>
      <c r="MP97" s="40"/>
      <c r="MQ97" s="38"/>
      <c r="MR97" s="40" t="e">
        <f t="shared" si="1794"/>
        <v>#DIV/0!</v>
      </c>
      <c r="MS97" s="40" t="e">
        <f t="shared" si="1795"/>
        <v>#DIV/0!</v>
      </c>
      <c r="MU97" s="38"/>
      <c r="MV97" s="40"/>
      <c r="MW97" s="38"/>
      <c r="MX97" s="40" t="e">
        <f t="shared" si="1796"/>
        <v>#DIV/0!</v>
      </c>
      <c r="MY97" s="40" t="e">
        <f t="shared" si="1797"/>
        <v>#DIV/0!</v>
      </c>
      <c r="NA97" s="825">
        <f>500+500+500+500+500</f>
        <v>2500</v>
      </c>
      <c r="NB97" s="826">
        <f>13.15+8.07+11.82+12.87+9.84</f>
        <v>55.75</v>
      </c>
      <c r="NC97" s="825">
        <v>5</v>
      </c>
      <c r="ND97" s="40">
        <f t="shared" si="1798"/>
        <v>44.843049327354258</v>
      </c>
      <c r="NE97" s="40">
        <f t="shared" si="1799"/>
        <v>11.15</v>
      </c>
      <c r="NG97" s="825">
        <f>500+500+500+500+500</f>
        <v>2500</v>
      </c>
      <c r="NH97" s="826">
        <f>10.66+10.33+10.45+10.52+10.58</f>
        <v>52.54</v>
      </c>
      <c r="NI97" s="825">
        <v>5</v>
      </c>
      <c r="NJ97" s="40">
        <f t="shared" si="1800"/>
        <v>47.5827940616673</v>
      </c>
      <c r="NK97" s="40">
        <f t="shared" si="1801"/>
        <v>10.507999999999999</v>
      </c>
      <c r="NM97" s="825">
        <f>500+500+500+500+500</f>
        <v>2500</v>
      </c>
      <c r="NN97" s="826">
        <f>9.53+8.56+9.39+10.06+10.08</f>
        <v>47.62</v>
      </c>
      <c r="NO97" s="825">
        <v>5</v>
      </c>
      <c r="NP97" s="40">
        <f t="shared" si="1802"/>
        <v>52.49895002099958</v>
      </c>
      <c r="NQ97" s="40">
        <f t="shared" si="1803"/>
        <v>9.5239999999999991</v>
      </c>
      <c r="NS97" s="825">
        <f>500+500+500+500+500</f>
        <v>2500</v>
      </c>
      <c r="NT97" s="826">
        <f>10.59+10.05+9.3+10.06+12.96</f>
        <v>52.96</v>
      </c>
      <c r="NU97" s="825">
        <v>5</v>
      </c>
      <c r="NV97" s="40">
        <f t="shared" si="1804"/>
        <v>47.205438066465256</v>
      </c>
      <c r="NW97" s="40">
        <f t="shared" si="1805"/>
        <v>10.592000000000001</v>
      </c>
      <c r="NY97" s="913">
        <f>300+400+400+300+400</f>
        <v>1800</v>
      </c>
      <c r="NZ97" s="914">
        <f>7.75+9.3+8.14+7.65+9</f>
        <v>41.84</v>
      </c>
      <c r="OA97" s="918">
        <v>5</v>
      </c>
      <c r="OB97" s="40">
        <f t="shared" si="1806"/>
        <v>43.021032504780109</v>
      </c>
      <c r="OC97" s="40">
        <f t="shared" si="1807"/>
        <v>8.3680000000000003</v>
      </c>
      <c r="OE97" s="825">
        <f>500+500+500+500+500</f>
        <v>2500</v>
      </c>
      <c r="OF97" s="826">
        <f>8.39+10.34+9.24+8.52+10.25</f>
        <v>46.739999999999995</v>
      </c>
      <c r="OG97" s="825">
        <v>5</v>
      </c>
      <c r="OH97" s="40">
        <f t="shared" si="1808"/>
        <v>53.487376979032952</v>
      </c>
      <c r="OI97" s="40">
        <f t="shared" si="1809"/>
        <v>9.347999999999999</v>
      </c>
    </row>
    <row r="98" spans="2:399">
      <c r="B98" s="11"/>
      <c r="C98" s="12"/>
      <c r="D98" s="58" t="s">
        <v>17</v>
      </c>
      <c r="E98" s="726">
        <f>300+500</f>
        <v>800</v>
      </c>
      <c r="F98" s="45">
        <f>6.16+7.37</f>
        <v>13.530000000000001</v>
      </c>
      <c r="G98" s="45">
        <v>2</v>
      </c>
      <c r="H98" s="48">
        <f t="shared" ref="H98:H99" si="1894">E98/F98</f>
        <v>59.127864005912784</v>
      </c>
      <c r="I98" s="48">
        <f t="shared" ref="I98:I99" si="1895">F98/G98</f>
        <v>6.7650000000000006</v>
      </c>
      <c r="K98" s="45"/>
      <c r="L98" s="45"/>
      <c r="M98" s="45"/>
      <c r="N98" s="48"/>
      <c r="O98" s="48"/>
      <c r="Q98" s="45"/>
      <c r="R98" s="45"/>
      <c r="S98" s="45"/>
      <c r="T98" s="48"/>
      <c r="U98" s="48"/>
      <c r="W98" s="45"/>
      <c r="X98" s="45"/>
      <c r="Y98" s="45"/>
      <c r="Z98" s="48"/>
      <c r="AA98" s="48"/>
      <c r="AC98" s="45">
        <v>300</v>
      </c>
      <c r="AD98" s="45">
        <v>1.8</v>
      </c>
      <c r="AE98" s="45">
        <v>1</v>
      </c>
      <c r="AF98" s="48">
        <f t="shared" ref="AF98:AF99" si="1896">AC98/AD98</f>
        <v>166.66666666666666</v>
      </c>
      <c r="AG98" s="48">
        <f t="shared" ref="AG98:AG99" si="1897">AD98/AE98</f>
        <v>1.8</v>
      </c>
      <c r="AI98" s="45"/>
      <c r="AJ98" s="45"/>
      <c r="AK98" s="45"/>
      <c r="AL98" s="48"/>
      <c r="AM98" s="48"/>
      <c r="AO98" s="45"/>
      <c r="AP98" s="45"/>
      <c r="AQ98" s="45"/>
      <c r="AR98" s="48"/>
      <c r="AS98" s="48"/>
      <c r="AU98" s="45">
        <v>200</v>
      </c>
      <c r="AV98" s="45">
        <v>3.12</v>
      </c>
      <c r="AW98" s="45">
        <v>1</v>
      </c>
      <c r="AX98" s="48">
        <f t="shared" si="1858"/>
        <v>64.102564102564102</v>
      </c>
      <c r="AY98" s="48">
        <f t="shared" si="1859"/>
        <v>3.12</v>
      </c>
      <c r="AZ98" s="593"/>
      <c r="BA98" s="45">
        <f>200+200</f>
        <v>400</v>
      </c>
      <c r="BB98" s="45">
        <f>2.47+2.37</f>
        <v>4.84</v>
      </c>
      <c r="BC98" s="45">
        <v>2</v>
      </c>
      <c r="BD98" s="48">
        <f t="shared" si="1888"/>
        <v>82.644628099173559</v>
      </c>
      <c r="BE98" s="48">
        <f t="shared" si="1889"/>
        <v>2.42</v>
      </c>
      <c r="BF98" s="593"/>
      <c r="BG98" s="45"/>
      <c r="BH98" s="45"/>
      <c r="BI98" s="45"/>
      <c r="BJ98" s="48"/>
      <c r="BK98" s="48"/>
      <c r="BL98" s="593"/>
      <c r="BM98" s="45"/>
      <c r="BN98" s="45"/>
      <c r="BO98" s="45"/>
      <c r="BP98" s="48"/>
      <c r="BQ98" s="48"/>
      <c r="BS98" s="45"/>
      <c r="BT98" s="45"/>
      <c r="BU98" s="45"/>
      <c r="BV98" s="48"/>
      <c r="BW98" s="48"/>
      <c r="BX98" s="593"/>
      <c r="BY98" s="45"/>
      <c r="BZ98" s="45"/>
      <c r="CA98" s="45"/>
      <c r="CB98" s="48"/>
      <c r="CC98" s="48"/>
      <c r="CD98" s="593"/>
      <c r="CE98" s="45"/>
      <c r="CF98" s="45"/>
      <c r="CG98" s="45"/>
      <c r="CH98" s="48"/>
      <c r="CI98" s="48"/>
      <c r="CJ98" s="593"/>
      <c r="CK98" s="45"/>
      <c r="CL98" s="45"/>
      <c r="CM98" s="45"/>
      <c r="CN98" s="48"/>
      <c r="CO98" s="48"/>
      <c r="CP98" s="593"/>
      <c r="CQ98" s="45">
        <f>100+100+100+100+100</f>
        <v>500</v>
      </c>
      <c r="CR98" s="45">
        <f>3.38+3.21+3.94+3.07+3.05</f>
        <v>16.649999999999999</v>
      </c>
      <c r="CS98" s="45">
        <v>5</v>
      </c>
      <c r="CT98" s="48">
        <f t="shared" si="1818"/>
        <v>30.030030030030034</v>
      </c>
      <c r="CU98" s="48">
        <f t="shared" si="1758"/>
        <v>3.3299999999999996</v>
      </c>
      <c r="CV98" s="593"/>
      <c r="CW98" s="45"/>
      <c r="CX98" s="45"/>
      <c r="CY98" s="45"/>
      <c r="CZ98" s="48"/>
      <c r="DA98" s="48"/>
      <c r="DB98" s="593"/>
      <c r="DC98" s="45"/>
      <c r="DD98" s="45"/>
      <c r="DE98" s="45"/>
      <c r="DF98" s="48"/>
      <c r="DG98" s="48"/>
      <c r="DH98" s="593"/>
      <c r="DI98" s="45">
        <v>300</v>
      </c>
      <c r="DJ98" s="45">
        <v>1.8</v>
      </c>
      <c r="DK98" s="45">
        <v>1</v>
      </c>
      <c r="DL98" s="48">
        <f t="shared" ref="DL98:DL99" si="1898">DI98/DJ98</f>
        <v>166.66666666666666</v>
      </c>
      <c r="DM98" s="48">
        <f t="shared" ref="DM98:DM99" si="1899">DJ98/DK98</f>
        <v>1.8</v>
      </c>
      <c r="DN98" s="593"/>
      <c r="DO98" s="45"/>
      <c r="DP98" s="45"/>
      <c r="DQ98" s="45"/>
      <c r="DR98" s="48"/>
      <c r="DS98" s="48"/>
      <c r="DT98" s="593"/>
      <c r="DU98" s="45"/>
      <c r="DV98" s="45"/>
      <c r="DW98" s="45"/>
      <c r="DX98" s="48"/>
      <c r="DY98" s="48"/>
      <c r="DZ98" s="593"/>
      <c r="EA98" s="45"/>
      <c r="EB98" s="45"/>
      <c r="EC98" s="45"/>
      <c r="ED98" s="48"/>
      <c r="EE98" s="48"/>
      <c r="EF98" s="593"/>
      <c r="EG98" s="45"/>
      <c r="EH98" s="45"/>
      <c r="EI98" s="45"/>
      <c r="EJ98" s="48"/>
      <c r="EK98" s="48"/>
      <c r="EL98" s="593"/>
      <c r="EM98" s="45"/>
      <c r="EN98" s="45"/>
      <c r="EO98" s="45"/>
      <c r="EP98" s="48"/>
      <c r="EQ98" s="48"/>
      <c r="ES98" s="45"/>
      <c r="ET98" s="45"/>
      <c r="EU98" s="45"/>
      <c r="EV98" s="48"/>
      <c r="EW98" s="48"/>
      <c r="EY98" s="45"/>
      <c r="EZ98" s="45"/>
      <c r="FA98" s="45"/>
      <c r="FB98" s="48"/>
      <c r="FC98" s="48"/>
      <c r="FE98" s="45"/>
      <c r="FF98" s="45"/>
      <c r="FG98" s="45"/>
      <c r="FH98" s="48"/>
      <c r="FI98" s="48"/>
      <c r="FK98" s="38"/>
      <c r="FL98" s="40"/>
      <c r="FM98" s="38"/>
      <c r="FN98" s="40"/>
      <c r="FO98" s="40"/>
      <c r="FP98" s="231"/>
      <c r="FQ98" s="45">
        <f>200</f>
        <v>200</v>
      </c>
      <c r="FR98" s="45">
        <f>3.17</f>
        <v>3.17</v>
      </c>
      <c r="FS98" s="45">
        <f>1</f>
        <v>1</v>
      </c>
      <c r="FT98" s="48">
        <f t="shared" si="1765"/>
        <v>63.09148264984227</v>
      </c>
      <c r="FU98" s="48">
        <f t="shared" si="1765"/>
        <v>3.17</v>
      </c>
      <c r="FW98" s="45"/>
      <c r="FX98" s="45"/>
      <c r="FY98" s="45"/>
      <c r="FZ98" s="48"/>
      <c r="GA98" s="48"/>
      <c r="GC98" s="26"/>
      <c r="GD98" s="45"/>
      <c r="GE98" s="45"/>
      <c r="GF98" s="48"/>
      <c r="GG98" s="48"/>
      <c r="GI98" s="45"/>
      <c r="GJ98" s="45"/>
      <c r="GK98" s="45"/>
      <c r="GL98" s="48"/>
      <c r="GM98" s="48"/>
      <c r="GO98" s="45"/>
      <c r="GP98" s="45"/>
      <c r="GQ98" s="45"/>
      <c r="GR98" s="48"/>
      <c r="GS98" s="48"/>
      <c r="GU98" s="99"/>
      <c r="GV98" s="99"/>
      <c r="GW98" s="99"/>
      <c r="GX98" s="101"/>
      <c r="GY98" s="101"/>
      <c r="GZ98" s="43"/>
      <c r="HA98" s="28"/>
      <c r="HB98" s="28"/>
      <c r="HC98" s="27"/>
      <c r="HD98" s="40"/>
      <c r="HE98" s="40"/>
      <c r="HG98" s="45"/>
      <c r="HH98" s="45"/>
      <c r="HI98" s="45"/>
      <c r="HJ98" s="48"/>
      <c r="HK98" s="48"/>
      <c r="HM98" s="45">
        <f>300+500</f>
        <v>800</v>
      </c>
      <c r="HN98" s="45">
        <f>6.16+7.37</f>
        <v>13.530000000000001</v>
      </c>
      <c r="HO98" s="45">
        <v>2</v>
      </c>
      <c r="HP98" s="48">
        <f t="shared" si="1839"/>
        <v>59.127864005912784</v>
      </c>
      <c r="HQ98" s="48">
        <f t="shared" si="1839"/>
        <v>6.7650000000000006</v>
      </c>
      <c r="HS98" s="45"/>
      <c r="HT98" s="45"/>
      <c r="HU98" s="45"/>
      <c r="HV98" s="48"/>
      <c r="HW98" s="48"/>
      <c r="HX98" s="231"/>
      <c r="HY98" s="38"/>
      <c r="HZ98" s="40"/>
      <c r="IA98" s="38"/>
      <c r="IB98" s="40"/>
      <c r="IC98" s="40"/>
      <c r="IE98" s="38"/>
      <c r="IF98" s="40"/>
      <c r="IG98" s="38"/>
      <c r="IH98" s="40"/>
      <c r="II98" s="40"/>
      <c r="IK98" s="38"/>
      <c r="IL98" s="40"/>
      <c r="IM98" s="38"/>
      <c r="IN98" s="40"/>
      <c r="IO98" s="40"/>
      <c r="IQ98" s="38"/>
      <c r="IR98" s="40"/>
      <c r="IS98" s="38"/>
      <c r="IT98" s="40"/>
      <c r="IU98" s="40"/>
      <c r="IW98" s="38"/>
      <c r="IX98" s="40"/>
      <c r="IY98" s="38"/>
      <c r="IZ98" s="40"/>
      <c r="JA98" s="40"/>
      <c r="JC98" s="38"/>
      <c r="JD98" s="40"/>
      <c r="JE98" s="38"/>
      <c r="JF98" s="40"/>
      <c r="JG98" s="40"/>
      <c r="JI98" s="38"/>
      <c r="JJ98" s="40"/>
      <c r="JK98" s="38"/>
      <c r="JL98" s="40"/>
      <c r="JM98" s="40"/>
      <c r="JO98" s="38"/>
      <c r="JP98" s="40"/>
      <c r="JQ98" s="38"/>
      <c r="JR98" s="40"/>
      <c r="JS98" s="40"/>
      <c r="JU98" s="38"/>
      <c r="JV98" s="40"/>
      <c r="JW98" s="38"/>
      <c r="JX98" s="40"/>
      <c r="JY98" s="40"/>
      <c r="KA98" s="38"/>
      <c r="KB98" s="40"/>
      <c r="KC98" s="38"/>
      <c r="KD98" s="40"/>
      <c r="KE98" s="40"/>
      <c r="KG98" s="38"/>
      <c r="KH98" s="40"/>
      <c r="KI98" s="38"/>
      <c r="KJ98" s="40" t="e">
        <f t="shared" si="1852"/>
        <v>#DIV/0!</v>
      </c>
      <c r="KK98" s="40" t="e">
        <f t="shared" si="1853"/>
        <v>#DIV/0!</v>
      </c>
      <c r="KM98" s="38"/>
      <c r="KN98" s="40"/>
      <c r="KO98" s="38"/>
      <c r="KP98" s="40" t="e">
        <f t="shared" si="1776"/>
        <v>#DIV/0!</v>
      </c>
      <c r="KQ98" s="40" t="e">
        <f t="shared" si="1777"/>
        <v>#DIV/0!</v>
      </c>
      <c r="KS98" s="38"/>
      <c r="KT98" s="40"/>
      <c r="KU98" s="38"/>
      <c r="KV98" s="40" t="e">
        <f t="shared" si="1778"/>
        <v>#DIV/0!</v>
      </c>
      <c r="KW98" s="40" t="e">
        <f t="shared" si="1779"/>
        <v>#DIV/0!</v>
      </c>
      <c r="KY98" s="38"/>
      <c r="KZ98" s="40"/>
      <c r="LA98" s="38"/>
      <c r="LB98" s="40" t="e">
        <f t="shared" si="1780"/>
        <v>#DIV/0!</v>
      </c>
      <c r="LC98" s="40" t="e">
        <f t="shared" si="1781"/>
        <v>#DIV/0!</v>
      </c>
      <c r="LE98" s="38"/>
      <c r="LF98" s="40"/>
      <c r="LG98" s="38"/>
      <c r="LH98" s="40" t="e">
        <f t="shared" si="1782"/>
        <v>#DIV/0!</v>
      </c>
      <c r="LI98" s="40" t="e">
        <f t="shared" si="1783"/>
        <v>#DIV/0!</v>
      </c>
      <c r="LK98" s="38"/>
      <c r="LL98" s="40"/>
      <c r="LM98" s="38"/>
      <c r="LN98" s="40" t="e">
        <f t="shared" si="1784"/>
        <v>#DIV/0!</v>
      </c>
      <c r="LO98" s="40" t="e">
        <f t="shared" si="1785"/>
        <v>#DIV/0!</v>
      </c>
      <c r="LQ98" s="38"/>
      <c r="LR98" s="40"/>
      <c r="LS98" s="38"/>
      <c r="LT98" s="40" t="e">
        <f t="shared" si="1786"/>
        <v>#DIV/0!</v>
      </c>
      <c r="LU98" s="40" t="e">
        <f t="shared" si="1787"/>
        <v>#DIV/0!</v>
      </c>
      <c r="LW98" s="38"/>
      <c r="LX98" s="40"/>
      <c r="LY98" s="38"/>
      <c r="LZ98" s="40" t="e">
        <f t="shared" si="1788"/>
        <v>#DIV/0!</v>
      </c>
      <c r="MA98" s="40" t="e">
        <f t="shared" si="1789"/>
        <v>#DIV/0!</v>
      </c>
      <c r="MC98" s="38"/>
      <c r="MD98" s="40"/>
      <c r="ME98" s="38"/>
      <c r="MF98" s="40" t="e">
        <f t="shared" si="1790"/>
        <v>#DIV/0!</v>
      </c>
      <c r="MG98" s="40" t="e">
        <f t="shared" si="1791"/>
        <v>#DIV/0!</v>
      </c>
      <c r="MI98" s="38"/>
      <c r="MJ98" s="40"/>
      <c r="MK98" s="38"/>
      <c r="ML98" s="40" t="e">
        <f t="shared" si="1792"/>
        <v>#DIV/0!</v>
      </c>
      <c r="MM98" s="40" t="e">
        <f t="shared" si="1793"/>
        <v>#DIV/0!</v>
      </c>
      <c r="MO98" s="38"/>
      <c r="MP98" s="40"/>
      <c r="MQ98" s="38"/>
      <c r="MR98" s="40" t="e">
        <f t="shared" si="1794"/>
        <v>#DIV/0!</v>
      </c>
      <c r="MS98" s="40" t="e">
        <f t="shared" si="1795"/>
        <v>#DIV/0!</v>
      </c>
      <c r="MU98" s="38"/>
      <c r="MV98" s="40"/>
      <c r="MW98" s="38"/>
      <c r="MX98" s="40" t="e">
        <f t="shared" si="1796"/>
        <v>#DIV/0!</v>
      </c>
      <c r="MY98" s="40" t="e">
        <f t="shared" si="1797"/>
        <v>#DIV/0!</v>
      </c>
      <c r="NA98" s="825">
        <f>200+200+200+200+200</f>
        <v>1000</v>
      </c>
      <c r="NB98" s="826">
        <f>2.36+2.02+2.39+1.08+1.03</f>
        <v>8.879999999999999</v>
      </c>
      <c r="NC98" s="825">
        <v>5</v>
      </c>
      <c r="ND98" s="40">
        <f t="shared" si="1798"/>
        <v>112.61261261261262</v>
      </c>
      <c r="NE98" s="40">
        <f t="shared" si="1799"/>
        <v>1.7759999999999998</v>
      </c>
      <c r="NG98" s="825"/>
      <c r="NH98" s="826"/>
      <c r="NI98" s="825"/>
      <c r="NJ98" s="40" t="e">
        <f t="shared" si="1800"/>
        <v>#DIV/0!</v>
      </c>
      <c r="NK98" s="40" t="e">
        <f t="shared" si="1801"/>
        <v>#DIV/0!</v>
      </c>
      <c r="NM98" s="825"/>
      <c r="NN98" s="825"/>
      <c r="NO98" s="825"/>
      <c r="NP98" s="40" t="e">
        <f t="shared" si="1802"/>
        <v>#DIV/0!</v>
      </c>
      <c r="NQ98" s="40" t="e">
        <f t="shared" si="1803"/>
        <v>#DIV/0!</v>
      </c>
      <c r="NS98" s="825"/>
      <c r="NT98" s="825"/>
      <c r="NU98" s="825"/>
      <c r="NV98" s="40" t="e">
        <f t="shared" si="1804"/>
        <v>#DIV/0!</v>
      </c>
      <c r="NW98" s="40" t="e">
        <f t="shared" si="1805"/>
        <v>#DIV/0!</v>
      </c>
      <c r="NY98" s="913"/>
      <c r="NZ98" s="914"/>
      <c r="OA98" s="918"/>
      <c r="OB98" s="40" t="e">
        <f t="shared" si="1806"/>
        <v>#DIV/0!</v>
      </c>
      <c r="OC98" s="40" t="e">
        <f t="shared" si="1807"/>
        <v>#DIV/0!</v>
      </c>
      <c r="OE98" s="825"/>
      <c r="OF98" s="825"/>
      <c r="OG98" s="825"/>
      <c r="OH98" s="40" t="e">
        <f t="shared" si="1808"/>
        <v>#DIV/0!</v>
      </c>
      <c r="OI98" s="40" t="e">
        <f t="shared" si="1809"/>
        <v>#DIV/0!</v>
      </c>
    </row>
    <row r="99" spans="2:399">
      <c r="B99" s="11"/>
      <c r="C99" s="12"/>
      <c r="D99" s="58" t="s">
        <v>18</v>
      </c>
      <c r="E99" s="726">
        <f>500+500</f>
        <v>1000</v>
      </c>
      <c r="F99" s="45">
        <f>8.78+7.37</f>
        <v>16.149999999999999</v>
      </c>
      <c r="G99" s="46">
        <v>2</v>
      </c>
      <c r="H99" s="48">
        <f t="shared" si="1894"/>
        <v>61.919504643962853</v>
      </c>
      <c r="I99" s="48">
        <f t="shared" si="1895"/>
        <v>8.0749999999999993</v>
      </c>
      <c r="K99" s="45"/>
      <c r="L99" s="45"/>
      <c r="M99" s="46"/>
      <c r="N99" s="48"/>
      <c r="O99" s="48"/>
      <c r="Q99" s="45">
        <v>1200</v>
      </c>
      <c r="R99" s="45">
        <v>14.549999999999999</v>
      </c>
      <c r="S99" s="46">
        <v>5</v>
      </c>
      <c r="T99" s="48">
        <f t="shared" ref="T99" si="1900">Q99/R99</f>
        <v>82.474226804123717</v>
      </c>
      <c r="U99" s="48">
        <f t="shared" ref="U99" si="1901">R99/S99</f>
        <v>2.9099999999999997</v>
      </c>
      <c r="W99" s="45"/>
      <c r="X99" s="45"/>
      <c r="Y99" s="46"/>
      <c r="Z99" s="48"/>
      <c r="AA99" s="48"/>
      <c r="AC99" s="45">
        <f>300+350+300+350+300</f>
        <v>1600</v>
      </c>
      <c r="AD99" s="45">
        <f>3.5+3.7+3.4+3.6+3.5</f>
        <v>17.7</v>
      </c>
      <c r="AE99" s="46">
        <v>5</v>
      </c>
      <c r="AF99" s="48">
        <f t="shared" si="1896"/>
        <v>90.395480225988706</v>
      </c>
      <c r="AG99" s="48">
        <f t="shared" si="1897"/>
        <v>3.54</v>
      </c>
      <c r="AI99" s="45"/>
      <c r="AJ99" s="45"/>
      <c r="AK99" s="46"/>
      <c r="AL99" s="48"/>
      <c r="AM99" s="48"/>
      <c r="AO99" s="45"/>
      <c r="AP99" s="45"/>
      <c r="AQ99" s="46"/>
      <c r="AR99" s="48"/>
      <c r="AS99" s="48"/>
      <c r="AU99" s="45"/>
      <c r="AV99" s="45"/>
      <c r="AW99" s="46"/>
      <c r="AX99" s="48"/>
      <c r="AY99" s="48"/>
      <c r="AZ99" s="593"/>
      <c r="BA99" s="45"/>
      <c r="BB99" s="45"/>
      <c r="BC99" s="46"/>
      <c r="BD99" s="48"/>
      <c r="BE99" s="48"/>
      <c r="BF99" s="593"/>
      <c r="BG99" s="45"/>
      <c r="BH99" s="45"/>
      <c r="BI99" s="46"/>
      <c r="BJ99" s="48"/>
      <c r="BK99" s="48"/>
      <c r="BL99" s="593"/>
      <c r="BM99" s="45"/>
      <c r="BN99" s="45"/>
      <c r="BO99" s="46"/>
      <c r="BP99" s="48"/>
      <c r="BQ99" s="48"/>
      <c r="BS99" s="45"/>
      <c r="BT99" s="45"/>
      <c r="BU99" s="46"/>
      <c r="BV99" s="48"/>
      <c r="BW99" s="48"/>
      <c r="BX99" s="593"/>
      <c r="BY99" s="45"/>
      <c r="BZ99" s="45"/>
      <c r="CA99" s="46"/>
      <c r="CB99" s="48"/>
      <c r="CC99" s="48"/>
      <c r="CD99" s="593"/>
      <c r="CE99" s="45"/>
      <c r="CF99" s="45"/>
      <c r="CG99" s="46"/>
      <c r="CH99" s="48"/>
      <c r="CI99" s="48"/>
      <c r="CJ99" s="593"/>
      <c r="CK99" s="45">
        <v>750</v>
      </c>
      <c r="CL99" s="45">
        <v>18.46</v>
      </c>
      <c r="CM99" s="46">
        <v>5</v>
      </c>
      <c r="CN99" s="48">
        <f t="shared" ref="CN99" si="1902">CK99/CL99</f>
        <v>40.628385698808231</v>
      </c>
      <c r="CO99" s="48">
        <f t="shared" ref="CO99" si="1903">CL99/CM99</f>
        <v>3.6920000000000002</v>
      </c>
      <c r="CP99" s="593"/>
      <c r="CQ99" s="45">
        <f>150+150+150+200+200</f>
        <v>850</v>
      </c>
      <c r="CR99" s="45">
        <f>4.53+4.02+3.91+4.17+3.94</f>
        <v>20.570000000000004</v>
      </c>
      <c r="CS99" s="46">
        <v>5</v>
      </c>
      <c r="CT99" s="48">
        <f t="shared" si="1818"/>
        <v>41.322314049586772</v>
      </c>
      <c r="CU99" s="48">
        <f t="shared" si="1758"/>
        <v>4.1140000000000008</v>
      </c>
      <c r="CV99" s="593"/>
      <c r="CW99" s="45"/>
      <c r="CX99" s="45"/>
      <c r="CY99" s="46"/>
      <c r="CZ99" s="48"/>
      <c r="DA99" s="48"/>
      <c r="DB99" s="593"/>
      <c r="DC99" s="45"/>
      <c r="DD99" s="45"/>
      <c r="DE99" s="46"/>
      <c r="DF99" s="48"/>
      <c r="DG99" s="48"/>
      <c r="DH99" s="593"/>
      <c r="DI99" s="45">
        <v>1600</v>
      </c>
      <c r="DJ99" s="45">
        <v>17.7</v>
      </c>
      <c r="DK99" s="46">
        <v>5</v>
      </c>
      <c r="DL99" s="48">
        <f t="shared" si="1898"/>
        <v>90.395480225988706</v>
      </c>
      <c r="DM99" s="48">
        <f t="shared" si="1899"/>
        <v>3.54</v>
      </c>
      <c r="DN99" s="593"/>
      <c r="DO99" s="45"/>
      <c r="DP99" s="45"/>
      <c r="DQ99" s="46"/>
      <c r="DR99" s="48"/>
      <c r="DS99" s="48"/>
      <c r="DT99" s="593"/>
      <c r="DU99" s="45"/>
      <c r="DV99" s="45"/>
      <c r="DW99" s="46"/>
      <c r="DX99" s="48"/>
      <c r="DY99" s="48"/>
      <c r="DZ99" s="593"/>
      <c r="EA99" s="45"/>
      <c r="EB99" s="45"/>
      <c r="EC99" s="46"/>
      <c r="ED99" s="48"/>
      <c r="EE99" s="48"/>
      <c r="EF99" s="593"/>
      <c r="EG99" s="45"/>
      <c r="EH99" s="45"/>
      <c r="EI99" s="46"/>
      <c r="EJ99" s="48"/>
      <c r="EK99" s="48"/>
      <c r="EL99" s="593"/>
      <c r="EM99" s="45"/>
      <c r="EN99" s="45"/>
      <c r="EO99" s="46"/>
      <c r="EP99" s="48"/>
      <c r="EQ99" s="48"/>
      <c r="ES99" s="45"/>
      <c r="ET99" s="45"/>
      <c r="EU99" s="46"/>
      <c r="EV99" s="48"/>
      <c r="EW99" s="48"/>
      <c r="EY99" s="45">
        <v>2700</v>
      </c>
      <c r="EZ99" s="45">
        <v>36.620000000000005</v>
      </c>
      <c r="FA99" s="45">
        <v>5</v>
      </c>
      <c r="FB99" s="48">
        <f>EY99/EZ99</f>
        <v>73.730202075368638</v>
      </c>
      <c r="FC99" s="48">
        <f>EZ99/FA99</f>
        <v>7.3240000000000007</v>
      </c>
      <c r="FE99" s="45"/>
      <c r="FF99" s="45"/>
      <c r="FG99" s="46"/>
      <c r="FH99" s="48"/>
      <c r="FI99" s="48"/>
      <c r="FK99" s="38"/>
      <c r="FL99" s="40"/>
      <c r="FM99" s="38"/>
      <c r="FN99" s="40"/>
      <c r="FO99" s="40"/>
      <c r="FP99" s="231"/>
      <c r="FQ99" s="45"/>
      <c r="FR99" s="45"/>
      <c r="FS99" s="45"/>
      <c r="FT99" s="48"/>
      <c r="FU99" s="48"/>
      <c r="FW99" s="45"/>
      <c r="FX99" s="45"/>
      <c r="FY99" s="46"/>
      <c r="FZ99" s="48"/>
      <c r="GA99" s="48"/>
      <c r="GC99" s="26"/>
      <c r="GD99" s="45"/>
      <c r="GE99" s="45"/>
      <c r="GF99" s="48"/>
      <c r="GG99" s="48"/>
      <c r="GI99" s="45">
        <f>100+100+100+100+100</f>
        <v>500</v>
      </c>
      <c r="GJ99" s="45">
        <f>2.88+2.88+2.88+2.88+2.88</f>
        <v>14.399999999999999</v>
      </c>
      <c r="GK99" s="45">
        <f>5</f>
        <v>5</v>
      </c>
      <c r="GL99" s="48">
        <f t="shared" si="1768"/>
        <v>34.722222222222229</v>
      </c>
      <c r="GM99" s="48">
        <f t="shared" si="1768"/>
        <v>2.88</v>
      </c>
      <c r="GO99" s="45">
        <f>200+200+200+200+200</f>
        <v>1000</v>
      </c>
      <c r="GP99" s="45">
        <f>2.82+2.98+2.52+2.59+2.56</f>
        <v>13.47</v>
      </c>
      <c r="GQ99" s="45">
        <f>5</f>
        <v>5</v>
      </c>
      <c r="GR99" s="48">
        <f>GO99/GP99</f>
        <v>74.239049740163324</v>
      </c>
      <c r="GS99" s="48">
        <f>GP99/GQ99</f>
        <v>2.694</v>
      </c>
      <c r="GU99" s="99"/>
      <c r="GV99" s="99"/>
      <c r="GW99" s="100"/>
      <c r="GX99" s="101"/>
      <c r="GY99" s="101"/>
      <c r="GZ99" s="43"/>
      <c r="HA99" s="28">
        <f>200+200+200+200+200</f>
        <v>1000</v>
      </c>
      <c r="HB99" s="28">
        <f>2.43+1.6+5.4+2.25+1.54</f>
        <v>13.219999999999999</v>
      </c>
      <c r="HC99" s="28">
        <v>5</v>
      </c>
      <c r="HD99" s="40">
        <f t="shared" si="1771"/>
        <v>75.642965204236006</v>
      </c>
      <c r="HE99" s="40">
        <f t="shared" si="1771"/>
        <v>2.6439999999999997</v>
      </c>
      <c r="HG99" s="45"/>
      <c r="HH99" s="45"/>
      <c r="HI99" s="46"/>
      <c r="HJ99" s="48"/>
      <c r="HK99" s="48"/>
      <c r="HM99" s="45">
        <f>500+500</f>
        <v>1000</v>
      </c>
      <c r="HN99" s="45">
        <f>8.78+7.37</f>
        <v>16.149999999999999</v>
      </c>
      <c r="HO99" s="46">
        <v>2</v>
      </c>
      <c r="HP99" s="48">
        <f t="shared" si="1839"/>
        <v>61.919504643962853</v>
      </c>
      <c r="HQ99" s="48">
        <f t="shared" si="1839"/>
        <v>8.0749999999999993</v>
      </c>
      <c r="HS99" s="45"/>
      <c r="HT99" s="45"/>
      <c r="HU99" s="46"/>
      <c r="HV99" s="48"/>
      <c r="HW99" s="48"/>
      <c r="HX99" s="231"/>
      <c r="HY99" s="38"/>
      <c r="HZ99" s="40"/>
      <c r="IA99" s="38"/>
      <c r="IB99" s="40"/>
      <c r="IC99" s="40"/>
      <c r="IE99" s="38"/>
      <c r="IF99" s="40"/>
      <c r="IG99" s="38"/>
      <c r="IH99" s="40"/>
      <c r="II99" s="40"/>
      <c r="IK99" s="38"/>
      <c r="IL99" s="40"/>
      <c r="IM99" s="38"/>
      <c r="IN99" s="40"/>
      <c r="IO99" s="40"/>
      <c r="IQ99" s="38"/>
      <c r="IR99" s="40"/>
      <c r="IS99" s="38"/>
      <c r="IT99" s="40"/>
      <c r="IU99" s="40"/>
      <c r="IW99" s="38">
        <f>200+200+200+100+100</f>
        <v>800</v>
      </c>
      <c r="IX99" s="40">
        <f>2.89+2.55+3.01+2.16+2.22</f>
        <v>12.83</v>
      </c>
      <c r="IY99" s="38">
        <v>5</v>
      </c>
      <c r="IZ99" s="40">
        <f t="shared" ref="IZ99" si="1904">IW99/IX99</f>
        <v>62.353858144972719</v>
      </c>
      <c r="JA99" s="40">
        <f t="shared" ref="JA99" si="1905">IX99/IY99</f>
        <v>2.5659999999999998</v>
      </c>
      <c r="JC99" s="38">
        <f>200+200</f>
        <v>400</v>
      </c>
      <c r="JD99" s="40">
        <f>3.2+3.17</f>
        <v>6.37</v>
      </c>
      <c r="JE99" s="38">
        <v>2</v>
      </c>
      <c r="JF99" s="40">
        <f t="shared" ref="JF99" si="1906">JC99/JD99</f>
        <v>62.794348508634222</v>
      </c>
      <c r="JG99" s="40">
        <f t="shared" ref="JG99" si="1907">JD99/JE99</f>
        <v>3.1850000000000001</v>
      </c>
      <c r="JI99" s="38"/>
      <c r="JJ99" s="40"/>
      <c r="JK99" s="38"/>
      <c r="JL99" s="40"/>
      <c r="JM99" s="40"/>
      <c r="JO99" s="38"/>
      <c r="JP99" s="40"/>
      <c r="JQ99" s="38"/>
      <c r="JR99" s="40"/>
      <c r="JS99" s="40"/>
      <c r="JU99" s="38"/>
      <c r="JV99" s="40"/>
      <c r="JW99" s="38"/>
      <c r="JX99" s="40"/>
      <c r="JY99" s="40"/>
      <c r="KA99" s="38"/>
      <c r="KB99" s="40"/>
      <c r="KC99" s="38"/>
      <c r="KD99" s="40"/>
      <c r="KE99" s="40"/>
      <c r="KG99" s="38"/>
      <c r="KH99" s="40"/>
      <c r="KI99" s="38"/>
      <c r="KJ99" s="40" t="e">
        <f t="shared" si="1852"/>
        <v>#DIV/0!</v>
      </c>
      <c r="KK99" s="40" t="e">
        <f t="shared" si="1853"/>
        <v>#DIV/0!</v>
      </c>
      <c r="KM99" s="38"/>
      <c r="KN99" s="40"/>
      <c r="KO99" s="38"/>
      <c r="KP99" s="40" t="e">
        <f t="shared" si="1776"/>
        <v>#DIV/0!</v>
      </c>
      <c r="KQ99" s="40" t="e">
        <f t="shared" si="1777"/>
        <v>#DIV/0!</v>
      </c>
      <c r="KS99" s="38"/>
      <c r="KT99" s="40"/>
      <c r="KU99" s="38"/>
      <c r="KV99" s="40" t="e">
        <f t="shared" si="1778"/>
        <v>#DIV/0!</v>
      </c>
      <c r="KW99" s="40" t="e">
        <f t="shared" si="1779"/>
        <v>#DIV/0!</v>
      </c>
      <c r="KY99" s="38"/>
      <c r="KZ99" s="40"/>
      <c r="LA99" s="38"/>
      <c r="LB99" s="40" t="e">
        <f t="shared" si="1780"/>
        <v>#DIV/0!</v>
      </c>
      <c r="LC99" s="40" t="e">
        <f t="shared" si="1781"/>
        <v>#DIV/0!</v>
      </c>
      <c r="LE99" s="38"/>
      <c r="LF99" s="40"/>
      <c r="LG99" s="38"/>
      <c r="LH99" s="40" t="e">
        <f t="shared" si="1782"/>
        <v>#DIV/0!</v>
      </c>
      <c r="LI99" s="40" t="e">
        <f t="shared" si="1783"/>
        <v>#DIV/0!</v>
      </c>
      <c r="LK99" s="38"/>
      <c r="LL99" s="40"/>
      <c r="LM99" s="38"/>
      <c r="LN99" s="40" t="e">
        <f t="shared" si="1784"/>
        <v>#DIV/0!</v>
      </c>
      <c r="LO99" s="40" t="e">
        <f t="shared" si="1785"/>
        <v>#DIV/0!</v>
      </c>
      <c r="LQ99" s="38">
        <f>600+600+600+600+600</f>
        <v>3000</v>
      </c>
      <c r="LR99" s="40">
        <f>6.54+6.83+6.17+6.3+5.8</f>
        <v>31.64</v>
      </c>
      <c r="LS99" s="38">
        <v>5</v>
      </c>
      <c r="LT99" s="40">
        <f t="shared" si="1786"/>
        <v>94.816687737041718</v>
      </c>
      <c r="LU99" s="40">
        <f t="shared" si="1787"/>
        <v>6.3280000000000003</v>
      </c>
      <c r="LW99" s="38"/>
      <c r="LX99" s="40"/>
      <c r="LY99" s="38"/>
      <c r="LZ99" s="40" t="e">
        <f t="shared" si="1788"/>
        <v>#DIV/0!</v>
      </c>
      <c r="MA99" s="40" t="e">
        <f t="shared" si="1789"/>
        <v>#DIV/0!</v>
      </c>
      <c r="MC99" s="38"/>
      <c r="MD99" s="40"/>
      <c r="ME99" s="38"/>
      <c r="MF99" s="40" t="e">
        <f t="shared" si="1790"/>
        <v>#DIV/0!</v>
      </c>
      <c r="MG99" s="40" t="e">
        <f t="shared" si="1791"/>
        <v>#DIV/0!</v>
      </c>
      <c r="MI99" s="38">
        <f>200+200</f>
        <v>400</v>
      </c>
      <c r="MJ99" s="40">
        <f>3.42+3.43</f>
        <v>6.85</v>
      </c>
      <c r="MK99" s="38">
        <v>2</v>
      </c>
      <c r="ML99" s="40">
        <f t="shared" si="1792"/>
        <v>58.394160583941606</v>
      </c>
      <c r="MM99" s="40">
        <f t="shared" si="1793"/>
        <v>3.4249999999999998</v>
      </c>
      <c r="MO99" s="38"/>
      <c r="MP99" s="40"/>
      <c r="MQ99" s="38"/>
      <c r="MR99" s="40" t="e">
        <f t="shared" si="1794"/>
        <v>#DIV/0!</v>
      </c>
      <c r="MS99" s="40" t="e">
        <f t="shared" si="1795"/>
        <v>#DIV/0!</v>
      </c>
      <c r="MU99" s="38"/>
      <c r="MV99" s="40"/>
      <c r="MW99" s="38"/>
      <c r="MX99" s="40" t="e">
        <f t="shared" si="1796"/>
        <v>#DIV/0!</v>
      </c>
      <c r="MY99" s="40" t="e">
        <f t="shared" si="1797"/>
        <v>#DIV/0!</v>
      </c>
      <c r="NA99" s="825"/>
      <c r="NB99" s="826"/>
      <c r="NC99" s="825"/>
      <c r="ND99" s="40" t="e">
        <f t="shared" si="1798"/>
        <v>#DIV/0!</v>
      </c>
      <c r="NE99" s="40" t="e">
        <f t="shared" si="1799"/>
        <v>#DIV/0!</v>
      </c>
      <c r="NG99" s="825">
        <f>200+200+200+200+200</f>
        <v>1000</v>
      </c>
      <c r="NH99" s="826">
        <f>2.28+2.25+2.27+2.3+2.77</f>
        <v>11.869999999999997</v>
      </c>
      <c r="NI99" s="825">
        <v>5</v>
      </c>
      <c r="NJ99" s="40">
        <f t="shared" si="1800"/>
        <v>84.245998315080058</v>
      </c>
      <c r="NK99" s="40">
        <f t="shared" si="1801"/>
        <v>2.3739999999999997</v>
      </c>
      <c r="NM99" s="825"/>
      <c r="NN99" s="825"/>
      <c r="NO99" s="825"/>
      <c r="NP99" s="40" t="e">
        <f t="shared" si="1802"/>
        <v>#DIV/0!</v>
      </c>
      <c r="NQ99" s="40" t="e">
        <f t="shared" si="1803"/>
        <v>#DIV/0!</v>
      </c>
      <c r="NS99" s="825"/>
      <c r="NT99" s="825"/>
      <c r="NU99" s="825"/>
      <c r="NV99" s="40" t="e">
        <f t="shared" si="1804"/>
        <v>#DIV/0!</v>
      </c>
      <c r="NW99" s="40" t="e">
        <f t="shared" si="1805"/>
        <v>#DIV/0!</v>
      </c>
      <c r="NY99" s="913"/>
      <c r="NZ99" s="914"/>
      <c r="OA99" s="918"/>
      <c r="OB99" s="40" t="e">
        <f t="shared" si="1806"/>
        <v>#DIV/0!</v>
      </c>
      <c r="OC99" s="40" t="e">
        <f t="shared" si="1807"/>
        <v>#DIV/0!</v>
      </c>
      <c r="OE99" s="825"/>
      <c r="OF99" s="825"/>
      <c r="OG99" s="825"/>
      <c r="OH99" s="40" t="e">
        <f t="shared" si="1808"/>
        <v>#DIV/0!</v>
      </c>
      <c r="OI99" s="40" t="e">
        <f t="shared" si="1809"/>
        <v>#DIV/0!</v>
      </c>
    </row>
    <row r="100" spans="2:399">
      <c r="B100" s="11"/>
      <c r="C100" s="12" t="s">
        <v>19</v>
      </c>
      <c r="D100" s="58" t="s">
        <v>20</v>
      </c>
      <c r="E100" s="726">
        <f>600+500+400</f>
        <v>1500</v>
      </c>
      <c r="F100" s="45">
        <f>6.31+6.05+6.58</f>
        <v>18.939999999999998</v>
      </c>
      <c r="G100" s="45">
        <v>3</v>
      </c>
      <c r="H100" s="48">
        <f t="shared" ref="H100:H101" si="1908">E100/F100</f>
        <v>79.197465681098208</v>
      </c>
      <c r="I100" s="48">
        <f t="shared" ref="I100:I101" si="1909">F100/G100</f>
        <v>6.3133333333333326</v>
      </c>
      <c r="K100" s="45">
        <f>500+500+500+500+500</f>
        <v>2500</v>
      </c>
      <c r="L100" s="45">
        <f>8.2+7.2+7.8+7.5+10.2</f>
        <v>40.9</v>
      </c>
      <c r="M100" s="45">
        <v>5</v>
      </c>
      <c r="N100" s="48">
        <f t="shared" si="1882"/>
        <v>61.124694376528119</v>
      </c>
      <c r="O100" s="48">
        <f t="shared" si="1883"/>
        <v>8.18</v>
      </c>
      <c r="Q100" s="45">
        <v>2600</v>
      </c>
      <c r="R100" s="45">
        <v>33.400000000000006</v>
      </c>
      <c r="S100" s="45">
        <v>5</v>
      </c>
      <c r="T100" s="48">
        <f t="shared" ref="T100:T101" si="1910">Q100/R100</f>
        <v>77.844311377245489</v>
      </c>
      <c r="U100" s="48">
        <f t="shared" ref="U100:U101" si="1911">R100/S100</f>
        <v>6.6800000000000015</v>
      </c>
      <c r="W100" s="45">
        <f>600+600+300+300+400</f>
        <v>2200</v>
      </c>
      <c r="X100" s="45">
        <f>6.56+7.33+6.43+7.21+7.55</f>
        <v>35.08</v>
      </c>
      <c r="Y100" s="45">
        <v>5</v>
      </c>
      <c r="Z100" s="48">
        <f t="shared" ref="Z100:Z101" si="1912">W100/X100</f>
        <v>62.713797035347781</v>
      </c>
      <c r="AA100" s="48">
        <f t="shared" ref="AA100:AA101" si="1913">X100/Y100</f>
        <v>7.016</v>
      </c>
      <c r="AC100" s="45">
        <f>600+700+600+500+500</f>
        <v>2900</v>
      </c>
      <c r="AD100" s="45">
        <f>6.6+6.4+6.2+5.9+6.6</f>
        <v>31.700000000000003</v>
      </c>
      <c r="AE100" s="45">
        <v>5</v>
      </c>
      <c r="AF100" s="48">
        <f t="shared" ref="AF100:AF101" si="1914">AC100/AD100</f>
        <v>91.482649842271286</v>
      </c>
      <c r="AG100" s="48">
        <f t="shared" ref="AG100:AG101" si="1915">AD100/AE100</f>
        <v>6.3400000000000007</v>
      </c>
      <c r="AI100" s="45">
        <f>600+600+500+500+500</f>
        <v>2700</v>
      </c>
      <c r="AJ100" s="45">
        <f>10.08+6.47+6.53+6.84+6.7</f>
        <v>36.620000000000005</v>
      </c>
      <c r="AK100" s="45">
        <v>5</v>
      </c>
      <c r="AL100" s="48">
        <f t="shared" si="1856"/>
        <v>73.730202075368638</v>
      </c>
      <c r="AM100" s="48">
        <f t="shared" si="1857"/>
        <v>7.3240000000000007</v>
      </c>
      <c r="AO100" s="45"/>
      <c r="AP100" s="45"/>
      <c r="AQ100" s="45"/>
      <c r="AR100" s="48"/>
      <c r="AS100" s="48"/>
      <c r="AU100" s="45">
        <f>500+500+600+500+600</f>
        <v>2700</v>
      </c>
      <c r="AV100" s="45">
        <f>6.47+6.46+9.26+7.39+10.99</f>
        <v>40.57</v>
      </c>
      <c r="AW100" s="45">
        <v>5</v>
      </c>
      <c r="AX100" s="48">
        <f t="shared" ref="AX100:AX105" si="1916">AU100/AV100</f>
        <v>66.551639142223323</v>
      </c>
      <c r="AY100" s="48">
        <f t="shared" ref="AY100:AY105" si="1917">AV100/AW100</f>
        <v>8.1140000000000008</v>
      </c>
      <c r="AZ100" s="593"/>
      <c r="BA100" s="45">
        <f>600+600+600+600+600</f>
        <v>3000</v>
      </c>
      <c r="BB100" s="45">
        <f>6.56+8.39+7.33+8.02+7.23</f>
        <v>37.53</v>
      </c>
      <c r="BC100" s="45">
        <v>5</v>
      </c>
      <c r="BD100" s="48">
        <f t="shared" ref="BD100:BD101" si="1918">BA100/BB100</f>
        <v>79.936051159072733</v>
      </c>
      <c r="BE100" s="48">
        <f t="shared" ref="BE100:BE101" si="1919">BB100/BC100</f>
        <v>7.5060000000000002</v>
      </c>
      <c r="BF100" s="593"/>
      <c r="BG100" s="45"/>
      <c r="BH100" s="45"/>
      <c r="BI100" s="45"/>
      <c r="BJ100" s="48"/>
      <c r="BK100" s="48"/>
      <c r="BL100" s="593"/>
      <c r="BM100" s="45"/>
      <c r="BN100" s="45"/>
      <c r="BO100" s="45"/>
      <c r="BP100" s="48"/>
      <c r="BQ100" s="48"/>
      <c r="BS100" s="45"/>
      <c r="BT100" s="45"/>
      <c r="BU100" s="45"/>
      <c r="BV100" s="48"/>
      <c r="BW100" s="48"/>
      <c r="BX100" s="593"/>
      <c r="BY100" s="45">
        <f>500+500+600+500+600</f>
        <v>2700</v>
      </c>
      <c r="BZ100" s="45">
        <f>6.8+7.2+6.5+8.5+9.1</f>
        <v>38.1</v>
      </c>
      <c r="CA100" s="45">
        <v>5</v>
      </c>
      <c r="CB100" s="48">
        <f t="shared" ref="CB100:CB101" si="1920">BY100/BZ100</f>
        <v>70.866141732283467</v>
      </c>
      <c r="CC100" s="48">
        <f t="shared" ref="CC100:CC101" si="1921">BZ100/CA100</f>
        <v>7.62</v>
      </c>
      <c r="CD100" s="593"/>
      <c r="CE100" s="45"/>
      <c r="CF100" s="45"/>
      <c r="CG100" s="45"/>
      <c r="CH100" s="48"/>
      <c r="CI100" s="48"/>
      <c r="CJ100" s="593"/>
      <c r="CK100" s="45">
        <v>2300</v>
      </c>
      <c r="CL100" s="45">
        <v>40.869999999999997</v>
      </c>
      <c r="CM100" s="45">
        <v>5</v>
      </c>
      <c r="CN100" s="48">
        <f t="shared" ref="CN100:CN101" si="1922">CK100/CL100</f>
        <v>56.275997063861027</v>
      </c>
      <c r="CO100" s="48">
        <f t="shared" ref="CO100:CO101" si="1923">CL100/CM100</f>
        <v>8.1739999999999995</v>
      </c>
      <c r="CP100" s="593"/>
      <c r="CQ100" s="45">
        <f>500+500+500+400+400</f>
        <v>2300</v>
      </c>
      <c r="CR100" s="45">
        <f>11.53+11.21+10.14+9.35+7.51</f>
        <v>49.74</v>
      </c>
      <c r="CS100" s="45">
        <v>5</v>
      </c>
      <c r="CT100" s="48">
        <f t="shared" si="1818"/>
        <v>46.24045034177724</v>
      </c>
      <c r="CU100" s="48">
        <f t="shared" si="1758"/>
        <v>9.9480000000000004</v>
      </c>
      <c r="CV100" s="593"/>
      <c r="CW100" s="45">
        <f>500+500+600+500+600</f>
        <v>2700</v>
      </c>
      <c r="CX100" s="45">
        <f>6.8+7.2+6.5+8.5+9.1</f>
        <v>38.1</v>
      </c>
      <c r="CY100" s="45">
        <v>5</v>
      </c>
      <c r="CZ100" s="48">
        <f t="shared" ref="CZ100:CZ101" si="1924">CW100/CX100</f>
        <v>70.866141732283467</v>
      </c>
      <c r="DA100" s="48">
        <f t="shared" ref="DA100:DA101" si="1925">CX100/CY100</f>
        <v>7.62</v>
      </c>
      <c r="DB100" s="593"/>
      <c r="DC100" s="45">
        <f>600+600+600+600+600</f>
        <v>3000</v>
      </c>
      <c r="DD100" s="45">
        <f>5.11+5.92+5.01+4.73+5.07</f>
        <v>25.84</v>
      </c>
      <c r="DE100" s="45">
        <v>5</v>
      </c>
      <c r="DF100" s="48">
        <f t="shared" ref="DF100:DF101" si="1926">DC100/DD100</f>
        <v>116.09907120743034</v>
      </c>
      <c r="DG100" s="48">
        <f t="shared" ref="DG100:DG101" si="1927">DD100/DE100</f>
        <v>5.1680000000000001</v>
      </c>
      <c r="DH100" s="593"/>
      <c r="DI100" s="45">
        <v>2900</v>
      </c>
      <c r="DJ100" s="45">
        <v>31.700000000000003</v>
      </c>
      <c r="DK100" s="45">
        <v>5</v>
      </c>
      <c r="DL100" s="48">
        <f t="shared" ref="DL100:DL101" si="1928">DI100/DJ100</f>
        <v>91.482649842271286</v>
      </c>
      <c r="DM100" s="48">
        <f t="shared" ref="DM100:DM101" si="1929">DJ100/DK100</f>
        <v>6.3400000000000007</v>
      </c>
      <c r="DN100" s="593"/>
      <c r="DO100" s="45">
        <v>2200</v>
      </c>
      <c r="DP100" s="45">
        <v>39.78</v>
      </c>
      <c r="DQ100" s="45">
        <v>5</v>
      </c>
      <c r="DR100" s="48">
        <f t="shared" ref="DR100:DR101" si="1930">DO100/DP100</f>
        <v>55.30417295123177</v>
      </c>
      <c r="DS100" s="48">
        <f t="shared" ref="DS100:DS101" si="1931">DP100/DQ100</f>
        <v>7.9560000000000004</v>
      </c>
      <c r="DT100" s="593"/>
      <c r="DU100" s="45"/>
      <c r="DV100" s="45"/>
      <c r="DW100" s="45"/>
      <c r="DX100" s="48"/>
      <c r="DY100" s="48"/>
      <c r="DZ100" s="593"/>
      <c r="EA100" s="45"/>
      <c r="EB100" s="45"/>
      <c r="EC100" s="45"/>
      <c r="ED100" s="48"/>
      <c r="EE100" s="48"/>
      <c r="EF100" s="593"/>
      <c r="EG100" s="45"/>
      <c r="EH100" s="45"/>
      <c r="EI100" s="45"/>
      <c r="EJ100" s="48"/>
      <c r="EK100" s="48"/>
      <c r="EL100" s="593"/>
      <c r="EM100" s="45"/>
      <c r="EN100" s="45"/>
      <c r="EO100" s="45"/>
      <c r="EP100" s="48"/>
      <c r="EQ100" s="48"/>
      <c r="ES100" s="45">
        <f>500+500+600+500+600</f>
        <v>2700</v>
      </c>
      <c r="ET100" s="45">
        <f>6.8+7.2+6.5+8.5+9.1</f>
        <v>38.1</v>
      </c>
      <c r="EU100" s="45">
        <v>5</v>
      </c>
      <c r="EV100" s="48">
        <f t="shared" si="1890"/>
        <v>70.866141732283467</v>
      </c>
      <c r="EW100" s="48">
        <f t="shared" si="1890"/>
        <v>7.62</v>
      </c>
      <c r="EY100" s="45">
        <v>1700</v>
      </c>
      <c r="EZ100" s="45">
        <v>12.64</v>
      </c>
      <c r="FA100" s="45">
        <v>5</v>
      </c>
      <c r="FB100" s="48">
        <f>EY100/EZ100</f>
        <v>134.49367088607593</v>
      </c>
      <c r="FC100" s="48">
        <f>EZ100/FA100</f>
        <v>2.528</v>
      </c>
      <c r="FE100" s="26">
        <v>2600</v>
      </c>
      <c r="FF100" s="26">
        <v>33.400000000000006</v>
      </c>
      <c r="FG100" s="45">
        <v>5</v>
      </c>
      <c r="FH100" s="48">
        <f t="shared" si="1827"/>
        <v>77.844311377245489</v>
      </c>
      <c r="FI100" s="48">
        <f t="shared" si="1827"/>
        <v>6.6800000000000015</v>
      </c>
      <c r="FK100" s="38">
        <f>500+500+500+500+500</f>
        <v>2500</v>
      </c>
      <c r="FL100" s="40">
        <f>9.13+12.41+10.13+10.1+10.11</f>
        <v>51.88</v>
      </c>
      <c r="FM100" s="38">
        <f>5</f>
        <v>5</v>
      </c>
      <c r="FN100" s="40">
        <f>FK100/FL100</f>
        <v>48.188126445643789</v>
      </c>
      <c r="FO100" s="40">
        <f t="shared" ref="FO100:FO138" si="1932">FL100/FM100</f>
        <v>10.376000000000001</v>
      </c>
      <c r="FP100" s="231"/>
      <c r="FQ100" s="45">
        <f>500+500+500+500+500</f>
        <v>2500</v>
      </c>
      <c r="FR100" s="45">
        <f>7.62+7.72+7.75+6.48+6.8</f>
        <v>36.369999999999997</v>
      </c>
      <c r="FS100" s="45">
        <f>5</f>
        <v>5</v>
      </c>
      <c r="FT100" s="48">
        <f t="shared" si="1765"/>
        <v>68.737970855100357</v>
      </c>
      <c r="FU100" s="48">
        <f t="shared" si="1765"/>
        <v>7.2739999999999991</v>
      </c>
      <c r="FW100" s="45">
        <f>600+600+600+600+600</f>
        <v>3000</v>
      </c>
      <c r="FX100" s="45">
        <f>5.11+5.92+5.01+4.73+5.07</f>
        <v>25.84</v>
      </c>
      <c r="FY100" s="45">
        <v>5</v>
      </c>
      <c r="FZ100" s="48">
        <f t="shared" si="1766"/>
        <v>116.09907120743034</v>
      </c>
      <c r="GA100" s="48">
        <f t="shared" si="1766"/>
        <v>5.1680000000000001</v>
      </c>
      <c r="GC100" s="26">
        <f>600+600+500+500+400</f>
        <v>2600</v>
      </c>
      <c r="GD100" s="45">
        <f>11.17+10.8+6.7+7.14+5.11</f>
        <v>40.919999999999995</v>
      </c>
      <c r="GE100" s="45">
        <f>5</f>
        <v>5</v>
      </c>
      <c r="GF100" s="48">
        <f t="shared" si="1767"/>
        <v>63.538611925708707</v>
      </c>
      <c r="GG100" s="48">
        <f t="shared" si="1767"/>
        <v>8.1839999999999993</v>
      </c>
      <c r="GI100" s="45">
        <f>600+600+600+600+600</f>
        <v>3000</v>
      </c>
      <c r="GJ100" s="40">
        <f>9.8+11.41+10.8+11.1+10.9</f>
        <v>54.010000000000005</v>
      </c>
      <c r="GK100" s="45">
        <f>5</f>
        <v>5</v>
      </c>
      <c r="GL100" s="48">
        <f t="shared" si="1768"/>
        <v>55.545269394556556</v>
      </c>
      <c r="GM100" s="48">
        <f t="shared" si="1768"/>
        <v>10.802000000000001</v>
      </c>
      <c r="GO100" s="45">
        <f>600+600+600+500+500</f>
        <v>2800</v>
      </c>
      <c r="GP100" s="45">
        <f>8.46+7.36+9.04+7.34+7.34</f>
        <v>39.540000000000006</v>
      </c>
      <c r="GQ100" s="45">
        <f>5</f>
        <v>5</v>
      </c>
      <c r="GR100" s="48">
        <f t="shared" si="1769"/>
        <v>70.814365199797663</v>
      </c>
      <c r="GS100" s="48">
        <f t="shared" si="1769"/>
        <v>7.9080000000000013</v>
      </c>
      <c r="GU100" s="99">
        <f>500+500+400+600+600</f>
        <v>2600</v>
      </c>
      <c r="GV100" s="99">
        <f>6.73+7.51+4.54+7.64+7.9</f>
        <v>34.32</v>
      </c>
      <c r="GW100" s="99">
        <v>5</v>
      </c>
      <c r="GX100" s="101">
        <f t="shared" si="1770"/>
        <v>75.757575757575751</v>
      </c>
      <c r="GY100" s="101">
        <f t="shared" si="1770"/>
        <v>6.8639999999999999</v>
      </c>
      <c r="GZ100" s="43"/>
      <c r="HA100" s="28">
        <f>600+500+700+700</f>
        <v>2500</v>
      </c>
      <c r="HB100" s="28">
        <f>7.52+6.94+10.2+11.33</f>
        <v>35.99</v>
      </c>
      <c r="HC100" s="27">
        <v>5</v>
      </c>
      <c r="HD100" s="40">
        <f>HA100/HB100</f>
        <v>69.4637399277577</v>
      </c>
      <c r="HE100" s="40">
        <f>HB100/HC100</f>
        <v>7.1980000000000004</v>
      </c>
      <c r="HG100" s="45">
        <v>2200</v>
      </c>
      <c r="HH100" s="45">
        <v>39.78</v>
      </c>
      <c r="HI100" s="45">
        <v>5</v>
      </c>
      <c r="HJ100" s="48">
        <f>HG100/HH100</f>
        <v>55.30417295123177</v>
      </c>
      <c r="HK100" s="48">
        <f>HH100/HI100</f>
        <v>7.9560000000000004</v>
      </c>
      <c r="HM100" s="45">
        <f>600+500+400</f>
        <v>1500</v>
      </c>
      <c r="HN100" s="45">
        <f>6.31+6.05+6.58</f>
        <v>18.939999999999998</v>
      </c>
      <c r="HO100" s="45">
        <v>3</v>
      </c>
      <c r="HP100" s="48">
        <f t="shared" si="1839"/>
        <v>79.197465681098208</v>
      </c>
      <c r="HQ100" s="48">
        <f t="shared" si="1839"/>
        <v>6.3133333333333326</v>
      </c>
      <c r="HS100" s="26">
        <f>500+500+500+500+500</f>
        <v>2500</v>
      </c>
      <c r="HT100" s="26">
        <f>8.2+7.2+7.8+7.5+10.2</f>
        <v>40.9</v>
      </c>
      <c r="HU100" s="45">
        <v>5</v>
      </c>
      <c r="HV100" s="48">
        <f t="shared" ref="HV100:HW138" si="1933">HS100/HT100</f>
        <v>61.124694376528119</v>
      </c>
      <c r="HW100" s="48">
        <f t="shared" si="1933"/>
        <v>8.18</v>
      </c>
      <c r="HX100" s="231"/>
      <c r="HY100" s="38">
        <f>500+500+500+700+700</f>
        <v>2900</v>
      </c>
      <c r="HZ100" s="40">
        <f>9.26+9.61+11.2+9.22+9.23</f>
        <v>48.519999999999996</v>
      </c>
      <c r="IA100" s="38">
        <f>5</f>
        <v>5</v>
      </c>
      <c r="IB100" s="40">
        <f t="shared" si="1828"/>
        <v>59.769167353668593</v>
      </c>
      <c r="IC100" s="40">
        <f t="shared" si="1840"/>
        <v>9.7039999999999988</v>
      </c>
      <c r="IE100" s="38">
        <f>500+500+500+500+500</f>
        <v>2500</v>
      </c>
      <c r="IF100" s="40">
        <f>6.34+6.33+5.52+5.09+6.92</f>
        <v>30.199999999999996</v>
      </c>
      <c r="IG100" s="38">
        <f>5</f>
        <v>5</v>
      </c>
      <c r="IH100" s="40">
        <f t="shared" si="1841"/>
        <v>82.78145695364239</v>
      </c>
      <c r="II100" s="40">
        <f t="shared" si="1842"/>
        <v>6.0399999999999991</v>
      </c>
      <c r="IK100" s="38">
        <f>600+600+600</f>
        <v>1800</v>
      </c>
      <c r="IL100" s="40">
        <f>6.26+7.3+7.69</f>
        <v>21.25</v>
      </c>
      <c r="IM100" s="38">
        <v>3</v>
      </c>
      <c r="IN100" s="40">
        <f t="shared" ref="IN100:IN107" si="1934">IK100/IL100</f>
        <v>84.705882352941174</v>
      </c>
      <c r="IO100" s="40">
        <f t="shared" ref="IO100:IO107" si="1935">IL100/IM100</f>
        <v>7.083333333333333</v>
      </c>
      <c r="IQ100" s="38">
        <f>600+600+600+600+600</f>
        <v>3000</v>
      </c>
      <c r="IR100" s="40">
        <f>8.84+7.73+8.31+8.32+8.1</f>
        <v>41.300000000000004</v>
      </c>
      <c r="IS100" s="38">
        <v>5</v>
      </c>
      <c r="IT100" s="40">
        <f t="shared" ref="IT100:IT104" si="1936">IQ100/IR100</f>
        <v>72.63922518159805</v>
      </c>
      <c r="IU100" s="40">
        <f t="shared" ref="IU100:IU104" si="1937">IR100/IS100</f>
        <v>8.2600000000000016</v>
      </c>
      <c r="IW100" s="38">
        <f>600+600+600+700+700</f>
        <v>3200</v>
      </c>
      <c r="IX100" s="40">
        <f>7.64+7.55+7.01+6.99+6.61</f>
        <v>35.799999999999997</v>
      </c>
      <c r="IY100" s="38">
        <v>5</v>
      </c>
      <c r="IZ100" s="40">
        <f t="shared" ref="IZ100:IZ105" si="1938">IW100/IX100</f>
        <v>89.385474860335208</v>
      </c>
      <c r="JA100" s="40">
        <f t="shared" ref="JA100:JA105" si="1939">IX100/IY100</f>
        <v>7.1599999999999993</v>
      </c>
      <c r="JC100" s="38">
        <f>700+700+700+700+700</f>
        <v>3500</v>
      </c>
      <c r="JD100" s="40">
        <f>5.45+5.75+7.09+6.45+7.36</f>
        <v>32.1</v>
      </c>
      <c r="JE100" s="38">
        <v>5</v>
      </c>
      <c r="JF100" s="40">
        <f t="shared" ref="JF100:JF105" si="1940">JC100/JD100</f>
        <v>109.03426791277258</v>
      </c>
      <c r="JG100" s="40">
        <f t="shared" ref="JG100:JG105" si="1941">JD100/JE100</f>
        <v>6.42</v>
      </c>
      <c r="JI100" s="38">
        <f>600+600+600+700+700</f>
        <v>3200</v>
      </c>
      <c r="JJ100" s="40">
        <f>6.18+7.43+6.86+6.73+7.21</f>
        <v>34.409999999999997</v>
      </c>
      <c r="JK100" s="38">
        <v>5</v>
      </c>
      <c r="JL100" s="40">
        <f t="shared" ref="JL100:JL105" si="1942">JI100/JJ100</f>
        <v>92.996222028480105</v>
      </c>
      <c r="JM100" s="40">
        <f t="shared" ref="JM100:JM105" si="1943">JJ100/JK100</f>
        <v>6.8819999999999997</v>
      </c>
      <c r="JO100" s="38">
        <f>400+400+400+400+500</f>
        <v>2100</v>
      </c>
      <c r="JP100" s="40">
        <f>5.78+6.62+6.81+5.01+5.11</f>
        <v>29.33</v>
      </c>
      <c r="JQ100" s="38">
        <v>5</v>
      </c>
      <c r="JR100" s="40">
        <f t="shared" ref="JR100:JR104" si="1944">JO100/JP100</f>
        <v>71.599045346062056</v>
      </c>
      <c r="JS100" s="40">
        <f t="shared" ref="JS100:JS104" si="1945">JP100/JQ100</f>
        <v>5.8659999999999997</v>
      </c>
      <c r="JU100" s="38">
        <f>500+500+500+500+500</f>
        <v>2500</v>
      </c>
      <c r="JV100" s="40">
        <f>6.87+6.7+6.5+6.75+6.63</f>
        <v>33.450000000000003</v>
      </c>
      <c r="JW100" s="38">
        <v>5</v>
      </c>
      <c r="JX100" s="40">
        <f t="shared" ref="JX100:JX101" si="1946">JU100/JV100</f>
        <v>74.738415545590428</v>
      </c>
      <c r="JY100" s="40">
        <f t="shared" ref="JY100:JY101" si="1947">JV100/JW100</f>
        <v>6.69</v>
      </c>
      <c r="KA100" s="38">
        <f>700+500+200+700+200</f>
        <v>2300</v>
      </c>
      <c r="KB100" s="40">
        <f>8.52+6.78+3.51+8.65+7.99</f>
        <v>35.450000000000003</v>
      </c>
      <c r="KC100" s="38">
        <v>5</v>
      </c>
      <c r="KD100" s="40">
        <f t="shared" ref="KD100:KD103" si="1948">KA100/KB100</f>
        <v>64.880112834978831</v>
      </c>
      <c r="KE100" s="40">
        <f t="shared" ref="KE100:KE103" si="1949">KB100/KC100</f>
        <v>7.0900000000000007</v>
      </c>
      <c r="KG100" s="38">
        <f>500+500+500+600+600</f>
        <v>2700</v>
      </c>
      <c r="KH100" s="40">
        <f>6.34+7.76+6.84+8.06+8.05</f>
        <v>37.049999999999997</v>
      </c>
      <c r="KI100" s="38">
        <v>5</v>
      </c>
      <c r="KJ100" s="40">
        <f t="shared" si="1852"/>
        <v>72.874493927125513</v>
      </c>
      <c r="KK100" s="40">
        <f t="shared" si="1853"/>
        <v>7.4099999999999993</v>
      </c>
      <c r="KM100" s="38"/>
      <c r="KN100" s="40"/>
      <c r="KO100" s="38"/>
      <c r="KP100" s="40" t="e">
        <f t="shared" si="1776"/>
        <v>#DIV/0!</v>
      </c>
      <c r="KQ100" s="40" t="e">
        <f t="shared" si="1777"/>
        <v>#DIV/0!</v>
      </c>
      <c r="KS100" s="38">
        <f>500+500+400+400+700</f>
        <v>2500</v>
      </c>
      <c r="KT100" s="40">
        <f>6.08+6.1+5.21+5.19+8.69</f>
        <v>31.270000000000003</v>
      </c>
      <c r="KU100" s="38">
        <v>5</v>
      </c>
      <c r="KV100" s="40">
        <f t="shared" si="1778"/>
        <v>79.948832747041891</v>
      </c>
      <c r="KW100" s="40">
        <f t="shared" si="1779"/>
        <v>6.2540000000000004</v>
      </c>
      <c r="KY100" s="38"/>
      <c r="KZ100" s="40"/>
      <c r="LA100" s="38"/>
      <c r="LB100" s="40" t="e">
        <f t="shared" si="1780"/>
        <v>#DIV/0!</v>
      </c>
      <c r="LC100" s="40" t="e">
        <f t="shared" si="1781"/>
        <v>#DIV/0!</v>
      </c>
      <c r="LE100" s="38">
        <f>600+600+500+500+700</f>
        <v>2900</v>
      </c>
      <c r="LF100" s="40">
        <f>7.02+8.2+6.67+5.6+8.35</f>
        <v>35.840000000000003</v>
      </c>
      <c r="LG100" s="38">
        <v>5</v>
      </c>
      <c r="LH100" s="40">
        <f t="shared" si="1782"/>
        <v>80.915178571428569</v>
      </c>
      <c r="LI100" s="40">
        <f t="shared" si="1783"/>
        <v>7.168000000000001</v>
      </c>
      <c r="LK100" s="38">
        <f>500+500+500+500</f>
        <v>2000</v>
      </c>
      <c r="LL100" s="40">
        <f>7.43+7.67+7.78+5.89</f>
        <v>28.77</v>
      </c>
      <c r="LM100" s="38">
        <v>4</v>
      </c>
      <c r="LN100" s="40">
        <f t="shared" si="1784"/>
        <v>69.516857838025729</v>
      </c>
      <c r="LO100" s="40">
        <f t="shared" si="1785"/>
        <v>7.1924999999999999</v>
      </c>
      <c r="LQ100" s="38"/>
      <c r="LR100" s="40"/>
      <c r="LS100" s="38"/>
      <c r="LT100" s="40" t="e">
        <f t="shared" si="1786"/>
        <v>#DIV/0!</v>
      </c>
      <c r="LU100" s="40" t="e">
        <f t="shared" si="1787"/>
        <v>#DIV/0!</v>
      </c>
      <c r="LW100" s="38">
        <f>600+600+600+600+600</f>
        <v>3000</v>
      </c>
      <c r="LX100" s="40">
        <f>7+6.73+6.78+6.3+5.32</f>
        <v>32.130000000000003</v>
      </c>
      <c r="LY100" s="38">
        <v>5</v>
      </c>
      <c r="LZ100" s="40">
        <f t="shared" si="1788"/>
        <v>93.370681605975719</v>
      </c>
      <c r="MA100" s="40">
        <f t="shared" si="1789"/>
        <v>6.4260000000000002</v>
      </c>
      <c r="MC100" s="38">
        <f>700+700+700+700+700</f>
        <v>3500</v>
      </c>
      <c r="MD100" s="40">
        <f>8.88+8.47+7.45+6.47+14.26</f>
        <v>45.53</v>
      </c>
      <c r="ME100" s="38">
        <v>5</v>
      </c>
      <c r="MF100" s="40">
        <f t="shared" si="1790"/>
        <v>76.872391829562929</v>
      </c>
      <c r="MG100" s="40">
        <f t="shared" si="1791"/>
        <v>9.1059999999999999</v>
      </c>
      <c r="MI100" s="38">
        <f>500+500+500+500+500</f>
        <v>2500</v>
      </c>
      <c r="MJ100" s="40">
        <f>5.47+6.28+6.62+6.48+6.28</f>
        <v>31.130000000000003</v>
      </c>
      <c r="MK100" s="38">
        <v>5</v>
      </c>
      <c r="ML100" s="40">
        <f t="shared" si="1792"/>
        <v>80.308384195309984</v>
      </c>
      <c r="MM100" s="40">
        <f t="shared" si="1793"/>
        <v>6.2260000000000009</v>
      </c>
      <c r="MO100" s="38"/>
      <c r="MP100" s="40"/>
      <c r="MQ100" s="38"/>
      <c r="MR100" s="40" t="e">
        <f t="shared" si="1794"/>
        <v>#DIV/0!</v>
      </c>
      <c r="MS100" s="40" t="e">
        <f t="shared" si="1795"/>
        <v>#DIV/0!</v>
      </c>
      <c r="MU100" s="38"/>
      <c r="MV100" s="40"/>
      <c r="MW100" s="38"/>
      <c r="MX100" s="40" t="e">
        <f t="shared" si="1796"/>
        <v>#DIV/0!</v>
      </c>
      <c r="MY100" s="40" t="e">
        <f t="shared" si="1797"/>
        <v>#DIV/0!</v>
      </c>
      <c r="NA100" s="825">
        <f>500+500+500+500+500</f>
        <v>2500</v>
      </c>
      <c r="NB100" s="826">
        <f>6.64+6.56+7.34+6.2+6.4</f>
        <v>33.14</v>
      </c>
      <c r="NC100" s="825">
        <v>5</v>
      </c>
      <c r="ND100" s="40">
        <f t="shared" si="1798"/>
        <v>75.437537718768851</v>
      </c>
      <c r="NE100" s="40">
        <f t="shared" si="1799"/>
        <v>6.6280000000000001</v>
      </c>
      <c r="NG100" s="825">
        <f>500+500+500+500+500</f>
        <v>2500</v>
      </c>
      <c r="NH100" s="826">
        <f>5.83+5.89+5.87+5.85+5.8</f>
        <v>29.24</v>
      </c>
      <c r="NI100" s="825">
        <v>5</v>
      </c>
      <c r="NJ100" s="40">
        <f t="shared" si="1800"/>
        <v>85.499316005471954</v>
      </c>
      <c r="NK100" s="40">
        <f t="shared" si="1801"/>
        <v>5.8479999999999999</v>
      </c>
      <c r="NM100" s="825">
        <f>500+500+600+600+600</f>
        <v>2800</v>
      </c>
      <c r="NN100" s="826">
        <f>5.8+7.71+6.4+6.67+7.81</f>
        <v>34.39</v>
      </c>
      <c r="NO100" s="825">
        <v>5</v>
      </c>
      <c r="NP100" s="40">
        <f t="shared" si="1802"/>
        <v>81.419017156150048</v>
      </c>
      <c r="NQ100" s="40">
        <f t="shared" si="1803"/>
        <v>6.8780000000000001</v>
      </c>
      <c r="NS100" s="825">
        <f>600+600+600+600+600</f>
        <v>3000</v>
      </c>
      <c r="NT100" s="826">
        <f>6.45+7.63+8.77+8.27+7.91</f>
        <v>39.03</v>
      </c>
      <c r="NU100" s="825">
        <v>5</v>
      </c>
      <c r="NV100" s="40">
        <f t="shared" si="1804"/>
        <v>76.863950807071475</v>
      </c>
      <c r="NW100" s="40">
        <f t="shared" si="1805"/>
        <v>7.806</v>
      </c>
      <c r="NY100" s="913"/>
      <c r="NZ100" s="914"/>
      <c r="OA100" s="918"/>
      <c r="OB100" s="40" t="e">
        <f t="shared" si="1806"/>
        <v>#DIV/0!</v>
      </c>
      <c r="OC100" s="40" t="e">
        <f t="shared" si="1807"/>
        <v>#DIV/0!</v>
      </c>
      <c r="OE100" s="825">
        <f>500+500+500+500+500</f>
        <v>2500</v>
      </c>
      <c r="OF100" s="826">
        <f>8.44+8.36+8.47+7.65+7.81</f>
        <v>40.729999999999997</v>
      </c>
      <c r="OG100" s="825">
        <v>5</v>
      </c>
      <c r="OH100" s="40">
        <f t="shared" si="1808"/>
        <v>61.379818315737793</v>
      </c>
      <c r="OI100" s="40">
        <f t="shared" si="1809"/>
        <v>8.145999999999999</v>
      </c>
    </row>
    <row r="101" spans="2:399">
      <c r="B101" s="11"/>
      <c r="C101" s="12"/>
      <c r="D101" s="58" t="s">
        <v>21</v>
      </c>
      <c r="E101" s="726">
        <f>200+300+200+500+250</f>
        <v>1450</v>
      </c>
      <c r="F101" s="45">
        <f>2.64+3.59+2.58+5.28+4.8</f>
        <v>18.89</v>
      </c>
      <c r="G101" s="46">
        <v>5</v>
      </c>
      <c r="H101" s="48">
        <f t="shared" si="1908"/>
        <v>76.760190577024872</v>
      </c>
      <c r="I101" s="48">
        <f t="shared" si="1909"/>
        <v>3.778</v>
      </c>
      <c r="K101" s="45">
        <f>300+200+200</f>
        <v>700</v>
      </c>
      <c r="L101" s="45">
        <f>3.4+3.65+3.15</f>
        <v>10.199999999999999</v>
      </c>
      <c r="M101" s="46">
        <v>3</v>
      </c>
      <c r="N101" s="48">
        <f t="shared" si="1882"/>
        <v>68.627450980392155</v>
      </c>
      <c r="O101" s="48">
        <f t="shared" si="1883"/>
        <v>3.4</v>
      </c>
      <c r="Q101" s="45">
        <v>1900</v>
      </c>
      <c r="R101" s="45">
        <v>19.599999999999998</v>
      </c>
      <c r="S101" s="46">
        <v>5</v>
      </c>
      <c r="T101" s="48">
        <f t="shared" si="1910"/>
        <v>96.938775510204096</v>
      </c>
      <c r="U101" s="48">
        <f t="shared" si="1911"/>
        <v>3.9199999999999995</v>
      </c>
      <c r="W101" s="45">
        <f>500+500+500+350+350</f>
        <v>2200</v>
      </c>
      <c r="X101" s="45">
        <f>3.4+4.45+2.75+3.85+3.15</f>
        <v>17.599999999999998</v>
      </c>
      <c r="Y101" s="46">
        <v>5</v>
      </c>
      <c r="Z101" s="48">
        <f t="shared" si="1912"/>
        <v>125.00000000000001</v>
      </c>
      <c r="AA101" s="48">
        <f t="shared" si="1913"/>
        <v>3.5199999999999996</v>
      </c>
      <c r="AC101" s="45">
        <f>400+400+400+400+400</f>
        <v>2000</v>
      </c>
      <c r="AD101" s="45">
        <f>3.8+3.6+3.3+3.2+3.3</f>
        <v>17.2</v>
      </c>
      <c r="AE101" s="46">
        <v>5</v>
      </c>
      <c r="AF101" s="48">
        <f t="shared" si="1914"/>
        <v>116.27906976744187</v>
      </c>
      <c r="AG101" s="48">
        <f t="shared" si="1915"/>
        <v>3.44</v>
      </c>
      <c r="AI101" s="45">
        <f>300+300+500+300+300</f>
        <v>1700</v>
      </c>
      <c r="AJ101" s="45">
        <f>1.99+2.25+3.82+2.83+1.75</f>
        <v>12.64</v>
      </c>
      <c r="AK101" s="46">
        <v>5</v>
      </c>
      <c r="AL101" s="48">
        <f t="shared" si="1856"/>
        <v>134.49367088607593</v>
      </c>
      <c r="AM101" s="48">
        <f t="shared" si="1857"/>
        <v>2.528</v>
      </c>
      <c r="AO101" s="45"/>
      <c r="AP101" s="45"/>
      <c r="AQ101" s="46"/>
      <c r="AR101" s="48"/>
      <c r="AS101" s="48"/>
      <c r="AU101" s="45">
        <f>200+200+200+200+200</f>
        <v>1000</v>
      </c>
      <c r="AV101" s="45">
        <f>2.79+3.05+2.99+2.79+3.68</f>
        <v>15.3</v>
      </c>
      <c r="AW101" s="46">
        <v>5</v>
      </c>
      <c r="AX101" s="48">
        <f t="shared" si="1916"/>
        <v>65.359477124183002</v>
      </c>
      <c r="AY101" s="48">
        <f t="shared" si="1917"/>
        <v>3.06</v>
      </c>
      <c r="AZ101" s="593"/>
      <c r="BA101" s="45">
        <f>400+400+400+400+400</f>
        <v>2000</v>
      </c>
      <c r="BB101" s="45">
        <f>4.06+3.42+3.91+4.16+4.08</f>
        <v>19.630000000000003</v>
      </c>
      <c r="BC101" s="46">
        <v>5</v>
      </c>
      <c r="BD101" s="48">
        <f t="shared" si="1918"/>
        <v>101.88487009679061</v>
      </c>
      <c r="BE101" s="48">
        <f t="shared" si="1919"/>
        <v>3.9260000000000006</v>
      </c>
      <c r="BF101" s="593"/>
      <c r="BG101" s="45"/>
      <c r="BH101" s="45"/>
      <c r="BI101" s="46"/>
      <c r="BJ101" s="48"/>
      <c r="BK101" s="48"/>
      <c r="BL101" s="593"/>
      <c r="BM101" s="45"/>
      <c r="BN101" s="45"/>
      <c r="BO101" s="46"/>
      <c r="BP101" s="48"/>
      <c r="BQ101" s="48"/>
      <c r="BS101" s="45"/>
      <c r="BT101" s="45"/>
      <c r="BU101" s="46"/>
      <c r="BV101" s="48"/>
      <c r="BW101" s="48"/>
      <c r="BX101" s="593"/>
      <c r="BY101" s="45">
        <f>200+200+200+200+200</f>
        <v>1000</v>
      </c>
      <c r="BZ101" s="45">
        <f>2.79+3.05+2.99+2.79+3.68</f>
        <v>15.3</v>
      </c>
      <c r="CA101" s="46">
        <v>5</v>
      </c>
      <c r="CB101" s="48">
        <f t="shared" si="1920"/>
        <v>65.359477124183002</v>
      </c>
      <c r="CC101" s="48">
        <f t="shared" si="1921"/>
        <v>3.06</v>
      </c>
      <c r="CD101" s="593"/>
      <c r="CE101" s="45"/>
      <c r="CF101" s="45"/>
      <c r="CG101" s="46"/>
      <c r="CH101" s="48"/>
      <c r="CI101" s="48"/>
      <c r="CJ101" s="593"/>
      <c r="CK101" s="45">
        <v>1000</v>
      </c>
      <c r="CL101" s="45">
        <v>17.38</v>
      </c>
      <c r="CM101" s="46">
        <v>5</v>
      </c>
      <c r="CN101" s="48">
        <f t="shared" si="1922"/>
        <v>57.537399309551212</v>
      </c>
      <c r="CO101" s="48">
        <f t="shared" si="1923"/>
        <v>3.476</v>
      </c>
      <c r="CP101" s="593"/>
      <c r="CQ101" s="45">
        <f>200+200+200+200+200</f>
        <v>1000</v>
      </c>
      <c r="CR101" s="45">
        <f>2.86+3.35+2.22+2.66+3.29</f>
        <v>14.379999999999999</v>
      </c>
      <c r="CS101" s="46">
        <v>5</v>
      </c>
      <c r="CT101" s="48">
        <f t="shared" si="1818"/>
        <v>69.54102920723227</v>
      </c>
      <c r="CU101" s="48">
        <f t="shared" si="1758"/>
        <v>2.8759999999999999</v>
      </c>
      <c r="CV101" s="593"/>
      <c r="CW101" s="45">
        <f>200+200+200+200+200</f>
        <v>1000</v>
      </c>
      <c r="CX101" s="45">
        <f>2.79+3.05+2.99+2.79+3.68</f>
        <v>15.3</v>
      </c>
      <c r="CY101" s="46">
        <v>5</v>
      </c>
      <c r="CZ101" s="48">
        <f t="shared" si="1924"/>
        <v>65.359477124183002</v>
      </c>
      <c r="DA101" s="48">
        <f t="shared" si="1925"/>
        <v>3.06</v>
      </c>
      <c r="DB101" s="593"/>
      <c r="DC101" s="45">
        <f>500+500+500+200+400</f>
        <v>2100</v>
      </c>
      <c r="DD101" s="45">
        <f>5.4+4.69+5.17+2.49+2.73</f>
        <v>20.48</v>
      </c>
      <c r="DE101" s="46">
        <v>5</v>
      </c>
      <c r="DF101" s="48">
        <f t="shared" si="1926"/>
        <v>102.5390625</v>
      </c>
      <c r="DG101" s="48">
        <f t="shared" si="1927"/>
        <v>4.0960000000000001</v>
      </c>
      <c r="DH101" s="593"/>
      <c r="DI101" s="45">
        <v>2000</v>
      </c>
      <c r="DJ101" s="45">
        <v>17.2</v>
      </c>
      <c r="DK101" s="46">
        <v>5</v>
      </c>
      <c r="DL101" s="48">
        <f t="shared" si="1928"/>
        <v>116.27906976744187</v>
      </c>
      <c r="DM101" s="48">
        <f t="shared" si="1929"/>
        <v>3.44</v>
      </c>
      <c r="DN101" s="593"/>
      <c r="DO101" s="45">
        <v>1630</v>
      </c>
      <c r="DP101" s="45">
        <v>22.43</v>
      </c>
      <c r="DQ101" s="46">
        <v>5</v>
      </c>
      <c r="DR101" s="48">
        <f t="shared" si="1930"/>
        <v>72.670530539456081</v>
      </c>
      <c r="DS101" s="48">
        <f t="shared" si="1931"/>
        <v>4.4859999999999998</v>
      </c>
      <c r="DT101" s="593"/>
      <c r="DU101" s="45"/>
      <c r="DV101" s="45"/>
      <c r="DW101" s="46"/>
      <c r="DX101" s="48"/>
      <c r="DY101" s="48"/>
      <c r="DZ101" s="593"/>
      <c r="EA101" s="45"/>
      <c r="EB101" s="45"/>
      <c r="EC101" s="46"/>
      <c r="ED101" s="48"/>
      <c r="EE101" s="48"/>
      <c r="EF101" s="593"/>
      <c r="EG101" s="45"/>
      <c r="EH101" s="45"/>
      <c r="EI101" s="46"/>
      <c r="EJ101" s="48"/>
      <c r="EK101" s="48"/>
      <c r="EL101" s="593"/>
      <c r="EM101" s="45"/>
      <c r="EN101" s="45"/>
      <c r="EO101" s="46"/>
      <c r="EP101" s="48"/>
      <c r="EQ101" s="48"/>
      <c r="ES101" s="45">
        <f>200+200+200+200+200</f>
        <v>1000</v>
      </c>
      <c r="ET101" s="45">
        <f>2.79+3.05+2.99+2.79+3.68</f>
        <v>15.3</v>
      </c>
      <c r="EU101" s="46">
        <v>5</v>
      </c>
      <c r="EV101" s="48">
        <f t="shared" si="1890"/>
        <v>65.359477124183002</v>
      </c>
      <c r="EW101" s="48">
        <f t="shared" si="1890"/>
        <v>3.06</v>
      </c>
      <c r="EY101" s="45"/>
      <c r="EZ101" s="45"/>
      <c r="FA101" s="45"/>
      <c r="FB101" s="48"/>
      <c r="FC101" s="48"/>
      <c r="FE101" s="26">
        <v>1900</v>
      </c>
      <c r="FF101" s="45">
        <v>19.599999999999998</v>
      </c>
      <c r="FG101" s="46">
        <v>5</v>
      </c>
      <c r="FH101" s="48">
        <f t="shared" si="1827"/>
        <v>96.938775510204096</v>
      </c>
      <c r="FI101" s="48">
        <f t="shared" si="1827"/>
        <v>3.9199999999999995</v>
      </c>
      <c r="FK101" s="38">
        <f>200+200+200+200+200</f>
        <v>1000</v>
      </c>
      <c r="FL101" s="40">
        <f>4.1+4.09+4.09+2.69+2.54</f>
        <v>17.509999999999998</v>
      </c>
      <c r="FM101" s="38">
        <f>5</f>
        <v>5</v>
      </c>
      <c r="FN101" s="40">
        <f t="shared" ref="FN101:FN138" si="1950">FK101/FL101</f>
        <v>57.110222729868653</v>
      </c>
      <c r="FO101" s="40">
        <f>FL101/FM101</f>
        <v>3.5019999999999998</v>
      </c>
      <c r="FP101" s="231"/>
      <c r="FQ101" s="45">
        <f>200+200+300+300+300</f>
        <v>1300</v>
      </c>
      <c r="FR101" s="45">
        <f>2.4+2.83+3.4+2.7+2.69</f>
        <v>14.020000000000001</v>
      </c>
      <c r="FS101" s="45">
        <f>5</f>
        <v>5</v>
      </c>
      <c r="FT101" s="48">
        <f t="shared" si="1765"/>
        <v>92.724679029957201</v>
      </c>
      <c r="FU101" s="48">
        <f t="shared" si="1765"/>
        <v>2.8040000000000003</v>
      </c>
      <c r="FW101" s="45">
        <f>500+500+500+200+400</f>
        <v>2100</v>
      </c>
      <c r="FX101" s="45">
        <f>5.4+4.69+5.17+2.49+2.73</f>
        <v>20.48</v>
      </c>
      <c r="FY101" s="46">
        <v>5</v>
      </c>
      <c r="FZ101" s="48">
        <f t="shared" si="1766"/>
        <v>102.5390625</v>
      </c>
      <c r="GA101" s="48">
        <f t="shared" si="1766"/>
        <v>4.0960000000000001</v>
      </c>
      <c r="GC101" s="26"/>
      <c r="GD101" s="45"/>
      <c r="GE101" s="45"/>
      <c r="GF101" s="48"/>
      <c r="GG101" s="48"/>
      <c r="GI101" s="45">
        <f>200+200+200+200+200</f>
        <v>1000</v>
      </c>
      <c r="GJ101" s="45">
        <f>3.04+2.57+2.88+2.67+2.59</f>
        <v>13.749999999999998</v>
      </c>
      <c r="GK101" s="45">
        <f>5</f>
        <v>5</v>
      </c>
      <c r="GL101" s="48">
        <f t="shared" si="1768"/>
        <v>72.727272727272734</v>
      </c>
      <c r="GM101" s="48">
        <f t="shared" si="1768"/>
        <v>2.7499999999999996</v>
      </c>
      <c r="GO101" s="45">
        <f>250+250+250+250+250</f>
        <v>1250</v>
      </c>
      <c r="GP101" s="45">
        <f>2.5+2.8+3+2.7+2.9</f>
        <v>13.9</v>
      </c>
      <c r="GQ101" s="45">
        <f>5</f>
        <v>5</v>
      </c>
      <c r="GR101" s="48">
        <f t="shared" si="1769"/>
        <v>89.928057553956833</v>
      </c>
      <c r="GS101" s="48">
        <f t="shared" si="1769"/>
        <v>2.7800000000000002</v>
      </c>
      <c r="GU101" s="99">
        <f>200+200+150+300+300</f>
        <v>1150</v>
      </c>
      <c r="GV101" s="99">
        <f>2.54+2.07+2.31+3.24+3.5</f>
        <v>13.66</v>
      </c>
      <c r="GW101" s="100">
        <v>5</v>
      </c>
      <c r="GX101" s="101">
        <f t="shared" si="1770"/>
        <v>84.187408491947295</v>
      </c>
      <c r="GY101" s="101">
        <f t="shared" si="1770"/>
        <v>2.7320000000000002</v>
      </c>
      <c r="GZ101" s="43"/>
      <c r="HA101" s="28">
        <f>500+300+200+300+500</f>
        <v>1800</v>
      </c>
      <c r="HB101" s="28">
        <f>5.17+2.13+3.25+2.51+4.33</f>
        <v>17.39</v>
      </c>
      <c r="HC101" s="28">
        <v>5</v>
      </c>
      <c r="HD101" s="40">
        <f t="shared" si="1771"/>
        <v>103.50776308223116</v>
      </c>
      <c r="HE101" s="40">
        <f t="shared" si="1771"/>
        <v>3.4780000000000002</v>
      </c>
      <c r="HG101" s="45">
        <v>1630</v>
      </c>
      <c r="HH101" s="45">
        <v>22.43</v>
      </c>
      <c r="HI101" s="46">
        <v>5</v>
      </c>
      <c r="HJ101" s="48">
        <f t="shared" si="1772"/>
        <v>72.670530539456081</v>
      </c>
      <c r="HK101" s="48">
        <f t="shared" si="1772"/>
        <v>4.4859999999999998</v>
      </c>
      <c r="HM101" s="45">
        <f>200+300+200+500+250</f>
        <v>1450</v>
      </c>
      <c r="HN101" s="45">
        <f>2.64+3.59+2.58+5.28+4.8</f>
        <v>18.89</v>
      </c>
      <c r="HO101" s="46">
        <v>5</v>
      </c>
      <c r="HP101" s="48">
        <f t="shared" si="1839"/>
        <v>76.760190577024872</v>
      </c>
      <c r="HQ101" s="48">
        <f t="shared" si="1839"/>
        <v>3.778</v>
      </c>
      <c r="HS101" s="26">
        <f>300+200+200</f>
        <v>700</v>
      </c>
      <c r="HT101" s="45">
        <f>3.4+3.65+3.15</f>
        <v>10.199999999999999</v>
      </c>
      <c r="HU101" s="46">
        <v>3</v>
      </c>
      <c r="HV101" s="48">
        <f t="shared" si="1933"/>
        <v>68.627450980392155</v>
      </c>
      <c r="HW101" s="48">
        <f t="shared" si="1933"/>
        <v>3.4</v>
      </c>
      <c r="HX101" s="231"/>
      <c r="HY101" s="38"/>
      <c r="HZ101" s="40"/>
      <c r="IA101" s="38"/>
      <c r="IB101" s="40"/>
      <c r="IC101" s="40"/>
      <c r="IE101" s="38">
        <f>300+300+300+300+300</f>
        <v>1500</v>
      </c>
      <c r="IF101" s="40">
        <f>2.16+2.27+1.96+2.21+2.12</f>
        <v>10.719999999999999</v>
      </c>
      <c r="IG101" s="38">
        <f>5</f>
        <v>5</v>
      </c>
      <c r="IH101" s="40">
        <f t="shared" si="1841"/>
        <v>139.92537313432837</v>
      </c>
      <c r="II101" s="40">
        <f t="shared" si="1842"/>
        <v>2.1439999999999997</v>
      </c>
      <c r="IK101" s="38">
        <f>200+200+200+200+200</f>
        <v>1000</v>
      </c>
      <c r="IL101" s="40">
        <f>2.34+2.11+2.17+2.46+2.27</f>
        <v>11.349999999999998</v>
      </c>
      <c r="IM101" s="38">
        <v>5</v>
      </c>
      <c r="IN101" s="40">
        <f t="shared" si="1934"/>
        <v>88.105726872246706</v>
      </c>
      <c r="IO101" s="40">
        <f t="shared" si="1935"/>
        <v>2.2699999999999996</v>
      </c>
      <c r="IQ101" s="38">
        <f>500+500+500+500+500</f>
        <v>2500</v>
      </c>
      <c r="IR101" s="40">
        <f>4.25+5.21+5.35+5.35+4.18</f>
        <v>24.34</v>
      </c>
      <c r="IS101" s="38">
        <v>5</v>
      </c>
      <c r="IT101" s="40">
        <f t="shared" si="1936"/>
        <v>102.71158586688578</v>
      </c>
      <c r="IU101" s="40">
        <f t="shared" si="1937"/>
        <v>4.8680000000000003</v>
      </c>
      <c r="IW101" s="38">
        <f>500+500</f>
        <v>1000</v>
      </c>
      <c r="IX101" s="40">
        <f>3.43+3.52</f>
        <v>6.95</v>
      </c>
      <c r="IY101" s="38">
        <v>2</v>
      </c>
      <c r="IZ101" s="40">
        <f t="shared" si="1938"/>
        <v>143.88489208633092</v>
      </c>
      <c r="JA101" s="40">
        <f t="shared" si="1939"/>
        <v>3.4750000000000001</v>
      </c>
      <c r="JC101" s="38">
        <f>500+500+500+300+300</f>
        <v>2100</v>
      </c>
      <c r="JD101" s="40">
        <f>4.74+4.53+4.33+2.54+2.35</f>
        <v>18.490000000000002</v>
      </c>
      <c r="JE101" s="38">
        <v>5</v>
      </c>
      <c r="JF101" s="40">
        <f t="shared" si="1940"/>
        <v>113.57490535424553</v>
      </c>
      <c r="JG101" s="40">
        <f t="shared" si="1941"/>
        <v>3.6980000000000004</v>
      </c>
      <c r="JI101" s="38">
        <f>500+500+500+200+200</f>
        <v>1900</v>
      </c>
      <c r="JJ101" s="40">
        <f>3.74+3.11+2.95+1.81+1.8</f>
        <v>13.410000000000002</v>
      </c>
      <c r="JK101" s="38">
        <v>5</v>
      </c>
      <c r="JL101" s="40">
        <f t="shared" si="1942"/>
        <v>141.68530947054435</v>
      </c>
      <c r="JM101" s="40">
        <f t="shared" si="1943"/>
        <v>2.6820000000000004</v>
      </c>
      <c r="JO101" s="38">
        <f>500+500+300+300+300</f>
        <v>1900</v>
      </c>
      <c r="JP101" s="40">
        <f>3.34+3.86+3.54+2.64+4.1</f>
        <v>17.479999999999997</v>
      </c>
      <c r="JQ101" s="38">
        <v>5</v>
      </c>
      <c r="JR101" s="40">
        <f t="shared" si="1944"/>
        <v>108.69565217391306</v>
      </c>
      <c r="JS101" s="40">
        <f t="shared" si="1945"/>
        <v>3.4959999999999996</v>
      </c>
      <c r="JU101" s="38">
        <f>300+300+300+300+300</f>
        <v>1500</v>
      </c>
      <c r="JV101" s="40">
        <f>3.28+3.26+3.25+3.2+3.28</f>
        <v>16.27</v>
      </c>
      <c r="JW101" s="38">
        <v>5</v>
      </c>
      <c r="JX101" s="40">
        <f t="shared" si="1946"/>
        <v>92.194222495390292</v>
      </c>
      <c r="JY101" s="40">
        <f t="shared" si="1947"/>
        <v>3.254</v>
      </c>
      <c r="KA101" s="38"/>
      <c r="KB101" s="40"/>
      <c r="KC101" s="38"/>
      <c r="KD101" s="40"/>
      <c r="KE101" s="40"/>
      <c r="KG101" s="38"/>
      <c r="KH101" s="40"/>
      <c r="KI101" s="38"/>
      <c r="KJ101" s="40" t="e">
        <f t="shared" si="1852"/>
        <v>#DIV/0!</v>
      </c>
      <c r="KK101" s="40" t="e">
        <f t="shared" si="1853"/>
        <v>#DIV/0!</v>
      </c>
      <c r="KM101" s="38"/>
      <c r="KN101" s="40"/>
      <c r="KO101" s="38"/>
      <c r="KP101" s="40" t="e">
        <f t="shared" si="1776"/>
        <v>#DIV/0!</v>
      </c>
      <c r="KQ101" s="40" t="e">
        <f t="shared" si="1777"/>
        <v>#DIV/0!</v>
      </c>
      <c r="KS101" s="38">
        <f>200+200+200+200</f>
        <v>800</v>
      </c>
      <c r="KT101" s="40">
        <f>3.42+3.49+3.33+3.49</f>
        <v>13.73</v>
      </c>
      <c r="KU101" s="38">
        <v>4</v>
      </c>
      <c r="KV101" s="40">
        <f t="shared" si="1778"/>
        <v>58.266569555717403</v>
      </c>
      <c r="KW101" s="40">
        <f t="shared" si="1779"/>
        <v>3.4325000000000001</v>
      </c>
      <c r="KY101" s="38"/>
      <c r="KZ101" s="40"/>
      <c r="LA101" s="38"/>
      <c r="LB101" s="40" t="e">
        <f t="shared" si="1780"/>
        <v>#DIV/0!</v>
      </c>
      <c r="LC101" s="40" t="e">
        <f t="shared" si="1781"/>
        <v>#DIV/0!</v>
      </c>
      <c r="LE101" s="38"/>
      <c r="LF101" s="40"/>
      <c r="LG101" s="38"/>
      <c r="LH101" s="40" t="e">
        <f t="shared" si="1782"/>
        <v>#DIV/0!</v>
      </c>
      <c r="LI101" s="40" t="e">
        <f t="shared" si="1783"/>
        <v>#DIV/0!</v>
      </c>
      <c r="LK101" s="38"/>
      <c r="LL101" s="40"/>
      <c r="LM101" s="38"/>
      <c r="LN101" s="40" t="e">
        <f t="shared" si="1784"/>
        <v>#DIV/0!</v>
      </c>
      <c r="LO101" s="40" t="e">
        <f t="shared" si="1785"/>
        <v>#DIV/0!</v>
      </c>
      <c r="LQ101" s="38"/>
      <c r="LR101" s="40"/>
      <c r="LS101" s="38"/>
      <c r="LT101" s="40" t="e">
        <f t="shared" si="1786"/>
        <v>#DIV/0!</v>
      </c>
      <c r="LU101" s="40" t="e">
        <f t="shared" si="1787"/>
        <v>#DIV/0!</v>
      </c>
      <c r="LW101" s="38"/>
      <c r="LX101" s="40"/>
      <c r="LY101" s="38"/>
      <c r="LZ101" s="40" t="e">
        <f t="shared" si="1788"/>
        <v>#DIV/0!</v>
      </c>
      <c r="MA101" s="40" t="e">
        <f t="shared" si="1789"/>
        <v>#DIV/0!</v>
      </c>
      <c r="MC101" s="38">
        <f>500+500+500+500+500</f>
        <v>2500</v>
      </c>
      <c r="MD101" s="40">
        <f>4.06+4.87+8.5+8.72+9.2</f>
        <v>35.349999999999994</v>
      </c>
      <c r="ME101" s="38">
        <v>5</v>
      </c>
      <c r="MF101" s="40">
        <f t="shared" si="1790"/>
        <v>70.721357850070731</v>
      </c>
      <c r="MG101" s="40">
        <f t="shared" si="1791"/>
        <v>7.0699999999999985</v>
      </c>
      <c r="MI101" s="38"/>
      <c r="MJ101" s="40"/>
      <c r="MK101" s="38"/>
      <c r="ML101" s="40" t="e">
        <f t="shared" si="1792"/>
        <v>#DIV/0!</v>
      </c>
      <c r="MM101" s="40" t="e">
        <f t="shared" si="1793"/>
        <v>#DIV/0!</v>
      </c>
      <c r="MO101" s="38"/>
      <c r="MP101" s="40"/>
      <c r="MQ101" s="38"/>
      <c r="MR101" s="40" t="e">
        <f t="shared" si="1794"/>
        <v>#DIV/0!</v>
      </c>
      <c r="MS101" s="40" t="e">
        <f t="shared" si="1795"/>
        <v>#DIV/0!</v>
      </c>
      <c r="MU101" s="38"/>
      <c r="MV101" s="40"/>
      <c r="MW101" s="38"/>
      <c r="MX101" s="40" t="e">
        <f t="shared" si="1796"/>
        <v>#DIV/0!</v>
      </c>
      <c r="MY101" s="40" t="e">
        <f t="shared" si="1797"/>
        <v>#DIV/0!</v>
      </c>
      <c r="NA101" s="825">
        <f>200+200+200+200+200</f>
        <v>1000</v>
      </c>
      <c r="NB101" s="826">
        <f>2.46+2.66+2.21+2.33+2.54</f>
        <v>12.2</v>
      </c>
      <c r="NC101" s="825">
        <v>5</v>
      </c>
      <c r="ND101" s="40">
        <f t="shared" si="1798"/>
        <v>81.967213114754102</v>
      </c>
      <c r="NE101" s="40">
        <f t="shared" si="1799"/>
        <v>2.44</v>
      </c>
      <c r="NG101" s="825"/>
      <c r="NH101" s="826"/>
      <c r="NI101" s="825"/>
      <c r="NJ101" s="40" t="e">
        <f t="shared" si="1800"/>
        <v>#DIV/0!</v>
      </c>
      <c r="NK101" s="40" t="e">
        <f t="shared" si="1801"/>
        <v>#DIV/0!</v>
      </c>
      <c r="NM101" s="825"/>
      <c r="NN101" s="825"/>
      <c r="NO101" s="825"/>
      <c r="NP101" s="40" t="e">
        <f t="shared" si="1802"/>
        <v>#DIV/0!</v>
      </c>
      <c r="NQ101" s="40" t="e">
        <f t="shared" si="1803"/>
        <v>#DIV/0!</v>
      </c>
      <c r="NS101" s="825">
        <f>500+500+500+500+500</f>
        <v>2500</v>
      </c>
      <c r="NT101" s="825">
        <f>3.71+3.82+4.53+4.49+4.62</f>
        <v>21.169999999999998</v>
      </c>
      <c r="NU101" s="825">
        <v>5</v>
      </c>
      <c r="NV101" s="40">
        <f t="shared" si="1804"/>
        <v>118.09163911195088</v>
      </c>
      <c r="NW101" s="40">
        <f t="shared" si="1805"/>
        <v>4.234</v>
      </c>
      <c r="NY101" s="913"/>
      <c r="NZ101" s="914"/>
      <c r="OA101" s="918"/>
      <c r="OB101" s="40" t="e">
        <f t="shared" si="1806"/>
        <v>#DIV/0!</v>
      </c>
      <c r="OC101" s="40" t="e">
        <f t="shared" si="1807"/>
        <v>#DIV/0!</v>
      </c>
      <c r="OE101" s="825"/>
      <c r="OF101" s="825"/>
      <c r="OG101" s="825"/>
      <c r="OH101" s="40" t="e">
        <f t="shared" si="1808"/>
        <v>#DIV/0!</v>
      </c>
      <c r="OI101" s="40" t="e">
        <f t="shared" si="1809"/>
        <v>#DIV/0!</v>
      </c>
    </row>
    <row r="102" spans="2:399">
      <c r="B102" s="11"/>
      <c r="C102" s="12" t="s">
        <v>22</v>
      </c>
      <c r="D102" s="58" t="s">
        <v>20</v>
      </c>
      <c r="E102" s="726">
        <v>400</v>
      </c>
      <c r="F102" s="45">
        <v>3.55</v>
      </c>
      <c r="G102" s="46">
        <v>1</v>
      </c>
      <c r="H102" s="48">
        <f t="shared" ref="H102" si="1951">E102/F102</f>
        <v>112.67605633802818</v>
      </c>
      <c r="I102" s="48">
        <f t="shared" ref="I102" si="1952">F102/G102</f>
        <v>3.55</v>
      </c>
      <c r="K102" s="45"/>
      <c r="L102" s="45"/>
      <c r="M102" s="46"/>
      <c r="N102" s="48"/>
      <c r="O102" s="48"/>
      <c r="Q102" s="45">
        <v>9000</v>
      </c>
      <c r="R102" s="45">
        <v>42.5</v>
      </c>
      <c r="S102" s="46">
        <v>5</v>
      </c>
      <c r="T102" s="48">
        <f t="shared" ref="T102:T103" si="1953">Q102/R102</f>
        <v>211.76470588235293</v>
      </c>
      <c r="U102" s="48">
        <f t="shared" ref="U102:U103" si="1954">R102/S102</f>
        <v>8.5</v>
      </c>
      <c r="W102" s="45"/>
      <c r="X102" s="45"/>
      <c r="Y102" s="46"/>
      <c r="Z102" s="48"/>
      <c r="AA102" s="48"/>
      <c r="AC102" s="45"/>
      <c r="AD102" s="45"/>
      <c r="AE102" s="46"/>
      <c r="AF102" s="48"/>
      <c r="AG102" s="48"/>
      <c r="AI102" s="45">
        <v>2600</v>
      </c>
      <c r="AJ102" s="45">
        <v>10.98</v>
      </c>
      <c r="AK102" s="46">
        <v>5</v>
      </c>
      <c r="AL102" s="48">
        <f t="shared" ref="AL102:AL104" si="1955">AI102/AJ102</f>
        <v>236.79417122040073</v>
      </c>
      <c r="AM102" s="48">
        <f t="shared" ref="AM102:AM104" si="1956">AJ102/AK102</f>
        <v>2.1960000000000002</v>
      </c>
      <c r="AO102" s="45"/>
      <c r="AP102" s="45"/>
      <c r="AQ102" s="46"/>
      <c r="AR102" s="48"/>
      <c r="AS102" s="48"/>
      <c r="AU102" s="45"/>
      <c r="AV102" s="45"/>
      <c r="AW102" s="46"/>
      <c r="AX102" s="48"/>
      <c r="AY102" s="48"/>
      <c r="AZ102" s="593"/>
      <c r="BA102" s="45"/>
      <c r="BB102" s="45"/>
      <c r="BC102" s="46"/>
      <c r="BD102" s="48"/>
      <c r="BE102" s="48"/>
      <c r="BF102" s="593"/>
      <c r="BG102" s="45"/>
      <c r="BH102" s="45"/>
      <c r="BI102" s="46"/>
      <c r="BJ102" s="48"/>
      <c r="BK102" s="48"/>
      <c r="BL102" s="593"/>
      <c r="BM102" s="45"/>
      <c r="BN102" s="45"/>
      <c r="BO102" s="46"/>
      <c r="BP102" s="48"/>
      <c r="BQ102" s="48"/>
      <c r="BS102" s="45"/>
      <c r="BT102" s="45"/>
      <c r="BU102" s="46"/>
      <c r="BV102" s="48"/>
      <c r="BW102" s="48"/>
      <c r="BX102" s="593"/>
      <c r="BY102" s="45"/>
      <c r="BZ102" s="45"/>
      <c r="CA102" s="46"/>
      <c r="CB102" s="48"/>
      <c r="CC102" s="48"/>
      <c r="CD102" s="593"/>
      <c r="CE102" s="45"/>
      <c r="CF102" s="45"/>
      <c r="CG102" s="46"/>
      <c r="CH102" s="48"/>
      <c r="CI102" s="48"/>
      <c r="CJ102" s="593"/>
      <c r="CK102" s="45"/>
      <c r="CL102" s="45"/>
      <c r="CM102" s="46"/>
      <c r="CN102" s="48"/>
      <c r="CO102" s="48"/>
      <c r="CP102" s="593"/>
      <c r="CQ102" s="45">
        <f>1000</f>
        <v>1000</v>
      </c>
      <c r="CR102" s="45">
        <v>6.94</v>
      </c>
      <c r="CS102" s="46">
        <v>1</v>
      </c>
      <c r="CT102" s="48">
        <f t="shared" si="1818"/>
        <v>144.09221902017291</v>
      </c>
      <c r="CU102" s="48">
        <f t="shared" si="1758"/>
        <v>6.94</v>
      </c>
      <c r="CV102" s="593"/>
      <c r="CW102" s="45"/>
      <c r="CX102" s="45"/>
      <c r="CY102" s="46"/>
      <c r="CZ102" s="48"/>
      <c r="DA102" s="48"/>
      <c r="DB102" s="593"/>
      <c r="DC102" s="45">
        <f>1500+1500+600+1500+1500</f>
        <v>6600</v>
      </c>
      <c r="DD102" s="45">
        <f>6.15+5.57+8.75+9.98+8.7</f>
        <v>39.15</v>
      </c>
      <c r="DE102" s="46">
        <v>5</v>
      </c>
      <c r="DF102" s="48">
        <f t="shared" ref="DF102:DF103" si="1957">DC102/DD102</f>
        <v>168.58237547892722</v>
      </c>
      <c r="DG102" s="48">
        <f t="shared" ref="DG102:DG103" si="1958">DD102/DE102</f>
        <v>7.83</v>
      </c>
      <c r="DH102" s="593"/>
      <c r="DI102" s="45"/>
      <c r="DJ102" s="45"/>
      <c r="DK102" s="46"/>
      <c r="DL102" s="48"/>
      <c r="DM102" s="48"/>
      <c r="DN102" s="593"/>
      <c r="DO102" s="45">
        <v>8500</v>
      </c>
      <c r="DP102" s="45">
        <v>4.34</v>
      </c>
      <c r="DQ102" s="46">
        <v>5</v>
      </c>
      <c r="DR102" s="48">
        <f t="shared" ref="DR102:DR103" si="1959">DO102/DP102</f>
        <v>1958.5253456221199</v>
      </c>
      <c r="DS102" s="48">
        <f t="shared" ref="DS102:DS103" si="1960">DP102/DQ102</f>
        <v>0.86799999999999999</v>
      </c>
      <c r="DT102" s="593"/>
      <c r="DU102" s="45"/>
      <c r="DV102" s="45"/>
      <c r="DW102" s="46"/>
      <c r="DX102" s="48"/>
      <c r="DY102" s="48"/>
      <c r="DZ102" s="593"/>
      <c r="EA102" s="45"/>
      <c r="EB102" s="45"/>
      <c r="EC102" s="46"/>
      <c r="ED102" s="48"/>
      <c r="EE102" s="48"/>
      <c r="EF102" s="593"/>
      <c r="EG102" s="45"/>
      <c r="EH102" s="45"/>
      <c r="EI102" s="46"/>
      <c r="EJ102" s="48"/>
      <c r="EK102" s="48"/>
      <c r="EL102" s="593"/>
      <c r="EM102" s="45"/>
      <c r="EN102" s="45"/>
      <c r="EO102" s="46"/>
      <c r="EP102" s="48"/>
      <c r="EQ102" s="48"/>
      <c r="ES102" s="45"/>
      <c r="ET102" s="45"/>
      <c r="EU102" s="46"/>
      <c r="EV102" s="48"/>
      <c r="EW102" s="48"/>
      <c r="EY102" s="45">
        <v>3500</v>
      </c>
      <c r="EZ102" s="45">
        <v>10.979999999999999</v>
      </c>
      <c r="FA102" s="45">
        <v>5</v>
      </c>
      <c r="FB102" s="48">
        <f>EY102/EZ102</f>
        <v>318.76138433515484</v>
      </c>
      <c r="FC102" s="48">
        <f>EZ102/FA102</f>
        <v>2.1959999999999997</v>
      </c>
      <c r="FE102" s="45">
        <v>9000</v>
      </c>
      <c r="FF102" s="45">
        <v>42.5</v>
      </c>
      <c r="FG102" s="46">
        <v>5</v>
      </c>
      <c r="FH102" s="48">
        <f t="shared" si="1827"/>
        <v>211.76470588235293</v>
      </c>
      <c r="FI102" s="48">
        <f t="shared" si="1827"/>
        <v>8.5</v>
      </c>
      <c r="FK102" s="38">
        <f>1500+1500+1500+1500+2000</f>
        <v>8000</v>
      </c>
      <c r="FL102" s="40">
        <f>7.29+7.66+6.71+6.9+21.4</f>
        <v>49.96</v>
      </c>
      <c r="FM102" s="38">
        <f>5</f>
        <v>5</v>
      </c>
      <c r="FN102" s="40">
        <f t="shared" si="1950"/>
        <v>160.12810248198559</v>
      </c>
      <c r="FO102" s="40">
        <f t="shared" ref="FO102:FO104" si="1961">FL102/FM102</f>
        <v>9.9920000000000009</v>
      </c>
      <c r="FP102" s="231"/>
      <c r="FQ102" s="45">
        <f>800+800+1500+1500+100</f>
        <v>4700</v>
      </c>
      <c r="FR102" s="45">
        <f>5.26+5.53+8.98+8.17+10.48</f>
        <v>38.42</v>
      </c>
      <c r="FS102" s="45">
        <f>5</f>
        <v>5</v>
      </c>
      <c r="FT102" s="48">
        <f t="shared" si="1765"/>
        <v>122.33211868818323</v>
      </c>
      <c r="FU102" s="48">
        <f t="shared" si="1765"/>
        <v>7.6840000000000002</v>
      </c>
      <c r="FW102" s="45">
        <f>1500+1500+600+1500+1500</f>
        <v>6600</v>
      </c>
      <c r="FX102" s="45">
        <f>6.15+5.57+8.75+9.98+8.7</f>
        <v>39.15</v>
      </c>
      <c r="FY102" s="46">
        <v>5</v>
      </c>
      <c r="FZ102" s="48">
        <f t="shared" si="1766"/>
        <v>168.58237547892722</v>
      </c>
      <c r="GA102" s="48">
        <f t="shared" si="1766"/>
        <v>7.83</v>
      </c>
      <c r="GC102" s="26">
        <f>2500+2500+2000+2000+2500</f>
        <v>11500</v>
      </c>
      <c r="GD102" s="45">
        <f>10.83+9.64+9.03+10.73+12.56</f>
        <v>52.790000000000006</v>
      </c>
      <c r="GE102" s="45">
        <f>5</f>
        <v>5</v>
      </c>
      <c r="GF102" s="48">
        <f>GC102/GD102</f>
        <v>217.84428869103994</v>
      </c>
      <c r="GG102" s="48">
        <f>GD102/GE102</f>
        <v>10.558000000000002</v>
      </c>
      <c r="GI102" s="45">
        <f>2000+2000+2000+2000+2000</f>
        <v>10000</v>
      </c>
      <c r="GJ102" s="45">
        <f>11.52+10.82+11.52+10.82+10.82</f>
        <v>55.5</v>
      </c>
      <c r="GK102" s="45">
        <f>5</f>
        <v>5</v>
      </c>
      <c r="GL102" s="48">
        <f t="shared" si="1768"/>
        <v>180.18018018018017</v>
      </c>
      <c r="GM102" s="48">
        <f t="shared" si="1768"/>
        <v>11.1</v>
      </c>
      <c r="GO102" s="45">
        <f>800+700</f>
        <v>1500</v>
      </c>
      <c r="GP102" s="45">
        <f>6.24+5.8</f>
        <v>12.04</v>
      </c>
      <c r="GQ102" s="45">
        <f>2</f>
        <v>2</v>
      </c>
      <c r="GR102" s="48">
        <f t="shared" si="1769"/>
        <v>124.58471760797343</v>
      </c>
      <c r="GS102" s="48">
        <f t="shared" si="1769"/>
        <v>6.02</v>
      </c>
      <c r="GU102" s="99"/>
      <c r="GV102" s="99"/>
      <c r="GW102" s="100"/>
      <c r="GX102" s="101"/>
      <c r="GY102" s="101"/>
      <c r="GZ102" s="43"/>
      <c r="HA102" s="28">
        <f>700</f>
        <v>700</v>
      </c>
      <c r="HB102" s="28">
        <f>6.96</f>
        <v>6.96</v>
      </c>
      <c r="HC102" s="28">
        <v>1</v>
      </c>
      <c r="HD102" s="40">
        <f t="shared" si="1771"/>
        <v>100.57471264367817</v>
      </c>
      <c r="HE102" s="40">
        <f t="shared" si="1771"/>
        <v>6.96</v>
      </c>
      <c r="HG102" s="45">
        <v>8500</v>
      </c>
      <c r="HH102" s="45">
        <v>4.34</v>
      </c>
      <c r="HI102" s="46">
        <v>5</v>
      </c>
      <c r="HJ102" s="48">
        <f t="shared" si="1772"/>
        <v>1958.5253456221199</v>
      </c>
      <c r="HK102" s="48">
        <f t="shared" si="1772"/>
        <v>0.86799999999999999</v>
      </c>
      <c r="HM102" s="45">
        <v>400</v>
      </c>
      <c r="HN102" s="45">
        <v>3.55</v>
      </c>
      <c r="HO102" s="46">
        <v>1</v>
      </c>
      <c r="HP102" s="48">
        <f t="shared" si="1839"/>
        <v>112.67605633802818</v>
      </c>
      <c r="HQ102" s="48">
        <f t="shared" si="1839"/>
        <v>3.55</v>
      </c>
      <c r="HS102" s="45"/>
      <c r="HT102" s="45"/>
      <c r="HU102" s="46"/>
      <c r="HV102" s="48"/>
      <c r="HW102" s="48"/>
      <c r="HX102" s="231"/>
      <c r="HY102" s="38">
        <f>1500+1500+1500+1500+1500</f>
        <v>7500</v>
      </c>
      <c r="HZ102" s="40">
        <f>6.27+6.79+6.78+6.84+5.48</f>
        <v>32.159999999999997</v>
      </c>
      <c r="IA102" s="38">
        <f>5</f>
        <v>5</v>
      </c>
      <c r="IB102" s="40">
        <f t="shared" si="1828"/>
        <v>233.20895522388062</v>
      </c>
      <c r="IC102" s="40">
        <f t="shared" si="1840"/>
        <v>6.4319999999999995</v>
      </c>
      <c r="IE102" s="38">
        <f>1500+1500+1000+1000+1000</f>
        <v>6000</v>
      </c>
      <c r="IF102" s="40">
        <f>7.02+7.22+7.34+8.35+7.78</f>
        <v>37.71</v>
      </c>
      <c r="IG102" s="38">
        <f>5</f>
        <v>5</v>
      </c>
      <c r="IH102" s="40">
        <f t="shared" si="1841"/>
        <v>159.10898965791566</v>
      </c>
      <c r="II102" s="40">
        <f t="shared" si="1842"/>
        <v>7.5419999999999998</v>
      </c>
      <c r="IK102" s="38">
        <f>1000+1500</f>
        <v>2500</v>
      </c>
      <c r="IL102" s="40">
        <f>8.02+10.83</f>
        <v>18.850000000000001</v>
      </c>
      <c r="IM102" s="38">
        <v>2</v>
      </c>
      <c r="IN102" s="40">
        <f t="shared" si="1934"/>
        <v>132.62599469496021</v>
      </c>
      <c r="IO102" s="40">
        <f t="shared" si="1935"/>
        <v>9.4250000000000007</v>
      </c>
      <c r="IQ102" s="38">
        <f>2500+2500+2500+2500+1000</f>
        <v>11000</v>
      </c>
      <c r="IR102" s="40">
        <f>10.56+12.37+12.24+12.18+7.63</f>
        <v>54.980000000000004</v>
      </c>
      <c r="IS102" s="38">
        <v>5</v>
      </c>
      <c r="IT102" s="40">
        <f t="shared" si="1936"/>
        <v>200.07275372862858</v>
      </c>
      <c r="IU102" s="40">
        <f t="shared" si="1937"/>
        <v>10.996</v>
      </c>
      <c r="IW102" s="38">
        <f>1500+1500+1500+500+1000</f>
        <v>6000</v>
      </c>
      <c r="IX102" s="40">
        <f>11.11+10.71+8.33+6.26+4.38</f>
        <v>40.79</v>
      </c>
      <c r="IY102" s="38">
        <v>5</v>
      </c>
      <c r="IZ102" s="40">
        <f t="shared" si="1938"/>
        <v>147.09487619514587</v>
      </c>
      <c r="JA102" s="40">
        <f t="shared" si="1939"/>
        <v>8.1579999999999995</v>
      </c>
      <c r="JC102" s="38">
        <f>1500+1500+1500+1500+1500</f>
        <v>7500</v>
      </c>
      <c r="JD102" s="40">
        <f>7.41+8.05+5.91+7.79+6.35</f>
        <v>35.51</v>
      </c>
      <c r="JE102" s="38">
        <v>5</v>
      </c>
      <c r="JF102" s="40">
        <f t="shared" si="1940"/>
        <v>211.20811039143905</v>
      </c>
      <c r="JG102" s="40">
        <f t="shared" si="1941"/>
        <v>7.1019999999999994</v>
      </c>
      <c r="JI102" s="38">
        <f>2500+2500+2500+2000+2000</f>
        <v>11500</v>
      </c>
      <c r="JJ102" s="40">
        <f>11.12+10.68+9.33+9.48+9.66</f>
        <v>50.269999999999996</v>
      </c>
      <c r="JK102" s="38">
        <v>5</v>
      </c>
      <c r="JL102" s="40">
        <f t="shared" si="1942"/>
        <v>228.76467077779989</v>
      </c>
      <c r="JM102" s="40">
        <f t="shared" si="1943"/>
        <v>10.053999999999998</v>
      </c>
      <c r="JO102" s="38">
        <f>1500+1500+1500+1000+1000</f>
        <v>6500</v>
      </c>
      <c r="JP102" s="40">
        <f>9.31+9.73+8.62+7.99+9.21</f>
        <v>44.86</v>
      </c>
      <c r="JQ102" s="38">
        <v>5</v>
      </c>
      <c r="JR102" s="40">
        <f t="shared" si="1944"/>
        <v>144.89522960321</v>
      </c>
      <c r="JS102" s="40">
        <f t="shared" si="1945"/>
        <v>8.9719999999999995</v>
      </c>
      <c r="JU102" s="38"/>
      <c r="JV102" s="40"/>
      <c r="JW102" s="38"/>
      <c r="JX102" s="40"/>
      <c r="JY102" s="40"/>
      <c r="KA102" s="38"/>
      <c r="KB102" s="40"/>
      <c r="KC102" s="38"/>
      <c r="KD102" s="40"/>
      <c r="KE102" s="40"/>
      <c r="KG102" s="38">
        <f>2000+2000+2000+2000+2000</f>
        <v>10000</v>
      </c>
      <c r="KH102" s="40">
        <f>9.81+11.6+10.91+9.73+10.78</f>
        <v>52.83</v>
      </c>
      <c r="KI102" s="38">
        <v>5</v>
      </c>
      <c r="KJ102" s="40">
        <f t="shared" si="1852"/>
        <v>189.28639030853682</v>
      </c>
      <c r="KK102" s="40">
        <f t="shared" si="1853"/>
        <v>10.565999999999999</v>
      </c>
      <c r="KM102" s="38"/>
      <c r="KN102" s="40"/>
      <c r="KO102" s="38"/>
      <c r="KP102" s="40" t="e">
        <f t="shared" si="1776"/>
        <v>#DIV/0!</v>
      </c>
      <c r="KQ102" s="40" t="e">
        <f t="shared" si="1777"/>
        <v>#DIV/0!</v>
      </c>
      <c r="KS102" s="38">
        <f>100</f>
        <v>100</v>
      </c>
      <c r="KT102" s="40">
        <f>4.42</f>
        <v>4.42</v>
      </c>
      <c r="KU102" s="38">
        <v>1</v>
      </c>
      <c r="KV102" s="40">
        <f t="shared" si="1778"/>
        <v>22.624434389140273</v>
      </c>
      <c r="KW102" s="40">
        <f t="shared" si="1779"/>
        <v>4.42</v>
      </c>
      <c r="KY102" s="38"/>
      <c r="KZ102" s="40"/>
      <c r="LA102" s="38"/>
      <c r="LB102" s="40" t="e">
        <f t="shared" si="1780"/>
        <v>#DIV/0!</v>
      </c>
      <c r="LC102" s="40" t="e">
        <f t="shared" si="1781"/>
        <v>#DIV/0!</v>
      </c>
      <c r="LE102" s="38">
        <f>3000+3000</f>
        <v>6000</v>
      </c>
      <c r="LF102" s="40">
        <f>14.72+11.28</f>
        <v>26</v>
      </c>
      <c r="LG102" s="38">
        <v>2</v>
      </c>
      <c r="LH102" s="40">
        <f t="shared" si="1782"/>
        <v>230.76923076923077</v>
      </c>
      <c r="LI102" s="40">
        <f t="shared" si="1783"/>
        <v>13</v>
      </c>
      <c r="LK102" s="38"/>
      <c r="LL102" s="40"/>
      <c r="LM102" s="38"/>
      <c r="LN102" s="40" t="e">
        <f t="shared" si="1784"/>
        <v>#DIV/0!</v>
      </c>
      <c r="LO102" s="40" t="e">
        <f t="shared" si="1785"/>
        <v>#DIV/0!</v>
      </c>
      <c r="LQ102" s="38"/>
      <c r="LR102" s="40"/>
      <c r="LS102" s="38"/>
      <c r="LT102" s="40" t="e">
        <f t="shared" si="1786"/>
        <v>#DIV/0!</v>
      </c>
      <c r="LU102" s="40" t="e">
        <f t="shared" si="1787"/>
        <v>#DIV/0!</v>
      </c>
      <c r="LW102" s="38">
        <f>2000+2000+2000+2500+2500</f>
        <v>11000</v>
      </c>
      <c r="LX102" s="40">
        <f>8.3+8.4+9+9.91+12.75</f>
        <v>48.36</v>
      </c>
      <c r="LY102" s="38">
        <v>5</v>
      </c>
      <c r="LZ102" s="40">
        <f t="shared" si="1788"/>
        <v>227.46071133167908</v>
      </c>
      <c r="MA102" s="40">
        <f t="shared" si="1789"/>
        <v>9.6720000000000006</v>
      </c>
      <c r="MC102" s="38">
        <f>1500+1000+1500+1500+2000</f>
        <v>7500</v>
      </c>
      <c r="MD102" s="40">
        <f>12.53+13.5+14+12.25+16.3</f>
        <v>68.58</v>
      </c>
      <c r="ME102" s="38">
        <v>5</v>
      </c>
      <c r="MF102" s="40">
        <f t="shared" si="1790"/>
        <v>109.36132983377078</v>
      </c>
      <c r="MG102" s="40">
        <f t="shared" si="1791"/>
        <v>13.715999999999999</v>
      </c>
      <c r="MI102" s="38">
        <f>2000+2000+2000</f>
        <v>6000</v>
      </c>
      <c r="MJ102" s="40">
        <f>9.4+10.4+8.67</f>
        <v>28.47</v>
      </c>
      <c r="MK102" s="38">
        <v>3</v>
      </c>
      <c r="ML102" s="40">
        <f t="shared" si="1792"/>
        <v>210.7481559536354</v>
      </c>
      <c r="MM102" s="40">
        <f t="shared" si="1793"/>
        <v>9.49</v>
      </c>
      <c r="MO102" s="38"/>
      <c r="MP102" s="40"/>
      <c r="MQ102" s="38"/>
      <c r="MR102" s="40" t="e">
        <f t="shared" si="1794"/>
        <v>#DIV/0!</v>
      </c>
      <c r="MS102" s="40" t="e">
        <f t="shared" si="1795"/>
        <v>#DIV/0!</v>
      </c>
      <c r="MU102" s="38"/>
      <c r="MV102" s="40"/>
      <c r="MW102" s="38"/>
      <c r="MX102" s="40" t="e">
        <f t="shared" si="1796"/>
        <v>#DIV/0!</v>
      </c>
      <c r="MY102" s="40" t="e">
        <f t="shared" si="1797"/>
        <v>#DIV/0!</v>
      </c>
      <c r="NA102" s="825">
        <f>2500+2500+2500+2000+2500</f>
        <v>12000</v>
      </c>
      <c r="NB102" s="826">
        <f>30.31+24.28+29.4+24.25+30.64</f>
        <v>138.88</v>
      </c>
      <c r="NC102" s="825">
        <v>5</v>
      </c>
      <c r="ND102" s="40">
        <f t="shared" si="1798"/>
        <v>86.405529953917053</v>
      </c>
      <c r="NE102" s="40">
        <f t="shared" si="1799"/>
        <v>27.776</v>
      </c>
      <c r="NG102" s="825">
        <f>2500+2500+2500+2500+2500</f>
        <v>12500</v>
      </c>
      <c r="NH102" s="826">
        <f>7.79+12.59+11+15.5+13</f>
        <v>59.879999999999995</v>
      </c>
      <c r="NI102" s="825">
        <v>5</v>
      </c>
      <c r="NJ102" s="40">
        <f t="shared" si="1800"/>
        <v>208.75083500334003</v>
      </c>
      <c r="NK102" s="40">
        <f t="shared" si="1801"/>
        <v>11.975999999999999</v>
      </c>
      <c r="NM102" s="825">
        <f>800+2000+2000+2000+2000</f>
        <v>8800</v>
      </c>
      <c r="NN102" s="826">
        <f>6.04+7.12+9.99+10.71+7.34</f>
        <v>41.2</v>
      </c>
      <c r="NO102" s="825">
        <v>5</v>
      </c>
      <c r="NP102" s="40">
        <f t="shared" si="1802"/>
        <v>213.59223300970874</v>
      </c>
      <c r="NQ102" s="40">
        <f t="shared" si="1803"/>
        <v>8.24</v>
      </c>
      <c r="NS102" s="825">
        <f>1000+1000+1000+1000+1000</f>
        <v>5000</v>
      </c>
      <c r="NT102" s="826">
        <f>9.1+7.11+7.66+7.82+8.79</f>
        <v>40.480000000000004</v>
      </c>
      <c r="NU102" s="825">
        <v>5</v>
      </c>
      <c r="NV102" s="40">
        <f t="shared" si="1804"/>
        <v>123.51778656126481</v>
      </c>
      <c r="NW102" s="40">
        <f t="shared" si="1805"/>
        <v>8.0960000000000001</v>
      </c>
      <c r="NY102" s="913">
        <f>1500+2800+3000+800+900</f>
        <v>9000</v>
      </c>
      <c r="NZ102" s="914">
        <f>10.5+19.89+21.21+8.5+9.2</f>
        <v>69.3</v>
      </c>
      <c r="OA102" s="918">
        <v>5</v>
      </c>
      <c r="OB102" s="40">
        <f t="shared" si="1806"/>
        <v>129.87012987012989</v>
      </c>
      <c r="OC102" s="40">
        <f t="shared" si="1807"/>
        <v>13.86</v>
      </c>
      <c r="OE102" s="825"/>
      <c r="OF102" s="826"/>
      <c r="OG102" s="825"/>
      <c r="OH102" s="40" t="e">
        <f t="shared" si="1808"/>
        <v>#DIV/0!</v>
      </c>
      <c r="OI102" s="40" t="e">
        <f t="shared" si="1809"/>
        <v>#DIV/0!</v>
      </c>
    </row>
    <row r="103" spans="2:399" ht="15" thickBot="1">
      <c r="B103" s="14"/>
      <c r="C103" s="15"/>
      <c r="D103" s="65" t="s">
        <v>23</v>
      </c>
      <c r="E103" s="726"/>
      <c r="F103" s="45"/>
      <c r="G103" s="46"/>
      <c r="H103" s="48"/>
      <c r="I103" s="48"/>
      <c r="K103" s="45"/>
      <c r="L103" s="45"/>
      <c r="M103" s="46"/>
      <c r="N103" s="48"/>
      <c r="O103" s="48"/>
      <c r="Q103" s="45">
        <v>4150</v>
      </c>
      <c r="R103" s="45">
        <v>15.049999999999999</v>
      </c>
      <c r="S103" s="46">
        <v>5</v>
      </c>
      <c r="T103" s="48">
        <f t="shared" si="1953"/>
        <v>275.74750830564784</v>
      </c>
      <c r="U103" s="48">
        <f t="shared" si="1954"/>
        <v>3.01</v>
      </c>
      <c r="W103" s="45"/>
      <c r="X103" s="45"/>
      <c r="Y103" s="46"/>
      <c r="Z103" s="48"/>
      <c r="AA103" s="48"/>
      <c r="AC103" s="45">
        <f>700+700+1000+800+800</f>
        <v>4000</v>
      </c>
      <c r="AD103" s="45">
        <f>2.6+2.7+3.3+2.7+2.2</f>
        <v>13.5</v>
      </c>
      <c r="AE103" s="46">
        <v>5</v>
      </c>
      <c r="AF103" s="48">
        <f t="shared" ref="AF103" si="1962">AC103/AD103</f>
        <v>296.2962962962963</v>
      </c>
      <c r="AG103" s="48">
        <f t="shared" ref="AG103" si="1963">AD103/AE103</f>
        <v>2.7</v>
      </c>
      <c r="AI103" s="45"/>
      <c r="AJ103" s="45"/>
      <c r="AK103" s="46"/>
      <c r="AL103" s="48"/>
      <c r="AM103" s="48"/>
      <c r="AO103" s="45"/>
      <c r="AP103" s="45"/>
      <c r="AQ103" s="46"/>
      <c r="AR103" s="48"/>
      <c r="AS103" s="48"/>
      <c r="AU103" s="45">
        <f>800+600+700+2000+1000</f>
        <v>5100</v>
      </c>
      <c r="AV103" s="45">
        <f>2.55+2.32+2.57+4.36+3.73</f>
        <v>15.530000000000001</v>
      </c>
      <c r="AW103" s="46">
        <v>5</v>
      </c>
      <c r="AX103" s="48">
        <f t="shared" si="1916"/>
        <v>328.39665164198323</v>
      </c>
      <c r="AY103" s="48">
        <f t="shared" si="1917"/>
        <v>3.1060000000000003</v>
      </c>
      <c r="AZ103" s="593"/>
      <c r="BA103" s="45">
        <f>500+700+700+800+1000</f>
        <v>3700</v>
      </c>
      <c r="BB103" s="45">
        <f>2.1+2.62+2.14+2.14+4.76</f>
        <v>13.760000000000002</v>
      </c>
      <c r="BC103" s="46">
        <v>5</v>
      </c>
      <c r="BD103" s="48">
        <f t="shared" ref="BD103:BD105" si="1964">BA103/BB103</f>
        <v>268.89534883720927</v>
      </c>
      <c r="BE103" s="48">
        <f t="shared" ref="BE103:BE105" si="1965">BB103/BC103</f>
        <v>2.7520000000000002</v>
      </c>
      <c r="BF103" s="593"/>
      <c r="BG103" s="45"/>
      <c r="BH103" s="45"/>
      <c r="BI103" s="46"/>
      <c r="BJ103" s="48"/>
      <c r="BK103" s="48"/>
      <c r="BL103" s="593"/>
      <c r="BM103" s="45"/>
      <c r="BN103" s="45"/>
      <c r="BO103" s="46"/>
      <c r="BP103" s="48"/>
      <c r="BQ103" s="48"/>
      <c r="BS103" s="45"/>
      <c r="BT103" s="45"/>
      <c r="BU103" s="46"/>
      <c r="BV103" s="48"/>
      <c r="BW103" s="48"/>
      <c r="BX103" s="593"/>
      <c r="BY103" s="45"/>
      <c r="BZ103" s="45"/>
      <c r="CA103" s="46"/>
      <c r="CB103" s="48"/>
      <c r="CC103" s="48"/>
      <c r="CD103" s="593"/>
      <c r="CE103" s="45"/>
      <c r="CF103" s="45"/>
      <c r="CG103" s="46"/>
      <c r="CH103" s="48"/>
      <c r="CI103" s="48"/>
      <c r="CJ103" s="593"/>
      <c r="CK103" s="45">
        <v>4000</v>
      </c>
      <c r="CL103" s="45">
        <v>18.03</v>
      </c>
      <c r="CM103" s="46">
        <v>5</v>
      </c>
      <c r="CN103" s="48">
        <f t="shared" ref="CN103" si="1966">CK103/CL103</f>
        <v>221.85246810870768</v>
      </c>
      <c r="CO103" s="48">
        <f t="shared" ref="CO103" si="1967">CL103/CM103</f>
        <v>3.6060000000000003</v>
      </c>
      <c r="CP103" s="593"/>
      <c r="CQ103" s="45">
        <f>400+600+800+500+500</f>
        <v>2800</v>
      </c>
      <c r="CR103" s="45">
        <f>1.86+2.83+3.73+2.5+2.8</f>
        <v>13.719999999999999</v>
      </c>
      <c r="CS103" s="46">
        <v>5</v>
      </c>
      <c r="CT103" s="48">
        <f t="shared" si="1818"/>
        <v>204.08163265306123</v>
      </c>
      <c r="CU103" s="48">
        <f t="shared" si="1758"/>
        <v>2.7439999999999998</v>
      </c>
      <c r="CV103" s="593"/>
      <c r="CW103" s="45"/>
      <c r="CX103" s="45"/>
      <c r="CY103" s="46"/>
      <c r="CZ103" s="48"/>
      <c r="DA103" s="48"/>
      <c r="DB103" s="593"/>
      <c r="DC103" s="45">
        <f>100+700+500+400+300</f>
        <v>2000</v>
      </c>
      <c r="DD103" s="45">
        <f>2.02+3.9+1.9+1.47+1.91</f>
        <v>11.200000000000001</v>
      </c>
      <c r="DE103" s="46">
        <v>5</v>
      </c>
      <c r="DF103" s="48">
        <f t="shared" si="1957"/>
        <v>178.57142857142856</v>
      </c>
      <c r="DG103" s="48">
        <f t="shared" si="1958"/>
        <v>2.2400000000000002</v>
      </c>
      <c r="DH103" s="593"/>
      <c r="DI103" s="45">
        <v>4000</v>
      </c>
      <c r="DJ103" s="45">
        <v>13.5</v>
      </c>
      <c r="DK103" s="46">
        <v>5</v>
      </c>
      <c r="DL103" s="48">
        <f t="shared" ref="DL103" si="1968">DI103/DJ103</f>
        <v>296.2962962962963</v>
      </c>
      <c r="DM103" s="48">
        <f t="shared" ref="DM103" si="1969">DJ103/DK103</f>
        <v>2.7</v>
      </c>
      <c r="DN103" s="593"/>
      <c r="DO103" s="45">
        <v>4100</v>
      </c>
      <c r="DP103" s="45">
        <v>40.24</v>
      </c>
      <c r="DQ103" s="46">
        <v>5</v>
      </c>
      <c r="DR103" s="48">
        <f t="shared" si="1959"/>
        <v>101.88866799204771</v>
      </c>
      <c r="DS103" s="48">
        <f t="shared" si="1960"/>
        <v>8.048</v>
      </c>
      <c r="DT103" s="593"/>
      <c r="DU103" s="45"/>
      <c r="DV103" s="45"/>
      <c r="DW103" s="46"/>
      <c r="DX103" s="48"/>
      <c r="DY103" s="48"/>
      <c r="DZ103" s="593"/>
      <c r="EA103" s="45"/>
      <c r="EB103" s="45"/>
      <c r="EC103" s="46"/>
      <c r="ED103" s="48"/>
      <c r="EE103" s="48"/>
      <c r="EF103" s="593"/>
      <c r="EG103" s="45"/>
      <c r="EH103" s="45"/>
      <c r="EI103" s="46"/>
      <c r="EJ103" s="48"/>
      <c r="EK103" s="48"/>
      <c r="EL103" s="593"/>
      <c r="EM103" s="45"/>
      <c r="EN103" s="45"/>
      <c r="EO103" s="46"/>
      <c r="EP103" s="48"/>
      <c r="EQ103" s="48"/>
      <c r="ES103" s="45"/>
      <c r="ET103" s="45"/>
      <c r="EU103" s="46"/>
      <c r="EV103" s="48"/>
      <c r="EW103" s="48"/>
      <c r="EY103" s="45"/>
      <c r="EZ103" s="45"/>
      <c r="FA103" s="45"/>
      <c r="FB103" s="48"/>
      <c r="FC103" s="48"/>
      <c r="FE103" s="45">
        <v>4150</v>
      </c>
      <c r="FF103" s="45">
        <v>15.049999999999999</v>
      </c>
      <c r="FG103" s="46">
        <v>5</v>
      </c>
      <c r="FH103" s="48">
        <f t="shared" si="1827"/>
        <v>275.74750830564784</v>
      </c>
      <c r="FI103" s="48">
        <f t="shared" si="1827"/>
        <v>3.01</v>
      </c>
      <c r="FK103" s="38">
        <f>1000+700+600+500+400</f>
        <v>3200</v>
      </c>
      <c r="FL103" s="40">
        <f>3.33+2.56+2.83+2.27+1.84</f>
        <v>12.83</v>
      </c>
      <c r="FM103" s="38">
        <f>5</f>
        <v>5</v>
      </c>
      <c r="FN103" s="40">
        <f t="shared" si="1950"/>
        <v>249.41543257989088</v>
      </c>
      <c r="FO103" s="40">
        <f t="shared" si="1961"/>
        <v>2.5659999999999998</v>
      </c>
      <c r="FP103" s="231"/>
      <c r="FQ103" s="45">
        <f>1000+400+700+300+800</f>
        <v>3200</v>
      </c>
      <c r="FR103" s="45">
        <f>3.84+1.65+2.81+1.78+3.04</f>
        <v>13.120000000000001</v>
      </c>
      <c r="FS103" s="45">
        <f>5</f>
        <v>5</v>
      </c>
      <c r="FT103" s="48">
        <f t="shared" si="1765"/>
        <v>243.90243902439022</v>
      </c>
      <c r="FU103" s="48">
        <f t="shared" si="1765"/>
        <v>2.6240000000000001</v>
      </c>
      <c r="FW103" s="45">
        <f>100+700+500+400+300</f>
        <v>2000</v>
      </c>
      <c r="FX103" s="45">
        <f>2.02+3.9+1.9+1.47+1.91</f>
        <v>11.200000000000001</v>
      </c>
      <c r="FY103" s="46">
        <v>5</v>
      </c>
      <c r="FZ103" s="48">
        <f t="shared" si="1766"/>
        <v>178.57142857142856</v>
      </c>
      <c r="GA103" s="48">
        <f t="shared" si="1766"/>
        <v>2.2400000000000002</v>
      </c>
      <c r="GC103" s="26">
        <f>250+400+1000+700+500</f>
        <v>2850</v>
      </c>
      <c r="GD103" s="45">
        <f>1.65+1.78+3.83+2.33+2.44</f>
        <v>12.03</v>
      </c>
      <c r="GE103" s="45">
        <f>5</f>
        <v>5</v>
      </c>
      <c r="GF103" s="48">
        <f t="shared" si="1767"/>
        <v>236.90773067331673</v>
      </c>
      <c r="GG103" s="48">
        <f t="shared" si="1767"/>
        <v>2.4059999999999997</v>
      </c>
      <c r="GI103" s="45">
        <f>1200+700+1700+2500+300</f>
        <v>6400</v>
      </c>
      <c r="GJ103" s="45">
        <f>4.79+1.38+5.9+7.87+10.3</f>
        <v>30.240000000000002</v>
      </c>
      <c r="GK103" s="45">
        <f>5</f>
        <v>5</v>
      </c>
      <c r="GL103" s="48">
        <f>GI103/GJ103</f>
        <v>211.64021164021162</v>
      </c>
      <c r="GM103" s="48">
        <f>GJ103/GK103</f>
        <v>6.048</v>
      </c>
      <c r="GO103" s="45">
        <f>800+800+1500+1500+600</f>
        <v>5200</v>
      </c>
      <c r="GP103" s="45">
        <f>2.3+2.3+4.1+4+2.59</f>
        <v>15.29</v>
      </c>
      <c r="GQ103" s="45">
        <f>5</f>
        <v>5</v>
      </c>
      <c r="GR103" s="48">
        <f t="shared" si="1769"/>
        <v>340.09156311314587</v>
      </c>
      <c r="GS103" s="48">
        <f t="shared" si="1769"/>
        <v>3.0579999999999998</v>
      </c>
      <c r="GU103" s="99"/>
      <c r="GV103" s="99"/>
      <c r="GW103" s="100"/>
      <c r="GX103" s="101"/>
      <c r="GY103" s="101"/>
      <c r="GZ103" s="43"/>
      <c r="HA103" s="28">
        <f>1000+300+250+450+800</f>
        <v>2800</v>
      </c>
      <c r="HB103" s="28">
        <f>3.13+1.1+0.71+1.17+2.11</f>
        <v>8.2200000000000006</v>
      </c>
      <c r="HC103" s="28">
        <v>5</v>
      </c>
      <c r="HD103" s="40">
        <f t="shared" si="1771"/>
        <v>340.63260340632598</v>
      </c>
      <c r="HE103" s="40">
        <f t="shared" si="1771"/>
        <v>1.6440000000000001</v>
      </c>
      <c r="HG103" s="45">
        <f>500+700+500+600+400</f>
        <v>2700</v>
      </c>
      <c r="HH103" s="45">
        <v>8.8000000000000007</v>
      </c>
      <c r="HI103" s="46">
        <v>5</v>
      </c>
      <c r="HJ103" s="48">
        <f t="shared" si="1772"/>
        <v>306.81818181818181</v>
      </c>
      <c r="HK103" s="48">
        <f t="shared" si="1772"/>
        <v>1.7600000000000002</v>
      </c>
      <c r="HM103" s="45"/>
      <c r="HN103" s="45"/>
      <c r="HO103" s="46"/>
      <c r="HP103" s="48"/>
      <c r="HQ103" s="48"/>
      <c r="HS103" s="45"/>
      <c r="HT103" s="45"/>
      <c r="HU103" s="46"/>
      <c r="HV103" s="48"/>
      <c r="HW103" s="48"/>
      <c r="HX103" s="231"/>
      <c r="HY103" s="38">
        <f>300+400+500+700+600</f>
        <v>2500</v>
      </c>
      <c r="HZ103" s="40">
        <f>1.29+1.33+1.1+2.65+2.17</f>
        <v>8.5399999999999991</v>
      </c>
      <c r="IA103" s="38">
        <f>5</f>
        <v>5</v>
      </c>
      <c r="IB103" s="40">
        <f t="shared" si="1828"/>
        <v>292.74004683840752</v>
      </c>
      <c r="IC103" s="40">
        <f t="shared" si="1840"/>
        <v>1.7079999999999997</v>
      </c>
      <c r="IE103" s="38">
        <f>1200+700+600+1000+800</f>
        <v>4300</v>
      </c>
      <c r="IF103" s="40">
        <f>3.38+2.49+1.95+2.56+2.9</f>
        <v>13.280000000000001</v>
      </c>
      <c r="IG103" s="38">
        <f>5</f>
        <v>5</v>
      </c>
      <c r="IH103" s="40">
        <f t="shared" si="1841"/>
        <v>323.79518072289153</v>
      </c>
      <c r="II103" s="40">
        <f t="shared" si="1842"/>
        <v>2.6560000000000001</v>
      </c>
      <c r="IK103" s="38">
        <f>400+800+300+1000+500</f>
        <v>3000</v>
      </c>
      <c r="IL103" s="40">
        <f>1.79+3.47+1.38+3.08+3.18</f>
        <v>12.899999999999999</v>
      </c>
      <c r="IM103" s="38">
        <v>5</v>
      </c>
      <c r="IN103" s="40">
        <f t="shared" si="1934"/>
        <v>232.55813953488374</v>
      </c>
      <c r="IO103" s="40">
        <f t="shared" si="1935"/>
        <v>2.5799999999999996</v>
      </c>
      <c r="IQ103" s="38">
        <f>500+500+400+500+400</f>
        <v>2300</v>
      </c>
      <c r="IR103" s="40">
        <f>2.45+1.74+1.95+3.33+1.76</f>
        <v>11.23</v>
      </c>
      <c r="IS103" s="38">
        <v>5</v>
      </c>
      <c r="IT103" s="40">
        <f t="shared" si="1936"/>
        <v>204.80854853072128</v>
      </c>
      <c r="IU103" s="40">
        <f t="shared" si="1937"/>
        <v>2.246</v>
      </c>
      <c r="IW103" s="38">
        <f>500+300+600+1000</f>
        <v>2400</v>
      </c>
      <c r="IX103" s="40">
        <f>2.04+2.53+2.51+3.83</f>
        <v>10.91</v>
      </c>
      <c r="IY103" s="38">
        <v>4</v>
      </c>
      <c r="IZ103" s="40">
        <f t="shared" si="1938"/>
        <v>219.98166819431714</v>
      </c>
      <c r="JA103" s="40">
        <f t="shared" si="1939"/>
        <v>2.7275</v>
      </c>
      <c r="JC103" s="38">
        <f>1000+600+400+800+1500</f>
        <v>4300</v>
      </c>
      <c r="JD103" s="40">
        <f>3.85+2.71+2.49+3.69+5.76</f>
        <v>18.5</v>
      </c>
      <c r="JE103" s="38">
        <v>5</v>
      </c>
      <c r="JF103" s="40">
        <f t="shared" si="1940"/>
        <v>232.43243243243242</v>
      </c>
      <c r="JG103" s="40">
        <f t="shared" si="1941"/>
        <v>3.7</v>
      </c>
      <c r="JI103" s="38">
        <f>200+200+200+200+200</f>
        <v>1000</v>
      </c>
      <c r="JJ103" s="40">
        <f>2.3+2.47+2.57+2.66+2.49</f>
        <v>12.49</v>
      </c>
      <c r="JK103" s="38">
        <v>5</v>
      </c>
      <c r="JL103" s="40">
        <f t="shared" si="1942"/>
        <v>80.064051240992796</v>
      </c>
      <c r="JM103" s="40">
        <f t="shared" si="1943"/>
        <v>2.4980000000000002</v>
      </c>
      <c r="JO103" s="38"/>
      <c r="JP103" s="40"/>
      <c r="JQ103" s="38"/>
      <c r="JR103" s="40"/>
      <c r="JS103" s="40"/>
      <c r="JU103" s="38"/>
      <c r="JV103" s="40"/>
      <c r="JW103" s="38"/>
      <c r="JX103" s="40"/>
      <c r="JY103" s="40"/>
      <c r="KA103" s="38">
        <f>1000+1000+1000+700+700</f>
        <v>4400</v>
      </c>
      <c r="KB103" s="40">
        <f>2.91+2.93+2.01+1.41+2.16</f>
        <v>11.42</v>
      </c>
      <c r="KC103" s="38">
        <v>5</v>
      </c>
      <c r="KD103" s="40">
        <f t="shared" si="1948"/>
        <v>385.28896672504379</v>
      </c>
      <c r="KE103" s="40">
        <f t="shared" si="1949"/>
        <v>2.2839999999999998</v>
      </c>
      <c r="KG103" s="38"/>
      <c r="KH103" s="40"/>
      <c r="KI103" s="38"/>
      <c r="KJ103" s="40" t="e">
        <f t="shared" ref="KJ103" si="1970">KG103/KH103</f>
        <v>#DIV/0!</v>
      </c>
      <c r="KK103" s="40" t="e">
        <f t="shared" si="1853"/>
        <v>#DIV/0!</v>
      </c>
      <c r="KM103" s="38"/>
      <c r="KN103" s="40"/>
      <c r="KO103" s="38"/>
      <c r="KP103" s="40" t="e">
        <f t="shared" si="1776"/>
        <v>#DIV/0!</v>
      </c>
      <c r="KQ103" s="40" t="e">
        <f t="shared" si="1777"/>
        <v>#DIV/0!</v>
      </c>
      <c r="KS103" s="38">
        <f>300+800+1300+400+600</f>
        <v>3400</v>
      </c>
      <c r="KT103" s="40">
        <f>2.07+3.54+5.19+1.37+3.77</f>
        <v>15.940000000000001</v>
      </c>
      <c r="KU103" s="38">
        <v>5</v>
      </c>
      <c r="KV103" s="40">
        <f t="shared" si="1778"/>
        <v>213.29987452948555</v>
      </c>
      <c r="KW103" s="40">
        <f t="shared" si="1779"/>
        <v>3.1880000000000002</v>
      </c>
      <c r="KY103" s="38"/>
      <c r="KZ103" s="40"/>
      <c r="LA103" s="38"/>
      <c r="LB103" s="40" t="e">
        <f t="shared" si="1780"/>
        <v>#DIV/0!</v>
      </c>
      <c r="LC103" s="40" t="e">
        <f t="shared" si="1781"/>
        <v>#DIV/0!</v>
      </c>
      <c r="LE103" s="38">
        <f>1000+800+1200+1500+1500</f>
        <v>6000</v>
      </c>
      <c r="LF103" s="40">
        <f>3.2+3.3+4.51+2.12+6.96</f>
        <v>20.09</v>
      </c>
      <c r="LG103" s="38">
        <v>5</v>
      </c>
      <c r="LH103" s="40">
        <f t="shared" si="1782"/>
        <v>298.65604778496765</v>
      </c>
      <c r="LI103" s="40">
        <f t="shared" si="1783"/>
        <v>4.0179999999999998</v>
      </c>
      <c r="LK103" s="38"/>
      <c r="LL103" s="40"/>
      <c r="LM103" s="38"/>
      <c r="LN103" s="40" t="e">
        <f t="shared" si="1784"/>
        <v>#DIV/0!</v>
      </c>
      <c r="LO103" s="40" t="e">
        <f t="shared" si="1785"/>
        <v>#DIV/0!</v>
      </c>
      <c r="LQ103" s="38"/>
      <c r="LR103" s="40"/>
      <c r="LS103" s="38"/>
      <c r="LT103" s="40" t="e">
        <f t="shared" si="1786"/>
        <v>#DIV/0!</v>
      </c>
      <c r="LU103" s="40" t="e">
        <f t="shared" si="1787"/>
        <v>#DIV/0!</v>
      </c>
      <c r="LW103" s="38">
        <f>1000+1500+2000+1000+1600</f>
        <v>7100</v>
      </c>
      <c r="LX103" s="40">
        <f>3.84+4+4.52+2.54+4.55</f>
        <v>19.45</v>
      </c>
      <c r="LY103" s="38">
        <v>5</v>
      </c>
      <c r="LZ103" s="40">
        <f t="shared" si="1788"/>
        <v>365.03856041131104</v>
      </c>
      <c r="MA103" s="40">
        <f t="shared" si="1789"/>
        <v>3.8899999999999997</v>
      </c>
      <c r="MC103" s="38">
        <f>1000+1000+1500+600+800</f>
        <v>4900</v>
      </c>
      <c r="MD103" s="40">
        <f>1.3+1.25+1.56+0.97+0.87</f>
        <v>5.9499999999999993</v>
      </c>
      <c r="ME103" s="38">
        <v>5</v>
      </c>
      <c r="MF103" s="40">
        <f t="shared" si="1790"/>
        <v>823.52941176470597</v>
      </c>
      <c r="MG103" s="40">
        <f t="shared" si="1791"/>
        <v>1.19</v>
      </c>
      <c r="MI103" s="38">
        <f>500+1500+1500+1500+1500</f>
        <v>6500</v>
      </c>
      <c r="MJ103" s="40">
        <f>1.32+3.7+3.62+3.52+3.59</f>
        <v>15.75</v>
      </c>
      <c r="MK103" s="38">
        <v>5</v>
      </c>
      <c r="ML103" s="40">
        <f t="shared" si="1792"/>
        <v>412.69841269841271</v>
      </c>
      <c r="MM103" s="40">
        <f t="shared" si="1793"/>
        <v>3.15</v>
      </c>
      <c r="MO103" s="38"/>
      <c r="MP103" s="40"/>
      <c r="MQ103" s="38"/>
      <c r="MR103" s="40" t="e">
        <f t="shared" si="1794"/>
        <v>#DIV/0!</v>
      </c>
      <c r="MS103" s="40" t="e">
        <f t="shared" si="1795"/>
        <v>#DIV/0!</v>
      </c>
      <c r="MU103" s="38"/>
      <c r="MV103" s="40"/>
      <c r="MW103" s="38"/>
      <c r="MX103" s="40" t="e">
        <f t="shared" si="1796"/>
        <v>#DIV/0!</v>
      </c>
      <c r="MY103" s="40" t="e">
        <f t="shared" si="1797"/>
        <v>#DIV/0!</v>
      </c>
      <c r="NA103" s="825"/>
      <c r="NB103" s="826"/>
      <c r="NC103" s="825"/>
      <c r="ND103" s="40" t="e">
        <f t="shared" si="1798"/>
        <v>#DIV/0!</v>
      </c>
      <c r="NE103" s="40" t="e">
        <f t="shared" si="1799"/>
        <v>#DIV/0!</v>
      </c>
      <c r="NG103" s="825">
        <f>1700+1700+700+1000+1000</f>
        <v>6100</v>
      </c>
      <c r="NH103" s="826">
        <f>9.5+9.8+6+3.8+3.7</f>
        <v>32.800000000000004</v>
      </c>
      <c r="NI103" s="825">
        <v>5</v>
      </c>
      <c r="NJ103" s="40">
        <f t="shared" si="1800"/>
        <v>185.97560975609753</v>
      </c>
      <c r="NK103" s="40">
        <f t="shared" si="1801"/>
        <v>6.5600000000000005</v>
      </c>
      <c r="NM103" s="825"/>
      <c r="NN103" s="826"/>
      <c r="NO103" s="825"/>
      <c r="NP103" s="40" t="e">
        <f t="shared" si="1802"/>
        <v>#DIV/0!</v>
      </c>
      <c r="NQ103" s="40" t="e">
        <f t="shared" si="1803"/>
        <v>#DIV/0!</v>
      </c>
      <c r="NS103" s="825"/>
      <c r="NT103" s="826"/>
      <c r="NU103" s="825"/>
      <c r="NV103" s="40" t="e">
        <f t="shared" si="1804"/>
        <v>#DIV/0!</v>
      </c>
      <c r="NW103" s="40" t="e">
        <f t="shared" si="1805"/>
        <v>#DIV/0!</v>
      </c>
      <c r="NY103" s="913"/>
      <c r="NZ103" s="914"/>
      <c r="OA103" s="918"/>
      <c r="OB103" s="40" t="e">
        <f t="shared" si="1806"/>
        <v>#DIV/0!</v>
      </c>
      <c r="OC103" s="40" t="e">
        <f t="shared" si="1807"/>
        <v>#DIV/0!</v>
      </c>
      <c r="OE103" s="825">
        <f>1000+1000+1000+900+1800</f>
        <v>5700</v>
      </c>
      <c r="OF103" s="826">
        <f>6.51+5.21+7.1+7.3+8.55</f>
        <v>34.67</v>
      </c>
      <c r="OG103" s="825">
        <v>5</v>
      </c>
      <c r="OH103" s="40">
        <f t="shared" si="1808"/>
        <v>164.40726853187192</v>
      </c>
      <c r="OI103" s="40">
        <f t="shared" si="1809"/>
        <v>6.9340000000000002</v>
      </c>
    </row>
    <row r="104" spans="2:399">
      <c r="B104" s="109" t="s">
        <v>24</v>
      </c>
      <c r="C104" s="16" t="s">
        <v>25</v>
      </c>
      <c r="D104" s="61" t="s">
        <v>26</v>
      </c>
      <c r="E104" s="726">
        <f>500+400+300+200+300</f>
        <v>1700</v>
      </c>
      <c r="F104" s="45">
        <f>3.98+2.53+2.1+2.02+2.75</f>
        <v>13.379999999999999</v>
      </c>
      <c r="G104" s="46">
        <v>5</v>
      </c>
      <c r="H104" s="48">
        <f t="shared" ref="H104" si="1971">E104/F104</f>
        <v>127.05530642750375</v>
      </c>
      <c r="I104" s="48">
        <f t="shared" ref="I104" si="1972">F104/G104</f>
        <v>2.6759999999999997</v>
      </c>
      <c r="K104" s="45">
        <f>500+600+500+300+500</f>
        <v>2400</v>
      </c>
      <c r="L104" s="45">
        <f>1.21+1.69+1.55+0.8+1.65</f>
        <v>6.9</v>
      </c>
      <c r="M104" s="46">
        <v>5</v>
      </c>
      <c r="N104" s="48">
        <f t="shared" ref="N104" si="1973">K104/L104</f>
        <v>347.82608695652175</v>
      </c>
      <c r="O104" s="48">
        <f t="shared" ref="O104" si="1974">L104/M104</f>
        <v>1.3800000000000001</v>
      </c>
      <c r="Q104" s="45"/>
      <c r="R104" s="45"/>
      <c r="S104" s="46"/>
      <c r="T104" s="48"/>
      <c r="U104" s="48"/>
      <c r="W104" s="45">
        <f>500+500+400+600</f>
        <v>2000</v>
      </c>
      <c r="X104" s="45">
        <f>6.99+6.31+5.46+6.26</f>
        <v>25.020000000000003</v>
      </c>
      <c r="Y104" s="46">
        <v>4</v>
      </c>
      <c r="Z104" s="48">
        <f t="shared" ref="Z104" si="1975">W104/X104</f>
        <v>79.936051159072733</v>
      </c>
      <c r="AA104" s="48">
        <f t="shared" ref="AA104" si="1976">X104/Y104</f>
        <v>6.2550000000000008</v>
      </c>
      <c r="AC104" s="45"/>
      <c r="AD104" s="45"/>
      <c r="AE104" s="46"/>
      <c r="AF104" s="48"/>
      <c r="AG104" s="48"/>
      <c r="AI104" s="45">
        <f>500+600+400+700+1000</f>
        <v>3200</v>
      </c>
      <c r="AJ104" s="45">
        <f>4.19+10.32+4.98+11.32+14.05</f>
        <v>44.86</v>
      </c>
      <c r="AK104" s="46">
        <v>5</v>
      </c>
      <c r="AL104" s="48">
        <f t="shared" si="1955"/>
        <v>71.333036112349532</v>
      </c>
      <c r="AM104" s="48">
        <f t="shared" si="1956"/>
        <v>8.9719999999999995</v>
      </c>
      <c r="AO104" s="45"/>
      <c r="AP104" s="45"/>
      <c r="AQ104" s="46"/>
      <c r="AR104" s="48"/>
      <c r="AS104" s="48"/>
      <c r="AU104" s="45">
        <f>600+600+350+300+500</f>
        <v>2350</v>
      </c>
      <c r="AV104" s="45">
        <f>3.78+9.89+4.17+6.03+5.11</f>
        <v>28.98</v>
      </c>
      <c r="AW104" s="46">
        <v>5</v>
      </c>
      <c r="AX104" s="48">
        <f t="shared" si="1916"/>
        <v>81.090407177363701</v>
      </c>
      <c r="AY104" s="48">
        <f t="shared" si="1917"/>
        <v>5.7960000000000003</v>
      </c>
      <c r="AZ104" s="593"/>
      <c r="BA104" s="45"/>
      <c r="BB104" s="45"/>
      <c r="BC104" s="46"/>
      <c r="BD104" s="48"/>
      <c r="BE104" s="48"/>
      <c r="BF104" s="593"/>
      <c r="BG104" s="45"/>
      <c r="BH104" s="45"/>
      <c r="BI104" s="46"/>
      <c r="BJ104" s="48"/>
      <c r="BK104" s="48"/>
      <c r="BL104" s="593"/>
      <c r="BM104" s="45"/>
      <c r="BN104" s="45"/>
      <c r="BO104" s="46"/>
      <c r="BP104" s="48"/>
      <c r="BQ104" s="48"/>
      <c r="BS104" s="45"/>
      <c r="BT104" s="45"/>
      <c r="BU104" s="46"/>
      <c r="BV104" s="48"/>
      <c r="BW104" s="48"/>
      <c r="BX104" s="593"/>
      <c r="BY104" s="45">
        <f>800+700+600+1000+1500</f>
        <v>4600</v>
      </c>
      <c r="BZ104" s="45">
        <f>3.78+9.89+4.17+6.03+5.11</f>
        <v>28.98</v>
      </c>
      <c r="CA104" s="46">
        <v>5</v>
      </c>
      <c r="CB104" s="48">
        <f t="shared" ref="CB104:CB105" si="1977">BY104/BZ104</f>
        <v>158.73015873015873</v>
      </c>
      <c r="CC104" s="48">
        <f t="shared" ref="CC104:CC105" si="1978">BZ104/CA104</f>
        <v>5.7960000000000003</v>
      </c>
      <c r="CD104" s="593"/>
      <c r="CE104" s="45"/>
      <c r="CF104" s="45"/>
      <c r="CG104" s="46"/>
      <c r="CH104" s="48"/>
      <c r="CI104" s="48"/>
      <c r="CJ104" s="593"/>
      <c r="CK104" s="45">
        <v>2700</v>
      </c>
      <c r="CL104" s="45">
        <v>52.589999999999996</v>
      </c>
      <c r="CM104" s="46">
        <v>5</v>
      </c>
      <c r="CN104" s="48">
        <f t="shared" ref="CN104:CN105" si="1979">CK104/CL104</f>
        <v>51.340559041642905</v>
      </c>
      <c r="CO104" s="48">
        <f t="shared" ref="CO104:CO105" si="1980">CL104/CM104</f>
        <v>10.517999999999999</v>
      </c>
      <c r="CP104" s="593"/>
      <c r="CQ104" s="45">
        <f>500+400+500+400+300</f>
        <v>2100</v>
      </c>
      <c r="CR104" s="45">
        <f>9.37+7.72+9.78+7.48+3.41</f>
        <v>37.759999999999991</v>
      </c>
      <c r="CS104" s="46">
        <v>5</v>
      </c>
      <c r="CT104" s="48">
        <f t="shared" si="1818"/>
        <v>55.614406779661032</v>
      </c>
      <c r="CU104" s="48">
        <f t="shared" si="1758"/>
        <v>7.5519999999999978</v>
      </c>
      <c r="CV104" s="593"/>
      <c r="CW104" s="45">
        <f>800+700+600+1000+1500</f>
        <v>4600</v>
      </c>
      <c r="CX104" s="45">
        <f>3.78+9.89+4.17+6.03+5.11</f>
        <v>28.98</v>
      </c>
      <c r="CY104" s="46">
        <v>5</v>
      </c>
      <c r="CZ104" s="48">
        <f t="shared" ref="CZ104:CZ105" si="1981">CW104/CX104</f>
        <v>158.73015873015873</v>
      </c>
      <c r="DA104" s="48">
        <f t="shared" ref="DA104:DA105" si="1982">CX104/CY104</f>
        <v>5.7960000000000003</v>
      </c>
      <c r="DB104" s="593"/>
      <c r="DC104" s="45">
        <f>500+500+1000+1000+800</f>
        <v>3800</v>
      </c>
      <c r="DD104" s="45">
        <f>7.71+4.81+10.92+8.44+7.12</f>
        <v>38.999999999999993</v>
      </c>
      <c r="DE104" s="46">
        <v>5</v>
      </c>
      <c r="DF104" s="48">
        <f t="shared" ref="DF104:DF105" si="1983">DC104/DD104</f>
        <v>97.435897435897459</v>
      </c>
      <c r="DG104" s="48">
        <f t="shared" ref="DG104:DG105" si="1984">DD104/DE104</f>
        <v>7.7999999999999989</v>
      </c>
      <c r="DH104" s="593"/>
      <c r="DI104" s="45"/>
      <c r="DJ104" s="45"/>
      <c r="DK104" s="46"/>
      <c r="DL104" s="48"/>
      <c r="DM104" s="48"/>
      <c r="DN104" s="593"/>
      <c r="DO104" s="45">
        <v>1500</v>
      </c>
      <c r="DP104" s="45">
        <v>21.45</v>
      </c>
      <c r="DQ104" s="46">
        <v>3</v>
      </c>
      <c r="DR104" s="48">
        <f t="shared" ref="DR104" si="1985">DO104/DP104</f>
        <v>69.930069930069934</v>
      </c>
      <c r="DS104" s="48">
        <f t="shared" ref="DS104" si="1986">DP104/DQ104</f>
        <v>7.1499999999999995</v>
      </c>
      <c r="DT104" s="593"/>
      <c r="DU104" s="45"/>
      <c r="DV104" s="45"/>
      <c r="DW104" s="46"/>
      <c r="DX104" s="48"/>
      <c r="DY104" s="48"/>
      <c r="DZ104" s="593"/>
      <c r="EA104" s="45"/>
      <c r="EB104" s="45"/>
      <c r="EC104" s="46"/>
      <c r="ED104" s="48"/>
      <c r="EE104" s="48"/>
      <c r="EF104" s="593"/>
      <c r="EG104" s="45"/>
      <c r="EH104" s="45"/>
      <c r="EI104" s="46"/>
      <c r="EJ104" s="48"/>
      <c r="EK104" s="48"/>
      <c r="EL104" s="593"/>
      <c r="EM104" s="45"/>
      <c r="EN104" s="45"/>
      <c r="EO104" s="46"/>
      <c r="EP104" s="48"/>
      <c r="EQ104" s="48"/>
      <c r="ES104" s="45">
        <f>800+700+600+1000+1500</f>
        <v>4600</v>
      </c>
      <c r="ET104" s="45">
        <f>3.78+9.89+4.17+6.03+5.11</f>
        <v>28.98</v>
      </c>
      <c r="EU104" s="46">
        <v>5</v>
      </c>
      <c r="EV104" s="48">
        <f t="shared" si="1890"/>
        <v>158.73015873015873</v>
      </c>
      <c r="EW104" s="48">
        <f t="shared" si="1890"/>
        <v>5.7960000000000003</v>
      </c>
      <c r="EY104" s="45"/>
      <c r="EZ104" s="45"/>
      <c r="FA104" s="45"/>
      <c r="FB104" s="48"/>
      <c r="FC104" s="48"/>
      <c r="FE104" s="46"/>
      <c r="FF104" s="46"/>
      <c r="FG104" s="46"/>
      <c r="FH104" s="48"/>
      <c r="FI104" s="48"/>
      <c r="FK104" s="38">
        <f>500+700+1000+400+300</f>
        <v>2900</v>
      </c>
      <c r="FL104" s="40">
        <f>8.11+9.69+11.3+6.35+5.33</f>
        <v>40.779999999999994</v>
      </c>
      <c r="FM104" s="38">
        <f>5</f>
        <v>5</v>
      </c>
      <c r="FN104" s="40">
        <f t="shared" si="1950"/>
        <v>71.113290828837677</v>
      </c>
      <c r="FO104" s="40">
        <f t="shared" si="1961"/>
        <v>8.1559999999999988</v>
      </c>
      <c r="FP104" s="231"/>
      <c r="FQ104" s="45">
        <f>500+500+400+400+300</f>
        <v>2100</v>
      </c>
      <c r="FR104" s="45">
        <f>10.68+11.41+8.17+6.99+5.75</f>
        <v>43</v>
      </c>
      <c r="FS104" s="45">
        <f>5</f>
        <v>5</v>
      </c>
      <c r="FT104" s="48">
        <f t="shared" si="1765"/>
        <v>48.837209302325583</v>
      </c>
      <c r="FU104" s="48">
        <f t="shared" si="1765"/>
        <v>8.6</v>
      </c>
      <c r="FW104" s="45">
        <f>500+500+1000+1000+800</f>
        <v>3800</v>
      </c>
      <c r="FX104" s="45">
        <f>7.71+4.81+10.92+8.44+7.12</f>
        <v>38.999999999999993</v>
      </c>
      <c r="FY104" s="46">
        <v>5</v>
      </c>
      <c r="FZ104" s="48">
        <f>FW104/FX104</f>
        <v>97.435897435897459</v>
      </c>
      <c r="GA104" s="48">
        <f>FX104/FY104</f>
        <v>7.7999999999999989</v>
      </c>
      <c r="GC104" s="26">
        <f>500+300</f>
        <v>800</v>
      </c>
      <c r="GD104" s="45">
        <f>9.41+5.2</f>
        <v>14.61</v>
      </c>
      <c r="GE104" s="45">
        <f>2</f>
        <v>2</v>
      </c>
      <c r="GF104" s="48">
        <f t="shared" si="1767"/>
        <v>54.757015742642025</v>
      </c>
      <c r="GG104" s="48">
        <f t="shared" si="1767"/>
        <v>7.3049999999999997</v>
      </c>
      <c r="GI104" s="45">
        <f>1000+500+850+800+600</f>
        <v>3750</v>
      </c>
      <c r="GJ104" s="45">
        <f>10.03+6.12+12.12+8.76+14.96</f>
        <v>51.989999999999995</v>
      </c>
      <c r="GK104" s="45">
        <f>5</f>
        <v>5</v>
      </c>
      <c r="GL104" s="48">
        <f t="shared" si="1768"/>
        <v>72.129255626081942</v>
      </c>
      <c r="GM104" s="48">
        <f t="shared" si="1768"/>
        <v>10.398</v>
      </c>
      <c r="GO104" s="45">
        <f>1000+1000+800+800+500</f>
        <v>4100</v>
      </c>
      <c r="GP104" s="45">
        <f>18+18+17.1+17.2+9.13</f>
        <v>79.429999999999993</v>
      </c>
      <c r="GQ104" s="45">
        <f>5</f>
        <v>5</v>
      </c>
      <c r="GR104" s="48">
        <f t="shared" si="1769"/>
        <v>51.617776658693195</v>
      </c>
      <c r="GS104" s="48">
        <f t="shared" si="1769"/>
        <v>15.885999999999999</v>
      </c>
      <c r="GU104" s="99"/>
      <c r="GV104" s="99"/>
      <c r="GW104" s="100"/>
      <c r="GX104" s="101"/>
      <c r="GY104" s="101"/>
      <c r="GZ104" s="43"/>
      <c r="HA104" s="28">
        <f>600+600+500+300+550</f>
        <v>2550</v>
      </c>
      <c r="HB104" s="28">
        <f>1.19+1.78+1.44+0.8+1.69</f>
        <v>6.9</v>
      </c>
      <c r="HC104" s="28">
        <v>5</v>
      </c>
      <c r="HD104" s="40">
        <f t="shared" si="1771"/>
        <v>369.56521739130432</v>
      </c>
      <c r="HE104" s="40">
        <f t="shared" si="1771"/>
        <v>1.3800000000000001</v>
      </c>
      <c r="HG104" s="45">
        <v>1500</v>
      </c>
      <c r="HH104" s="45">
        <v>21.45</v>
      </c>
      <c r="HI104" s="46">
        <v>3</v>
      </c>
      <c r="HJ104" s="48">
        <f t="shared" si="1772"/>
        <v>69.930069930069934</v>
      </c>
      <c r="HK104" s="48">
        <f t="shared" si="1772"/>
        <v>7.1499999999999995</v>
      </c>
      <c r="HM104" s="45">
        <f>500+400+300+200+300</f>
        <v>1700</v>
      </c>
      <c r="HN104" s="45">
        <f>3.98+2.53+2.1+2.02+2.75</f>
        <v>13.379999999999999</v>
      </c>
      <c r="HO104" s="46">
        <v>5</v>
      </c>
      <c r="HP104" s="48">
        <f t="shared" si="1839"/>
        <v>127.05530642750375</v>
      </c>
      <c r="HQ104" s="48">
        <f t="shared" si="1839"/>
        <v>2.6759999999999997</v>
      </c>
      <c r="HS104" s="46">
        <f>500+600+500+300+500</f>
        <v>2400</v>
      </c>
      <c r="HT104" s="46">
        <f>1.21+1.69+1.55+0.8+1.65</f>
        <v>6.9</v>
      </c>
      <c r="HU104" s="46">
        <v>5</v>
      </c>
      <c r="HV104" s="48">
        <f t="shared" si="1933"/>
        <v>347.82608695652175</v>
      </c>
      <c r="HW104" s="48">
        <f t="shared" si="1933"/>
        <v>1.3800000000000001</v>
      </c>
      <c r="HX104" s="231"/>
      <c r="HY104" s="38">
        <f>400+300+600+700+500</f>
        <v>2500</v>
      </c>
      <c r="HZ104" s="40">
        <f>7.5+8.43+15.47+14.84+10.27</f>
        <v>56.509999999999991</v>
      </c>
      <c r="IA104" s="38">
        <f>5</f>
        <v>5</v>
      </c>
      <c r="IB104" s="40">
        <f t="shared" si="1828"/>
        <v>44.239957529640776</v>
      </c>
      <c r="IC104" s="40">
        <f t="shared" si="1840"/>
        <v>11.301999999999998</v>
      </c>
      <c r="IE104" s="38">
        <f>500+300+600+400+1000</f>
        <v>2800</v>
      </c>
      <c r="IF104" s="40">
        <f>8.5+4.76+10.2+5.67+15.24</f>
        <v>44.370000000000005</v>
      </c>
      <c r="IG104" s="38">
        <f>5</f>
        <v>5</v>
      </c>
      <c r="IH104" s="40">
        <f t="shared" si="1841"/>
        <v>63.105702050935314</v>
      </c>
      <c r="II104" s="40">
        <f t="shared" si="1842"/>
        <v>8.8740000000000006</v>
      </c>
      <c r="IK104" s="38">
        <f>600+500+500</f>
        <v>1600</v>
      </c>
      <c r="IL104" s="40">
        <f>5.74+3.57+5.53</f>
        <v>14.84</v>
      </c>
      <c r="IM104" s="38">
        <v>3</v>
      </c>
      <c r="IN104" s="40">
        <f t="shared" si="1934"/>
        <v>107.81671159029649</v>
      </c>
      <c r="IO104" s="40">
        <f t="shared" si="1935"/>
        <v>4.9466666666666663</v>
      </c>
      <c r="IQ104" s="38">
        <f>660+1000+500+1600+500</f>
        <v>4260</v>
      </c>
      <c r="IR104" s="40">
        <f>9.68+9.07+5.04+12.8+10.66</f>
        <v>47.25</v>
      </c>
      <c r="IS104" s="38">
        <v>5</v>
      </c>
      <c r="IT104" s="40">
        <f t="shared" si="1936"/>
        <v>90.158730158730165</v>
      </c>
      <c r="IU104" s="40">
        <f t="shared" si="1937"/>
        <v>9.4499999999999993</v>
      </c>
      <c r="IW104" s="38">
        <f>500+600+400+300+800</f>
        <v>2600</v>
      </c>
      <c r="IX104" s="40">
        <f>9.32+7.65+5.6+4.77+11.48</f>
        <v>38.82</v>
      </c>
      <c r="IY104" s="38">
        <v>5</v>
      </c>
      <c r="IZ104" s="40">
        <f t="shared" si="1938"/>
        <v>66.975785677485831</v>
      </c>
      <c r="JA104" s="40">
        <f t="shared" si="1939"/>
        <v>7.7640000000000002</v>
      </c>
      <c r="JC104" s="38">
        <f>700+500+600+400+500</f>
        <v>2700</v>
      </c>
      <c r="JD104" s="40">
        <f>10.78+8.68+8.95+6.75+8.01</f>
        <v>43.169999999999995</v>
      </c>
      <c r="JE104" s="38">
        <v>5</v>
      </c>
      <c r="JF104" s="40">
        <f t="shared" si="1940"/>
        <v>62.543432939541354</v>
      </c>
      <c r="JG104" s="40">
        <f t="shared" si="1941"/>
        <v>8.6339999999999986</v>
      </c>
      <c r="JI104" s="38">
        <f>400+700+500+200+400</f>
        <v>2200</v>
      </c>
      <c r="JJ104" s="40">
        <f>6.01+7.53+6.51+2.95+5.18</f>
        <v>28.179999999999996</v>
      </c>
      <c r="JK104" s="38">
        <v>5</v>
      </c>
      <c r="JL104" s="40">
        <f t="shared" si="1942"/>
        <v>78.069552874378999</v>
      </c>
      <c r="JM104" s="40">
        <f t="shared" si="1943"/>
        <v>5.6359999999999992</v>
      </c>
      <c r="JO104" s="38">
        <f>400+300+400+700+400</f>
        <v>2200</v>
      </c>
      <c r="JP104" s="40">
        <f>8.96+6.04+8.56+11.56+5</f>
        <v>40.120000000000005</v>
      </c>
      <c r="JQ104" s="38">
        <v>5</v>
      </c>
      <c r="JR104" s="40">
        <f t="shared" si="1944"/>
        <v>54.83549351944167</v>
      </c>
      <c r="JS104" s="40">
        <f t="shared" si="1945"/>
        <v>8.0240000000000009</v>
      </c>
      <c r="JU104" s="38">
        <f>600+500+700+800+600</f>
        <v>3200</v>
      </c>
      <c r="JV104" s="40">
        <f>10.1+9.25+4.3+8.89+8.85</f>
        <v>41.390000000000008</v>
      </c>
      <c r="JW104" s="38">
        <v>5</v>
      </c>
      <c r="JX104" s="40">
        <f t="shared" ref="JX104" si="1987">JU104/JV104</f>
        <v>77.313360715148576</v>
      </c>
      <c r="JY104" s="40">
        <f t="shared" ref="JY104" si="1988">JV104/JW104</f>
        <v>8.2780000000000022</v>
      </c>
      <c r="KA104" s="38">
        <f>500+300+700+400+250</f>
        <v>2150</v>
      </c>
      <c r="KB104" s="40">
        <f>6.03+3.16+8.4+6.11+4.35</f>
        <v>28.050000000000004</v>
      </c>
      <c r="KC104" s="38">
        <v>5</v>
      </c>
      <c r="KD104" s="40">
        <f>KA104/KB104</f>
        <v>76.6488413547237</v>
      </c>
      <c r="KE104" s="40">
        <f t="shared" ref="KE104:KE105" si="1989">KB104/KC104</f>
        <v>5.6100000000000012</v>
      </c>
      <c r="KG104" s="38">
        <f>800+1500+700+800+1500</f>
        <v>5300</v>
      </c>
      <c r="KH104" s="40">
        <f>11.15+13.32+9.5+10.25+14.95</f>
        <v>59.17</v>
      </c>
      <c r="KI104" s="38">
        <v>5</v>
      </c>
      <c r="KJ104" s="40">
        <f>KG104/KH104</f>
        <v>89.57241845529829</v>
      </c>
      <c r="KK104" s="40">
        <f t="shared" si="1853"/>
        <v>11.834</v>
      </c>
      <c r="KM104" s="38">
        <f>2000+2000+700+500+500</f>
        <v>5700</v>
      </c>
      <c r="KN104" s="40">
        <f>19.16+20.3+10.76+8.73+12.28</f>
        <v>71.23</v>
      </c>
      <c r="KO104" s="38">
        <v>5</v>
      </c>
      <c r="KP104" s="40">
        <f>KM104/KN104</f>
        <v>80.022462445598762</v>
      </c>
      <c r="KQ104" s="40">
        <f t="shared" si="1777"/>
        <v>14.246</v>
      </c>
      <c r="KS104" s="38">
        <f>600+500+600+1500</f>
        <v>3200</v>
      </c>
      <c r="KT104" s="40">
        <f>10.33+6.01+6.63+8.2</f>
        <v>31.169999999999998</v>
      </c>
      <c r="KU104" s="38">
        <v>4</v>
      </c>
      <c r="KV104" s="40">
        <f>KS104/KT104</f>
        <v>102.66281681103627</v>
      </c>
      <c r="KW104" s="40">
        <f t="shared" si="1779"/>
        <v>7.7924999999999995</v>
      </c>
      <c r="KY104" s="38"/>
      <c r="KZ104" s="40"/>
      <c r="LA104" s="38"/>
      <c r="LB104" s="40" t="e">
        <f>KY104/KZ104</f>
        <v>#DIV/0!</v>
      </c>
      <c r="LC104" s="40" t="e">
        <f t="shared" si="1781"/>
        <v>#DIV/0!</v>
      </c>
      <c r="LE104" s="38">
        <f>300+400+500+700+1500</f>
        <v>3400</v>
      </c>
      <c r="LF104" s="40">
        <f>4.23+13.74+8+10.25+13.65</f>
        <v>49.87</v>
      </c>
      <c r="LG104" s="38">
        <v>5</v>
      </c>
      <c r="LH104" s="40">
        <f>LE104/LF104</f>
        <v>68.177260878283548</v>
      </c>
      <c r="LI104" s="40">
        <f t="shared" si="1783"/>
        <v>9.9740000000000002</v>
      </c>
      <c r="LK104" s="38">
        <v>800</v>
      </c>
      <c r="LL104" s="40">
        <v>8.76</v>
      </c>
      <c r="LM104" s="38">
        <v>1</v>
      </c>
      <c r="LN104" s="40">
        <f>LK104/LL104</f>
        <v>91.324200913242009</v>
      </c>
      <c r="LO104" s="40">
        <f t="shared" si="1785"/>
        <v>8.76</v>
      </c>
      <c r="LQ104" s="38">
        <f>1000+500+500+500+500</f>
        <v>3000</v>
      </c>
      <c r="LR104" s="40">
        <f>9.88+6.37+4.96+5.28+7.05</f>
        <v>33.54</v>
      </c>
      <c r="LS104" s="38">
        <v>5</v>
      </c>
      <c r="LT104" s="40">
        <f>LQ104/LR104</f>
        <v>89.445438282647586</v>
      </c>
      <c r="LU104" s="40">
        <f t="shared" si="1787"/>
        <v>6.7080000000000002</v>
      </c>
      <c r="LW104" s="38">
        <f>600+500+600+600+600</f>
        <v>2900</v>
      </c>
      <c r="LX104" s="40">
        <f>8.39+7.52+7.58+9.55+11</f>
        <v>44.040000000000006</v>
      </c>
      <c r="LY104" s="38">
        <v>5</v>
      </c>
      <c r="LZ104" s="40">
        <f>LW104/LX104</f>
        <v>65.849227974568564</v>
      </c>
      <c r="MA104" s="40">
        <f t="shared" si="1789"/>
        <v>8.8080000000000016</v>
      </c>
      <c r="MC104" s="38">
        <f>800+700+900+1000+800</f>
        <v>4200</v>
      </c>
      <c r="MD104" s="40">
        <f>10.2+10.05+9.7+12.03+9.07</f>
        <v>51.05</v>
      </c>
      <c r="ME104" s="38">
        <v>5</v>
      </c>
      <c r="MF104" s="40">
        <f>MC104/MD104</f>
        <v>82.272282076395697</v>
      </c>
      <c r="MG104" s="40">
        <f t="shared" si="1791"/>
        <v>10.209999999999999</v>
      </c>
      <c r="MI104" s="38">
        <f>800+1500+700+500+700</f>
        <v>4200</v>
      </c>
      <c r="MJ104" s="40">
        <f>7.43+12.63+9.73+10.59+8.68</f>
        <v>49.06</v>
      </c>
      <c r="MK104" s="38">
        <v>5</v>
      </c>
      <c r="ML104" s="40">
        <f>MI104/MJ104</f>
        <v>85.609457806767224</v>
      </c>
      <c r="MM104" s="40">
        <f t="shared" si="1793"/>
        <v>9.8120000000000012</v>
      </c>
      <c r="MO104" s="38"/>
      <c r="MP104" s="40"/>
      <c r="MQ104" s="38"/>
      <c r="MR104" s="40" t="e">
        <f>MO104/MP104</f>
        <v>#DIV/0!</v>
      </c>
      <c r="MS104" s="40" t="e">
        <f t="shared" si="1795"/>
        <v>#DIV/0!</v>
      </c>
      <c r="MU104" s="38"/>
      <c r="MV104" s="40"/>
      <c r="MW104" s="38"/>
      <c r="MX104" s="40" t="e">
        <f>MU104/MV104</f>
        <v>#DIV/0!</v>
      </c>
      <c r="MY104" s="40" t="e">
        <f t="shared" si="1797"/>
        <v>#DIV/0!</v>
      </c>
      <c r="NA104" s="825">
        <f>500+500+500+700+600</f>
        <v>2800</v>
      </c>
      <c r="NB104" s="826">
        <f>7.67+10.55+6.83+11.23+10.19</f>
        <v>46.47</v>
      </c>
      <c r="NC104" s="825">
        <v>5</v>
      </c>
      <c r="ND104" s="40">
        <f>NA104/NB104</f>
        <v>60.253927264902089</v>
      </c>
      <c r="NE104" s="40">
        <f t="shared" si="1799"/>
        <v>9.2940000000000005</v>
      </c>
      <c r="NG104" s="825">
        <f>700+500+300+400+700</f>
        <v>2600</v>
      </c>
      <c r="NH104" s="826">
        <f>10.74+8.84+6.3+6.8+10.5</f>
        <v>43.18</v>
      </c>
      <c r="NI104" s="825">
        <v>5</v>
      </c>
      <c r="NJ104" s="40">
        <f>NG104/NH104</f>
        <v>60.213061602593797</v>
      </c>
      <c r="NK104" s="40">
        <f t="shared" si="1801"/>
        <v>8.6359999999999992</v>
      </c>
      <c r="NM104" s="825">
        <f>400+200+600+500+500</f>
        <v>2200</v>
      </c>
      <c r="NN104" s="826">
        <f>6.91+3.9+10.54+11.83+10.21</f>
        <v>43.39</v>
      </c>
      <c r="NO104" s="825">
        <v>5</v>
      </c>
      <c r="NP104" s="40">
        <f>NM104/NN104</f>
        <v>50.702926941691636</v>
      </c>
      <c r="NQ104" s="40">
        <f t="shared" si="1803"/>
        <v>8.6780000000000008</v>
      </c>
      <c r="NS104" s="825">
        <f>1500+200+200+500+600</f>
        <v>3000</v>
      </c>
      <c r="NT104" s="826">
        <f>33.38+12.36+14.54+9.13+8.4</f>
        <v>77.81</v>
      </c>
      <c r="NU104" s="825">
        <v>5</v>
      </c>
      <c r="NV104" s="40">
        <f>NS104/NT104</f>
        <v>38.555455596966972</v>
      </c>
      <c r="NW104" s="40">
        <f t="shared" si="1805"/>
        <v>15.562000000000001</v>
      </c>
      <c r="NY104" s="913">
        <f>1500+600+1000+800+400</f>
        <v>4300</v>
      </c>
      <c r="NZ104" s="914">
        <f>15.9+9+11.9+10.51+7.5</f>
        <v>54.809999999999995</v>
      </c>
      <c r="OA104" s="918">
        <v>5</v>
      </c>
      <c r="OB104" s="40">
        <f>NY104/NZ104</f>
        <v>78.452837073526737</v>
      </c>
      <c r="OC104" s="40">
        <f t="shared" si="1807"/>
        <v>10.962</v>
      </c>
      <c r="OE104" s="825">
        <f>700+1000+600+500+500</f>
        <v>3300</v>
      </c>
      <c r="OF104" s="826">
        <f>11.45+17.05+11.23+10.21+10.35</f>
        <v>60.290000000000006</v>
      </c>
      <c r="OG104" s="825">
        <v>5</v>
      </c>
      <c r="OH104" s="40">
        <f>OE104/OF104</f>
        <v>54.735445347487136</v>
      </c>
      <c r="OI104" s="40">
        <f t="shared" si="1809"/>
        <v>12.058000000000002</v>
      </c>
    </row>
    <row r="105" spans="2:399">
      <c r="B105" s="11"/>
      <c r="C105" s="16"/>
      <c r="D105" s="58" t="s">
        <v>27</v>
      </c>
      <c r="E105" s="726"/>
      <c r="F105" s="45"/>
      <c r="G105" s="46"/>
      <c r="H105" s="48"/>
      <c r="I105" s="48"/>
      <c r="K105" s="45">
        <f>200+200</f>
        <v>400</v>
      </c>
      <c r="L105" s="45">
        <f>0.9+0.7</f>
        <v>1.6</v>
      </c>
      <c r="M105" s="46">
        <v>2</v>
      </c>
      <c r="N105" s="48">
        <f t="shared" ref="N105:N106" si="1990">K105/L105</f>
        <v>250</v>
      </c>
      <c r="O105" s="48">
        <f t="shared" ref="O105:O106" si="1991">L105/M105</f>
        <v>0.8</v>
      </c>
      <c r="Q105" s="45">
        <v>600</v>
      </c>
      <c r="R105" s="45">
        <v>2.5999999999999996</v>
      </c>
      <c r="S105" s="46">
        <v>3</v>
      </c>
      <c r="T105" s="48">
        <f t="shared" ref="T105:T106" si="1992">Q105/R105</f>
        <v>230.7692307692308</v>
      </c>
      <c r="U105" s="48">
        <f t="shared" ref="U105:U106" si="1993">R105/S105</f>
        <v>0.86666666666666659</v>
      </c>
      <c r="W105" s="45"/>
      <c r="X105" s="45"/>
      <c r="Y105" s="46"/>
      <c r="Z105" s="48"/>
      <c r="AA105" s="48"/>
      <c r="AC105" s="45"/>
      <c r="AD105" s="45"/>
      <c r="AE105" s="46"/>
      <c r="AF105" s="48"/>
      <c r="AG105" s="48"/>
      <c r="AI105" s="45"/>
      <c r="AJ105" s="45"/>
      <c r="AK105" s="46"/>
      <c r="AL105" s="48"/>
      <c r="AM105" s="48"/>
      <c r="AO105" s="45"/>
      <c r="AP105" s="45"/>
      <c r="AQ105" s="46"/>
      <c r="AR105" s="48"/>
      <c r="AS105" s="48"/>
      <c r="AU105" s="45">
        <f>500+300+500+400</f>
        <v>1700</v>
      </c>
      <c r="AV105" s="45">
        <f>3.45+2.66+3.27+2.77</f>
        <v>12.15</v>
      </c>
      <c r="AW105" s="46">
        <v>4</v>
      </c>
      <c r="AX105" s="48">
        <f t="shared" si="1916"/>
        <v>139.91769547325103</v>
      </c>
      <c r="AY105" s="48">
        <f t="shared" si="1917"/>
        <v>3.0375000000000001</v>
      </c>
      <c r="AZ105" s="593"/>
      <c r="BA105" s="45">
        <f>300+300+400+500+250</f>
        <v>1750</v>
      </c>
      <c r="BB105" s="45">
        <f>2.26+1.97+2.72+3.22+1.65</f>
        <v>11.82</v>
      </c>
      <c r="BC105" s="46">
        <v>5</v>
      </c>
      <c r="BD105" s="48">
        <f t="shared" si="1964"/>
        <v>148.05414551607444</v>
      </c>
      <c r="BE105" s="48">
        <f t="shared" si="1965"/>
        <v>2.3639999999999999</v>
      </c>
      <c r="BF105" s="593"/>
      <c r="BG105" s="45"/>
      <c r="BH105" s="45"/>
      <c r="BI105" s="46"/>
      <c r="BJ105" s="48"/>
      <c r="BK105" s="48"/>
      <c r="BL105" s="593"/>
      <c r="BM105" s="45"/>
      <c r="BN105" s="45"/>
      <c r="BO105" s="46"/>
      <c r="BP105" s="48"/>
      <c r="BQ105" s="48"/>
      <c r="BS105" s="45"/>
      <c r="BT105" s="45"/>
      <c r="BU105" s="46"/>
      <c r="BV105" s="48"/>
      <c r="BW105" s="48"/>
      <c r="BX105" s="593"/>
      <c r="BY105" s="45">
        <f>500+300+500+400</f>
        <v>1700</v>
      </c>
      <c r="BZ105" s="45">
        <f>3.45+2.66+3.27+3</f>
        <v>12.38</v>
      </c>
      <c r="CA105" s="46">
        <v>4</v>
      </c>
      <c r="CB105" s="48">
        <f t="shared" si="1977"/>
        <v>137.31825525040387</v>
      </c>
      <c r="CC105" s="48">
        <f t="shared" si="1978"/>
        <v>3.0950000000000002</v>
      </c>
      <c r="CD105" s="593"/>
      <c r="CE105" s="45"/>
      <c r="CF105" s="45"/>
      <c r="CG105" s="46"/>
      <c r="CH105" s="48"/>
      <c r="CI105" s="48"/>
      <c r="CJ105" s="593"/>
      <c r="CK105" s="45">
        <v>1300</v>
      </c>
      <c r="CL105" s="45">
        <v>11.05</v>
      </c>
      <c r="CM105" s="46">
        <v>5</v>
      </c>
      <c r="CN105" s="48">
        <f t="shared" si="1979"/>
        <v>117.64705882352941</v>
      </c>
      <c r="CO105" s="48">
        <f t="shared" si="1980"/>
        <v>2.21</v>
      </c>
      <c r="CP105" s="593"/>
      <c r="CQ105" s="45">
        <f>400+250+300+250+400</f>
        <v>1600</v>
      </c>
      <c r="CR105" s="45">
        <f>2.67+2.05+2.61+2.51+2.62</f>
        <v>12.46</v>
      </c>
      <c r="CS105" s="46">
        <v>5</v>
      </c>
      <c r="CT105" s="48">
        <f t="shared" si="1818"/>
        <v>128.41091492776886</v>
      </c>
      <c r="CU105" s="48">
        <f t="shared" si="1758"/>
        <v>2.492</v>
      </c>
      <c r="CV105" s="593"/>
      <c r="CW105" s="45">
        <f>500+300+500+400</f>
        <v>1700</v>
      </c>
      <c r="CX105" s="45">
        <f>3.45+2.66+3.27+3</f>
        <v>12.38</v>
      </c>
      <c r="CY105" s="46">
        <v>4</v>
      </c>
      <c r="CZ105" s="48">
        <f t="shared" si="1981"/>
        <v>137.31825525040387</v>
      </c>
      <c r="DA105" s="48">
        <f t="shared" si="1982"/>
        <v>3.0950000000000002</v>
      </c>
      <c r="DB105" s="593"/>
      <c r="DC105" s="45">
        <f>300+350+350+300+300</f>
        <v>1600</v>
      </c>
      <c r="DD105" s="45">
        <f>1.71+2.15+2.8+3.01+1.14</f>
        <v>10.81</v>
      </c>
      <c r="DE105" s="46">
        <v>5</v>
      </c>
      <c r="DF105" s="48">
        <f t="shared" si="1983"/>
        <v>148.01110083256245</v>
      </c>
      <c r="DG105" s="48">
        <f t="shared" si="1984"/>
        <v>2.1619999999999999</v>
      </c>
      <c r="DH105" s="593"/>
      <c r="DI105" s="45"/>
      <c r="DJ105" s="45"/>
      <c r="DK105" s="46"/>
      <c r="DL105" s="48"/>
      <c r="DM105" s="48"/>
      <c r="DN105" s="593"/>
      <c r="DO105" s="45"/>
      <c r="DP105" s="45"/>
      <c r="DQ105" s="46"/>
      <c r="DR105" s="48"/>
      <c r="DS105" s="48"/>
      <c r="DT105" s="593"/>
      <c r="DU105" s="45"/>
      <c r="DV105" s="45"/>
      <c r="DW105" s="46"/>
      <c r="DX105" s="48"/>
      <c r="DY105" s="48"/>
      <c r="DZ105" s="593"/>
      <c r="EA105" s="45"/>
      <c r="EB105" s="45"/>
      <c r="EC105" s="46"/>
      <c r="ED105" s="48"/>
      <c r="EE105" s="48"/>
      <c r="EF105" s="593"/>
      <c r="EG105" s="45"/>
      <c r="EH105" s="45"/>
      <c r="EI105" s="46"/>
      <c r="EJ105" s="48"/>
      <c r="EK105" s="48"/>
      <c r="EL105" s="593"/>
      <c r="EM105" s="45"/>
      <c r="EN105" s="45"/>
      <c r="EO105" s="46"/>
      <c r="EP105" s="48"/>
      <c r="EQ105" s="48"/>
      <c r="ES105" s="45">
        <f>500+300+500+400</f>
        <v>1700</v>
      </c>
      <c r="ET105" s="45">
        <f>3.45+2.66+3.27+3</f>
        <v>12.38</v>
      </c>
      <c r="EU105" s="46">
        <v>4</v>
      </c>
      <c r="EV105" s="48">
        <f t="shared" si="1890"/>
        <v>137.31825525040387</v>
      </c>
      <c r="EW105" s="48">
        <f t="shared" si="1890"/>
        <v>3.0950000000000002</v>
      </c>
      <c r="EY105" s="45"/>
      <c r="EZ105" s="45"/>
      <c r="FA105" s="45"/>
      <c r="FB105" s="48"/>
      <c r="FC105" s="48"/>
      <c r="FE105" s="46">
        <v>600</v>
      </c>
      <c r="FF105" s="46">
        <v>2.5999999999999996</v>
      </c>
      <c r="FG105" s="46">
        <v>3</v>
      </c>
      <c r="FH105" s="48">
        <f t="shared" si="1827"/>
        <v>230.7692307692308</v>
      </c>
      <c r="FI105" s="48">
        <f t="shared" si="1827"/>
        <v>0.86666666666666659</v>
      </c>
      <c r="FK105" s="38"/>
      <c r="FL105" s="40"/>
      <c r="FM105" s="38"/>
      <c r="FN105" s="40"/>
      <c r="FO105" s="40"/>
      <c r="FP105" s="231"/>
      <c r="FQ105" s="45">
        <f>200+150+150+100+100</f>
        <v>700</v>
      </c>
      <c r="FR105" s="45">
        <f>2.47+1.86+1.67+1.67+2.34</f>
        <v>10.01</v>
      </c>
      <c r="FS105" s="45">
        <f>5</f>
        <v>5</v>
      </c>
      <c r="FT105" s="48">
        <f t="shared" si="1765"/>
        <v>69.930069930069934</v>
      </c>
      <c r="FU105" s="48">
        <f t="shared" si="1765"/>
        <v>2.0019999999999998</v>
      </c>
      <c r="FW105" s="27">
        <f>300+350+350+300+300</f>
        <v>1600</v>
      </c>
      <c r="FX105" s="45">
        <f>1.71+2.15+2.8+3.01+1.14</f>
        <v>10.81</v>
      </c>
      <c r="FY105" s="46">
        <v>5</v>
      </c>
      <c r="FZ105" s="48">
        <f t="shared" si="1766"/>
        <v>148.01110083256245</v>
      </c>
      <c r="GA105" s="48">
        <f t="shared" si="1766"/>
        <v>2.1619999999999999</v>
      </c>
      <c r="GC105" s="26"/>
      <c r="GD105" s="45"/>
      <c r="GE105" s="45"/>
      <c r="GF105" s="48"/>
      <c r="GG105" s="48"/>
      <c r="GI105" s="45"/>
      <c r="GJ105" s="45"/>
      <c r="GK105" s="45"/>
      <c r="GL105" s="48"/>
      <c r="GM105" s="48"/>
      <c r="GO105" s="45">
        <f>250+250+250+250+250</f>
        <v>1250</v>
      </c>
      <c r="GP105" s="45">
        <f>1.92+1.92+1.92+1.92+1.92</f>
        <v>9.6</v>
      </c>
      <c r="GQ105" s="45">
        <f>5</f>
        <v>5</v>
      </c>
      <c r="GR105" s="48">
        <f t="shared" si="1769"/>
        <v>130.20833333333334</v>
      </c>
      <c r="GS105" s="48">
        <f t="shared" si="1769"/>
        <v>1.92</v>
      </c>
      <c r="GU105" s="99">
        <f>300+250+500+200+350</f>
        <v>1600</v>
      </c>
      <c r="GV105" s="99">
        <f>1.47+1.05+2.24+0.74+1.57</f>
        <v>7.07</v>
      </c>
      <c r="GW105" s="100">
        <v>5</v>
      </c>
      <c r="GX105" s="101">
        <f t="shared" si="1770"/>
        <v>226.30834512022631</v>
      </c>
      <c r="GY105" s="101">
        <f t="shared" si="1770"/>
        <v>1.4140000000000001</v>
      </c>
      <c r="GZ105" s="43"/>
      <c r="HA105" s="28"/>
      <c r="HB105" s="28"/>
      <c r="HC105" s="28"/>
      <c r="HD105" s="40"/>
      <c r="HE105" s="40"/>
      <c r="HG105" s="27"/>
      <c r="HH105" s="45"/>
      <c r="HI105" s="46"/>
      <c r="HJ105" s="48"/>
      <c r="HK105" s="48"/>
      <c r="HM105" s="45"/>
      <c r="HN105" s="45"/>
      <c r="HO105" s="46"/>
      <c r="HP105" s="48"/>
      <c r="HQ105" s="48"/>
      <c r="HS105" s="46">
        <f>200+200</f>
        <v>400</v>
      </c>
      <c r="HT105" s="46">
        <f>0.9+0.7</f>
        <v>1.6</v>
      </c>
      <c r="HU105" s="46">
        <v>2</v>
      </c>
      <c r="HV105" s="48">
        <f t="shared" si="1933"/>
        <v>250</v>
      </c>
      <c r="HW105" s="48">
        <f t="shared" si="1933"/>
        <v>0.8</v>
      </c>
      <c r="HX105" s="231"/>
      <c r="HY105" s="38">
        <f>200+150+200+150+150</f>
        <v>850</v>
      </c>
      <c r="HZ105" s="40">
        <f>2.38+1.91+2.15+1.22+1.89</f>
        <v>9.5499999999999989</v>
      </c>
      <c r="IA105" s="38">
        <f>5</f>
        <v>5</v>
      </c>
      <c r="IB105" s="40">
        <f t="shared" si="1828"/>
        <v>89.005235602094245</v>
      </c>
      <c r="IC105" s="40">
        <f t="shared" si="1840"/>
        <v>1.9099999999999997</v>
      </c>
      <c r="IE105" s="38">
        <f>200+200+200</f>
        <v>600</v>
      </c>
      <c r="IF105" s="40">
        <f>1.61+1.45+1.37</f>
        <v>4.43</v>
      </c>
      <c r="IG105" s="38">
        <f>3</f>
        <v>3</v>
      </c>
      <c r="IH105" s="40">
        <f t="shared" si="1841"/>
        <v>135.44018058690745</v>
      </c>
      <c r="II105" s="40">
        <f t="shared" si="1842"/>
        <v>1.4766666666666666</v>
      </c>
      <c r="IK105" s="38">
        <f>200+200</f>
        <v>400</v>
      </c>
      <c r="IL105" s="40">
        <f>2.22+2.62</f>
        <v>4.84</v>
      </c>
      <c r="IM105" s="38">
        <v>2</v>
      </c>
      <c r="IN105" s="40">
        <f t="shared" si="1934"/>
        <v>82.644628099173559</v>
      </c>
      <c r="IO105" s="40">
        <f t="shared" si="1935"/>
        <v>2.42</v>
      </c>
      <c r="IQ105" s="38"/>
      <c r="IR105" s="40"/>
      <c r="IS105" s="38"/>
      <c r="IT105" s="40"/>
      <c r="IU105" s="40"/>
      <c r="IW105" s="38">
        <f>200+300+100+150+50</f>
        <v>800</v>
      </c>
      <c r="IX105" s="40">
        <f>1.24+1.75+0.7+0.79+0.55</f>
        <v>5.03</v>
      </c>
      <c r="IY105" s="38">
        <v>5</v>
      </c>
      <c r="IZ105" s="40">
        <f t="shared" si="1938"/>
        <v>159.04572564612326</v>
      </c>
      <c r="JA105" s="40">
        <f t="shared" si="1939"/>
        <v>1.006</v>
      </c>
      <c r="JC105" s="38">
        <f>200+200+200+300+200</f>
        <v>1100</v>
      </c>
      <c r="JD105" s="40">
        <f>2.71+1.97+2.15+5.22+2.38</f>
        <v>14.43</v>
      </c>
      <c r="JE105" s="38">
        <v>5</v>
      </c>
      <c r="JF105" s="40">
        <f t="shared" si="1940"/>
        <v>76.230076230076236</v>
      </c>
      <c r="JG105" s="40">
        <f t="shared" si="1941"/>
        <v>2.8860000000000001</v>
      </c>
      <c r="JI105" s="38">
        <f>200+150+100+250+100</f>
        <v>800</v>
      </c>
      <c r="JJ105" s="40">
        <f>1.67+1.55+1.07+2.39+1.09</f>
        <v>7.77</v>
      </c>
      <c r="JK105" s="38">
        <v>5</v>
      </c>
      <c r="JL105" s="40">
        <f t="shared" si="1942"/>
        <v>102.96010296010297</v>
      </c>
      <c r="JM105" s="40">
        <f t="shared" si="1943"/>
        <v>1.5539999999999998</v>
      </c>
      <c r="JO105" s="38"/>
      <c r="JP105" s="40"/>
      <c r="JQ105" s="38"/>
      <c r="JR105" s="40"/>
      <c r="JS105" s="40"/>
      <c r="JU105" s="38"/>
      <c r="JV105" s="40"/>
      <c r="JW105" s="38"/>
      <c r="JX105" s="40"/>
      <c r="JY105" s="40"/>
      <c r="KA105" s="38">
        <f>200+300+400+400+200</f>
        <v>1500</v>
      </c>
      <c r="KB105" s="40">
        <f>1.38+2.05+3.22+2.53+2.13</f>
        <v>11.309999999999999</v>
      </c>
      <c r="KC105" s="38">
        <v>5</v>
      </c>
      <c r="KD105" s="40">
        <f t="shared" ref="KD105" si="1994">KA105/KB105</f>
        <v>132.62599469496024</v>
      </c>
      <c r="KE105" s="40">
        <f t="shared" si="1989"/>
        <v>2.2619999999999996</v>
      </c>
      <c r="KG105" s="38"/>
      <c r="KH105" s="40"/>
      <c r="KI105" s="38"/>
      <c r="KJ105" s="40" t="e">
        <f t="shared" ref="KJ105" si="1995">KG105/KH105</f>
        <v>#DIV/0!</v>
      </c>
      <c r="KK105" s="40" t="e">
        <f t="shared" si="1853"/>
        <v>#DIV/0!</v>
      </c>
      <c r="KM105" s="38"/>
      <c r="KN105" s="40"/>
      <c r="KO105" s="38"/>
      <c r="KP105" s="40" t="e">
        <f t="shared" ref="KP105" si="1996">KM105/KN105</f>
        <v>#DIV/0!</v>
      </c>
      <c r="KQ105" s="40" t="e">
        <f t="shared" si="1777"/>
        <v>#DIV/0!</v>
      </c>
      <c r="KS105" s="38">
        <f>300</f>
        <v>300</v>
      </c>
      <c r="KT105" s="40">
        <f>2.63</f>
        <v>2.63</v>
      </c>
      <c r="KU105" s="38">
        <v>1</v>
      </c>
      <c r="KV105" s="40">
        <f t="shared" ref="KV105" si="1997">KS105/KT105</f>
        <v>114.06844106463879</v>
      </c>
      <c r="KW105" s="40">
        <f t="shared" si="1779"/>
        <v>2.63</v>
      </c>
      <c r="KY105" s="38"/>
      <c r="KZ105" s="40"/>
      <c r="LA105" s="38"/>
      <c r="LB105" s="40" t="e">
        <f t="shared" ref="LB105" si="1998">KY105/KZ105</f>
        <v>#DIV/0!</v>
      </c>
      <c r="LC105" s="40" t="e">
        <f t="shared" si="1781"/>
        <v>#DIV/0!</v>
      </c>
      <c r="LE105" s="38">
        <f>200+250+300+150+400</f>
        <v>1300</v>
      </c>
      <c r="LF105" s="40">
        <f>3.92+3.46+5.84+2.25+4.18</f>
        <v>19.649999999999999</v>
      </c>
      <c r="LG105" s="38">
        <v>5</v>
      </c>
      <c r="LH105" s="40">
        <f t="shared" ref="LH105" si="1999">LE105/LF105</f>
        <v>66.157760814249372</v>
      </c>
      <c r="LI105" s="40">
        <f t="shared" si="1783"/>
        <v>3.9299999999999997</v>
      </c>
      <c r="LK105" s="38"/>
      <c r="LL105" s="40"/>
      <c r="LM105" s="38"/>
      <c r="LN105" s="40" t="e">
        <f t="shared" ref="LN105" si="2000">LK105/LL105</f>
        <v>#DIV/0!</v>
      </c>
      <c r="LO105" s="40" t="e">
        <f t="shared" si="1785"/>
        <v>#DIV/0!</v>
      </c>
      <c r="LQ105" s="38"/>
      <c r="LR105" s="40"/>
      <c r="LS105" s="38"/>
      <c r="LT105" s="40" t="e">
        <f t="shared" ref="LT105" si="2001">LQ105/LR105</f>
        <v>#DIV/0!</v>
      </c>
      <c r="LU105" s="40" t="e">
        <f t="shared" si="1787"/>
        <v>#DIV/0!</v>
      </c>
      <c r="LW105" s="38"/>
      <c r="LX105" s="40"/>
      <c r="LY105" s="38"/>
      <c r="LZ105" s="40" t="e">
        <f t="shared" ref="LZ105" si="2002">LW105/LX105</f>
        <v>#DIV/0!</v>
      </c>
      <c r="MA105" s="40" t="e">
        <f t="shared" si="1789"/>
        <v>#DIV/0!</v>
      </c>
      <c r="MC105" s="38">
        <f>500+300+200+250+350</f>
        <v>1600</v>
      </c>
      <c r="MD105" s="40">
        <f>0.56+0.48+0.52+0.35+0.35</f>
        <v>2.2600000000000002</v>
      </c>
      <c r="ME105" s="38">
        <v>5</v>
      </c>
      <c r="MF105" s="40">
        <f t="shared" ref="MF105" si="2003">MC105/MD105</f>
        <v>707.96460176991138</v>
      </c>
      <c r="MG105" s="40">
        <f t="shared" si="1791"/>
        <v>0.45200000000000007</v>
      </c>
      <c r="MI105" s="38"/>
      <c r="MJ105" s="40"/>
      <c r="MK105" s="38"/>
      <c r="ML105" s="40" t="e">
        <f t="shared" ref="ML105" si="2004">MI105/MJ105</f>
        <v>#DIV/0!</v>
      </c>
      <c r="MM105" s="40" t="e">
        <f t="shared" si="1793"/>
        <v>#DIV/0!</v>
      </c>
      <c r="MO105" s="38"/>
      <c r="MP105" s="40"/>
      <c r="MQ105" s="38"/>
      <c r="MR105" s="40" t="e">
        <f t="shared" ref="MR105" si="2005">MO105/MP105</f>
        <v>#DIV/0!</v>
      </c>
      <c r="MS105" s="40" t="e">
        <f t="shared" si="1795"/>
        <v>#DIV/0!</v>
      </c>
      <c r="MU105" s="38"/>
      <c r="MV105" s="40"/>
      <c r="MW105" s="38"/>
      <c r="MX105" s="40" t="e">
        <f t="shared" ref="MX105" si="2006">MU105/MV105</f>
        <v>#DIV/0!</v>
      </c>
      <c r="MY105" s="40" t="e">
        <f t="shared" si="1797"/>
        <v>#DIV/0!</v>
      </c>
      <c r="NA105" s="825">
        <f>150+150+150+150+150</f>
        <v>750</v>
      </c>
      <c r="NB105" s="826">
        <f>1.89+1.3+2.33+1.45+1.42</f>
        <v>8.39</v>
      </c>
      <c r="NC105" s="825">
        <v>5</v>
      </c>
      <c r="ND105" s="40">
        <f t="shared" ref="ND105" si="2007">NA105/NB105</f>
        <v>89.392133492252682</v>
      </c>
      <c r="NE105" s="40">
        <f t="shared" si="1799"/>
        <v>1.6780000000000002</v>
      </c>
      <c r="NG105" s="825">
        <f>150+200+200+200+150</f>
        <v>900</v>
      </c>
      <c r="NH105" s="826">
        <f>1.3+1.53+1.5+1.48+1.31</f>
        <v>7.120000000000001</v>
      </c>
      <c r="NI105" s="825">
        <v>5</v>
      </c>
      <c r="NJ105" s="40">
        <f t="shared" ref="NJ105" si="2008">NG105/NH105</f>
        <v>126.40449438202245</v>
      </c>
      <c r="NK105" s="40">
        <f t="shared" si="1801"/>
        <v>1.4240000000000002</v>
      </c>
      <c r="NM105" s="825">
        <f>350+100+200+150+50</f>
        <v>850</v>
      </c>
      <c r="NN105" s="826">
        <f>4.19+1.98+2.74+2.11+1.39</f>
        <v>12.41</v>
      </c>
      <c r="NO105" s="825">
        <v>5</v>
      </c>
      <c r="NP105" s="40">
        <f t="shared" ref="NP105" si="2009">NM105/NN105</f>
        <v>68.493150684931507</v>
      </c>
      <c r="NQ105" s="40">
        <f t="shared" si="1803"/>
        <v>2.4820000000000002</v>
      </c>
      <c r="NS105" s="825"/>
      <c r="NT105" s="826"/>
      <c r="NU105" s="825"/>
      <c r="NV105" s="40" t="e">
        <f t="shared" ref="NV105" si="2010">NS105/NT105</f>
        <v>#DIV/0!</v>
      </c>
      <c r="NW105" s="40" t="e">
        <f t="shared" si="1805"/>
        <v>#DIV/0!</v>
      </c>
      <c r="NY105" s="913"/>
      <c r="NZ105" s="914"/>
      <c r="OA105" s="918"/>
      <c r="OB105" s="40" t="e">
        <f t="shared" ref="OB105" si="2011">NY105/NZ105</f>
        <v>#DIV/0!</v>
      </c>
      <c r="OC105" s="40" t="e">
        <f t="shared" si="1807"/>
        <v>#DIV/0!</v>
      </c>
      <c r="OE105" s="825">
        <f>200+200+200+200+200</f>
        <v>1000</v>
      </c>
      <c r="OF105" s="826">
        <f>1.08+1.59+1.42+1.02+1.25</f>
        <v>6.3599999999999994</v>
      </c>
      <c r="OG105" s="825">
        <v>5</v>
      </c>
      <c r="OH105" s="40">
        <f t="shared" ref="OH105" si="2012">OE105/OF105</f>
        <v>157.23270440251574</v>
      </c>
      <c r="OI105" s="40">
        <f t="shared" si="1809"/>
        <v>1.2719999999999998</v>
      </c>
    </row>
    <row r="106" spans="2:399">
      <c r="B106" s="11"/>
      <c r="C106" s="13"/>
      <c r="D106" s="58" t="s">
        <v>28</v>
      </c>
      <c r="E106" s="726"/>
      <c r="F106" s="45"/>
      <c r="G106" s="46"/>
      <c r="H106" s="48"/>
      <c r="I106" s="48"/>
      <c r="K106" s="45">
        <v>500</v>
      </c>
      <c r="L106" s="45">
        <v>1.2</v>
      </c>
      <c r="M106" s="46">
        <v>1</v>
      </c>
      <c r="N106" s="48">
        <f t="shared" si="1990"/>
        <v>416.66666666666669</v>
      </c>
      <c r="O106" s="48">
        <f t="shared" si="1991"/>
        <v>1.2</v>
      </c>
      <c r="Q106" s="45">
        <v>1700</v>
      </c>
      <c r="R106" s="45">
        <v>6.6999999999999993</v>
      </c>
      <c r="S106" s="46">
        <v>5</v>
      </c>
      <c r="T106" s="48">
        <f t="shared" si="1992"/>
        <v>253.73134328358211</v>
      </c>
      <c r="U106" s="48">
        <f t="shared" si="1993"/>
        <v>1.3399999999999999</v>
      </c>
      <c r="W106" s="45"/>
      <c r="X106" s="45"/>
      <c r="Y106" s="46"/>
      <c r="Z106" s="48"/>
      <c r="AA106" s="48"/>
      <c r="AC106" s="45"/>
      <c r="AD106" s="45"/>
      <c r="AE106" s="46"/>
      <c r="AF106" s="48"/>
      <c r="AG106" s="48"/>
      <c r="AI106" s="45"/>
      <c r="AJ106" s="45"/>
      <c r="AK106" s="46"/>
      <c r="AL106" s="48"/>
      <c r="AM106" s="48"/>
      <c r="AO106" s="45"/>
      <c r="AP106" s="45"/>
      <c r="AQ106" s="46"/>
      <c r="AR106" s="48"/>
      <c r="AS106" s="48"/>
      <c r="AU106" s="45"/>
      <c r="AV106" s="45"/>
      <c r="AW106" s="46"/>
      <c r="AX106" s="48"/>
      <c r="AY106" s="48"/>
      <c r="AZ106" s="593"/>
      <c r="BA106" s="45"/>
      <c r="BB106" s="45"/>
      <c r="BC106" s="46"/>
      <c r="BD106" s="48"/>
      <c r="BE106" s="48"/>
      <c r="BF106" s="593"/>
      <c r="BG106" s="45"/>
      <c r="BH106" s="45"/>
      <c r="BI106" s="46"/>
      <c r="BJ106" s="48"/>
      <c r="BK106" s="48"/>
      <c r="BL106" s="593"/>
      <c r="BM106" s="45"/>
      <c r="BN106" s="45"/>
      <c r="BO106" s="46"/>
      <c r="BP106" s="48"/>
      <c r="BQ106" s="48"/>
      <c r="BS106" s="45"/>
      <c r="BT106" s="45"/>
      <c r="BU106" s="46"/>
      <c r="BV106" s="48"/>
      <c r="BW106" s="48"/>
      <c r="BX106" s="593"/>
      <c r="BY106" s="45"/>
      <c r="BZ106" s="45"/>
      <c r="CA106" s="46"/>
      <c r="CB106" s="48"/>
      <c r="CC106" s="48"/>
      <c r="CD106" s="593"/>
      <c r="CE106" s="45"/>
      <c r="CF106" s="45"/>
      <c r="CG106" s="46"/>
      <c r="CH106" s="48"/>
      <c r="CI106" s="48"/>
      <c r="CJ106" s="593"/>
      <c r="CK106" s="45"/>
      <c r="CL106" s="45"/>
      <c r="CM106" s="46"/>
      <c r="CN106" s="48"/>
      <c r="CO106" s="48"/>
      <c r="CP106" s="593"/>
      <c r="CQ106" s="45">
        <f>200+200</f>
        <v>400</v>
      </c>
      <c r="CR106" s="45">
        <f>1.42+1.5</f>
        <v>2.92</v>
      </c>
      <c r="CS106" s="46">
        <v>2</v>
      </c>
      <c r="CT106" s="48">
        <f t="shared" si="1818"/>
        <v>136.98630136986301</v>
      </c>
      <c r="CU106" s="48">
        <f t="shared" si="1758"/>
        <v>1.46</v>
      </c>
      <c r="CV106" s="593"/>
      <c r="CW106" s="45"/>
      <c r="CX106" s="45"/>
      <c r="CY106" s="46"/>
      <c r="CZ106" s="48"/>
      <c r="DA106" s="48"/>
      <c r="DB106" s="593"/>
      <c r="DC106" s="45"/>
      <c r="DD106" s="45"/>
      <c r="DE106" s="46"/>
      <c r="DF106" s="48"/>
      <c r="DG106" s="48"/>
      <c r="DH106" s="593"/>
      <c r="DI106" s="45"/>
      <c r="DJ106" s="45"/>
      <c r="DK106" s="46"/>
      <c r="DL106" s="48"/>
      <c r="DM106" s="48"/>
      <c r="DN106" s="593"/>
      <c r="DO106" s="45">
        <v>500</v>
      </c>
      <c r="DP106" s="45">
        <v>10.31</v>
      </c>
      <c r="DQ106" s="46">
        <v>1</v>
      </c>
      <c r="DR106" s="48">
        <f t="shared" ref="DR106" si="2013">DO106/DP106</f>
        <v>48.496605237633361</v>
      </c>
      <c r="DS106" s="48">
        <f t="shared" ref="DS106" si="2014">DP106/DQ106</f>
        <v>10.31</v>
      </c>
      <c r="DT106" s="593"/>
      <c r="DU106" s="45"/>
      <c r="DV106" s="45"/>
      <c r="DW106" s="46"/>
      <c r="DX106" s="48"/>
      <c r="DY106" s="48"/>
      <c r="DZ106" s="593"/>
      <c r="EA106" s="45"/>
      <c r="EB106" s="45"/>
      <c r="EC106" s="46"/>
      <c r="ED106" s="48"/>
      <c r="EE106" s="48"/>
      <c r="EF106" s="593"/>
      <c r="EG106" s="45"/>
      <c r="EH106" s="45"/>
      <c r="EI106" s="46"/>
      <c r="EJ106" s="48"/>
      <c r="EK106" s="48"/>
      <c r="EL106" s="593"/>
      <c r="EM106" s="45"/>
      <c r="EN106" s="45"/>
      <c r="EO106" s="46"/>
      <c r="EP106" s="48"/>
      <c r="EQ106" s="48"/>
      <c r="ES106" s="45"/>
      <c r="ET106" s="45"/>
      <c r="EU106" s="46"/>
      <c r="EV106" s="48"/>
      <c r="EW106" s="48"/>
      <c r="EY106" s="45"/>
      <c r="EZ106" s="45"/>
      <c r="FA106" s="45"/>
      <c r="FB106" s="48"/>
      <c r="FC106" s="48"/>
      <c r="FE106" s="45"/>
      <c r="FF106" s="45"/>
      <c r="FG106" s="46"/>
      <c r="FH106" s="48"/>
      <c r="FI106" s="48"/>
      <c r="FK106" s="38"/>
      <c r="FL106" s="40"/>
      <c r="FM106" s="38"/>
      <c r="FN106" s="40"/>
      <c r="FO106" s="40"/>
      <c r="FP106" s="231"/>
      <c r="FQ106" s="45"/>
      <c r="FR106" s="45"/>
      <c r="FS106" s="45"/>
      <c r="FT106" s="48"/>
      <c r="FU106" s="48"/>
      <c r="FW106" s="45"/>
      <c r="FX106" s="45"/>
      <c r="FY106" s="46"/>
      <c r="FZ106" s="48"/>
      <c r="GA106" s="48"/>
      <c r="GC106" s="26">
        <f>200+200</f>
        <v>400</v>
      </c>
      <c r="GD106" s="45">
        <f>5.15+4.75</f>
        <v>9.9</v>
      </c>
      <c r="GE106" s="45">
        <f>2</f>
        <v>2</v>
      </c>
      <c r="GF106" s="48">
        <f t="shared" si="1767"/>
        <v>40.404040404040401</v>
      </c>
      <c r="GG106" s="48">
        <f t="shared" si="1767"/>
        <v>4.95</v>
      </c>
      <c r="GI106" s="45"/>
      <c r="GJ106" s="45"/>
      <c r="GK106" s="45"/>
      <c r="GL106" s="48"/>
      <c r="GM106" s="48"/>
      <c r="GO106" s="45">
        <f>500+500+200+200+200</f>
        <v>1600</v>
      </c>
      <c r="GP106" s="45">
        <f>7.41+8.06+3.05+3.36+3.48</f>
        <v>25.36</v>
      </c>
      <c r="GQ106" s="45">
        <f>5</f>
        <v>5</v>
      </c>
      <c r="GR106" s="48">
        <f t="shared" si="1769"/>
        <v>63.09148264984227</v>
      </c>
      <c r="GS106" s="48">
        <f t="shared" si="1769"/>
        <v>5.0720000000000001</v>
      </c>
      <c r="GU106" s="99"/>
      <c r="GV106" s="99"/>
      <c r="GW106" s="100"/>
      <c r="GX106" s="101"/>
      <c r="GY106" s="101"/>
      <c r="GZ106" s="43"/>
      <c r="HA106" s="28"/>
      <c r="HB106" s="28"/>
      <c r="HC106" s="28"/>
      <c r="HD106" s="40"/>
      <c r="HE106" s="40"/>
      <c r="HG106" s="45">
        <v>500</v>
      </c>
      <c r="HH106" s="45">
        <v>10.31</v>
      </c>
      <c r="HI106" s="46">
        <v>1</v>
      </c>
      <c r="HJ106" s="48">
        <f t="shared" si="1772"/>
        <v>48.496605237633361</v>
      </c>
      <c r="HK106" s="48">
        <f t="shared" si="1772"/>
        <v>10.31</v>
      </c>
      <c r="HM106" s="45"/>
      <c r="HN106" s="45"/>
      <c r="HO106" s="46"/>
      <c r="HP106" s="48"/>
      <c r="HQ106" s="48"/>
      <c r="HS106" s="45">
        <v>500</v>
      </c>
      <c r="HT106" s="45">
        <v>1.2</v>
      </c>
      <c r="HU106" s="46">
        <v>1</v>
      </c>
      <c r="HV106" s="48">
        <f t="shared" si="1933"/>
        <v>416.66666666666669</v>
      </c>
      <c r="HW106" s="48">
        <f t="shared" si="1933"/>
        <v>1.2</v>
      </c>
      <c r="HX106" s="231"/>
      <c r="HY106" s="38"/>
      <c r="HZ106" s="40"/>
      <c r="IA106" s="38"/>
      <c r="IB106" s="40"/>
      <c r="IC106" s="40"/>
      <c r="IE106" s="38">
        <f>300+400</f>
        <v>700</v>
      </c>
      <c r="IF106" s="40">
        <f>7.37+10.13</f>
        <v>17.5</v>
      </c>
      <c r="IG106" s="38">
        <f>2</f>
        <v>2</v>
      </c>
      <c r="IH106" s="40">
        <f t="shared" si="1841"/>
        <v>40</v>
      </c>
      <c r="II106" s="40">
        <f t="shared" si="1842"/>
        <v>8.75</v>
      </c>
      <c r="IK106" s="38"/>
      <c r="IL106" s="40"/>
      <c r="IM106" s="38"/>
      <c r="IN106" s="40"/>
      <c r="IO106" s="40"/>
      <c r="IQ106" s="38">
        <f>500+700+1500+1000+1500</f>
        <v>5200</v>
      </c>
      <c r="IR106" s="40">
        <f>15+17.1+21+22+25.11</f>
        <v>100.21</v>
      </c>
      <c r="IS106" s="38">
        <v>5</v>
      </c>
      <c r="IT106" s="40">
        <f t="shared" ref="IT106" si="2015">IQ106/IR106</f>
        <v>51.891028839437183</v>
      </c>
      <c r="IU106" s="40">
        <f t="shared" ref="IU106" si="2016">IR106/IS106</f>
        <v>20.041999999999998</v>
      </c>
      <c r="IW106" s="38">
        <f>200</f>
        <v>200</v>
      </c>
      <c r="IX106" s="40">
        <f>11.89</f>
        <v>11.89</v>
      </c>
      <c r="IY106" s="38">
        <v>1</v>
      </c>
      <c r="IZ106" s="40">
        <f t="shared" ref="IZ106:IZ107" si="2017">IW106/IX106</f>
        <v>16.820857863751051</v>
      </c>
      <c r="JA106" s="40">
        <f t="shared" ref="JA106:JA107" si="2018">IX106/IY106</f>
        <v>11.89</v>
      </c>
      <c r="JC106" s="38"/>
      <c r="JD106" s="40"/>
      <c r="JE106" s="38"/>
      <c r="JF106" s="40"/>
      <c r="JG106" s="40"/>
      <c r="JI106" s="38">
        <f>500+500+500+600+200</f>
        <v>2300</v>
      </c>
      <c r="JJ106" s="40">
        <f>3.68+7.88+7.18+5.16+2.21</f>
        <v>26.110000000000003</v>
      </c>
      <c r="JK106" s="38">
        <v>5</v>
      </c>
      <c r="JL106" s="40">
        <f t="shared" ref="JL106" si="2019">JI106/JJ106</f>
        <v>88.08885484488701</v>
      </c>
      <c r="JM106" s="40">
        <f t="shared" ref="JM106" si="2020">JJ106/JK106</f>
        <v>5.2220000000000004</v>
      </c>
      <c r="JO106" s="38">
        <f>1000</f>
        <v>1000</v>
      </c>
      <c r="JP106" s="40">
        <f>10.32</f>
        <v>10.32</v>
      </c>
      <c r="JQ106" s="38">
        <v>1</v>
      </c>
      <c r="JR106" s="40">
        <f t="shared" ref="JR106" si="2021">JO106/JP106</f>
        <v>96.899224806201545</v>
      </c>
      <c r="JS106" s="40">
        <f t="shared" ref="JS106" si="2022">JP106/JQ106</f>
        <v>10.32</v>
      </c>
      <c r="JU106" s="38">
        <f>600+500+300+500+500</f>
        <v>2400</v>
      </c>
      <c r="JV106" s="40">
        <f>10.32</f>
        <v>10.32</v>
      </c>
      <c r="JW106" s="38">
        <v>5</v>
      </c>
      <c r="JX106" s="40">
        <f t="shared" ref="JX106" si="2023">JU106/JV106</f>
        <v>232.55813953488371</v>
      </c>
      <c r="JY106" s="40">
        <f t="shared" ref="JY106" si="2024">JV106/JW106</f>
        <v>2.0640000000000001</v>
      </c>
      <c r="KA106" s="38"/>
      <c r="KB106" s="40"/>
      <c r="KC106" s="38"/>
      <c r="KD106" s="40"/>
      <c r="KE106" s="40"/>
      <c r="KG106" s="38">
        <f>600+700+700+500</f>
        <v>2500</v>
      </c>
      <c r="KH106" s="40">
        <f>14.06+19.89+13.49+10.55</f>
        <v>57.990000000000009</v>
      </c>
      <c r="KI106" s="38">
        <v>4</v>
      </c>
      <c r="KJ106" s="40">
        <f>KG106/KH106</f>
        <v>43.11088118641144</v>
      </c>
      <c r="KK106" s="40">
        <f t="shared" si="1853"/>
        <v>14.497500000000002</v>
      </c>
      <c r="KM106" s="38"/>
      <c r="KN106" s="40"/>
      <c r="KO106" s="38"/>
      <c r="KP106" s="40" t="e">
        <f>KM106/KN106</f>
        <v>#DIV/0!</v>
      </c>
      <c r="KQ106" s="40" t="e">
        <f t="shared" si="1777"/>
        <v>#DIV/0!</v>
      </c>
      <c r="KS106" s="38">
        <f>700+800+700</f>
        <v>2200</v>
      </c>
      <c r="KT106" s="40">
        <f>7.03+18.79+6.8</f>
        <v>32.619999999999997</v>
      </c>
      <c r="KU106" s="38">
        <v>3</v>
      </c>
      <c r="KV106" s="40">
        <f>KS106/KT106</f>
        <v>67.443286327406511</v>
      </c>
      <c r="KW106" s="40">
        <f t="shared" si="1779"/>
        <v>10.873333333333333</v>
      </c>
      <c r="KY106" s="38"/>
      <c r="KZ106" s="40"/>
      <c r="LA106" s="38"/>
      <c r="LB106" s="40" t="e">
        <f>KY106/KZ106</f>
        <v>#DIV/0!</v>
      </c>
      <c r="LC106" s="40" t="e">
        <f t="shared" si="1781"/>
        <v>#DIV/0!</v>
      </c>
      <c r="LE106" s="38"/>
      <c r="LF106" s="40"/>
      <c r="LG106" s="38"/>
      <c r="LH106" s="40" t="e">
        <f>LE106/LF106</f>
        <v>#DIV/0!</v>
      </c>
      <c r="LI106" s="40" t="e">
        <f t="shared" si="1783"/>
        <v>#DIV/0!</v>
      </c>
      <c r="LK106" s="38"/>
      <c r="LL106" s="40"/>
      <c r="LM106" s="38"/>
      <c r="LN106" s="40" t="e">
        <f>LK106/LL106</f>
        <v>#DIV/0!</v>
      </c>
      <c r="LO106" s="40" t="e">
        <f t="shared" si="1785"/>
        <v>#DIV/0!</v>
      </c>
      <c r="LQ106" s="38"/>
      <c r="LR106" s="40"/>
      <c r="LS106" s="38"/>
      <c r="LT106" s="40" t="e">
        <f>LQ106/LR106</f>
        <v>#DIV/0!</v>
      </c>
      <c r="LU106" s="40" t="e">
        <f t="shared" si="1787"/>
        <v>#DIV/0!</v>
      </c>
      <c r="LW106" s="38">
        <f>250+200</f>
        <v>450</v>
      </c>
      <c r="LX106" s="40">
        <f>3.28+5.28</f>
        <v>8.56</v>
      </c>
      <c r="LY106" s="38">
        <v>2</v>
      </c>
      <c r="LZ106" s="40">
        <f>LW106/LX106</f>
        <v>52.570093457943919</v>
      </c>
      <c r="MA106" s="40">
        <f t="shared" si="1789"/>
        <v>4.28</v>
      </c>
      <c r="MC106" s="38">
        <f>200+300+250+250+250</f>
        <v>1250</v>
      </c>
      <c r="MD106" s="40">
        <f>1.32+1.25+1.16+1.4+1.35</f>
        <v>6.48</v>
      </c>
      <c r="ME106" s="38">
        <v>5</v>
      </c>
      <c r="MF106" s="40">
        <f>MC106/MD106</f>
        <v>192.90123456790121</v>
      </c>
      <c r="MG106" s="40">
        <f t="shared" si="1791"/>
        <v>1.296</v>
      </c>
      <c r="MI106" s="38">
        <f>200+500+700+400+200</f>
        <v>2000</v>
      </c>
      <c r="MJ106" s="40">
        <f>1.63+5.03+11.63+11.53+6.21</f>
        <v>36.03</v>
      </c>
      <c r="MK106" s="38">
        <v>5</v>
      </c>
      <c r="ML106" s="40">
        <f>MI106/MJ106</f>
        <v>55.509297807382737</v>
      </c>
      <c r="MM106" s="40">
        <f t="shared" si="1793"/>
        <v>7.2060000000000004</v>
      </c>
      <c r="MO106" s="38"/>
      <c r="MP106" s="40"/>
      <c r="MQ106" s="38"/>
      <c r="MR106" s="40" t="e">
        <f>MO106/MP106</f>
        <v>#DIV/0!</v>
      </c>
      <c r="MS106" s="40" t="e">
        <f t="shared" si="1795"/>
        <v>#DIV/0!</v>
      </c>
      <c r="MU106" s="38"/>
      <c r="MV106" s="40"/>
      <c r="MW106" s="38"/>
      <c r="MX106" s="40" t="e">
        <f>MU106/MV106</f>
        <v>#DIV/0!</v>
      </c>
      <c r="MY106" s="40" t="e">
        <f t="shared" si="1797"/>
        <v>#DIV/0!</v>
      </c>
      <c r="NA106" s="825">
        <f>400+300+300+300+500</f>
        <v>1800</v>
      </c>
      <c r="NB106" s="826">
        <f>9.55+6.77+6.15+6.74+11.78</f>
        <v>40.99</v>
      </c>
      <c r="NC106" s="825">
        <v>5</v>
      </c>
      <c r="ND106" s="40">
        <f>NA106/NB106</f>
        <v>43.913149548670404</v>
      </c>
      <c r="NE106" s="40">
        <f t="shared" si="1799"/>
        <v>8.1980000000000004</v>
      </c>
      <c r="NG106" s="825"/>
      <c r="NH106" s="826"/>
      <c r="NI106" s="825"/>
      <c r="NJ106" s="40" t="e">
        <f>NG106/NH106</f>
        <v>#DIV/0!</v>
      </c>
      <c r="NK106" s="40" t="e">
        <f t="shared" si="1801"/>
        <v>#DIV/0!</v>
      </c>
      <c r="NM106" s="825">
        <f>200+200+200+200+600</f>
        <v>1400</v>
      </c>
      <c r="NN106" s="826">
        <f>5.02+4.08+4.59+3.35+7.81</f>
        <v>24.849999999999998</v>
      </c>
      <c r="NO106" s="825">
        <v>5</v>
      </c>
      <c r="NP106" s="40">
        <f>NM106/NN106</f>
        <v>56.338028169014088</v>
      </c>
      <c r="NQ106" s="40">
        <f t="shared" si="1803"/>
        <v>4.97</v>
      </c>
      <c r="NS106" s="825">
        <f>400+400+400+400+400</f>
        <v>2000</v>
      </c>
      <c r="NT106" s="826">
        <f>4.6+5.6+5.71+5.01+4.51</f>
        <v>25.43</v>
      </c>
      <c r="NU106" s="825">
        <v>5</v>
      </c>
      <c r="NV106" s="40">
        <f>NS106/NT106</f>
        <v>78.647267007471498</v>
      </c>
      <c r="NW106" s="40">
        <f t="shared" si="1805"/>
        <v>5.0860000000000003</v>
      </c>
      <c r="NY106" s="913"/>
      <c r="NZ106" s="914"/>
      <c r="OA106" s="918"/>
      <c r="OB106" s="40" t="e">
        <f>NY106/NZ106</f>
        <v>#DIV/0!</v>
      </c>
      <c r="OC106" s="40" t="e">
        <f t="shared" si="1807"/>
        <v>#DIV/0!</v>
      </c>
      <c r="OE106" s="825"/>
      <c r="OF106" s="826"/>
      <c r="OG106" s="825"/>
      <c r="OH106" s="40" t="e">
        <f>OE106/OF106</f>
        <v>#DIV/0!</v>
      </c>
      <c r="OI106" s="40" t="e">
        <f t="shared" si="1809"/>
        <v>#DIV/0!</v>
      </c>
    </row>
    <row r="107" spans="2:399">
      <c r="B107" s="11"/>
      <c r="C107" s="16"/>
      <c r="D107" s="58" t="s">
        <v>29</v>
      </c>
      <c r="E107" s="726"/>
      <c r="F107" s="45"/>
      <c r="G107" s="46"/>
      <c r="H107" s="48"/>
      <c r="I107" s="48"/>
      <c r="K107" s="45"/>
      <c r="L107" s="45"/>
      <c r="M107" s="46"/>
      <c r="N107" s="48"/>
      <c r="O107" s="48"/>
      <c r="Q107" s="45"/>
      <c r="R107" s="45"/>
      <c r="S107" s="46"/>
      <c r="T107" s="48"/>
      <c r="U107" s="48"/>
      <c r="W107" s="45"/>
      <c r="X107" s="45"/>
      <c r="Y107" s="46"/>
      <c r="Z107" s="48"/>
      <c r="AA107" s="48"/>
      <c r="AC107" s="45"/>
      <c r="AD107" s="45"/>
      <c r="AE107" s="46"/>
      <c r="AF107" s="48"/>
      <c r="AG107" s="48"/>
      <c r="AI107" s="45"/>
      <c r="AJ107" s="45"/>
      <c r="AK107" s="46"/>
      <c r="AL107" s="48"/>
      <c r="AM107" s="48"/>
      <c r="AO107" s="45"/>
      <c r="AP107" s="45"/>
      <c r="AQ107" s="46"/>
      <c r="AR107" s="48"/>
      <c r="AS107" s="48"/>
      <c r="AU107" s="45">
        <f>150+250+300</f>
        <v>700</v>
      </c>
      <c r="AV107" s="45">
        <f>1.34+1.6+2.08</f>
        <v>5.0200000000000005</v>
      </c>
      <c r="AW107" s="46">
        <v>3</v>
      </c>
      <c r="AX107" s="48">
        <f t="shared" ref="AX107" si="2025">AU107/AV107</f>
        <v>139.44223107569721</v>
      </c>
      <c r="AY107" s="48">
        <f t="shared" ref="AY107" si="2026">AV107/AW107</f>
        <v>1.6733333333333336</v>
      </c>
      <c r="AZ107" s="593"/>
      <c r="BA107" s="45"/>
      <c r="BB107" s="45"/>
      <c r="BC107" s="46"/>
      <c r="BD107" s="48"/>
      <c r="BE107" s="48"/>
      <c r="BF107" s="593"/>
      <c r="BG107" s="45"/>
      <c r="BH107" s="45"/>
      <c r="BI107" s="46"/>
      <c r="BJ107" s="48"/>
      <c r="BK107" s="48"/>
      <c r="BL107" s="593"/>
      <c r="BM107" s="45"/>
      <c r="BN107" s="45"/>
      <c r="BO107" s="46"/>
      <c r="BP107" s="48"/>
      <c r="BQ107" s="48"/>
      <c r="BS107" s="45"/>
      <c r="BT107" s="45"/>
      <c r="BU107" s="46"/>
      <c r="BV107" s="48"/>
      <c r="BW107" s="48"/>
      <c r="BX107" s="593"/>
      <c r="BY107" s="45">
        <f>150+250+300</f>
        <v>700</v>
      </c>
      <c r="BZ107" s="45">
        <f>1.5+1.4+2.1</f>
        <v>5</v>
      </c>
      <c r="CA107" s="46">
        <v>3</v>
      </c>
      <c r="CB107" s="48">
        <f t="shared" ref="CB107" si="2027">BY107/BZ107</f>
        <v>140</v>
      </c>
      <c r="CC107" s="48">
        <f t="shared" ref="CC107" si="2028">BZ107/CA107</f>
        <v>1.6666666666666667</v>
      </c>
      <c r="CD107" s="593"/>
      <c r="CE107" s="45"/>
      <c r="CF107" s="45"/>
      <c r="CG107" s="46"/>
      <c r="CH107" s="48"/>
      <c r="CI107" s="48"/>
      <c r="CJ107" s="593"/>
      <c r="CK107" s="45">
        <v>1150</v>
      </c>
      <c r="CL107" s="45">
        <v>7.34</v>
      </c>
      <c r="CM107" s="46">
        <v>5</v>
      </c>
      <c r="CN107" s="48">
        <f t="shared" ref="CN107:CN109" si="2029">CK107/CL107</f>
        <v>156.67574931880108</v>
      </c>
      <c r="CO107" s="48">
        <f t="shared" ref="CO107:CO109" si="2030">CL107/CM107</f>
        <v>1.468</v>
      </c>
      <c r="CP107" s="593"/>
      <c r="CQ107" s="45"/>
      <c r="CR107" s="45"/>
      <c r="CS107" s="46"/>
      <c r="CT107" s="48"/>
      <c r="CU107" s="48"/>
      <c r="CV107" s="593"/>
      <c r="CW107" s="45">
        <f>150+250+300</f>
        <v>700</v>
      </c>
      <c r="CX107" s="45">
        <f>1.5+1.4+2.1</f>
        <v>5</v>
      </c>
      <c r="CY107" s="46">
        <v>3</v>
      </c>
      <c r="CZ107" s="48">
        <f t="shared" ref="CZ107:CZ109" si="2031">CW107/CX107</f>
        <v>140</v>
      </c>
      <c r="DA107" s="48">
        <f t="shared" ref="DA107:DA109" si="2032">CX107/CY107</f>
        <v>1.6666666666666667</v>
      </c>
      <c r="DB107" s="593"/>
      <c r="DC107" s="45">
        <f>200+200+200+200+200</f>
        <v>1000</v>
      </c>
      <c r="DD107" s="45">
        <f>1.5+1.14+1.47+1.56+1.51</f>
        <v>7.18</v>
      </c>
      <c r="DE107" s="46">
        <v>5</v>
      </c>
      <c r="DF107" s="48">
        <f t="shared" ref="DF107" si="2033">DC107/DD107</f>
        <v>139.27576601671311</v>
      </c>
      <c r="DG107" s="48">
        <f t="shared" ref="DG107" si="2034">DD107/DE107</f>
        <v>1.4359999999999999</v>
      </c>
      <c r="DH107" s="593"/>
      <c r="DI107" s="45"/>
      <c r="DJ107" s="45"/>
      <c r="DK107" s="46"/>
      <c r="DL107" s="48"/>
      <c r="DM107" s="48"/>
      <c r="DN107" s="593"/>
      <c r="DO107" s="45">
        <v>1000</v>
      </c>
      <c r="DP107" s="45">
        <v>5.97</v>
      </c>
      <c r="DQ107" s="46">
        <v>5</v>
      </c>
      <c r="DR107" s="48">
        <f t="shared" ref="DR107" si="2035">DO107/DP107</f>
        <v>167.50418760469012</v>
      </c>
      <c r="DS107" s="48">
        <f t="shared" ref="DS107" si="2036">DP107/DQ107</f>
        <v>1.194</v>
      </c>
      <c r="DT107" s="593"/>
      <c r="DU107" s="45"/>
      <c r="DV107" s="45"/>
      <c r="DW107" s="46"/>
      <c r="DX107" s="48"/>
      <c r="DY107" s="48"/>
      <c r="DZ107" s="593"/>
      <c r="EA107" s="45"/>
      <c r="EB107" s="45"/>
      <c r="EC107" s="46"/>
      <c r="ED107" s="48"/>
      <c r="EE107" s="48"/>
      <c r="EF107" s="593"/>
      <c r="EG107" s="45"/>
      <c r="EH107" s="45"/>
      <c r="EI107" s="46"/>
      <c r="EJ107" s="48"/>
      <c r="EK107" s="48"/>
      <c r="EL107" s="593"/>
      <c r="EM107" s="45"/>
      <c r="EN107" s="45"/>
      <c r="EO107" s="46"/>
      <c r="EP107" s="48"/>
      <c r="EQ107" s="48"/>
      <c r="ES107" s="45">
        <f>150+250+300</f>
        <v>700</v>
      </c>
      <c r="ET107" s="45">
        <f>1.5+1.4+2.1</f>
        <v>5</v>
      </c>
      <c r="EU107" s="46">
        <v>3</v>
      </c>
      <c r="EV107" s="48">
        <f t="shared" si="1890"/>
        <v>140</v>
      </c>
      <c r="EW107" s="48">
        <f t="shared" si="1890"/>
        <v>1.6666666666666667</v>
      </c>
      <c r="EY107" s="45"/>
      <c r="EZ107" s="45"/>
      <c r="FA107" s="45"/>
      <c r="FB107" s="48"/>
      <c r="FC107" s="48"/>
      <c r="FE107" s="45"/>
      <c r="FF107" s="45"/>
      <c r="FG107" s="46"/>
      <c r="FH107" s="48"/>
      <c r="FI107" s="48"/>
      <c r="FK107" s="38"/>
      <c r="FL107" s="40"/>
      <c r="FM107" s="38"/>
      <c r="FN107" s="40"/>
      <c r="FO107" s="40"/>
      <c r="FP107" s="231"/>
      <c r="FQ107" s="45">
        <f>200+150+200+100</f>
        <v>650</v>
      </c>
      <c r="FR107" s="45">
        <f>1.88+1.55+1.64+1.45</f>
        <v>6.52</v>
      </c>
      <c r="FS107" s="45">
        <f>4</f>
        <v>4</v>
      </c>
      <c r="FT107" s="48">
        <f t="shared" si="1765"/>
        <v>99.693251533742341</v>
      </c>
      <c r="FU107" s="48">
        <f t="shared" si="1765"/>
        <v>1.63</v>
      </c>
      <c r="FW107" s="45">
        <f>200+200+200+200+200</f>
        <v>1000</v>
      </c>
      <c r="FX107" s="45">
        <f>1.5+1.14+1.47+1.56+1.51</f>
        <v>7.18</v>
      </c>
      <c r="FY107" s="46">
        <v>5</v>
      </c>
      <c r="FZ107" s="48">
        <f t="shared" si="1766"/>
        <v>139.27576601671311</v>
      </c>
      <c r="GA107" s="48">
        <f t="shared" si="1766"/>
        <v>1.4359999999999999</v>
      </c>
      <c r="GC107" s="26"/>
      <c r="GD107" s="45"/>
      <c r="GE107" s="45"/>
      <c r="GF107" s="48"/>
      <c r="GG107" s="48"/>
      <c r="GI107" s="45"/>
      <c r="GJ107" s="45"/>
      <c r="GK107" s="45"/>
      <c r="GL107" s="48"/>
      <c r="GM107" s="48"/>
      <c r="GO107" s="45">
        <f>50+50+50+50+50</f>
        <v>250</v>
      </c>
      <c r="GP107" s="45">
        <f>1.01+1.2+1.55+1.01+1.2</f>
        <v>5.97</v>
      </c>
      <c r="GQ107" s="45">
        <f>5</f>
        <v>5</v>
      </c>
      <c r="GR107" s="48">
        <f t="shared" si="1769"/>
        <v>41.876046901172529</v>
      </c>
      <c r="GS107" s="48">
        <f t="shared" si="1769"/>
        <v>1.194</v>
      </c>
      <c r="GU107" s="99"/>
      <c r="GV107" s="99"/>
      <c r="GW107" s="100"/>
      <c r="GX107" s="101"/>
      <c r="GY107" s="101"/>
      <c r="GZ107" s="43"/>
      <c r="HA107" s="28"/>
      <c r="HB107" s="28"/>
      <c r="HC107" s="28"/>
      <c r="HD107" s="40"/>
      <c r="HE107" s="40"/>
      <c r="HG107" s="45">
        <v>1000</v>
      </c>
      <c r="HH107" s="45">
        <v>5.97</v>
      </c>
      <c r="HI107" s="46">
        <v>5</v>
      </c>
      <c r="HJ107" s="48">
        <f t="shared" si="1772"/>
        <v>167.50418760469012</v>
      </c>
      <c r="HK107" s="48">
        <f t="shared" si="1772"/>
        <v>1.194</v>
      </c>
      <c r="HM107" s="45"/>
      <c r="HN107" s="45"/>
      <c r="HO107" s="46"/>
      <c r="HP107" s="48"/>
      <c r="HQ107" s="48"/>
      <c r="HS107" s="45"/>
      <c r="HT107" s="45"/>
      <c r="HU107" s="46"/>
      <c r="HV107" s="48"/>
      <c r="HW107" s="48"/>
      <c r="HX107" s="231"/>
      <c r="HY107" s="38">
        <f>200+200+300+100+250</f>
        <v>1050</v>
      </c>
      <c r="HZ107" s="40">
        <f>1.72+2.01+3.17+1.44+2.14</f>
        <v>10.48</v>
      </c>
      <c r="IA107" s="38">
        <f>5</f>
        <v>5</v>
      </c>
      <c r="IB107" s="40">
        <f t="shared" si="1828"/>
        <v>100.19083969465649</v>
      </c>
      <c r="IC107" s="40">
        <f t="shared" si="1840"/>
        <v>2.0960000000000001</v>
      </c>
      <c r="IE107" s="38">
        <f>150+100+100+150+100</f>
        <v>600</v>
      </c>
      <c r="IF107" s="40">
        <f>1.65+1.21+0.95+1.39+1.37</f>
        <v>6.5699999999999994</v>
      </c>
      <c r="IG107" s="38">
        <f>5</f>
        <v>5</v>
      </c>
      <c r="IH107" s="40">
        <f t="shared" si="1841"/>
        <v>91.324200913242024</v>
      </c>
      <c r="II107" s="40">
        <f t="shared" si="1842"/>
        <v>1.3139999999999998</v>
      </c>
      <c r="IK107" s="38">
        <f>100+100</f>
        <v>200</v>
      </c>
      <c r="IL107" s="40">
        <f>1.35+1.35</f>
        <v>2.7</v>
      </c>
      <c r="IM107" s="38">
        <v>2</v>
      </c>
      <c r="IN107" s="40">
        <f t="shared" si="1934"/>
        <v>74.074074074074076</v>
      </c>
      <c r="IO107" s="40">
        <f t="shared" si="1935"/>
        <v>1.35</v>
      </c>
      <c r="IQ107" s="38">
        <f>150+200+200+300+300</f>
        <v>1150</v>
      </c>
      <c r="IR107" s="40">
        <f>1.01+1.18+1.11+1.05+1.22</f>
        <v>5.5699999999999994</v>
      </c>
      <c r="IS107" s="38">
        <v>5</v>
      </c>
      <c r="IT107" s="40">
        <f t="shared" ref="IT107" si="2037">IQ107/IR107</f>
        <v>206.46319569120288</v>
      </c>
      <c r="IU107" s="40">
        <f t="shared" ref="IU107" si="2038">IR107/IS107</f>
        <v>1.1139999999999999</v>
      </c>
      <c r="IW107" s="38">
        <f>100+200+200+100</f>
        <v>600</v>
      </c>
      <c r="IX107" s="40">
        <f>1.6+1.89+1.12+0.81</f>
        <v>5.42</v>
      </c>
      <c r="IY107" s="38">
        <v>4</v>
      </c>
      <c r="IZ107" s="40">
        <f t="shared" si="2017"/>
        <v>110.70110701107011</v>
      </c>
      <c r="JA107" s="40">
        <f t="shared" si="2018"/>
        <v>1.355</v>
      </c>
      <c r="JC107" s="38"/>
      <c r="JD107" s="40"/>
      <c r="JE107" s="38"/>
      <c r="JF107" s="40"/>
      <c r="JG107" s="40"/>
      <c r="JI107" s="38">
        <f>200+150+150+150+150</f>
        <v>800</v>
      </c>
      <c r="JJ107" s="40">
        <f>2.1+1.71+1.22+1.54+1.8</f>
        <v>8.370000000000001</v>
      </c>
      <c r="JK107" s="38">
        <v>5</v>
      </c>
      <c r="JL107" s="40">
        <f t="shared" ref="JL107" si="2039">JI107/JJ107</f>
        <v>95.579450418160079</v>
      </c>
      <c r="JM107" s="40">
        <f t="shared" ref="JM107" si="2040">JJ107/JK107</f>
        <v>1.6740000000000002</v>
      </c>
      <c r="JO107" s="38">
        <f>100+50+100+30+40</f>
        <v>320</v>
      </c>
      <c r="JP107" s="40">
        <f>1.46+1.55+1.26+0.77+1.24</f>
        <v>6.2799999999999994</v>
      </c>
      <c r="JQ107" s="38">
        <v>5</v>
      </c>
      <c r="JR107" s="40">
        <f t="shared" ref="JR107" si="2041">JO107/JP107</f>
        <v>50.955414012738856</v>
      </c>
      <c r="JS107" s="40">
        <f t="shared" ref="JS107" si="2042">JP107/JQ107</f>
        <v>1.2559999999999998</v>
      </c>
      <c r="JU107" s="38"/>
      <c r="JV107" s="40"/>
      <c r="JW107" s="38"/>
      <c r="JX107" s="40"/>
      <c r="JY107" s="40"/>
      <c r="KA107" s="38"/>
      <c r="KB107" s="40"/>
      <c r="KC107" s="38"/>
      <c r="KD107" s="40"/>
      <c r="KE107" s="40"/>
      <c r="KG107" s="38">
        <f>150+150+200+200+100</f>
        <v>800</v>
      </c>
      <c r="KH107" s="40">
        <f>1.26+1.37+2.06+2.23+1</f>
        <v>7.92</v>
      </c>
      <c r="KI107" s="38">
        <v>5</v>
      </c>
      <c r="KJ107" s="40">
        <f>KG107/KH107</f>
        <v>101.01010101010101</v>
      </c>
      <c r="KK107" s="40">
        <f t="shared" si="1853"/>
        <v>1.5840000000000001</v>
      </c>
      <c r="KM107" s="38"/>
      <c r="KN107" s="40"/>
      <c r="KO107" s="38"/>
      <c r="KP107" s="40" t="e">
        <f>KM107/KN107</f>
        <v>#DIV/0!</v>
      </c>
      <c r="KQ107" s="40" t="e">
        <f t="shared" si="1777"/>
        <v>#DIV/0!</v>
      </c>
      <c r="KS107" s="38"/>
      <c r="KT107" s="40"/>
      <c r="KU107" s="38"/>
      <c r="KV107" s="40" t="e">
        <f>KS107/KT107</f>
        <v>#DIV/0!</v>
      </c>
      <c r="KW107" s="40" t="e">
        <f t="shared" si="1779"/>
        <v>#DIV/0!</v>
      </c>
      <c r="KY107" s="38"/>
      <c r="KZ107" s="40"/>
      <c r="LA107" s="38"/>
      <c r="LB107" s="40" t="e">
        <f>KY107/KZ107</f>
        <v>#DIV/0!</v>
      </c>
      <c r="LC107" s="40" t="e">
        <f t="shared" si="1781"/>
        <v>#DIV/0!</v>
      </c>
      <c r="LE107" s="38">
        <f>200+250+400</f>
        <v>850</v>
      </c>
      <c r="LF107" s="40">
        <f>1.81+2.66+3.7</f>
        <v>8.1700000000000017</v>
      </c>
      <c r="LG107" s="38">
        <v>3</v>
      </c>
      <c r="LH107" s="40">
        <f>LE107/LF107</f>
        <v>104.03916768665849</v>
      </c>
      <c r="LI107" s="40">
        <f t="shared" si="1783"/>
        <v>2.723333333333334</v>
      </c>
      <c r="LK107" s="38"/>
      <c r="LL107" s="40"/>
      <c r="LM107" s="38"/>
      <c r="LN107" s="40" t="e">
        <f>LK107/LL107</f>
        <v>#DIV/0!</v>
      </c>
      <c r="LO107" s="40" t="e">
        <f t="shared" si="1785"/>
        <v>#DIV/0!</v>
      </c>
      <c r="LQ107" s="38"/>
      <c r="LR107" s="40"/>
      <c r="LS107" s="38"/>
      <c r="LT107" s="40" t="e">
        <f>LQ107/LR107</f>
        <v>#DIV/0!</v>
      </c>
      <c r="LU107" s="40" t="e">
        <f t="shared" si="1787"/>
        <v>#DIV/0!</v>
      </c>
      <c r="LW107" s="38"/>
      <c r="LX107" s="40"/>
      <c r="LY107" s="38"/>
      <c r="LZ107" s="40" t="e">
        <f>LW107/LX107</f>
        <v>#DIV/0!</v>
      </c>
      <c r="MA107" s="40" t="e">
        <f t="shared" si="1789"/>
        <v>#DIV/0!</v>
      </c>
      <c r="MC107" s="38">
        <f>200+200+200+150+100</f>
        <v>850</v>
      </c>
      <c r="MD107" s="40">
        <f>0.43+0.43+0.35+0.49+0.36</f>
        <v>2.06</v>
      </c>
      <c r="ME107" s="38">
        <v>5</v>
      </c>
      <c r="MF107" s="40">
        <f>MC107/MD107</f>
        <v>412.62135922330094</v>
      </c>
      <c r="MG107" s="40">
        <f t="shared" si="1791"/>
        <v>0.41200000000000003</v>
      </c>
      <c r="MI107" s="38">
        <f>100+100+100+200+200</f>
        <v>700</v>
      </c>
      <c r="MJ107" s="40">
        <f>1.09+1.24+1.16+2.16+3.23</f>
        <v>8.8800000000000008</v>
      </c>
      <c r="MK107" s="38">
        <v>5</v>
      </c>
      <c r="ML107" s="40">
        <f>MI107/MJ107</f>
        <v>78.828828828828819</v>
      </c>
      <c r="MM107" s="40">
        <f t="shared" si="1793"/>
        <v>1.7760000000000002</v>
      </c>
      <c r="MO107" s="38"/>
      <c r="MP107" s="40"/>
      <c r="MQ107" s="38"/>
      <c r="MR107" s="40" t="e">
        <f>MO107/MP107</f>
        <v>#DIV/0!</v>
      </c>
      <c r="MS107" s="40" t="e">
        <f t="shared" si="1795"/>
        <v>#DIV/0!</v>
      </c>
      <c r="MU107" s="38"/>
      <c r="MV107" s="40"/>
      <c r="MW107" s="38"/>
      <c r="MX107" s="40" t="e">
        <f>MU107/MV107</f>
        <v>#DIV/0!</v>
      </c>
      <c r="MY107" s="40" t="e">
        <f t="shared" si="1797"/>
        <v>#DIV/0!</v>
      </c>
      <c r="NA107" s="825">
        <f>200+150+150+150+150</f>
        <v>800</v>
      </c>
      <c r="NB107" s="826">
        <f>1.8+3.06+3.01+1.77+1.65</f>
        <v>11.290000000000001</v>
      </c>
      <c r="NC107" s="825">
        <v>5</v>
      </c>
      <c r="ND107" s="40">
        <f>NA107/NB107</f>
        <v>70.859167404782994</v>
      </c>
      <c r="NE107" s="40">
        <f t="shared" si="1799"/>
        <v>2.258</v>
      </c>
      <c r="NG107" s="825"/>
      <c r="NH107" s="826"/>
      <c r="NI107" s="825"/>
      <c r="NJ107" s="40" t="e">
        <f>NG107/NH107</f>
        <v>#DIV/0!</v>
      </c>
      <c r="NK107" s="40" t="e">
        <f t="shared" si="1801"/>
        <v>#DIV/0!</v>
      </c>
      <c r="NM107" s="825">
        <f>50+50+150+150+100</f>
        <v>500</v>
      </c>
      <c r="NN107" s="826">
        <f>2.01+2.1+1.83+2.04+1.5</f>
        <v>9.48</v>
      </c>
      <c r="NO107" s="825">
        <v>5</v>
      </c>
      <c r="NP107" s="40">
        <f>NM107/NN107</f>
        <v>52.742616033755269</v>
      </c>
      <c r="NQ107" s="40">
        <f t="shared" si="1803"/>
        <v>1.8960000000000001</v>
      </c>
      <c r="NS107" s="825">
        <f>300+150+200+300+150</f>
        <v>1100</v>
      </c>
      <c r="NT107" s="826">
        <f>2.68+1.37+1.96+2.55+1.42</f>
        <v>9.98</v>
      </c>
      <c r="NU107" s="825">
        <v>5</v>
      </c>
      <c r="NV107" s="40">
        <f>NS107/NT107</f>
        <v>110.22044088176352</v>
      </c>
      <c r="NW107" s="40">
        <f t="shared" si="1805"/>
        <v>1.996</v>
      </c>
      <c r="NY107" s="913"/>
      <c r="NZ107" s="914"/>
      <c r="OA107" s="918"/>
      <c r="OB107" s="40" t="e">
        <f>NY107/NZ107</f>
        <v>#DIV/0!</v>
      </c>
      <c r="OC107" s="40" t="e">
        <f t="shared" si="1807"/>
        <v>#DIV/0!</v>
      </c>
      <c r="OE107" s="825"/>
      <c r="OF107" s="826"/>
      <c r="OG107" s="825"/>
      <c r="OH107" s="40" t="e">
        <f>OE107/OF107</f>
        <v>#DIV/0!</v>
      </c>
      <c r="OI107" s="40" t="e">
        <f t="shared" si="1809"/>
        <v>#DIV/0!</v>
      </c>
    </row>
    <row r="108" spans="2:399">
      <c r="B108" s="11"/>
      <c r="C108" s="13" t="s">
        <v>30</v>
      </c>
      <c r="D108" s="58" t="s">
        <v>26</v>
      </c>
      <c r="E108" s="726">
        <f>600+500+300+400+100</f>
        <v>1900</v>
      </c>
      <c r="F108" s="45">
        <f>3.45+2.13+2.02+1.77+1.04</f>
        <v>10.41</v>
      </c>
      <c r="G108" s="46">
        <v>5</v>
      </c>
      <c r="H108" s="48">
        <f t="shared" ref="H108" si="2043">E108/F108</f>
        <v>182.5168107588857</v>
      </c>
      <c r="I108" s="48">
        <f t="shared" ref="I108" si="2044">F108/G108</f>
        <v>2.0819999999999999</v>
      </c>
      <c r="K108" s="45">
        <f>500</f>
        <v>500</v>
      </c>
      <c r="L108" s="45">
        <v>1.76</v>
      </c>
      <c r="M108" s="46">
        <v>1</v>
      </c>
      <c r="N108" s="48">
        <f t="shared" ref="N108" si="2045">K108/L108</f>
        <v>284.09090909090907</v>
      </c>
      <c r="O108" s="48">
        <f t="shared" ref="O108" si="2046">L108/M108</f>
        <v>1.76</v>
      </c>
      <c r="Q108" s="45"/>
      <c r="R108" s="45"/>
      <c r="S108" s="46"/>
      <c r="T108" s="48"/>
      <c r="U108" s="48"/>
      <c r="W108" s="45"/>
      <c r="X108" s="45"/>
      <c r="Y108" s="46"/>
      <c r="Z108" s="48"/>
      <c r="AA108" s="48"/>
      <c r="AC108" s="45"/>
      <c r="AD108" s="45"/>
      <c r="AE108" s="46"/>
      <c r="AF108" s="48"/>
      <c r="AG108" s="48"/>
      <c r="AI108" s="45"/>
      <c r="AJ108" s="45"/>
      <c r="AK108" s="46"/>
      <c r="AL108" s="48"/>
      <c r="AM108" s="48"/>
      <c r="AO108" s="45"/>
      <c r="AP108" s="45"/>
      <c r="AQ108" s="46"/>
      <c r="AR108" s="48"/>
      <c r="AS108" s="48"/>
      <c r="AU108" s="45">
        <f>500+600</f>
        <v>1100</v>
      </c>
      <c r="AV108" s="45">
        <f>3.91+4.72</f>
        <v>8.629999999999999</v>
      </c>
      <c r="AW108" s="46">
        <v>2</v>
      </c>
      <c r="AX108" s="48"/>
      <c r="AY108" s="48"/>
      <c r="AZ108" s="593"/>
      <c r="BA108" s="45">
        <f>700+600+600+300+600</f>
        <v>2800</v>
      </c>
      <c r="BB108" s="45">
        <f>11.69+12.15+8.3+5.11+10.58</f>
        <v>47.83</v>
      </c>
      <c r="BC108" s="46">
        <v>5</v>
      </c>
      <c r="BD108" s="48">
        <f t="shared" ref="BD108" si="2047">BA108/BB108</f>
        <v>58.540664854693709</v>
      </c>
      <c r="BE108" s="48">
        <f t="shared" ref="BE108" si="2048">BB108/BC108</f>
        <v>9.5659999999999989</v>
      </c>
      <c r="BF108" s="593"/>
      <c r="BG108" s="45"/>
      <c r="BH108" s="45"/>
      <c r="BI108" s="46"/>
      <c r="BJ108" s="48"/>
      <c r="BK108" s="48"/>
      <c r="BL108" s="593"/>
      <c r="BM108" s="45"/>
      <c r="BN108" s="45"/>
      <c r="BO108" s="46"/>
      <c r="BP108" s="48"/>
      <c r="BQ108" s="48"/>
      <c r="BS108" s="45"/>
      <c r="BT108" s="45"/>
      <c r="BU108" s="46"/>
      <c r="BV108" s="48"/>
      <c r="BW108" s="48"/>
      <c r="BX108" s="593"/>
      <c r="BY108" s="45">
        <f>500+600</f>
        <v>1100</v>
      </c>
      <c r="BZ108" s="45">
        <f>3.91+4.72</f>
        <v>8.629999999999999</v>
      </c>
      <c r="CA108" s="46">
        <v>2</v>
      </c>
      <c r="CB108" s="48">
        <f t="shared" ref="CB108" si="2049">BY108/BZ108</f>
        <v>127.46234067207418</v>
      </c>
      <c r="CC108" s="48">
        <f t="shared" ref="CC108" si="2050">BZ108/CA108</f>
        <v>4.3149999999999995</v>
      </c>
      <c r="CD108" s="593"/>
      <c r="CE108" s="45"/>
      <c r="CF108" s="45"/>
      <c r="CG108" s="46"/>
      <c r="CH108" s="48"/>
      <c r="CI108" s="48"/>
      <c r="CJ108" s="593"/>
      <c r="CK108" s="45"/>
      <c r="CL108" s="45"/>
      <c r="CM108" s="46"/>
      <c r="CN108" s="48"/>
      <c r="CO108" s="48"/>
      <c r="CP108" s="593"/>
      <c r="CQ108" s="45">
        <v>400</v>
      </c>
      <c r="CR108" s="45">
        <v>7.48</v>
      </c>
      <c r="CS108" s="46">
        <v>1</v>
      </c>
      <c r="CT108" s="48">
        <f t="shared" ref="CT108:CT109" si="2051">CQ108/CR108</f>
        <v>53.475935828876999</v>
      </c>
      <c r="CU108" s="48">
        <f t="shared" ref="CU108:CU109" si="2052">CR108/CS108</f>
        <v>7.48</v>
      </c>
      <c r="CV108" s="593"/>
      <c r="CW108" s="45">
        <f>500+600</f>
        <v>1100</v>
      </c>
      <c r="CX108" s="45">
        <f>3.91+4.72</f>
        <v>8.629999999999999</v>
      </c>
      <c r="CY108" s="46">
        <v>2</v>
      </c>
      <c r="CZ108" s="48">
        <f t="shared" si="2031"/>
        <v>127.46234067207418</v>
      </c>
      <c r="DA108" s="48">
        <f t="shared" si="2032"/>
        <v>4.3149999999999995</v>
      </c>
      <c r="DB108" s="593"/>
      <c r="DC108" s="45"/>
      <c r="DD108" s="45"/>
      <c r="DE108" s="46"/>
      <c r="DF108" s="48"/>
      <c r="DG108" s="48"/>
      <c r="DH108" s="593"/>
      <c r="DI108" s="45"/>
      <c r="DJ108" s="45"/>
      <c r="DK108" s="46"/>
      <c r="DL108" s="48"/>
      <c r="DM108" s="48"/>
      <c r="DN108" s="593"/>
      <c r="DO108" s="45"/>
      <c r="DP108" s="45"/>
      <c r="DQ108" s="46"/>
      <c r="DR108" s="48"/>
      <c r="DS108" s="48"/>
      <c r="DT108" s="593"/>
      <c r="DU108" s="45"/>
      <c r="DV108" s="45"/>
      <c r="DW108" s="46"/>
      <c r="DX108" s="48"/>
      <c r="DY108" s="48"/>
      <c r="DZ108" s="593"/>
      <c r="EA108" s="45"/>
      <c r="EB108" s="45"/>
      <c r="EC108" s="46"/>
      <c r="ED108" s="48"/>
      <c r="EE108" s="48"/>
      <c r="EF108" s="593"/>
      <c r="EG108" s="45"/>
      <c r="EH108" s="45"/>
      <c r="EI108" s="46"/>
      <c r="EJ108" s="48"/>
      <c r="EK108" s="48"/>
      <c r="EL108" s="593"/>
      <c r="EM108" s="45"/>
      <c r="EN108" s="45"/>
      <c r="EO108" s="46"/>
      <c r="EP108" s="48"/>
      <c r="EQ108" s="48"/>
      <c r="ES108" s="45">
        <f>500+600</f>
        <v>1100</v>
      </c>
      <c r="ET108" s="45">
        <f>3.91+4.72</f>
        <v>8.629999999999999</v>
      </c>
      <c r="EU108" s="46">
        <v>2</v>
      </c>
      <c r="EV108" s="48">
        <f t="shared" si="1890"/>
        <v>127.46234067207418</v>
      </c>
      <c r="EW108" s="48">
        <f t="shared" si="1890"/>
        <v>4.3149999999999995</v>
      </c>
      <c r="EY108" s="45">
        <v>1500</v>
      </c>
      <c r="EZ108" s="45">
        <v>9.36</v>
      </c>
      <c r="FA108" s="45">
        <v>5</v>
      </c>
      <c r="FB108" s="48">
        <f t="shared" ref="FB108:FC110" si="2053">EY108/EZ108</f>
        <v>160.25641025641028</v>
      </c>
      <c r="FC108" s="48">
        <f t="shared" si="2053"/>
        <v>1.8719999999999999</v>
      </c>
      <c r="FE108" s="46"/>
      <c r="FF108" s="46"/>
      <c r="FG108" s="46"/>
      <c r="FH108" s="48"/>
      <c r="FI108" s="48"/>
      <c r="FK108" s="38">
        <f>500+600+700+700+500</f>
        <v>3000</v>
      </c>
      <c r="FL108" s="40">
        <f>6.47+6.46+8.48+8.41+6.51</f>
        <v>36.33</v>
      </c>
      <c r="FM108" s="38">
        <f>5</f>
        <v>5</v>
      </c>
      <c r="FN108" s="40">
        <f t="shared" si="1950"/>
        <v>82.57638315441784</v>
      </c>
      <c r="FO108" s="40">
        <f t="shared" si="1932"/>
        <v>7.266</v>
      </c>
      <c r="FP108" s="231"/>
      <c r="FQ108" s="45">
        <f>300+500+400+200+400</f>
        <v>1800</v>
      </c>
      <c r="FR108" s="45">
        <f>5.54+11.32+7.31+2.25+7.87</f>
        <v>34.29</v>
      </c>
      <c r="FS108" s="45">
        <f>5</f>
        <v>5</v>
      </c>
      <c r="FT108" s="48">
        <f>FQ108/FR108</f>
        <v>52.493438320209975</v>
      </c>
      <c r="FU108" s="48">
        <f>FR108/FS108</f>
        <v>6.8579999999999997</v>
      </c>
      <c r="FW108" s="45">
        <f>500</f>
        <v>500</v>
      </c>
      <c r="FX108" s="45">
        <v>9.2899999999999991</v>
      </c>
      <c r="FY108" s="46">
        <v>1</v>
      </c>
      <c r="FZ108" s="48">
        <f t="shared" si="1766"/>
        <v>53.821313240043061</v>
      </c>
      <c r="GA108" s="48">
        <f t="shared" si="1766"/>
        <v>9.2899999999999991</v>
      </c>
      <c r="GC108" s="26"/>
      <c r="GD108" s="45"/>
      <c r="GE108" s="45"/>
      <c r="GF108" s="48"/>
      <c r="GG108" s="48"/>
      <c r="GI108" s="45">
        <f>900+1000+2000</f>
        <v>3900</v>
      </c>
      <c r="GJ108" s="45">
        <f>8.25+10.62+15.16</f>
        <v>34.03</v>
      </c>
      <c r="GK108" s="45">
        <f>3</f>
        <v>3</v>
      </c>
      <c r="GL108" s="48">
        <f t="shared" si="1768"/>
        <v>114.60476050543637</v>
      </c>
      <c r="GM108" s="48">
        <f t="shared" si="1768"/>
        <v>11.343333333333334</v>
      </c>
      <c r="GO108" s="45">
        <f>800</f>
        <v>800</v>
      </c>
      <c r="GP108" s="45">
        <f>7.74</f>
        <v>7.74</v>
      </c>
      <c r="GQ108" s="45">
        <f>1</f>
        <v>1</v>
      </c>
      <c r="GR108" s="48">
        <f t="shared" si="1769"/>
        <v>103.35917312661499</v>
      </c>
      <c r="GS108" s="48">
        <f t="shared" si="1769"/>
        <v>7.74</v>
      </c>
      <c r="GU108" s="99"/>
      <c r="GV108" s="99"/>
      <c r="GW108" s="100"/>
      <c r="GX108" s="101"/>
      <c r="GY108" s="101"/>
      <c r="GZ108" s="43"/>
      <c r="HA108" s="28">
        <f>200+400+300+200+500</f>
        <v>1600</v>
      </c>
      <c r="HB108" s="28">
        <f>0.81+1.23+1.06+0.77+1.76</f>
        <v>5.63</v>
      </c>
      <c r="HC108" s="28">
        <v>5</v>
      </c>
      <c r="HD108" s="40">
        <f t="shared" si="1771"/>
        <v>284.19182948490231</v>
      </c>
      <c r="HE108" s="40">
        <f t="shared" si="1771"/>
        <v>1.1259999999999999</v>
      </c>
      <c r="HG108" s="45"/>
      <c r="HH108" s="45"/>
      <c r="HI108" s="46"/>
      <c r="HJ108" s="48"/>
      <c r="HK108" s="48"/>
      <c r="HM108" s="45">
        <f>600+500+300+400+100</f>
        <v>1900</v>
      </c>
      <c r="HN108" s="45">
        <f>3.45+2.13+2.02+1.77+1.04</f>
        <v>10.41</v>
      </c>
      <c r="HO108" s="46">
        <v>5</v>
      </c>
      <c r="HP108" s="48">
        <f t="shared" si="1839"/>
        <v>182.5168107588857</v>
      </c>
      <c r="HQ108" s="48">
        <f t="shared" si="1839"/>
        <v>2.0819999999999999</v>
      </c>
      <c r="HS108" s="46">
        <f>500</f>
        <v>500</v>
      </c>
      <c r="HT108" s="46">
        <v>1.76</v>
      </c>
      <c r="HU108" s="46">
        <v>1</v>
      </c>
      <c r="HV108" s="48">
        <f t="shared" si="1933"/>
        <v>284.09090909090907</v>
      </c>
      <c r="HW108" s="48">
        <f t="shared" si="1933"/>
        <v>1.76</v>
      </c>
      <c r="HX108" s="231"/>
      <c r="HY108" s="38">
        <f>200+400+300+500</f>
        <v>1400</v>
      </c>
      <c r="HZ108" s="40">
        <f>3.43+8.72+9.19+13.37</f>
        <v>34.71</v>
      </c>
      <c r="IA108" s="38">
        <f>4</f>
        <v>4</v>
      </c>
      <c r="IB108" s="40">
        <f t="shared" si="1828"/>
        <v>40.334197637568423</v>
      </c>
      <c r="IC108" s="40">
        <f t="shared" si="1840"/>
        <v>8.6775000000000002</v>
      </c>
      <c r="IE108" s="38">
        <f>500+600+400+300+700</f>
        <v>2500</v>
      </c>
      <c r="IF108" s="40">
        <f>7.94+12.66+10.22+5.31+7.4</f>
        <v>43.53</v>
      </c>
      <c r="IG108" s="38">
        <f>5</f>
        <v>5</v>
      </c>
      <c r="IH108" s="40">
        <f t="shared" si="1841"/>
        <v>57.431656328968529</v>
      </c>
      <c r="II108" s="40">
        <f t="shared" si="1842"/>
        <v>8.7059999999999995</v>
      </c>
      <c r="IK108" s="38"/>
      <c r="IL108" s="40"/>
      <c r="IM108" s="38"/>
      <c r="IN108" s="40"/>
      <c r="IO108" s="40"/>
      <c r="IQ108" s="38">
        <f>800+400+1000+600+600</f>
        <v>3400</v>
      </c>
      <c r="IR108" s="40">
        <f>13.14+9.06+11.56+8.64+9.58</f>
        <v>51.980000000000004</v>
      </c>
      <c r="IS108" s="38">
        <v>5</v>
      </c>
      <c r="IT108" s="40">
        <f t="shared" ref="IT108" si="2054">IQ108/IR108</f>
        <v>65.409772989611383</v>
      </c>
      <c r="IU108" s="40">
        <f t="shared" ref="IU108" si="2055">IR108/IS108</f>
        <v>10.396000000000001</v>
      </c>
      <c r="IW108" s="38">
        <f>1500</f>
        <v>1500</v>
      </c>
      <c r="IX108" s="40">
        <f>22.01</f>
        <v>22.01</v>
      </c>
      <c r="IY108" s="38">
        <v>1</v>
      </c>
      <c r="IZ108" s="40">
        <f t="shared" ref="IZ108:IZ111" si="2056">IW108/IX108</f>
        <v>68.150840527033168</v>
      </c>
      <c r="JA108" s="40">
        <f t="shared" ref="JA108:JA111" si="2057">IX108/IY108</f>
        <v>22.01</v>
      </c>
      <c r="JC108" s="38"/>
      <c r="JD108" s="40"/>
      <c r="JE108" s="38"/>
      <c r="JF108" s="40"/>
      <c r="JG108" s="40"/>
      <c r="JI108" s="38">
        <f>2000+500</f>
        <v>2500</v>
      </c>
      <c r="JJ108" s="40">
        <f>15.08+7.92+1.22+1.54+1.8</f>
        <v>27.56</v>
      </c>
      <c r="JK108" s="38">
        <v>2</v>
      </c>
      <c r="JL108" s="40">
        <f t="shared" ref="JL108" si="2058">JI108/JJ108</f>
        <v>90.711175616836002</v>
      </c>
      <c r="JM108" s="40">
        <f t="shared" ref="JM108" si="2059">JJ108/JK108</f>
        <v>13.78</v>
      </c>
      <c r="JO108" s="38"/>
      <c r="JP108" s="40"/>
      <c r="JQ108" s="38"/>
      <c r="JR108" s="40"/>
      <c r="JS108" s="40"/>
      <c r="JU108" s="38"/>
      <c r="JV108" s="40"/>
      <c r="JW108" s="38"/>
      <c r="JX108" s="40"/>
      <c r="JY108" s="40"/>
      <c r="KA108" s="38"/>
      <c r="KB108" s="40"/>
      <c r="KC108" s="38"/>
      <c r="KD108" s="40"/>
      <c r="KE108" s="40"/>
      <c r="KG108" s="38"/>
      <c r="KH108" s="40"/>
      <c r="KI108" s="38"/>
      <c r="KJ108" s="40" t="e">
        <f t="shared" ref="KJ108:KJ138" si="2060">KG108/KH108</f>
        <v>#DIV/0!</v>
      </c>
      <c r="KK108" s="40" t="e">
        <f t="shared" si="1853"/>
        <v>#DIV/0!</v>
      </c>
      <c r="KM108" s="38">
        <f>400+400+400+300+200</f>
        <v>1700</v>
      </c>
      <c r="KN108" s="40">
        <f>3.9+2.96+4.2+1.43+1.66</f>
        <v>14.149999999999999</v>
      </c>
      <c r="KO108" s="38">
        <v>5</v>
      </c>
      <c r="KP108" s="40">
        <f t="shared" ref="KP108:KP138" si="2061">KM108/KN108</f>
        <v>120.14134275618376</v>
      </c>
      <c r="KQ108" s="40">
        <f t="shared" si="1777"/>
        <v>2.8299999999999996</v>
      </c>
      <c r="KS108" s="38">
        <f>500+500+500+400</f>
        <v>1900</v>
      </c>
      <c r="KT108" s="40">
        <f>15.85+8.81+9.04+7.04</f>
        <v>40.74</v>
      </c>
      <c r="KU108" s="38">
        <v>4</v>
      </c>
      <c r="KV108" s="40">
        <f t="shared" ref="KV108:KV138" si="2062">KS108/KT108</f>
        <v>46.637211585665192</v>
      </c>
      <c r="KW108" s="40">
        <f t="shared" si="1779"/>
        <v>10.185</v>
      </c>
      <c r="KY108" s="38"/>
      <c r="KZ108" s="40"/>
      <c r="LA108" s="38"/>
      <c r="LB108" s="40" t="e">
        <f t="shared" ref="LB108:LB138" si="2063">KY108/KZ108</f>
        <v>#DIV/0!</v>
      </c>
      <c r="LC108" s="40" t="e">
        <f t="shared" si="1781"/>
        <v>#DIV/0!</v>
      </c>
      <c r="LE108" s="38"/>
      <c r="LF108" s="40"/>
      <c r="LG108" s="38"/>
      <c r="LH108" s="40" t="e">
        <f t="shared" ref="LH108:LH138" si="2064">LE108/LF108</f>
        <v>#DIV/0!</v>
      </c>
      <c r="LI108" s="40" t="e">
        <f t="shared" si="1783"/>
        <v>#DIV/0!</v>
      </c>
      <c r="LK108" s="38"/>
      <c r="LL108" s="40"/>
      <c r="LM108" s="38"/>
      <c r="LN108" s="40" t="e">
        <f t="shared" ref="LN108:LN138" si="2065">LK108/LL108</f>
        <v>#DIV/0!</v>
      </c>
      <c r="LO108" s="40" t="e">
        <f t="shared" si="1785"/>
        <v>#DIV/0!</v>
      </c>
      <c r="LQ108" s="38"/>
      <c r="LR108" s="40"/>
      <c r="LS108" s="38"/>
      <c r="LT108" s="40" t="e">
        <f t="shared" ref="LT108:LT138" si="2066">LQ108/LR108</f>
        <v>#DIV/0!</v>
      </c>
      <c r="LU108" s="40" t="e">
        <f t="shared" si="1787"/>
        <v>#DIV/0!</v>
      </c>
      <c r="LW108" s="38"/>
      <c r="LX108" s="40"/>
      <c r="LY108" s="38"/>
      <c r="LZ108" s="40" t="e">
        <f t="shared" ref="LZ108:LZ138" si="2067">LW108/LX108</f>
        <v>#DIV/0!</v>
      </c>
      <c r="MA108" s="40" t="e">
        <f t="shared" si="1789"/>
        <v>#DIV/0!</v>
      </c>
      <c r="MC108" s="38">
        <f>500+500+600+700+800</f>
        <v>3100</v>
      </c>
      <c r="MD108" s="40">
        <f>7.56+6.56+8.02+7.3+6.5</f>
        <v>35.94</v>
      </c>
      <c r="ME108" s="38">
        <v>5</v>
      </c>
      <c r="MF108" s="40">
        <f t="shared" ref="MF108:MF138" si="2068">MC108/MD108</f>
        <v>86.254869226488594</v>
      </c>
      <c r="MG108" s="40">
        <f t="shared" si="1791"/>
        <v>7.1879999999999997</v>
      </c>
      <c r="MI108" s="38"/>
      <c r="MJ108" s="40"/>
      <c r="MK108" s="38"/>
      <c r="ML108" s="40" t="e">
        <f t="shared" ref="ML108:ML138" si="2069">MI108/MJ108</f>
        <v>#DIV/0!</v>
      </c>
      <c r="MM108" s="40" t="e">
        <f t="shared" si="1793"/>
        <v>#DIV/0!</v>
      </c>
      <c r="MO108" s="38"/>
      <c r="MP108" s="40"/>
      <c r="MQ108" s="38"/>
      <c r="MR108" s="40" t="e">
        <f t="shared" ref="MR108:MR138" si="2070">MO108/MP108</f>
        <v>#DIV/0!</v>
      </c>
      <c r="MS108" s="40" t="e">
        <f t="shared" si="1795"/>
        <v>#DIV/0!</v>
      </c>
      <c r="MU108" s="38"/>
      <c r="MV108" s="40"/>
      <c r="MW108" s="38"/>
      <c r="MX108" s="40" t="e">
        <f t="shared" ref="MX108:MX138" si="2071">MU108/MV108</f>
        <v>#DIV/0!</v>
      </c>
      <c r="MY108" s="40" t="e">
        <f t="shared" si="1797"/>
        <v>#DIV/0!</v>
      </c>
      <c r="NA108" s="825">
        <f>1000+500+200+700+800</f>
        <v>3200</v>
      </c>
      <c r="NB108" s="826">
        <f>15.89+9.95+4.78+11.02+12.3</f>
        <v>53.94</v>
      </c>
      <c r="NC108" s="825">
        <v>5</v>
      </c>
      <c r="ND108" s="40">
        <f t="shared" ref="ND108:ND138" si="2072">NA108/NB108</f>
        <v>59.325176121616614</v>
      </c>
      <c r="NE108" s="40">
        <f t="shared" si="1799"/>
        <v>10.788</v>
      </c>
      <c r="NG108" s="825"/>
      <c r="NH108" s="826"/>
      <c r="NI108" s="825"/>
      <c r="NJ108" s="40" t="e">
        <f t="shared" ref="NJ108:NJ138" si="2073">NG108/NH108</f>
        <v>#DIV/0!</v>
      </c>
      <c r="NK108" s="40" t="e">
        <f t="shared" si="1801"/>
        <v>#DIV/0!</v>
      </c>
      <c r="NM108" s="825"/>
      <c r="NN108" s="826"/>
      <c r="NO108" s="825"/>
      <c r="NP108" s="40" t="e">
        <f t="shared" ref="NP108:NP138" si="2074">NM108/NN108</f>
        <v>#DIV/0!</v>
      </c>
      <c r="NQ108" s="40" t="e">
        <f t="shared" si="1803"/>
        <v>#DIV/0!</v>
      </c>
      <c r="NS108" s="825">
        <f>500+300+500</f>
        <v>1300</v>
      </c>
      <c r="NT108" s="826">
        <f>14.88+6.52+12.01</f>
        <v>33.409999999999997</v>
      </c>
      <c r="NU108" s="825">
        <v>3</v>
      </c>
      <c r="NV108" s="40">
        <f t="shared" ref="NV108:NV138" si="2075">NS108/NT108</f>
        <v>38.910505836575879</v>
      </c>
      <c r="NW108" s="40">
        <f t="shared" si="1805"/>
        <v>11.136666666666665</v>
      </c>
      <c r="NY108" s="913"/>
      <c r="NZ108" s="914"/>
      <c r="OA108" s="918"/>
      <c r="OB108" s="40" t="e">
        <f t="shared" ref="OB108:OB138" si="2076">NY108/NZ108</f>
        <v>#DIV/0!</v>
      </c>
      <c r="OC108" s="40" t="e">
        <f t="shared" si="1807"/>
        <v>#DIV/0!</v>
      </c>
      <c r="OE108" s="825"/>
      <c r="OF108" s="826"/>
      <c r="OG108" s="825"/>
      <c r="OH108" s="40" t="e">
        <f t="shared" ref="OH108:OH138" si="2077">OE108/OF108</f>
        <v>#DIV/0!</v>
      </c>
      <c r="OI108" s="40" t="e">
        <f t="shared" si="1809"/>
        <v>#DIV/0!</v>
      </c>
    </row>
    <row r="109" spans="2:399">
      <c r="B109" s="11"/>
      <c r="C109" s="16"/>
      <c r="D109" s="58" t="s">
        <v>27</v>
      </c>
      <c r="E109" s="726"/>
      <c r="F109" s="45"/>
      <c r="G109" s="46"/>
      <c r="H109" s="48"/>
      <c r="I109" s="48"/>
      <c r="K109" s="45">
        <f>400+300+300+300+400</f>
        <v>1700</v>
      </c>
      <c r="L109" s="45">
        <f>0.98+1.02+0.99+0.89+0.93</f>
        <v>4.8100000000000005</v>
      </c>
      <c r="M109" s="46">
        <v>5</v>
      </c>
      <c r="N109" s="48">
        <f t="shared" ref="N109:N111" si="2078">K109/L109</f>
        <v>353.43035343035342</v>
      </c>
      <c r="O109" s="48">
        <f t="shared" ref="O109:O111" si="2079">L109/M109</f>
        <v>0.96200000000000008</v>
      </c>
      <c r="Q109" s="45"/>
      <c r="R109" s="45"/>
      <c r="S109" s="46"/>
      <c r="T109" s="48"/>
      <c r="U109" s="48"/>
      <c r="W109" s="45">
        <f>100+100+100+50+50</f>
        <v>400</v>
      </c>
      <c r="X109" s="45">
        <f>1.87+0.97+2.1+0.66+0.7</f>
        <v>6.3</v>
      </c>
      <c r="Y109" s="46">
        <v>5</v>
      </c>
      <c r="Z109" s="48">
        <f t="shared" ref="Z109:Z112" si="2080">W109/X109</f>
        <v>63.492063492063494</v>
      </c>
      <c r="AA109" s="48">
        <f t="shared" ref="AA109:AA112" si="2081">X109/Y109</f>
        <v>1.26</v>
      </c>
      <c r="AC109" s="45"/>
      <c r="AD109" s="45"/>
      <c r="AE109" s="46"/>
      <c r="AF109" s="48"/>
      <c r="AG109" s="48"/>
      <c r="AI109" s="45">
        <f>200+250+400+350+300</f>
        <v>1500</v>
      </c>
      <c r="AJ109" s="45">
        <f>1.38+1.42+2.58+2.12+1.86</f>
        <v>9.36</v>
      </c>
      <c r="AK109" s="46">
        <v>5</v>
      </c>
      <c r="AL109" s="48">
        <f t="shared" ref="AL109:AL118" si="2082">AI109/AJ109</f>
        <v>160.25641025641028</v>
      </c>
      <c r="AM109" s="48">
        <f t="shared" ref="AM109:AM118" si="2083">AJ109/AK109</f>
        <v>1.8719999999999999</v>
      </c>
      <c r="AO109" s="45"/>
      <c r="AP109" s="45"/>
      <c r="AQ109" s="46"/>
      <c r="AR109" s="48"/>
      <c r="AS109" s="48"/>
      <c r="AU109" s="45">
        <f>300+350+500+400+350</f>
        <v>1900</v>
      </c>
      <c r="AV109" s="45">
        <f>1.63+2.21+2.65+2.09+2.2</f>
        <v>10.780000000000001</v>
      </c>
      <c r="AW109" s="46">
        <v>5</v>
      </c>
      <c r="AX109" s="48">
        <f t="shared" ref="AX109" si="2084">AU109/AV109</f>
        <v>176.25231910946195</v>
      </c>
      <c r="AY109" s="48">
        <f t="shared" ref="AY109" si="2085">AV109/AW109</f>
        <v>2.1560000000000001</v>
      </c>
      <c r="AZ109" s="593"/>
      <c r="BA109" s="45"/>
      <c r="BB109" s="45"/>
      <c r="BC109" s="46"/>
      <c r="BD109" s="48"/>
      <c r="BE109" s="48"/>
      <c r="BF109" s="593"/>
      <c r="BG109" s="45"/>
      <c r="BH109" s="45"/>
      <c r="BI109" s="46"/>
      <c r="BJ109" s="48"/>
      <c r="BK109" s="48"/>
      <c r="BL109" s="593"/>
      <c r="BM109" s="45"/>
      <c r="BN109" s="45"/>
      <c r="BO109" s="46"/>
      <c r="BP109" s="48"/>
      <c r="BQ109" s="48"/>
      <c r="BS109" s="45"/>
      <c r="BT109" s="45"/>
      <c r="BU109" s="46"/>
      <c r="BV109" s="48"/>
      <c r="BW109" s="48"/>
      <c r="BX109" s="593"/>
      <c r="BY109" s="45">
        <f>300+350+500+400+350</f>
        <v>1900</v>
      </c>
      <c r="BZ109" s="45">
        <f>1.63+2.21+2.75+2.64+2.8</f>
        <v>12.030000000000001</v>
      </c>
      <c r="CA109" s="46">
        <v>5</v>
      </c>
      <c r="CB109" s="48">
        <f t="shared" ref="CB109" si="2086">BY109/BZ109</f>
        <v>157.93848711554446</v>
      </c>
      <c r="CC109" s="48">
        <f t="shared" ref="CC109" si="2087">BZ109/CA109</f>
        <v>2.4060000000000001</v>
      </c>
      <c r="CD109" s="593"/>
      <c r="CE109" s="45"/>
      <c r="CF109" s="45"/>
      <c r="CG109" s="46"/>
      <c r="CH109" s="48"/>
      <c r="CI109" s="48"/>
      <c r="CJ109" s="593"/>
      <c r="CK109" s="45">
        <v>1350</v>
      </c>
      <c r="CL109" s="45">
        <v>12.51</v>
      </c>
      <c r="CM109" s="46">
        <v>5</v>
      </c>
      <c r="CN109" s="48">
        <f t="shared" si="2029"/>
        <v>107.91366906474821</v>
      </c>
      <c r="CO109" s="48">
        <f t="shared" si="2030"/>
        <v>2.5019999999999998</v>
      </c>
      <c r="CP109" s="593"/>
      <c r="CQ109" s="45">
        <f>150+150+200+300+200</f>
        <v>1000</v>
      </c>
      <c r="CR109" s="45">
        <f>1.35+1.45+2.05+2.91+2.1</f>
        <v>9.86</v>
      </c>
      <c r="CS109" s="46">
        <v>5</v>
      </c>
      <c r="CT109" s="48">
        <f t="shared" si="2051"/>
        <v>101.41987829614605</v>
      </c>
      <c r="CU109" s="48">
        <f t="shared" si="2052"/>
        <v>1.972</v>
      </c>
      <c r="CV109" s="593"/>
      <c r="CW109" s="45">
        <f>300+350+500+400+350</f>
        <v>1900</v>
      </c>
      <c r="CX109" s="45">
        <f>1.63+2.21+2.75+2.64+2.8</f>
        <v>12.030000000000001</v>
      </c>
      <c r="CY109" s="46">
        <v>5</v>
      </c>
      <c r="CZ109" s="48">
        <f t="shared" si="2031"/>
        <v>157.93848711554446</v>
      </c>
      <c r="DA109" s="48">
        <f t="shared" si="2032"/>
        <v>2.4060000000000001</v>
      </c>
      <c r="DB109" s="593"/>
      <c r="DC109" s="45">
        <f>400+300+250+200+400</f>
        <v>1550</v>
      </c>
      <c r="DD109" s="45">
        <f>1.41+1.45+0.93+1.06+2.18</f>
        <v>7.0299999999999994</v>
      </c>
      <c r="DE109" s="46">
        <v>5</v>
      </c>
      <c r="DF109" s="48">
        <f t="shared" ref="DF109" si="2088">DC109/DD109</f>
        <v>220.48364153627313</v>
      </c>
      <c r="DG109" s="48">
        <f t="shared" ref="DG109" si="2089">DD109/DE109</f>
        <v>1.4059999999999999</v>
      </c>
      <c r="DH109" s="593"/>
      <c r="DI109" s="45"/>
      <c r="DJ109" s="45"/>
      <c r="DK109" s="46"/>
      <c r="DL109" s="48"/>
      <c r="DM109" s="48"/>
      <c r="DN109" s="593"/>
      <c r="DO109" s="45"/>
      <c r="DP109" s="45"/>
      <c r="DQ109" s="46"/>
      <c r="DR109" s="48"/>
      <c r="DS109" s="48"/>
      <c r="DT109" s="593"/>
      <c r="DU109" s="45"/>
      <c r="DV109" s="45"/>
      <c r="DW109" s="46"/>
      <c r="DX109" s="48"/>
      <c r="DY109" s="48"/>
      <c r="DZ109" s="593"/>
      <c r="EA109" s="45"/>
      <c r="EB109" s="45"/>
      <c r="EC109" s="46"/>
      <c r="ED109" s="48"/>
      <c r="EE109" s="48"/>
      <c r="EF109" s="593"/>
      <c r="EG109" s="45"/>
      <c r="EH109" s="45"/>
      <c r="EI109" s="46"/>
      <c r="EJ109" s="48"/>
      <c r="EK109" s="48"/>
      <c r="EL109" s="593"/>
      <c r="EM109" s="45"/>
      <c r="EN109" s="45"/>
      <c r="EO109" s="46"/>
      <c r="EP109" s="48"/>
      <c r="EQ109" s="48"/>
      <c r="ES109" s="45">
        <f>300+350+500+400+350</f>
        <v>1900</v>
      </c>
      <c r="ET109" s="45">
        <f>1.63+2.21+2.75+2.64+2.8</f>
        <v>12.030000000000001</v>
      </c>
      <c r="EU109" s="46">
        <v>5</v>
      </c>
      <c r="EV109" s="48">
        <f t="shared" si="1890"/>
        <v>157.93848711554446</v>
      </c>
      <c r="EW109" s="48">
        <f t="shared" si="1890"/>
        <v>2.4060000000000001</v>
      </c>
      <c r="EY109" s="45">
        <v>200</v>
      </c>
      <c r="EZ109" s="45">
        <v>1.1599999999999999</v>
      </c>
      <c r="FA109" s="45">
        <v>1</v>
      </c>
      <c r="FB109" s="48">
        <f t="shared" si="2053"/>
        <v>172.41379310344828</v>
      </c>
      <c r="FC109" s="48">
        <f t="shared" si="2053"/>
        <v>1.1599999999999999</v>
      </c>
      <c r="FE109" s="45"/>
      <c r="FF109" s="45"/>
      <c r="FG109" s="46"/>
      <c r="FH109" s="48"/>
      <c r="FI109" s="48"/>
      <c r="FK109" s="38">
        <f>400+300+100+250+200</f>
        <v>1250</v>
      </c>
      <c r="FL109" s="40">
        <f>6.54+4.68+1.68+4.56+2.42</f>
        <v>19.879999999999995</v>
      </c>
      <c r="FM109" s="38">
        <f>5</f>
        <v>5</v>
      </c>
      <c r="FN109" s="40">
        <f t="shared" si="1950"/>
        <v>62.877263581488947</v>
      </c>
      <c r="FO109" s="40">
        <f t="shared" si="1932"/>
        <v>3.9759999999999991</v>
      </c>
      <c r="FP109" s="231"/>
      <c r="FQ109" s="45">
        <f>200+150+150+200+300</f>
        <v>1000</v>
      </c>
      <c r="FR109" s="45">
        <f>1.85+1.39+1.39+1.84+3.83</f>
        <v>10.3</v>
      </c>
      <c r="FS109" s="45">
        <f>5</f>
        <v>5</v>
      </c>
      <c r="FT109" s="48">
        <f t="shared" si="1765"/>
        <v>97.087378640776691</v>
      </c>
      <c r="FU109" s="48">
        <f t="shared" si="1765"/>
        <v>2.06</v>
      </c>
      <c r="FW109" s="45">
        <f>400+300+250+200+400</f>
        <v>1550</v>
      </c>
      <c r="FX109" s="45">
        <f>1.41+1.45+0.93+1.06+2.18</f>
        <v>7.0299999999999994</v>
      </c>
      <c r="FY109" s="46">
        <v>5</v>
      </c>
      <c r="FZ109" s="48">
        <f t="shared" si="1766"/>
        <v>220.48364153627313</v>
      </c>
      <c r="GA109" s="48">
        <f t="shared" si="1766"/>
        <v>1.4059999999999999</v>
      </c>
      <c r="GC109" s="26"/>
      <c r="GD109" s="45"/>
      <c r="GE109" s="45"/>
      <c r="GF109" s="48"/>
      <c r="GG109" s="48"/>
      <c r="GI109" s="45">
        <f>250+150+50</f>
        <v>450</v>
      </c>
      <c r="GJ109" s="45">
        <f>2.1+1.8+0.5</f>
        <v>4.4000000000000004</v>
      </c>
      <c r="GK109" s="45">
        <f>3</f>
        <v>3</v>
      </c>
      <c r="GL109" s="48">
        <f t="shared" si="1768"/>
        <v>102.27272727272727</v>
      </c>
      <c r="GM109" s="48">
        <f t="shared" si="1768"/>
        <v>1.4666666666666668</v>
      </c>
      <c r="GO109" s="45">
        <f>350+200+500+500+500</f>
        <v>2050</v>
      </c>
      <c r="GP109" s="45">
        <f>2.5+1.5+4.2+4.1+4.3</f>
        <v>16.599999999999998</v>
      </c>
      <c r="GQ109" s="45">
        <f>5</f>
        <v>5</v>
      </c>
      <c r="GR109" s="48">
        <f t="shared" si="1769"/>
        <v>123.49397590361447</v>
      </c>
      <c r="GS109" s="48">
        <f t="shared" si="1769"/>
        <v>3.3199999999999994</v>
      </c>
      <c r="GU109" s="99">
        <f>500+500+400+200+500</f>
        <v>2100</v>
      </c>
      <c r="GV109" s="99">
        <f>1.27+1.51+0.49+0.48+2.25</f>
        <v>6</v>
      </c>
      <c r="GW109" s="100">
        <v>5</v>
      </c>
      <c r="GX109" s="101">
        <f t="shared" si="1770"/>
        <v>350</v>
      </c>
      <c r="GY109" s="101">
        <f t="shared" si="1770"/>
        <v>1.2</v>
      </c>
      <c r="GZ109" s="43"/>
      <c r="HA109" s="28"/>
      <c r="HB109" s="28"/>
      <c r="HC109" s="28"/>
      <c r="HD109" s="40"/>
      <c r="HE109" s="40"/>
      <c r="HG109" s="45"/>
      <c r="HH109" s="45"/>
      <c r="HI109" s="46"/>
      <c r="HJ109" s="48"/>
      <c r="HK109" s="48"/>
      <c r="HM109" s="45"/>
      <c r="HN109" s="45"/>
      <c r="HO109" s="46"/>
      <c r="HP109" s="48"/>
      <c r="HQ109" s="48"/>
      <c r="HS109" s="45">
        <f>400+300+300+300+400</f>
        <v>1700</v>
      </c>
      <c r="HT109" s="45">
        <f>0.98+1.02+0.99+0.89+0.93</f>
        <v>4.8100000000000005</v>
      </c>
      <c r="HU109" s="46">
        <v>5</v>
      </c>
      <c r="HV109" s="48">
        <f t="shared" si="1933"/>
        <v>353.43035343035342</v>
      </c>
      <c r="HW109" s="48">
        <f t="shared" si="1933"/>
        <v>0.96200000000000008</v>
      </c>
      <c r="HX109" s="231"/>
      <c r="HY109" s="38">
        <f>300+250+200+250+200</f>
        <v>1200</v>
      </c>
      <c r="HZ109" s="40">
        <f>3.35+1.58+1.5+1.9+2.91</f>
        <v>11.24</v>
      </c>
      <c r="IA109" s="38">
        <f>5</f>
        <v>5</v>
      </c>
      <c r="IB109" s="40">
        <f t="shared" si="1828"/>
        <v>106.76156583629893</v>
      </c>
      <c r="IC109" s="40">
        <f t="shared" si="1840"/>
        <v>2.2480000000000002</v>
      </c>
      <c r="IE109" s="38"/>
      <c r="IF109" s="40"/>
      <c r="IG109" s="38"/>
      <c r="IH109" s="40"/>
      <c r="II109" s="40"/>
      <c r="IK109" s="38">
        <f>200+200+100+200+200</f>
        <v>900</v>
      </c>
      <c r="IL109" s="40">
        <f>2.3+1.11+1.34+1.4+0.99</f>
        <v>7.1400000000000006</v>
      </c>
      <c r="IM109" s="38">
        <v>5</v>
      </c>
      <c r="IN109" s="40">
        <f>IK109/IL109</f>
        <v>126.05042016806722</v>
      </c>
      <c r="IO109" s="40">
        <f>IL109/IM109</f>
        <v>1.4280000000000002</v>
      </c>
      <c r="IQ109" s="38">
        <f>300+300+200+400+200</f>
        <v>1400</v>
      </c>
      <c r="IR109" s="40">
        <f>1.56+1.71+1.68+2.36+1.35</f>
        <v>8.66</v>
      </c>
      <c r="IS109" s="38">
        <v>5</v>
      </c>
      <c r="IT109" s="40">
        <f>IQ109/IR109</f>
        <v>161.66281755196306</v>
      </c>
      <c r="IU109" s="40">
        <f>IR109/IS109</f>
        <v>1.732</v>
      </c>
      <c r="IW109" s="38">
        <f>200+150+100+250+150</f>
        <v>850</v>
      </c>
      <c r="IX109" s="40">
        <f>1.18+0.94+0.85+1.56+1.06</f>
        <v>5.59</v>
      </c>
      <c r="IY109" s="38">
        <v>5</v>
      </c>
      <c r="IZ109" s="40">
        <f t="shared" si="2056"/>
        <v>152.05724508050091</v>
      </c>
      <c r="JA109" s="40">
        <f t="shared" si="2057"/>
        <v>1.1179999999999999</v>
      </c>
      <c r="JC109" s="38">
        <f>500+400+300+150+250</f>
        <v>1600</v>
      </c>
      <c r="JD109" s="40">
        <f>5.41+5.3+4.39+3.1+3.03</f>
        <v>21.230000000000004</v>
      </c>
      <c r="JE109" s="38">
        <v>5</v>
      </c>
      <c r="JF109" s="40">
        <f>JC109/JD109</f>
        <v>75.365049458313692</v>
      </c>
      <c r="JG109" s="40">
        <f>JD109/JE109</f>
        <v>4.2460000000000004</v>
      </c>
      <c r="JI109" s="38">
        <f>200+150+350+150+200</f>
        <v>1050</v>
      </c>
      <c r="JJ109" s="40">
        <f>1.64+1.39+2.33+1.57+2.48</f>
        <v>9.41</v>
      </c>
      <c r="JK109" s="38">
        <v>5</v>
      </c>
      <c r="JL109" s="40">
        <f>JI109/JJ109</f>
        <v>111.58342189160467</v>
      </c>
      <c r="JM109" s="40">
        <f>JJ109/JK109</f>
        <v>1.8820000000000001</v>
      </c>
      <c r="JO109" s="38"/>
      <c r="JP109" s="40"/>
      <c r="JQ109" s="38"/>
      <c r="JR109" s="40"/>
      <c r="JS109" s="40"/>
      <c r="JU109" s="38">
        <f>300+250+100+350+500</f>
        <v>1500</v>
      </c>
      <c r="JV109" s="40">
        <f>1.28+1.25+0.98+1.29+2.3</f>
        <v>7.1000000000000005</v>
      </c>
      <c r="JW109" s="38">
        <v>5</v>
      </c>
      <c r="JX109" s="40"/>
      <c r="JY109" s="40"/>
      <c r="KA109" s="38">
        <f>150+50+200+250+300</f>
        <v>950</v>
      </c>
      <c r="KB109" s="40">
        <f>1.88+1.24+2.34+1.79+2.96</f>
        <v>10.210000000000001</v>
      </c>
      <c r="KC109" s="38">
        <v>5</v>
      </c>
      <c r="KD109" s="40">
        <f t="shared" ref="KD109:KE110" si="2090">KA109/KB109</f>
        <v>93.046033300685593</v>
      </c>
      <c r="KE109" s="40">
        <f t="shared" si="2090"/>
        <v>2.0420000000000003</v>
      </c>
      <c r="KG109" s="38">
        <f>200+300+200+200+200</f>
        <v>1100</v>
      </c>
      <c r="KH109" s="40">
        <f>2.72+3.33+1.62+1.4+1.62</f>
        <v>10.690000000000001</v>
      </c>
      <c r="KI109" s="38">
        <v>5</v>
      </c>
      <c r="KJ109" s="40">
        <f t="shared" si="2060"/>
        <v>102.89990645463048</v>
      </c>
      <c r="KK109" s="40">
        <f t="shared" si="1853"/>
        <v>2.1380000000000003</v>
      </c>
      <c r="KM109" s="38">
        <f>300+300+500+300+300</f>
        <v>1700</v>
      </c>
      <c r="KN109" s="40">
        <f>1.23+1.25+3.2+1.28+1.3</f>
        <v>8.26</v>
      </c>
      <c r="KO109" s="38">
        <v>5</v>
      </c>
      <c r="KP109" s="40">
        <f t="shared" si="2061"/>
        <v>205.81113801452784</v>
      </c>
      <c r="KQ109" s="40">
        <f t="shared" si="1777"/>
        <v>1.6519999999999999</v>
      </c>
      <c r="KS109" s="38">
        <f>500</f>
        <v>500</v>
      </c>
      <c r="KT109" s="40">
        <v>4.24</v>
      </c>
      <c r="KU109" s="38">
        <v>1</v>
      </c>
      <c r="KV109" s="40">
        <f t="shared" si="2062"/>
        <v>117.92452830188678</v>
      </c>
      <c r="KW109" s="40">
        <f t="shared" si="1779"/>
        <v>4.24</v>
      </c>
      <c r="KY109" s="38"/>
      <c r="KZ109" s="40"/>
      <c r="LA109" s="38"/>
      <c r="LB109" s="40" t="e">
        <f t="shared" si="2063"/>
        <v>#DIV/0!</v>
      </c>
      <c r="LC109" s="40" t="e">
        <f t="shared" si="1781"/>
        <v>#DIV/0!</v>
      </c>
      <c r="LE109" s="38"/>
      <c r="LF109" s="40"/>
      <c r="LG109" s="38"/>
      <c r="LH109" s="40" t="e">
        <f t="shared" si="2064"/>
        <v>#DIV/0!</v>
      </c>
      <c r="LI109" s="40" t="e">
        <f t="shared" si="1783"/>
        <v>#DIV/0!</v>
      </c>
      <c r="LK109" s="38"/>
      <c r="LL109" s="40"/>
      <c r="LM109" s="38"/>
      <c r="LN109" s="40" t="e">
        <f t="shared" si="2065"/>
        <v>#DIV/0!</v>
      </c>
      <c r="LO109" s="40" t="e">
        <f t="shared" si="1785"/>
        <v>#DIV/0!</v>
      </c>
      <c r="LQ109" s="38"/>
      <c r="LR109" s="40"/>
      <c r="LS109" s="38"/>
      <c r="LT109" s="40" t="e">
        <f t="shared" si="2066"/>
        <v>#DIV/0!</v>
      </c>
      <c r="LU109" s="40" t="e">
        <f t="shared" si="1787"/>
        <v>#DIV/0!</v>
      </c>
      <c r="LW109" s="38"/>
      <c r="LX109" s="40"/>
      <c r="LY109" s="38"/>
      <c r="LZ109" s="40" t="e">
        <f t="shared" si="2067"/>
        <v>#DIV/0!</v>
      </c>
      <c r="MA109" s="40" t="e">
        <f t="shared" si="1789"/>
        <v>#DIV/0!</v>
      </c>
      <c r="MC109" s="38">
        <f>100+100</f>
        <v>200</v>
      </c>
      <c r="MD109" s="40">
        <f>0.57+0.57</f>
        <v>1.1399999999999999</v>
      </c>
      <c r="ME109" s="38">
        <v>2</v>
      </c>
      <c r="MF109" s="40">
        <f t="shared" si="2068"/>
        <v>175.43859649122808</v>
      </c>
      <c r="MG109" s="40">
        <f t="shared" si="1791"/>
        <v>0.56999999999999995</v>
      </c>
      <c r="MI109" s="38">
        <f>500+350+450+250+300</f>
        <v>1850</v>
      </c>
      <c r="MJ109" s="40">
        <f>3.15+2.31+2.81+1.6+2.06</f>
        <v>11.93</v>
      </c>
      <c r="MK109" s="38">
        <v>5</v>
      </c>
      <c r="ML109" s="40">
        <f t="shared" si="2069"/>
        <v>155.07124895222128</v>
      </c>
      <c r="MM109" s="40">
        <f t="shared" si="1793"/>
        <v>2.3860000000000001</v>
      </c>
      <c r="MO109" s="38"/>
      <c r="MP109" s="40"/>
      <c r="MQ109" s="38"/>
      <c r="MR109" s="40" t="e">
        <f t="shared" si="2070"/>
        <v>#DIV/0!</v>
      </c>
      <c r="MS109" s="40" t="e">
        <f t="shared" si="1795"/>
        <v>#DIV/0!</v>
      </c>
      <c r="MU109" s="38"/>
      <c r="MV109" s="40"/>
      <c r="MW109" s="38"/>
      <c r="MX109" s="40" t="e">
        <f t="shared" si="2071"/>
        <v>#DIV/0!</v>
      </c>
      <c r="MY109" s="40" t="e">
        <f t="shared" si="1797"/>
        <v>#DIV/0!</v>
      </c>
      <c r="NA109" s="825">
        <f>250+150+150+300+100</f>
        <v>950</v>
      </c>
      <c r="NB109" s="826">
        <f>2.68+1.88+1.93+3.02+0.9</f>
        <v>10.41</v>
      </c>
      <c r="NC109" s="825">
        <v>5</v>
      </c>
      <c r="ND109" s="40">
        <f t="shared" si="2072"/>
        <v>91.258405379442848</v>
      </c>
      <c r="NE109" s="40">
        <f t="shared" si="1799"/>
        <v>2.0819999999999999</v>
      </c>
      <c r="NG109" s="825">
        <f>200+200+200+200+200</f>
        <v>1000</v>
      </c>
      <c r="NH109" s="826">
        <f>1.55+1.5+1.57+1.51+1.52</f>
        <v>7.65</v>
      </c>
      <c r="NI109" s="825">
        <v>5</v>
      </c>
      <c r="NJ109" s="40">
        <f t="shared" si="2073"/>
        <v>130.718954248366</v>
      </c>
      <c r="NK109" s="40">
        <f t="shared" si="1801"/>
        <v>1.53</v>
      </c>
      <c r="NM109" s="825">
        <f>200+100+150+50+150</f>
        <v>650</v>
      </c>
      <c r="NN109" s="826">
        <f>2.6+2.1+1.65+1.7+1.6</f>
        <v>9.6499999999999986</v>
      </c>
      <c r="NO109" s="825">
        <v>5</v>
      </c>
      <c r="NP109" s="40">
        <f t="shared" si="2074"/>
        <v>67.357512953367888</v>
      </c>
      <c r="NQ109" s="40">
        <f t="shared" si="1803"/>
        <v>1.9299999999999997</v>
      </c>
      <c r="NS109" s="904">
        <f>400+200+150+400+400</f>
        <v>1550</v>
      </c>
      <c r="NT109" s="905">
        <f>3.4+1.11+0.93+3.6+3.2</f>
        <v>12.239999999999998</v>
      </c>
      <c r="NU109" s="825">
        <v>5</v>
      </c>
      <c r="NV109" s="40">
        <f t="shared" si="2075"/>
        <v>126.63398692810459</v>
      </c>
      <c r="NW109" s="40">
        <f t="shared" si="1805"/>
        <v>2.4479999999999995</v>
      </c>
      <c r="NY109" s="913">
        <f>100+200+200+100+100</f>
        <v>700</v>
      </c>
      <c r="NZ109" s="914">
        <f>1.3+1.32+1.3+1.29+0.98</f>
        <v>6.1899999999999995</v>
      </c>
      <c r="OA109" s="918">
        <v>5</v>
      </c>
      <c r="OB109" s="40">
        <f t="shared" si="2076"/>
        <v>113.08562197092085</v>
      </c>
      <c r="OC109" s="40">
        <f t="shared" si="1807"/>
        <v>1.238</v>
      </c>
      <c r="OE109" s="825"/>
      <c r="OF109" s="826"/>
      <c r="OG109" s="825"/>
      <c r="OH109" s="40" t="e">
        <f t="shared" si="2077"/>
        <v>#DIV/0!</v>
      </c>
      <c r="OI109" s="40" t="e">
        <f t="shared" si="1809"/>
        <v>#DIV/0!</v>
      </c>
    </row>
    <row r="110" spans="2:399">
      <c r="B110" s="11"/>
      <c r="C110" s="16"/>
      <c r="D110" s="58" t="s">
        <v>28</v>
      </c>
      <c r="E110" s="726"/>
      <c r="F110" s="45"/>
      <c r="G110" s="46"/>
      <c r="H110" s="48"/>
      <c r="I110" s="48"/>
      <c r="K110" s="45">
        <f>400+350</f>
        <v>750</v>
      </c>
      <c r="L110" s="45">
        <f>0.98+0.7</f>
        <v>1.68</v>
      </c>
      <c r="M110" s="46">
        <v>2</v>
      </c>
      <c r="N110" s="48">
        <f t="shared" si="2078"/>
        <v>446.42857142857144</v>
      </c>
      <c r="O110" s="48">
        <f t="shared" si="2079"/>
        <v>0.84</v>
      </c>
      <c r="Q110" s="45">
        <v>1450</v>
      </c>
      <c r="R110" s="45">
        <v>3.45</v>
      </c>
      <c r="S110" s="46">
        <v>5</v>
      </c>
      <c r="T110" s="48">
        <f t="shared" ref="T110" si="2091">Q110/R110</f>
        <v>420.28985507246375</v>
      </c>
      <c r="U110" s="48">
        <f t="shared" ref="U110" si="2092">R110/S110</f>
        <v>0.69000000000000006</v>
      </c>
      <c r="W110" s="45"/>
      <c r="X110" s="45"/>
      <c r="Y110" s="46"/>
      <c r="Z110" s="48"/>
      <c r="AA110" s="48"/>
      <c r="AC110" s="45"/>
      <c r="AD110" s="45"/>
      <c r="AE110" s="46"/>
      <c r="AF110" s="48"/>
      <c r="AG110" s="48"/>
      <c r="AI110" s="45">
        <f>200</f>
        <v>200</v>
      </c>
      <c r="AJ110" s="45">
        <f>1.16</f>
        <v>1.1599999999999999</v>
      </c>
      <c r="AK110" s="46">
        <v>1</v>
      </c>
      <c r="AL110" s="48">
        <f t="shared" si="2082"/>
        <v>172.41379310344828</v>
      </c>
      <c r="AM110" s="48">
        <f t="shared" si="2083"/>
        <v>1.1599999999999999</v>
      </c>
      <c r="AO110" s="45"/>
      <c r="AP110" s="45"/>
      <c r="AQ110" s="46"/>
      <c r="AR110" s="48"/>
      <c r="AS110" s="48"/>
      <c r="AU110" s="45"/>
      <c r="AV110" s="45"/>
      <c r="AW110" s="46"/>
      <c r="AX110" s="48"/>
      <c r="AY110" s="48"/>
      <c r="AZ110" s="593"/>
      <c r="BA110" s="45"/>
      <c r="BB110" s="45"/>
      <c r="BC110" s="46"/>
      <c r="BD110" s="48"/>
      <c r="BE110" s="48"/>
      <c r="BF110" s="593"/>
      <c r="BG110" s="45"/>
      <c r="BH110" s="45"/>
      <c r="BI110" s="46"/>
      <c r="BJ110" s="48"/>
      <c r="BK110" s="48"/>
      <c r="BL110" s="593"/>
      <c r="BM110" s="45"/>
      <c r="BN110" s="45"/>
      <c r="BO110" s="46"/>
      <c r="BP110" s="48"/>
      <c r="BQ110" s="48"/>
      <c r="BS110" s="45"/>
      <c r="BT110" s="45"/>
      <c r="BU110" s="46"/>
      <c r="BV110" s="48"/>
      <c r="BW110" s="48"/>
      <c r="BX110" s="593"/>
      <c r="BY110" s="45"/>
      <c r="BZ110" s="45"/>
      <c r="CA110" s="46"/>
      <c r="CB110" s="48"/>
      <c r="CC110" s="48"/>
      <c r="CD110" s="593"/>
      <c r="CE110" s="45"/>
      <c r="CF110" s="45"/>
      <c r="CG110" s="46"/>
      <c r="CH110" s="48"/>
      <c r="CI110" s="48"/>
      <c r="CJ110" s="593"/>
      <c r="CK110" s="45"/>
      <c r="CL110" s="45"/>
      <c r="CM110" s="46"/>
      <c r="CN110" s="48"/>
      <c r="CO110" s="48"/>
      <c r="CP110" s="593"/>
      <c r="CQ110" s="45"/>
      <c r="CR110" s="45"/>
      <c r="CS110" s="46"/>
      <c r="CT110" s="48"/>
      <c r="CU110" s="48"/>
      <c r="CV110" s="593"/>
      <c r="CW110" s="45"/>
      <c r="CX110" s="45"/>
      <c r="CY110" s="46"/>
      <c r="CZ110" s="48"/>
      <c r="DA110" s="48"/>
      <c r="DB110" s="593"/>
      <c r="DC110" s="45"/>
      <c r="DD110" s="45"/>
      <c r="DE110" s="46"/>
      <c r="DF110" s="48"/>
      <c r="DG110" s="48"/>
      <c r="DH110" s="593"/>
      <c r="DI110" s="45"/>
      <c r="DJ110" s="45"/>
      <c r="DK110" s="46"/>
      <c r="DL110" s="48"/>
      <c r="DM110" s="48"/>
      <c r="DN110" s="593"/>
      <c r="DO110" s="45"/>
      <c r="DP110" s="45"/>
      <c r="DQ110" s="46"/>
      <c r="DR110" s="48"/>
      <c r="DS110" s="48"/>
      <c r="DT110" s="593"/>
      <c r="DU110" s="45"/>
      <c r="DV110" s="45"/>
      <c r="DW110" s="46"/>
      <c r="DX110" s="48"/>
      <c r="DY110" s="48"/>
      <c r="DZ110" s="593"/>
      <c r="EA110" s="45"/>
      <c r="EB110" s="45"/>
      <c r="EC110" s="46"/>
      <c r="ED110" s="48"/>
      <c r="EE110" s="48"/>
      <c r="EF110" s="593"/>
      <c r="EG110" s="45"/>
      <c r="EH110" s="45"/>
      <c r="EI110" s="46"/>
      <c r="EJ110" s="48"/>
      <c r="EK110" s="48"/>
      <c r="EL110" s="593"/>
      <c r="EM110" s="45"/>
      <c r="EN110" s="45"/>
      <c r="EO110" s="46"/>
      <c r="EP110" s="48"/>
      <c r="EQ110" s="48"/>
      <c r="ES110" s="45"/>
      <c r="ET110" s="45"/>
      <c r="EU110" s="46"/>
      <c r="EV110" s="48"/>
      <c r="EW110" s="48"/>
      <c r="EY110" s="45">
        <v>1000</v>
      </c>
      <c r="EZ110" s="45">
        <v>6.9599999999999991</v>
      </c>
      <c r="FA110" s="45">
        <v>5</v>
      </c>
      <c r="FB110" s="48">
        <f t="shared" si="2053"/>
        <v>143.67816091954026</v>
      </c>
      <c r="FC110" s="48">
        <f t="shared" si="2053"/>
        <v>1.3919999999999999</v>
      </c>
      <c r="FE110" s="46"/>
      <c r="FF110" s="46"/>
      <c r="FG110" s="46"/>
      <c r="FH110" s="48"/>
      <c r="FI110" s="48"/>
      <c r="FK110" s="38"/>
      <c r="FL110" s="40"/>
      <c r="FM110" s="38"/>
      <c r="FN110" s="40"/>
      <c r="FO110" s="40"/>
      <c r="FP110" s="231"/>
      <c r="FQ110" s="45">
        <f>200</f>
        <v>200</v>
      </c>
      <c r="FR110" s="45">
        <f>6.12</f>
        <v>6.12</v>
      </c>
      <c r="FS110" s="45">
        <f>1</f>
        <v>1</v>
      </c>
      <c r="FT110" s="48">
        <f t="shared" si="1765"/>
        <v>32.679738562091501</v>
      </c>
      <c r="FU110" s="48">
        <f t="shared" si="1765"/>
        <v>6.12</v>
      </c>
      <c r="FW110" s="45"/>
      <c r="FX110" s="45"/>
      <c r="FY110" s="46"/>
      <c r="FZ110" s="48"/>
      <c r="GA110" s="48"/>
      <c r="GC110" s="26"/>
      <c r="GD110" s="45"/>
      <c r="GE110" s="45"/>
      <c r="GF110" s="48"/>
      <c r="GG110" s="48"/>
      <c r="GI110" s="45"/>
      <c r="GJ110" s="45"/>
      <c r="GK110" s="45"/>
      <c r="GL110" s="48"/>
      <c r="GM110" s="48"/>
      <c r="GO110" s="45"/>
      <c r="GP110" s="45"/>
      <c r="GQ110" s="45"/>
      <c r="GR110" s="48"/>
      <c r="GS110" s="48"/>
      <c r="GU110" s="99"/>
      <c r="GV110" s="99"/>
      <c r="GW110" s="100"/>
      <c r="GX110" s="101"/>
      <c r="GY110" s="101"/>
      <c r="GZ110" s="43"/>
      <c r="HA110" s="28"/>
      <c r="HB110" s="28"/>
      <c r="HC110" s="28"/>
      <c r="HD110" s="40"/>
      <c r="HE110" s="40"/>
      <c r="HG110" s="45"/>
      <c r="HH110" s="45"/>
      <c r="HI110" s="46"/>
      <c r="HJ110" s="48"/>
      <c r="HK110" s="48"/>
      <c r="HM110" s="45"/>
      <c r="HN110" s="45"/>
      <c r="HO110" s="46"/>
      <c r="HP110" s="48"/>
      <c r="HQ110" s="48"/>
      <c r="HS110" s="46">
        <f>400+350</f>
        <v>750</v>
      </c>
      <c r="HT110" s="46">
        <f>0.98+0.7</f>
        <v>1.68</v>
      </c>
      <c r="HU110" s="46">
        <v>2</v>
      </c>
      <c r="HV110" s="48">
        <f t="shared" si="1933"/>
        <v>446.42857142857144</v>
      </c>
      <c r="HW110" s="48">
        <f t="shared" si="1933"/>
        <v>0.84</v>
      </c>
      <c r="HX110" s="231"/>
      <c r="HY110" s="38">
        <f>1000+500+500+300+500</f>
        <v>2800</v>
      </c>
      <c r="HZ110" s="40">
        <f>25.01+15.75+14.12+10.15+9.5</f>
        <v>74.53</v>
      </c>
      <c r="IA110" s="38">
        <f>5</f>
        <v>5</v>
      </c>
      <c r="IB110" s="40">
        <f t="shared" si="1828"/>
        <v>37.568764256004293</v>
      </c>
      <c r="IC110" s="40">
        <f t="shared" si="1840"/>
        <v>14.906000000000001</v>
      </c>
      <c r="IE110" s="38"/>
      <c r="IF110" s="40"/>
      <c r="IG110" s="38"/>
      <c r="IH110" s="40"/>
      <c r="II110" s="40"/>
      <c r="IK110" s="38"/>
      <c r="IL110" s="40"/>
      <c r="IM110" s="38"/>
      <c r="IN110" s="40"/>
      <c r="IO110" s="40"/>
      <c r="IQ110" s="38">
        <f>500+300</f>
        <v>800</v>
      </c>
      <c r="IR110" s="40">
        <f>9.76+11.71</f>
        <v>21.47</v>
      </c>
      <c r="IS110" s="38">
        <v>2</v>
      </c>
      <c r="IT110" s="40">
        <f>IQ110/IR110</f>
        <v>37.261294829995343</v>
      </c>
      <c r="IU110" s="40">
        <f>IR110/IS110</f>
        <v>10.734999999999999</v>
      </c>
      <c r="IW110" s="38">
        <f>700</f>
        <v>700</v>
      </c>
      <c r="IX110" s="40">
        <f>10.16</f>
        <v>10.16</v>
      </c>
      <c r="IY110" s="38">
        <v>1</v>
      </c>
      <c r="IZ110" s="40">
        <f t="shared" si="2056"/>
        <v>68.897637795275585</v>
      </c>
      <c r="JA110" s="40">
        <f t="shared" si="2057"/>
        <v>10.16</v>
      </c>
      <c r="JC110" s="38"/>
      <c r="JD110" s="40"/>
      <c r="JE110" s="38"/>
      <c r="JF110" s="40"/>
      <c r="JG110" s="40"/>
      <c r="JI110" s="38"/>
      <c r="JJ110" s="40"/>
      <c r="JK110" s="38"/>
      <c r="JL110" s="40"/>
      <c r="JM110" s="40"/>
      <c r="JO110" s="38"/>
      <c r="JP110" s="40"/>
      <c r="JQ110" s="38"/>
      <c r="JR110" s="40"/>
      <c r="JS110" s="40"/>
      <c r="JU110" s="38"/>
      <c r="JV110" s="40"/>
      <c r="JW110" s="38"/>
      <c r="JX110" s="40"/>
      <c r="JY110" s="40"/>
      <c r="KA110" s="38">
        <f>400+500+300</f>
        <v>1200</v>
      </c>
      <c r="KB110" s="40">
        <f>5.18+6.63+5.03</f>
        <v>16.84</v>
      </c>
      <c r="KC110" s="38">
        <v>3</v>
      </c>
      <c r="KD110" s="40">
        <f t="shared" si="2090"/>
        <v>71.258907363420434</v>
      </c>
      <c r="KE110" s="40">
        <f t="shared" si="2090"/>
        <v>5.6133333333333333</v>
      </c>
      <c r="KG110" s="38"/>
      <c r="KH110" s="40"/>
      <c r="KI110" s="38"/>
      <c r="KJ110" s="40" t="e">
        <f t="shared" si="2060"/>
        <v>#DIV/0!</v>
      </c>
      <c r="KK110" s="40" t="e">
        <f t="shared" si="1853"/>
        <v>#DIV/0!</v>
      </c>
      <c r="KM110" s="38"/>
      <c r="KN110" s="40"/>
      <c r="KO110" s="38"/>
      <c r="KP110" s="40" t="e">
        <f t="shared" si="2061"/>
        <v>#DIV/0!</v>
      </c>
      <c r="KQ110" s="40" t="e">
        <f t="shared" si="1777"/>
        <v>#DIV/0!</v>
      </c>
      <c r="KS110" s="38">
        <f>200+500</f>
        <v>700</v>
      </c>
      <c r="KT110" s="40">
        <f>5.77</f>
        <v>5.77</v>
      </c>
      <c r="KU110" s="38">
        <v>2</v>
      </c>
      <c r="KV110" s="40">
        <f t="shared" si="2062"/>
        <v>121.31715771230503</v>
      </c>
      <c r="KW110" s="40">
        <f t="shared" si="1779"/>
        <v>2.8849999999999998</v>
      </c>
      <c r="KY110" s="38"/>
      <c r="KZ110" s="40"/>
      <c r="LA110" s="38"/>
      <c r="LB110" s="40" t="e">
        <f t="shared" si="2063"/>
        <v>#DIV/0!</v>
      </c>
      <c r="LC110" s="40" t="e">
        <f t="shared" si="1781"/>
        <v>#DIV/0!</v>
      </c>
      <c r="LE110" s="38"/>
      <c r="LF110" s="40"/>
      <c r="LG110" s="38"/>
      <c r="LH110" s="40" t="e">
        <f t="shared" si="2064"/>
        <v>#DIV/0!</v>
      </c>
      <c r="LI110" s="40" t="e">
        <f t="shared" si="1783"/>
        <v>#DIV/0!</v>
      </c>
      <c r="LK110" s="38"/>
      <c r="LL110" s="40"/>
      <c r="LM110" s="38"/>
      <c r="LN110" s="40" t="e">
        <f t="shared" si="2065"/>
        <v>#DIV/0!</v>
      </c>
      <c r="LO110" s="40" t="e">
        <f t="shared" si="1785"/>
        <v>#DIV/0!</v>
      </c>
      <c r="LQ110" s="38"/>
      <c r="LR110" s="40"/>
      <c r="LS110" s="38"/>
      <c r="LT110" s="40" t="e">
        <f t="shared" si="2066"/>
        <v>#DIV/0!</v>
      </c>
      <c r="LU110" s="40" t="e">
        <f t="shared" si="1787"/>
        <v>#DIV/0!</v>
      </c>
      <c r="LW110" s="38"/>
      <c r="LX110" s="40"/>
      <c r="LY110" s="38"/>
      <c r="LZ110" s="40" t="e">
        <f t="shared" si="2067"/>
        <v>#DIV/0!</v>
      </c>
      <c r="MA110" s="40" t="e">
        <f t="shared" si="1789"/>
        <v>#DIV/0!</v>
      </c>
      <c r="MC110" s="38">
        <f>300+500+400</f>
        <v>1200</v>
      </c>
      <c r="MD110" s="40">
        <f>5.07+3.45+5</f>
        <v>13.52</v>
      </c>
      <c r="ME110" s="38">
        <v>3</v>
      </c>
      <c r="MF110" s="40">
        <f t="shared" si="2068"/>
        <v>88.757396449704146</v>
      </c>
      <c r="MG110" s="40">
        <f t="shared" si="1791"/>
        <v>4.5066666666666668</v>
      </c>
      <c r="MI110" s="38"/>
      <c r="MJ110" s="40"/>
      <c r="MK110" s="38"/>
      <c r="ML110" s="40" t="e">
        <f t="shared" si="2069"/>
        <v>#DIV/0!</v>
      </c>
      <c r="MM110" s="40" t="e">
        <f t="shared" si="1793"/>
        <v>#DIV/0!</v>
      </c>
      <c r="MO110" s="38"/>
      <c r="MP110" s="40"/>
      <c r="MQ110" s="38"/>
      <c r="MR110" s="40" t="e">
        <f t="shared" si="2070"/>
        <v>#DIV/0!</v>
      </c>
      <c r="MS110" s="40" t="e">
        <f t="shared" si="1795"/>
        <v>#DIV/0!</v>
      </c>
      <c r="MU110" s="38"/>
      <c r="MV110" s="40"/>
      <c r="MW110" s="38"/>
      <c r="MX110" s="40" t="e">
        <f t="shared" si="2071"/>
        <v>#DIV/0!</v>
      </c>
      <c r="MY110" s="40" t="e">
        <f t="shared" si="1797"/>
        <v>#DIV/0!</v>
      </c>
      <c r="NA110" s="825">
        <f>200+300+200+300</f>
        <v>1000</v>
      </c>
      <c r="NB110" s="826">
        <f>2.41+5.78+4.13+5.12</f>
        <v>17.440000000000001</v>
      </c>
      <c r="NC110" s="825">
        <v>4</v>
      </c>
      <c r="ND110" s="40">
        <f t="shared" si="2072"/>
        <v>57.339449541284402</v>
      </c>
      <c r="NE110" s="40">
        <f t="shared" si="1799"/>
        <v>4.3600000000000003</v>
      </c>
      <c r="NG110" s="825"/>
      <c r="NH110" s="826"/>
      <c r="NI110" s="825"/>
      <c r="NJ110" s="40" t="e">
        <f t="shared" si="2073"/>
        <v>#DIV/0!</v>
      </c>
      <c r="NK110" s="40" t="e">
        <f t="shared" si="1801"/>
        <v>#DIV/0!</v>
      </c>
      <c r="NM110" s="825"/>
      <c r="NN110" s="826"/>
      <c r="NO110" s="825"/>
      <c r="NP110" s="40" t="e">
        <f t="shared" si="2074"/>
        <v>#DIV/0!</v>
      </c>
      <c r="NQ110" s="40" t="e">
        <f t="shared" si="1803"/>
        <v>#DIV/0!</v>
      </c>
      <c r="NS110" s="825"/>
      <c r="NT110" s="826"/>
      <c r="NU110" s="825"/>
      <c r="NV110" s="40" t="e">
        <f t="shared" si="2075"/>
        <v>#DIV/0!</v>
      </c>
      <c r="NW110" s="40" t="e">
        <f t="shared" si="1805"/>
        <v>#DIV/0!</v>
      </c>
      <c r="NY110" s="913">
        <f>400+400+400+300+250</f>
        <v>1750</v>
      </c>
      <c r="NZ110" s="914">
        <f>2.25+2.3+2.35+2.2+2.1</f>
        <v>11.200000000000001</v>
      </c>
      <c r="OA110" s="918">
        <v>5</v>
      </c>
      <c r="OB110" s="40">
        <f t="shared" si="2076"/>
        <v>156.24999999999997</v>
      </c>
      <c r="OC110" s="40">
        <f t="shared" si="1807"/>
        <v>2.2400000000000002</v>
      </c>
      <c r="OE110" s="825"/>
      <c r="OF110" s="826"/>
      <c r="OG110" s="825"/>
      <c r="OH110" s="40" t="e">
        <f t="shared" si="2077"/>
        <v>#DIV/0!</v>
      </c>
      <c r="OI110" s="40" t="e">
        <f t="shared" si="1809"/>
        <v>#DIV/0!</v>
      </c>
    </row>
    <row r="111" spans="2:399">
      <c r="B111" s="11"/>
      <c r="C111" s="16"/>
      <c r="D111" s="58" t="s">
        <v>29</v>
      </c>
      <c r="E111" s="726"/>
      <c r="F111" s="45"/>
      <c r="G111" s="46"/>
      <c r="H111" s="48"/>
      <c r="I111" s="48"/>
      <c r="K111" s="45">
        <f>400+400+500</f>
        <v>1300</v>
      </c>
      <c r="L111" s="45">
        <f>1.4+1.35+2.25</f>
        <v>5</v>
      </c>
      <c r="M111" s="46">
        <v>3</v>
      </c>
      <c r="N111" s="48">
        <f t="shared" si="2078"/>
        <v>260</v>
      </c>
      <c r="O111" s="48">
        <f t="shared" si="2079"/>
        <v>1.6666666666666667</v>
      </c>
      <c r="Q111" s="45"/>
      <c r="R111" s="45"/>
      <c r="S111" s="46"/>
      <c r="T111" s="48"/>
      <c r="U111" s="48"/>
      <c r="W111" s="45"/>
      <c r="X111" s="45"/>
      <c r="Y111" s="46"/>
      <c r="Z111" s="48"/>
      <c r="AA111" s="48"/>
      <c r="AC111" s="45"/>
      <c r="AD111" s="45"/>
      <c r="AE111" s="46"/>
      <c r="AF111" s="48"/>
      <c r="AG111" s="48"/>
      <c r="AI111" s="45">
        <f>200+150+100+300+250</f>
        <v>1000</v>
      </c>
      <c r="AJ111" s="45">
        <f>1.16+1.15+1.05+1.69+1.91</f>
        <v>6.9599999999999991</v>
      </c>
      <c r="AK111" s="46">
        <v>5</v>
      </c>
      <c r="AL111" s="48">
        <f t="shared" si="2082"/>
        <v>143.67816091954026</v>
      </c>
      <c r="AM111" s="48">
        <f t="shared" si="2083"/>
        <v>1.3919999999999999</v>
      </c>
      <c r="AO111" s="45"/>
      <c r="AP111" s="45"/>
      <c r="AQ111" s="46"/>
      <c r="AR111" s="48"/>
      <c r="AS111" s="48"/>
      <c r="AU111" s="45">
        <f>150+200+200+300+200</f>
        <v>1050</v>
      </c>
      <c r="AV111" s="45">
        <f>0.82+1.17+1.18+1.6+1.46</f>
        <v>6.2299999999999995</v>
      </c>
      <c r="AW111" s="46">
        <v>5</v>
      </c>
      <c r="AX111" s="48">
        <f t="shared" ref="AX111:AX112" si="2093">AU111/AV111</f>
        <v>168.53932584269666</v>
      </c>
      <c r="AY111" s="48">
        <f t="shared" ref="AY111:AY112" si="2094">AV111/AW111</f>
        <v>1.246</v>
      </c>
      <c r="AZ111" s="593"/>
      <c r="BA111" s="45"/>
      <c r="BB111" s="45"/>
      <c r="BC111" s="46"/>
      <c r="BD111" s="48"/>
      <c r="BE111" s="48"/>
      <c r="BF111" s="593"/>
      <c r="BG111" s="45"/>
      <c r="BH111" s="45"/>
      <c r="BI111" s="46"/>
      <c r="BJ111" s="48"/>
      <c r="BK111" s="48"/>
      <c r="BL111" s="593"/>
      <c r="BM111" s="45"/>
      <c r="BN111" s="45"/>
      <c r="BO111" s="46"/>
      <c r="BP111" s="48"/>
      <c r="BQ111" s="48"/>
      <c r="BS111" s="45"/>
      <c r="BT111" s="45"/>
      <c r="BU111" s="46"/>
      <c r="BV111" s="48"/>
      <c r="BW111" s="48"/>
      <c r="BX111" s="593"/>
      <c r="BY111" s="45">
        <f>150+200+200+300+200</f>
        <v>1050</v>
      </c>
      <c r="BZ111" s="45">
        <f>0.82+1.17+1.18+1.6+1.46</f>
        <v>6.2299999999999995</v>
      </c>
      <c r="CA111" s="46">
        <v>5</v>
      </c>
      <c r="CB111" s="48">
        <f t="shared" ref="CB111:CB112" si="2095">BY111/BZ111</f>
        <v>168.53932584269666</v>
      </c>
      <c r="CC111" s="48">
        <f t="shared" ref="CC111:CC112" si="2096">BZ111/CA111</f>
        <v>1.246</v>
      </c>
      <c r="CD111" s="593"/>
      <c r="CE111" s="45"/>
      <c r="CF111" s="45"/>
      <c r="CG111" s="46"/>
      <c r="CH111" s="48"/>
      <c r="CI111" s="48"/>
      <c r="CJ111" s="593"/>
      <c r="CK111" s="45">
        <v>850</v>
      </c>
      <c r="CL111" s="45">
        <v>7.7200000000000006</v>
      </c>
      <c r="CM111" s="46">
        <v>5</v>
      </c>
      <c r="CN111" s="48">
        <f t="shared" ref="CN111:CN124" si="2097">CK111/CL111</f>
        <v>110.10362694300517</v>
      </c>
      <c r="CO111" s="48">
        <f t="shared" ref="CO111:CO124" si="2098">CL111/CM111</f>
        <v>1.544</v>
      </c>
      <c r="CP111" s="593"/>
      <c r="CQ111" s="45">
        <f>100+100+100+100+100</f>
        <v>500</v>
      </c>
      <c r="CR111" s="45">
        <f>2.24+1.88+1.52+1.72+1.92</f>
        <v>9.2800000000000011</v>
      </c>
      <c r="CS111" s="46">
        <v>5</v>
      </c>
      <c r="CT111" s="48">
        <f t="shared" ref="CT111:CT112" si="2099">CQ111/CR111</f>
        <v>53.87931034482758</v>
      </c>
      <c r="CU111" s="48">
        <f t="shared" ref="CU111:CU112" si="2100">CR111/CS111</f>
        <v>1.8560000000000003</v>
      </c>
      <c r="CV111" s="593"/>
      <c r="CW111" s="45">
        <f>150+200+200+300+200</f>
        <v>1050</v>
      </c>
      <c r="CX111" s="45">
        <f>0.82+1.17+1.18+1.6+1.46</f>
        <v>6.2299999999999995</v>
      </c>
      <c r="CY111" s="46">
        <v>5</v>
      </c>
      <c r="CZ111" s="48">
        <f t="shared" ref="CZ111:CZ127" si="2101">CW111/CX111</f>
        <v>168.53932584269666</v>
      </c>
      <c r="DA111" s="48">
        <f t="shared" ref="DA111:DA127" si="2102">CX111/CY111</f>
        <v>1.246</v>
      </c>
      <c r="DB111" s="593"/>
      <c r="DC111" s="45">
        <f>200+200+200+100+100</f>
        <v>800</v>
      </c>
      <c r="DD111" s="45">
        <f>1.03+1.18+1.02+0.74+0.8</f>
        <v>4.7699999999999996</v>
      </c>
      <c r="DE111" s="46">
        <v>5</v>
      </c>
      <c r="DF111" s="48">
        <f t="shared" ref="DF111:DF126" si="2103">DC111/DD111</f>
        <v>167.71488469601678</v>
      </c>
      <c r="DG111" s="48">
        <f t="shared" ref="DG111:DG126" si="2104">DD111/DE111</f>
        <v>0.95399999999999996</v>
      </c>
      <c r="DH111" s="593"/>
      <c r="DI111" s="45"/>
      <c r="DJ111" s="45"/>
      <c r="DK111" s="46"/>
      <c r="DL111" s="48"/>
      <c r="DM111" s="48"/>
      <c r="DN111" s="593"/>
      <c r="DO111" s="45">
        <v>1400</v>
      </c>
      <c r="DP111" s="45">
        <f>1.56+1.69+2.51+2.04+1.78</f>
        <v>9.58</v>
      </c>
      <c r="DQ111" s="46">
        <v>5</v>
      </c>
      <c r="DR111" s="48">
        <f t="shared" ref="DR111:DR127" si="2105">DO111/DP111</f>
        <v>146.13778705636744</v>
      </c>
      <c r="DS111" s="48">
        <f t="shared" ref="DS111:DS127" si="2106">DP111/DQ111</f>
        <v>1.9159999999999999</v>
      </c>
      <c r="DT111" s="593"/>
      <c r="DU111" s="45"/>
      <c r="DV111" s="45"/>
      <c r="DW111" s="46"/>
      <c r="DX111" s="48"/>
      <c r="DY111" s="48"/>
      <c r="DZ111" s="593"/>
      <c r="EA111" s="45"/>
      <c r="EB111" s="45"/>
      <c r="EC111" s="46"/>
      <c r="ED111" s="48"/>
      <c r="EE111" s="48"/>
      <c r="EF111" s="593"/>
      <c r="EG111" s="45"/>
      <c r="EH111" s="45"/>
      <c r="EI111" s="46"/>
      <c r="EJ111" s="48"/>
      <c r="EK111" s="48"/>
      <c r="EL111" s="593"/>
      <c r="EM111" s="45"/>
      <c r="EN111" s="45"/>
      <c r="EO111" s="46"/>
      <c r="EP111" s="48"/>
      <c r="EQ111" s="48"/>
      <c r="ES111" s="45">
        <f>150+200+200+300+200</f>
        <v>1050</v>
      </c>
      <c r="ET111" s="45">
        <f>0.82+1.17+1.18+1.6+1.46</f>
        <v>6.2299999999999995</v>
      </c>
      <c r="EU111" s="46">
        <v>5</v>
      </c>
      <c r="EV111" s="48">
        <f t="shared" si="1890"/>
        <v>168.53932584269666</v>
      </c>
      <c r="EW111" s="48">
        <f t="shared" si="1890"/>
        <v>1.246</v>
      </c>
      <c r="EY111" s="45"/>
      <c r="EZ111" s="45"/>
      <c r="FA111" s="45"/>
      <c r="FB111" s="48"/>
      <c r="FC111" s="48"/>
      <c r="FE111" s="45"/>
      <c r="FF111" s="45"/>
      <c r="FG111" s="46"/>
      <c r="FH111" s="48"/>
      <c r="FI111" s="48"/>
      <c r="FK111" s="38">
        <f>150+100+150+50+200</f>
        <v>650</v>
      </c>
      <c r="FL111" s="40">
        <f>2.1+2.92+0.75+1.47+1.45</f>
        <v>8.69</v>
      </c>
      <c r="FM111" s="38">
        <f>5</f>
        <v>5</v>
      </c>
      <c r="FN111" s="40">
        <f>FK111/FL111</f>
        <v>74.798619102416581</v>
      </c>
      <c r="FO111" s="40">
        <f>FL111/FM111</f>
        <v>1.738</v>
      </c>
      <c r="FP111" s="231"/>
      <c r="FQ111" s="45">
        <f>50+50+200+200+200</f>
        <v>700</v>
      </c>
      <c r="FR111" s="45">
        <f>2.16+2.43+1.95+1.15+1.1</f>
        <v>8.7899999999999991</v>
      </c>
      <c r="FS111" s="45">
        <f>5</f>
        <v>5</v>
      </c>
      <c r="FT111" s="48">
        <f t="shared" si="1765"/>
        <v>79.635949943117183</v>
      </c>
      <c r="FU111" s="48">
        <f t="shared" si="1765"/>
        <v>1.7579999999999998</v>
      </c>
      <c r="FW111" s="45">
        <f>200+200+200+100+100</f>
        <v>800</v>
      </c>
      <c r="FX111" s="45">
        <f>1.03+1.18+1.02+0.74+0.8</f>
        <v>4.7699999999999996</v>
      </c>
      <c r="FY111" s="46">
        <v>5</v>
      </c>
      <c r="FZ111" s="48">
        <f t="shared" si="1766"/>
        <v>167.71488469601678</v>
      </c>
      <c r="GA111" s="48">
        <f t="shared" si="1766"/>
        <v>0.95399999999999996</v>
      </c>
      <c r="GC111" s="26">
        <f>50+50+100+100</f>
        <v>300</v>
      </c>
      <c r="GD111" s="45">
        <f>1.06+1.19+1.53+1.34</f>
        <v>5.12</v>
      </c>
      <c r="GE111" s="45">
        <f>4</f>
        <v>4</v>
      </c>
      <c r="GF111" s="48">
        <f t="shared" si="1767"/>
        <v>58.59375</v>
      </c>
      <c r="GG111" s="48">
        <f t="shared" si="1767"/>
        <v>1.28</v>
      </c>
      <c r="GI111" s="45">
        <f>200+250+200+250+100</f>
        <v>1000</v>
      </c>
      <c r="GJ111" s="45">
        <f>3.56+3.56+4.1+4.1+1.67</f>
        <v>16.989999999999998</v>
      </c>
      <c r="GK111" s="45">
        <f>5</f>
        <v>5</v>
      </c>
      <c r="GL111" s="48">
        <f t="shared" si="1768"/>
        <v>58.858151854031789</v>
      </c>
      <c r="GM111" s="48">
        <f t="shared" si="1768"/>
        <v>3.3979999999999997</v>
      </c>
      <c r="GO111" s="45">
        <f>100+150+100+200+150</f>
        <v>700</v>
      </c>
      <c r="GP111" s="45">
        <f>4.32+4.54+2.9+3.56+5.3</f>
        <v>20.62</v>
      </c>
      <c r="GQ111" s="45">
        <f>5</f>
        <v>5</v>
      </c>
      <c r="GR111" s="48">
        <f t="shared" si="1769"/>
        <v>33.947623666343354</v>
      </c>
      <c r="GS111" s="48">
        <f t="shared" si="1769"/>
        <v>4.1240000000000006</v>
      </c>
      <c r="GU111" s="99"/>
      <c r="GV111" s="99"/>
      <c r="GW111" s="100"/>
      <c r="GX111" s="101"/>
      <c r="GY111" s="101"/>
      <c r="GZ111" s="43"/>
      <c r="HA111" s="28"/>
      <c r="HB111" s="28"/>
      <c r="HC111" s="28"/>
      <c r="HD111" s="40"/>
      <c r="HE111" s="40"/>
      <c r="HG111" s="45">
        <v>1400</v>
      </c>
      <c r="HH111" s="45">
        <f>1.56+1.69+2.51+2.04+1.78</f>
        <v>9.58</v>
      </c>
      <c r="HI111" s="46">
        <v>5</v>
      </c>
      <c r="HJ111" s="48">
        <f t="shared" si="1772"/>
        <v>146.13778705636744</v>
      </c>
      <c r="HK111" s="48">
        <f t="shared" si="1772"/>
        <v>1.9159999999999999</v>
      </c>
      <c r="HM111" s="45"/>
      <c r="HN111" s="45"/>
      <c r="HO111" s="46"/>
      <c r="HP111" s="48"/>
      <c r="HQ111" s="48"/>
      <c r="HS111" s="45">
        <f>400+400+500</f>
        <v>1300</v>
      </c>
      <c r="HT111" s="45">
        <f>1.4+1.35+2.25</f>
        <v>5</v>
      </c>
      <c r="HU111" s="46">
        <v>3</v>
      </c>
      <c r="HV111" s="48">
        <f t="shared" si="1933"/>
        <v>260</v>
      </c>
      <c r="HW111" s="48">
        <f t="shared" si="1933"/>
        <v>1.6666666666666667</v>
      </c>
      <c r="HX111" s="231"/>
      <c r="HY111" s="38">
        <f>150+100+150+200+100</f>
        <v>700</v>
      </c>
      <c r="HZ111" s="40">
        <f>1.6+1.58+2.32+2.3+1.45</f>
        <v>9.25</v>
      </c>
      <c r="IA111" s="38">
        <f>5</f>
        <v>5</v>
      </c>
      <c r="IB111" s="40">
        <f t="shared" si="1828"/>
        <v>75.675675675675677</v>
      </c>
      <c r="IC111" s="40">
        <f t="shared" si="1840"/>
        <v>1.85</v>
      </c>
      <c r="IE111" s="38">
        <f>100+200+200+100+50</f>
        <v>650</v>
      </c>
      <c r="IF111" s="40">
        <f>1.14+1.19+1.45+0.73+1</f>
        <v>5.51</v>
      </c>
      <c r="IG111" s="38">
        <f>5</f>
        <v>5</v>
      </c>
      <c r="IH111" s="40">
        <f t="shared" si="1841"/>
        <v>117.96733212341198</v>
      </c>
      <c r="II111" s="40">
        <f t="shared" si="1842"/>
        <v>1.1019999999999999</v>
      </c>
      <c r="IK111" s="38">
        <f>100+100+100+100+100</f>
        <v>500</v>
      </c>
      <c r="IL111" s="40">
        <f>1.34+1.37+1.34+1.38+1.5</f>
        <v>6.93</v>
      </c>
      <c r="IM111" s="38">
        <v>5</v>
      </c>
      <c r="IN111" s="40">
        <f t="shared" ref="IN111:IN118" si="2107">IK111/IL111</f>
        <v>72.150072150072148</v>
      </c>
      <c r="IO111" s="40">
        <f t="shared" ref="IO111:IO118" si="2108">IL111/IM111</f>
        <v>1.3859999999999999</v>
      </c>
      <c r="IQ111" s="38">
        <f>100+100+100+100+100</f>
        <v>500</v>
      </c>
      <c r="IR111" s="40">
        <f>1.09+0.98+1.22+1.13+1.52</f>
        <v>5.9399999999999995</v>
      </c>
      <c r="IS111" s="38">
        <v>5</v>
      </c>
      <c r="IT111" s="40">
        <f t="shared" ref="IT111:IT112" si="2109">IQ111/IR111</f>
        <v>84.17508417508418</v>
      </c>
      <c r="IU111" s="40">
        <f t="shared" ref="IU111:IU112" si="2110">IR111/IS111</f>
        <v>1.1879999999999999</v>
      </c>
      <c r="IW111" s="38">
        <f>100+50+50+100+30</f>
        <v>330</v>
      </c>
      <c r="IX111" s="40">
        <f>1.32+1.31+1.45+1.16+0.85</f>
        <v>6.09</v>
      </c>
      <c r="IY111" s="38">
        <v>5</v>
      </c>
      <c r="IZ111" s="40">
        <f t="shared" si="2056"/>
        <v>54.187192118226605</v>
      </c>
      <c r="JA111" s="40">
        <f t="shared" si="2057"/>
        <v>1.218</v>
      </c>
      <c r="JC111" s="38">
        <f>200+300+200+150+100</f>
        <v>950</v>
      </c>
      <c r="JD111" s="40">
        <f>1.55+3.14+1.54+1.22+1.02</f>
        <v>8.4700000000000006</v>
      </c>
      <c r="JE111" s="38">
        <v>5</v>
      </c>
      <c r="JF111" s="40">
        <f t="shared" ref="JF111:JF112" si="2111">JC111/JD111</f>
        <v>112.16056670602124</v>
      </c>
      <c r="JG111" s="40">
        <f t="shared" ref="JG111:JG112" si="2112">JD111/JE111</f>
        <v>1.6940000000000002</v>
      </c>
      <c r="JI111" s="38">
        <f>100+50+150+200+150</f>
        <v>650</v>
      </c>
      <c r="JJ111" s="40">
        <f>1.54+1.35+2.21+1.88+1.46</f>
        <v>8.44</v>
      </c>
      <c r="JK111" s="38">
        <v>5</v>
      </c>
      <c r="JL111" s="40">
        <f t="shared" ref="JL111:JL112" si="2113">JI111/JJ111</f>
        <v>77.014218009478682</v>
      </c>
      <c r="JM111" s="40">
        <f t="shared" ref="JM111:JM112" si="2114">JJ111/JK111</f>
        <v>1.6879999999999999</v>
      </c>
      <c r="JO111" s="38"/>
      <c r="JP111" s="40"/>
      <c r="JQ111" s="38"/>
      <c r="JR111" s="40"/>
      <c r="JS111" s="40"/>
      <c r="JU111" s="38">
        <f>400+300+300+150+150</f>
        <v>1300</v>
      </c>
      <c r="JV111" s="40">
        <f>1.1+0.92+0.86+0.35+0.41</f>
        <v>3.64</v>
      </c>
      <c r="JW111" s="38">
        <v>5</v>
      </c>
      <c r="JX111" s="40"/>
      <c r="JY111" s="40"/>
      <c r="KA111" s="38"/>
      <c r="KB111" s="40"/>
      <c r="KC111" s="38"/>
      <c r="KD111" s="40"/>
      <c r="KE111" s="40"/>
      <c r="KG111" s="38">
        <f>200+300+150+100+500</f>
        <v>1250</v>
      </c>
      <c r="KH111" s="40">
        <f>1.74+2.36+1.39+1.45+3</f>
        <v>9.94</v>
      </c>
      <c r="KI111" s="38">
        <v>5</v>
      </c>
      <c r="KJ111" s="40">
        <f t="shared" si="2060"/>
        <v>125.75452716297788</v>
      </c>
      <c r="KK111" s="40">
        <f t="shared" si="1853"/>
        <v>1.988</v>
      </c>
      <c r="KM111" s="38"/>
      <c r="KN111" s="40"/>
      <c r="KO111" s="38"/>
      <c r="KP111" s="40" t="e">
        <f t="shared" si="2061"/>
        <v>#DIV/0!</v>
      </c>
      <c r="KQ111" s="40" t="e">
        <f t="shared" si="1777"/>
        <v>#DIV/0!</v>
      </c>
      <c r="KS111" s="38">
        <f>300+200+300+300+150</f>
        <v>1250</v>
      </c>
      <c r="KT111" s="40">
        <f>1.72+1.58+1.71+2.21+1.47</f>
        <v>8.69</v>
      </c>
      <c r="KU111" s="38">
        <v>5</v>
      </c>
      <c r="KV111" s="40">
        <f t="shared" si="2062"/>
        <v>143.84349827387803</v>
      </c>
      <c r="KW111" s="40">
        <f t="shared" si="1779"/>
        <v>1.738</v>
      </c>
      <c r="KY111" s="38"/>
      <c r="KZ111" s="40"/>
      <c r="LA111" s="38"/>
      <c r="LB111" s="40" t="e">
        <f t="shared" si="2063"/>
        <v>#DIV/0!</v>
      </c>
      <c r="LC111" s="40" t="e">
        <f t="shared" si="1781"/>
        <v>#DIV/0!</v>
      </c>
      <c r="LE111" s="38">
        <f>50+100+150+200+300</f>
        <v>800</v>
      </c>
      <c r="LF111" s="40">
        <f>0.13+0.22+0.72+2.08+1.34</f>
        <v>4.49</v>
      </c>
      <c r="LG111" s="38">
        <v>5</v>
      </c>
      <c r="LH111" s="40">
        <f t="shared" si="2064"/>
        <v>178.17371937639197</v>
      </c>
      <c r="LI111" s="40">
        <f t="shared" si="1783"/>
        <v>0.89800000000000002</v>
      </c>
      <c r="LK111" s="38"/>
      <c r="LL111" s="40"/>
      <c r="LM111" s="38"/>
      <c r="LN111" s="40" t="e">
        <f t="shared" si="2065"/>
        <v>#DIV/0!</v>
      </c>
      <c r="LO111" s="40" t="e">
        <f t="shared" si="1785"/>
        <v>#DIV/0!</v>
      </c>
      <c r="LQ111" s="38"/>
      <c r="LR111" s="40"/>
      <c r="LS111" s="38"/>
      <c r="LT111" s="40" t="e">
        <f t="shared" si="2066"/>
        <v>#DIV/0!</v>
      </c>
      <c r="LU111" s="40" t="e">
        <f t="shared" si="1787"/>
        <v>#DIV/0!</v>
      </c>
      <c r="LW111" s="38">
        <f>100+100+100+50+50</f>
        <v>400</v>
      </c>
      <c r="LX111" s="40">
        <f>1.62+1.62+1.32+1.62+1.14</f>
        <v>7.32</v>
      </c>
      <c r="LY111" s="38">
        <v>5</v>
      </c>
      <c r="LZ111" s="40">
        <f t="shared" si="2067"/>
        <v>54.644808743169399</v>
      </c>
      <c r="MA111" s="40">
        <f t="shared" si="1789"/>
        <v>1.464</v>
      </c>
      <c r="MC111" s="38">
        <f>200+50</f>
        <v>250</v>
      </c>
      <c r="MD111" s="40">
        <f>1.34+0.07</f>
        <v>1.4100000000000001</v>
      </c>
      <c r="ME111" s="38">
        <v>2</v>
      </c>
      <c r="MF111" s="40">
        <f t="shared" si="2068"/>
        <v>177.30496453900707</v>
      </c>
      <c r="MG111" s="40">
        <f t="shared" si="1791"/>
        <v>0.70500000000000007</v>
      </c>
      <c r="MI111" s="38">
        <f>150+100+200+200+200</f>
        <v>850</v>
      </c>
      <c r="MJ111" s="40">
        <f>0.74+1.09+1.84+1.11+1.17</f>
        <v>5.95</v>
      </c>
      <c r="MK111" s="38">
        <v>5</v>
      </c>
      <c r="ML111" s="40">
        <f t="shared" si="2069"/>
        <v>142.85714285714286</v>
      </c>
      <c r="MM111" s="40">
        <f t="shared" si="1793"/>
        <v>1.19</v>
      </c>
      <c r="MO111" s="38"/>
      <c r="MP111" s="40"/>
      <c r="MQ111" s="38"/>
      <c r="MR111" s="40" t="e">
        <f t="shared" si="2070"/>
        <v>#DIV/0!</v>
      </c>
      <c r="MS111" s="40" t="e">
        <f t="shared" si="1795"/>
        <v>#DIV/0!</v>
      </c>
      <c r="MU111" s="38"/>
      <c r="MV111" s="40"/>
      <c r="MW111" s="38"/>
      <c r="MX111" s="40" t="e">
        <f t="shared" si="2071"/>
        <v>#DIV/0!</v>
      </c>
      <c r="MY111" s="40" t="e">
        <f t="shared" si="1797"/>
        <v>#DIV/0!</v>
      </c>
      <c r="NA111" s="825">
        <f>30+70+150+100+100</f>
        <v>450</v>
      </c>
      <c r="NB111" s="826">
        <f>1.5+2.33+1.21+1.31+0.95</f>
        <v>7.3</v>
      </c>
      <c r="NC111" s="825">
        <v>5</v>
      </c>
      <c r="ND111" s="40">
        <f t="shared" si="2072"/>
        <v>61.643835616438359</v>
      </c>
      <c r="NE111" s="40">
        <f t="shared" si="1799"/>
        <v>1.46</v>
      </c>
      <c r="NG111" s="825">
        <f>100+300+500+400+200</f>
        <v>1500</v>
      </c>
      <c r="NH111" s="826">
        <f>0.63+2.29+3.02+2.95+1.89</f>
        <v>10.780000000000001</v>
      </c>
      <c r="NI111" s="825">
        <v>5</v>
      </c>
      <c r="NJ111" s="40">
        <f t="shared" si="2073"/>
        <v>139.14656771799628</v>
      </c>
      <c r="NK111" s="40">
        <f t="shared" si="1801"/>
        <v>2.1560000000000001</v>
      </c>
      <c r="NM111" s="825">
        <f>100+100+100+100+100</f>
        <v>500</v>
      </c>
      <c r="NN111" s="826">
        <f>1.99+2.03+2.06+2.07+2.03</f>
        <v>10.18</v>
      </c>
      <c r="NO111" s="825">
        <v>5</v>
      </c>
      <c r="NP111" s="40">
        <f t="shared" si="2074"/>
        <v>49.115913555992144</v>
      </c>
      <c r="NQ111" s="40">
        <f t="shared" si="1803"/>
        <v>2.036</v>
      </c>
      <c r="NS111" s="904">
        <f>50+100+100+50+100</f>
        <v>400</v>
      </c>
      <c r="NT111" s="905">
        <f>1.12+1.46+1.34+0.67+1.07</f>
        <v>5.66</v>
      </c>
      <c r="NU111" s="825"/>
      <c r="NV111" s="40">
        <f t="shared" si="2075"/>
        <v>70.671378091872796</v>
      </c>
      <c r="NW111" s="40" t="e">
        <f t="shared" si="1805"/>
        <v>#DIV/0!</v>
      </c>
      <c r="NY111" s="913"/>
      <c r="NZ111" s="914"/>
      <c r="OA111" s="918"/>
      <c r="OB111" s="40" t="e">
        <f t="shared" si="2076"/>
        <v>#DIV/0!</v>
      </c>
      <c r="OC111" s="40" t="e">
        <f t="shared" si="1807"/>
        <v>#DIV/0!</v>
      </c>
      <c r="OE111" s="825">
        <f>200+200+150+100+200</f>
        <v>850</v>
      </c>
      <c r="OF111" s="826">
        <f>1.42+1.39+1.26+1.24+1.39</f>
        <v>6.6999999999999993</v>
      </c>
      <c r="OG111" s="825">
        <v>5</v>
      </c>
      <c r="OH111" s="40">
        <f t="shared" si="2077"/>
        <v>126.86567164179105</v>
      </c>
      <c r="OI111" s="40">
        <f t="shared" si="1809"/>
        <v>1.3399999999999999</v>
      </c>
    </row>
    <row r="112" spans="2:399">
      <c r="B112" s="11"/>
      <c r="C112" s="16" t="s">
        <v>31</v>
      </c>
      <c r="D112" s="58" t="s">
        <v>14</v>
      </c>
      <c r="E112" s="726">
        <f>250+200+100+200+150</f>
        <v>900</v>
      </c>
      <c r="F112" s="45">
        <f>2.35+1.6+1.15+3.15+1.15</f>
        <v>9.4</v>
      </c>
      <c r="G112" s="46">
        <v>5</v>
      </c>
      <c r="H112" s="48">
        <f t="shared" ref="H112:H126" si="2115">E112/F112</f>
        <v>95.744680851063819</v>
      </c>
      <c r="I112" s="48">
        <f t="shared" ref="I112:I126" si="2116">F112/G112</f>
        <v>1.8800000000000001</v>
      </c>
      <c r="K112" s="45">
        <f>50+100+150+200+300</f>
        <v>800</v>
      </c>
      <c r="L112" s="45">
        <f>1.2+1.71+1.83+1.91+2.9</f>
        <v>9.5500000000000007</v>
      </c>
      <c r="M112" s="46">
        <v>5</v>
      </c>
      <c r="N112" s="48">
        <f t="shared" ref="N112" si="2117">K112/L112</f>
        <v>83.769633507853399</v>
      </c>
      <c r="O112" s="48">
        <f t="shared" ref="O112" si="2118">L112/M112</f>
        <v>1.9100000000000001</v>
      </c>
      <c r="Q112" s="45"/>
      <c r="R112" s="45"/>
      <c r="S112" s="46"/>
      <c r="T112" s="48"/>
      <c r="U112" s="48"/>
      <c r="W112" s="45">
        <f>100+150+200+50+300</f>
        <v>800</v>
      </c>
      <c r="X112" s="45">
        <f>1.8+1.6+1.58+1+2</f>
        <v>7.98</v>
      </c>
      <c r="Y112" s="46">
        <v>5</v>
      </c>
      <c r="Z112" s="48">
        <f t="shared" si="2080"/>
        <v>100.25062656641603</v>
      </c>
      <c r="AA112" s="48">
        <f t="shared" si="2081"/>
        <v>1.5960000000000001</v>
      </c>
      <c r="AC112" s="45"/>
      <c r="AD112" s="45"/>
      <c r="AE112" s="46"/>
      <c r="AF112" s="48"/>
      <c r="AG112" s="48"/>
      <c r="AI112" s="45">
        <f>150+200+100+50+30</f>
        <v>530</v>
      </c>
      <c r="AJ112" s="45">
        <f>1.5+1.76+1.24+1.45+1.03</f>
        <v>6.98</v>
      </c>
      <c r="AK112" s="46">
        <v>5</v>
      </c>
      <c r="AL112" s="48">
        <f t="shared" si="2082"/>
        <v>75.931232091690546</v>
      </c>
      <c r="AM112" s="48">
        <f t="shared" si="2083"/>
        <v>1.3960000000000001</v>
      </c>
      <c r="AO112" s="45"/>
      <c r="AP112" s="45"/>
      <c r="AQ112" s="46"/>
      <c r="AR112" s="48"/>
      <c r="AS112" s="48"/>
      <c r="AU112" s="45">
        <f>200+150+100+300+200</f>
        <v>950</v>
      </c>
      <c r="AV112" s="45">
        <f>2.08+1.34+1.57+2.69+2.45</f>
        <v>10.129999999999999</v>
      </c>
      <c r="AW112" s="46">
        <v>5</v>
      </c>
      <c r="AX112" s="48">
        <f t="shared" si="2093"/>
        <v>93.780848963474838</v>
      </c>
      <c r="AY112" s="48">
        <f t="shared" si="2094"/>
        <v>2.0259999999999998</v>
      </c>
      <c r="AZ112" s="593"/>
      <c r="BA112" s="45">
        <f>400+100+150+50+100</f>
        <v>800</v>
      </c>
      <c r="BB112" s="45">
        <f>3.22+1.26+1.74+0.91+1.66</f>
        <v>8.7900000000000009</v>
      </c>
      <c r="BC112" s="46">
        <v>5</v>
      </c>
      <c r="BD112" s="48">
        <f t="shared" ref="BD112:BD125" si="2119">BA112/BB112</f>
        <v>91.012514220705341</v>
      </c>
      <c r="BE112" s="48">
        <f t="shared" ref="BE112:BE138" si="2120">BB112/BC112</f>
        <v>1.7580000000000002</v>
      </c>
      <c r="BF112" s="593"/>
      <c r="BG112" s="45"/>
      <c r="BH112" s="45"/>
      <c r="BI112" s="46"/>
      <c r="BJ112" s="48"/>
      <c r="BK112" s="48"/>
      <c r="BL112" s="593"/>
      <c r="BM112" s="45"/>
      <c r="BN112" s="45"/>
      <c r="BO112" s="46"/>
      <c r="BP112" s="48"/>
      <c r="BQ112" s="48"/>
      <c r="BS112" s="45"/>
      <c r="BT112" s="45"/>
      <c r="BU112" s="46"/>
      <c r="BV112" s="48"/>
      <c r="BW112" s="48"/>
      <c r="BX112" s="593"/>
      <c r="BY112" s="45">
        <f>200+150+100+300+200</f>
        <v>950</v>
      </c>
      <c r="BZ112" s="45">
        <f>2.08+1.34+1.57+2.69+2.45</f>
        <v>10.129999999999999</v>
      </c>
      <c r="CA112" s="46">
        <v>5</v>
      </c>
      <c r="CB112" s="48">
        <f t="shared" si="2095"/>
        <v>93.780848963474838</v>
      </c>
      <c r="CC112" s="48">
        <f t="shared" si="2096"/>
        <v>2.0259999999999998</v>
      </c>
      <c r="CD112" s="593"/>
      <c r="CE112" s="45"/>
      <c r="CF112" s="45"/>
      <c r="CG112" s="46"/>
      <c r="CH112" s="48"/>
      <c r="CI112" s="48"/>
      <c r="CJ112" s="593"/>
      <c r="CK112" s="45">
        <v>380</v>
      </c>
      <c r="CL112" s="45">
        <v>6.8800000000000008</v>
      </c>
      <c r="CM112" s="46">
        <v>5</v>
      </c>
      <c r="CN112" s="48">
        <f t="shared" si="2097"/>
        <v>55.232558139534881</v>
      </c>
      <c r="CO112" s="48">
        <f t="shared" si="2098"/>
        <v>1.3760000000000001</v>
      </c>
      <c r="CP112" s="593"/>
      <c r="CQ112" s="45">
        <f>100+30+50+50+30</f>
        <v>260</v>
      </c>
      <c r="CR112" s="45">
        <f>1.46+1.19+1.67+1.4+1.02</f>
        <v>6.74</v>
      </c>
      <c r="CS112" s="46">
        <v>5</v>
      </c>
      <c r="CT112" s="48">
        <f t="shared" si="2099"/>
        <v>38.575667655786347</v>
      </c>
      <c r="CU112" s="48">
        <f t="shared" si="2100"/>
        <v>1.3480000000000001</v>
      </c>
      <c r="CV112" s="593"/>
      <c r="CW112" s="45">
        <f>200+150+100+300+200</f>
        <v>950</v>
      </c>
      <c r="CX112" s="45">
        <f>2.08+1.34+1.57+2.69+2.45</f>
        <v>10.129999999999999</v>
      </c>
      <c r="CY112" s="46">
        <v>5</v>
      </c>
      <c r="CZ112" s="48">
        <f t="shared" si="2101"/>
        <v>93.780848963474838</v>
      </c>
      <c r="DA112" s="48">
        <f t="shared" si="2102"/>
        <v>2.0259999999999998</v>
      </c>
      <c r="DB112" s="593"/>
      <c r="DC112" s="45">
        <f>200+50+100+50+20</f>
        <v>420</v>
      </c>
      <c r="DD112" s="45">
        <f>2.32+1.26+1.3+0.84+0.61</f>
        <v>6.33</v>
      </c>
      <c r="DE112" s="46">
        <v>5</v>
      </c>
      <c r="DF112" s="48">
        <f t="shared" si="2103"/>
        <v>66.350710900473928</v>
      </c>
      <c r="DG112" s="48">
        <f t="shared" si="2104"/>
        <v>1.266</v>
      </c>
      <c r="DH112" s="593"/>
      <c r="DI112" s="45"/>
      <c r="DJ112" s="45"/>
      <c r="DK112" s="46"/>
      <c r="DL112" s="48"/>
      <c r="DM112" s="48"/>
      <c r="DN112" s="593"/>
      <c r="DO112" s="45">
        <v>530</v>
      </c>
      <c r="DP112" s="45">
        <v>6.45</v>
      </c>
      <c r="DQ112" s="46">
        <v>5</v>
      </c>
      <c r="DR112" s="48">
        <f t="shared" si="2105"/>
        <v>82.170542635658919</v>
      </c>
      <c r="DS112" s="48">
        <f t="shared" si="2106"/>
        <v>1.29</v>
      </c>
      <c r="DT112" s="593"/>
      <c r="DU112" s="45"/>
      <c r="DV112" s="45"/>
      <c r="DW112" s="46"/>
      <c r="DX112" s="48"/>
      <c r="DY112" s="48"/>
      <c r="DZ112" s="593"/>
      <c r="EA112" s="45"/>
      <c r="EB112" s="45"/>
      <c r="EC112" s="46"/>
      <c r="ED112" s="48"/>
      <c r="EE112" s="48"/>
      <c r="EF112" s="593"/>
      <c r="EG112" s="45"/>
      <c r="EH112" s="45"/>
      <c r="EI112" s="46"/>
      <c r="EJ112" s="48"/>
      <c r="EK112" s="48"/>
      <c r="EL112" s="593"/>
      <c r="EM112" s="45"/>
      <c r="EN112" s="45"/>
      <c r="EO112" s="46"/>
      <c r="EP112" s="48"/>
      <c r="EQ112" s="48"/>
      <c r="ES112" s="45">
        <f>200+150+100+300+200</f>
        <v>950</v>
      </c>
      <c r="ET112" s="45">
        <f>2.08+1.34+1.57+2.69+2.45</f>
        <v>10.129999999999999</v>
      </c>
      <c r="EU112" s="46">
        <v>5</v>
      </c>
      <c r="EV112" s="48">
        <f t="shared" si="1890"/>
        <v>93.780848963474838</v>
      </c>
      <c r="EW112" s="48">
        <f t="shared" si="1890"/>
        <v>2.0259999999999998</v>
      </c>
      <c r="EY112" s="45">
        <v>530</v>
      </c>
      <c r="EZ112" s="45">
        <v>6.98</v>
      </c>
      <c r="FA112" s="45">
        <v>5</v>
      </c>
      <c r="FB112" s="48">
        <f t="shared" ref="FB112:FC118" si="2121">EY112/EZ112</f>
        <v>75.931232091690546</v>
      </c>
      <c r="FC112" s="48">
        <f t="shared" si="2121"/>
        <v>1.3960000000000001</v>
      </c>
      <c r="FE112" s="26"/>
      <c r="FF112" s="45"/>
      <c r="FG112" s="46"/>
      <c r="FH112" s="48"/>
      <c r="FI112" s="48"/>
      <c r="FK112" s="38">
        <f>50+100+200+300+50</f>
        <v>700</v>
      </c>
      <c r="FL112" s="40">
        <f>0.82+1.34+1.8+2.44+0.66</f>
        <v>7.0600000000000005</v>
      </c>
      <c r="FM112" s="38">
        <f>5</f>
        <v>5</v>
      </c>
      <c r="FN112" s="40">
        <f>FK112/FL112</f>
        <v>99.150141643059484</v>
      </c>
      <c r="FO112" s="40">
        <f>FL112/FM112</f>
        <v>1.4120000000000001</v>
      </c>
      <c r="FP112" s="231"/>
      <c r="FQ112" s="45">
        <f>50+50+50+50+50</f>
        <v>250</v>
      </c>
      <c r="FR112" s="45">
        <f>0.98+1.28+1.25+1.52+1.1</f>
        <v>6.129999999999999</v>
      </c>
      <c r="FS112" s="45">
        <f>5</f>
        <v>5</v>
      </c>
      <c r="FT112" s="48">
        <f t="shared" si="1765"/>
        <v>40.783034257748781</v>
      </c>
      <c r="FU112" s="48">
        <f t="shared" si="1765"/>
        <v>1.2259999999999998</v>
      </c>
      <c r="FW112" s="45">
        <f>200+50+100+50+20</f>
        <v>420</v>
      </c>
      <c r="FX112" s="45">
        <f>2.32+1.26+1.3+0.84+0.61</f>
        <v>6.33</v>
      </c>
      <c r="FY112" s="46">
        <v>5</v>
      </c>
      <c r="FZ112" s="48">
        <f t="shared" si="1766"/>
        <v>66.350710900473928</v>
      </c>
      <c r="GA112" s="48">
        <f t="shared" si="1766"/>
        <v>1.266</v>
      </c>
      <c r="GC112" s="26">
        <f>50+100+200+100+500</f>
        <v>950</v>
      </c>
      <c r="GD112" s="45">
        <f>0.52+0.8+1.36+0.7+0.52</f>
        <v>3.9</v>
      </c>
      <c r="GE112" s="45">
        <f>5</f>
        <v>5</v>
      </c>
      <c r="GF112" s="48">
        <f t="shared" si="1767"/>
        <v>243.58974358974359</v>
      </c>
      <c r="GG112" s="48">
        <f t="shared" si="1767"/>
        <v>0.78</v>
      </c>
      <c r="GI112" s="45">
        <f>100+50+100+50+150</f>
        <v>450</v>
      </c>
      <c r="GJ112" s="45">
        <f>1.75+1.12+0.83+0.85+1.37</f>
        <v>5.92</v>
      </c>
      <c r="GK112" s="45">
        <f>5</f>
        <v>5</v>
      </c>
      <c r="GL112" s="48">
        <f t="shared" si="1768"/>
        <v>76.013513513513516</v>
      </c>
      <c r="GM112" s="48">
        <f t="shared" si="1768"/>
        <v>1.1839999999999999</v>
      </c>
      <c r="GO112" s="45">
        <f>100+100+200+50+50</f>
        <v>500</v>
      </c>
      <c r="GP112" s="45">
        <f>1.47+1.52+1.19+1+0.72</f>
        <v>5.8999999999999995</v>
      </c>
      <c r="GQ112" s="45">
        <f>5</f>
        <v>5</v>
      </c>
      <c r="GR112" s="48">
        <f t="shared" si="1769"/>
        <v>84.745762711864415</v>
      </c>
      <c r="GS112" s="48">
        <f t="shared" si="1769"/>
        <v>1.18</v>
      </c>
      <c r="GU112" s="99">
        <f>500+500+500+450+200</f>
        <v>2150</v>
      </c>
      <c r="GV112" s="99">
        <f>1.29+1.27+1.28+1.14+0.74</f>
        <v>5.72</v>
      </c>
      <c r="GW112" s="100">
        <v>5</v>
      </c>
      <c r="GX112" s="101">
        <f t="shared" si="1770"/>
        <v>375.87412587412587</v>
      </c>
      <c r="GY112" s="101">
        <f t="shared" si="1770"/>
        <v>1.1439999999999999</v>
      </c>
      <c r="GZ112" s="43"/>
      <c r="HA112" s="28"/>
      <c r="HB112" s="28"/>
      <c r="HC112" s="28"/>
      <c r="HD112" s="40"/>
      <c r="HE112" s="40"/>
      <c r="HG112" s="45">
        <v>530</v>
      </c>
      <c r="HH112" s="45">
        <v>6.45</v>
      </c>
      <c r="HI112" s="46">
        <v>5</v>
      </c>
      <c r="HJ112" s="48">
        <f t="shared" ref="HJ112:HJ138" si="2122">HG112/HH112</f>
        <v>82.170542635658919</v>
      </c>
      <c r="HK112" s="48">
        <f t="shared" ref="HK112:HK138" si="2123">HH112/HI112</f>
        <v>1.29</v>
      </c>
      <c r="HM112" s="45">
        <f>250+200+100+200+150</f>
        <v>900</v>
      </c>
      <c r="HN112" s="45">
        <f>2.35+1.6+1.15+3.15+1.15</f>
        <v>9.4</v>
      </c>
      <c r="HO112" s="46">
        <v>5</v>
      </c>
      <c r="HP112" s="48">
        <f t="shared" si="1839"/>
        <v>95.744680851063819</v>
      </c>
      <c r="HQ112" s="48">
        <f t="shared" si="1839"/>
        <v>1.8800000000000001</v>
      </c>
      <c r="HS112" s="26">
        <f>50+100+150+200+300</f>
        <v>800</v>
      </c>
      <c r="HT112" s="45">
        <f>1.2+1.71+1.83+1.91+2.9</f>
        <v>9.5500000000000007</v>
      </c>
      <c r="HU112" s="46">
        <v>5</v>
      </c>
      <c r="HV112" s="48">
        <f t="shared" si="1933"/>
        <v>83.769633507853399</v>
      </c>
      <c r="HW112" s="48">
        <f t="shared" si="1933"/>
        <v>1.9100000000000001</v>
      </c>
      <c r="HX112" s="231"/>
      <c r="HY112" s="38">
        <f>100+50+150+30+100</f>
        <v>430</v>
      </c>
      <c r="HZ112" s="40">
        <f>1.31+0.7+1.56+0.65+1.27</f>
        <v>5.49</v>
      </c>
      <c r="IA112" s="38">
        <f>5</f>
        <v>5</v>
      </c>
      <c r="IB112" s="40">
        <f t="shared" si="1828"/>
        <v>78.32422586520947</v>
      </c>
      <c r="IC112" s="40">
        <f t="shared" si="1840"/>
        <v>1.0980000000000001</v>
      </c>
      <c r="IE112" s="38">
        <f>30+100+50+50+200</f>
        <v>430</v>
      </c>
      <c r="IF112" s="40">
        <f>0.93+1.87+1.25+1.01+2.17</f>
        <v>7.23</v>
      </c>
      <c r="IG112" s="38">
        <f>5</f>
        <v>5</v>
      </c>
      <c r="IH112" s="40">
        <f t="shared" si="1841"/>
        <v>59.474412171507602</v>
      </c>
      <c r="II112" s="40">
        <f t="shared" si="1842"/>
        <v>1.4460000000000002</v>
      </c>
      <c r="IK112" s="38">
        <f>200+100+20+30+50</f>
        <v>400</v>
      </c>
      <c r="IL112" s="40">
        <f>2.07+1.46+0.63+0.82+0.72</f>
        <v>5.7</v>
      </c>
      <c r="IM112" s="38">
        <v>5</v>
      </c>
      <c r="IN112" s="40">
        <f t="shared" si="2107"/>
        <v>70.175438596491219</v>
      </c>
      <c r="IO112" s="40">
        <f t="shared" si="2108"/>
        <v>1.1400000000000001</v>
      </c>
      <c r="IQ112" s="38">
        <f>150+100+100+100+100</f>
        <v>550</v>
      </c>
      <c r="IR112" s="40">
        <f>1.06+1.02+1.11+1.08+1.01</f>
        <v>5.28</v>
      </c>
      <c r="IS112" s="38">
        <v>5</v>
      </c>
      <c r="IT112" s="40">
        <f t="shared" si="2109"/>
        <v>104.16666666666666</v>
      </c>
      <c r="IU112" s="40">
        <f t="shared" si="2110"/>
        <v>1.056</v>
      </c>
      <c r="IW112" s="38">
        <f>30+50+100+10+100</f>
        <v>290</v>
      </c>
      <c r="IX112" s="40">
        <f>0.69+0.8+1.04+0.58+1.13</f>
        <v>4.24</v>
      </c>
      <c r="IY112" s="38">
        <v>5</v>
      </c>
      <c r="IZ112" s="40">
        <f t="shared" ref="IZ112" si="2124">IW112/IX112</f>
        <v>68.396226415094333</v>
      </c>
      <c r="JA112" s="40">
        <f t="shared" ref="JA112" si="2125">IX112/IY112</f>
        <v>0.84800000000000009</v>
      </c>
      <c r="JC112" s="38">
        <f>150+30+50+200+100</f>
        <v>530</v>
      </c>
      <c r="JD112" s="40">
        <f>1.48+0.59+0.59+1.46+0.98</f>
        <v>5.0999999999999996</v>
      </c>
      <c r="JE112" s="38">
        <v>5</v>
      </c>
      <c r="JF112" s="40">
        <f t="shared" si="2111"/>
        <v>103.92156862745098</v>
      </c>
      <c r="JG112" s="40">
        <f t="shared" si="2112"/>
        <v>1.02</v>
      </c>
      <c r="JI112" s="38">
        <f>400+100+100+50+30</f>
        <v>680</v>
      </c>
      <c r="JJ112" s="40">
        <f>2.09+0.91+0.93+0.98+0.54</f>
        <v>5.45</v>
      </c>
      <c r="JK112" s="38">
        <v>5</v>
      </c>
      <c r="JL112" s="40">
        <f t="shared" si="2113"/>
        <v>124.77064220183486</v>
      </c>
      <c r="JM112" s="40">
        <f t="shared" si="2114"/>
        <v>1.0900000000000001</v>
      </c>
      <c r="JO112" s="38">
        <f>150+150+50+100+100</f>
        <v>550</v>
      </c>
      <c r="JP112" s="40">
        <f>1.89+2.12+0.76+1.15+1.1</f>
        <v>7.02</v>
      </c>
      <c r="JQ112" s="38">
        <v>5</v>
      </c>
      <c r="JR112" s="40">
        <f t="shared" ref="JR112:JR117" si="2126">JO112/JP112</f>
        <v>78.347578347578349</v>
      </c>
      <c r="JS112" s="40">
        <f t="shared" ref="JS112:JS117" si="2127">JP112/JQ112</f>
        <v>1.4039999999999999</v>
      </c>
      <c r="JU112" s="38">
        <f>100+200+150+100+100</f>
        <v>650</v>
      </c>
      <c r="JV112" s="40">
        <f>1.27+1.31+1.67+1.38+1.25</f>
        <v>6.88</v>
      </c>
      <c r="JW112" s="38">
        <v>5</v>
      </c>
      <c r="JX112" s="40">
        <f t="shared" ref="JX112" si="2128">JU112/JV112</f>
        <v>94.476744186046517</v>
      </c>
      <c r="JY112" s="40">
        <f t="shared" ref="JY112" si="2129">JV112/JW112</f>
        <v>1.3759999999999999</v>
      </c>
      <c r="KA112" s="38">
        <f>250+250+250+100</f>
        <v>850</v>
      </c>
      <c r="KB112" s="40">
        <f>2.73+2.13+2.02+1.32</f>
        <v>8.1999999999999993</v>
      </c>
      <c r="KC112" s="38">
        <v>4</v>
      </c>
      <c r="KD112" s="40">
        <f t="shared" ref="KD112" si="2130">KA112/KB112</f>
        <v>103.65853658536587</v>
      </c>
      <c r="KE112" s="40">
        <f t="shared" ref="KE112" si="2131">KB112/KC112</f>
        <v>2.0499999999999998</v>
      </c>
      <c r="KG112" s="38">
        <f>200+200+100+100+50</f>
        <v>650</v>
      </c>
      <c r="KH112" s="40">
        <f>3.18+1.97+0.98+1.02+0.99</f>
        <v>8.14</v>
      </c>
      <c r="KI112" s="38">
        <v>5</v>
      </c>
      <c r="KJ112" s="40">
        <f t="shared" si="2060"/>
        <v>79.852579852579851</v>
      </c>
      <c r="KK112" s="40">
        <f t="shared" si="1853"/>
        <v>1.6280000000000001</v>
      </c>
      <c r="KM112" s="38">
        <f>100+200+100+100+50</f>
        <v>550</v>
      </c>
      <c r="KN112" s="40">
        <f>1.78+2.1+1.64+1.5+0.8</f>
        <v>7.8199999999999994</v>
      </c>
      <c r="KO112" s="38">
        <v>5</v>
      </c>
      <c r="KP112" s="40">
        <f t="shared" si="2061"/>
        <v>70.332480818414325</v>
      </c>
      <c r="KQ112" s="40">
        <f t="shared" si="1777"/>
        <v>1.5639999999999998</v>
      </c>
      <c r="KS112" s="38">
        <f>200+200+150+100+150</f>
        <v>800</v>
      </c>
      <c r="KT112" s="40">
        <f>1.69+1.55+1.55+1.25+1.49</f>
        <v>7.53</v>
      </c>
      <c r="KU112" s="38">
        <v>5</v>
      </c>
      <c r="KV112" s="40">
        <f t="shared" si="2062"/>
        <v>106.24169986719787</v>
      </c>
      <c r="KW112" s="40">
        <f t="shared" si="1779"/>
        <v>1.506</v>
      </c>
      <c r="KY112" s="38"/>
      <c r="KZ112" s="40"/>
      <c r="LA112" s="38"/>
      <c r="LB112" s="40" t="e">
        <f t="shared" si="2063"/>
        <v>#DIV/0!</v>
      </c>
      <c r="LC112" s="40" t="e">
        <f t="shared" si="1781"/>
        <v>#DIV/0!</v>
      </c>
      <c r="LE112" s="38">
        <f>200+100+50</f>
        <v>350</v>
      </c>
      <c r="LF112" s="40">
        <f>2.57+0.93+0.9</f>
        <v>4.4000000000000004</v>
      </c>
      <c r="LG112" s="38">
        <v>3</v>
      </c>
      <c r="LH112" s="40">
        <f t="shared" si="2064"/>
        <v>79.545454545454533</v>
      </c>
      <c r="LI112" s="40">
        <f t="shared" si="1783"/>
        <v>1.4666666666666668</v>
      </c>
      <c r="LK112" s="38"/>
      <c r="LL112" s="40"/>
      <c r="LM112" s="38"/>
      <c r="LN112" s="40" t="e">
        <f t="shared" si="2065"/>
        <v>#DIV/0!</v>
      </c>
      <c r="LO112" s="40" t="e">
        <f t="shared" si="1785"/>
        <v>#DIV/0!</v>
      </c>
      <c r="LQ112" s="38">
        <f>200+200+150+100+100</f>
        <v>750</v>
      </c>
      <c r="LR112" s="40">
        <f>2.25+2.26+1.25+1.1+1.09</f>
        <v>7.9499999999999993</v>
      </c>
      <c r="LS112" s="38">
        <v>5</v>
      </c>
      <c r="LT112" s="40">
        <f t="shared" si="2066"/>
        <v>94.339622641509436</v>
      </c>
      <c r="LU112" s="40">
        <f t="shared" si="1787"/>
        <v>1.5899999999999999</v>
      </c>
      <c r="LW112" s="38">
        <f>20+100+150+300+200</f>
        <v>770</v>
      </c>
      <c r="LX112" s="40">
        <f>0.36+0.31+1.73+2.34+1.3</f>
        <v>6.04</v>
      </c>
      <c r="LY112" s="38">
        <v>5</v>
      </c>
      <c r="LZ112" s="40">
        <f t="shared" si="2067"/>
        <v>127.48344370860927</v>
      </c>
      <c r="MA112" s="40">
        <f t="shared" si="1789"/>
        <v>1.208</v>
      </c>
      <c r="MC112" s="38">
        <f>200+50+150+100+300</f>
        <v>800</v>
      </c>
      <c r="MD112" s="40">
        <f>1.95+0.12+1.74+1.24+2.04</f>
        <v>7.09</v>
      </c>
      <c r="ME112" s="38">
        <v>5</v>
      </c>
      <c r="MF112" s="40">
        <f t="shared" si="2068"/>
        <v>112.83497884344148</v>
      </c>
      <c r="MG112" s="40">
        <f t="shared" si="1791"/>
        <v>1.4179999999999999</v>
      </c>
      <c r="MI112" s="38">
        <f>100+100+150+50+100</f>
        <v>500</v>
      </c>
      <c r="MJ112" s="40">
        <f>1.32+2.02+2.1+1.1+1.7</f>
        <v>8.2399999999999984</v>
      </c>
      <c r="MK112" s="38">
        <v>5</v>
      </c>
      <c r="ML112" s="40">
        <f t="shared" si="2069"/>
        <v>60.679611650485448</v>
      </c>
      <c r="MM112" s="40">
        <f t="shared" si="1793"/>
        <v>1.6479999999999997</v>
      </c>
      <c r="MO112" s="38"/>
      <c r="MP112" s="40"/>
      <c r="MQ112" s="38"/>
      <c r="MR112" s="40" t="e">
        <f t="shared" si="2070"/>
        <v>#DIV/0!</v>
      </c>
      <c r="MS112" s="40" t="e">
        <f t="shared" si="1795"/>
        <v>#DIV/0!</v>
      </c>
      <c r="MU112" s="38"/>
      <c r="MV112" s="40"/>
      <c r="MW112" s="38"/>
      <c r="MX112" s="40" t="e">
        <f t="shared" si="2071"/>
        <v>#DIV/0!</v>
      </c>
      <c r="MY112" s="40" t="e">
        <f t="shared" si="1797"/>
        <v>#DIV/0!</v>
      </c>
      <c r="NA112" s="825">
        <f>30+100+200+150+200</f>
        <v>680</v>
      </c>
      <c r="NB112" s="826">
        <f>0.68+1.28+1.67+1.93+0.92</f>
        <v>6.4799999999999995</v>
      </c>
      <c r="NC112" s="825">
        <v>5</v>
      </c>
      <c r="ND112" s="40">
        <f t="shared" si="2072"/>
        <v>104.93827160493828</v>
      </c>
      <c r="NE112" s="40">
        <f t="shared" si="1799"/>
        <v>1.2959999999999998</v>
      </c>
      <c r="NG112" s="825">
        <f>100+100+50+30+200</f>
        <v>480</v>
      </c>
      <c r="NH112" s="826">
        <f>1.68+1.35+1.25+0.96+1.8</f>
        <v>7.04</v>
      </c>
      <c r="NI112" s="825">
        <v>5</v>
      </c>
      <c r="NJ112" s="40">
        <f t="shared" si="2073"/>
        <v>68.181818181818187</v>
      </c>
      <c r="NK112" s="40">
        <f t="shared" si="1801"/>
        <v>1.4079999999999999</v>
      </c>
      <c r="NM112" s="825">
        <f>100+50+100+200+50</f>
        <v>500</v>
      </c>
      <c r="NN112" s="826">
        <f>1.82+0.88+1.15+2.43+0.97</f>
        <v>7.25</v>
      </c>
      <c r="NO112" s="825">
        <v>5</v>
      </c>
      <c r="NP112" s="40">
        <f t="shared" si="2074"/>
        <v>68.965517241379317</v>
      </c>
      <c r="NQ112" s="40">
        <f t="shared" si="1803"/>
        <v>1.45</v>
      </c>
      <c r="NS112" s="906">
        <f>200+20+100+30+40</f>
        <v>390</v>
      </c>
      <c r="NT112" s="907">
        <f>1.27+0.62+1.3+0.57+0.7</f>
        <v>4.46</v>
      </c>
      <c r="NU112" s="825"/>
      <c r="NV112" s="40">
        <f t="shared" si="2075"/>
        <v>87.443946188340803</v>
      </c>
      <c r="NW112" s="40" t="e">
        <f t="shared" si="1805"/>
        <v>#DIV/0!</v>
      </c>
      <c r="NY112" s="913">
        <f>100+50+30+100+250</f>
        <v>530</v>
      </c>
      <c r="NZ112" s="914">
        <f>1.36+0.95+0.42+1.21+1.38</f>
        <v>5.32</v>
      </c>
      <c r="OA112" s="918">
        <v>5</v>
      </c>
      <c r="OB112" s="40">
        <f t="shared" si="2076"/>
        <v>99.624060150375939</v>
      </c>
      <c r="OC112" s="40">
        <f t="shared" si="1807"/>
        <v>1.0640000000000001</v>
      </c>
      <c r="OE112" s="825">
        <f>150+150+100+50+100</f>
        <v>550</v>
      </c>
      <c r="OF112" s="826">
        <f>1.43+1.41+1.31+0.74+0.98</f>
        <v>5.870000000000001</v>
      </c>
      <c r="OG112" s="825">
        <v>5</v>
      </c>
      <c r="OH112" s="40">
        <f t="shared" si="2077"/>
        <v>93.696763202725705</v>
      </c>
      <c r="OI112" s="40">
        <f t="shared" si="1809"/>
        <v>1.1740000000000002</v>
      </c>
    </row>
    <row r="113" spans="2:399">
      <c r="B113" s="11"/>
      <c r="C113" s="16" t="s">
        <v>32</v>
      </c>
      <c r="D113" s="58" t="s">
        <v>14</v>
      </c>
      <c r="E113" s="726">
        <f>600+700</f>
        <v>1300</v>
      </c>
      <c r="F113" s="45">
        <f>3.6+3.65</f>
        <v>7.25</v>
      </c>
      <c r="G113" s="46">
        <v>2</v>
      </c>
      <c r="H113" s="48">
        <f t="shared" si="2115"/>
        <v>179.31034482758622</v>
      </c>
      <c r="I113" s="48">
        <f t="shared" si="2116"/>
        <v>3.625</v>
      </c>
      <c r="K113" s="45"/>
      <c r="L113" s="45"/>
      <c r="M113" s="46"/>
      <c r="N113" s="48"/>
      <c r="O113" s="48"/>
      <c r="Q113" s="45">
        <f>2000+1500+850+800+1000</f>
        <v>6150</v>
      </c>
      <c r="R113" s="45">
        <f>6+5.1+4.1+3.8+3.7</f>
        <v>22.7</v>
      </c>
      <c r="S113" s="46">
        <v>5</v>
      </c>
      <c r="T113" s="48">
        <f t="shared" ref="T113:T119" si="2132">Q113/R113</f>
        <v>270.92511013215858</v>
      </c>
      <c r="U113" s="48">
        <f t="shared" ref="U113:U119" si="2133">R113/S113</f>
        <v>4.54</v>
      </c>
      <c r="W113" s="45"/>
      <c r="X113" s="45"/>
      <c r="Y113" s="46"/>
      <c r="Z113" s="48"/>
      <c r="AA113" s="48"/>
      <c r="AC113" s="45"/>
      <c r="AD113" s="45"/>
      <c r="AE113" s="46"/>
      <c r="AF113" s="48"/>
      <c r="AG113" s="48"/>
      <c r="AI113" s="45">
        <f>1000+800+600+900+700</f>
        <v>4000</v>
      </c>
      <c r="AJ113" s="45">
        <f>5+4+3+4.5+3.5</f>
        <v>20</v>
      </c>
      <c r="AK113" s="46">
        <v>5</v>
      </c>
      <c r="AL113" s="48">
        <f t="shared" si="2082"/>
        <v>200</v>
      </c>
      <c r="AM113" s="48">
        <f t="shared" si="2083"/>
        <v>4</v>
      </c>
      <c r="AO113" s="45"/>
      <c r="AP113" s="45"/>
      <c r="AQ113" s="46"/>
      <c r="AR113" s="48"/>
      <c r="AS113" s="48"/>
      <c r="AU113" s="45">
        <f>1280+1500+1540+1920+1680</f>
        <v>7920</v>
      </c>
      <c r="AV113" s="45">
        <f>6.4+7.5+7.7+9.6+8.4</f>
        <v>39.6</v>
      </c>
      <c r="AW113" s="46">
        <v>5</v>
      </c>
      <c r="AX113" s="48">
        <f t="shared" ref="AX113" si="2134">AU113/AV113</f>
        <v>200</v>
      </c>
      <c r="AY113" s="48">
        <f t="shared" ref="AY113" si="2135">AV113/AW113</f>
        <v>7.92</v>
      </c>
      <c r="AZ113" s="593"/>
      <c r="BA113" s="45">
        <f>1500</f>
        <v>1500</v>
      </c>
      <c r="BB113" s="45">
        <f>6</f>
        <v>6</v>
      </c>
      <c r="BC113" s="46">
        <v>1</v>
      </c>
      <c r="BD113" s="48">
        <f t="shared" si="2119"/>
        <v>250</v>
      </c>
      <c r="BE113" s="48">
        <f t="shared" si="2120"/>
        <v>6</v>
      </c>
      <c r="BF113" s="593"/>
      <c r="BG113" s="45"/>
      <c r="BH113" s="45"/>
      <c r="BI113" s="46"/>
      <c r="BJ113" s="48"/>
      <c r="BK113" s="48"/>
      <c r="BL113" s="593"/>
      <c r="BM113" s="45"/>
      <c r="BN113" s="45"/>
      <c r="BO113" s="46"/>
      <c r="BP113" s="48"/>
      <c r="BQ113" s="48"/>
      <c r="BS113" s="45"/>
      <c r="BT113" s="45"/>
      <c r="BU113" s="46"/>
      <c r="BV113" s="48"/>
      <c r="BW113" s="48"/>
      <c r="BX113" s="593"/>
      <c r="BY113" s="45">
        <f>1280+1500+1540+1920+1680</f>
        <v>7920</v>
      </c>
      <c r="BZ113" s="45">
        <f>6.4+7.5+7.7+9.6+8.4</f>
        <v>39.6</v>
      </c>
      <c r="CA113" s="46">
        <v>5</v>
      </c>
      <c r="CB113" s="48">
        <f t="shared" ref="CB113" si="2136">BY113/BZ113</f>
        <v>200</v>
      </c>
      <c r="CC113" s="48">
        <f t="shared" ref="CC113" si="2137">BZ113/CA113</f>
        <v>7.92</v>
      </c>
      <c r="CD113" s="593"/>
      <c r="CE113" s="45"/>
      <c r="CF113" s="45"/>
      <c r="CG113" s="46"/>
      <c r="CH113" s="48"/>
      <c r="CI113" s="48"/>
      <c r="CJ113" s="593"/>
      <c r="CK113" s="45">
        <v>4000</v>
      </c>
      <c r="CL113" s="45">
        <v>40</v>
      </c>
      <c r="CM113" s="46">
        <v>5</v>
      </c>
      <c r="CN113" s="48">
        <f t="shared" si="2097"/>
        <v>100</v>
      </c>
      <c r="CO113" s="48">
        <f t="shared" si="2098"/>
        <v>8</v>
      </c>
      <c r="CP113" s="593"/>
      <c r="CQ113" s="45"/>
      <c r="CR113" s="45"/>
      <c r="CS113" s="46"/>
      <c r="CT113" s="48"/>
      <c r="CU113" s="48"/>
      <c r="CV113" s="593"/>
      <c r="CW113" s="45">
        <f>1280+1500+1540+1920+1680</f>
        <v>7920</v>
      </c>
      <c r="CX113" s="45">
        <f>6.4+7.5+7.7+9.6+8.4</f>
        <v>39.6</v>
      </c>
      <c r="CY113" s="46">
        <v>5</v>
      </c>
      <c r="CZ113" s="48">
        <f t="shared" si="2101"/>
        <v>200</v>
      </c>
      <c r="DA113" s="48">
        <f t="shared" si="2102"/>
        <v>7.92</v>
      </c>
      <c r="DB113" s="593"/>
      <c r="DC113" s="45"/>
      <c r="DD113" s="45"/>
      <c r="DE113" s="46"/>
      <c r="DF113" s="48"/>
      <c r="DG113" s="48"/>
      <c r="DH113" s="593"/>
      <c r="DI113" s="45"/>
      <c r="DJ113" s="45"/>
      <c r="DK113" s="46"/>
      <c r="DL113" s="48"/>
      <c r="DM113" s="48"/>
      <c r="DN113" s="593"/>
      <c r="DO113" s="45">
        <v>6800</v>
      </c>
      <c r="DP113" s="45">
        <v>34.299999999999997</v>
      </c>
      <c r="DQ113" s="46">
        <v>5</v>
      </c>
      <c r="DR113" s="48">
        <f t="shared" si="2105"/>
        <v>198.25072886297377</v>
      </c>
      <c r="DS113" s="48">
        <f t="shared" si="2106"/>
        <v>6.8599999999999994</v>
      </c>
      <c r="DT113" s="593"/>
      <c r="DU113" s="45"/>
      <c r="DV113" s="45"/>
      <c r="DW113" s="46"/>
      <c r="DX113" s="48"/>
      <c r="DY113" s="48"/>
      <c r="DZ113" s="593"/>
      <c r="EA113" s="45"/>
      <c r="EB113" s="45"/>
      <c r="EC113" s="46"/>
      <c r="ED113" s="48"/>
      <c r="EE113" s="48"/>
      <c r="EF113" s="593"/>
      <c r="EG113" s="45"/>
      <c r="EH113" s="45"/>
      <c r="EI113" s="46"/>
      <c r="EJ113" s="48"/>
      <c r="EK113" s="48"/>
      <c r="EL113" s="593"/>
      <c r="EM113" s="45"/>
      <c r="EN113" s="45"/>
      <c r="EO113" s="46"/>
      <c r="EP113" s="48"/>
      <c r="EQ113" s="48"/>
      <c r="ES113" s="45">
        <f>1280+1500+1540+1920+1680</f>
        <v>7920</v>
      </c>
      <c r="ET113" s="45">
        <f>6.4+7.5+7.7+9.6+8.4</f>
        <v>39.6</v>
      </c>
      <c r="EU113" s="46">
        <v>5</v>
      </c>
      <c r="EV113" s="48">
        <f t="shared" si="1890"/>
        <v>200</v>
      </c>
      <c r="EW113" s="48">
        <f t="shared" si="1890"/>
        <v>7.92</v>
      </c>
      <c r="EY113" s="45">
        <v>4000</v>
      </c>
      <c r="EZ113" s="45">
        <v>20</v>
      </c>
      <c r="FA113" s="45">
        <v>5</v>
      </c>
      <c r="FB113" s="48">
        <f t="shared" si="2121"/>
        <v>200</v>
      </c>
      <c r="FC113" s="48">
        <f t="shared" si="2121"/>
        <v>4</v>
      </c>
      <c r="FE113" s="46">
        <f>2000+1500+850+800+1000</f>
        <v>6150</v>
      </c>
      <c r="FF113" s="46">
        <f>6+5.1+4.1+3.8+3.7</f>
        <v>22.7</v>
      </c>
      <c r="FG113" s="46">
        <v>5</v>
      </c>
      <c r="FH113" s="48">
        <f t="shared" si="1827"/>
        <v>270.92511013215858</v>
      </c>
      <c r="FI113" s="48">
        <f t="shared" si="1827"/>
        <v>4.54</v>
      </c>
      <c r="FK113" s="38">
        <f>1130+820+750+900+530</f>
        <v>4130</v>
      </c>
      <c r="FL113" s="40">
        <f>7.6+3.7+5+6+3.5</f>
        <v>25.8</v>
      </c>
      <c r="FM113" s="38">
        <f>5</f>
        <v>5</v>
      </c>
      <c r="FN113" s="40">
        <f t="shared" si="1950"/>
        <v>160.07751937984494</v>
      </c>
      <c r="FO113" s="40">
        <f t="shared" si="1932"/>
        <v>5.16</v>
      </c>
      <c r="FP113" s="231"/>
      <c r="FQ113" s="45"/>
      <c r="FR113" s="45"/>
      <c r="FS113" s="45"/>
      <c r="FT113" s="48"/>
      <c r="FU113" s="48"/>
      <c r="FW113" s="45"/>
      <c r="FX113" s="45"/>
      <c r="FY113" s="46"/>
      <c r="FZ113" s="48"/>
      <c r="GA113" s="48"/>
      <c r="GC113" s="26">
        <f>620+650+600+400+500</f>
        <v>2770</v>
      </c>
      <c r="GD113" s="45">
        <f>2.5+2.6+2.53+1.98+2.4</f>
        <v>12.01</v>
      </c>
      <c r="GE113" s="45">
        <f>5</f>
        <v>5</v>
      </c>
      <c r="GF113" s="48">
        <f t="shared" si="1767"/>
        <v>230.64113238967528</v>
      </c>
      <c r="GG113" s="48">
        <f t="shared" si="1767"/>
        <v>2.4020000000000001</v>
      </c>
      <c r="GI113" s="45"/>
      <c r="GJ113" s="45"/>
      <c r="GK113" s="45"/>
      <c r="GL113" s="48"/>
      <c r="GM113" s="48"/>
      <c r="GO113" s="45"/>
      <c r="GP113" s="45"/>
      <c r="GQ113" s="45"/>
      <c r="GR113" s="48"/>
      <c r="GS113" s="48"/>
      <c r="GU113" s="99">
        <f>2000+1500+1200+1500+2000</f>
        <v>8200</v>
      </c>
      <c r="GV113" s="99">
        <f>4.51+4.05+4.49+4.3+5.49</f>
        <v>22.839999999999996</v>
      </c>
      <c r="GW113" s="100">
        <v>5</v>
      </c>
      <c r="GX113" s="101">
        <f t="shared" si="1770"/>
        <v>359.01926444833629</v>
      </c>
      <c r="GY113" s="101">
        <f t="shared" si="1770"/>
        <v>4.5679999999999996</v>
      </c>
      <c r="GZ113" s="43"/>
      <c r="HA113" s="28">
        <f>3000+1300+500+800+1750</f>
        <v>7350</v>
      </c>
      <c r="HB113" s="28">
        <f>9.1+5.49+2.26+2.44+6.31</f>
        <v>25.6</v>
      </c>
      <c r="HC113" s="28">
        <v>5</v>
      </c>
      <c r="HD113" s="40">
        <f t="shared" si="1771"/>
        <v>287.109375</v>
      </c>
      <c r="HE113" s="40">
        <f t="shared" si="1771"/>
        <v>5.12</v>
      </c>
      <c r="HG113" s="45">
        <v>6800</v>
      </c>
      <c r="HH113" s="45">
        <v>34.299999999999997</v>
      </c>
      <c r="HI113" s="45">
        <v>5</v>
      </c>
      <c r="HJ113" s="48">
        <f t="shared" si="2122"/>
        <v>198.25072886297377</v>
      </c>
      <c r="HK113" s="48">
        <f t="shared" si="2123"/>
        <v>6.8599999999999994</v>
      </c>
      <c r="HM113" s="45">
        <f>600+700</f>
        <v>1300</v>
      </c>
      <c r="HN113" s="45">
        <f>3.6+3.65</f>
        <v>7.25</v>
      </c>
      <c r="HO113" s="46">
        <v>2</v>
      </c>
      <c r="HP113" s="48">
        <f t="shared" si="1839"/>
        <v>179.31034482758622</v>
      </c>
      <c r="HQ113" s="48">
        <f t="shared" si="1839"/>
        <v>3.625</v>
      </c>
      <c r="HS113" s="45"/>
      <c r="HT113" s="45"/>
      <c r="HU113" s="46"/>
      <c r="HV113" s="48"/>
      <c r="HW113" s="48"/>
      <c r="HX113" s="231"/>
      <c r="HY113" s="38"/>
      <c r="HZ113" s="40"/>
      <c r="IA113" s="38"/>
      <c r="IB113" s="40"/>
      <c r="IC113" s="40"/>
      <c r="IE113" s="38">
        <f>1340+1280+1360+1440+1640</f>
        <v>7060</v>
      </c>
      <c r="IF113" s="40">
        <f>6.7+6.4+6.8+7.2+8.2</f>
        <v>35.299999999999997</v>
      </c>
      <c r="IG113" s="38">
        <f>5</f>
        <v>5</v>
      </c>
      <c r="IH113" s="40">
        <f t="shared" si="1841"/>
        <v>200.00000000000003</v>
      </c>
      <c r="II113" s="40">
        <f t="shared" si="1842"/>
        <v>7.06</v>
      </c>
      <c r="IK113" s="38"/>
      <c r="IL113" s="40"/>
      <c r="IM113" s="38"/>
      <c r="IN113" s="40"/>
      <c r="IO113" s="40"/>
      <c r="IQ113" s="38">
        <f>1500+200+1000+1500+1000</f>
        <v>5200</v>
      </c>
      <c r="IR113" s="40"/>
      <c r="IS113" s="38"/>
      <c r="IT113" s="40"/>
      <c r="IU113" s="40"/>
      <c r="IW113" s="38"/>
      <c r="IX113" s="40"/>
      <c r="IY113" s="38"/>
      <c r="IZ113" s="40"/>
      <c r="JA113" s="40"/>
      <c r="JC113" s="38">
        <f>1600+2200+1800+2400+900</f>
        <v>8900</v>
      </c>
      <c r="JD113" s="40">
        <f>8+11+9+12+4.5</f>
        <v>44.5</v>
      </c>
      <c r="JE113" s="38">
        <v>5</v>
      </c>
      <c r="JF113" s="40">
        <f t="shared" ref="JF113" si="2138">JC113/JD113</f>
        <v>200</v>
      </c>
      <c r="JG113" s="40">
        <f t="shared" ref="JG113" si="2139">JD113/JE113</f>
        <v>8.9</v>
      </c>
      <c r="JI113" s="38">
        <f>2400+3600+900+750+900</f>
        <v>8550</v>
      </c>
      <c r="JJ113" s="40">
        <f>8+12+3+3+3.6</f>
        <v>29.6</v>
      </c>
      <c r="JK113" s="38">
        <v>5</v>
      </c>
      <c r="JL113" s="40">
        <f t="shared" ref="JL113" si="2140">JI113/JJ113</f>
        <v>288.85135135135135</v>
      </c>
      <c r="JM113" s="40">
        <f t="shared" ref="JM113" si="2141">JJ113/JK113</f>
        <v>5.92</v>
      </c>
      <c r="JO113" s="38"/>
      <c r="JP113" s="40"/>
      <c r="JQ113" s="38"/>
      <c r="JR113" s="40"/>
      <c r="JS113" s="40"/>
      <c r="JU113" s="38">
        <f>1100+900+1180+1200+1260</f>
        <v>5640</v>
      </c>
      <c r="JV113" s="40">
        <f>5.5+4.5+5.9+6+6.3</f>
        <v>28.2</v>
      </c>
      <c r="JW113" s="38">
        <v>5</v>
      </c>
      <c r="JX113" s="40"/>
      <c r="JY113" s="40"/>
      <c r="KA113" s="38">
        <f>1200+1100+800+700+600</f>
        <v>4400</v>
      </c>
      <c r="KB113" s="40">
        <f>6+5.5+4+3.5+3</f>
        <v>22</v>
      </c>
      <c r="KC113" s="38">
        <v>5</v>
      </c>
      <c r="KD113" s="40"/>
      <c r="KE113" s="40"/>
      <c r="KG113" s="38">
        <f>1040+1300+1700+1250+2300</f>
        <v>7590</v>
      </c>
      <c r="KH113" s="40">
        <f>5.2+6.3+8.5+5+11.5</f>
        <v>36.5</v>
      </c>
      <c r="KI113" s="38">
        <v>5</v>
      </c>
      <c r="KJ113" s="40">
        <f t="shared" si="2060"/>
        <v>207.94520547945206</v>
      </c>
      <c r="KK113" s="40">
        <f t="shared" si="1853"/>
        <v>7.3</v>
      </c>
      <c r="KM113" s="38">
        <f>1720+1000+800+920+1300</f>
        <v>5740</v>
      </c>
      <c r="KN113" s="40">
        <f>5.6+5+4+4.6+6.6</f>
        <v>25.799999999999997</v>
      </c>
      <c r="KO113" s="38">
        <v>5</v>
      </c>
      <c r="KP113" s="40">
        <f t="shared" si="2061"/>
        <v>222.48062015503879</v>
      </c>
      <c r="KQ113" s="40">
        <f t="shared" si="1777"/>
        <v>5.1599999999999993</v>
      </c>
      <c r="KS113" s="38">
        <f>2250+1500+800+2100+3150</f>
        <v>9800</v>
      </c>
      <c r="KT113" s="40">
        <f>7.5+5+3.2+7+10.5</f>
        <v>33.200000000000003</v>
      </c>
      <c r="KU113" s="38">
        <v>5</v>
      </c>
      <c r="KV113" s="40">
        <f t="shared" si="2062"/>
        <v>295.18072289156623</v>
      </c>
      <c r="KW113" s="40">
        <f t="shared" si="1779"/>
        <v>6.6400000000000006</v>
      </c>
      <c r="KY113" s="38"/>
      <c r="KZ113" s="40"/>
      <c r="LA113" s="38"/>
      <c r="LB113" s="40" t="e">
        <f t="shared" si="2063"/>
        <v>#DIV/0!</v>
      </c>
      <c r="LC113" s="40" t="e">
        <f t="shared" si="1781"/>
        <v>#DIV/0!</v>
      </c>
      <c r="LE113" s="38">
        <f>1100+1200+1400+1500+1800</f>
        <v>7000</v>
      </c>
      <c r="LF113" s="40">
        <f>5.5+6+7+7.5+9</f>
        <v>35</v>
      </c>
      <c r="LG113" s="38">
        <v>5</v>
      </c>
      <c r="LH113" s="40">
        <f t="shared" si="2064"/>
        <v>200</v>
      </c>
      <c r="LI113" s="40">
        <f t="shared" si="1783"/>
        <v>7</v>
      </c>
      <c r="LK113" s="38"/>
      <c r="LL113" s="40"/>
      <c r="LM113" s="38"/>
      <c r="LN113" s="40" t="e">
        <f t="shared" si="2065"/>
        <v>#DIV/0!</v>
      </c>
      <c r="LO113" s="40" t="e">
        <f t="shared" si="1785"/>
        <v>#DIV/0!</v>
      </c>
      <c r="LQ113" s="38"/>
      <c r="LR113" s="40"/>
      <c r="LS113" s="38"/>
      <c r="LT113" s="40" t="e">
        <f t="shared" si="2066"/>
        <v>#DIV/0!</v>
      </c>
      <c r="LU113" s="40" t="e">
        <f t="shared" si="1787"/>
        <v>#DIV/0!</v>
      </c>
      <c r="LW113" s="38"/>
      <c r="LX113" s="40"/>
      <c r="LY113" s="38"/>
      <c r="LZ113" s="40" t="e">
        <f t="shared" si="2067"/>
        <v>#DIV/0!</v>
      </c>
      <c r="MA113" s="40" t="e">
        <f t="shared" si="1789"/>
        <v>#DIV/0!</v>
      </c>
      <c r="MC113" s="38"/>
      <c r="MD113" s="40"/>
      <c r="ME113" s="38"/>
      <c r="MF113" s="40" t="e">
        <f t="shared" si="2068"/>
        <v>#DIV/0!</v>
      </c>
      <c r="MG113" s="40" t="e">
        <f t="shared" si="1791"/>
        <v>#DIV/0!</v>
      </c>
      <c r="MI113" s="38">
        <f>1250+2400+1450+1380+1900</f>
        <v>8380</v>
      </c>
      <c r="MJ113" s="40">
        <f>5+9.6+5.8+5.5+7.4</f>
        <v>33.299999999999997</v>
      </c>
      <c r="MK113" s="38">
        <v>5</v>
      </c>
      <c r="ML113" s="40">
        <f t="shared" si="2069"/>
        <v>251.65165165165166</v>
      </c>
      <c r="MM113" s="40">
        <f t="shared" si="1793"/>
        <v>6.6599999999999993</v>
      </c>
      <c r="MO113" s="38"/>
      <c r="MP113" s="40"/>
      <c r="MQ113" s="38"/>
      <c r="MR113" s="40" t="e">
        <f t="shared" si="2070"/>
        <v>#DIV/0!</v>
      </c>
      <c r="MS113" s="40" t="e">
        <f t="shared" si="1795"/>
        <v>#DIV/0!</v>
      </c>
      <c r="MU113" s="38"/>
      <c r="MV113" s="40"/>
      <c r="MW113" s="38"/>
      <c r="MX113" s="40" t="e">
        <f t="shared" si="2071"/>
        <v>#DIV/0!</v>
      </c>
      <c r="MY113" s="40" t="e">
        <f t="shared" si="1797"/>
        <v>#DIV/0!</v>
      </c>
      <c r="NA113" s="825">
        <f>1000+1660+1200+920+900</f>
        <v>5680</v>
      </c>
      <c r="NB113" s="826">
        <f>5+8.3+6+4.6+4.5</f>
        <v>28.4</v>
      </c>
      <c r="NC113" s="825">
        <v>5</v>
      </c>
      <c r="ND113" s="40">
        <f t="shared" si="2072"/>
        <v>200</v>
      </c>
      <c r="NE113" s="40">
        <f t="shared" si="1799"/>
        <v>5.68</v>
      </c>
      <c r="NG113" s="825">
        <f>1200+1000+1000+400+600</f>
        <v>4200</v>
      </c>
      <c r="NH113" s="826">
        <f>6+5+5+2+3</f>
        <v>21</v>
      </c>
      <c r="NI113" s="825">
        <v>5</v>
      </c>
      <c r="NJ113" s="40">
        <f t="shared" si="2073"/>
        <v>200</v>
      </c>
      <c r="NK113" s="40">
        <f t="shared" si="1801"/>
        <v>4.2</v>
      </c>
      <c r="NM113" s="825"/>
      <c r="NN113" s="826"/>
      <c r="NO113" s="825"/>
      <c r="NP113" s="40" t="e">
        <f t="shared" si="2074"/>
        <v>#DIV/0!</v>
      </c>
      <c r="NQ113" s="40" t="e">
        <f t="shared" si="1803"/>
        <v>#DIV/0!</v>
      </c>
      <c r="NS113" s="825"/>
      <c r="NT113" s="826"/>
      <c r="NU113" s="825"/>
      <c r="NV113" s="40" t="e">
        <f t="shared" si="2075"/>
        <v>#DIV/0!</v>
      </c>
      <c r="NW113" s="40" t="e">
        <f t="shared" si="1805"/>
        <v>#DIV/0!</v>
      </c>
      <c r="NY113" s="913"/>
      <c r="NZ113" s="914"/>
      <c r="OA113" s="918"/>
      <c r="OB113" s="40" t="e">
        <f t="shared" si="2076"/>
        <v>#DIV/0!</v>
      </c>
      <c r="OC113" s="40" t="e">
        <f t="shared" si="1807"/>
        <v>#DIV/0!</v>
      </c>
      <c r="OE113" s="825"/>
      <c r="OF113" s="826"/>
      <c r="OG113" s="825"/>
      <c r="OH113" s="40" t="e">
        <f t="shared" si="2077"/>
        <v>#DIV/0!</v>
      </c>
      <c r="OI113" s="40" t="e">
        <f t="shared" si="1809"/>
        <v>#DIV/0!</v>
      </c>
    </row>
    <row r="114" spans="2:399">
      <c r="B114" s="715" t="s">
        <v>376</v>
      </c>
      <c r="C114" s="720" t="s">
        <v>372</v>
      </c>
      <c r="D114" s="723" t="s">
        <v>14</v>
      </c>
      <c r="E114" s="725" t="s">
        <v>14</v>
      </c>
      <c r="F114" s="45"/>
      <c r="G114" s="46"/>
      <c r="H114" s="48"/>
      <c r="I114" s="48"/>
      <c r="K114" s="45"/>
      <c r="L114" s="45"/>
      <c r="M114" s="46"/>
      <c r="N114" s="48"/>
      <c r="O114" s="48"/>
      <c r="Q114" s="45"/>
      <c r="R114" s="45"/>
      <c r="S114" s="46"/>
      <c r="T114" s="48"/>
      <c r="U114" s="48"/>
      <c r="W114" s="45"/>
      <c r="X114" s="45"/>
      <c r="Y114" s="46"/>
      <c r="Z114" s="48"/>
      <c r="AA114" s="48"/>
      <c r="AC114" s="45"/>
      <c r="AD114" s="45"/>
      <c r="AE114" s="46"/>
      <c r="AF114" s="48"/>
      <c r="AG114" s="48"/>
      <c r="AI114" s="45"/>
      <c r="AJ114" s="45"/>
      <c r="AK114" s="46"/>
      <c r="AL114" s="48"/>
      <c r="AM114" s="48"/>
      <c r="AO114" s="45"/>
      <c r="AP114" s="45"/>
      <c r="AQ114" s="46"/>
      <c r="AR114" s="48"/>
      <c r="AS114" s="48"/>
      <c r="AU114" s="45"/>
      <c r="AV114" s="45"/>
      <c r="AW114" s="46"/>
      <c r="AX114" s="48"/>
      <c r="AY114" s="48"/>
      <c r="AZ114" s="593"/>
      <c r="BA114" s="45"/>
      <c r="BB114" s="45"/>
      <c r="BC114" s="46"/>
      <c r="BD114" s="48"/>
      <c r="BE114" s="48"/>
      <c r="BF114" s="593"/>
      <c r="BG114" s="45"/>
      <c r="BH114" s="45"/>
      <c r="BI114" s="46"/>
      <c r="BJ114" s="48"/>
      <c r="BK114" s="48"/>
      <c r="BL114" s="593"/>
      <c r="BM114" s="45"/>
      <c r="BN114" s="45"/>
      <c r="BO114" s="46"/>
      <c r="BP114" s="48"/>
      <c r="BQ114" s="48"/>
      <c r="BS114" s="45"/>
      <c r="BT114" s="45"/>
      <c r="BU114" s="46"/>
      <c r="BV114" s="48"/>
      <c r="BW114" s="48"/>
      <c r="BX114" s="593"/>
      <c r="BY114" s="45"/>
      <c r="BZ114" s="45"/>
      <c r="CA114" s="46"/>
      <c r="CB114" s="48"/>
      <c r="CC114" s="48"/>
      <c r="CD114" s="593"/>
      <c r="CE114" s="45"/>
      <c r="CF114" s="45"/>
      <c r="CG114" s="46"/>
      <c r="CH114" s="48"/>
      <c r="CI114" s="48"/>
      <c r="CJ114" s="593"/>
      <c r="CK114" s="45"/>
      <c r="CL114" s="45"/>
      <c r="CM114" s="46"/>
      <c r="CN114" s="48"/>
      <c r="CO114" s="48"/>
      <c r="CP114" s="593"/>
      <c r="CQ114" s="45"/>
      <c r="CR114" s="45"/>
      <c r="CS114" s="46"/>
      <c r="CT114" s="48"/>
      <c r="CU114" s="48"/>
      <c r="CV114" s="593"/>
      <c r="CW114" s="45"/>
      <c r="CX114" s="45"/>
      <c r="CY114" s="46"/>
      <c r="CZ114" s="48"/>
      <c r="DA114" s="48"/>
      <c r="DB114" s="593"/>
      <c r="DC114" s="45"/>
      <c r="DD114" s="45"/>
      <c r="DE114" s="46"/>
      <c r="DF114" s="48"/>
      <c r="DG114" s="48"/>
      <c r="DH114" s="593"/>
      <c r="DI114" s="45"/>
      <c r="DJ114" s="45"/>
      <c r="DK114" s="46"/>
      <c r="DL114" s="48"/>
      <c r="DM114" s="48"/>
      <c r="DN114" s="593"/>
      <c r="DO114" s="45"/>
      <c r="DP114" s="45"/>
      <c r="DQ114" s="46"/>
      <c r="DR114" s="48"/>
      <c r="DS114" s="48"/>
      <c r="DT114" s="593"/>
      <c r="DU114" s="45"/>
      <c r="DV114" s="45"/>
      <c r="DW114" s="46"/>
      <c r="DX114" s="48"/>
      <c r="DY114" s="48"/>
      <c r="DZ114" s="593"/>
      <c r="EA114" s="45"/>
      <c r="EB114" s="45"/>
      <c r="EC114" s="46"/>
      <c r="ED114" s="48"/>
      <c r="EE114" s="48"/>
      <c r="EF114" s="593"/>
      <c r="EG114" s="45"/>
      <c r="EH114" s="45"/>
      <c r="EI114" s="46"/>
      <c r="EJ114" s="48"/>
      <c r="EK114" s="48"/>
      <c r="EL114" s="593"/>
      <c r="EM114" s="45"/>
      <c r="EN114" s="45"/>
      <c r="EO114" s="46"/>
      <c r="EP114" s="48"/>
      <c r="EQ114" s="48"/>
      <c r="ES114" s="45"/>
      <c r="ET114" s="45"/>
      <c r="EU114" s="46"/>
      <c r="EV114" s="48"/>
      <c r="EW114" s="48"/>
      <c r="EY114" s="45"/>
      <c r="EZ114" s="45"/>
      <c r="FA114" s="45"/>
      <c r="FB114" s="48"/>
      <c r="FC114" s="48"/>
      <c r="FE114" s="46"/>
      <c r="FF114" s="46"/>
      <c r="FG114" s="46"/>
      <c r="FH114" s="48"/>
      <c r="FI114" s="48"/>
      <c r="FK114" s="38"/>
      <c r="FL114" s="40"/>
      <c r="FM114" s="38"/>
      <c r="FN114" s="40"/>
      <c r="FO114" s="40"/>
      <c r="FP114" s="231"/>
      <c r="FQ114" s="45"/>
      <c r="FR114" s="45"/>
      <c r="FS114" s="45"/>
      <c r="FT114" s="48"/>
      <c r="FU114" s="48"/>
      <c r="FW114" s="45"/>
      <c r="FX114" s="45"/>
      <c r="FY114" s="46"/>
      <c r="FZ114" s="48"/>
      <c r="GA114" s="48"/>
      <c r="GC114" s="26"/>
      <c r="GD114" s="45"/>
      <c r="GE114" s="45"/>
      <c r="GF114" s="48"/>
      <c r="GG114" s="48"/>
      <c r="GI114" s="45"/>
      <c r="GJ114" s="45"/>
      <c r="GK114" s="45"/>
      <c r="GL114" s="48"/>
      <c r="GM114" s="48"/>
      <c r="GO114" s="45"/>
      <c r="GP114" s="45"/>
      <c r="GQ114" s="45"/>
      <c r="GR114" s="48"/>
      <c r="GS114" s="48"/>
      <c r="GU114" s="99"/>
      <c r="GV114" s="99"/>
      <c r="GW114" s="100"/>
      <c r="GX114" s="101"/>
      <c r="GY114" s="101"/>
      <c r="GZ114" s="43"/>
      <c r="HA114" s="28"/>
      <c r="HB114" s="28"/>
      <c r="HC114" s="28"/>
      <c r="HD114" s="40"/>
      <c r="HE114" s="40"/>
      <c r="HG114" s="45"/>
      <c r="HH114" s="45"/>
      <c r="HI114" s="45"/>
      <c r="HJ114" s="48"/>
      <c r="HK114" s="48"/>
      <c r="HM114" s="45"/>
      <c r="HN114" s="45"/>
      <c r="HO114" s="46"/>
      <c r="HP114" s="48"/>
      <c r="HQ114" s="48"/>
      <c r="HS114" s="45"/>
      <c r="HT114" s="45"/>
      <c r="HU114" s="46"/>
      <c r="HV114" s="48"/>
      <c r="HW114" s="48"/>
      <c r="HX114" s="231"/>
      <c r="HY114" s="38"/>
      <c r="HZ114" s="40"/>
      <c r="IA114" s="38"/>
      <c r="IB114" s="40"/>
      <c r="IC114" s="40"/>
      <c r="IE114" s="38"/>
      <c r="IF114" s="40"/>
      <c r="IG114" s="38"/>
      <c r="IH114" s="40"/>
      <c r="II114" s="40"/>
      <c r="IK114" s="38"/>
      <c r="IL114" s="40"/>
      <c r="IM114" s="38"/>
      <c r="IN114" s="40"/>
      <c r="IO114" s="40"/>
      <c r="IQ114" s="38"/>
      <c r="IR114" s="40"/>
      <c r="IS114" s="38"/>
      <c r="IT114" s="40"/>
      <c r="IU114" s="40"/>
      <c r="IW114" s="38"/>
      <c r="IX114" s="40"/>
      <c r="IY114" s="38"/>
      <c r="IZ114" s="40"/>
      <c r="JA114" s="40"/>
      <c r="JC114" s="38"/>
      <c r="JD114" s="40"/>
      <c r="JE114" s="38"/>
      <c r="JF114" s="40"/>
      <c r="JG114" s="40"/>
      <c r="JI114" s="38"/>
      <c r="JJ114" s="40"/>
      <c r="JK114" s="38"/>
      <c r="JL114" s="40"/>
      <c r="JM114" s="40"/>
      <c r="JO114" s="741"/>
      <c r="JP114" s="742"/>
      <c r="JQ114" s="741"/>
      <c r="JR114" s="742" t="e">
        <f t="shared" si="2126"/>
        <v>#DIV/0!</v>
      </c>
      <c r="JS114" s="742" t="e">
        <f t="shared" si="2127"/>
        <v>#DIV/0!</v>
      </c>
      <c r="JU114" s="741">
        <f>300+200+500+100+300</f>
        <v>1400</v>
      </c>
      <c r="JV114" s="742">
        <f>2.12+1.37+3.1+1.28+2.15</f>
        <v>10.02</v>
      </c>
      <c r="JW114" s="741">
        <v>5</v>
      </c>
      <c r="JX114" s="742">
        <f t="shared" ref="JX114:JX124" si="2142">JU114/JV114</f>
        <v>139.72055888223554</v>
      </c>
      <c r="JY114" s="742">
        <f t="shared" ref="JY114:JY124" si="2143">JV114/JW114</f>
        <v>2.004</v>
      </c>
      <c r="KA114" s="741">
        <f>50+100+150+200+200</f>
        <v>700</v>
      </c>
      <c r="KB114" s="742">
        <f>1.1+0.92+0.78+0.94+0.85</f>
        <v>4.59</v>
      </c>
      <c r="KC114" s="741">
        <v>5</v>
      </c>
      <c r="KD114" s="742">
        <f t="shared" ref="KD114:KD115" si="2144">KA114/KB114</f>
        <v>152.50544662309369</v>
      </c>
      <c r="KE114" s="742">
        <f t="shared" ref="KE114:KE115" si="2145">KB114/KC114</f>
        <v>0.91799999999999993</v>
      </c>
      <c r="KG114" s="741">
        <f>300+150+100+50+500</f>
        <v>1100</v>
      </c>
      <c r="KH114" s="742">
        <f>1.56+0.99+0.8+0.61+1.87</f>
        <v>5.83</v>
      </c>
      <c r="KI114" s="741">
        <v>5</v>
      </c>
      <c r="KJ114" s="40">
        <f t="shared" si="2060"/>
        <v>188.67924528301887</v>
      </c>
      <c r="KK114" s="40">
        <f t="shared" si="1853"/>
        <v>1.1659999999999999</v>
      </c>
      <c r="KM114" s="741">
        <f>400+300+200+200+300</f>
        <v>1400</v>
      </c>
      <c r="KN114" s="742">
        <f>2.37+1.81+1.42+1.35+1.51</f>
        <v>8.4599999999999991</v>
      </c>
      <c r="KO114" s="741">
        <v>5</v>
      </c>
      <c r="KP114" s="40">
        <f t="shared" si="2061"/>
        <v>165.48463356973997</v>
      </c>
      <c r="KQ114" s="40">
        <f t="shared" si="1777"/>
        <v>1.6919999999999997</v>
      </c>
      <c r="KS114" s="741">
        <f>300+200+200+100+100</f>
        <v>900</v>
      </c>
      <c r="KT114" s="742">
        <f>1+0.77+0.66+0.46+0.43</f>
        <v>3.3200000000000003</v>
      </c>
      <c r="KU114" s="741">
        <v>5</v>
      </c>
      <c r="KV114" s="40">
        <f t="shared" si="2062"/>
        <v>271.08433734939757</v>
      </c>
      <c r="KW114" s="40">
        <f t="shared" si="1779"/>
        <v>0.66400000000000003</v>
      </c>
      <c r="KY114" s="741"/>
      <c r="KZ114" s="742"/>
      <c r="LA114" s="741"/>
      <c r="LB114" s="40" t="e">
        <f t="shared" si="2063"/>
        <v>#DIV/0!</v>
      </c>
      <c r="LC114" s="40" t="e">
        <f t="shared" si="1781"/>
        <v>#DIV/0!</v>
      </c>
      <c r="LE114" s="741">
        <f>100+200+300+200+400</f>
        <v>1200</v>
      </c>
      <c r="LF114" s="742">
        <f>1.5+1.31+2.58+0.77+3.46</f>
        <v>9.620000000000001</v>
      </c>
      <c r="LG114" s="741">
        <v>5</v>
      </c>
      <c r="LH114" s="40">
        <f t="shared" si="2064"/>
        <v>124.74012474012473</v>
      </c>
      <c r="LI114" s="40">
        <f t="shared" si="1783"/>
        <v>1.9240000000000002</v>
      </c>
      <c r="LK114" s="741"/>
      <c r="LL114" s="742"/>
      <c r="LM114" s="741"/>
      <c r="LN114" s="40" t="e">
        <f t="shared" si="2065"/>
        <v>#DIV/0!</v>
      </c>
      <c r="LO114" s="40" t="e">
        <f t="shared" si="1785"/>
        <v>#DIV/0!</v>
      </c>
      <c r="LQ114" s="741">
        <f>350+250+250+200+350</f>
        <v>1400</v>
      </c>
      <c r="LR114" s="742">
        <f>1.17+1.04+1.07+0.99+1.17</f>
        <v>5.44</v>
      </c>
      <c r="LS114" s="741">
        <v>5</v>
      </c>
      <c r="LT114" s="40">
        <f t="shared" si="2066"/>
        <v>257.35294117647055</v>
      </c>
      <c r="LU114" s="40">
        <f t="shared" si="1787"/>
        <v>1.0880000000000001</v>
      </c>
      <c r="LW114" s="741">
        <f>700+600+600+600+100</f>
        <v>2600</v>
      </c>
      <c r="LX114" s="742">
        <f>2.46+1.35+1.18+0.79</f>
        <v>5.78</v>
      </c>
      <c r="LY114" s="741">
        <v>5</v>
      </c>
      <c r="LZ114" s="40">
        <f t="shared" si="2067"/>
        <v>449.82698961937712</v>
      </c>
      <c r="MA114" s="40">
        <f t="shared" si="1789"/>
        <v>1.1560000000000001</v>
      </c>
      <c r="MC114" s="741"/>
      <c r="MD114" s="742"/>
      <c r="ME114" s="741"/>
      <c r="MF114" s="40" t="e">
        <f t="shared" si="2068"/>
        <v>#DIV/0!</v>
      </c>
      <c r="MG114" s="40" t="e">
        <f t="shared" si="1791"/>
        <v>#DIV/0!</v>
      </c>
      <c r="MI114" s="741">
        <f>200+300+300+300+500</f>
        <v>1600</v>
      </c>
      <c r="MJ114" s="742">
        <f>0.48+1.43+0.71+0.93+1.13</f>
        <v>4.68</v>
      </c>
      <c r="MK114" s="741">
        <v>5</v>
      </c>
      <c r="ML114" s="40">
        <f t="shared" si="2069"/>
        <v>341.88034188034192</v>
      </c>
      <c r="MM114" s="40">
        <f t="shared" si="1793"/>
        <v>0.93599999999999994</v>
      </c>
      <c r="MO114" s="741"/>
      <c r="MP114" s="742"/>
      <c r="MQ114" s="741"/>
      <c r="MR114" s="40" t="e">
        <f t="shared" si="2070"/>
        <v>#DIV/0!</v>
      </c>
      <c r="MS114" s="40" t="e">
        <f t="shared" si="1795"/>
        <v>#DIV/0!</v>
      </c>
      <c r="MU114" s="741"/>
      <c r="MV114" s="742"/>
      <c r="MW114" s="741"/>
      <c r="MX114" s="40" t="e">
        <f t="shared" si="2071"/>
        <v>#DIV/0!</v>
      </c>
      <c r="MY114" s="40" t="e">
        <f t="shared" si="1797"/>
        <v>#DIV/0!</v>
      </c>
      <c r="NA114" s="825">
        <f>100+50+30+150+100</f>
        <v>430</v>
      </c>
      <c r="NB114" s="827">
        <f>1.43+1.04+0.35+1.07+0.87</f>
        <v>4.76</v>
      </c>
      <c r="NC114" s="825">
        <v>5</v>
      </c>
      <c r="ND114" s="40">
        <f t="shared" si="2072"/>
        <v>90.336134453781511</v>
      </c>
      <c r="NE114" s="40">
        <f t="shared" si="1799"/>
        <v>0.95199999999999996</v>
      </c>
      <c r="NG114" s="825">
        <f>300+500+200+500+300</f>
        <v>1800</v>
      </c>
      <c r="NH114" s="827">
        <f>1.23+1.49+1+1.5+1.38</f>
        <v>6.6</v>
      </c>
      <c r="NI114" s="825">
        <v>5</v>
      </c>
      <c r="NJ114" s="40">
        <f t="shared" si="2073"/>
        <v>272.72727272727275</v>
      </c>
      <c r="NK114" s="40">
        <f t="shared" si="1801"/>
        <v>1.3199999999999998</v>
      </c>
      <c r="NM114" s="825">
        <f>300+200+300+200+200</f>
        <v>1200</v>
      </c>
      <c r="NN114" s="827">
        <f>1.64+0.89+1.35+0.96+0.95</f>
        <v>5.79</v>
      </c>
      <c r="NO114" s="825">
        <v>5</v>
      </c>
      <c r="NP114" s="40">
        <f t="shared" si="2074"/>
        <v>207.25388601036269</v>
      </c>
      <c r="NQ114" s="40">
        <f t="shared" si="1803"/>
        <v>1.1579999999999999</v>
      </c>
      <c r="NS114" s="906">
        <f>300+300+300+1000+300</f>
        <v>2200</v>
      </c>
      <c r="NT114" s="908">
        <f>0.79+1.4+0.89+2.51+0.99</f>
        <v>6.58</v>
      </c>
      <c r="NU114" s="825">
        <v>5</v>
      </c>
      <c r="NV114" s="40">
        <f t="shared" si="2075"/>
        <v>334.3465045592705</v>
      </c>
      <c r="NW114" s="40">
        <f t="shared" si="1805"/>
        <v>1.3160000000000001</v>
      </c>
      <c r="NY114" s="913">
        <f>300+200+100+50+300</f>
        <v>950</v>
      </c>
      <c r="NZ114" s="914">
        <f>1.75+1.65+1.25+1.01+1.75</f>
        <v>7.41</v>
      </c>
      <c r="OA114" s="918">
        <v>5</v>
      </c>
      <c r="OB114" s="40">
        <f t="shared" si="2076"/>
        <v>128.2051282051282</v>
      </c>
      <c r="OC114" s="40">
        <f t="shared" si="1807"/>
        <v>1.482</v>
      </c>
      <c r="OE114" s="825">
        <f>100+200+250+150+150</f>
        <v>850</v>
      </c>
      <c r="OF114" s="827">
        <f>1.35+1.73+4.23+1.52+1.49</f>
        <v>10.32</v>
      </c>
      <c r="OG114" s="825">
        <v>5</v>
      </c>
      <c r="OH114" s="40">
        <f t="shared" si="2077"/>
        <v>82.36434108527132</v>
      </c>
      <c r="OI114" s="40">
        <f t="shared" si="1809"/>
        <v>2.0640000000000001</v>
      </c>
    </row>
    <row r="115" spans="2:399">
      <c r="B115" s="715" t="s">
        <v>376</v>
      </c>
      <c r="C115" s="720" t="s">
        <v>373</v>
      </c>
      <c r="D115" s="723" t="s">
        <v>14</v>
      </c>
      <c r="E115" s="725" t="s">
        <v>14</v>
      </c>
      <c r="F115" s="45"/>
      <c r="G115" s="46"/>
      <c r="H115" s="48"/>
      <c r="I115" s="48"/>
      <c r="K115" s="45"/>
      <c r="L115" s="45"/>
      <c r="M115" s="46"/>
      <c r="N115" s="48"/>
      <c r="O115" s="48"/>
      <c r="Q115" s="45"/>
      <c r="R115" s="45"/>
      <c r="S115" s="46"/>
      <c r="T115" s="48"/>
      <c r="U115" s="48"/>
      <c r="W115" s="45"/>
      <c r="X115" s="45"/>
      <c r="Y115" s="46"/>
      <c r="Z115" s="48"/>
      <c r="AA115" s="48"/>
      <c r="AC115" s="45"/>
      <c r="AD115" s="45"/>
      <c r="AE115" s="46"/>
      <c r="AF115" s="48"/>
      <c r="AG115" s="48"/>
      <c r="AI115" s="45"/>
      <c r="AJ115" s="45"/>
      <c r="AK115" s="46"/>
      <c r="AL115" s="48"/>
      <c r="AM115" s="48"/>
      <c r="AO115" s="45"/>
      <c r="AP115" s="45"/>
      <c r="AQ115" s="46"/>
      <c r="AR115" s="48"/>
      <c r="AS115" s="48"/>
      <c r="AU115" s="45"/>
      <c r="AV115" s="45"/>
      <c r="AW115" s="46"/>
      <c r="AX115" s="48"/>
      <c r="AY115" s="48"/>
      <c r="AZ115" s="593"/>
      <c r="BA115" s="45"/>
      <c r="BB115" s="45"/>
      <c r="BC115" s="46"/>
      <c r="BD115" s="48"/>
      <c r="BE115" s="48"/>
      <c r="BF115" s="593"/>
      <c r="BG115" s="45"/>
      <c r="BH115" s="45"/>
      <c r="BI115" s="46"/>
      <c r="BJ115" s="48"/>
      <c r="BK115" s="48"/>
      <c r="BL115" s="593"/>
      <c r="BM115" s="45"/>
      <c r="BN115" s="45"/>
      <c r="BO115" s="46"/>
      <c r="BP115" s="48"/>
      <c r="BQ115" s="48"/>
      <c r="BS115" s="45"/>
      <c r="BT115" s="45"/>
      <c r="BU115" s="46"/>
      <c r="BV115" s="48"/>
      <c r="BW115" s="48"/>
      <c r="BX115" s="593"/>
      <c r="BY115" s="45"/>
      <c r="BZ115" s="45"/>
      <c r="CA115" s="46"/>
      <c r="CB115" s="48"/>
      <c r="CC115" s="48"/>
      <c r="CD115" s="593"/>
      <c r="CE115" s="45"/>
      <c r="CF115" s="45"/>
      <c r="CG115" s="46"/>
      <c r="CH115" s="48"/>
      <c r="CI115" s="48"/>
      <c r="CJ115" s="593"/>
      <c r="CK115" s="45"/>
      <c r="CL115" s="45"/>
      <c r="CM115" s="46"/>
      <c r="CN115" s="48"/>
      <c r="CO115" s="48"/>
      <c r="CP115" s="593"/>
      <c r="CQ115" s="45"/>
      <c r="CR115" s="45"/>
      <c r="CS115" s="46"/>
      <c r="CT115" s="48"/>
      <c r="CU115" s="48"/>
      <c r="CV115" s="593"/>
      <c r="CW115" s="45"/>
      <c r="CX115" s="45"/>
      <c r="CY115" s="46"/>
      <c r="CZ115" s="48"/>
      <c r="DA115" s="48"/>
      <c r="DB115" s="593"/>
      <c r="DC115" s="45"/>
      <c r="DD115" s="45"/>
      <c r="DE115" s="46"/>
      <c r="DF115" s="48"/>
      <c r="DG115" s="48"/>
      <c r="DH115" s="593"/>
      <c r="DI115" s="45"/>
      <c r="DJ115" s="45"/>
      <c r="DK115" s="46"/>
      <c r="DL115" s="48"/>
      <c r="DM115" s="48"/>
      <c r="DN115" s="593"/>
      <c r="DO115" s="45"/>
      <c r="DP115" s="45"/>
      <c r="DQ115" s="46"/>
      <c r="DR115" s="48"/>
      <c r="DS115" s="48"/>
      <c r="DT115" s="593"/>
      <c r="DU115" s="45"/>
      <c r="DV115" s="45"/>
      <c r="DW115" s="46"/>
      <c r="DX115" s="48"/>
      <c r="DY115" s="48"/>
      <c r="DZ115" s="593"/>
      <c r="EA115" s="45"/>
      <c r="EB115" s="45"/>
      <c r="EC115" s="46"/>
      <c r="ED115" s="48"/>
      <c r="EE115" s="48"/>
      <c r="EF115" s="593"/>
      <c r="EG115" s="45"/>
      <c r="EH115" s="45"/>
      <c r="EI115" s="46"/>
      <c r="EJ115" s="48"/>
      <c r="EK115" s="48"/>
      <c r="EL115" s="593"/>
      <c r="EM115" s="45"/>
      <c r="EN115" s="45"/>
      <c r="EO115" s="46"/>
      <c r="EP115" s="48"/>
      <c r="EQ115" s="48"/>
      <c r="ES115" s="45"/>
      <c r="ET115" s="45"/>
      <c r="EU115" s="46"/>
      <c r="EV115" s="48"/>
      <c r="EW115" s="48"/>
      <c r="EY115" s="45"/>
      <c r="EZ115" s="45"/>
      <c r="FA115" s="45"/>
      <c r="FB115" s="48"/>
      <c r="FC115" s="48"/>
      <c r="FE115" s="46"/>
      <c r="FF115" s="46"/>
      <c r="FG115" s="46"/>
      <c r="FH115" s="48"/>
      <c r="FI115" s="48"/>
      <c r="FK115" s="38"/>
      <c r="FL115" s="40"/>
      <c r="FM115" s="38"/>
      <c r="FN115" s="40"/>
      <c r="FO115" s="40"/>
      <c r="FP115" s="231"/>
      <c r="FQ115" s="45"/>
      <c r="FR115" s="45"/>
      <c r="FS115" s="45"/>
      <c r="FT115" s="48"/>
      <c r="FU115" s="48"/>
      <c r="FW115" s="45"/>
      <c r="FX115" s="45"/>
      <c r="FY115" s="46"/>
      <c r="FZ115" s="48"/>
      <c r="GA115" s="48"/>
      <c r="GC115" s="26"/>
      <c r="GD115" s="45"/>
      <c r="GE115" s="45"/>
      <c r="GF115" s="48"/>
      <c r="GG115" s="48"/>
      <c r="GI115" s="45"/>
      <c r="GJ115" s="45"/>
      <c r="GK115" s="45"/>
      <c r="GL115" s="48"/>
      <c r="GM115" s="48"/>
      <c r="GO115" s="45"/>
      <c r="GP115" s="45"/>
      <c r="GQ115" s="45"/>
      <c r="GR115" s="48"/>
      <c r="GS115" s="48"/>
      <c r="GU115" s="99"/>
      <c r="GV115" s="99"/>
      <c r="GW115" s="100"/>
      <c r="GX115" s="101"/>
      <c r="GY115" s="101"/>
      <c r="GZ115" s="43"/>
      <c r="HA115" s="28"/>
      <c r="HB115" s="28"/>
      <c r="HC115" s="28"/>
      <c r="HD115" s="40"/>
      <c r="HE115" s="40"/>
      <c r="HG115" s="45"/>
      <c r="HH115" s="45"/>
      <c r="HI115" s="45"/>
      <c r="HJ115" s="48"/>
      <c r="HK115" s="48"/>
      <c r="HM115" s="45"/>
      <c r="HN115" s="45"/>
      <c r="HO115" s="46"/>
      <c r="HP115" s="48"/>
      <c r="HQ115" s="48"/>
      <c r="HS115" s="45"/>
      <c r="HT115" s="45"/>
      <c r="HU115" s="46"/>
      <c r="HV115" s="48"/>
      <c r="HW115" s="48"/>
      <c r="HX115" s="231"/>
      <c r="HY115" s="38"/>
      <c r="HZ115" s="40"/>
      <c r="IA115" s="38"/>
      <c r="IB115" s="40"/>
      <c r="IC115" s="40"/>
      <c r="IE115" s="38"/>
      <c r="IF115" s="40"/>
      <c r="IG115" s="38"/>
      <c r="IH115" s="40"/>
      <c r="II115" s="40"/>
      <c r="IK115" s="38"/>
      <c r="IL115" s="40"/>
      <c r="IM115" s="38"/>
      <c r="IN115" s="40"/>
      <c r="IO115" s="40"/>
      <c r="IQ115" s="38"/>
      <c r="IR115" s="40"/>
      <c r="IS115" s="38"/>
      <c r="IT115" s="40"/>
      <c r="IU115" s="40"/>
      <c r="IW115" s="38"/>
      <c r="IX115" s="40"/>
      <c r="IY115" s="38"/>
      <c r="IZ115" s="40"/>
      <c r="JA115" s="40"/>
      <c r="JC115" s="38"/>
      <c r="JD115" s="40"/>
      <c r="JE115" s="38"/>
      <c r="JF115" s="40"/>
      <c r="JG115" s="40"/>
      <c r="JI115" s="38"/>
      <c r="JJ115" s="40"/>
      <c r="JK115" s="38"/>
      <c r="JL115" s="40"/>
      <c r="JM115" s="40"/>
      <c r="JO115" s="741"/>
      <c r="JP115" s="742"/>
      <c r="JQ115" s="741"/>
      <c r="JR115" s="742" t="e">
        <f t="shared" si="2126"/>
        <v>#DIV/0!</v>
      </c>
      <c r="JS115" s="742" t="e">
        <f t="shared" si="2127"/>
        <v>#DIV/0!</v>
      </c>
      <c r="JU115" s="741">
        <f>250+250+250+250+250</f>
        <v>1250</v>
      </c>
      <c r="JV115" s="742">
        <f>0.89+0.93+0.83+0.82+0.81</f>
        <v>4.2799999999999994</v>
      </c>
      <c r="JW115" s="741">
        <v>5</v>
      </c>
      <c r="JX115" s="742">
        <f t="shared" si="2142"/>
        <v>292.05607476635521</v>
      </c>
      <c r="JY115" s="742">
        <f t="shared" si="2143"/>
        <v>0.85599999999999987</v>
      </c>
      <c r="KA115" s="741">
        <f>200+200+200+200+200</f>
        <v>1000</v>
      </c>
      <c r="KB115" s="742">
        <f>1.1+0.92+0.78+0.94+0.85</f>
        <v>4.59</v>
      </c>
      <c r="KC115" s="741">
        <v>5</v>
      </c>
      <c r="KD115" s="742">
        <f t="shared" si="2144"/>
        <v>217.86492374727669</v>
      </c>
      <c r="KE115" s="742">
        <f t="shared" si="2145"/>
        <v>0.91799999999999993</v>
      </c>
      <c r="KG115" s="741">
        <f>200+200+200+200+200</f>
        <v>1000</v>
      </c>
      <c r="KH115" s="742">
        <f>1.23+1.2+1.21+1.23+1.2</f>
        <v>6.0699999999999994</v>
      </c>
      <c r="KI115" s="741">
        <v>5</v>
      </c>
      <c r="KJ115" s="40">
        <f t="shared" si="2060"/>
        <v>164.74464579901155</v>
      </c>
      <c r="KK115" s="40">
        <f t="shared" si="1853"/>
        <v>1.214</v>
      </c>
      <c r="KM115" s="741">
        <f>200+200+200+200+200</f>
        <v>1000</v>
      </c>
      <c r="KN115" s="742">
        <f>0.65+0.58+0.6+0.62+0.64</f>
        <v>3.0900000000000003</v>
      </c>
      <c r="KO115" s="741">
        <v>5</v>
      </c>
      <c r="KP115" s="40">
        <f t="shared" si="2061"/>
        <v>323.62459546925561</v>
      </c>
      <c r="KQ115" s="40">
        <f t="shared" si="1777"/>
        <v>0.6180000000000001</v>
      </c>
      <c r="KS115" s="741">
        <f>200+200+200+150+150</f>
        <v>900</v>
      </c>
      <c r="KT115" s="742">
        <f>1.43+1.35+1.4+0.54+0.99</f>
        <v>5.71</v>
      </c>
      <c r="KU115" s="741">
        <v>5</v>
      </c>
      <c r="KV115" s="40">
        <f t="shared" si="2062"/>
        <v>157.61821366024517</v>
      </c>
      <c r="KW115" s="40">
        <f t="shared" si="1779"/>
        <v>1.1419999999999999</v>
      </c>
      <c r="KY115" s="741"/>
      <c r="KZ115" s="742"/>
      <c r="LA115" s="741"/>
      <c r="LB115" s="40" t="e">
        <f t="shared" si="2063"/>
        <v>#DIV/0!</v>
      </c>
      <c r="LC115" s="40" t="e">
        <f t="shared" si="1781"/>
        <v>#DIV/0!</v>
      </c>
      <c r="LE115" s="741">
        <f>200+200+200+200+200</f>
        <v>1000</v>
      </c>
      <c r="LF115" s="742">
        <f>0.87+0.88+0.21+0.07+0.11</f>
        <v>2.1399999999999997</v>
      </c>
      <c r="LG115" s="741">
        <v>5</v>
      </c>
      <c r="LH115" s="40">
        <f t="shared" si="2064"/>
        <v>467.28971962616828</v>
      </c>
      <c r="LI115" s="40">
        <f t="shared" si="1783"/>
        <v>0.42799999999999994</v>
      </c>
      <c r="LK115" s="741"/>
      <c r="LL115" s="742"/>
      <c r="LM115" s="741"/>
      <c r="LN115" s="40" t="e">
        <f t="shared" si="2065"/>
        <v>#DIV/0!</v>
      </c>
      <c r="LO115" s="40" t="e">
        <f t="shared" si="1785"/>
        <v>#DIV/0!</v>
      </c>
      <c r="LQ115" s="741">
        <f>100+100+100</f>
        <v>300</v>
      </c>
      <c r="LR115" s="742">
        <f>0.6+0.63+0.71</f>
        <v>1.94</v>
      </c>
      <c r="LS115" s="741">
        <v>3</v>
      </c>
      <c r="LT115" s="40">
        <f t="shared" si="2066"/>
        <v>154.63917525773195</v>
      </c>
      <c r="LU115" s="40">
        <f t="shared" si="1787"/>
        <v>0.64666666666666661</v>
      </c>
      <c r="LW115" s="741"/>
      <c r="LX115" s="742"/>
      <c r="LY115" s="741"/>
      <c r="LZ115" s="40" t="e">
        <f t="shared" si="2067"/>
        <v>#DIV/0!</v>
      </c>
      <c r="MA115" s="40" t="e">
        <f t="shared" si="1789"/>
        <v>#DIV/0!</v>
      </c>
      <c r="MC115" s="741"/>
      <c r="MD115" s="742"/>
      <c r="ME115" s="741"/>
      <c r="MF115" s="40" t="e">
        <f t="shared" si="2068"/>
        <v>#DIV/0!</v>
      </c>
      <c r="MG115" s="40" t="e">
        <f t="shared" si="1791"/>
        <v>#DIV/0!</v>
      </c>
      <c r="MI115" s="741">
        <f>200+200+200+200+200</f>
        <v>1000</v>
      </c>
      <c r="MJ115" s="742">
        <f>1.19+1.32+1.16+1.71+1.64</f>
        <v>7.02</v>
      </c>
      <c r="MK115" s="741">
        <v>5</v>
      </c>
      <c r="ML115" s="40">
        <f t="shared" si="2069"/>
        <v>142.45014245014247</v>
      </c>
      <c r="MM115" s="40">
        <f t="shared" si="1793"/>
        <v>1.4039999999999999</v>
      </c>
      <c r="MO115" s="741"/>
      <c r="MP115" s="742"/>
      <c r="MQ115" s="741"/>
      <c r="MR115" s="40" t="e">
        <f t="shared" si="2070"/>
        <v>#DIV/0!</v>
      </c>
      <c r="MS115" s="40" t="e">
        <f t="shared" si="1795"/>
        <v>#DIV/0!</v>
      </c>
      <c r="MU115" s="741"/>
      <c r="MV115" s="742"/>
      <c r="MW115" s="741"/>
      <c r="MX115" s="40" t="e">
        <f t="shared" si="2071"/>
        <v>#DIV/0!</v>
      </c>
      <c r="MY115" s="40" t="e">
        <f t="shared" si="1797"/>
        <v>#DIV/0!</v>
      </c>
      <c r="NA115" s="825"/>
      <c r="NB115" s="827"/>
      <c r="NC115" s="825"/>
      <c r="ND115" s="40" t="e">
        <f t="shared" si="2072"/>
        <v>#DIV/0!</v>
      </c>
      <c r="NE115" s="40" t="e">
        <f t="shared" si="1799"/>
        <v>#DIV/0!</v>
      </c>
      <c r="NG115" s="825">
        <f>100+100+100+100+100</f>
        <v>500</v>
      </c>
      <c r="NH115" s="827">
        <f>1+1+1+1+1</f>
        <v>5</v>
      </c>
      <c r="NI115" s="825">
        <v>5</v>
      </c>
      <c r="NJ115" s="40">
        <f t="shared" si="2073"/>
        <v>100</v>
      </c>
      <c r="NK115" s="40">
        <f t="shared" si="1801"/>
        <v>1</v>
      </c>
      <c r="NM115" s="825">
        <f>200+200+200+200+200</f>
        <v>1000</v>
      </c>
      <c r="NN115" s="827">
        <f>0.74+10.91+1.08+1.3+1.13</f>
        <v>15.16</v>
      </c>
      <c r="NO115" s="825">
        <v>5</v>
      </c>
      <c r="NP115" s="40">
        <f t="shared" si="2074"/>
        <v>65.963060686015837</v>
      </c>
      <c r="NQ115" s="40">
        <f t="shared" si="1803"/>
        <v>3.032</v>
      </c>
      <c r="NS115" s="904">
        <f>200+200+200+200+200</f>
        <v>1000</v>
      </c>
      <c r="NT115" s="909">
        <f>0.85+0.73+1.3+1.19+1.22</f>
        <v>5.29</v>
      </c>
      <c r="NU115" s="825">
        <v>5</v>
      </c>
      <c r="NV115" s="40">
        <f t="shared" si="2075"/>
        <v>189.03591682419659</v>
      </c>
      <c r="NW115" s="40">
        <f t="shared" si="1805"/>
        <v>1.0580000000000001</v>
      </c>
      <c r="NY115" s="913">
        <f>200+200+200+200+200</f>
        <v>1000</v>
      </c>
      <c r="NZ115" s="914">
        <f>0.45+0.56+0.55+0.58+0.6</f>
        <v>2.74</v>
      </c>
      <c r="OA115" s="918">
        <v>5</v>
      </c>
      <c r="OB115" s="40">
        <f t="shared" si="2076"/>
        <v>364.96350364963502</v>
      </c>
      <c r="OC115" s="40">
        <f t="shared" si="1807"/>
        <v>0.54800000000000004</v>
      </c>
      <c r="OE115" s="825">
        <f>200+200+200+200+200</f>
        <v>1000</v>
      </c>
      <c r="OF115" s="827">
        <f>0.82+0.85+0.83+0.92+0.89</f>
        <v>4.3099999999999996</v>
      </c>
      <c r="OG115" s="825">
        <v>5</v>
      </c>
      <c r="OH115" s="40">
        <f t="shared" si="2077"/>
        <v>232.01856148491882</v>
      </c>
      <c r="OI115" s="40">
        <f t="shared" si="1809"/>
        <v>0.86199999999999988</v>
      </c>
    </row>
    <row r="116" spans="2:399">
      <c r="B116" s="715" t="s">
        <v>376</v>
      </c>
      <c r="C116" s="720" t="s">
        <v>374</v>
      </c>
      <c r="D116" s="723" t="s">
        <v>14</v>
      </c>
      <c r="E116" s="725" t="s">
        <v>14</v>
      </c>
      <c r="F116" s="45"/>
      <c r="G116" s="46"/>
      <c r="H116" s="48"/>
      <c r="I116" s="48"/>
      <c r="K116" s="45"/>
      <c r="L116" s="45"/>
      <c r="M116" s="46"/>
      <c r="N116" s="48"/>
      <c r="O116" s="48"/>
      <c r="Q116" s="45"/>
      <c r="R116" s="45"/>
      <c r="S116" s="46"/>
      <c r="T116" s="48"/>
      <c r="U116" s="48"/>
      <c r="W116" s="45"/>
      <c r="X116" s="45"/>
      <c r="Y116" s="46"/>
      <c r="Z116" s="48"/>
      <c r="AA116" s="48"/>
      <c r="AC116" s="45"/>
      <c r="AD116" s="45"/>
      <c r="AE116" s="46"/>
      <c r="AF116" s="48"/>
      <c r="AG116" s="48"/>
      <c r="AI116" s="45"/>
      <c r="AJ116" s="45"/>
      <c r="AK116" s="46"/>
      <c r="AL116" s="48"/>
      <c r="AM116" s="48"/>
      <c r="AO116" s="45"/>
      <c r="AP116" s="45"/>
      <c r="AQ116" s="46"/>
      <c r="AR116" s="48"/>
      <c r="AS116" s="48"/>
      <c r="AU116" s="45"/>
      <c r="AV116" s="45"/>
      <c r="AW116" s="46"/>
      <c r="AX116" s="48"/>
      <c r="AY116" s="48"/>
      <c r="AZ116" s="593"/>
      <c r="BA116" s="45"/>
      <c r="BB116" s="45"/>
      <c r="BC116" s="46"/>
      <c r="BD116" s="48"/>
      <c r="BE116" s="48"/>
      <c r="BF116" s="593"/>
      <c r="BG116" s="45"/>
      <c r="BH116" s="45"/>
      <c r="BI116" s="46"/>
      <c r="BJ116" s="48"/>
      <c r="BK116" s="48"/>
      <c r="BL116" s="593"/>
      <c r="BM116" s="45"/>
      <c r="BN116" s="45"/>
      <c r="BO116" s="46"/>
      <c r="BP116" s="48"/>
      <c r="BQ116" s="48"/>
      <c r="BS116" s="45"/>
      <c r="BT116" s="45"/>
      <c r="BU116" s="46"/>
      <c r="BV116" s="48"/>
      <c r="BW116" s="48"/>
      <c r="BX116" s="593"/>
      <c r="BY116" s="45"/>
      <c r="BZ116" s="45"/>
      <c r="CA116" s="46"/>
      <c r="CB116" s="48"/>
      <c r="CC116" s="48"/>
      <c r="CD116" s="593"/>
      <c r="CE116" s="45"/>
      <c r="CF116" s="45"/>
      <c r="CG116" s="46"/>
      <c r="CH116" s="48"/>
      <c r="CI116" s="48"/>
      <c r="CJ116" s="593"/>
      <c r="CK116" s="45"/>
      <c r="CL116" s="45"/>
      <c r="CM116" s="46"/>
      <c r="CN116" s="48"/>
      <c r="CO116" s="48"/>
      <c r="CP116" s="593"/>
      <c r="CQ116" s="45"/>
      <c r="CR116" s="45"/>
      <c r="CS116" s="46"/>
      <c r="CT116" s="48"/>
      <c r="CU116" s="48"/>
      <c r="CV116" s="593"/>
      <c r="CW116" s="45"/>
      <c r="CX116" s="45"/>
      <c r="CY116" s="46"/>
      <c r="CZ116" s="48"/>
      <c r="DA116" s="48"/>
      <c r="DB116" s="593"/>
      <c r="DC116" s="45"/>
      <c r="DD116" s="45"/>
      <c r="DE116" s="46"/>
      <c r="DF116" s="48"/>
      <c r="DG116" s="48"/>
      <c r="DH116" s="593"/>
      <c r="DI116" s="45"/>
      <c r="DJ116" s="45"/>
      <c r="DK116" s="46"/>
      <c r="DL116" s="48"/>
      <c r="DM116" s="48"/>
      <c r="DN116" s="593"/>
      <c r="DO116" s="45"/>
      <c r="DP116" s="45"/>
      <c r="DQ116" s="46"/>
      <c r="DR116" s="48"/>
      <c r="DS116" s="48"/>
      <c r="DT116" s="593"/>
      <c r="DU116" s="45"/>
      <c r="DV116" s="45"/>
      <c r="DW116" s="46"/>
      <c r="DX116" s="48"/>
      <c r="DY116" s="48"/>
      <c r="DZ116" s="593"/>
      <c r="EA116" s="45"/>
      <c r="EB116" s="45"/>
      <c r="EC116" s="46"/>
      <c r="ED116" s="48"/>
      <c r="EE116" s="48"/>
      <c r="EF116" s="593"/>
      <c r="EG116" s="45"/>
      <c r="EH116" s="45"/>
      <c r="EI116" s="46"/>
      <c r="EJ116" s="48"/>
      <c r="EK116" s="48"/>
      <c r="EL116" s="593"/>
      <c r="EM116" s="45"/>
      <c r="EN116" s="45"/>
      <c r="EO116" s="46"/>
      <c r="EP116" s="48"/>
      <c r="EQ116" s="48"/>
      <c r="ES116" s="45"/>
      <c r="ET116" s="45"/>
      <c r="EU116" s="46"/>
      <c r="EV116" s="48"/>
      <c r="EW116" s="48"/>
      <c r="EY116" s="45"/>
      <c r="EZ116" s="45"/>
      <c r="FA116" s="45"/>
      <c r="FB116" s="48"/>
      <c r="FC116" s="48"/>
      <c r="FE116" s="46"/>
      <c r="FF116" s="46"/>
      <c r="FG116" s="46"/>
      <c r="FH116" s="48"/>
      <c r="FI116" s="48"/>
      <c r="FK116" s="38"/>
      <c r="FL116" s="40"/>
      <c r="FM116" s="38"/>
      <c r="FN116" s="40"/>
      <c r="FO116" s="40"/>
      <c r="FP116" s="231"/>
      <c r="FQ116" s="45"/>
      <c r="FR116" s="45"/>
      <c r="FS116" s="45"/>
      <c r="FT116" s="48"/>
      <c r="FU116" s="48"/>
      <c r="FW116" s="45"/>
      <c r="FX116" s="45"/>
      <c r="FY116" s="46"/>
      <c r="FZ116" s="48"/>
      <c r="GA116" s="48"/>
      <c r="GC116" s="26"/>
      <c r="GD116" s="45"/>
      <c r="GE116" s="45"/>
      <c r="GF116" s="48"/>
      <c r="GG116" s="48"/>
      <c r="GI116" s="45"/>
      <c r="GJ116" s="45"/>
      <c r="GK116" s="45"/>
      <c r="GL116" s="48"/>
      <c r="GM116" s="48"/>
      <c r="GO116" s="45"/>
      <c r="GP116" s="45"/>
      <c r="GQ116" s="45"/>
      <c r="GR116" s="48"/>
      <c r="GS116" s="48"/>
      <c r="GU116" s="99"/>
      <c r="GV116" s="99"/>
      <c r="GW116" s="100"/>
      <c r="GX116" s="101"/>
      <c r="GY116" s="101"/>
      <c r="GZ116" s="43"/>
      <c r="HA116" s="28"/>
      <c r="HB116" s="28"/>
      <c r="HC116" s="28"/>
      <c r="HD116" s="40"/>
      <c r="HE116" s="40"/>
      <c r="HG116" s="45"/>
      <c r="HH116" s="45"/>
      <c r="HI116" s="45"/>
      <c r="HJ116" s="48"/>
      <c r="HK116" s="48"/>
      <c r="HM116" s="45"/>
      <c r="HN116" s="45"/>
      <c r="HO116" s="46"/>
      <c r="HP116" s="48"/>
      <c r="HQ116" s="48"/>
      <c r="HS116" s="45"/>
      <c r="HT116" s="45"/>
      <c r="HU116" s="46"/>
      <c r="HV116" s="48"/>
      <c r="HW116" s="48"/>
      <c r="HX116" s="231"/>
      <c r="HY116" s="38"/>
      <c r="HZ116" s="40"/>
      <c r="IA116" s="38"/>
      <c r="IB116" s="40"/>
      <c r="IC116" s="40"/>
      <c r="IE116" s="38"/>
      <c r="IF116" s="40"/>
      <c r="IG116" s="38"/>
      <c r="IH116" s="40"/>
      <c r="II116" s="40"/>
      <c r="IK116" s="38"/>
      <c r="IL116" s="40"/>
      <c r="IM116" s="38"/>
      <c r="IN116" s="40"/>
      <c r="IO116" s="40"/>
      <c r="IQ116" s="38"/>
      <c r="IR116" s="40"/>
      <c r="IS116" s="38"/>
      <c r="IT116" s="40"/>
      <c r="IU116" s="40"/>
      <c r="IW116" s="38"/>
      <c r="IX116" s="40"/>
      <c r="IY116" s="38"/>
      <c r="IZ116" s="40"/>
      <c r="JA116" s="40"/>
      <c r="JC116" s="38"/>
      <c r="JD116" s="40"/>
      <c r="JE116" s="38"/>
      <c r="JF116" s="40"/>
      <c r="JG116" s="40"/>
      <c r="JI116" s="38"/>
      <c r="JJ116" s="40"/>
      <c r="JK116" s="38"/>
      <c r="JL116" s="40"/>
      <c r="JM116" s="40"/>
      <c r="JO116" s="741"/>
      <c r="JP116" s="742"/>
      <c r="JQ116" s="741"/>
      <c r="JR116" s="742" t="e">
        <f t="shared" si="2126"/>
        <v>#DIV/0!</v>
      </c>
      <c r="JS116" s="742" t="e">
        <f t="shared" si="2127"/>
        <v>#DIV/0!</v>
      </c>
      <c r="JU116" s="741"/>
      <c r="JV116" s="742"/>
      <c r="JW116" s="741"/>
      <c r="JX116" s="742"/>
      <c r="JY116" s="742"/>
      <c r="KA116" s="741"/>
      <c r="KB116" s="742"/>
      <c r="KC116" s="741"/>
      <c r="KD116" s="742"/>
      <c r="KE116" s="742"/>
      <c r="KG116" s="741"/>
      <c r="KH116" s="742"/>
      <c r="KI116" s="741"/>
      <c r="KJ116" s="40" t="e">
        <f t="shared" si="2060"/>
        <v>#DIV/0!</v>
      </c>
      <c r="KK116" s="40" t="e">
        <f t="shared" si="1853"/>
        <v>#DIV/0!</v>
      </c>
      <c r="KM116" s="741"/>
      <c r="KN116" s="742"/>
      <c r="KO116" s="741"/>
      <c r="KP116" s="40" t="e">
        <f t="shared" si="2061"/>
        <v>#DIV/0!</v>
      </c>
      <c r="KQ116" s="40" t="e">
        <f t="shared" si="1777"/>
        <v>#DIV/0!</v>
      </c>
      <c r="KS116" s="741"/>
      <c r="KT116" s="742"/>
      <c r="KU116" s="741"/>
      <c r="KV116" s="40" t="e">
        <f t="shared" si="2062"/>
        <v>#DIV/0!</v>
      </c>
      <c r="KW116" s="40" t="e">
        <f t="shared" si="1779"/>
        <v>#DIV/0!</v>
      </c>
      <c r="KY116" s="741"/>
      <c r="KZ116" s="742"/>
      <c r="LA116" s="741"/>
      <c r="LB116" s="40" t="e">
        <f t="shared" si="2063"/>
        <v>#DIV/0!</v>
      </c>
      <c r="LC116" s="40" t="e">
        <f t="shared" si="1781"/>
        <v>#DIV/0!</v>
      </c>
      <c r="LE116" s="741"/>
      <c r="LF116" s="742"/>
      <c r="LG116" s="741"/>
      <c r="LH116" s="40" t="e">
        <f t="shared" si="2064"/>
        <v>#DIV/0!</v>
      </c>
      <c r="LI116" s="40" t="e">
        <f t="shared" si="1783"/>
        <v>#DIV/0!</v>
      </c>
      <c r="LK116" s="741"/>
      <c r="LL116" s="742"/>
      <c r="LM116" s="741"/>
      <c r="LN116" s="40" t="e">
        <f t="shared" si="2065"/>
        <v>#DIV/0!</v>
      </c>
      <c r="LO116" s="40" t="e">
        <f t="shared" si="1785"/>
        <v>#DIV/0!</v>
      </c>
      <c r="LQ116" s="741"/>
      <c r="LR116" s="742"/>
      <c r="LS116" s="741"/>
      <c r="LT116" s="40" t="e">
        <f t="shared" si="2066"/>
        <v>#DIV/0!</v>
      </c>
      <c r="LU116" s="40" t="e">
        <f t="shared" si="1787"/>
        <v>#DIV/0!</v>
      </c>
      <c r="LW116" s="741"/>
      <c r="LX116" s="742"/>
      <c r="LY116" s="741"/>
      <c r="LZ116" s="40" t="e">
        <f t="shared" si="2067"/>
        <v>#DIV/0!</v>
      </c>
      <c r="MA116" s="40" t="e">
        <f t="shared" si="1789"/>
        <v>#DIV/0!</v>
      </c>
      <c r="MC116" s="741"/>
      <c r="MD116" s="742"/>
      <c r="ME116" s="741"/>
      <c r="MF116" s="40" t="e">
        <f t="shared" si="2068"/>
        <v>#DIV/0!</v>
      </c>
      <c r="MG116" s="40" t="e">
        <f t="shared" si="1791"/>
        <v>#DIV/0!</v>
      </c>
      <c r="MI116" s="741"/>
      <c r="MJ116" s="742"/>
      <c r="MK116" s="741"/>
      <c r="ML116" s="40" t="e">
        <f t="shared" si="2069"/>
        <v>#DIV/0!</v>
      </c>
      <c r="MM116" s="40" t="e">
        <f t="shared" si="1793"/>
        <v>#DIV/0!</v>
      </c>
      <c r="MO116" s="741"/>
      <c r="MP116" s="742"/>
      <c r="MQ116" s="741"/>
      <c r="MR116" s="40" t="e">
        <f t="shared" si="2070"/>
        <v>#DIV/0!</v>
      </c>
      <c r="MS116" s="40" t="e">
        <f t="shared" si="1795"/>
        <v>#DIV/0!</v>
      </c>
      <c r="MU116" s="741"/>
      <c r="MV116" s="742"/>
      <c r="MW116" s="741"/>
      <c r="MX116" s="40" t="e">
        <f t="shared" si="2071"/>
        <v>#DIV/0!</v>
      </c>
      <c r="MY116" s="40" t="e">
        <f t="shared" si="1797"/>
        <v>#DIV/0!</v>
      </c>
      <c r="NA116" s="825"/>
      <c r="NB116" s="827"/>
      <c r="NC116" s="825"/>
      <c r="ND116" s="40" t="e">
        <f t="shared" si="2072"/>
        <v>#DIV/0!</v>
      </c>
      <c r="NE116" s="40" t="e">
        <f t="shared" si="1799"/>
        <v>#DIV/0!</v>
      </c>
      <c r="NG116" s="825"/>
      <c r="NH116" s="827"/>
      <c r="NI116" s="825"/>
      <c r="NJ116" s="40" t="e">
        <f t="shared" si="2073"/>
        <v>#DIV/0!</v>
      </c>
      <c r="NK116" s="40" t="e">
        <f t="shared" si="1801"/>
        <v>#DIV/0!</v>
      </c>
      <c r="NM116" s="825">
        <f>50+50+70+70+30</f>
        <v>270</v>
      </c>
      <c r="NN116" s="827">
        <f>0.22+0.22+0.65+0.65+0.19</f>
        <v>1.9300000000000002</v>
      </c>
      <c r="NO116" s="825">
        <v>5</v>
      </c>
      <c r="NP116" s="40">
        <f t="shared" si="2074"/>
        <v>139.8963730569948</v>
      </c>
      <c r="NQ116" s="40">
        <f t="shared" si="1803"/>
        <v>0.38600000000000001</v>
      </c>
      <c r="NS116" s="906">
        <f>100+100+50+50+100</f>
        <v>400</v>
      </c>
      <c r="NT116" s="908">
        <f>0.2+0.25+0.14+0.19+0.21</f>
        <v>0.99</v>
      </c>
      <c r="NU116" s="825">
        <v>5</v>
      </c>
      <c r="NV116" s="40">
        <f t="shared" si="2075"/>
        <v>404.04040404040404</v>
      </c>
      <c r="NW116" s="40">
        <f t="shared" si="1805"/>
        <v>0.19800000000000001</v>
      </c>
      <c r="NY116" s="913">
        <f>100+100+50+30+50</f>
        <v>330</v>
      </c>
      <c r="NZ116" s="914">
        <f>0.32+0.3+0.26+0.2+0.3</f>
        <v>1.3800000000000001</v>
      </c>
      <c r="OA116" s="918">
        <v>5</v>
      </c>
      <c r="OB116" s="40">
        <f t="shared" si="2076"/>
        <v>239.13043478260869</v>
      </c>
      <c r="OC116" s="40">
        <f t="shared" si="1807"/>
        <v>0.27600000000000002</v>
      </c>
      <c r="OE116" s="825"/>
      <c r="OF116" s="827"/>
      <c r="OG116" s="825"/>
      <c r="OH116" s="40" t="e">
        <f t="shared" si="2077"/>
        <v>#DIV/0!</v>
      </c>
      <c r="OI116" s="40" t="e">
        <f t="shared" si="1809"/>
        <v>#DIV/0!</v>
      </c>
    </row>
    <row r="117" spans="2:399" ht="15" thickBot="1">
      <c r="B117" s="715" t="s">
        <v>376</v>
      </c>
      <c r="C117" s="720" t="s">
        <v>375</v>
      </c>
      <c r="D117" s="723" t="s">
        <v>14</v>
      </c>
      <c r="E117" s="725" t="s">
        <v>14</v>
      </c>
      <c r="F117" s="45"/>
      <c r="G117" s="46"/>
      <c r="H117" s="48"/>
      <c r="I117" s="48"/>
      <c r="K117" s="45"/>
      <c r="L117" s="45"/>
      <c r="M117" s="46"/>
      <c r="N117" s="48"/>
      <c r="O117" s="48"/>
      <c r="Q117" s="45"/>
      <c r="R117" s="45"/>
      <c r="S117" s="46"/>
      <c r="T117" s="48"/>
      <c r="U117" s="48"/>
      <c r="W117" s="45"/>
      <c r="X117" s="45"/>
      <c r="Y117" s="46"/>
      <c r="Z117" s="48"/>
      <c r="AA117" s="48"/>
      <c r="AC117" s="45"/>
      <c r="AD117" s="45"/>
      <c r="AE117" s="46"/>
      <c r="AF117" s="48"/>
      <c r="AG117" s="48"/>
      <c r="AI117" s="45"/>
      <c r="AJ117" s="45"/>
      <c r="AK117" s="46"/>
      <c r="AL117" s="48"/>
      <c r="AM117" s="48"/>
      <c r="AO117" s="45"/>
      <c r="AP117" s="45"/>
      <c r="AQ117" s="46"/>
      <c r="AR117" s="48"/>
      <c r="AS117" s="48"/>
      <c r="AU117" s="45"/>
      <c r="AV117" s="45"/>
      <c r="AW117" s="46"/>
      <c r="AX117" s="48"/>
      <c r="AY117" s="48"/>
      <c r="AZ117" s="593"/>
      <c r="BA117" s="45"/>
      <c r="BB117" s="45"/>
      <c r="BC117" s="46"/>
      <c r="BD117" s="48"/>
      <c r="BE117" s="48"/>
      <c r="BF117" s="593"/>
      <c r="BG117" s="45"/>
      <c r="BH117" s="45"/>
      <c r="BI117" s="46"/>
      <c r="BJ117" s="48"/>
      <c r="BK117" s="48"/>
      <c r="BL117" s="593"/>
      <c r="BM117" s="45"/>
      <c r="BN117" s="45"/>
      <c r="BO117" s="46"/>
      <c r="BP117" s="48"/>
      <c r="BQ117" s="48"/>
      <c r="BS117" s="45"/>
      <c r="BT117" s="45"/>
      <c r="BU117" s="46"/>
      <c r="BV117" s="48"/>
      <c r="BW117" s="48"/>
      <c r="BX117" s="593"/>
      <c r="BY117" s="45"/>
      <c r="BZ117" s="45"/>
      <c r="CA117" s="46"/>
      <c r="CB117" s="48"/>
      <c r="CC117" s="48"/>
      <c r="CD117" s="593"/>
      <c r="CE117" s="45"/>
      <c r="CF117" s="45"/>
      <c r="CG117" s="46"/>
      <c r="CH117" s="48"/>
      <c r="CI117" s="48"/>
      <c r="CJ117" s="593"/>
      <c r="CK117" s="45"/>
      <c r="CL117" s="45"/>
      <c r="CM117" s="46"/>
      <c r="CN117" s="48"/>
      <c r="CO117" s="48"/>
      <c r="CP117" s="593"/>
      <c r="CQ117" s="45"/>
      <c r="CR117" s="45"/>
      <c r="CS117" s="46"/>
      <c r="CT117" s="48"/>
      <c r="CU117" s="48"/>
      <c r="CV117" s="593"/>
      <c r="CW117" s="45"/>
      <c r="CX117" s="45"/>
      <c r="CY117" s="46"/>
      <c r="CZ117" s="48"/>
      <c r="DA117" s="48"/>
      <c r="DB117" s="593"/>
      <c r="DC117" s="45"/>
      <c r="DD117" s="45"/>
      <c r="DE117" s="46"/>
      <c r="DF117" s="48"/>
      <c r="DG117" s="48"/>
      <c r="DH117" s="593"/>
      <c r="DI117" s="45"/>
      <c r="DJ117" s="45"/>
      <c r="DK117" s="46"/>
      <c r="DL117" s="48"/>
      <c r="DM117" s="48"/>
      <c r="DN117" s="593"/>
      <c r="DO117" s="45"/>
      <c r="DP117" s="45"/>
      <c r="DQ117" s="46"/>
      <c r="DR117" s="48"/>
      <c r="DS117" s="48"/>
      <c r="DT117" s="593"/>
      <c r="DU117" s="45"/>
      <c r="DV117" s="45"/>
      <c r="DW117" s="46"/>
      <c r="DX117" s="48"/>
      <c r="DY117" s="48"/>
      <c r="DZ117" s="593"/>
      <c r="EA117" s="45"/>
      <c r="EB117" s="45"/>
      <c r="EC117" s="46"/>
      <c r="ED117" s="48"/>
      <c r="EE117" s="48"/>
      <c r="EF117" s="593"/>
      <c r="EG117" s="45"/>
      <c r="EH117" s="45"/>
      <c r="EI117" s="46"/>
      <c r="EJ117" s="48"/>
      <c r="EK117" s="48"/>
      <c r="EL117" s="593"/>
      <c r="EM117" s="45"/>
      <c r="EN117" s="45"/>
      <c r="EO117" s="46"/>
      <c r="EP117" s="48"/>
      <c r="EQ117" s="48"/>
      <c r="ES117" s="45"/>
      <c r="ET117" s="45"/>
      <c r="EU117" s="46"/>
      <c r="EV117" s="48"/>
      <c r="EW117" s="48"/>
      <c r="EY117" s="45"/>
      <c r="EZ117" s="45"/>
      <c r="FA117" s="45"/>
      <c r="FB117" s="48"/>
      <c r="FC117" s="48"/>
      <c r="FE117" s="46"/>
      <c r="FF117" s="46"/>
      <c r="FG117" s="46"/>
      <c r="FH117" s="48"/>
      <c r="FI117" s="48"/>
      <c r="FK117" s="38"/>
      <c r="FL117" s="40"/>
      <c r="FM117" s="38"/>
      <c r="FN117" s="40"/>
      <c r="FO117" s="40"/>
      <c r="FP117" s="231"/>
      <c r="FQ117" s="45"/>
      <c r="FR117" s="45"/>
      <c r="FS117" s="45"/>
      <c r="FT117" s="48"/>
      <c r="FU117" s="48"/>
      <c r="FW117" s="45"/>
      <c r="FX117" s="45"/>
      <c r="FY117" s="46"/>
      <c r="FZ117" s="48"/>
      <c r="GA117" s="48"/>
      <c r="GC117" s="26"/>
      <c r="GD117" s="45"/>
      <c r="GE117" s="45"/>
      <c r="GF117" s="48"/>
      <c r="GG117" s="48"/>
      <c r="GI117" s="45"/>
      <c r="GJ117" s="45"/>
      <c r="GK117" s="45"/>
      <c r="GL117" s="48"/>
      <c r="GM117" s="48"/>
      <c r="GO117" s="45"/>
      <c r="GP117" s="45"/>
      <c r="GQ117" s="45"/>
      <c r="GR117" s="48"/>
      <c r="GS117" s="48"/>
      <c r="GU117" s="99"/>
      <c r="GV117" s="99"/>
      <c r="GW117" s="100"/>
      <c r="GX117" s="101"/>
      <c r="GY117" s="101"/>
      <c r="GZ117" s="43"/>
      <c r="HA117" s="28"/>
      <c r="HB117" s="28"/>
      <c r="HC117" s="28"/>
      <c r="HD117" s="40"/>
      <c r="HE117" s="40"/>
      <c r="HG117" s="45"/>
      <c r="HH117" s="45"/>
      <c r="HI117" s="45"/>
      <c r="HJ117" s="48"/>
      <c r="HK117" s="48"/>
      <c r="HM117" s="45"/>
      <c r="HN117" s="45"/>
      <c r="HO117" s="46"/>
      <c r="HP117" s="48"/>
      <c r="HQ117" s="48"/>
      <c r="HS117" s="45"/>
      <c r="HT117" s="45"/>
      <c r="HU117" s="46"/>
      <c r="HV117" s="48"/>
      <c r="HW117" s="48"/>
      <c r="HX117" s="231"/>
      <c r="HY117" s="38"/>
      <c r="HZ117" s="40"/>
      <c r="IA117" s="38"/>
      <c r="IB117" s="40"/>
      <c r="IC117" s="40"/>
      <c r="IE117" s="38"/>
      <c r="IF117" s="40"/>
      <c r="IG117" s="38"/>
      <c r="IH117" s="40"/>
      <c r="II117" s="40"/>
      <c r="IK117" s="38"/>
      <c r="IL117" s="40"/>
      <c r="IM117" s="38"/>
      <c r="IN117" s="40"/>
      <c r="IO117" s="40"/>
      <c r="IQ117" s="38"/>
      <c r="IR117" s="40"/>
      <c r="IS117" s="38"/>
      <c r="IT117" s="40"/>
      <c r="IU117" s="40"/>
      <c r="IW117" s="38"/>
      <c r="IX117" s="40"/>
      <c r="IY117" s="38"/>
      <c r="IZ117" s="40"/>
      <c r="JA117" s="40"/>
      <c r="JC117" s="38"/>
      <c r="JD117" s="40"/>
      <c r="JE117" s="38"/>
      <c r="JF117" s="40"/>
      <c r="JG117" s="40"/>
      <c r="JI117" s="38"/>
      <c r="JJ117" s="40"/>
      <c r="JK117" s="38"/>
      <c r="JL117" s="40"/>
      <c r="JM117" s="40"/>
      <c r="JO117" s="741"/>
      <c r="JP117" s="742"/>
      <c r="JQ117" s="741"/>
      <c r="JR117" s="742" t="e">
        <f t="shared" si="2126"/>
        <v>#DIV/0!</v>
      </c>
      <c r="JS117" s="742" t="e">
        <f t="shared" si="2127"/>
        <v>#DIV/0!</v>
      </c>
      <c r="JU117" s="741"/>
      <c r="JV117" s="742"/>
      <c r="JW117" s="741"/>
      <c r="JX117" s="742"/>
      <c r="JY117" s="742"/>
      <c r="KA117" s="741"/>
      <c r="KB117" s="742"/>
      <c r="KC117" s="741"/>
      <c r="KD117" s="742"/>
      <c r="KE117" s="742"/>
      <c r="KG117" s="741"/>
      <c r="KH117" s="742"/>
      <c r="KI117" s="741"/>
      <c r="KJ117" s="40" t="e">
        <f t="shared" si="2060"/>
        <v>#DIV/0!</v>
      </c>
      <c r="KK117" s="40" t="e">
        <f t="shared" si="1853"/>
        <v>#DIV/0!</v>
      </c>
      <c r="KM117" s="741"/>
      <c r="KN117" s="742"/>
      <c r="KO117" s="741"/>
      <c r="KP117" s="40" t="e">
        <f t="shared" si="2061"/>
        <v>#DIV/0!</v>
      </c>
      <c r="KQ117" s="40" t="e">
        <f t="shared" si="1777"/>
        <v>#DIV/0!</v>
      </c>
      <c r="KS117" s="741"/>
      <c r="KT117" s="742"/>
      <c r="KU117" s="741"/>
      <c r="KV117" s="40" t="e">
        <f t="shared" si="2062"/>
        <v>#DIV/0!</v>
      </c>
      <c r="KW117" s="40" t="e">
        <f t="shared" si="1779"/>
        <v>#DIV/0!</v>
      </c>
      <c r="KY117" s="741"/>
      <c r="KZ117" s="742"/>
      <c r="LA117" s="741"/>
      <c r="LB117" s="40" t="e">
        <f t="shared" si="2063"/>
        <v>#DIV/0!</v>
      </c>
      <c r="LC117" s="40" t="e">
        <f t="shared" si="1781"/>
        <v>#DIV/0!</v>
      </c>
      <c r="LE117" s="741"/>
      <c r="LF117" s="742"/>
      <c r="LG117" s="741"/>
      <c r="LH117" s="40" t="e">
        <f t="shared" si="2064"/>
        <v>#DIV/0!</v>
      </c>
      <c r="LI117" s="40" t="e">
        <f t="shared" si="1783"/>
        <v>#DIV/0!</v>
      </c>
      <c r="LK117" s="741"/>
      <c r="LL117" s="742"/>
      <c r="LM117" s="741"/>
      <c r="LN117" s="40" t="e">
        <f t="shared" si="2065"/>
        <v>#DIV/0!</v>
      </c>
      <c r="LO117" s="40" t="e">
        <f t="shared" si="1785"/>
        <v>#DIV/0!</v>
      </c>
      <c r="LQ117" s="741"/>
      <c r="LR117" s="742"/>
      <c r="LS117" s="741"/>
      <c r="LT117" s="40" t="e">
        <f t="shared" si="2066"/>
        <v>#DIV/0!</v>
      </c>
      <c r="LU117" s="40" t="e">
        <f t="shared" si="1787"/>
        <v>#DIV/0!</v>
      </c>
      <c r="LW117" s="741"/>
      <c r="LX117" s="742"/>
      <c r="LY117" s="741"/>
      <c r="LZ117" s="40" t="e">
        <f t="shared" si="2067"/>
        <v>#DIV/0!</v>
      </c>
      <c r="MA117" s="40" t="e">
        <f t="shared" si="1789"/>
        <v>#DIV/0!</v>
      </c>
      <c r="MC117" s="741"/>
      <c r="MD117" s="742"/>
      <c r="ME117" s="741"/>
      <c r="MF117" s="40" t="e">
        <f t="shared" si="2068"/>
        <v>#DIV/0!</v>
      </c>
      <c r="MG117" s="40" t="e">
        <f t="shared" si="1791"/>
        <v>#DIV/0!</v>
      </c>
      <c r="MI117" s="741">
        <f>250+250+200+200+200</f>
        <v>1100</v>
      </c>
      <c r="MJ117" s="742">
        <f>1.05+1.32+0.86+0.84+0.84</f>
        <v>4.91</v>
      </c>
      <c r="MK117" s="741">
        <v>5</v>
      </c>
      <c r="ML117" s="40">
        <f t="shared" si="2069"/>
        <v>224.03258655804481</v>
      </c>
      <c r="MM117" s="40">
        <f t="shared" si="1793"/>
        <v>0.98199999999999998</v>
      </c>
      <c r="MO117" s="741"/>
      <c r="MP117" s="742"/>
      <c r="MQ117" s="741"/>
      <c r="MR117" s="40" t="e">
        <f t="shared" si="2070"/>
        <v>#DIV/0!</v>
      </c>
      <c r="MS117" s="40" t="e">
        <f t="shared" si="1795"/>
        <v>#DIV/0!</v>
      </c>
      <c r="MU117" s="741"/>
      <c r="MV117" s="742"/>
      <c r="MW117" s="741"/>
      <c r="MX117" s="40" t="e">
        <f t="shared" si="2071"/>
        <v>#DIV/0!</v>
      </c>
      <c r="MY117" s="40" t="e">
        <f t="shared" si="1797"/>
        <v>#DIV/0!</v>
      </c>
      <c r="NA117" s="825"/>
      <c r="NB117" s="827"/>
      <c r="NC117" s="825"/>
      <c r="ND117" s="40" t="e">
        <f t="shared" si="2072"/>
        <v>#DIV/0!</v>
      </c>
      <c r="NE117" s="40" t="e">
        <f t="shared" si="1799"/>
        <v>#DIV/0!</v>
      </c>
      <c r="NG117" s="825"/>
      <c r="NH117" s="827"/>
      <c r="NI117" s="825"/>
      <c r="NJ117" s="40" t="e">
        <f t="shared" si="2073"/>
        <v>#DIV/0!</v>
      </c>
      <c r="NK117" s="40" t="e">
        <f t="shared" si="1801"/>
        <v>#DIV/0!</v>
      </c>
      <c r="NM117" s="825"/>
      <c r="NN117" s="828"/>
      <c r="NO117" s="825"/>
      <c r="NP117" s="40" t="e">
        <f t="shared" si="2074"/>
        <v>#DIV/0!</v>
      </c>
      <c r="NQ117" s="40" t="e">
        <f t="shared" si="1803"/>
        <v>#DIV/0!</v>
      </c>
      <c r="NS117" s="825"/>
      <c r="NT117" s="828"/>
      <c r="NU117" s="825"/>
      <c r="NV117" s="40" t="e">
        <f t="shared" si="2075"/>
        <v>#DIV/0!</v>
      </c>
      <c r="NW117" s="40" t="e">
        <f t="shared" si="1805"/>
        <v>#DIV/0!</v>
      </c>
      <c r="NY117" s="913"/>
      <c r="NZ117" s="914"/>
      <c r="OA117" s="918"/>
      <c r="OB117" s="40" t="e">
        <f t="shared" si="2076"/>
        <v>#DIV/0!</v>
      </c>
      <c r="OC117" s="40" t="e">
        <f t="shared" si="1807"/>
        <v>#DIV/0!</v>
      </c>
      <c r="OE117" s="825"/>
      <c r="OF117" s="828"/>
      <c r="OG117" s="825"/>
      <c r="OH117" s="40" t="e">
        <f t="shared" si="2077"/>
        <v>#DIV/0!</v>
      </c>
      <c r="OI117" s="40" t="e">
        <f t="shared" si="1809"/>
        <v>#DIV/0!</v>
      </c>
    </row>
    <row r="118" spans="2:399" ht="16.5" customHeight="1">
      <c r="B118" s="19" t="s">
        <v>219</v>
      </c>
      <c r="C118" s="41" t="s">
        <v>33</v>
      </c>
      <c r="D118" s="729" t="s">
        <v>14</v>
      </c>
      <c r="E118" s="726"/>
      <c r="F118" s="45"/>
      <c r="G118" s="46"/>
      <c r="H118" s="48"/>
      <c r="I118" s="48"/>
      <c r="K118" s="45"/>
      <c r="L118" s="45"/>
      <c r="M118" s="46"/>
      <c r="N118" s="48"/>
      <c r="O118" s="48"/>
      <c r="Q118" s="45">
        <v>1050</v>
      </c>
      <c r="R118" s="45">
        <v>5.3000000000000007</v>
      </c>
      <c r="S118" s="46">
        <v>5</v>
      </c>
      <c r="T118" s="48">
        <f t="shared" si="2132"/>
        <v>198.11320754716979</v>
      </c>
      <c r="U118" s="48">
        <f t="shared" si="2133"/>
        <v>1.06</v>
      </c>
      <c r="W118" s="45"/>
      <c r="X118" s="45"/>
      <c r="Y118" s="46"/>
      <c r="Z118" s="48"/>
      <c r="AA118" s="48"/>
      <c r="AC118" s="45"/>
      <c r="AD118" s="45"/>
      <c r="AE118" s="46"/>
      <c r="AF118" s="48"/>
      <c r="AG118" s="48"/>
      <c r="AI118" s="45">
        <f>500+200+700+400+500</f>
        <v>2300</v>
      </c>
      <c r="AJ118" s="45">
        <f>1.58+0.61+2.06+1.22+1.28</f>
        <v>6.75</v>
      </c>
      <c r="AK118" s="46">
        <v>5</v>
      </c>
      <c r="AL118" s="48">
        <f t="shared" si="2082"/>
        <v>340.74074074074076</v>
      </c>
      <c r="AM118" s="48">
        <f t="shared" si="2083"/>
        <v>1.35</v>
      </c>
      <c r="AO118" s="45"/>
      <c r="AP118" s="45"/>
      <c r="AQ118" s="46"/>
      <c r="AR118" s="48"/>
      <c r="AS118" s="48"/>
      <c r="AU118" s="45">
        <f>150+100+50+30+200</f>
        <v>530</v>
      </c>
      <c r="AV118" s="45">
        <f>1.18+0.9+0.64+0.67+3.13</f>
        <v>6.52</v>
      </c>
      <c r="AW118" s="46">
        <v>5</v>
      </c>
      <c r="AX118" s="48">
        <f t="shared" ref="AX118:AX128" si="2146">AU118/AV118</f>
        <v>81.288343558282207</v>
      </c>
      <c r="AY118" s="48">
        <f t="shared" ref="AY118:AY138" si="2147">AV118/AW118</f>
        <v>1.3039999999999998</v>
      </c>
      <c r="AZ118" s="593"/>
      <c r="BA118" s="45"/>
      <c r="BB118" s="45"/>
      <c r="BC118" s="46"/>
      <c r="BD118" s="48"/>
      <c r="BE118" s="48"/>
      <c r="BF118" s="593"/>
      <c r="BG118" s="45"/>
      <c r="BH118" s="45"/>
      <c r="BI118" s="46"/>
      <c r="BJ118" s="48"/>
      <c r="BK118" s="48"/>
      <c r="BL118" s="593"/>
      <c r="BM118" s="45"/>
      <c r="BN118" s="45"/>
      <c r="BO118" s="46"/>
      <c r="BP118" s="48"/>
      <c r="BQ118" s="48"/>
      <c r="BS118" s="45"/>
      <c r="BT118" s="45"/>
      <c r="BU118" s="46"/>
      <c r="BV118" s="48"/>
      <c r="BW118" s="48"/>
      <c r="BX118" s="593"/>
      <c r="BY118" s="45">
        <f>150+100+50+30+200</f>
        <v>530</v>
      </c>
      <c r="BZ118" s="45">
        <f>1.18+0.9+0.64+0.67+3.13</f>
        <v>6.52</v>
      </c>
      <c r="CA118" s="46">
        <v>5</v>
      </c>
      <c r="CB118" s="48">
        <f t="shared" ref="CB118" si="2148">BY118/BZ118</f>
        <v>81.288343558282207</v>
      </c>
      <c r="CC118" s="48">
        <f t="shared" ref="CC118" si="2149">BZ118/CA118</f>
        <v>1.3039999999999998</v>
      </c>
      <c r="CD118" s="593"/>
      <c r="CE118" s="45"/>
      <c r="CF118" s="45"/>
      <c r="CG118" s="46"/>
      <c r="CH118" s="48"/>
      <c r="CI118" s="48"/>
      <c r="CJ118" s="593"/>
      <c r="CK118" s="45"/>
      <c r="CL118" s="45"/>
      <c r="CM118" s="46"/>
      <c r="CN118" s="48"/>
      <c r="CO118" s="48"/>
      <c r="CP118" s="593"/>
      <c r="CQ118" s="45"/>
      <c r="CR118" s="45"/>
      <c r="CS118" s="46"/>
      <c r="CT118" s="48"/>
      <c r="CU118" s="48"/>
      <c r="CV118" s="593"/>
      <c r="CW118" s="45">
        <f>150+100+50+30+200</f>
        <v>530</v>
      </c>
      <c r="CX118" s="45">
        <f>1.18+0.9+0.64+0.67+3.13</f>
        <v>6.52</v>
      </c>
      <c r="CY118" s="46">
        <v>5</v>
      </c>
      <c r="CZ118" s="48">
        <f t="shared" si="2101"/>
        <v>81.288343558282207</v>
      </c>
      <c r="DA118" s="48">
        <f t="shared" si="2102"/>
        <v>1.3039999999999998</v>
      </c>
      <c r="DB118" s="593"/>
      <c r="DC118" s="45">
        <f>400+400+300+300+200</f>
        <v>1600</v>
      </c>
      <c r="DD118" s="45">
        <f>1.33+1.72+1.22+0.9+0.77</f>
        <v>5.9399999999999995</v>
      </c>
      <c r="DE118" s="46">
        <v>5</v>
      </c>
      <c r="DF118" s="48">
        <f t="shared" si="2103"/>
        <v>269.3602693602694</v>
      </c>
      <c r="DG118" s="48">
        <f t="shared" si="2104"/>
        <v>1.1879999999999999</v>
      </c>
      <c r="DH118" s="593"/>
      <c r="DI118" s="45"/>
      <c r="DJ118" s="45"/>
      <c r="DK118" s="46"/>
      <c r="DL118" s="48"/>
      <c r="DM118" s="48"/>
      <c r="DN118" s="593"/>
      <c r="DO118" s="45">
        <v>1550</v>
      </c>
      <c r="DP118" s="45">
        <v>11.17</v>
      </c>
      <c r="DQ118" s="46">
        <v>5</v>
      </c>
      <c r="DR118" s="48">
        <f t="shared" si="2105"/>
        <v>138.76454789615039</v>
      </c>
      <c r="DS118" s="48">
        <f t="shared" si="2106"/>
        <v>2.234</v>
      </c>
      <c r="DT118" s="593"/>
      <c r="DU118" s="45"/>
      <c r="DV118" s="45"/>
      <c r="DW118" s="46"/>
      <c r="DX118" s="48"/>
      <c r="DY118" s="48"/>
      <c r="DZ118" s="593"/>
      <c r="EA118" s="45"/>
      <c r="EB118" s="45"/>
      <c r="EC118" s="46"/>
      <c r="ED118" s="48"/>
      <c r="EE118" s="48"/>
      <c r="EF118" s="593"/>
      <c r="EG118" s="45"/>
      <c r="EH118" s="45"/>
      <c r="EI118" s="46"/>
      <c r="EJ118" s="48"/>
      <c r="EK118" s="48"/>
      <c r="EL118" s="593"/>
      <c r="EM118" s="45"/>
      <c r="EN118" s="45"/>
      <c r="EO118" s="46"/>
      <c r="EP118" s="48"/>
      <c r="EQ118" s="48"/>
      <c r="ES118" s="45">
        <f>150+100+50+30+200</f>
        <v>530</v>
      </c>
      <c r="ET118" s="45">
        <f>1.18+0.9+0.64+0.67+3.13</f>
        <v>6.52</v>
      </c>
      <c r="EU118" s="46">
        <v>5</v>
      </c>
      <c r="EV118" s="48">
        <f t="shared" si="1890"/>
        <v>81.288343558282207</v>
      </c>
      <c r="EW118" s="48">
        <f t="shared" si="1890"/>
        <v>1.3039999999999998</v>
      </c>
      <c r="EY118" s="45">
        <v>2300</v>
      </c>
      <c r="EZ118" s="45">
        <v>6.75</v>
      </c>
      <c r="FA118" s="45">
        <v>5</v>
      </c>
      <c r="FB118" s="48">
        <f t="shared" si="2121"/>
        <v>340.74074074074076</v>
      </c>
      <c r="FC118" s="48">
        <f t="shared" si="2121"/>
        <v>1.35</v>
      </c>
      <c r="FE118" s="45"/>
      <c r="FF118" s="45"/>
      <c r="FG118" s="46"/>
      <c r="FH118" s="48"/>
      <c r="FI118" s="48"/>
      <c r="FK118" s="38"/>
      <c r="FL118" s="40"/>
      <c r="FM118" s="38"/>
      <c r="FN118" s="40"/>
      <c r="FO118" s="40"/>
      <c r="FP118" s="231"/>
      <c r="FQ118" s="45">
        <f>400+400+300+300+200</f>
        <v>1600</v>
      </c>
      <c r="FR118" s="45">
        <f>1.6+1.35+1.3+0.99+0.65</f>
        <v>5.8900000000000006</v>
      </c>
      <c r="FS118" s="45">
        <f>5</f>
        <v>5</v>
      </c>
      <c r="FT118" s="48">
        <f t="shared" si="1765"/>
        <v>271.64685908319183</v>
      </c>
      <c r="FU118" s="48">
        <f t="shared" si="1765"/>
        <v>1.1780000000000002</v>
      </c>
      <c r="FW118" s="45">
        <f>400+400+300+300+200</f>
        <v>1600</v>
      </c>
      <c r="FX118" s="45">
        <f>1.33+1.72+1.22+0.9+0.77</f>
        <v>5.9399999999999995</v>
      </c>
      <c r="FY118" s="46">
        <v>5</v>
      </c>
      <c r="FZ118" s="48">
        <f t="shared" si="1766"/>
        <v>269.3602693602694</v>
      </c>
      <c r="GA118" s="48">
        <f t="shared" si="1766"/>
        <v>1.1879999999999999</v>
      </c>
      <c r="GC118" s="26">
        <f>100+100+250+400+300</f>
        <v>1150</v>
      </c>
      <c r="GD118" s="45">
        <f>0.5+0.63+1.76+2.11+1.63</f>
        <v>6.63</v>
      </c>
      <c r="GE118" s="45">
        <f>5</f>
        <v>5</v>
      </c>
      <c r="GF118" s="48">
        <f t="shared" si="1767"/>
        <v>173.45399698340876</v>
      </c>
      <c r="GG118" s="48">
        <f t="shared" si="1767"/>
        <v>1.3260000000000001</v>
      </c>
      <c r="GI118" s="45">
        <f>150+250+200+150+200</f>
        <v>950</v>
      </c>
      <c r="GJ118" s="45">
        <f>1.13+2.1+1.8+1.13+1.8</f>
        <v>7.96</v>
      </c>
      <c r="GK118" s="45">
        <f>5</f>
        <v>5</v>
      </c>
      <c r="GL118" s="48">
        <f t="shared" si="1768"/>
        <v>119.34673366834171</v>
      </c>
      <c r="GM118" s="48">
        <f t="shared" si="1768"/>
        <v>1.5920000000000001</v>
      </c>
      <c r="GO118" s="45">
        <f>200+200+150+150+100</f>
        <v>800</v>
      </c>
      <c r="GP118" s="45">
        <f>1.3+1.5+0.96+0.84+0.4</f>
        <v>5</v>
      </c>
      <c r="GQ118" s="45">
        <f>5</f>
        <v>5</v>
      </c>
      <c r="GR118" s="48">
        <f t="shared" si="1769"/>
        <v>160</v>
      </c>
      <c r="GS118" s="48">
        <f t="shared" si="1769"/>
        <v>1</v>
      </c>
      <c r="GU118" s="99">
        <f>30+50+150+200+100</f>
        <v>530</v>
      </c>
      <c r="GV118" s="99">
        <f>0.46+0.8+1.43+1.63+1.03</f>
        <v>5.3500000000000005</v>
      </c>
      <c r="GW118" s="100">
        <v>5</v>
      </c>
      <c r="GX118" s="101">
        <f t="shared" si="1770"/>
        <v>99.065420560747654</v>
      </c>
      <c r="GY118" s="101">
        <f t="shared" si="1770"/>
        <v>1.07</v>
      </c>
      <c r="GZ118" s="43"/>
      <c r="HA118" s="28">
        <f>100+150+200+50+30</f>
        <v>530</v>
      </c>
      <c r="HB118" s="28">
        <f>2.02+3.09+3.29+0.87+0.75</f>
        <v>10.019999999999998</v>
      </c>
      <c r="HC118" s="28">
        <v>5</v>
      </c>
      <c r="HD118" s="40">
        <f t="shared" si="1771"/>
        <v>52.894211576846317</v>
      </c>
      <c r="HE118" s="40">
        <f t="shared" si="1771"/>
        <v>2.0039999999999996</v>
      </c>
      <c r="HG118" s="45">
        <v>1550</v>
      </c>
      <c r="HH118" s="45">
        <v>11.17</v>
      </c>
      <c r="HI118" s="45">
        <v>5</v>
      </c>
      <c r="HJ118" s="48">
        <f t="shared" si="2122"/>
        <v>138.76454789615039</v>
      </c>
      <c r="HK118" s="48">
        <f t="shared" si="2123"/>
        <v>2.234</v>
      </c>
      <c r="HM118" s="45">
        <v>1550</v>
      </c>
      <c r="HN118" s="45">
        <v>11.17</v>
      </c>
      <c r="HO118" s="46">
        <v>5</v>
      </c>
      <c r="HP118" s="48">
        <f t="shared" ref="HP118:HP119" si="2150">HM118/HN118</f>
        <v>138.76454789615039</v>
      </c>
      <c r="HQ118" s="48">
        <f t="shared" ref="HQ118:HQ119" si="2151">HN118/HO118</f>
        <v>2.234</v>
      </c>
      <c r="HS118" s="45"/>
      <c r="HT118" s="45"/>
      <c r="HU118" s="46"/>
      <c r="HV118" s="48"/>
      <c r="HW118" s="48"/>
      <c r="HX118" s="231"/>
      <c r="HY118" s="38"/>
      <c r="HZ118" s="40"/>
      <c r="IA118" s="38"/>
      <c r="IB118" s="40"/>
      <c r="IC118" s="40"/>
      <c r="IE118" s="38">
        <f>200+200</f>
        <v>400</v>
      </c>
      <c r="IF118" s="40">
        <f>0.33+0.33</f>
        <v>0.66</v>
      </c>
      <c r="IG118" s="38">
        <f>2</f>
        <v>2</v>
      </c>
      <c r="IH118" s="40">
        <f t="shared" si="1841"/>
        <v>606.06060606060601</v>
      </c>
      <c r="II118" s="40">
        <f t="shared" si="1842"/>
        <v>0.33</v>
      </c>
      <c r="IK118" s="38">
        <f>500+500+500+500+500</f>
        <v>2500</v>
      </c>
      <c r="IL118" s="40">
        <f>1.26+1.17+0.96+1.14+0.87</f>
        <v>5.3999999999999995</v>
      </c>
      <c r="IM118" s="38">
        <v>5</v>
      </c>
      <c r="IN118" s="40">
        <f t="shared" si="2107"/>
        <v>462.96296296296299</v>
      </c>
      <c r="IO118" s="40">
        <f t="shared" si="2108"/>
        <v>1.0799999999999998</v>
      </c>
      <c r="IQ118" s="38">
        <f>200+200+300+300+300</f>
        <v>1300</v>
      </c>
      <c r="IR118" s="40">
        <f>1.32+1.11+1.96+1.51+1.53</f>
        <v>7.4300000000000006</v>
      </c>
      <c r="IS118" s="38">
        <v>5</v>
      </c>
      <c r="IT118" s="40">
        <f t="shared" ref="IT118" si="2152">IQ118/IR118</f>
        <v>174.96635262449527</v>
      </c>
      <c r="IU118" s="40">
        <f t="shared" ref="IU118" si="2153">IR118/IS118</f>
        <v>1.4860000000000002</v>
      </c>
      <c r="IW118" s="38">
        <f>300+200+150+50+100</f>
        <v>800</v>
      </c>
      <c r="IX118" s="40">
        <f>1.23+0.87+1.62+0.43+2.59</f>
        <v>6.74</v>
      </c>
      <c r="IY118" s="38">
        <v>5</v>
      </c>
      <c r="IZ118" s="40">
        <f t="shared" ref="IZ118" si="2154">IW118/IX118</f>
        <v>118.69436201780415</v>
      </c>
      <c r="JA118" s="40">
        <f t="shared" ref="JA118" si="2155">IX118/IY118</f>
        <v>1.3480000000000001</v>
      </c>
      <c r="JC118" s="38">
        <f>200+200+150+30+100</f>
        <v>680</v>
      </c>
      <c r="JD118" s="40">
        <f>1.77+1.98+1.58+0.7+1.22</f>
        <v>7.25</v>
      </c>
      <c r="JE118" s="38">
        <v>5</v>
      </c>
      <c r="JF118" s="40">
        <f t="shared" ref="JF118" si="2156">JC118/JD118</f>
        <v>93.793103448275858</v>
      </c>
      <c r="JG118" s="40">
        <f t="shared" ref="JG118" si="2157">JD118/JE118</f>
        <v>1.45</v>
      </c>
      <c r="JI118" s="38">
        <f>100+150+150+250+200</f>
        <v>850</v>
      </c>
      <c r="JJ118" s="40">
        <f>1.11+1.51+1.91+2.44+2.19</f>
        <v>9.16</v>
      </c>
      <c r="JK118" s="38">
        <v>5</v>
      </c>
      <c r="JL118" s="40">
        <f t="shared" ref="JL118" si="2158">JI118/JJ118</f>
        <v>92.794759825327503</v>
      </c>
      <c r="JM118" s="40">
        <f t="shared" ref="JM118" si="2159">JJ118/JK118</f>
        <v>1.8320000000000001</v>
      </c>
      <c r="JO118" s="38">
        <f>150+150+50+100+120</f>
        <v>570</v>
      </c>
      <c r="JP118" s="40">
        <f>1.91+1.79+1.37+1.4+1.87</f>
        <v>8.34</v>
      </c>
      <c r="JQ118" s="38">
        <v>5</v>
      </c>
      <c r="JR118" s="40">
        <f t="shared" ref="JR118" si="2160">JO118/JP118</f>
        <v>68.345323741007192</v>
      </c>
      <c r="JS118" s="40">
        <f t="shared" ref="JS118" si="2161">JP118/JQ118</f>
        <v>1.6679999999999999</v>
      </c>
      <c r="JU118" s="38">
        <f>500+150+100+200+300</f>
        <v>1250</v>
      </c>
      <c r="JV118" s="40">
        <f>4.19+1.4+1.2+1.35+2.13</f>
        <v>10.27</v>
      </c>
      <c r="JW118" s="38">
        <v>5</v>
      </c>
      <c r="JX118" s="40">
        <f t="shared" si="2142"/>
        <v>121.71372930866602</v>
      </c>
      <c r="JY118" s="40">
        <f t="shared" si="2143"/>
        <v>2.0539999999999998</v>
      </c>
      <c r="KA118" s="38">
        <f>500+500+350+350+350</f>
        <v>2050</v>
      </c>
      <c r="KB118" s="40">
        <f>0.65+0.4+0.25+0.35+0.25</f>
        <v>1.9</v>
      </c>
      <c r="KC118" s="38">
        <v>5</v>
      </c>
      <c r="KD118" s="40">
        <f t="shared" ref="KD118:KD123" si="2162">KA118/KB118</f>
        <v>1078.9473684210527</v>
      </c>
      <c r="KE118" s="40">
        <f t="shared" ref="KE118:KE123" si="2163">KB118/KC118</f>
        <v>0.38</v>
      </c>
      <c r="KG118" s="38">
        <f>300+300+300+200+200</f>
        <v>1300</v>
      </c>
      <c r="KH118" s="40">
        <f>2.15+2.13+2.12+1.53+1.4</f>
        <v>9.33</v>
      </c>
      <c r="KI118" s="38">
        <v>5</v>
      </c>
      <c r="KJ118" s="40">
        <f t="shared" si="2060"/>
        <v>139.33547695605574</v>
      </c>
      <c r="KK118" s="40">
        <f t="shared" si="1853"/>
        <v>1.8660000000000001</v>
      </c>
      <c r="KM118" s="38"/>
      <c r="KN118" s="40"/>
      <c r="KO118" s="38"/>
      <c r="KP118" s="40" t="e">
        <f t="shared" si="2061"/>
        <v>#DIV/0!</v>
      </c>
      <c r="KQ118" s="40" t="e">
        <f t="shared" si="1777"/>
        <v>#DIV/0!</v>
      </c>
      <c r="KS118" s="38"/>
      <c r="KT118" s="40"/>
      <c r="KU118" s="38"/>
      <c r="KV118" s="40" t="e">
        <f t="shared" si="2062"/>
        <v>#DIV/0!</v>
      </c>
      <c r="KW118" s="40" t="e">
        <f t="shared" si="1779"/>
        <v>#DIV/0!</v>
      </c>
      <c r="KY118" s="38"/>
      <c r="KZ118" s="40"/>
      <c r="LA118" s="38"/>
      <c r="LB118" s="40" t="e">
        <f t="shared" si="2063"/>
        <v>#DIV/0!</v>
      </c>
      <c r="LC118" s="40" t="e">
        <f t="shared" si="1781"/>
        <v>#DIV/0!</v>
      </c>
      <c r="LE118" s="38">
        <f>150+300+250+150+250</f>
        <v>1100</v>
      </c>
      <c r="LF118" s="40">
        <f>0.54+0.75+0.89+0.64+0.9</f>
        <v>3.72</v>
      </c>
      <c r="LG118" s="38">
        <v>5</v>
      </c>
      <c r="LH118" s="40">
        <f t="shared" si="2064"/>
        <v>295.69892473118279</v>
      </c>
      <c r="LI118" s="40">
        <f t="shared" si="1783"/>
        <v>0.74399999999999999</v>
      </c>
      <c r="LK118" s="38">
        <f>500+500+400+400+400</f>
        <v>2200</v>
      </c>
      <c r="LL118" s="40">
        <f>2.29+2.18+1.68+1.68+1.6</f>
        <v>9.43</v>
      </c>
      <c r="LM118" s="38">
        <v>5</v>
      </c>
      <c r="LN118" s="40">
        <f t="shared" si="2065"/>
        <v>233.29798515376459</v>
      </c>
      <c r="LO118" s="40">
        <f t="shared" si="1785"/>
        <v>1.8859999999999999</v>
      </c>
      <c r="LQ118" s="38">
        <f>150+200+100+300+300</f>
        <v>1050</v>
      </c>
      <c r="LR118" s="40">
        <f>0.69+1.03+0.36+2.33+1.99</f>
        <v>6.4</v>
      </c>
      <c r="LS118" s="38">
        <v>5</v>
      </c>
      <c r="LT118" s="40">
        <f t="shared" si="2066"/>
        <v>164.0625</v>
      </c>
      <c r="LU118" s="40">
        <f t="shared" si="1787"/>
        <v>1.28</v>
      </c>
      <c r="LW118" s="38">
        <f>100+100+100+150+150</f>
        <v>600</v>
      </c>
      <c r="LX118" s="40">
        <f>1.32+0.97+1+1.71+2.1</f>
        <v>7.1</v>
      </c>
      <c r="LY118" s="38">
        <v>5</v>
      </c>
      <c r="LZ118" s="40">
        <f t="shared" si="2067"/>
        <v>84.507042253521135</v>
      </c>
      <c r="MA118" s="40">
        <f t="shared" si="1789"/>
        <v>1.42</v>
      </c>
      <c r="MC118" s="38">
        <f>250+250+250+300+300</f>
        <v>1350</v>
      </c>
      <c r="MD118" s="40">
        <f>5.06+5.06+6.23+6.15+6.34</f>
        <v>28.84</v>
      </c>
      <c r="ME118" s="38">
        <v>5</v>
      </c>
      <c r="MF118" s="40">
        <f t="shared" si="2068"/>
        <v>46.809986130374483</v>
      </c>
      <c r="MG118" s="40">
        <f t="shared" si="1791"/>
        <v>5.7679999999999998</v>
      </c>
      <c r="MI118" s="38">
        <f>150+150+150+50</f>
        <v>500</v>
      </c>
      <c r="MJ118" s="40">
        <f>1.18+1.13+1.3+0.4</f>
        <v>4.01</v>
      </c>
      <c r="MK118" s="38">
        <v>5</v>
      </c>
      <c r="ML118" s="40">
        <f t="shared" si="2069"/>
        <v>124.68827930174564</v>
      </c>
      <c r="MM118" s="40">
        <f t="shared" si="1793"/>
        <v>0.80199999999999994</v>
      </c>
      <c r="MO118" s="38"/>
      <c r="MP118" s="40"/>
      <c r="MQ118" s="38"/>
      <c r="MR118" s="40" t="e">
        <f t="shared" si="2070"/>
        <v>#DIV/0!</v>
      </c>
      <c r="MS118" s="40" t="e">
        <f t="shared" si="1795"/>
        <v>#DIV/0!</v>
      </c>
      <c r="MU118" s="38"/>
      <c r="MV118" s="40"/>
      <c r="MW118" s="38"/>
      <c r="MX118" s="40" t="e">
        <f t="shared" si="2071"/>
        <v>#DIV/0!</v>
      </c>
      <c r="MY118" s="40" t="e">
        <f t="shared" si="1797"/>
        <v>#DIV/0!</v>
      </c>
      <c r="NA118" s="825"/>
      <c r="NB118" s="826"/>
      <c r="NC118" s="825"/>
      <c r="ND118" s="40" t="e">
        <f t="shared" si="2072"/>
        <v>#DIV/0!</v>
      </c>
      <c r="NE118" s="40" t="e">
        <f t="shared" si="1799"/>
        <v>#DIV/0!</v>
      </c>
      <c r="NG118" s="825"/>
      <c r="NH118" s="826"/>
      <c r="NI118" s="825"/>
      <c r="NJ118" s="40" t="e">
        <f t="shared" si="2073"/>
        <v>#DIV/0!</v>
      </c>
      <c r="NK118" s="40" t="e">
        <f t="shared" si="1801"/>
        <v>#DIV/0!</v>
      </c>
      <c r="NM118" s="825"/>
      <c r="NN118" s="825"/>
      <c r="NO118" s="825"/>
      <c r="NP118" s="40" t="e">
        <f t="shared" si="2074"/>
        <v>#DIV/0!</v>
      </c>
      <c r="NQ118" s="40" t="e">
        <f t="shared" si="1803"/>
        <v>#DIV/0!</v>
      </c>
      <c r="NS118" s="825"/>
      <c r="NT118" s="825"/>
      <c r="NU118" s="825"/>
      <c r="NV118" s="40" t="e">
        <f t="shared" si="2075"/>
        <v>#DIV/0!</v>
      </c>
      <c r="NW118" s="40" t="e">
        <f t="shared" si="1805"/>
        <v>#DIV/0!</v>
      </c>
      <c r="NY118" s="913">
        <f>500+500+500+300+300</f>
        <v>2100</v>
      </c>
      <c r="NZ118" s="914">
        <f>1+1+1+0.75+0.74</f>
        <v>4.49</v>
      </c>
      <c r="OA118" s="918">
        <v>5</v>
      </c>
      <c r="OB118" s="40">
        <f t="shared" si="2076"/>
        <v>467.70601336302894</v>
      </c>
      <c r="OC118" s="40">
        <f t="shared" si="1807"/>
        <v>0.89800000000000002</v>
      </c>
      <c r="OE118" s="825">
        <f>500+500+400+300+200</f>
        <v>1900</v>
      </c>
      <c r="OF118" s="825">
        <f>1.45+1.87+1.35+1.29+1.1</f>
        <v>7.0600000000000005</v>
      </c>
      <c r="OG118" s="825">
        <v>5</v>
      </c>
      <c r="OH118" s="40">
        <f t="shared" si="2077"/>
        <v>269.12181303116148</v>
      </c>
      <c r="OI118" s="40">
        <f t="shared" si="1809"/>
        <v>1.4120000000000001</v>
      </c>
    </row>
    <row r="119" spans="2:399">
      <c r="B119" s="20"/>
      <c r="C119" s="21" t="s">
        <v>34</v>
      </c>
      <c r="D119" s="58" t="s">
        <v>14</v>
      </c>
      <c r="E119" s="726"/>
      <c r="F119" s="45"/>
      <c r="G119" s="46"/>
      <c r="H119" s="48"/>
      <c r="I119" s="48"/>
      <c r="K119" s="45"/>
      <c r="L119" s="45"/>
      <c r="M119" s="46"/>
      <c r="N119" s="48"/>
      <c r="O119" s="48"/>
      <c r="Q119" s="45">
        <v>900</v>
      </c>
      <c r="R119" s="45">
        <v>2.8</v>
      </c>
      <c r="S119" s="46">
        <v>5</v>
      </c>
      <c r="T119" s="48">
        <f t="shared" si="2132"/>
        <v>321.42857142857144</v>
      </c>
      <c r="U119" s="48">
        <f t="shared" si="2133"/>
        <v>0.55999999999999994</v>
      </c>
      <c r="W119" s="45"/>
      <c r="X119" s="45"/>
      <c r="Y119" s="46"/>
      <c r="Z119" s="48"/>
      <c r="AA119" s="48"/>
      <c r="AC119" s="45"/>
      <c r="AD119" s="45"/>
      <c r="AE119" s="46"/>
      <c r="AF119" s="48"/>
      <c r="AG119" s="48"/>
      <c r="AI119" s="45"/>
      <c r="AJ119" s="45"/>
      <c r="AK119" s="46"/>
      <c r="AL119" s="48"/>
      <c r="AM119" s="48"/>
      <c r="AO119" s="45"/>
      <c r="AP119" s="45"/>
      <c r="AQ119" s="46"/>
      <c r="AR119" s="48"/>
      <c r="AS119" s="48"/>
      <c r="AU119" s="45">
        <f>300+200+200+300+100</f>
        <v>1100</v>
      </c>
      <c r="AV119" s="45">
        <f>0.97+0.78+0.66+0.81+0.53</f>
        <v>3.75</v>
      </c>
      <c r="AW119" s="46">
        <v>5</v>
      </c>
      <c r="AX119" s="48">
        <f t="shared" si="2146"/>
        <v>293.33333333333331</v>
      </c>
      <c r="AY119" s="48">
        <f t="shared" si="2147"/>
        <v>0.75</v>
      </c>
      <c r="AZ119" s="593"/>
      <c r="BA119" s="45"/>
      <c r="BB119" s="45"/>
      <c r="BC119" s="46"/>
      <c r="BD119" s="48"/>
      <c r="BE119" s="48"/>
      <c r="BF119" s="593"/>
      <c r="BG119" s="45"/>
      <c r="BH119" s="45"/>
      <c r="BI119" s="46"/>
      <c r="BJ119" s="48"/>
      <c r="BK119" s="48"/>
      <c r="BL119" s="593"/>
      <c r="BM119" s="45"/>
      <c r="BN119" s="45"/>
      <c r="BO119" s="46"/>
      <c r="BP119" s="48"/>
      <c r="BQ119" s="48"/>
      <c r="BS119" s="45"/>
      <c r="BT119" s="45"/>
      <c r="BU119" s="46"/>
      <c r="BV119" s="48"/>
      <c r="BW119" s="48"/>
      <c r="BX119" s="593"/>
      <c r="BY119" s="45">
        <f>300+200+200+300+100</f>
        <v>1100</v>
      </c>
      <c r="BZ119" s="45">
        <f>0.97+0.78+0.66+0.81+0.53</f>
        <v>3.75</v>
      </c>
      <c r="CA119" s="46">
        <v>5</v>
      </c>
      <c r="CB119" s="48">
        <f t="shared" ref="CB119" si="2164">BY119/BZ119</f>
        <v>293.33333333333331</v>
      </c>
      <c r="CC119" s="48">
        <f t="shared" ref="CC119" si="2165">BZ119/CA119</f>
        <v>0.75</v>
      </c>
      <c r="CD119" s="593"/>
      <c r="CE119" s="45"/>
      <c r="CF119" s="45"/>
      <c r="CG119" s="46"/>
      <c r="CH119" s="48"/>
      <c r="CI119" s="48"/>
      <c r="CJ119" s="593"/>
      <c r="CK119" s="45"/>
      <c r="CL119" s="45"/>
      <c r="CM119" s="46"/>
      <c r="CN119" s="48"/>
      <c r="CO119" s="48"/>
      <c r="CP119" s="593"/>
      <c r="CQ119" s="45"/>
      <c r="CR119" s="45"/>
      <c r="CS119" s="46"/>
      <c r="CT119" s="48"/>
      <c r="CU119" s="48"/>
      <c r="CV119" s="593"/>
      <c r="CW119" s="45">
        <f>300+200+200+300+100</f>
        <v>1100</v>
      </c>
      <c r="CX119" s="45">
        <f>0.97+0.78+0.66+0.81+0.53</f>
        <v>3.75</v>
      </c>
      <c r="CY119" s="46">
        <v>5</v>
      </c>
      <c r="CZ119" s="48">
        <f t="shared" si="2101"/>
        <v>293.33333333333331</v>
      </c>
      <c r="DA119" s="48">
        <f t="shared" si="2102"/>
        <v>0.75</v>
      </c>
      <c r="DB119" s="593"/>
      <c r="DC119" s="45"/>
      <c r="DD119" s="45"/>
      <c r="DE119" s="46"/>
      <c r="DF119" s="48"/>
      <c r="DG119" s="48"/>
      <c r="DH119" s="593"/>
      <c r="DI119" s="45"/>
      <c r="DJ119" s="45"/>
      <c r="DK119" s="46"/>
      <c r="DL119" s="48"/>
      <c r="DM119" s="48"/>
      <c r="DN119" s="593"/>
      <c r="DO119" s="45">
        <v>950</v>
      </c>
      <c r="DP119" s="45">
        <v>5.72</v>
      </c>
      <c r="DQ119" s="46">
        <v>5</v>
      </c>
      <c r="DR119" s="48">
        <f t="shared" si="2105"/>
        <v>166.08391608391608</v>
      </c>
      <c r="DS119" s="48">
        <f t="shared" si="2106"/>
        <v>1.1439999999999999</v>
      </c>
      <c r="DT119" s="593"/>
      <c r="DU119" s="45"/>
      <c r="DV119" s="45"/>
      <c r="DW119" s="46"/>
      <c r="DX119" s="48"/>
      <c r="DY119" s="48"/>
      <c r="DZ119" s="593"/>
      <c r="EA119" s="45"/>
      <c r="EB119" s="45"/>
      <c r="EC119" s="46"/>
      <c r="ED119" s="48"/>
      <c r="EE119" s="48"/>
      <c r="EF119" s="593"/>
      <c r="EG119" s="45"/>
      <c r="EH119" s="45"/>
      <c r="EI119" s="46"/>
      <c r="EJ119" s="48"/>
      <c r="EK119" s="48"/>
      <c r="EL119" s="593"/>
      <c r="EM119" s="45"/>
      <c r="EN119" s="45"/>
      <c r="EO119" s="46"/>
      <c r="EP119" s="48"/>
      <c r="EQ119" s="48"/>
      <c r="ES119" s="45">
        <f>300+200+200+300+100</f>
        <v>1100</v>
      </c>
      <c r="ET119" s="45">
        <f>0.97+0.78+0.66+0.81+0.53</f>
        <v>3.75</v>
      </c>
      <c r="EU119" s="46">
        <v>5</v>
      </c>
      <c r="EV119" s="48">
        <f t="shared" si="1890"/>
        <v>293.33333333333331</v>
      </c>
      <c r="EW119" s="48">
        <f t="shared" si="1890"/>
        <v>0.75</v>
      </c>
      <c r="EY119" s="45"/>
      <c r="EZ119" s="45"/>
      <c r="FA119" s="45"/>
      <c r="FB119" s="48"/>
      <c r="FC119" s="48"/>
      <c r="FE119" s="45"/>
      <c r="FF119" s="45"/>
      <c r="FG119" s="46"/>
      <c r="FH119" s="48"/>
      <c r="FI119" s="48"/>
      <c r="FK119" s="38"/>
      <c r="FL119" s="40"/>
      <c r="FM119" s="38"/>
      <c r="FN119" s="40"/>
      <c r="FO119" s="40"/>
      <c r="FP119" s="231"/>
      <c r="FQ119" s="45"/>
      <c r="FR119" s="45"/>
      <c r="FS119" s="45"/>
      <c r="FT119" s="48"/>
      <c r="FU119" s="48"/>
      <c r="FW119" s="45"/>
      <c r="FX119" s="45"/>
      <c r="FY119" s="46"/>
      <c r="FZ119" s="48"/>
      <c r="GA119" s="48"/>
      <c r="GC119" s="26"/>
      <c r="GD119" s="45"/>
      <c r="GE119" s="45"/>
      <c r="GF119" s="48"/>
      <c r="GG119" s="48"/>
      <c r="GI119" s="45">
        <f>200+300+150+200+300</f>
        <v>1150</v>
      </c>
      <c r="GJ119" s="45">
        <f>0.99+0.99+0.67+0.6+0.33</f>
        <v>3.58</v>
      </c>
      <c r="GK119" s="45">
        <f>5</f>
        <v>5</v>
      </c>
      <c r="GL119" s="48">
        <f t="shared" si="1768"/>
        <v>321.22905027932961</v>
      </c>
      <c r="GM119" s="48">
        <f t="shared" si="1768"/>
        <v>0.71599999999999997</v>
      </c>
      <c r="GO119" s="45">
        <f>250+250+200+200+300</f>
        <v>1200</v>
      </c>
      <c r="GP119" s="27">
        <f>0.6+0.6+0.76+0.76+0.85</f>
        <v>3.57</v>
      </c>
      <c r="GQ119" s="45">
        <f>5</f>
        <v>5</v>
      </c>
      <c r="GR119" s="48">
        <f t="shared" si="1769"/>
        <v>336.1344537815126</v>
      </c>
      <c r="GS119" s="48">
        <f t="shared" si="1769"/>
        <v>0.71399999999999997</v>
      </c>
      <c r="GU119" s="99">
        <f>100+150+400+300+150</f>
        <v>1100</v>
      </c>
      <c r="GV119" s="99">
        <f>0.82+0.57+1.44+1.24+0.71</f>
        <v>4.78</v>
      </c>
      <c r="GW119" s="100">
        <v>5</v>
      </c>
      <c r="GX119" s="101">
        <f t="shared" si="1770"/>
        <v>230.12552301255229</v>
      </c>
      <c r="GY119" s="101">
        <f t="shared" si="1770"/>
        <v>0.95600000000000007</v>
      </c>
      <c r="GZ119" s="43"/>
      <c r="HA119" s="28">
        <f>100+150+200+50+30</f>
        <v>530</v>
      </c>
      <c r="HB119" s="28">
        <f>0.62+0.89+1.56+0.54+0.48</f>
        <v>4.09</v>
      </c>
      <c r="HC119" s="28">
        <v>5</v>
      </c>
      <c r="HD119" s="40">
        <f t="shared" si="1771"/>
        <v>129.58435207823962</v>
      </c>
      <c r="HE119" s="40">
        <f t="shared" si="1771"/>
        <v>0.81799999999999995</v>
      </c>
      <c r="HG119" s="45">
        <v>950</v>
      </c>
      <c r="HH119" s="45">
        <v>5.72</v>
      </c>
      <c r="HI119" s="45">
        <v>5</v>
      </c>
      <c r="HJ119" s="48">
        <f t="shared" si="2122"/>
        <v>166.08391608391608</v>
      </c>
      <c r="HK119" s="48">
        <f t="shared" si="2123"/>
        <v>1.1439999999999999</v>
      </c>
      <c r="HM119" s="45">
        <v>950</v>
      </c>
      <c r="HN119" s="45">
        <v>5.72</v>
      </c>
      <c r="HO119" s="46">
        <v>5</v>
      </c>
      <c r="HP119" s="48">
        <f t="shared" si="2150"/>
        <v>166.08391608391608</v>
      </c>
      <c r="HQ119" s="48">
        <f t="shared" si="2151"/>
        <v>1.1439999999999999</v>
      </c>
      <c r="HS119" s="45"/>
      <c r="HT119" s="45"/>
      <c r="HU119" s="46"/>
      <c r="HV119" s="48"/>
      <c r="HW119" s="48"/>
      <c r="HX119" s="231"/>
      <c r="HY119" s="38"/>
      <c r="HZ119" s="40"/>
      <c r="IA119" s="38"/>
      <c r="IB119" s="40"/>
      <c r="IC119" s="40"/>
      <c r="IE119" s="38"/>
      <c r="IF119" s="40"/>
      <c r="IG119" s="38"/>
      <c r="IH119" s="40"/>
      <c r="II119" s="40"/>
      <c r="IK119" s="38"/>
      <c r="IL119" s="40"/>
      <c r="IM119" s="38"/>
      <c r="IN119" s="40"/>
      <c r="IO119" s="40"/>
      <c r="IQ119" s="38"/>
      <c r="IR119" s="40"/>
      <c r="IS119" s="38"/>
      <c r="IT119" s="40"/>
      <c r="IU119" s="40"/>
      <c r="IW119" s="38">
        <f>400+500+500</f>
        <v>1400</v>
      </c>
      <c r="IX119" s="40">
        <f>1.54+0.94+0.77</f>
        <v>3.25</v>
      </c>
      <c r="IY119" s="38">
        <v>3</v>
      </c>
      <c r="IZ119" s="40">
        <f t="shared" ref="IZ119:IZ120" si="2166">IW119/IX119</f>
        <v>430.76923076923077</v>
      </c>
      <c r="JA119" s="40">
        <f t="shared" ref="JA119:JA120" si="2167">IX119/IY119</f>
        <v>1.0833333333333333</v>
      </c>
      <c r="JC119" s="38">
        <f>500+200+100+200+200</f>
        <v>1200</v>
      </c>
      <c r="JD119" s="40">
        <f>0.89+0.71+0.28+0.68+0.61</f>
        <v>3.17</v>
      </c>
      <c r="JE119" s="38">
        <v>5</v>
      </c>
      <c r="JF119" s="40">
        <f t="shared" ref="JF119" si="2168">JC119/JD119</f>
        <v>378.54889589905366</v>
      </c>
      <c r="JG119" s="40">
        <f t="shared" ref="JG119" si="2169">JD119/JE119</f>
        <v>0.63400000000000001</v>
      </c>
      <c r="JI119" s="38">
        <f>200+200+500+500+500</f>
        <v>1900</v>
      </c>
      <c r="JJ119" s="40">
        <f>0.46+0.58+0.89+0.94+0.75</f>
        <v>3.62</v>
      </c>
      <c r="JK119" s="38">
        <v>5</v>
      </c>
      <c r="JL119" s="40">
        <f t="shared" ref="JL119" si="2170">JI119/JJ119</f>
        <v>524.86187845303868</v>
      </c>
      <c r="JM119" s="40">
        <f t="shared" ref="JM119" si="2171">JJ119/JK119</f>
        <v>0.72399999999999998</v>
      </c>
      <c r="JO119" s="38">
        <f>250+250+200+200+200</f>
        <v>1100</v>
      </c>
      <c r="JP119" s="40">
        <f>1.46+1.54+1.08+0.91+0.98</f>
        <v>5.9700000000000006</v>
      </c>
      <c r="JQ119" s="38">
        <v>5</v>
      </c>
      <c r="JR119" s="40">
        <f t="shared" ref="JR119:JR120" si="2172">JO119/JP119</f>
        <v>184.25460636515911</v>
      </c>
      <c r="JS119" s="40">
        <f t="shared" ref="JS119:JS120" si="2173">JP119/JQ119</f>
        <v>1.1940000000000002</v>
      </c>
      <c r="JU119" s="38">
        <f>400+600+500+250+250</f>
        <v>2000</v>
      </c>
      <c r="JV119" s="40">
        <f>1.27+2.35+1.33+1.23+1.2</f>
        <v>7.38</v>
      </c>
      <c r="JW119" s="38">
        <v>5</v>
      </c>
      <c r="JX119" s="40">
        <f t="shared" si="2142"/>
        <v>271.00271002710025</v>
      </c>
      <c r="JY119" s="40">
        <f t="shared" si="2143"/>
        <v>1.476</v>
      </c>
      <c r="KA119" s="38"/>
      <c r="KB119" s="40"/>
      <c r="KC119" s="38"/>
      <c r="KD119" s="40"/>
      <c r="KE119" s="40"/>
      <c r="KG119" s="38"/>
      <c r="KH119" s="40"/>
      <c r="KI119" s="38"/>
      <c r="KJ119" s="40" t="e">
        <f t="shared" si="2060"/>
        <v>#DIV/0!</v>
      </c>
      <c r="KK119" s="40" t="e">
        <f t="shared" si="1853"/>
        <v>#DIV/0!</v>
      </c>
      <c r="KM119" s="38"/>
      <c r="KN119" s="40"/>
      <c r="KO119" s="38"/>
      <c r="KP119" s="40" t="e">
        <f t="shared" si="2061"/>
        <v>#DIV/0!</v>
      </c>
      <c r="KQ119" s="40" t="e">
        <f t="shared" si="1777"/>
        <v>#DIV/0!</v>
      </c>
      <c r="KS119" s="38"/>
      <c r="KT119" s="40"/>
      <c r="KU119" s="38"/>
      <c r="KV119" s="40" t="e">
        <f t="shared" si="2062"/>
        <v>#DIV/0!</v>
      </c>
      <c r="KW119" s="40" t="e">
        <f t="shared" si="1779"/>
        <v>#DIV/0!</v>
      </c>
      <c r="KY119" s="38"/>
      <c r="KZ119" s="40"/>
      <c r="LA119" s="38"/>
      <c r="LB119" s="40" t="e">
        <f t="shared" si="2063"/>
        <v>#DIV/0!</v>
      </c>
      <c r="LC119" s="40" t="e">
        <f t="shared" si="1781"/>
        <v>#DIV/0!</v>
      </c>
      <c r="LE119" s="38"/>
      <c r="LF119" s="40"/>
      <c r="LG119" s="38"/>
      <c r="LH119" s="40" t="e">
        <f t="shared" si="2064"/>
        <v>#DIV/0!</v>
      </c>
      <c r="LI119" s="40" t="e">
        <f t="shared" si="1783"/>
        <v>#DIV/0!</v>
      </c>
      <c r="LK119" s="38"/>
      <c r="LL119" s="40"/>
      <c r="LM119" s="38"/>
      <c r="LN119" s="40" t="e">
        <f t="shared" si="2065"/>
        <v>#DIV/0!</v>
      </c>
      <c r="LO119" s="40" t="e">
        <f t="shared" si="1785"/>
        <v>#DIV/0!</v>
      </c>
      <c r="LQ119" s="38"/>
      <c r="LR119" s="40"/>
      <c r="LS119" s="38"/>
      <c r="LT119" s="40" t="e">
        <f t="shared" si="2066"/>
        <v>#DIV/0!</v>
      </c>
      <c r="LU119" s="40" t="e">
        <f t="shared" si="1787"/>
        <v>#DIV/0!</v>
      </c>
      <c r="LW119" s="38">
        <f>200+200+200+200+200</f>
        <v>1000</v>
      </c>
      <c r="LX119" s="40">
        <f>4.07</f>
        <v>4.07</v>
      </c>
      <c r="LY119" s="38">
        <v>5</v>
      </c>
      <c r="LZ119" s="40">
        <f t="shared" si="2067"/>
        <v>245.70024570024569</v>
      </c>
      <c r="MA119" s="40">
        <f t="shared" si="1789"/>
        <v>0.81400000000000006</v>
      </c>
      <c r="MC119" s="38">
        <f>250+300+200+200+150</f>
        <v>1100</v>
      </c>
      <c r="MD119" s="40">
        <f>1.06+1+1.58+0.34+0.86</f>
        <v>4.84</v>
      </c>
      <c r="ME119" s="38">
        <v>5</v>
      </c>
      <c r="MF119" s="40">
        <f t="shared" si="2068"/>
        <v>227.27272727272728</v>
      </c>
      <c r="MG119" s="40">
        <f t="shared" si="1791"/>
        <v>0.96799999999999997</v>
      </c>
      <c r="MI119" s="38">
        <f>100+100+100+100+100</f>
        <v>500</v>
      </c>
      <c r="MJ119" s="40">
        <f>0.5+0.5+0.5+0.5+0.5</f>
        <v>2.5</v>
      </c>
      <c r="MK119" s="38">
        <v>5</v>
      </c>
      <c r="ML119" s="40">
        <f t="shared" si="2069"/>
        <v>200</v>
      </c>
      <c r="MM119" s="40">
        <f t="shared" si="1793"/>
        <v>0.5</v>
      </c>
      <c r="MO119" s="38"/>
      <c r="MP119" s="40"/>
      <c r="MQ119" s="38"/>
      <c r="MR119" s="40" t="e">
        <f t="shared" si="2070"/>
        <v>#DIV/0!</v>
      </c>
      <c r="MS119" s="40" t="e">
        <f t="shared" si="1795"/>
        <v>#DIV/0!</v>
      </c>
      <c r="MU119" s="38"/>
      <c r="MV119" s="40"/>
      <c r="MW119" s="38"/>
      <c r="MX119" s="40" t="e">
        <f t="shared" si="2071"/>
        <v>#DIV/0!</v>
      </c>
      <c r="MY119" s="40" t="e">
        <f t="shared" si="1797"/>
        <v>#DIV/0!</v>
      </c>
      <c r="NA119" s="825"/>
      <c r="NB119" s="826"/>
      <c r="NC119" s="825"/>
      <c r="ND119" s="40" t="e">
        <f t="shared" si="2072"/>
        <v>#DIV/0!</v>
      </c>
      <c r="NE119" s="40" t="e">
        <f t="shared" si="1799"/>
        <v>#DIV/0!</v>
      </c>
      <c r="NG119" s="825"/>
      <c r="NH119" s="826"/>
      <c r="NI119" s="825"/>
      <c r="NJ119" s="40" t="e">
        <f t="shared" si="2073"/>
        <v>#DIV/0!</v>
      </c>
      <c r="NK119" s="40" t="e">
        <f t="shared" si="1801"/>
        <v>#DIV/0!</v>
      </c>
      <c r="NM119" s="825"/>
      <c r="NN119" s="825"/>
      <c r="NO119" s="825"/>
      <c r="NP119" s="40" t="e">
        <f t="shared" si="2074"/>
        <v>#DIV/0!</v>
      </c>
      <c r="NQ119" s="40" t="e">
        <f t="shared" si="1803"/>
        <v>#DIV/0!</v>
      </c>
      <c r="NS119" s="825"/>
      <c r="NT119" s="825"/>
      <c r="NU119" s="825"/>
      <c r="NV119" s="40" t="e">
        <f t="shared" si="2075"/>
        <v>#DIV/0!</v>
      </c>
      <c r="NW119" s="40" t="e">
        <f t="shared" si="1805"/>
        <v>#DIV/0!</v>
      </c>
      <c r="NY119" s="913"/>
      <c r="NZ119" s="914"/>
      <c r="OA119" s="918"/>
      <c r="OB119" s="40" t="e">
        <f t="shared" si="2076"/>
        <v>#DIV/0!</v>
      </c>
      <c r="OC119" s="40" t="e">
        <f t="shared" si="1807"/>
        <v>#DIV/0!</v>
      </c>
      <c r="OE119" s="825"/>
      <c r="OF119" s="825"/>
      <c r="OG119" s="825"/>
      <c r="OH119" s="40" t="e">
        <f t="shared" si="2077"/>
        <v>#DIV/0!</v>
      </c>
      <c r="OI119" s="40" t="e">
        <f t="shared" si="1809"/>
        <v>#DIV/0!</v>
      </c>
    </row>
    <row r="120" spans="2:399">
      <c r="B120" s="20"/>
      <c r="C120" s="21" t="s">
        <v>35</v>
      </c>
      <c r="D120" s="58" t="s">
        <v>36</v>
      </c>
      <c r="E120" s="726">
        <f>200+200+200</f>
        <v>600</v>
      </c>
      <c r="F120" s="45">
        <f>0.9+0.69+0.68</f>
        <v>2.27</v>
      </c>
      <c r="G120" s="46">
        <v>3</v>
      </c>
      <c r="H120" s="48">
        <f t="shared" si="2115"/>
        <v>264.31718061674007</v>
      </c>
      <c r="I120" s="48">
        <f t="shared" si="2116"/>
        <v>0.75666666666666671</v>
      </c>
      <c r="K120" s="45"/>
      <c r="L120" s="45"/>
      <c r="M120" s="46"/>
      <c r="N120" s="48"/>
      <c r="O120" s="48"/>
      <c r="Q120" s="45"/>
      <c r="R120" s="45"/>
      <c r="S120" s="46"/>
      <c r="T120" s="48"/>
      <c r="U120" s="48"/>
      <c r="W120" s="45"/>
      <c r="X120" s="45"/>
      <c r="Y120" s="46"/>
      <c r="Z120" s="48"/>
      <c r="AA120" s="48"/>
      <c r="AC120" s="45"/>
      <c r="AD120" s="45"/>
      <c r="AE120" s="46"/>
      <c r="AF120" s="48"/>
      <c r="AG120" s="48"/>
      <c r="AI120" s="45"/>
      <c r="AJ120" s="45"/>
      <c r="AK120" s="46"/>
      <c r="AL120" s="48"/>
      <c r="AM120" s="48"/>
      <c r="AO120" s="45"/>
      <c r="AP120" s="45"/>
      <c r="AQ120" s="46"/>
      <c r="AR120" s="48"/>
      <c r="AS120" s="48"/>
      <c r="AU120" s="45">
        <f>200+200+200+150+150</f>
        <v>900</v>
      </c>
      <c r="AV120" s="45">
        <f>0.93+1.03+1.05+0.92+0.77</f>
        <v>4.6999999999999993</v>
      </c>
      <c r="AW120" s="46">
        <v>5</v>
      </c>
      <c r="AX120" s="48">
        <f t="shared" si="2146"/>
        <v>191.4893617021277</v>
      </c>
      <c r="AY120" s="48">
        <f t="shared" si="2147"/>
        <v>0.93999999999999984</v>
      </c>
      <c r="AZ120" s="593"/>
      <c r="BA120" s="45"/>
      <c r="BB120" s="45"/>
      <c r="BC120" s="46"/>
      <c r="BD120" s="48"/>
      <c r="BE120" s="48"/>
      <c r="BF120" s="593"/>
      <c r="BG120" s="45"/>
      <c r="BH120" s="45"/>
      <c r="BI120" s="46"/>
      <c r="BJ120" s="48"/>
      <c r="BK120" s="48"/>
      <c r="BL120" s="593"/>
      <c r="BM120" s="45"/>
      <c r="BN120" s="45"/>
      <c r="BO120" s="46"/>
      <c r="BP120" s="48"/>
      <c r="BQ120" s="48"/>
      <c r="BS120" s="45"/>
      <c r="BT120" s="45"/>
      <c r="BU120" s="46"/>
      <c r="BV120" s="48"/>
      <c r="BW120" s="48"/>
      <c r="BX120" s="593"/>
      <c r="BY120" s="45">
        <f>200+200+200+150+150</f>
        <v>900</v>
      </c>
      <c r="BZ120" s="45">
        <f>0.93+1.03+1.05+0.92+0.77</f>
        <v>4.6999999999999993</v>
      </c>
      <c r="CA120" s="46">
        <v>5</v>
      </c>
      <c r="CB120" s="48">
        <f t="shared" ref="CB120:CB126" si="2174">BY120/BZ120</f>
        <v>191.4893617021277</v>
      </c>
      <c r="CC120" s="48">
        <f t="shared" ref="CC120:CC126" si="2175">BZ120/CA120</f>
        <v>0.93999999999999984</v>
      </c>
      <c r="CD120" s="593"/>
      <c r="CE120" s="45"/>
      <c r="CF120" s="45"/>
      <c r="CG120" s="46"/>
      <c r="CH120" s="48"/>
      <c r="CI120" s="48"/>
      <c r="CJ120" s="593"/>
      <c r="CK120" s="45"/>
      <c r="CL120" s="45"/>
      <c r="CM120" s="46"/>
      <c r="CN120" s="48"/>
      <c r="CO120" s="48"/>
      <c r="CP120" s="593"/>
      <c r="CQ120" s="45"/>
      <c r="CR120" s="45"/>
      <c r="CS120" s="46"/>
      <c r="CT120" s="48"/>
      <c r="CU120" s="48"/>
      <c r="CV120" s="593"/>
      <c r="CW120" s="45">
        <f>200+200+200+150+150</f>
        <v>900</v>
      </c>
      <c r="CX120" s="45">
        <f>0.93+1.03+1.05+0.92+0.77</f>
        <v>4.6999999999999993</v>
      </c>
      <c r="CY120" s="46">
        <v>5</v>
      </c>
      <c r="CZ120" s="48">
        <f t="shared" si="2101"/>
        <v>191.4893617021277</v>
      </c>
      <c r="DA120" s="48">
        <f t="shared" si="2102"/>
        <v>0.93999999999999984</v>
      </c>
      <c r="DB120" s="593"/>
      <c r="DC120" s="45">
        <f>200+200</f>
        <v>400</v>
      </c>
      <c r="DD120" s="45">
        <f>0.74+0.62</f>
        <v>1.3599999999999999</v>
      </c>
      <c r="DE120" s="46">
        <v>2</v>
      </c>
      <c r="DF120" s="48">
        <f t="shared" si="2103"/>
        <v>294.11764705882354</v>
      </c>
      <c r="DG120" s="48">
        <f t="shared" si="2104"/>
        <v>0.67999999999999994</v>
      </c>
      <c r="DH120" s="593"/>
      <c r="DI120" s="45">
        <v>1000</v>
      </c>
      <c r="DJ120" s="45">
        <v>7.5</v>
      </c>
      <c r="DK120" s="46">
        <v>5</v>
      </c>
      <c r="DL120" s="48">
        <f t="shared" ref="DL120:DL126" si="2176">DI120/DJ120</f>
        <v>133.33333333333334</v>
      </c>
      <c r="DM120" s="48">
        <f t="shared" ref="DM120:DM126" si="2177">DJ120/DK120</f>
        <v>1.5</v>
      </c>
      <c r="DN120" s="593"/>
      <c r="DO120" s="45">
        <v>750</v>
      </c>
      <c r="DP120" s="45">
        <v>4.08</v>
      </c>
      <c r="DQ120" s="46">
        <v>5</v>
      </c>
      <c r="DR120" s="48">
        <f t="shared" si="2105"/>
        <v>183.8235294117647</v>
      </c>
      <c r="DS120" s="48">
        <f t="shared" si="2106"/>
        <v>0.81600000000000006</v>
      </c>
      <c r="DT120" s="593"/>
      <c r="DU120" s="45"/>
      <c r="DV120" s="45"/>
      <c r="DW120" s="46"/>
      <c r="DX120" s="48"/>
      <c r="DY120" s="48"/>
      <c r="DZ120" s="593"/>
      <c r="EA120" s="45"/>
      <c r="EB120" s="45"/>
      <c r="EC120" s="46"/>
      <c r="ED120" s="48"/>
      <c r="EE120" s="48"/>
      <c r="EF120" s="593"/>
      <c r="EG120" s="45"/>
      <c r="EH120" s="45"/>
      <c r="EI120" s="46"/>
      <c r="EJ120" s="48"/>
      <c r="EK120" s="48"/>
      <c r="EL120" s="593"/>
      <c r="EM120" s="45"/>
      <c r="EN120" s="45"/>
      <c r="EO120" s="46"/>
      <c r="EP120" s="48"/>
      <c r="EQ120" s="48"/>
      <c r="ES120" s="45">
        <f>200+200+200+150+150</f>
        <v>900</v>
      </c>
      <c r="ET120" s="45">
        <f>0.93+1.03+1.05+0.92+0.77</f>
        <v>4.6999999999999993</v>
      </c>
      <c r="EU120" s="46">
        <v>5</v>
      </c>
      <c r="EV120" s="48">
        <f t="shared" si="1890"/>
        <v>191.4893617021277</v>
      </c>
      <c r="EW120" s="48">
        <f t="shared" si="1890"/>
        <v>0.93999999999999984</v>
      </c>
      <c r="EY120" s="45"/>
      <c r="EZ120" s="45"/>
      <c r="FA120" s="45"/>
      <c r="FB120" s="48"/>
      <c r="FC120" s="48"/>
      <c r="FE120" s="45"/>
      <c r="FF120" s="45"/>
      <c r="FG120" s="46"/>
      <c r="FH120" s="48"/>
      <c r="FI120" s="48"/>
      <c r="FK120" s="38"/>
      <c r="FL120" s="40"/>
      <c r="FM120" s="38"/>
      <c r="FN120" s="40"/>
      <c r="FO120" s="40"/>
      <c r="FP120" s="231"/>
      <c r="FQ120" s="45"/>
      <c r="FR120" s="45"/>
      <c r="FS120" s="45"/>
      <c r="FT120" s="48"/>
      <c r="FU120" s="48"/>
      <c r="FW120" s="45">
        <f>200+200</f>
        <v>400</v>
      </c>
      <c r="FX120" s="45">
        <f>0.74+0.62</f>
        <v>1.3599999999999999</v>
      </c>
      <c r="FY120" s="46">
        <v>2</v>
      </c>
      <c r="FZ120" s="48">
        <f t="shared" si="1766"/>
        <v>294.11764705882354</v>
      </c>
      <c r="GA120" s="48">
        <f t="shared" si="1766"/>
        <v>0.67999999999999994</v>
      </c>
      <c r="GC120" s="26">
        <f>200+200+100+200+100</f>
        <v>800</v>
      </c>
      <c r="GD120" s="45">
        <f>0.58+0.58+0.45+0.56+0.46</f>
        <v>2.63</v>
      </c>
      <c r="GE120" s="45">
        <f>5</f>
        <v>5</v>
      </c>
      <c r="GF120" s="48">
        <f t="shared" si="1767"/>
        <v>304.18250950570342</v>
      </c>
      <c r="GG120" s="48">
        <f t="shared" si="1767"/>
        <v>0.52600000000000002</v>
      </c>
      <c r="GI120" s="45">
        <f>100+200+100+200+260</f>
        <v>860</v>
      </c>
      <c r="GJ120" s="45">
        <f>0.66+0.56+0.33+0.25+0.7</f>
        <v>2.5</v>
      </c>
      <c r="GK120" s="45">
        <f>5</f>
        <v>5</v>
      </c>
      <c r="GL120" s="48">
        <f t="shared" si="1768"/>
        <v>344</v>
      </c>
      <c r="GM120" s="48">
        <f t="shared" si="1768"/>
        <v>0.5</v>
      </c>
      <c r="GO120" s="45">
        <f>200+200+200+200+200</f>
        <v>1000</v>
      </c>
      <c r="GP120" s="45">
        <f>0.5+0.5+0.5+0.5+0.5</f>
        <v>2.5</v>
      </c>
      <c r="GQ120" s="45">
        <f>5</f>
        <v>5</v>
      </c>
      <c r="GR120" s="48">
        <f t="shared" si="1769"/>
        <v>400</v>
      </c>
      <c r="GS120" s="48">
        <f t="shared" si="1769"/>
        <v>0.5</v>
      </c>
      <c r="GU120" s="99">
        <f>100+100+100+100+100</f>
        <v>500</v>
      </c>
      <c r="GV120" s="99">
        <f>0.45+0.55+0.62+0.57+0.56</f>
        <v>2.75</v>
      </c>
      <c r="GW120" s="100">
        <v>5</v>
      </c>
      <c r="GX120" s="101">
        <f t="shared" si="1770"/>
        <v>181.81818181818181</v>
      </c>
      <c r="GY120" s="101">
        <f t="shared" si="1770"/>
        <v>0.55000000000000004</v>
      </c>
      <c r="GZ120" s="43"/>
      <c r="HA120" s="28">
        <f>100+100+150+150+150</f>
        <v>650</v>
      </c>
      <c r="HB120" s="28">
        <f>0.27+0.68+0.38+0.45+0.41</f>
        <v>2.19</v>
      </c>
      <c r="HC120" s="28">
        <v>5</v>
      </c>
      <c r="HD120" s="40">
        <f t="shared" si="1771"/>
        <v>296.80365296803654</v>
      </c>
      <c r="HE120" s="40">
        <f t="shared" si="1771"/>
        <v>0.438</v>
      </c>
      <c r="HG120" s="45">
        <v>750</v>
      </c>
      <c r="HH120" s="45">
        <v>4.08</v>
      </c>
      <c r="HI120" s="45">
        <v>5</v>
      </c>
      <c r="HJ120" s="48">
        <f t="shared" si="2122"/>
        <v>183.8235294117647</v>
      </c>
      <c r="HK120" s="48">
        <f t="shared" si="2123"/>
        <v>0.81600000000000006</v>
      </c>
      <c r="HM120" s="45">
        <f>200+200+200</f>
        <v>600</v>
      </c>
      <c r="HN120" s="45">
        <f>0.9+0.69+0.68</f>
        <v>2.27</v>
      </c>
      <c r="HO120" s="46">
        <v>3</v>
      </c>
      <c r="HP120" s="48">
        <f t="shared" si="1839"/>
        <v>264.31718061674007</v>
      </c>
      <c r="HQ120" s="48">
        <f t="shared" si="1839"/>
        <v>0.75666666666666671</v>
      </c>
      <c r="HS120" s="45"/>
      <c r="HT120" s="45"/>
      <c r="HU120" s="46"/>
      <c r="HV120" s="48"/>
      <c r="HW120" s="48"/>
      <c r="HX120" s="231"/>
      <c r="HY120" s="38"/>
      <c r="HZ120" s="40"/>
      <c r="IA120" s="38"/>
      <c r="IB120" s="40"/>
      <c r="IC120" s="40"/>
      <c r="IE120" s="38"/>
      <c r="IF120" s="40"/>
      <c r="IG120" s="38"/>
      <c r="IH120" s="40"/>
      <c r="II120" s="40"/>
      <c r="IK120" s="38"/>
      <c r="IL120" s="40"/>
      <c r="IM120" s="38"/>
      <c r="IN120" s="40"/>
      <c r="IO120" s="40"/>
      <c r="IQ120" s="38">
        <f>150+150+150+150+150</f>
        <v>750</v>
      </c>
      <c r="IR120" s="40">
        <f>0.44+0.54+0.75+0.85+0.71</f>
        <v>3.29</v>
      </c>
      <c r="IS120" s="38">
        <v>5</v>
      </c>
      <c r="IT120" s="40">
        <f t="shared" ref="IT120" si="2178">IQ120/IR120</f>
        <v>227.96352583586625</v>
      </c>
      <c r="IU120" s="40">
        <f t="shared" ref="IU120" si="2179">IR120/IS120</f>
        <v>0.65800000000000003</v>
      </c>
      <c r="IW120" s="38">
        <f>200+200+200+200+200</f>
        <v>1000</v>
      </c>
      <c r="IX120" s="40">
        <f>0.44+0.5+0.53+0.53+0.53</f>
        <v>2.5300000000000002</v>
      </c>
      <c r="IY120" s="38">
        <v>5</v>
      </c>
      <c r="IZ120" s="40">
        <f t="shared" si="2166"/>
        <v>395.25691699604738</v>
      </c>
      <c r="JA120" s="40">
        <f t="shared" si="2167"/>
        <v>0.50600000000000001</v>
      </c>
      <c r="JC120" s="38"/>
      <c r="JD120" s="40"/>
      <c r="JE120" s="38"/>
      <c r="JF120" s="40"/>
      <c r="JG120" s="40"/>
      <c r="JI120" s="38"/>
      <c r="JJ120" s="40"/>
      <c r="JK120" s="38"/>
      <c r="JL120" s="40"/>
      <c r="JM120" s="40"/>
      <c r="JO120" s="38">
        <f>200+200+200+200+200</f>
        <v>1000</v>
      </c>
      <c r="JP120" s="40">
        <f>1.37+1+1.14+1.67+1.24</f>
        <v>6.42</v>
      </c>
      <c r="JQ120" s="38">
        <v>5</v>
      </c>
      <c r="JR120" s="40">
        <f t="shared" si="2172"/>
        <v>155.76323987538942</v>
      </c>
      <c r="JS120" s="40">
        <f t="shared" si="2173"/>
        <v>1.284</v>
      </c>
      <c r="JU120" s="38">
        <f>200+200+200+200+200</f>
        <v>1000</v>
      </c>
      <c r="JV120" s="40">
        <f>0.82+0.81+0.8+0.78+0.82</f>
        <v>4.03</v>
      </c>
      <c r="JW120" s="38">
        <v>5</v>
      </c>
      <c r="JX120" s="40">
        <f t="shared" si="2142"/>
        <v>248.13895781637714</v>
      </c>
      <c r="JY120" s="40">
        <f t="shared" si="2143"/>
        <v>0.80600000000000005</v>
      </c>
      <c r="KA120" s="38">
        <f>200+200+200+200+200</f>
        <v>1000</v>
      </c>
      <c r="KB120" s="40">
        <f>0.39+0.5+0.45+0.28+0.16</f>
        <v>1.78</v>
      </c>
      <c r="KC120" s="38">
        <v>5</v>
      </c>
      <c r="KD120" s="40">
        <f t="shared" si="2162"/>
        <v>561.79775280898878</v>
      </c>
      <c r="KE120" s="40">
        <f t="shared" si="2163"/>
        <v>0.35599999999999998</v>
      </c>
      <c r="KG120" s="38">
        <f>100+100+200+100+50</f>
        <v>550</v>
      </c>
      <c r="KH120" s="40">
        <f>0.36+0.36+0.5+0.39+0.26</f>
        <v>1.8699999999999999</v>
      </c>
      <c r="KI120" s="38">
        <v>5</v>
      </c>
      <c r="KJ120" s="40">
        <f t="shared" si="2060"/>
        <v>294.11764705882354</v>
      </c>
      <c r="KK120" s="40">
        <f t="shared" si="1853"/>
        <v>0.374</v>
      </c>
      <c r="KM120" s="38"/>
      <c r="KN120" s="40"/>
      <c r="KO120" s="38"/>
      <c r="KP120" s="40" t="e">
        <f t="shared" si="2061"/>
        <v>#DIV/0!</v>
      </c>
      <c r="KQ120" s="40" t="e">
        <f t="shared" si="1777"/>
        <v>#DIV/0!</v>
      </c>
      <c r="KS120" s="38"/>
      <c r="KT120" s="40"/>
      <c r="KU120" s="38"/>
      <c r="KV120" s="40" t="e">
        <f t="shared" si="2062"/>
        <v>#DIV/0!</v>
      </c>
      <c r="KW120" s="40" t="e">
        <f t="shared" si="1779"/>
        <v>#DIV/0!</v>
      </c>
      <c r="KY120" s="38"/>
      <c r="KZ120" s="40"/>
      <c r="LA120" s="38"/>
      <c r="LB120" s="40" t="e">
        <f t="shared" si="2063"/>
        <v>#DIV/0!</v>
      </c>
      <c r="LC120" s="40" t="e">
        <f t="shared" si="1781"/>
        <v>#DIV/0!</v>
      </c>
      <c r="LE120" s="38">
        <f>200+200+200+200+200</f>
        <v>1000</v>
      </c>
      <c r="LF120" s="40">
        <f>0.73+0.69+0.5+0.77+0.53</f>
        <v>3.2199999999999998</v>
      </c>
      <c r="LG120" s="38">
        <v>5</v>
      </c>
      <c r="LH120" s="40">
        <f t="shared" si="2064"/>
        <v>310.55900621118013</v>
      </c>
      <c r="LI120" s="40">
        <f t="shared" si="1783"/>
        <v>0.64399999999999991</v>
      </c>
      <c r="LK120" s="38"/>
      <c r="LL120" s="40"/>
      <c r="LM120" s="38"/>
      <c r="LN120" s="40" t="e">
        <f t="shared" si="2065"/>
        <v>#DIV/0!</v>
      </c>
      <c r="LO120" s="40" t="e">
        <f t="shared" si="1785"/>
        <v>#DIV/0!</v>
      </c>
      <c r="LQ120" s="38"/>
      <c r="LR120" s="40"/>
      <c r="LS120" s="38"/>
      <c r="LT120" s="40" t="e">
        <f t="shared" si="2066"/>
        <v>#DIV/0!</v>
      </c>
      <c r="LU120" s="40" t="e">
        <f t="shared" si="1787"/>
        <v>#DIV/0!</v>
      </c>
      <c r="LW120" s="38">
        <f>200+200+200+200+200</f>
        <v>1000</v>
      </c>
      <c r="LX120" s="40">
        <f>0.35+0.38+0.35+0.37+0.36</f>
        <v>1.81</v>
      </c>
      <c r="LY120" s="38">
        <v>5</v>
      </c>
      <c r="LZ120" s="40">
        <f t="shared" si="2067"/>
        <v>552.4861878453039</v>
      </c>
      <c r="MA120" s="40">
        <f t="shared" si="1789"/>
        <v>0.36199999999999999</v>
      </c>
      <c r="MC120" s="38">
        <f>150+200+100</f>
        <v>450</v>
      </c>
      <c r="MD120" s="40">
        <f>0.56+0.76+0.34</f>
        <v>1.6600000000000001</v>
      </c>
      <c r="ME120" s="38">
        <v>3</v>
      </c>
      <c r="MF120" s="40">
        <f t="shared" si="2068"/>
        <v>271.08433734939757</v>
      </c>
      <c r="MG120" s="40">
        <f t="shared" si="1791"/>
        <v>0.55333333333333334</v>
      </c>
      <c r="MI120" s="38">
        <f>100+100+200+200+200</f>
        <v>800</v>
      </c>
      <c r="MJ120" s="40">
        <f>0.4+0.4+0.93+0.88+0.87</f>
        <v>3.48</v>
      </c>
      <c r="MK120" s="38">
        <v>5</v>
      </c>
      <c r="ML120" s="40">
        <f t="shared" si="2069"/>
        <v>229.88505747126436</v>
      </c>
      <c r="MM120" s="40">
        <f t="shared" si="1793"/>
        <v>0.69599999999999995</v>
      </c>
      <c r="MO120" s="38"/>
      <c r="MP120" s="40"/>
      <c r="MQ120" s="38"/>
      <c r="MR120" s="40" t="e">
        <f t="shared" si="2070"/>
        <v>#DIV/0!</v>
      </c>
      <c r="MS120" s="40" t="e">
        <f t="shared" si="1795"/>
        <v>#DIV/0!</v>
      </c>
      <c r="MU120" s="38"/>
      <c r="MV120" s="40"/>
      <c r="MW120" s="38"/>
      <c r="MX120" s="40" t="e">
        <f t="shared" si="2071"/>
        <v>#DIV/0!</v>
      </c>
      <c r="MY120" s="40" t="e">
        <f t="shared" si="1797"/>
        <v>#DIV/0!</v>
      </c>
      <c r="NA120" s="825"/>
      <c r="NB120" s="826"/>
      <c r="NC120" s="825"/>
      <c r="ND120" s="40" t="e">
        <f t="shared" si="2072"/>
        <v>#DIV/0!</v>
      </c>
      <c r="NE120" s="40" t="e">
        <f t="shared" si="1799"/>
        <v>#DIV/0!</v>
      </c>
      <c r="NG120" s="825"/>
      <c r="NH120" s="826"/>
      <c r="NI120" s="825"/>
      <c r="NJ120" s="40" t="e">
        <f t="shared" si="2073"/>
        <v>#DIV/0!</v>
      </c>
      <c r="NK120" s="40" t="e">
        <f t="shared" si="1801"/>
        <v>#DIV/0!</v>
      </c>
      <c r="NM120" s="825"/>
      <c r="NN120" s="825"/>
      <c r="NO120" s="825"/>
      <c r="NP120" s="40" t="e">
        <f t="shared" si="2074"/>
        <v>#DIV/0!</v>
      </c>
      <c r="NQ120" s="40" t="e">
        <f t="shared" si="1803"/>
        <v>#DIV/0!</v>
      </c>
      <c r="NS120" s="825"/>
      <c r="NT120" s="825"/>
      <c r="NU120" s="825"/>
      <c r="NV120" s="40" t="e">
        <f t="shared" si="2075"/>
        <v>#DIV/0!</v>
      </c>
      <c r="NW120" s="40" t="e">
        <f t="shared" si="1805"/>
        <v>#DIV/0!</v>
      </c>
      <c r="NY120" s="913"/>
      <c r="NZ120" s="914"/>
      <c r="OA120" s="918"/>
      <c r="OB120" s="40" t="e">
        <f t="shared" si="2076"/>
        <v>#DIV/0!</v>
      </c>
      <c r="OC120" s="40" t="e">
        <f t="shared" si="1807"/>
        <v>#DIV/0!</v>
      </c>
      <c r="OE120" s="825"/>
      <c r="OF120" s="825"/>
      <c r="OG120" s="825"/>
      <c r="OH120" s="40" t="e">
        <f t="shared" si="2077"/>
        <v>#DIV/0!</v>
      </c>
      <c r="OI120" s="40" t="e">
        <f t="shared" si="1809"/>
        <v>#DIV/0!</v>
      </c>
    </row>
    <row r="121" spans="2:399">
      <c r="B121" s="20"/>
      <c r="C121" s="21" t="s">
        <v>37</v>
      </c>
      <c r="D121" s="58" t="s">
        <v>36</v>
      </c>
      <c r="E121" s="726">
        <f>100+50</f>
        <v>150</v>
      </c>
      <c r="F121" s="45">
        <f>1.35+0.37</f>
        <v>1.7200000000000002</v>
      </c>
      <c r="G121" s="46">
        <v>2</v>
      </c>
      <c r="H121" s="48">
        <f t="shared" si="2115"/>
        <v>87.20930232558139</v>
      </c>
      <c r="I121" s="48">
        <f t="shared" si="2116"/>
        <v>0.8600000000000001</v>
      </c>
      <c r="K121" s="45">
        <f>250</f>
        <v>250</v>
      </c>
      <c r="L121" s="45">
        <f>0.73</f>
        <v>0.73</v>
      </c>
      <c r="M121" s="46">
        <v>1</v>
      </c>
      <c r="N121" s="48">
        <f t="shared" ref="N121:N124" si="2180">K121/L121</f>
        <v>342.46575342465752</v>
      </c>
      <c r="O121" s="48">
        <f t="shared" ref="O121:O124" si="2181">L121/M121</f>
        <v>0.73</v>
      </c>
      <c r="Q121" s="45">
        <v>1000</v>
      </c>
      <c r="R121" s="45">
        <v>10.050000000000001</v>
      </c>
      <c r="S121" s="46">
        <v>5</v>
      </c>
      <c r="T121" s="48">
        <f t="shared" ref="T121:T122" si="2182">Q121/R121</f>
        <v>99.502487562189046</v>
      </c>
      <c r="U121" s="48">
        <f t="shared" ref="U121:U122" si="2183">R121/S121</f>
        <v>2.0100000000000002</v>
      </c>
      <c r="W121" s="45">
        <f>300+300+200+200+200</f>
        <v>1200</v>
      </c>
      <c r="X121" s="45">
        <f>0.9+0.78+0.4+0.5+0.55</f>
        <v>3.13</v>
      </c>
      <c r="Y121" s="46">
        <v>5</v>
      </c>
      <c r="Z121" s="48">
        <f t="shared" ref="Z121:Z122" si="2184">W121/X121</f>
        <v>383.38658146964855</v>
      </c>
      <c r="AA121" s="48">
        <f t="shared" ref="AA121:AA122" si="2185">X121/Y121</f>
        <v>0.626</v>
      </c>
      <c r="AC121" s="45">
        <f>200*5</f>
        <v>1000</v>
      </c>
      <c r="AD121" s="45">
        <f>1.5+1.6+1.4+1.4+1.6</f>
        <v>7.5</v>
      </c>
      <c r="AE121" s="46">
        <v>5</v>
      </c>
      <c r="AF121" s="48">
        <f t="shared" ref="AF121:AF122" si="2186">AC121/AD121</f>
        <v>133.33333333333334</v>
      </c>
      <c r="AG121" s="48">
        <f t="shared" ref="AG121:AG122" si="2187">AD121/AE121</f>
        <v>1.5</v>
      </c>
      <c r="AI121" s="45">
        <f>100+200+200+200+200</f>
        <v>900</v>
      </c>
      <c r="AJ121" s="45">
        <f>1.56+1.29+1.71+1.79+1.91</f>
        <v>8.26</v>
      </c>
      <c r="AK121" s="46">
        <v>5</v>
      </c>
      <c r="AL121" s="48">
        <f t="shared" ref="AL121:AL126" si="2188">AI121/AJ121</f>
        <v>108.9588377723971</v>
      </c>
      <c r="AM121" s="48">
        <f t="shared" ref="AM121:AM126" si="2189">AJ121/AK121</f>
        <v>1.6519999999999999</v>
      </c>
      <c r="AO121" s="45"/>
      <c r="AP121" s="45"/>
      <c r="AQ121" s="46"/>
      <c r="AR121" s="48"/>
      <c r="AS121" s="48"/>
      <c r="AU121" s="45">
        <f>100+100+100+50+50</f>
        <v>400</v>
      </c>
      <c r="AV121" s="45">
        <f>1.5+1.49+1.57+2.07+1.63</f>
        <v>8.2600000000000016</v>
      </c>
      <c r="AW121" s="46">
        <v>5</v>
      </c>
      <c r="AX121" s="48">
        <f t="shared" si="2146"/>
        <v>48.426150121065369</v>
      </c>
      <c r="AY121" s="48">
        <f t="shared" si="2147"/>
        <v>1.6520000000000004</v>
      </c>
      <c r="AZ121" s="593"/>
      <c r="BA121" s="45"/>
      <c r="BB121" s="45"/>
      <c r="BC121" s="46"/>
      <c r="BD121" s="48"/>
      <c r="BE121" s="48"/>
      <c r="BF121" s="593"/>
      <c r="BG121" s="45"/>
      <c r="BH121" s="45"/>
      <c r="BI121" s="46"/>
      <c r="BJ121" s="48"/>
      <c r="BK121" s="48"/>
      <c r="BL121" s="593"/>
      <c r="BM121" s="45"/>
      <c r="BN121" s="45"/>
      <c r="BO121" s="46"/>
      <c r="BP121" s="48"/>
      <c r="BQ121" s="48"/>
      <c r="BS121" s="45"/>
      <c r="BT121" s="45"/>
      <c r="BU121" s="46"/>
      <c r="BV121" s="48"/>
      <c r="BW121" s="48"/>
      <c r="BX121" s="593"/>
      <c r="BY121" s="45">
        <f>200+200+200+200+200</f>
        <v>1000</v>
      </c>
      <c r="BZ121" s="45">
        <f>1.5+1.49+1.57+2.07+1.63</f>
        <v>8.2600000000000016</v>
      </c>
      <c r="CA121" s="46">
        <v>5</v>
      </c>
      <c r="CB121" s="48">
        <f t="shared" si="2174"/>
        <v>121.06537530266341</v>
      </c>
      <c r="CC121" s="48">
        <f t="shared" si="2175"/>
        <v>1.6520000000000004</v>
      </c>
      <c r="CD121" s="593"/>
      <c r="CE121" s="45"/>
      <c r="CF121" s="45"/>
      <c r="CG121" s="46"/>
      <c r="CH121" s="48"/>
      <c r="CI121" s="48"/>
      <c r="CJ121" s="593"/>
      <c r="CK121" s="45">
        <v>1000</v>
      </c>
      <c r="CL121" s="45">
        <v>4.84</v>
      </c>
      <c r="CM121" s="46">
        <v>5</v>
      </c>
      <c r="CN121" s="48">
        <f t="shared" si="2097"/>
        <v>206.61157024793388</v>
      </c>
      <c r="CO121" s="48">
        <f t="shared" si="2098"/>
        <v>0.96799999999999997</v>
      </c>
      <c r="CP121" s="593"/>
      <c r="CQ121" s="45">
        <f>150+150+200+200+200</f>
        <v>900</v>
      </c>
      <c r="CR121" s="45">
        <f>0.51+0.48+0.77+0.6+0.65</f>
        <v>3.01</v>
      </c>
      <c r="CS121" s="46">
        <v>5</v>
      </c>
      <c r="CT121" s="48">
        <f t="shared" ref="CT121:CT124" si="2190">CQ121/CR121</f>
        <v>299.00332225913621</v>
      </c>
      <c r="CU121" s="48">
        <f t="shared" ref="CU121:CU124" si="2191">CR121/CS121</f>
        <v>0.60199999999999998</v>
      </c>
      <c r="CV121" s="593"/>
      <c r="CW121" s="45">
        <f>200+200+200+200+200</f>
        <v>1000</v>
      </c>
      <c r="CX121" s="45">
        <f>1.5+1.49+1.57+2.07+1.63</f>
        <v>8.2600000000000016</v>
      </c>
      <c r="CY121" s="46">
        <v>5</v>
      </c>
      <c r="CZ121" s="48">
        <f t="shared" si="2101"/>
        <v>121.06537530266341</v>
      </c>
      <c r="DA121" s="48">
        <f t="shared" si="2102"/>
        <v>1.6520000000000004</v>
      </c>
      <c r="DB121" s="593"/>
      <c r="DC121" s="45">
        <f>100+100+100+100+100</f>
        <v>500</v>
      </c>
      <c r="DD121" s="45">
        <f>1.35+1.32+1.24+0.99+0.84</f>
        <v>5.74</v>
      </c>
      <c r="DE121" s="46">
        <v>5</v>
      </c>
      <c r="DF121" s="48">
        <f t="shared" si="2103"/>
        <v>87.108013937282223</v>
      </c>
      <c r="DG121" s="48">
        <f t="shared" si="2104"/>
        <v>1.1480000000000001</v>
      </c>
      <c r="DH121" s="593"/>
      <c r="DI121" s="45">
        <v>850</v>
      </c>
      <c r="DJ121" s="45">
        <v>3.1</v>
      </c>
      <c r="DK121" s="46">
        <v>5</v>
      </c>
      <c r="DL121" s="48">
        <f t="shared" si="2176"/>
        <v>274.19354838709677</v>
      </c>
      <c r="DM121" s="48">
        <f t="shared" si="2177"/>
        <v>0.62</v>
      </c>
      <c r="DN121" s="593"/>
      <c r="DO121" s="45">
        <v>650</v>
      </c>
      <c r="DP121" s="45">
        <v>6.12</v>
      </c>
      <c r="DQ121" s="46">
        <v>5</v>
      </c>
      <c r="DR121" s="48">
        <f t="shared" si="2105"/>
        <v>106.20915032679738</v>
      </c>
      <c r="DS121" s="48">
        <f t="shared" si="2106"/>
        <v>1.224</v>
      </c>
      <c r="DT121" s="593"/>
      <c r="DU121" s="45"/>
      <c r="DV121" s="45"/>
      <c r="DW121" s="46"/>
      <c r="DX121" s="48"/>
      <c r="DY121" s="48"/>
      <c r="DZ121" s="593"/>
      <c r="EA121" s="45"/>
      <c r="EB121" s="45"/>
      <c r="EC121" s="46"/>
      <c r="ED121" s="48"/>
      <c r="EE121" s="48"/>
      <c r="EF121" s="593"/>
      <c r="EG121" s="45"/>
      <c r="EH121" s="45"/>
      <c r="EI121" s="46"/>
      <c r="EJ121" s="48"/>
      <c r="EK121" s="48"/>
      <c r="EL121" s="593"/>
      <c r="EM121" s="45"/>
      <c r="EN121" s="45"/>
      <c r="EO121" s="46"/>
      <c r="EP121" s="48"/>
      <c r="EQ121" s="48"/>
      <c r="ES121" s="45">
        <f>200+200+200+200+200</f>
        <v>1000</v>
      </c>
      <c r="ET121" s="45">
        <f>1.5+1.49+1.57+2.07+1.63</f>
        <v>8.2600000000000016</v>
      </c>
      <c r="EU121" s="46">
        <v>5</v>
      </c>
      <c r="EV121" s="48">
        <f t="shared" si="1890"/>
        <v>121.06537530266341</v>
      </c>
      <c r="EW121" s="48">
        <f t="shared" si="1890"/>
        <v>1.6520000000000004</v>
      </c>
      <c r="EY121" s="45">
        <v>900</v>
      </c>
      <c r="EZ121" s="45">
        <v>8.26</v>
      </c>
      <c r="FA121" s="45">
        <v>5</v>
      </c>
      <c r="FB121" s="48">
        <f t="shared" ref="FB121:FC124" si="2192">EY121/EZ121</f>
        <v>108.9588377723971</v>
      </c>
      <c r="FC121" s="48">
        <f t="shared" si="2192"/>
        <v>1.6519999999999999</v>
      </c>
      <c r="FE121" s="45">
        <f>200+200+200+200+200</f>
        <v>1000</v>
      </c>
      <c r="FF121" s="45">
        <v>10.050000000000001</v>
      </c>
      <c r="FG121" s="46">
        <v>5</v>
      </c>
      <c r="FH121" s="48">
        <f t="shared" si="1827"/>
        <v>99.502487562189046</v>
      </c>
      <c r="FI121" s="48">
        <f t="shared" si="1827"/>
        <v>2.0100000000000002</v>
      </c>
      <c r="FK121" s="38">
        <f>200+200+200+200+200</f>
        <v>1000</v>
      </c>
      <c r="FL121" s="40">
        <f>1.58+1.47+1.43+1.76+1.63</f>
        <v>7.8699999999999992</v>
      </c>
      <c r="FM121" s="38">
        <f>5</f>
        <v>5</v>
      </c>
      <c r="FN121" s="40">
        <f t="shared" si="1950"/>
        <v>127.06480304955528</v>
      </c>
      <c r="FO121" s="40">
        <f t="shared" si="1932"/>
        <v>1.5739999999999998</v>
      </c>
      <c r="FP121" s="231"/>
      <c r="FQ121" s="45">
        <f>100+100+150+150+150</f>
        <v>650</v>
      </c>
      <c r="FR121" s="45">
        <f>0.77+0.74+0.87+0.83+0.87</f>
        <v>4.08</v>
      </c>
      <c r="FS121" s="45">
        <f>5</f>
        <v>5</v>
      </c>
      <c r="FT121" s="48">
        <f t="shared" si="1765"/>
        <v>159.31372549019608</v>
      </c>
      <c r="FU121" s="48">
        <f t="shared" si="1765"/>
        <v>0.81600000000000006</v>
      </c>
      <c r="FW121" s="45">
        <f>100+100+100+100+100</f>
        <v>500</v>
      </c>
      <c r="FX121" s="45">
        <f>1.35+1.32+1.24+0.99+0.84</f>
        <v>5.74</v>
      </c>
      <c r="FY121" s="46">
        <v>5</v>
      </c>
      <c r="FZ121" s="48">
        <f t="shared" si="1766"/>
        <v>87.108013937282223</v>
      </c>
      <c r="GA121" s="48">
        <f t="shared" si="1766"/>
        <v>1.1480000000000001</v>
      </c>
      <c r="GC121" s="26">
        <f>100+100+100+100+100</f>
        <v>500</v>
      </c>
      <c r="GD121" s="45">
        <f>0.75+0.61+0.75+0.7+0.78</f>
        <v>3.59</v>
      </c>
      <c r="GE121" s="45">
        <f>5</f>
        <v>5</v>
      </c>
      <c r="GF121" s="48">
        <f t="shared" si="1767"/>
        <v>139.27576601671311</v>
      </c>
      <c r="GG121" s="48">
        <f t="shared" si="1767"/>
        <v>0.71799999999999997</v>
      </c>
      <c r="GI121" s="45">
        <f>200+200+200+200+200</f>
        <v>1000</v>
      </c>
      <c r="GJ121" s="45">
        <f>0.56+0.57+0.62+0.66+0.57</f>
        <v>2.98</v>
      </c>
      <c r="GK121" s="45">
        <f>5</f>
        <v>5</v>
      </c>
      <c r="GL121" s="48">
        <f t="shared" si="1768"/>
        <v>335.57046979865771</v>
      </c>
      <c r="GM121" s="48">
        <f t="shared" si="1768"/>
        <v>0.59599999999999997</v>
      </c>
      <c r="GO121" s="45">
        <f>100+100+100+100+100</f>
        <v>500</v>
      </c>
      <c r="GP121" s="45">
        <f>0.81+0.91+0.59+0.79+0.79</f>
        <v>3.89</v>
      </c>
      <c r="GQ121" s="45">
        <f>5</f>
        <v>5</v>
      </c>
      <c r="GR121" s="48">
        <f t="shared" si="1769"/>
        <v>128.53470437017995</v>
      </c>
      <c r="GS121" s="48">
        <f t="shared" si="1769"/>
        <v>0.77800000000000002</v>
      </c>
      <c r="GU121" s="99">
        <f>250+250+250+250+200</f>
        <v>1200</v>
      </c>
      <c r="GV121" s="99">
        <f>0.64+0.71+0.83+0.64+0.54</f>
        <v>3.3600000000000003</v>
      </c>
      <c r="GW121" s="100">
        <v>5</v>
      </c>
      <c r="GX121" s="101">
        <f t="shared" si="1770"/>
        <v>357.14285714285711</v>
      </c>
      <c r="GY121" s="101">
        <f t="shared" si="1770"/>
        <v>0.67200000000000004</v>
      </c>
      <c r="GZ121" s="43"/>
      <c r="HA121" s="28">
        <f>200+200+200+100+200</f>
        <v>900</v>
      </c>
      <c r="HB121" s="28">
        <f>1.37+1.26+1.61+0.79+1.58</f>
        <v>6.61</v>
      </c>
      <c r="HC121" s="28">
        <v>5</v>
      </c>
      <c r="HD121" s="40">
        <f t="shared" si="1771"/>
        <v>136.15733736762479</v>
      </c>
      <c r="HE121" s="40">
        <f t="shared" si="1771"/>
        <v>1.3220000000000001</v>
      </c>
      <c r="HG121" s="45">
        <v>650</v>
      </c>
      <c r="HH121" s="45">
        <v>6.12</v>
      </c>
      <c r="HI121" s="45">
        <v>5</v>
      </c>
      <c r="HJ121" s="48">
        <f t="shared" si="2122"/>
        <v>106.20915032679738</v>
      </c>
      <c r="HK121" s="48">
        <f t="shared" si="2123"/>
        <v>1.224</v>
      </c>
      <c r="HM121" s="45">
        <f>200+200+150+200+200</f>
        <v>950</v>
      </c>
      <c r="HN121" s="45">
        <f>0.69+0.65+0.59+0.49+0.41</f>
        <v>2.83</v>
      </c>
      <c r="HO121" s="46">
        <v>5</v>
      </c>
      <c r="HP121" s="48">
        <f t="shared" si="1839"/>
        <v>335.68904593639576</v>
      </c>
      <c r="HQ121" s="48">
        <f t="shared" si="1839"/>
        <v>0.56600000000000006</v>
      </c>
      <c r="HS121" s="45">
        <f>250</f>
        <v>250</v>
      </c>
      <c r="HT121" s="45">
        <f>0.73</f>
        <v>0.73</v>
      </c>
      <c r="HU121" s="46">
        <v>1</v>
      </c>
      <c r="HV121" s="48">
        <f t="shared" si="1933"/>
        <v>342.46575342465752</v>
      </c>
      <c r="HW121" s="48">
        <f t="shared" si="1933"/>
        <v>0.73</v>
      </c>
      <c r="HX121" s="231"/>
      <c r="HY121" s="38">
        <f>200+200+200+200+200</f>
        <v>1000</v>
      </c>
      <c r="HZ121" s="40">
        <f>0.57+0.72+0.8+0.73+0.72</f>
        <v>3.54</v>
      </c>
      <c r="IA121" s="38">
        <f>5</f>
        <v>5</v>
      </c>
      <c r="IB121" s="40">
        <f t="shared" si="1828"/>
        <v>282.4858757062147</v>
      </c>
      <c r="IC121" s="40">
        <f t="shared" si="1840"/>
        <v>0.70799999999999996</v>
      </c>
      <c r="IE121" s="38">
        <f>200+200+200+200</f>
        <v>800</v>
      </c>
      <c r="IF121" s="40">
        <f>1.76+1.07+1.42+1.42</f>
        <v>5.67</v>
      </c>
      <c r="IG121" s="38">
        <f>4</f>
        <v>4</v>
      </c>
      <c r="IH121" s="40">
        <f t="shared" si="1841"/>
        <v>141.09347442680777</v>
      </c>
      <c r="II121" s="40">
        <f t="shared" si="1842"/>
        <v>1.4175</v>
      </c>
      <c r="IK121" s="38">
        <f>200+200+200+200+200</f>
        <v>1000</v>
      </c>
      <c r="IL121" s="40">
        <f>0.59+0.78+0.54+0.75+0.71</f>
        <v>3.37</v>
      </c>
      <c r="IM121" s="38">
        <v>5</v>
      </c>
      <c r="IN121" s="40">
        <f t="shared" ref="IN121:IN125" si="2193">IK121/IL121</f>
        <v>296.73590504451039</v>
      </c>
      <c r="IO121" s="40">
        <f t="shared" ref="IO121:IO124" si="2194">IL121/IM121</f>
        <v>0.67400000000000004</v>
      </c>
      <c r="IQ121" s="38">
        <f>190+150+150+150+150</f>
        <v>790</v>
      </c>
      <c r="IR121" s="40">
        <f>1.27+1.25+1.1+1.26+1.15</f>
        <v>6.0299999999999994</v>
      </c>
      <c r="IS121" s="38">
        <v>5</v>
      </c>
      <c r="IT121" s="40">
        <f t="shared" ref="IT121:IT124" si="2195">IQ121/IR121</f>
        <v>131.01160862354894</v>
      </c>
      <c r="IU121" s="40">
        <f t="shared" ref="IU121:IU124" si="2196">IR121/IS121</f>
        <v>1.206</v>
      </c>
      <c r="IW121" s="38">
        <f>300+200+100+100+150</f>
        <v>850</v>
      </c>
      <c r="IX121" s="40">
        <f>1.86+0.71+1.28+1.46+1.2</f>
        <v>6.5100000000000007</v>
      </c>
      <c r="IY121" s="38">
        <v>5</v>
      </c>
      <c r="IZ121" s="40">
        <f t="shared" ref="IZ121:IZ125" si="2197">IW121/IX121</f>
        <v>130.56835637480796</v>
      </c>
      <c r="JA121" s="40">
        <f t="shared" ref="JA121:JA124" si="2198">IX121/IY121</f>
        <v>1.302</v>
      </c>
      <c r="JC121" s="38">
        <f>200+200+200+200+200</f>
        <v>1000</v>
      </c>
      <c r="JD121" s="40">
        <f>1.24+1.28+1.35+1.6+1.21</f>
        <v>6.6800000000000006</v>
      </c>
      <c r="JE121" s="38">
        <f>5</f>
        <v>5</v>
      </c>
      <c r="JF121" s="40">
        <f t="shared" ref="JF121:JF125" si="2199">JC121/JD121</f>
        <v>149.70059880239521</v>
      </c>
      <c r="JG121" s="40">
        <f t="shared" ref="JG121:JG124" si="2200">JD121/JE121</f>
        <v>1.3360000000000001</v>
      </c>
      <c r="JI121" s="38">
        <f>200+200+200+200+200</f>
        <v>1000</v>
      </c>
      <c r="JJ121" s="40">
        <f>1.27+1.43+1.37+1.53+1.35</f>
        <v>6.9500000000000011</v>
      </c>
      <c r="JK121" s="38">
        <v>5</v>
      </c>
      <c r="JL121" s="40">
        <f t="shared" ref="JL121:JL124" si="2201">JI121/JJ121</f>
        <v>143.88489208633092</v>
      </c>
      <c r="JM121" s="40">
        <f t="shared" ref="JM121:JM124" si="2202">JJ121/JK121</f>
        <v>1.3900000000000001</v>
      </c>
      <c r="JO121" s="38">
        <f>200+200+200+200+200</f>
        <v>1000</v>
      </c>
      <c r="JP121" s="40">
        <f>1.12+1.42+1.29+1.44+1.43</f>
        <v>6.6999999999999993</v>
      </c>
      <c r="JQ121" s="38">
        <v>5</v>
      </c>
      <c r="JR121" s="40">
        <f t="shared" ref="JR121:JR124" si="2203">JO121/JP121</f>
        <v>149.25373134328359</v>
      </c>
      <c r="JS121" s="40">
        <f t="shared" ref="JS121:JS124" si="2204">JP121/JQ121</f>
        <v>1.3399999999999999</v>
      </c>
      <c r="JU121" s="38">
        <f>200+200+200+200+200</f>
        <v>1000</v>
      </c>
      <c r="JV121" s="40">
        <f>0.95+1.11+1.1+0.98+0.97</f>
        <v>5.1100000000000003</v>
      </c>
      <c r="JW121" s="38">
        <v>5</v>
      </c>
      <c r="JX121" s="40">
        <f t="shared" si="2142"/>
        <v>195.69471624266143</v>
      </c>
      <c r="JY121" s="40">
        <f t="shared" si="2143"/>
        <v>1.022</v>
      </c>
      <c r="KA121" s="38">
        <f>350+350</f>
        <v>700</v>
      </c>
      <c r="KB121" s="40">
        <f>1.04+0.6</f>
        <v>1.6400000000000001</v>
      </c>
      <c r="KC121" s="38">
        <v>2</v>
      </c>
      <c r="KD121" s="40">
        <f t="shared" si="2162"/>
        <v>426.82926829268291</v>
      </c>
      <c r="KE121" s="40">
        <f t="shared" si="2163"/>
        <v>0.82000000000000006</v>
      </c>
      <c r="KG121" s="38"/>
      <c r="KH121" s="40"/>
      <c r="KI121" s="38"/>
      <c r="KJ121" s="40" t="e">
        <f t="shared" si="2060"/>
        <v>#DIV/0!</v>
      </c>
      <c r="KK121" s="40" t="e">
        <f t="shared" si="1853"/>
        <v>#DIV/0!</v>
      </c>
      <c r="KM121" s="38"/>
      <c r="KN121" s="40"/>
      <c r="KO121" s="38"/>
      <c r="KP121" s="40" t="e">
        <f t="shared" si="2061"/>
        <v>#DIV/0!</v>
      </c>
      <c r="KQ121" s="40" t="e">
        <f t="shared" si="1777"/>
        <v>#DIV/0!</v>
      </c>
      <c r="KS121" s="38"/>
      <c r="KT121" s="40"/>
      <c r="KU121" s="38"/>
      <c r="KV121" s="40" t="e">
        <f t="shared" si="2062"/>
        <v>#DIV/0!</v>
      </c>
      <c r="KW121" s="40" t="e">
        <f t="shared" si="1779"/>
        <v>#DIV/0!</v>
      </c>
      <c r="KY121" s="38"/>
      <c r="KZ121" s="40"/>
      <c r="LA121" s="38"/>
      <c r="LB121" s="40" t="e">
        <f t="shared" si="2063"/>
        <v>#DIV/0!</v>
      </c>
      <c r="LC121" s="40" t="e">
        <f t="shared" si="1781"/>
        <v>#DIV/0!</v>
      </c>
      <c r="LE121" s="38">
        <f>300+300+300+300+300</f>
        <v>1500</v>
      </c>
      <c r="LF121" s="40">
        <f>54+0.6+0.65+0.65+0.68</f>
        <v>56.58</v>
      </c>
      <c r="LG121" s="38">
        <v>5</v>
      </c>
      <c r="LH121" s="40">
        <f t="shared" si="2064"/>
        <v>26.511134676564158</v>
      </c>
      <c r="LI121" s="40">
        <f t="shared" si="1783"/>
        <v>11.315999999999999</v>
      </c>
      <c r="LK121" s="38">
        <f>200+200+200+200+200</f>
        <v>1000</v>
      </c>
      <c r="LL121" s="40">
        <f>1.5+1.5+1.89+1.58+1.48</f>
        <v>7.9499999999999993</v>
      </c>
      <c r="LM121" s="38">
        <v>5</v>
      </c>
      <c r="LN121" s="40">
        <f t="shared" si="2065"/>
        <v>125.78616352201259</v>
      </c>
      <c r="LO121" s="40">
        <f t="shared" si="1785"/>
        <v>1.5899999999999999</v>
      </c>
      <c r="LQ121" s="38">
        <f>100+100+100+100+100</f>
        <v>500</v>
      </c>
      <c r="LR121" s="40">
        <f>1.3+1.45+1.15+1.84+1.32</f>
        <v>7.0600000000000005</v>
      </c>
      <c r="LS121" s="38">
        <v>5</v>
      </c>
      <c r="LT121" s="40">
        <f t="shared" si="2066"/>
        <v>70.821529745042483</v>
      </c>
      <c r="LU121" s="40">
        <f t="shared" si="1787"/>
        <v>1.4120000000000001</v>
      </c>
      <c r="LW121" s="38">
        <f>200+200+200+150+150</f>
        <v>900</v>
      </c>
      <c r="LX121" s="40">
        <f>1.38+1.09+1.97+1.05+1.31</f>
        <v>6.7999999999999989</v>
      </c>
      <c r="LY121" s="38">
        <v>5</v>
      </c>
      <c r="LZ121" s="40">
        <f t="shared" si="2067"/>
        <v>132.35294117647061</v>
      </c>
      <c r="MA121" s="40">
        <f t="shared" si="1789"/>
        <v>1.3599999999999999</v>
      </c>
      <c r="MC121" s="38">
        <f>200+200+200+200+200</f>
        <v>1000</v>
      </c>
      <c r="MD121" s="40">
        <f>1.05+1.2+0.98+0.99+1.3</f>
        <v>5.52</v>
      </c>
      <c r="ME121" s="38">
        <v>5</v>
      </c>
      <c r="MF121" s="40">
        <f t="shared" si="2068"/>
        <v>181.15942028985509</v>
      </c>
      <c r="MG121" s="40">
        <f t="shared" si="1791"/>
        <v>1.1039999999999999</v>
      </c>
      <c r="MI121" s="38">
        <f>200+200+200+150+150</f>
        <v>900</v>
      </c>
      <c r="MJ121" s="40">
        <f>1.14+1.06+0.92+0.53+0.42</f>
        <v>4.07</v>
      </c>
      <c r="MK121" s="38">
        <v>5</v>
      </c>
      <c r="ML121" s="40">
        <f t="shared" si="2069"/>
        <v>221.13022113022112</v>
      </c>
      <c r="MM121" s="40">
        <f t="shared" si="1793"/>
        <v>0.81400000000000006</v>
      </c>
      <c r="MO121" s="38"/>
      <c r="MP121" s="40"/>
      <c r="MQ121" s="38"/>
      <c r="MR121" s="40" t="e">
        <f t="shared" si="2070"/>
        <v>#DIV/0!</v>
      </c>
      <c r="MS121" s="40" t="e">
        <f t="shared" si="1795"/>
        <v>#DIV/0!</v>
      </c>
      <c r="MU121" s="38"/>
      <c r="MV121" s="40"/>
      <c r="MW121" s="38"/>
      <c r="MX121" s="40" t="e">
        <f t="shared" si="2071"/>
        <v>#DIV/0!</v>
      </c>
      <c r="MY121" s="40" t="e">
        <f t="shared" si="1797"/>
        <v>#DIV/0!</v>
      </c>
      <c r="NA121" s="825"/>
      <c r="NB121" s="826"/>
      <c r="NC121" s="825"/>
      <c r="ND121" s="40" t="e">
        <f t="shared" si="2072"/>
        <v>#DIV/0!</v>
      </c>
      <c r="NE121" s="40" t="e">
        <f t="shared" si="1799"/>
        <v>#DIV/0!</v>
      </c>
      <c r="NG121" s="825">
        <f>300+300</f>
        <v>600</v>
      </c>
      <c r="NH121" s="826">
        <f>0.6+0.56</f>
        <v>1.1600000000000001</v>
      </c>
      <c r="NI121" s="825">
        <v>2</v>
      </c>
      <c r="NJ121" s="40">
        <f t="shared" si="2073"/>
        <v>517.24137931034477</v>
      </c>
      <c r="NK121" s="40">
        <f t="shared" si="1801"/>
        <v>0.58000000000000007</v>
      </c>
      <c r="NM121" s="825">
        <f>300+300+300+300+300</f>
        <v>1500</v>
      </c>
      <c r="NN121" s="826">
        <f>1.01+0.99+1.02+1.03+0.88</f>
        <v>4.93</v>
      </c>
      <c r="NO121" s="825">
        <v>5</v>
      </c>
      <c r="NP121" s="40">
        <f t="shared" si="2074"/>
        <v>304.25963488843814</v>
      </c>
      <c r="NQ121" s="40">
        <f t="shared" si="1803"/>
        <v>0.98599999999999999</v>
      </c>
      <c r="NS121" s="904">
        <f>200+200+200+200+200</f>
        <v>1000</v>
      </c>
      <c r="NT121" s="905">
        <f>0.83+0.68+1.07+1.24+1.21</f>
        <v>5.03</v>
      </c>
      <c r="NU121" s="825">
        <v>5</v>
      </c>
      <c r="NV121" s="40">
        <f t="shared" si="2075"/>
        <v>198.80715705765405</v>
      </c>
      <c r="NW121" s="40">
        <f t="shared" si="1805"/>
        <v>1.006</v>
      </c>
      <c r="NY121" s="913">
        <f>150+150+150+150+150</f>
        <v>750</v>
      </c>
      <c r="NZ121" s="914">
        <f>1.27+1.09+1.09+1.1+1.1</f>
        <v>5.65</v>
      </c>
      <c r="OA121" s="918">
        <v>5</v>
      </c>
      <c r="OB121" s="40">
        <f t="shared" si="2076"/>
        <v>132.74336283185841</v>
      </c>
      <c r="OC121" s="40">
        <f t="shared" si="1807"/>
        <v>1.1300000000000001</v>
      </c>
      <c r="OE121" s="825">
        <f>200+200+200+200+200</f>
        <v>1000</v>
      </c>
      <c r="OF121" s="826">
        <f>1.25+1.39+1.66+1.42+1.48</f>
        <v>7.1999999999999993</v>
      </c>
      <c r="OG121" s="825">
        <v>5</v>
      </c>
      <c r="OH121" s="40">
        <f t="shared" si="2077"/>
        <v>138.88888888888891</v>
      </c>
      <c r="OI121" s="40">
        <f t="shared" si="1809"/>
        <v>1.44</v>
      </c>
    </row>
    <row r="122" spans="2:399">
      <c r="B122" s="20"/>
      <c r="C122" s="21" t="s">
        <v>38</v>
      </c>
      <c r="D122" s="58" t="s">
        <v>14</v>
      </c>
      <c r="E122" s="726">
        <f>100+30+50+150+100</f>
        <v>430</v>
      </c>
      <c r="F122" s="45">
        <f>0.42+0.32+0.36+0.54+0.47</f>
        <v>2.1100000000000003</v>
      </c>
      <c r="G122" s="46">
        <v>5</v>
      </c>
      <c r="H122" s="48">
        <f t="shared" si="2115"/>
        <v>203.79146919431275</v>
      </c>
      <c r="I122" s="48">
        <f t="shared" si="2116"/>
        <v>0.42200000000000004</v>
      </c>
      <c r="K122" s="45">
        <f>150+200+100+50</f>
        <v>500</v>
      </c>
      <c r="L122" s="45">
        <f>0.59+0.72+0.55+0.28</f>
        <v>2.14</v>
      </c>
      <c r="M122" s="46">
        <v>4</v>
      </c>
      <c r="N122" s="48">
        <f t="shared" si="2180"/>
        <v>233.64485981308411</v>
      </c>
      <c r="O122" s="48">
        <f t="shared" si="2181"/>
        <v>0.53500000000000003</v>
      </c>
      <c r="Q122" s="45">
        <v>530</v>
      </c>
      <c r="R122" s="45">
        <v>3.95</v>
      </c>
      <c r="S122" s="46">
        <v>5</v>
      </c>
      <c r="T122" s="48">
        <f t="shared" si="2182"/>
        <v>134.17721518987341</v>
      </c>
      <c r="U122" s="48">
        <f t="shared" si="2183"/>
        <v>0.79</v>
      </c>
      <c r="W122" s="45">
        <v>150</v>
      </c>
      <c r="X122" s="45">
        <v>0.37</v>
      </c>
      <c r="Y122" s="46">
        <v>1</v>
      </c>
      <c r="Z122" s="48">
        <f t="shared" si="2184"/>
        <v>405.40540540540542</v>
      </c>
      <c r="AA122" s="48">
        <f t="shared" si="2185"/>
        <v>0.37</v>
      </c>
      <c r="AC122" s="45">
        <f>200+150+150+150+200</f>
        <v>850</v>
      </c>
      <c r="AD122" s="45">
        <f>0.6+0.5+0.7+0.7+0.6</f>
        <v>3.1</v>
      </c>
      <c r="AE122" s="46">
        <v>5</v>
      </c>
      <c r="AF122" s="48">
        <f t="shared" si="2186"/>
        <v>274.19354838709677</v>
      </c>
      <c r="AG122" s="48">
        <f t="shared" si="2187"/>
        <v>0.62</v>
      </c>
      <c r="AI122" s="45">
        <f>30+50+150+100+150</f>
        <v>480</v>
      </c>
      <c r="AJ122" s="45">
        <f>0.38+0.43+0.84+0.52+0.8</f>
        <v>2.9699999999999998</v>
      </c>
      <c r="AK122" s="46">
        <v>5</v>
      </c>
      <c r="AL122" s="48">
        <f t="shared" si="2188"/>
        <v>161.61616161616163</v>
      </c>
      <c r="AM122" s="48">
        <f t="shared" si="2189"/>
        <v>0.59399999999999997</v>
      </c>
      <c r="AO122" s="45"/>
      <c r="AP122" s="45"/>
      <c r="AQ122" s="46"/>
      <c r="AR122" s="48"/>
      <c r="AS122" s="48"/>
      <c r="AU122" s="45">
        <f>100+100+150+200+50</f>
        <v>600</v>
      </c>
      <c r="AV122" s="45">
        <f>0.45+0.41+0.66+0.65+0.41</f>
        <v>2.58</v>
      </c>
      <c r="AW122" s="46">
        <v>5</v>
      </c>
      <c r="AX122" s="48">
        <f t="shared" si="2146"/>
        <v>232.55813953488371</v>
      </c>
      <c r="AY122" s="48">
        <f t="shared" si="2147"/>
        <v>0.51600000000000001</v>
      </c>
      <c r="AZ122" s="593"/>
      <c r="BA122" s="45">
        <f>200+100+50+200+150</f>
        <v>700</v>
      </c>
      <c r="BB122" s="45">
        <f>0.64+0.45+0.34+0.57+0.39</f>
        <v>2.39</v>
      </c>
      <c r="BC122" s="46">
        <v>5</v>
      </c>
      <c r="BD122" s="48">
        <f t="shared" si="2119"/>
        <v>292.88702928870293</v>
      </c>
      <c r="BE122" s="48">
        <f t="shared" si="2120"/>
        <v>0.47800000000000004</v>
      </c>
      <c r="BF122" s="593"/>
      <c r="BG122" s="45"/>
      <c r="BH122" s="45"/>
      <c r="BI122" s="46"/>
      <c r="BJ122" s="48"/>
      <c r="BK122" s="48"/>
      <c r="BL122" s="593"/>
      <c r="BM122" s="45"/>
      <c r="BN122" s="45"/>
      <c r="BO122" s="46"/>
      <c r="BP122" s="48"/>
      <c r="BQ122" s="48"/>
      <c r="BS122" s="45"/>
      <c r="BT122" s="45"/>
      <c r="BU122" s="46"/>
      <c r="BV122" s="48"/>
      <c r="BW122" s="48"/>
      <c r="BX122" s="593"/>
      <c r="BY122" s="45">
        <f>100+50+150+200+50</f>
        <v>550</v>
      </c>
      <c r="BZ122" s="45">
        <f>0.45+0.5+0.66+0.65+0.41</f>
        <v>2.67</v>
      </c>
      <c r="CA122" s="46">
        <v>5</v>
      </c>
      <c r="CB122" s="48">
        <f t="shared" si="2174"/>
        <v>205.99250936329588</v>
      </c>
      <c r="CC122" s="48">
        <f t="shared" si="2175"/>
        <v>0.53400000000000003</v>
      </c>
      <c r="CD122" s="593"/>
      <c r="CE122" s="45"/>
      <c r="CF122" s="45"/>
      <c r="CG122" s="46"/>
      <c r="CH122" s="48"/>
      <c r="CI122" s="48"/>
      <c r="CJ122" s="593"/>
      <c r="CK122" s="45">
        <v>600</v>
      </c>
      <c r="CL122" s="45">
        <v>1.77</v>
      </c>
      <c r="CM122" s="46">
        <v>5</v>
      </c>
      <c r="CN122" s="48">
        <f t="shared" si="2097"/>
        <v>338.9830508474576</v>
      </c>
      <c r="CO122" s="48">
        <f t="shared" si="2098"/>
        <v>0.35399999999999998</v>
      </c>
      <c r="CP122" s="593"/>
      <c r="CQ122" s="45">
        <f>200+200+150+150+100</f>
        <v>800</v>
      </c>
      <c r="CR122" s="45">
        <f>0.45+0.54+0.42+0.45+0.28</f>
        <v>2.1399999999999997</v>
      </c>
      <c r="CS122" s="46">
        <v>5</v>
      </c>
      <c r="CT122" s="48">
        <f t="shared" si="2190"/>
        <v>373.83177570093466</v>
      </c>
      <c r="CU122" s="48">
        <f t="shared" si="2191"/>
        <v>0.42799999999999994</v>
      </c>
      <c r="CV122" s="593"/>
      <c r="CW122" s="45">
        <f>100+50+150+200+50</f>
        <v>550</v>
      </c>
      <c r="CX122" s="45">
        <f>0.45+0.5+0.66+0.65+0.41</f>
        <v>2.67</v>
      </c>
      <c r="CY122" s="46">
        <v>5</v>
      </c>
      <c r="CZ122" s="48">
        <f t="shared" si="2101"/>
        <v>205.99250936329588</v>
      </c>
      <c r="DA122" s="48">
        <f t="shared" si="2102"/>
        <v>0.53400000000000003</v>
      </c>
      <c r="DB122" s="593"/>
      <c r="DC122" s="45">
        <f>300+150+200+100+80</f>
        <v>830</v>
      </c>
      <c r="DD122" s="45">
        <f>1.29+0.71+0.93+0.58+0.52</f>
        <v>4.03</v>
      </c>
      <c r="DE122" s="46">
        <v>5</v>
      </c>
      <c r="DF122" s="48">
        <f t="shared" si="2103"/>
        <v>205.95533498759303</v>
      </c>
      <c r="DG122" s="48">
        <f t="shared" si="2104"/>
        <v>0.80600000000000005</v>
      </c>
      <c r="DH122" s="593"/>
      <c r="DI122" s="45">
        <v>2050</v>
      </c>
      <c r="DJ122" s="45">
        <v>12.399999999999999</v>
      </c>
      <c r="DK122" s="46">
        <v>5</v>
      </c>
      <c r="DL122" s="48">
        <f t="shared" si="2176"/>
        <v>165.32258064516131</v>
      </c>
      <c r="DM122" s="48">
        <f t="shared" si="2177"/>
        <v>2.4799999999999995</v>
      </c>
      <c r="DN122" s="593"/>
      <c r="DO122" s="45">
        <v>550</v>
      </c>
      <c r="DP122" s="45">
        <v>1.78</v>
      </c>
      <c r="DQ122" s="46">
        <v>5</v>
      </c>
      <c r="DR122" s="48">
        <f t="shared" si="2105"/>
        <v>308.98876404494382</v>
      </c>
      <c r="DS122" s="48">
        <f t="shared" si="2106"/>
        <v>0.35599999999999998</v>
      </c>
      <c r="DT122" s="593"/>
      <c r="DU122" s="45"/>
      <c r="DV122" s="45"/>
      <c r="DW122" s="46"/>
      <c r="DX122" s="48"/>
      <c r="DY122" s="48"/>
      <c r="DZ122" s="593"/>
      <c r="EA122" s="45"/>
      <c r="EB122" s="45"/>
      <c r="EC122" s="46"/>
      <c r="ED122" s="48"/>
      <c r="EE122" s="48"/>
      <c r="EF122" s="593"/>
      <c r="EG122" s="45"/>
      <c r="EH122" s="45"/>
      <c r="EI122" s="46"/>
      <c r="EJ122" s="48"/>
      <c r="EK122" s="48"/>
      <c r="EL122" s="593"/>
      <c r="EM122" s="45"/>
      <c r="EN122" s="45"/>
      <c r="EO122" s="46"/>
      <c r="EP122" s="48"/>
      <c r="EQ122" s="48"/>
      <c r="ES122" s="45">
        <f>100+50+150+200+50</f>
        <v>550</v>
      </c>
      <c r="ET122" s="45">
        <f>0.45+0.5+0.66+0.65+0.41</f>
        <v>2.67</v>
      </c>
      <c r="EU122" s="46">
        <v>5</v>
      </c>
      <c r="EV122" s="48">
        <f t="shared" si="1890"/>
        <v>205.99250936329588</v>
      </c>
      <c r="EW122" s="48">
        <f t="shared" si="1890"/>
        <v>0.53400000000000003</v>
      </c>
      <c r="EY122" s="45">
        <v>480</v>
      </c>
      <c r="EZ122" s="45">
        <v>2.9699999999999998</v>
      </c>
      <c r="FA122" s="45">
        <v>5</v>
      </c>
      <c r="FB122" s="48">
        <f t="shared" si="2192"/>
        <v>161.61616161616163</v>
      </c>
      <c r="FC122" s="48">
        <f t="shared" si="2192"/>
        <v>0.59399999999999997</v>
      </c>
      <c r="FE122" s="46">
        <v>530</v>
      </c>
      <c r="FF122" s="46">
        <v>3.95</v>
      </c>
      <c r="FG122" s="46">
        <v>5</v>
      </c>
      <c r="FH122" s="48">
        <f t="shared" si="1827"/>
        <v>134.17721518987341</v>
      </c>
      <c r="FI122" s="48">
        <f t="shared" si="1827"/>
        <v>0.79</v>
      </c>
      <c r="FK122" s="38">
        <f>200+200+100+100+50</f>
        <v>650</v>
      </c>
      <c r="FL122" s="40">
        <f>0.54+0.72+0.37+0.37+0.23</f>
        <v>2.23</v>
      </c>
      <c r="FM122" s="38">
        <f>5</f>
        <v>5</v>
      </c>
      <c r="FN122" s="40">
        <f t="shared" si="1950"/>
        <v>291.47982062780267</v>
      </c>
      <c r="FO122" s="40">
        <f t="shared" si="1932"/>
        <v>0.44600000000000001</v>
      </c>
      <c r="FP122" s="231"/>
      <c r="FQ122" s="45">
        <f>200+200+100+100+300</f>
        <v>900</v>
      </c>
      <c r="FR122" s="45">
        <f>0.79+0.43+0.22+0.35+0.26</f>
        <v>2.0499999999999998</v>
      </c>
      <c r="FS122" s="45">
        <f>5</f>
        <v>5</v>
      </c>
      <c r="FT122" s="48">
        <f t="shared" si="1765"/>
        <v>439.02439024390247</v>
      </c>
      <c r="FU122" s="48">
        <f t="shared" si="1765"/>
        <v>0.41</v>
      </c>
      <c r="FW122" s="45">
        <f>300+150+200+100+80</f>
        <v>830</v>
      </c>
      <c r="FX122" s="45">
        <f>1.29+0.71+0.93+0.58+0.52</f>
        <v>4.03</v>
      </c>
      <c r="FY122" s="46">
        <v>5</v>
      </c>
      <c r="FZ122" s="48">
        <f t="shared" si="1766"/>
        <v>205.95533498759303</v>
      </c>
      <c r="GA122" s="48">
        <f t="shared" si="1766"/>
        <v>0.80600000000000005</v>
      </c>
      <c r="GC122" s="26">
        <f>100+150+150+150+150</f>
        <v>700</v>
      </c>
      <c r="GD122" s="45">
        <f>1.01+1.61+1.61+1.61+1.61</f>
        <v>7.4500000000000011</v>
      </c>
      <c r="GE122" s="45">
        <f>5</f>
        <v>5</v>
      </c>
      <c r="GF122" s="48"/>
      <c r="GG122" s="48"/>
      <c r="GI122" s="45">
        <f>100+100+100+100+158</f>
        <v>558</v>
      </c>
      <c r="GJ122" s="45">
        <f>1.72+1.72+1.72+1.72+1.9</f>
        <v>8.7799999999999994</v>
      </c>
      <c r="GK122" s="45">
        <f>5</f>
        <v>5</v>
      </c>
      <c r="GL122" s="48">
        <f t="shared" si="1768"/>
        <v>63.553530751708436</v>
      </c>
      <c r="GM122" s="48">
        <f t="shared" si="1768"/>
        <v>1.7559999999999998</v>
      </c>
      <c r="GO122" s="45">
        <f>300+200+150+100+50</f>
        <v>800</v>
      </c>
      <c r="GP122" s="45">
        <f>3.3+2.2+2.6+1.15+0.59</f>
        <v>9.84</v>
      </c>
      <c r="GQ122" s="45">
        <f>5</f>
        <v>5</v>
      </c>
      <c r="GR122" s="48">
        <f t="shared" si="1769"/>
        <v>81.300813008130078</v>
      </c>
      <c r="GS122" s="48">
        <f t="shared" si="1769"/>
        <v>1.968</v>
      </c>
      <c r="GU122" s="99">
        <f>30+100+100+200+150</f>
        <v>580</v>
      </c>
      <c r="GV122" s="99">
        <f>0.23+0.51+0.43+0.29+0.19</f>
        <v>1.65</v>
      </c>
      <c r="GW122" s="100">
        <v>5</v>
      </c>
      <c r="GX122" s="101">
        <f t="shared" si="1770"/>
        <v>351.51515151515156</v>
      </c>
      <c r="GY122" s="101">
        <f t="shared" si="1770"/>
        <v>0.32999999999999996</v>
      </c>
      <c r="GZ122" s="43"/>
      <c r="HA122" s="28">
        <f>50+150+200+100+20</f>
        <v>520</v>
      </c>
      <c r="HB122" s="28">
        <f>0.3+0.59+0.72+0.74+0.22</f>
        <v>2.57</v>
      </c>
      <c r="HC122" s="28">
        <v>5</v>
      </c>
      <c r="HD122" s="40">
        <f t="shared" si="1771"/>
        <v>202.33463035019457</v>
      </c>
      <c r="HE122" s="40">
        <f t="shared" si="1771"/>
        <v>0.51400000000000001</v>
      </c>
      <c r="HG122" s="45">
        <v>550</v>
      </c>
      <c r="HH122" s="45">
        <v>1.78</v>
      </c>
      <c r="HI122" s="45">
        <v>5</v>
      </c>
      <c r="HJ122" s="48">
        <f t="shared" si="2122"/>
        <v>308.98876404494382</v>
      </c>
      <c r="HK122" s="48">
        <f t="shared" si="2123"/>
        <v>0.35599999999999998</v>
      </c>
      <c r="HM122" s="45">
        <f>100+30+50+150+100</f>
        <v>430</v>
      </c>
      <c r="HN122" s="45">
        <f>0.42+0.32+0.36+0.54+0.47</f>
        <v>2.1100000000000003</v>
      </c>
      <c r="HO122" s="46">
        <v>5</v>
      </c>
      <c r="HP122" s="48">
        <f t="shared" si="1839"/>
        <v>203.79146919431275</v>
      </c>
      <c r="HQ122" s="48">
        <f t="shared" si="1839"/>
        <v>0.42200000000000004</v>
      </c>
      <c r="HS122" s="46">
        <f>150+200+100+50</f>
        <v>500</v>
      </c>
      <c r="HT122" s="46">
        <f>0.59+0.72+0.55+0.28</f>
        <v>2.14</v>
      </c>
      <c r="HU122" s="46">
        <v>4</v>
      </c>
      <c r="HV122" s="48">
        <f t="shared" si="1933"/>
        <v>233.64485981308411</v>
      </c>
      <c r="HW122" s="48">
        <f t="shared" si="1933"/>
        <v>0.53500000000000003</v>
      </c>
      <c r="HX122" s="231"/>
      <c r="HY122" s="38">
        <f>100+100+100+100+100</f>
        <v>500</v>
      </c>
      <c r="HZ122" s="40">
        <f>1.96+1.96+1.96+1.96+1.96</f>
        <v>9.8000000000000007</v>
      </c>
      <c r="IA122" s="38">
        <f>5</f>
        <v>5</v>
      </c>
      <c r="IB122" s="40">
        <f t="shared" si="1828"/>
        <v>51.020408163265301</v>
      </c>
      <c r="IC122" s="40">
        <f t="shared" si="1840"/>
        <v>1.9600000000000002</v>
      </c>
      <c r="IE122" s="38">
        <f>100+100+100+100+100</f>
        <v>500</v>
      </c>
      <c r="IF122" s="40">
        <f>1.62</f>
        <v>1.62</v>
      </c>
      <c r="IG122" s="38">
        <f>5</f>
        <v>5</v>
      </c>
      <c r="IH122" s="40">
        <f t="shared" si="1841"/>
        <v>308.64197530864197</v>
      </c>
      <c r="II122" s="40">
        <f t="shared" si="1842"/>
        <v>0.32400000000000001</v>
      </c>
      <c r="IK122" s="38">
        <f>100*5</f>
        <v>500</v>
      </c>
      <c r="IL122" s="40">
        <f>2.45*5</f>
        <v>12.25</v>
      </c>
      <c r="IM122" s="38">
        <v>5</v>
      </c>
      <c r="IN122" s="40">
        <f t="shared" si="2193"/>
        <v>40.816326530612244</v>
      </c>
      <c r="IO122" s="40">
        <f t="shared" si="2194"/>
        <v>2.4500000000000002</v>
      </c>
      <c r="IQ122" s="38">
        <f>100*5</f>
        <v>500</v>
      </c>
      <c r="IR122" s="40">
        <v>2.71</v>
      </c>
      <c r="IS122" s="38">
        <v>5</v>
      </c>
      <c r="IT122" s="40">
        <f t="shared" si="2195"/>
        <v>184.50184501845018</v>
      </c>
      <c r="IU122" s="40">
        <f t="shared" si="2196"/>
        <v>0.54200000000000004</v>
      </c>
      <c r="IW122" s="38">
        <f>100*5</f>
        <v>500</v>
      </c>
      <c r="IX122" s="40">
        <f>2.12</f>
        <v>2.12</v>
      </c>
      <c r="IY122" s="38">
        <v>5</v>
      </c>
      <c r="IZ122" s="40">
        <f t="shared" si="2197"/>
        <v>235.84905660377356</v>
      </c>
      <c r="JA122" s="40">
        <f t="shared" si="2198"/>
        <v>0.42400000000000004</v>
      </c>
      <c r="JC122" s="38">
        <f>30+50+100+100+20</f>
        <v>300</v>
      </c>
      <c r="JD122" s="40">
        <f>0.14+0.56+0.73+0.62+0.2</f>
        <v>2.2500000000000004</v>
      </c>
      <c r="JE122" s="38">
        <v>5</v>
      </c>
      <c r="JF122" s="40">
        <f t="shared" si="2199"/>
        <v>133.33333333333331</v>
      </c>
      <c r="JG122" s="40">
        <f t="shared" si="2200"/>
        <v>0.45000000000000007</v>
      </c>
      <c r="JI122" s="38">
        <f>100*5</f>
        <v>500</v>
      </c>
      <c r="JJ122" s="40">
        <f>1.47</f>
        <v>1.47</v>
      </c>
      <c r="JK122" s="38">
        <v>5</v>
      </c>
      <c r="JL122" s="40">
        <f t="shared" si="2201"/>
        <v>340.13605442176873</v>
      </c>
      <c r="JM122" s="40">
        <f t="shared" si="2202"/>
        <v>0.29399999999999998</v>
      </c>
      <c r="JO122" s="38">
        <f>50+50+50+100+100</f>
        <v>350</v>
      </c>
      <c r="JP122" s="40">
        <f>0.48+0.4+0.58+0.74+0.78</f>
        <v>2.9800000000000004</v>
      </c>
      <c r="JQ122" s="38">
        <v>5</v>
      </c>
      <c r="JR122" s="40">
        <f t="shared" si="2203"/>
        <v>117.44966442953019</v>
      </c>
      <c r="JS122" s="40">
        <f t="shared" si="2204"/>
        <v>0.59600000000000009</v>
      </c>
      <c r="JU122" s="38">
        <f>100+50+30+20+150</f>
        <v>350</v>
      </c>
      <c r="JV122" s="40">
        <f>0.55+0.49+0.38+0.2+0.78</f>
        <v>2.4</v>
      </c>
      <c r="JW122" s="38">
        <v>5</v>
      </c>
      <c r="JX122" s="40">
        <f t="shared" si="2142"/>
        <v>145.83333333333334</v>
      </c>
      <c r="JY122" s="40">
        <f t="shared" si="2143"/>
        <v>0.48</v>
      </c>
      <c r="KA122" s="38">
        <f>50+150+200+200+150</f>
        <v>750</v>
      </c>
      <c r="KB122" s="40">
        <f>0.2+0.25+0.54+0.55+0.4</f>
        <v>1.94</v>
      </c>
      <c r="KC122" s="38">
        <v>5</v>
      </c>
      <c r="KD122" s="40">
        <f t="shared" si="2162"/>
        <v>386.59793814432993</v>
      </c>
      <c r="KE122" s="40">
        <f t="shared" si="2163"/>
        <v>0.38800000000000001</v>
      </c>
      <c r="KG122" s="38">
        <f>300+300+250+250+200</f>
        <v>1300</v>
      </c>
      <c r="KH122" s="40">
        <f>2.13+1.53+0.42+0.56+0.34</f>
        <v>4.9800000000000004</v>
      </c>
      <c r="KI122" s="38">
        <v>5</v>
      </c>
      <c r="KJ122" s="40">
        <f t="shared" si="2060"/>
        <v>261.04417670682727</v>
      </c>
      <c r="KK122" s="40">
        <f t="shared" si="1853"/>
        <v>0.99600000000000011</v>
      </c>
      <c r="KM122" s="38">
        <f>100+50+200+200+200</f>
        <v>750</v>
      </c>
      <c r="KN122" s="40">
        <f>0.29+0.05+0.71+0.49+0.77</f>
        <v>2.3099999999999996</v>
      </c>
      <c r="KO122" s="38">
        <v>5</v>
      </c>
      <c r="KP122" s="40">
        <f t="shared" si="2061"/>
        <v>324.6753246753247</v>
      </c>
      <c r="KQ122" s="40">
        <f t="shared" si="1777"/>
        <v>0.46199999999999991</v>
      </c>
      <c r="KS122" s="38">
        <f>100+100+50+50+30</f>
        <v>330</v>
      </c>
      <c r="KT122" s="40">
        <f>0.11+0.49+0.39+0.35+0.3</f>
        <v>1.64</v>
      </c>
      <c r="KU122" s="38">
        <v>5</v>
      </c>
      <c r="KV122" s="40">
        <f t="shared" si="2062"/>
        <v>201.21951219512195</v>
      </c>
      <c r="KW122" s="40">
        <f t="shared" si="1779"/>
        <v>0.32799999999999996</v>
      </c>
      <c r="KY122" s="38"/>
      <c r="KZ122" s="40"/>
      <c r="LA122" s="38"/>
      <c r="LB122" s="40" t="e">
        <f t="shared" si="2063"/>
        <v>#DIV/0!</v>
      </c>
      <c r="LC122" s="40" t="e">
        <f t="shared" si="1781"/>
        <v>#DIV/0!</v>
      </c>
      <c r="LE122" s="38">
        <f>150+200+250+250</f>
        <v>850</v>
      </c>
      <c r="LF122" s="40">
        <f>0.06+0.07+0.42+0.53</f>
        <v>1.08</v>
      </c>
      <c r="LG122" s="38">
        <v>4</v>
      </c>
      <c r="LH122" s="40">
        <f t="shared" si="2064"/>
        <v>787.03703703703695</v>
      </c>
      <c r="LI122" s="40">
        <f t="shared" si="1783"/>
        <v>0.27</v>
      </c>
      <c r="LK122" s="38">
        <f>100+100+100+100+100</f>
        <v>500</v>
      </c>
      <c r="LL122" s="40">
        <v>1.87</v>
      </c>
      <c r="LM122" s="38">
        <v>5</v>
      </c>
      <c r="LN122" s="40">
        <f t="shared" si="2065"/>
        <v>267.37967914438502</v>
      </c>
      <c r="LO122" s="40">
        <f t="shared" si="1785"/>
        <v>0.374</v>
      </c>
      <c r="LQ122" s="38">
        <f>100+100+50+50+30</f>
        <v>330</v>
      </c>
      <c r="LR122" s="40">
        <f>1.68+1.68+1.02+0.27+0.36</f>
        <v>5.0100000000000007</v>
      </c>
      <c r="LS122" s="38">
        <v>5</v>
      </c>
      <c r="LT122" s="40">
        <f t="shared" si="2066"/>
        <v>65.868263473053887</v>
      </c>
      <c r="LU122" s="40">
        <f t="shared" si="1787"/>
        <v>1.0020000000000002</v>
      </c>
      <c r="LW122" s="38">
        <f>100+150+100+200+150</f>
        <v>700</v>
      </c>
      <c r="LX122" s="40">
        <f>0.9+1.25+0.91+1.69+2.6</f>
        <v>7.35</v>
      </c>
      <c r="LY122" s="38">
        <v>5</v>
      </c>
      <c r="LZ122" s="40">
        <f t="shared" si="2067"/>
        <v>95.238095238095241</v>
      </c>
      <c r="MA122" s="40">
        <f t="shared" si="1789"/>
        <v>1.47</v>
      </c>
      <c r="MC122" s="38">
        <f>20+50+100+100+20</f>
        <v>290</v>
      </c>
      <c r="MD122" s="40">
        <f>0.33+0.43+0.65+0.57+0.42</f>
        <v>2.4</v>
      </c>
      <c r="ME122" s="38">
        <v>5</v>
      </c>
      <c r="MF122" s="40">
        <f t="shared" si="2068"/>
        <v>120.83333333333334</v>
      </c>
      <c r="MG122" s="40">
        <f t="shared" si="1791"/>
        <v>0.48</v>
      </c>
      <c r="MI122" s="38">
        <f>100+100+100+100+100</f>
        <v>500</v>
      </c>
      <c r="MJ122" s="40">
        <f>0.39+0.44+0.43+0.53+0.57</f>
        <v>2.36</v>
      </c>
      <c r="MK122" s="38">
        <v>5</v>
      </c>
      <c r="ML122" s="40">
        <f t="shared" si="2069"/>
        <v>211.86440677966104</v>
      </c>
      <c r="MM122" s="40">
        <f t="shared" si="1793"/>
        <v>0.47199999999999998</v>
      </c>
      <c r="MO122" s="38"/>
      <c r="MP122" s="40"/>
      <c r="MQ122" s="38"/>
      <c r="MR122" s="40" t="e">
        <f t="shared" si="2070"/>
        <v>#DIV/0!</v>
      </c>
      <c r="MS122" s="40" t="e">
        <f t="shared" si="1795"/>
        <v>#DIV/0!</v>
      </c>
      <c r="MU122" s="38"/>
      <c r="MV122" s="40"/>
      <c r="MW122" s="38"/>
      <c r="MX122" s="40" t="e">
        <f t="shared" si="2071"/>
        <v>#DIV/0!</v>
      </c>
      <c r="MY122" s="40" t="e">
        <f t="shared" si="1797"/>
        <v>#DIV/0!</v>
      </c>
      <c r="NA122" s="825">
        <f>150+150+150+100+100</f>
        <v>650</v>
      </c>
      <c r="NB122" s="826">
        <f>0.58+0.67+0.42+0.26+0.37</f>
        <v>2.2999999999999998</v>
      </c>
      <c r="NC122" s="825">
        <v>5</v>
      </c>
      <c r="ND122" s="40">
        <f t="shared" si="2072"/>
        <v>282.60869565217394</v>
      </c>
      <c r="NE122" s="40">
        <f t="shared" si="1799"/>
        <v>0.45999999999999996</v>
      </c>
      <c r="NG122" s="825">
        <f>200+50+100+150+200</f>
        <v>700</v>
      </c>
      <c r="NH122" s="826">
        <f>0.78+0.5+0.45+0.24+0.56</f>
        <v>2.5300000000000002</v>
      </c>
      <c r="NI122" s="825">
        <v>5</v>
      </c>
      <c r="NJ122" s="40">
        <f t="shared" si="2073"/>
        <v>276.67984189723319</v>
      </c>
      <c r="NK122" s="40">
        <f t="shared" si="1801"/>
        <v>0.50600000000000001</v>
      </c>
      <c r="NM122" s="825">
        <f>100+100+100+200+200</f>
        <v>700</v>
      </c>
      <c r="NN122" s="826">
        <f>0.22+0.2+0.2+0.33+0.33</f>
        <v>1.2800000000000002</v>
      </c>
      <c r="NO122" s="825">
        <v>5</v>
      </c>
      <c r="NP122" s="40">
        <f t="shared" si="2074"/>
        <v>546.87499999999989</v>
      </c>
      <c r="NQ122" s="40">
        <f t="shared" si="1803"/>
        <v>0.25600000000000006</v>
      </c>
      <c r="NS122" s="906">
        <f>50+50+30+30+10</f>
        <v>170</v>
      </c>
      <c r="NT122" s="907">
        <f>0.12+0.3+0.16+0.17+0.03</f>
        <v>0.78</v>
      </c>
      <c r="NU122" s="825">
        <v>5</v>
      </c>
      <c r="NV122" s="40">
        <f t="shared" si="2075"/>
        <v>217.94871794871793</v>
      </c>
      <c r="NW122" s="40">
        <f t="shared" si="1805"/>
        <v>0.156</v>
      </c>
      <c r="NY122" s="913">
        <f>100+150+50+150+100</f>
        <v>550</v>
      </c>
      <c r="NZ122" s="914">
        <f>0.43+0.56+0.34+0.55+0.4</f>
        <v>2.2800000000000002</v>
      </c>
      <c r="OA122" s="918">
        <v>5</v>
      </c>
      <c r="OB122" s="40">
        <f t="shared" si="2076"/>
        <v>241.22807017543857</v>
      </c>
      <c r="OC122" s="40">
        <f t="shared" si="1807"/>
        <v>0.45600000000000007</v>
      </c>
      <c r="OE122" s="825">
        <f>100+100+30+50+20</f>
        <v>300</v>
      </c>
      <c r="OF122" s="826">
        <f>0.45+0.58+0.2+0.31+0.1</f>
        <v>1.6400000000000001</v>
      </c>
      <c r="OG122" s="825">
        <v>5</v>
      </c>
      <c r="OH122" s="40">
        <f t="shared" si="2077"/>
        <v>182.92682926829266</v>
      </c>
      <c r="OI122" s="40">
        <f t="shared" si="1809"/>
        <v>0.32800000000000001</v>
      </c>
    </row>
    <row r="123" spans="2:399">
      <c r="B123" s="20"/>
      <c r="C123" s="3" t="s">
        <v>39</v>
      </c>
      <c r="D123" s="58" t="s">
        <v>14</v>
      </c>
      <c r="E123" s="726">
        <f>1000+100+150+200+500</f>
        <v>1950</v>
      </c>
      <c r="F123" s="45">
        <f>0.62+0.74+1.38+1.58+5.04</f>
        <v>9.36</v>
      </c>
      <c r="G123" s="45">
        <v>5</v>
      </c>
      <c r="H123" s="48">
        <f t="shared" si="2115"/>
        <v>208.33333333333334</v>
      </c>
      <c r="I123" s="48">
        <f t="shared" si="2116"/>
        <v>1.8719999999999999</v>
      </c>
      <c r="K123" s="45"/>
      <c r="L123" s="45"/>
      <c r="M123" s="45"/>
      <c r="N123" s="48"/>
      <c r="O123" s="48"/>
      <c r="Q123" s="45">
        <v>1900</v>
      </c>
      <c r="R123" s="45">
        <v>23.55</v>
      </c>
      <c r="S123" s="45">
        <v>5</v>
      </c>
      <c r="T123" s="48">
        <f t="shared" ref="T123" si="2205">Q123/R123</f>
        <v>80.679405520169851</v>
      </c>
      <c r="U123" s="48">
        <f t="shared" ref="U123" si="2206">R123/S123</f>
        <v>4.71</v>
      </c>
      <c r="W123" s="45"/>
      <c r="X123" s="45"/>
      <c r="Y123" s="45"/>
      <c r="Z123" s="48"/>
      <c r="AA123" s="48"/>
      <c r="AC123" s="45">
        <f>400+450+400+450+350</f>
        <v>2050</v>
      </c>
      <c r="AD123" s="45">
        <f>2.1+2.9+2.5+2.6+2.3</f>
        <v>12.399999999999999</v>
      </c>
      <c r="AE123" s="45">
        <v>5</v>
      </c>
      <c r="AF123" s="48">
        <f t="shared" ref="AF123" si="2207">AC123/AD123</f>
        <v>165.32258064516131</v>
      </c>
      <c r="AG123" s="48">
        <f t="shared" ref="AG123" si="2208">AD123/AE123</f>
        <v>2.4799999999999995</v>
      </c>
      <c r="AI123" s="45">
        <f>400+500+300+300+500</f>
        <v>2000</v>
      </c>
      <c r="AJ123" s="45">
        <f>3.12+1.67+2.31+1.77+3.47</f>
        <v>12.34</v>
      </c>
      <c r="AK123" s="45">
        <v>5</v>
      </c>
      <c r="AL123" s="48">
        <f t="shared" si="2188"/>
        <v>162.07455429497568</v>
      </c>
      <c r="AM123" s="48">
        <f t="shared" si="2189"/>
        <v>2.468</v>
      </c>
      <c r="AO123" s="45"/>
      <c r="AP123" s="45"/>
      <c r="AQ123" s="45"/>
      <c r="AR123" s="48"/>
      <c r="AS123" s="48"/>
      <c r="AU123" s="45">
        <f>200+300+400+500+200</f>
        <v>1600</v>
      </c>
      <c r="AV123" s="45">
        <f>2.78+2.23+4.63+4.95+3.66</f>
        <v>18.25</v>
      </c>
      <c r="AW123" s="45">
        <v>5</v>
      </c>
      <c r="AX123" s="48">
        <f t="shared" si="2146"/>
        <v>87.671232876712324</v>
      </c>
      <c r="AY123" s="48">
        <f t="shared" si="2147"/>
        <v>3.65</v>
      </c>
      <c r="AZ123" s="593"/>
      <c r="BA123" s="45">
        <f>200+500+400+600</f>
        <v>1700</v>
      </c>
      <c r="BB123" s="45">
        <f>1.25+2.53+2.65+3.02</f>
        <v>9.4499999999999993</v>
      </c>
      <c r="BC123" s="45">
        <v>4</v>
      </c>
      <c r="BD123" s="48">
        <f t="shared" si="2119"/>
        <v>179.8941798941799</v>
      </c>
      <c r="BE123" s="48">
        <f t="shared" si="2120"/>
        <v>2.3624999999999998</v>
      </c>
      <c r="BF123" s="593"/>
      <c r="BG123" s="45"/>
      <c r="BH123" s="45"/>
      <c r="BI123" s="45"/>
      <c r="BJ123" s="48"/>
      <c r="BK123" s="48"/>
      <c r="BL123" s="593"/>
      <c r="BM123" s="45"/>
      <c r="BN123" s="45"/>
      <c r="BO123" s="45"/>
      <c r="BP123" s="48"/>
      <c r="BQ123" s="48"/>
      <c r="BS123" s="45"/>
      <c r="BT123" s="45"/>
      <c r="BU123" s="45"/>
      <c r="BV123" s="48"/>
      <c r="BW123" s="48"/>
      <c r="BX123" s="593"/>
      <c r="BY123" s="45">
        <f>200+300+400+500+200</f>
        <v>1600</v>
      </c>
      <c r="BZ123" s="45">
        <f>2.78+2.23+4.63+4.95+3.66</f>
        <v>18.25</v>
      </c>
      <c r="CA123" s="45">
        <v>5</v>
      </c>
      <c r="CB123" s="48">
        <f t="shared" si="2174"/>
        <v>87.671232876712324</v>
      </c>
      <c r="CC123" s="48">
        <f t="shared" si="2175"/>
        <v>3.65</v>
      </c>
      <c r="CD123" s="593"/>
      <c r="CE123" s="45"/>
      <c r="CF123" s="45"/>
      <c r="CG123" s="45"/>
      <c r="CH123" s="48"/>
      <c r="CI123" s="48"/>
      <c r="CJ123" s="593"/>
      <c r="CK123" s="45">
        <v>2300</v>
      </c>
      <c r="CL123" s="45">
        <v>13.669999999999998</v>
      </c>
      <c r="CM123" s="45">
        <v>5</v>
      </c>
      <c r="CN123" s="48">
        <f t="shared" si="2097"/>
        <v>168.25164594001464</v>
      </c>
      <c r="CO123" s="48">
        <f t="shared" si="2098"/>
        <v>2.7339999999999995</v>
      </c>
      <c r="CP123" s="593"/>
      <c r="CQ123" s="45">
        <f>300+300+200+200+300</f>
        <v>1300</v>
      </c>
      <c r="CR123" s="45">
        <f>2.26+2.56+1.82+1.67+2.22</f>
        <v>10.530000000000001</v>
      </c>
      <c r="CS123" s="45">
        <v>5</v>
      </c>
      <c r="CT123" s="48">
        <f t="shared" si="2190"/>
        <v>123.45679012345677</v>
      </c>
      <c r="CU123" s="48">
        <f t="shared" si="2191"/>
        <v>2.1060000000000003</v>
      </c>
      <c r="CV123" s="593"/>
      <c r="CW123" s="45">
        <f>200+300+400+500+200</f>
        <v>1600</v>
      </c>
      <c r="CX123" s="45">
        <f>2.78+2.23+4.63+4.95+3.66</f>
        <v>18.25</v>
      </c>
      <c r="CY123" s="45">
        <v>5</v>
      </c>
      <c r="CZ123" s="48">
        <f t="shared" si="2101"/>
        <v>87.671232876712324</v>
      </c>
      <c r="DA123" s="48">
        <f t="shared" si="2102"/>
        <v>3.65</v>
      </c>
      <c r="DB123" s="593"/>
      <c r="DC123" s="45"/>
      <c r="DD123" s="45"/>
      <c r="DE123" s="45"/>
      <c r="DF123" s="48"/>
      <c r="DG123" s="48"/>
      <c r="DH123" s="593"/>
      <c r="DI123" s="45">
        <v>1000</v>
      </c>
      <c r="DJ123" s="45">
        <v>4.3000000000000007</v>
      </c>
      <c r="DK123" s="45">
        <v>5</v>
      </c>
      <c r="DL123" s="48">
        <f t="shared" si="2176"/>
        <v>232.55813953488368</v>
      </c>
      <c r="DM123" s="48">
        <f t="shared" si="2177"/>
        <v>0.8600000000000001</v>
      </c>
      <c r="DN123" s="593"/>
      <c r="DO123" s="45">
        <v>1050</v>
      </c>
      <c r="DP123" s="45">
        <v>12.86</v>
      </c>
      <c r="DQ123" s="45">
        <v>5</v>
      </c>
      <c r="DR123" s="48">
        <f t="shared" si="2105"/>
        <v>81.648522550544328</v>
      </c>
      <c r="DS123" s="48">
        <f t="shared" si="2106"/>
        <v>2.5720000000000001</v>
      </c>
      <c r="DT123" s="593"/>
      <c r="DU123" s="45"/>
      <c r="DV123" s="45"/>
      <c r="DW123" s="45"/>
      <c r="DX123" s="48"/>
      <c r="DY123" s="48"/>
      <c r="DZ123" s="593"/>
      <c r="EA123" s="45"/>
      <c r="EB123" s="45"/>
      <c r="EC123" s="45"/>
      <c r="ED123" s="48"/>
      <c r="EE123" s="48"/>
      <c r="EF123" s="593"/>
      <c r="EG123" s="45"/>
      <c r="EH123" s="45"/>
      <c r="EI123" s="45"/>
      <c r="EJ123" s="48"/>
      <c r="EK123" s="48"/>
      <c r="EL123" s="593"/>
      <c r="EM123" s="45"/>
      <c r="EN123" s="45"/>
      <c r="EO123" s="45"/>
      <c r="EP123" s="48"/>
      <c r="EQ123" s="48"/>
      <c r="ES123" s="45">
        <f>200+300+400+500+200</f>
        <v>1600</v>
      </c>
      <c r="ET123" s="45">
        <f>2.78+2.23+4.63+4.95+3.66</f>
        <v>18.25</v>
      </c>
      <c r="EU123" s="45">
        <v>5</v>
      </c>
      <c r="EV123" s="48">
        <f t="shared" si="1890"/>
        <v>87.671232876712324</v>
      </c>
      <c r="EW123" s="48">
        <f t="shared" si="1890"/>
        <v>3.65</v>
      </c>
      <c r="EY123" s="45">
        <v>2000</v>
      </c>
      <c r="EZ123" s="45">
        <v>12.34</v>
      </c>
      <c r="FA123" s="45">
        <v>5</v>
      </c>
      <c r="FB123" s="48">
        <f t="shared" si="2192"/>
        <v>162.07455429497568</v>
      </c>
      <c r="FC123" s="48">
        <f t="shared" si="2192"/>
        <v>2.468</v>
      </c>
      <c r="FE123" s="45">
        <v>1900</v>
      </c>
      <c r="FF123" s="45">
        <v>23.55</v>
      </c>
      <c r="FG123" s="45">
        <v>5</v>
      </c>
      <c r="FH123" s="48">
        <f t="shared" si="1827"/>
        <v>80.679405520169851</v>
      </c>
      <c r="FI123" s="48">
        <f t="shared" si="1827"/>
        <v>4.71</v>
      </c>
      <c r="FK123" s="38">
        <f>300+300+300+800</f>
        <v>1700</v>
      </c>
      <c r="FL123" s="40">
        <f>1.59+1.59+1.73+3.13</f>
        <v>8.0399999999999991</v>
      </c>
      <c r="FM123" s="38">
        <f>4</f>
        <v>4</v>
      </c>
      <c r="FN123" s="40">
        <f t="shared" si="1950"/>
        <v>211.44278606965176</v>
      </c>
      <c r="FO123" s="40">
        <f t="shared" si="1932"/>
        <v>2.0099999999999998</v>
      </c>
      <c r="FP123" s="231"/>
      <c r="FQ123" s="45">
        <f>300+300+400+400+300</f>
        <v>1700</v>
      </c>
      <c r="FR123" s="45">
        <f>1.77+2.09+2.14+3.16+2.06</f>
        <v>11.22</v>
      </c>
      <c r="FS123" s="45">
        <f>5</f>
        <v>5</v>
      </c>
      <c r="FT123" s="48">
        <f t="shared" si="1765"/>
        <v>151.5151515151515</v>
      </c>
      <c r="FU123" s="48">
        <f t="shared" si="1765"/>
        <v>2.2440000000000002</v>
      </c>
      <c r="FW123" s="45"/>
      <c r="FX123" s="45"/>
      <c r="FY123" s="45"/>
      <c r="FZ123" s="48"/>
      <c r="GA123" s="48"/>
      <c r="GC123" s="26">
        <f>300+500+300+600+500</f>
        <v>2200</v>
      </c>
      <c r="GD123" s="45">
        <f>4.12+5.4+4.1+7.5+6.08</f>
        <v>27.199999999999996</v>
      </c>
      <c r="GE123" s="45">
        <f>5</f>
        <v>5</v>
      </c>
      <c r="GF123" s="48">
        <f t="shared" si="1767"/>
        <v>80.882352941176478</v>
      </c>
      <c r="GG123" s="48">
        <f t="shared" si="1767"/>
        <v>5.4399999999999995</v>
      </c>
      <c r="GI123" s="45">
        <f>400+300+400+200+200</f>
        <v>1500</v>
      </c>
      <c r="GJ123" s="45">
        <f>2.25+1.75+3.99+2.44+3.81</f>
        <v>14.24</v>
      </c>
      <c r="GK123" s="45">
        <f>5</f>
        <v>5</v>
      </c>
      <c r="GL123" s="48">
        <f t="shared" si="1768"/>
        <v>105.33707865168539</v>
      </c>
      <c r="GM123" s="48">
        <f t="shared" si="1768"/>
        <v>2.8479999999999999</v>
      </c>
      <c r="GO123" s="45">
        <f>500+500+500+600+300</f>
        <v>2400</v>
      </c>
      <c r="GP123" s="45">
        <f>3.76+3.76+4.5+3.76+1.88</f>
        <v>17.66</v>
      </c>
      <c r="GQ123" s="45">
        <f>5</f>
        <v>5</v>
      </c>
      <c r="GR123" s="48">
        <f t="shared" si="1769"/>
        <v>135.90033975084938</v>
      </c>
      <c r="GS123" s="48">
        <f t="shared" si="1769"/>
        <v>3.532</v>
      </c>
      <c r="GU123" s="99">
        <f>400+300+250+150+100</f>
        <v>1200</v>
      </c>
      <c r="GV123" s="99">
        <f>3.84+3.72+3.3+2.14+1.43</f>
        <v>14.43</v>
      </c>
      <c r="GW123" s="99">
        <v>5</v>
      </c>
      <c r="GX123" s="101">
        <f t="shared" si="1770"/>
        <v>83.160083160083161</v>
      </c>
      <c r="GY123" s="101">
        <f t="shared" si="1770"/>
        <v>2.8860000000000001</v>
      </c>
      <c r="GZ123" s="43"/>
      <c r="HA123" s="28">
        <f>300+500+200+400+150</f>
        <v>1550</v>
      </c>
      <c r="HB123" s="28">
        <f>2.97+4.87+2.95+4.44+2.55</f>
        <v>17.78</v>
      </c>
      <c r="HC123" s="27">
        <v>5</v>
      </c>
      <c r="HD123" s="40">
        <f t="shared" si="1771"/>
        <v>87.176602924634409</v>
      </c>
      <c r="HE123" s="40">
        <f t="shared" si="1771"/>
        <v>3.556</v>
      </c>
      <c r="HG123" s="45">
        <v>1050</v>
      </c>
      <c r="HH123" s="45">
        <v>12.86</v>
      </c>
      <c r="HI123" s="45">
        <v>5</v>
      </c>
      <c r="HJ123" s="48">
        <f t="shared" si="2122"/>
        <v>81.648522550544328</v>
      </c>
      <c r="HK123" s="48">
        <f t="shared" si="2123"/>
        <v>2.5720000000000001</v>
      </c>
      <c r="HM123" s="45">
        <f>100+100+150+200+500</f>
        <v>1050</v>
      </c>
      <c r="HN123" s="45">
        <f>0.62+0.74+1.38+1.58+5.04</f>
        <v>9.36</v>
      </c>
      <c r="HO123" s="45">
        <v>5</v>
      </c>
      <c r="HP123" s="48">
        <f t="shared" si="1839"/>
        <v>112.17948717948718</v>
      </c>
      <c r="HQ123" s="48">
        <f t="shared" si="1839"/>
        <v>1.8719999999999999</v>
      </c>
      <c r="HS123" s="45"/>
      <c r="HT123" s="45"/>
      <c r="HU123" s="45"/>
      <c r="HV123" s="48"/>
      <c r="HW123" s="48"/>
      <c r="HX123" s="231"/>
      <c r="HY123" s="38"/>
      <c r="HZ123" s="40"/>
      <c r="IA123" s="38"/>
      <c r="IB123" s="40"/>
      <c r="IC123" s="40"/>
      <c r="IE123" s="38">
        <f>500+500+600+400+500</f>
        <v>2500</v>
      </c>
      <c r="IF123" s="40">
        <f>3.48+3.69+4.53+3.65+2.06</f>
        <v>17.41</v>
      </c>
      <c r="IG123" s="38">
        <f>5</f>
        <v>5</v>
      </c>
      <c r="IH123" s="40">
        <f t="shared" si="1841"/>
        <v>143.59563469270535</v>
      </c>
      <c r="II123" s="40">
        <f t="shared" si="1842"/>
        <v>3.4820000000000002</v>
      </c>
      <c r="IK123" s="38">
        <f>600+700+500+400+300</f>
        <v>2500</v>
      </c>
      <c r="IL123" s="40">
        <f>1.93+2.28+1.6+1.41+1.09</f>
        <v>8.31</v>
      </c>
      <c r="IM123" s="38">
        <v>5</v>
      </c>
      <c r="IN123" s="40">
        <f t="shared" si="2193"/>
        <v>300.84235860409143</v>
      </c>
      <c r="IO123" s="40">
        <f t="shared" si="2194"/>
        <v>1.6620000000000001</v>
      </c>
      <c r="IQ123" s="38">
        <f>100+200+100+500</f>
        <v>900</v>
      </c>
      <c r="IR123" s="40">
        <f>1.39+1.59+1.22+3.53</f>
        <v>7.73</v>
      </c>
      <c r="IS123" s="38">
        <v>4</v>
      </c>
      <c r="IT123" s="40">
        <f t="shared" si="2195"/>
        <v>116.42949547218628</v>
      </c>
      <c r="IU123" s="40">
        <f t="shared" si="2196"/>
        <v>1.9325000000000001</v>
      </c>
      <c r="IW123" s="38">
        <f>100+200+300+200+200</f>
        <v>1000</v>
      </c>
      <c r="IX123" s="40">
        <f>1.13+1.5+2.57+1.7+1.04</f>
        <v>7.9399999999999995</v>
      </c>
      <c r="IY123" s="38">
        <v>5</v>
      </c>
      <c r="IZ123" s="40">
        <f t="shared" si="2197"/>
        <v>125.94458438287154</v>
      </c>
      <c r="JA123" s="40">
        <f t="shared" si="2198"/>
        <v>1.5879999999999999</v>
      </c>
      <c r="JC123" s="38">
        <f>200+300+400+600+200</f>
        <v>1700</v>
      </c>
      <c r="JD123" s="40">
        <f>2.47+2.87+3.52+5.54+2.29</f>
        <v>16.689999999999998</v>
      </c>
      <c r="JE123" s="38">
        <v>5</v>
      </c>
      <c r="JF123" s="40">
        <f t="shared" si="2199"/>
        <v>101.8573996405033</v>
      </c>
      <c r="JG123" s="40">
        <f t="shared" si="2200"/>
        <v>3.3379999999999996</v>
      </c>
      <c r="JI123" s="38">
        <f>150+200+400+400+400</f>
        <v>1550</v>
      </c>
      <c r="JJ123" s="40">
        <f>1.78+2.85+4.81+4.34+4.67</f>
        <v>18.45</v>
      </c>
      <c r="JK123" s="38">
        <v>5</v>
      </c>
      <c r="JL123" s="40">
        <f t="shared" si="2201"/>
        <v>84.010840108401084</v>
      </c>
      <c r="JM123" s="40">
        <f t="shared" si="2202"/>
        <v>3.69</v>
      </c>
      <c r="JO123" s="38">
        <f>500+300+100+150+200</f>
        <v>1250</v>
      </c>
      <c r="JP123" s="40">
        <f>4.03+2+1.02+1.15+1.48</f>
        <v>9.6800000000000015</v>
      </c>
      <c r="JQ123" s="38">
        <v>5</v>
      </c>
      <c r="JR123" s="40">
        <f t="shared" si="2203"/>
        <v>129.13223140495865</v>
      </c>
      <c r="JS123" s="40">
        <f t="shared" si="2204"/>
        <v>1.9360000000000004</v>
      </c>
      <c r="JU123" s="38"/>
      <c r="JV123" s="40"/>
      <c r="JW123" s="38"/>
      <c r="JX123" s="40"/>
      <c r="JY123" s="40"/>
      <c r="KA123" s="38">
        <f>200+200+200+200+200</f>
        <v>1000</v>
      </c>
      <c r="KB123" s="40">
        <f>0.69+0.59+0.7+0.8+0.86</f>
        <v>3.6399999999999997</v>
      </c>
      <c r="KC123" s="38">
        <v>5</v>
      </c>
      <c r="KD123" s="40">
        <f t="shared" si="2162"/>
        <v>274.72527472527474</v>
      </c>
      <c r="KE123" s="40">
        <f t="shared" si="2163"/>
        <v>0.72799999999999998</v>
      </c>
      <c r="KG123" s="38">
        <f>500+500+800+300+500</f>
        <v>2600</v>
      </c>
      <c r="KH123" s="40">
        <f>6.77+2.93+1.84+3.06+2.05</f>
        <v>16.649999999999999</v>
      </c>
      <c r="KI123" s="38">
        <v>5</v>
      </c>
      <c r="KJ123" s="40">
        <f t="shared" si="2060"/>
        <v>156.15615615615616</v>
      </c>
      <c r="KK123" s="40">
        <f t="shared" si="1853"/>
        <v>3.3299999999999996</v>
      </c>
      <c r="KM123" s="38"/>
      <c r="KN123" s="40"/>
      <c r="KO123" s="38"/>
      <c r="KP123" s="40" t="e">
        <f t="shared" si="2061"/>
        <v>#DIV/0!</v>
      </c>
      <c r="KQ123" s="40" t="e">
        <f t="shared" si="1777"/>
        <v>#DIV/0!</v>
      </c>
      <c r="KS123" s="38"/>
      <c r="KT123" s="40"/>
      <c r="KU123" s="38"/>
      <c r="KV123" s="40" t="e">
        <f t="shared" si="2062"/>
        <v>#DIV/0!</v>
      </c>
      <c r="KW123" s="40" t="e">
        <f t="shared" si="1779"/>
        <v>#DIV/0!</v>
      </c>
      <c r="KY123" s="38"/>
      <c r="KZ123" s="40"/>
      <c r="LA123" s="38"/>
      <c r="LB123" s="40" t="e">
        <f t="shared" si="2063"/>
        <v>#DIV/0!</v>
      </c>
      <c r="LC123" s="40" t="e">
        <f t="shared" si="1781"/>
        <v>#DIV/0!</v>
      </c>
      <c r="LE123" s="38">
        <f>50+100+200+300+400</f>
        <v>1050</v>
      </c>
      <c r="LF123" s="40">
        <f>0.67+0.97+1.66+2.11+2.08</f>
        <v>7.49</v>
      </c>
      <c r="LG123" s="38">
        <v>5</v>
      </c>
      <c r="LH123" s="40">
        <f t="shared" si="2064"/>
        <v>140.18691588785046</v>
      </c>
      <c r="LI123" s="40">
        <f t="shared" si="1783"/>
        <v>1.498</v>
      </c>
      <c r="LK123" s="38"/>
      <c r="LL123" s="40"/>
      <c r="LM123" s="38"/>
      <c r="LN123" s="40" t="e">
        <f t="shared" si="2065"/>
        <v>#DIV/0!</v>
      </c>
      <c r="LO123" s="40" t="e">
        <f t="shared" si="1785"/>
        <v>#DIV/0!</v>
      </c>
      <c r="LQ123" s="38">
        <f>300+400+200+100+400</f>
        <v>1400</v>
      </c>
      <c r="LR123" s="40">
        <f>3.1+3.27+2.38+1.28+3.93</f>
        <v>13.959999999999999</v>
      </c>
      <c r="LS123" s="38">
        <v>5</v>
      </c>
      <c r="LT123" s="40">
        <f t="shared" si="2066"/>
        <v>100.2865329512894</v>
      </c>
      <c r="LU123" s="40">
        <f t="shared" si="1787"/>
        <v>2.7919999999999998</v>
      </c>
      <c r="LW123" s="38">
        <f>200+600+400+400+200</f>
        <v>1800</v>
      </c>
      <c r="LX123" s="40">
        <f>2.21+4.71+4.37+3.29+1.35</f>
        <v>15.929999999999998</v>
      </c>
      <c r="LY123" s="38">
        <v>5</v>
      </c>
      <c r="LZ123" s="40">
        <f t="shared" si="2067"/>
        <v>112.9943502824859</v>
      </c>
      <c r="MA123" s="40">
        <f t="shared" si="1789"/>
        <v>3.1859999999999995</v>
      </c>
      <c r="MC123" s="38">
        <f>100+250+300+200+250</f>
        <v>1100</v>
      </c>
      <c r="MD123" s="40">
        <f>5.63+4.32+7.62+3.45+4.65</f>
        <v>25.67</v>
      </c>
      <c r="ME123" s="38">
        <v>5</v>
      </c>
      <c r="MF123" s="40">
        <f t="shared" si="2068"/>
        <v>42.851577717179588</v>
      </c>
      <c r="MG123" s="40">
        <f t="shared" si="1791"/>
        <v>5.1340000000000003</v>
      </c>
      <c r="MI123" s="38">
        <f>200+300+300+150+200</f>
        <v>1150</v>
      </c>
      <c r="MJ123" s="40">
        <f>3.03+4.45+3.61+2.48+3.58</f>
        <v>17.149999999999999</v>
      </c>
      <c r="MK123" s="38">
        <v>5</v>
      </c>
      <c r="ML123" s="40">
        <f t="shared" si="2069"/>
        <v>67.055393586005835</v>
      </c>
      <c r="MM123" s="40">
        <f t="shared" si="1793"/>
        <v>3.4299999999999997</v>
      </c>
      <c r="MO123" s="38"/>
      <c r="MP123" s="40"/>
      <c r="MQ123" s="38"/>
      <c r="MR123" s="40" t="e">
        <f t="shared" si="2070"/>
        <v>#DIV/0!</v>
      </c>
      <c r="MS123" s="40" t="e">
        <f t="shared" si="1795"/>
        <v>#DIV/0!</v>
      </c>
      <c r="MU123" s="38"/>
      <c r="MV123" s="40"/>
      <c r="MW123" s="38"/>
      <c r="MX123" s="40" t="e">
        <f t="shared" si="2071"/>
        <v>#DIV/0!</v>
      </c>
      <c r="MY123" s="40" t="e">
        <f t="shared" si="1797"/>
        <v>#DIV/0!</v>
      </c>
      <c r="NA123" s="825">
        <f>300+200+200+200+200</f>
        <v>1100</v>
      </c>
      <c r="NB123" s="826">
        <f>2.92+1.62+1.7+1.02+1.55</f>
        <v>8.81</v>
      </c>
      <c r="NC123" s="825">
        <v>5</v>
      </c>
      <c r="ND123" s="40">
        <f t="shared" si="2072"/>
        <v>124.85811577752553</v>
      </c>
      <c r="NE123" s="40">
        <f t="shared" si="1799"/>
        <v>1.762</v>
      </c>
      <c r="NG123" s="825"/>
      <c r="NH123" s="826"/>
      <c r="NI123" s="825"/>
      <c r="NJ123" s="40" t="e">
        <f t="shared" si="2073"/>
        <v>#DIV/0!</v>
      </c>
      <c r="NK123" s="40" t="e">
        <f t="shared" si="1801"/>
        <v>#DIV/0!</v>
      </c>
      <c r="NM123" s="825"/>
      <c r="NN123" s="826"/>
      <c r="NO123" s="825"/>
      <c r="NP123" s="40" t="e">
        <f t="shared" si="2074"/>
        <v>#DIV/0!</v>
      </c>
      <c r="NQ123" s="40" t="e">
        <f t="shared" si="1803"/>
        <v>#DIV/0!</v>
      </c>
      <c r="NS123" s="904">
        <f>400+500+500+300+300</f>
        <v>2000</v>
      </c>
      <c r="NT123" s="905">
        <f>2.19+1.95+2.1+1.94+1.91</f>
        <v>10.09</v>
      </c>
      <c r="NU123" s="825">
        <v>5</v>
      </c>
      <c r="NV123" s="40">
        <f t="shared" si="2075"/>
        <v>198.21605550049554</v>
      </c>
      <c r="NW123" s="40">
        <f t="shared" si="1805"/>
        <v>2.0179999999999998</v>
      </c>
      <c r="NY123" s="913"/>
      <c r="NZ123" s="914"/>
      <c r="OA123" s="918"/>
      <c r="OB123" s="40" t="e">
        <f t="shared" si="2076"/>
        <v>#DIV/0!</v>
      </c>
      <c r="OC123" s="40" t="e">
        <f t="shared" si="1807"/>
        <v>#DIV/0!</v>
      </c>
      <c r="OE123" s="825"/>
      <c r="OF123" s="826"/>
      <c r="OG123" s="825"/>
      <c r="OH123" s="40" t="e">
        <f t="shared" si="2077"/>
        <v>#DIV/0!</v>
      </c>
      <c r="OI123" s="40" t="e">
        <f t="shared" si="1809"/>
        <v>#DIV/0!</v>
      </c>
    </row>
    <row r="124" spans="2:399">
      <c r="B124" s="20"/>
      <c r="C124" s="3" t="s">
        <v>40</v>
      </c>
      <c r="D124" s="58" t="s">
        <v>36</v>
      </c>
      <c r="E124" s="726">
        <f>200+100+200+200+200</f>
        <v>900</v>
      </c>
      <c r="F124" s="45">
        <f>1.01+0.79+0.75+0.56+0.56</f>
        <v>3.67</v>
      </c>
      <c r="G124" s="45">
        <v>5</v>
      </c>
      <c r="H124" s="48">
        <f t="shared" si="2115"/>
        <v>245.2316076294278</v>
      </c>
      <c r="I124" s="48">
        <f t="shared" si="2116"/>
        <v>0.73399999999999999</v>
      </c>
      <c r="K124" s="45">
        <f>250+250+250+250+250</f>
        <v>1250</v>
      </c>
      <c r="L124" s="45">
        <f>0.6+0.54+0.55+0.4+0.49</f>
        <v>2.58</v>
      </c>
      <c r="M124" s="45">
        <v>5</v>
      </c>
      <c r="N124" s="48">
        <f t="shared" si="2180"/>
        <v>484.49612403100775</v>
      </c>
      <c r="O124" s="48">
        <f t="shared" si="2181"/>
        <v>0.51600000000000001</v>
      </c>
      <c r="Q124" s="45"/>
      <c r="R124" s="45"/>
      <c r="S124" s="45"/>
      <c r="T124" s="48"/>
      <c r="U124" s="48"/>
      <c r="W124" s="45">
        <f>200+200+200+250+300</f>
        <v>1150</v>
      </c>
      <c r="X124" s="45">
        <f>0.84+1.01+0.37+0.44+0.71</f>
        <v>3.37</v>
      </c>
      <c r="Y124" s="45">
        <v>5</v>
      </c>
      <c r="Z124" s="48">
        <f t="shared" ref="Z124" si="2209">W124/X124</f>
        <v>341.24629080118694</v>
      </c>
      <c r="AA124" s="48">
        <f t="shared" ref="AA124" si="2210">X124/Y124</f>
        <v>0.67400000000000004</v>
      </c>
      <c r="AC124" s="45">
        <f>200*5</f>
        <v>1000</v>
      </c>
      <c r="AD124" s="45">
        <f>1+0.8+0.8+0.8+0.9</f>
        <v>4.3000000000000007</v>
      </c>
      <c r="AE124" s="45">
        <v>5</v>
      </c>
      <c r="AF124" s="48">
        <f t="shared" ref="AF124" si="2211">AC124/AD124</f>
        <v>232.55813953488368</v>
      </c>
      <c r="AG124" s="48">
        <f t="shared" ref="AG124" si="2212">AD124/AE124</f>
        <v>0.8600000000000001</v>
      </c>
      <c r="AI124" s="45">
        <f>200+200+250+250+200</f>
        <v>1100</v>
      </c>
      <c r="AJ124" s="45">
        <f>0.68+0.8+0.66+0.71+0.83</f>
        <v>3.68</v>
      </c>
      <c r="AK124" s="45">
        <v>5</v>
      </c>
      <c r="AL124" s="48">
        <f t="shared" si="2188"/>
        <v>298.91304347826087</v>
      </c>
      <c r="AM124" s="48">
        <f t="shared" si="2189"/>
        <v>0.73599999999999999</v>
      </c>
      <c r="AO124" s="45"/>
      <c r="AP124" s="45"/>
      <c r="AQ124" s="45"/>
      <c r="AR124" s="48"/>
      <c r="AS124" s="48"/>
      <c r="AU124" s="45">
        <f>200+200+200+200+200</f>
        <v>1000</v>
      </c>
      <c r="AV124" s="45">
        <f>0.99+0.92+0.77+0.88+0.45</f>
        <v>4.01</v>
      </c>
      <c r="AW124" s="45">
        <v>5</v>
      </c>
      <c r="AX124" s="48">
        <f t="shared" si="2146"/>
        <v>249.37655860349128</v>
      </c>
      <c r="AY124" s="48">
        <f t="shared" si="2147"/>
        <v>0.80199999999999994</v>
      </c>
      <c r="AZ124" s="593"/>
      <c r="BA124" s="45">
        <f>200+200+250+250+200</f>
        <v>1100</v>
      </c>
      <c r="BB124" s="45">
        <f>0.55+0.45+0.75+0.82+0.57</f>
        <v>3.1399999999999997</v>
      </c>
      <c r="BC124" s="45">
        <v>5</v>
      </c>
      <c r="BD124" s="48">
        <f t="shared" si="2119"/>
        <v>350.31847133757964</v>
      </c>
      <c r="BE124" s="48">
        <f t="shared" si="2120"/>
        <v>0.62799999999999989</v>
      </c>
      <c r="BF124" s="593"/>
      <c r="BG124" s="45"/>
      <c r="BH124" s="45"/>
      <c r="BI124" s="45"/>
      <c r="BJ124" s="48"/>
      <c r="BK124" s="48"/>
      <c r="BL124" s="593"/>
      <c r="BM124" s="45"/>
      <c r="BN124" s="45"/>
      <c r="BO124" s="45"/>
      <c r="BP124" s="48"/>
      <c r="BQ124" s="48"/>
      <c r="BS124" s="45"/>
      <c r="BT124" s="45"/>
      <c r="BU124" s="45"/>
      <c r="BV124" s="48"/>
      <c r="BW124" s="48"/>
      <c r="BX124" s="593"/>
      <c r="BY124" s="45">
        <f>200+200+200+200+200</f>
        <v>1000</v>
      </c>
      <c r="BZ124" s="45">
        <f>1.1+1+1.2+0.8+0.9</f>
        <v>5</v>
      </c>
      <c r="CA124" s="45">
        <v>5</v>
      </c>
      <c r="CB124" s="48">
        <f t="shared" si="2174"/>
        <v>200</v>
      </c>
      <c r="CC124" s="48">
        <f t="shared" si="2175"/>
        <v>1</v>
      </c>
      <c r="CD124" s="593"/>
      <c r="CE124" s="45"/>
      <c r="CF124" s="45"/>
      <c r="CG124" s="45"/>
      <c r="CH124" s="48"/>
      <c r="CI124" s="48"/>
      <c r="CJ124" s="593"/>
      <c r="CK124" s="45">
        <v>350</v>
      </c>
      <c r="CL124" s="45">
        <v>7.59</v>
      </c>
      <c r="CM124" s="45">
        <v>5</v>
      </c>
      <c r="CN124" s="48">
        <f t="shared" si="2097"/>
        <v>46.113306982872203</v>
      </c>
      <c r="CO124" s="48">
        <f t="shared" si="2098"/>
        <v>1.518</v>
      </c>
      <c r="CP124" s="593"/>
      <c r="CQ124" s="45">
        <f>100+100+100+100+100</f>
        <v>500</v>
      </c>
      <c r="CR124" s="45">
        <f>0.89+0.74+0.89+0.87+0.99</f>
        <v>4.38</v>
      </c>
      <c r="CS124" s="45">
        <v>5</v>
      </c>
      <c r="CT124" s="48">
        <f t="shared" si="2190"/>
        <v>114.15525114155251</v>
      </c>
      <c r="CU124" s="48">
        <f t="shared" si="2191"/>
        <v>0.876</v>
      </c>
      <c r="CV124" s="593"/>
      <c r="CW124" s="45">
        <f>200+200+200+200+200</f>
        <v>1000</v>
      </c>
      <c r="CX124" s="45">
        <f>1.1+1+1.2+0.8+0.9</f>
        <v>5</v>
      </c>
      <c r="CY124" s="45">
        <v>5</v>
      </c>
      <c r="CZ124" s="48">
        <f t="shared" si="2101"/>
        <v>200</v>
      </c>
      <c r="DA124" s="48">
        <f t="shared" si="2102"/>
        <v>1</v>
      </c>
      <c r="DB124" s="593"/>
      <c r="DC124" s="45">
        <f>200+200+200+200+200</f>
        <v>1000</v>
      </c>
      <c r="DD124" s="45">
        <f>1.55+1.23+1.41+1.48+1.71</f>
        <v>7.38</v>
      </c>
      <c r="DE124" s="45">
        <v>5</v>
      </c>
      <c r="DF124" s="48">
        <f t="shared" si="2103"/>
        <v>135.50135501355012</v>
      </c>
      <c r="DG124" s="48">
        <f t="shared" si="2104"/>
        <v>1.476</v>
      </c>
      <c r="DH124" s="593"/>
      <c r="DI124" s="45">
        <v>700</v>
      </c>
      <c r="DJ124" s="45">
        <v>1.3</v>
      </c>
      <c r="DK124" s="45">
        <v>5</v>
      </c>
      <c r="DL124" s="48">
        <f t="shared" si="2176"/>
        <v>538.46153846153845</v>
      </c>
      <c r="DM124" s="48">
        <f t="shared" si="2177"/>
        <v>0.26</v>
      </c>
      <c r="DN124" s="593"/>
      <c r="DO124" s="45">
        <v>800</v>
      </c>
      <c r="DP124" s="45">
        <v>3.22</v>
      </c>
      <c r="DQ124" s="45">
        <v>5</v>
      </c>
      <c r="DR124" s="48">
        <f t="shared" si="2105"/>
        <v>248.44720496894408</v>
      </c>
      <c r="DS124" s="48">
        <f t="shared" si="2106"/>
        <v>0.64400000000000002</v>
      </c>
      <c r="DT124" s="593"/>
      <c r="DU124" s="45"/>
      <c r="DV124" s="45"/>
      <c r="DW124" s="45"/>
      <c r="DX124" s="48"/>
      <c r="DY124" s="48"/>
      <c r="DZ124" s="593"/>
      <c r="EA124" s="45"/>
      <c r="EB124" s="45"/>
      <c r="EC124" s="45"/>
      <c r="ED124" s="48"/>
      <c r="EE124" s="48"/>
      <c r="EF124" s="593"/>
      <c r="EG124" s="45"/>
      <c r="EH124" s="45"/>
      <c r="EI124" s="45"/>
      <c r="EJ124" s="48"/>
      <c r="EK124" s="48"/>
      <c r="EL124" s="593"/>
      <c r="EM124" s="45"/>
      <c r="EN124" s="45"/>
      <c r="EO124" s="45"/>
      <c r="EP124" s="48"/>
      <c r="EQ124" s="48"/>
      <c r="ES124" s="45">
        <f>200+200+200+200+200</f>
        <v>1000</v>
      </c>
      <c r="ET124" s="45">
        <f>1.1+1+1.2+0.8+0.9</f>
        <v>5</v>
      </c>
      <c r="EU124" s="45">
        <v>5</v>
      </c>
      <c r="EV124" s="48">
        <f t="shared" si="1890"/>
        <v>200</v>
      </c>
      <c r="EW124" s="48">
        <f t="shared" si="1890"/>
        <v>1</v>
      </c>
      <c r="EY124" s="45">
        <v>1100</v>
      </c>
      <c r="EZ124" s="45">
        <v>3.68</v>
      </c>
      <c r="FA124" s="45">
        <v>5</v>
      </c>
      <c r="FB124" s="48">
        <f t="shared" si="2192"/>
        <v>298.91304347826087</v>
      </c>
      <c r="FC124" s="48">
        <f t="shared" si="2192"/>
        <v>0.73599999999999999</v>
      </c>
      <c r="FE124" s="26">
        <v>900</v>
      </c>
      <c r="FF124" s="45">
        <v>5.2</v>
      </c>
      <c r="FG124" s="45">
        <v>5</v>
      </c>
      <c r="FH124" s="48">
        <f t="shared" si="1827"/>
        <v>173.07692307692307</v>
      </c>
      <c r="FI124" s="48">
        <f t="shared" si="1827"/>
        <v>1.04</v>
      </c>
      <c r="FK124" s="38">
        <f>100+100+100+50+50</f>
        <v>400</v>
      </c>
      <c r="FL124" s="40">
        <f>1.16+1.03+1.12+2.18+2.18</f>
        <v>7.67</v>
      </c>
      <c r="FM124" s="38">
        <f>5</f>
        <v>5</v>
      </c>
      <c r="FN124" s="40">
        <f t="shared" si="1950"/>
        <v>52.15123859191656</v>
      </c>
      <c r="FO124" s="40">
        <f t="shared" si="1932"/>
        <v>1.534</v>
      </c>
      <c r="FP124" s="231"/>
      <c r="FQ124" s="45">
        <f>100+100+100+100+100</f>
        <v>500</v>
      </c>
      <c r="FR124" s="45">
        <f>1.01+1.01+1.07+1.03+0.99</f>
        <v>5.1100000000000003</v>
      </c>
      <c r="FS124" s="45">
        <f>5</f>
        <v>5</v>
      </c>
      <c r="FT124" s="48">
        <f t="shared" si="1765"/>
        <v>97.847358121330714</v>
      </c>
      <c r="FU124" s="48">
        <f t="shared" si="1765"/>
        <v>1.022</v>
      </c>
      <c r="FW124" s="45">
        <f>200+200+200+200+200</f>
        <v>1000</v>
      </c>
      <c r="FX124" s="45">
        <f>1.55+1.23+1.41+1.48+1.71</f>
        <v>7.38</v>
      </c>
      <c r="FY124" s="45">
        <v>5</v>
      </c>
      <c r="FZ124" s="48">
        <f t="shared" si="1766"/>
        <v>135.50135501355012</v>
      </c>
      <c r="GA124" s="48">
        <f t="shared" si="1766"/>
        <v>1.476</v>
      </c>
      <c r="GC124" s="26">
        <f>200+200+200+200+200</f>
        <v>1000</v>
      </c>
      <c r="GD124" s="45">
        <f>1.13+0.72+0.83+1.84+1.84</f>
        <v>6.3599999999999994</v>
      </c>
      <c r="GE124" s="45">
        <f>5</f>
        <v>5</v>
      </c>
      <c r="GF124" s="48">
        <f t="shared" si="1767"/>
        <v>157.23270440251574</v>
      </c>
      <c r="GG124" s="48">
        <f t="shared" si="1767"/>
        <v>1.2719999999999998</v>
      </c>
      <c r="GI124" s="45">
        <f>200+250+200+200+200</f>
        <v>1050</v>
      </c>
      <c r="GJ124" s="45">
        <f>0.75+0.99+0.8+0.73+0.81</f>
        <v>4.08</v>
      </c>
      <c r="GK124" s="45">
        <f>5</f>
        <v>5</v>
      </c>
      <c r="GL124" s="48">
        <f t="shared" si="1768"/>
        <v>257.35294117647061</v>
      </c>
      <c r="GM124" s="48">
        <f t="shared" si="1768"/>
        <v>0.81600000000000006</v>
      </c>
      <c r="GO124" s="45">
        <f>200+200+200+200+200</f>
        <v>1000</v>
      </c>
      <c r="GP124" s="45">
        <f>1.17+1.12+1.16+1.04+1.15</f>
        <v>5.6400000000000006</v>
      </c>
      <c r="GQ124" s="45">
        <f>5</f>
        <v>5</v>
      </c>
      <c r="GR124" s="48">
        <f t="shared" si="1769"/>
        <v>177.30496453900707</v>
      </c>
      <c r="GS124" s="48">
        <f t="shared" si="1769"/>
        <v>1.1280000000000001</v>
      </c>
      <c r="GU124" s="99">
        <f>200+200+200</f>
        <v>600</v>
      </c>
      <c r="GV124" s="99">
        <f>0.43+0.52</f>
        <v>0.95</v>
      </c>
      <c r="GW124" s="99">
        <v>2</v>
      </c>
      <c r="GX124" s="101">
        <f t="shared" si="1770"/>
        <v>631.57894736842104</v>
      </c>
      <c r="GY124" s="101">
        <f t="shared" si="1770"/>
        <v>0.47499999999999998</v>
      </c>
      <c r="GZ124" s="43"/>
      <c r="HA124" s="28">
        <f>200+200+200+200+200</f>
        <v>1000</v>
      </c>
      <c r="HB124" s="28">
        <f>0.52+0.54+0.54+0.72+0.76</f>
        <v>3.08</v>
      </c>
      <c r="HC124" s="27">
        <v>5</v>
      </c>
      <c r="HD124" s="40">
        <f t="shared" si="1771"/>
        <v>324.67532467532465</v>
      </c>
      <c r="HE124" s="40">
        <f t="shared" si="1771"/>
        <v>0.61599999999999999</v>
      </c>
      <c r="HG124" s="45">
        <v>800</v>
      </c>
      <c r="HH124" s="45">
        <v>3.22</v>
      </c>
      <c r="HI124" s="45">
        <v>5</v>
      </c>
      <c r="HJ124" s="48">
        <f t="shared" si="2122"/>
        <v>248.44720496894408</v>
      </c>
      <c r="HK124" s="48">
        <f t="shared" si="2123"/>
        <v>0.64400000000000002</v>
      </c>
      <c r="HM124" s="45">
        <f>200+100+200+200+200</f>
        <v>900</v>
      </c>
      <c r="HN124" s="45">
        <f>1.01+0.79+0.75+0.56+0.56</f>
        <v>3.67</v>
      </c>
      <c r="HO124" s="45">
        <v>5</v>
      </c>
      <c r="HP124" s="48">
        <f t="shared" si="1839"/>
        <v>245.2316076294278</v>
      </c>
      <c r="HQ124" s="48">
        <f t="shared" si="1839"/>
        <v>0.73399999999999999</v>
      </c>
      <c r="HS124" s="26">
        <f>250+250+250+250+250</f>
        <v>1250</v>
      </c>
      <c r="HT124" s="45">
        <f>0.6+0.54+0.55+0.4+0.49</f>
        <v>2.58</v>
      </c>
      <c r="HU124" s="45">
        <v>5</v>
      </c>
      <c r="HV124" s="48">
        <f t="shared" si="1933"/>
        <v>484.49612403100775</v>
      </c>
      <c r="HW124" s="48">
        <f t="shared" si="1933"/>
        <v>0.51600000000000001</v>
      </c>
      <c r="HX124" s="231"/>
      <c r="HY124" s="38">
        <f>100+100+100+100+100</f>
        <v>500</v>
      </c>
      <c r="HZ124" s="40">
        <f>1.39+1.24+1.29+1.52+1.06</f>
        <v>6.5</v>
      </c>
      <c r="IA124" s="38">
        <f>5</f>
        <v>5</v>
      </c>
      <c r="IB124" s="40">
        <f t="shared" si="1828"/>
        <v>76.92307692307692</v>
      </c>
      <c r="IC124" s="40">
        <f t="shared" si="1840"/>
        <v>1.3</v>
      </c>
      <c r="IE124" s="38">
        <f>50+50+100+100+100</f>
        <v>400</v>
      </c>
      <c r="IF124" s="40">
        <f>1.23+1.07+1.65+1.67+1.53</f>
        <v>7.1499999999999995</v>
      </c>
      <c r="IG124" s="38">
        <f>5</f>
        <v>5</v>
      </c>
      <c r="IH124" s="40">
        <f t="shared" si="1841"/>
        <v>55.944055944055947</v>
      </c>
      <c r="II124" s="40">
        <f t="shared" si="1842"/>
        <v>1.43</v>
      </c>
      <c r="IK124" s="38">
        <f>200+200+200+200+200</f>
        <v>1000</v>
      </c>
      <c r="IL124" s="40">
        <f>1.36+1.42+1.34+1.49+1.42</f>
        <v>7.03</v>
      </c>
      <c r="IM124" s="38">
        <v>5</v>
      </c>
      <c r="IN124" s="40">
        <f t="shared" si="2193"/>
        <v>142.24751066856331</v>
      </c>
      <c r="IO124" s="40">
        <f t="shared" si="2194"/>
        <v>1.4060000000000001</v>
      </c>
      <c r="IQ124" s="38">
        <f>200+200+200+200+200</f>
        <v>1000</v>
      </c>
      <c r="IR124" s="40">
        <f>0.91+0.96+0.96+1.07+1.03</f>
        <v>4.9300000000000006</v>
      </c>
      <c r="IS124" s="38">
        <v>5</v>
      </c>
      <c r="IT124" s="40">
        <f t="shared" si="2195"/>
        <v>202.83975659229208</v>
      </c>
      <c r="IU124" s="40">
        <f t="shared" si="2196"/>
        <v>0.9860000000000001</v>
      </c>
      <c r="IW124" s="38">
        <f>200+200+200+200+200</f>
        <v>1000</v>
      </c>
      <c r="IX124" s="40">
        <f>0.76+0.86+0.79+1.11+0.15</f>
        <v>3.6700000000000004</v>
      </c>
      <c r="IY124" s="38">
        <v>5</v>
      </c>
      <c r="IZ124" s="40">
        <f t="shared" si="2197"/>
        <v>272.47956403269751</v>
      </c>
      <c r="JA124" s="40">
        <f t="shared" si="2198"/>
        <v>0.7340000000000001</v>
      </c>
      <c r="JC124" s="38">
        <f>200+200+200+200+200</f>
        <v>1000</v>
      </c>
      <c r="JD124" s="40">
        <f>1.34+0.71+0.7+0.73+0.65</f>
        <v>4.13</v>
      </c>
      <c r="JE124" s="38">
        <v>5</v>
      </c>
      <c r="JF124" s="40">
        <f t="shared" si="2199"/>
        <v>242.13075060532688</v>
      </c>
      <c r="JG124" s="40">
        <f t="shared" si="2200"/>
        <v>0.82599999999999996</v>
      </c>
      <c r="JI124" s="38">
        <f>200+200+200+200+200</f>
        <v>1000</v>
      </c>
      <c r="JJ124" s="40">
        <f>0.69+0.79+1.09+1.07+1.17</f>
        <v>4.8100000000000005</v>
      </c>
      <c r="JK124" s="38">
        <v>5</v>
      </c>
      <c r="JL124" s="40">
        <f t="shared" si="2201"/>
        <v>207.90020790020787</v>
      </c>
      <c r="JM124" s="40">
        <f t="shared" si="2202"/>
        <v>0.96200000000000008</v>
      </c>
      <c r="JO124" s="38">
        <f>200+200+200+200+200</f>
        <v>1000</v>
      </c>
      <c r="JP124" s="40">
        <f>1.28+1.08+1.02+0.88+0.8</f>
        <v>5.0600000000000005</v>
      </c>
      <c r="JQ124" s="38">
        <v>5</v>
      </c>
      <c r="JR124" s="40">
        <f t="shared" si="2203"/>
        <v>197.62845849802369</v>
      </c>
      <c r="JS124" s="40">
        <f t="shared" si="2204"/>
        <v>1.012</v>
      </c>
      <c r="JU124" s="38">
        <f>200+200+200+200+200</f>
        <v>1000</v>
      </c>
      <c r="JV124" s="40">
        <f>1.09+1.27+0.92+0.89+0.88</f>
        <v>5.05</v>
      </c>
      <c r="JW124" s="38">
        <v>5</v>
      </c>
      <c r="JX124" s="40">
        <f t="shared" si="2142"/>
        <v>198.01980198019803</v>
      </c>
      <c r="JY124" s="40">
        <f t="shared" si="2143"/>
        <v>1.01</v>
      </c>
      <c r="KA124" s="38">
        <f>200+200+200+200+200</f>
        <v>1000</v>
      </c>
      <c r="KB124" s="40">
        <f>0.22+0.55+0.52+0.46+0.42</f>
        <v>2.17</v>
      </c>
      <c r="KC124" s="38">
        <v>5</v>
      </c>
      <c r="KD124" s="40">
        <f t="shared" ref="KD124" si="2213">KA124/KB124</f>
        <v>460.82949308755764</v>
      </c>
      <c r="KE124" s="40">
        <f t="shared" ref="KE124" si="2214">KB124/KC124</f>
        <v>0.434</v>
      </c>
      <c r="KG124" s="38">
        <f>200+200+150+150+200</f>
        <v>900</v>
      </c>
      <c r="KH124" s="40">
        <f>1.07+1.1+1.33+1.5+0.71</f>
        <v>5.71</v>
      </c>
      <c r="KI124" s="38">
        <v>5</v>
      </c>
      <c r="KJ124" s="40">
        <f t="shared" si="2060"/>
        <v>157.61821366024517</v>
      </c>
      <c r="KK124" s="40">
        <f t="shared" si="1853"/>
        <v>1.1419999999999999</v>
      </c>
      <c r="KM124" s="38">
        <f>200+200+200+200+200</f>
        <v>1000</v>
      </c>
      <c r="KN124" s="40">
        <f>1.29+1.26+1.17+1.26+1.17</f>
        <v>6.1499999999999995</v>
      </c>
      <c r="KO124" s="38">
        <v>5</v>
      </c>
      <c r="KP124" s="40">
        <f t="shared" si="2061"/>
        <v>162.60162601626018</v>
      </c>
      <c r="KQ124" s="40">
        <f t="shared" si="1777"/>
        <v>1.23</v>
      </c>
      <c r="KS124" s="38">
        <f>100+100+50+50+50</f>
        <v>350</v>
      </c>
      <c r="KT124" s="40">
        <f>0.69+1.5+1.2+0.3+0.2</f>
        <v>3.8899999999999997</v>
      </c>
      <c r="KU124" s="38">
        <v>5</v>
      </c>
      <c r="KV124" s="40">
        <f t="shared" si="2062"/>
        <v>89.974293059125969</v>
      </c>
      <c r="KW124" s="40">
        <f t="shared" si="1779"/>
        <v>0.77799999999999991</v>
      </c>
      <c r="KY124" s="38"/>
      <c r="KZ124" s="40"/>
      <c r="LA124" s="38"/>
      <c r="LB124" s="40" t="e">
        <f t="shared" si="2063"/>
        <v>#DIV/0!</v>
      </c>
      <c r="LC124" s="40" t="e">
        <f t="shared" si="1781"/>
        <v>#DIV/0!</v>
      </c>
      <c r="LE124" s="38">
        <f>200+200+200+200+200</f>
        <v>1000</v>
      </c>
      <c r="LF124" s="40">
        <f>0.62+0.65+0.63+0.69+0.8</f>
        <v>3.3899999999999997</v>
      </c>
      <c r="LG124" s="38">
        <v>5</v>
      </c>
      <c r="LH124" s="40">
        <f t="shared" si="2064"/>
        <v>294.98525073746316</v>
      </c>
      <c r="LI124" s="40">
        <f t="shared" si="1783"/>
        <v>0.67799999999999994</v>
      </c>
      <c r="LK124" s="38">
        <f>200+200+200+200+200</f>
        <v>1000</v>
      </c>
      <c r="LL124" s="40">
        <f>1.25+1.33+1.17+1.29+1.27</f>
        <v>6.3100000000000005</v>
      </c>
      <c r="LM124" s="38">
        <v>5</v>
      </c>
      <c r="LN124" s="40">
        <f t="shared" si="2065"/>
        <v>158.47860538827257</v>
      </c>
      <c r="LO124" s="40">
        <f t="shared" si="1785"/>
        <v>1.262</v>
      </c>
      <c r="LQ124" s="38">
        <f>200+200+200+200+200</f>
        <v>1000</v>
      </c>
      <c r="LR124" s="40">
        <f>1.13+1.09+0.84+0.86+0.82</f>
        <v>4.7399999999999993</v>
      </c>
      <c r="LS124" s="38">
        <v>5</v>
      </c>
      <c r="LT124" s="40">
        <f t="shared" si="2066"/>
        <v>210.97046413502113</v>
      </c>
      <c r="LU124" s="40">
        <f t="shared" si="1787"/>
        <v>0.94799999999999984</v>
      </c>
      <c r="LW124" s="38">
        <f>150+150+150+150+100</f>
        <v>700</v>
      </c>
      <c r="LX124" s="40">
        <f>1.41+1.66+1.49+1.43+1</f>
        <v>6.9899999999999993</v>
      </c>
      <c r="LY124" s="38">
        <v>5</v>
      </c>
      <c r="LZ124" s="40">
        <f t="shared" si="2067"/>
        <v>100.14306151645208</v>
      </c>
      <c r="MA124" s="40">
        <f t="shared" si="1789"/>
        <v>1.3979999999999999</v>
      </c>
      <c r="MC124" s="38">
        <f>200+200+200+200</f>
        <v>800</v>
      </c>
      <c r="MD124" s="40">
        <f>0.96+1.04+0.53+1.07</f>
        <v>3.6000000000000005</v>
      </c>
      <c r="ME124" s="38">
        <v>4</v>
      </c>
      <c r="MF124" s="40">
        <f t="shared" si="2068"/>
        <v>222.2222222222222</v>
      </c>
      <c r="MG124" s="40">
        <f t="shared" si="1791"/>
        <v>0.90000000000000013</v>
      </c>
      <c r="MI124" s="38">
        <f>150+150+150+150+100</f>
        <v>700</v>
      </c>
      <c r="MJ124" s="40">
        <f>1.03+1.03+0.83+0.9+1.17</f>
        <v>4.96</v>
      </c>
      <c r="MK124" s="38">
        <v>5</v>
      </c>
      <c r="ML124" s="40">
        <f t="shared" si="2069"/>
        <v>141.12903225806451</v>
      </c>
      <c r="MM124" s="40">
        <f t="shared" si="1793"/>
        <v>0.99199999999999999</v>
      </c>
      <c r="MO124" s="38"/>
      <c r="MP124" s="40"/>
      <c r="MQ124" s="38"/>
      <c r="MR124" s="40" t="e">
        <f t="shared" si="2070"/>
        <v>#DIV/0!</v>
      </c>
      <c r="MS124" s="40" t="e">
        <f t="shared" si="1795"/>
        <v>#DIV/0!</v>
      </c>
      <c r="MU124" s="38"/>
      <c r="MV124" s="40"/>
      <c r="MW124" s="38"/>
      <c r="MX124" s="40" t="e">
        <f t="shared" si="2071"/>
        <v>#DIV/0!</v>
      </c>
      <c r="MY124" s="40" t="e">
        <f t="shared" si="1797"/>
        <v>#DIV/0!</v>
      </c>
      <c r="NA124" s="825">
        <f>150+150+150+150+100</f>
        <v>700</v>
      </c>
      <c r="NB124" s="826">
        <f>1.72+1.35+1.59+1.57+1.4</f>
        <v>7.6300000000000008</v>
      </c>
      <c r="NC124" s="825">
        <v>5</v>
      </c>
      <c r="ND124" s="40">
        <f t="shared" si="2072"/>
        <v>91.743119266055032</v>
      </c>
      <c r="NE124" s="40">
        <f t="shared" si="1799"/>
        <v>1.5260000000000002</v>
      </c>
      <c r="NG124" s="825">
        <f>200+200+200+200+200</f>
        <v>1000</v>
      </c>
      <c r="NH124" s="826">
        <f>1.2+1.3+1.25+1.28+1.32</f>
        <v>6.3500000000000005</v>
      </c>
      <c r="NI124" s="825">
        <v>5</v>
      </c>
      <c r="NJ124" s="40">
        <f t="shared" si="2073"/>
        <v>157.4803149606299</v>
      </c>
      <c r="NK124" s="40">
        <f t="shared" si="1801"/>
        <v>1.27</v>
      </c>
      <c r="NM124" s="825">
        <f>200+200+200+200+200</f>
        <v>1000</v>
      </c>
      <c r="NN124" s="826">
        <f>1.08+1.34+1.35+1.05+1.39</f>
        <v>6.21</v>
      </c>
      <c r="NO124" s="825">
        <v>5</v>
      </c>
      <c r="NP124" s="40">
        <f t="shared" si="2074"/>
        <v>161.03059581320451</v>
      </c>
      <c r="NQ124" s="40">
        <f t="shared" si="1803"/>
        <v>1.242</v>
      </c>
      <c r="NS124" s="906">
        <f>200+200+200+200+200</f>
        <v>1000</v>
      </c>
      <c r="NT124" s="907">
        <f>1.56+1.59+1.75+1.4+1.74</f>
        <v>8.0400000000000009</v>
      </c>
      <c r="NU124" s="825">
        <v>5</v>
      </c>
      <c r="NV124" s="40">
        <f t="shared" si="2075"/>
        <v>124.37810945273631</v>
      </c>
      <c r="NW124" s="40">
        <f t="shared" si="1805"/>
        <v>1.6080000000000001</v>
      </c>
      <c r="NY124" s="913">
        <f>200+200+200+200+200</f>
        <v>1000</v>
      </c>
      <c r="NZ124" s="914">
        <f>1.12+1.03+1.15+1.1+1.05</f>
        <v>5.45</v>
      </c>
      <c r="OA124" s="918">
        <v>5</v>
      </c>
      <c r="OB124" s="40">
        <f t="shared" si="2076"/>
        <v>183.48623853211009</v>
      </c>
      <c r="OC124" s="40">
        <f t="shared" si="1807"/>
        <v>1.0900000000000001</v>
      </c>
      <c r="OE124" s="825">
        <f>200+200+200+200+200</f>
        <v>1000</v>
      </c>
      <c r="OF124" s="826">
        <f>1.32+1.31+1.3+1.29+1.3</f>
        <v>6.52</v>
      </c>
      <c r="OG124" s="825">
        <v>5</v>
      </c>
      <c r="OH124" s="40">
        <f t="shared" si="2077"/>
        <v>153.37423312883436</v>
      </c>
      <c r="OI124" s="40">
        <f t="shared" si="1809"/>
        <v>1.3039999999999998</v>
      </c>
    </row>
    <row r="125" spans="2:399">
      <c r="B125" s="20"/>
      <c r="C125" s="3" t="s">
        <v>41</v>
      </c>
      <c r="D125" s="58" t="s">
        <v>14</v>
      </c>
      <c r="E125" s="726"/>
      <c r="F125" s="45"/>
      <c r="G125" s="45"/>
      <c r="H125" s="48"/>
      <c r="I125" s="48"/>
      <c r="K125" s="45"/>
      <c r="L125" s="45"/>
      <c r="M125" s="45"/>
      <c r="N125" s="48"/>
      <c r="O125" s="48"/>
      <c r="Q125" s="45">
        <v>380</v>
      </c>
      <c r="R125" s="45">
        <v>1.7000000000000002</v>
      </c>
      <c r="S125" s="45">
        <v>5</v>
      </c>
      <c r="T125" s="48">
        <f t="shared" ref="T125:T127" si="2215">Q125/R125</f>
        <v>223.52941176470586</v>
      </c>
      <c r="U125" s="48">
        <f t="shared" ref="U125:U127" si="2216">R125/S125</f>
        <v>0.34</v>
      </c>
      <c r="W125" s="45"/>
      <c r="X125" s="45"/>
      <c r="Y125" s="45"/>
      <c r="Z125" s="48"/>
      <c r="AA125" s="48"/>
      <c r="AC125" s="45">
        <f>100+200+100+100+200</f>
        <v>700</v>
      </c>
      <c r="AD125" s="45">
        <f>0.3+0.4+0.2+0.3+0.1</f>
        <v>1.3</v>
      </c>
      <c r="AE125" s="45">
        <v>5</v>
      </c>
      <c r="AF125" s="48">
        <f t="shared" ref="AF125" si="2217">AC125/AD125</f>
        <v>538.46153846153845</v>
      </c>
      <c r="AG125" s="48">
        <f t="shared" ref="AG125" si="2218">AD125/AE125</f>
        <v>0.26</v>
      </c>
      <c r="AI125" s="45"/>
      <c r="AJ125" s="45"/>
      <c r="AK125" s="45"/>
      <c r="AL125" s="48"/>
      <c r="AM125" s="48"/>
      <c r="AO125" s="45"/>
      <c r="AP125" s="45"/>
      <c r="AQ125" s="45"/>
      <c r="AR125" s="48"/>
      <c r="AS125" s="48"/>
      <c r="AU125" s="45">
        <f>50+50+50+200+200</f>
        <v>550</v>
      </c>
      <c r="AV125" s="45">
        <f>0.19+0.18+0.11+0.66+0.62</f>
        <v>1.7600000000000002</v>
      </c>
      <c r="AW125" s="45">
        <v>5</v>
      </c>
      <c r="AX125" s="48">
        <f t="shared" si="2146"/>
        <v>312.49999999999994</v>
      </c>
      <c r="AY125" s="48">
        <f t="shared" si="2147"/>
        <v>0.35200000000000004</v>
      </c>
      <c r="AZ125" s="593"/>
      <c r="BA125" s="45">
        <f>500</f>
        <v>500</v>
      </c>
      <c r="BB125" s="45">
        <f>0.31</f>
        <v>0.31</v>
      </c>
      <c r="BC125" s="45">
        <v>1</v>
      </c>
      <c r="BD125" s="48">
        <f t="shared" si="2119"/>
        <v>1612.9032258064517</v>
      </c>
      <c r="BE125" s="48">
        <f t="shared" si="2120"/>
        <v>0.31</v>
      </c>
      <c r="BF125" s="593"/>
      <c r="BG125" s="45"/>
      <c r="BH125" s="45"/>
      <c r="BI125" s="45"/>
      <c r="BJ125" s="48"/>
      <c r="BK125" s="48"/>
      <c r="BL125" s="593"/>
      <c r="BM125" s="45"/>
      <c r="BN125" s="45"/>
      <c r="BO125" s="45"/>
      <c r="BP125" s="48"/>
      <c r="BQ125" s="48"/>
      <c r="BS125" s="45"/>
      <c r="BT125" s="45"/>
      <c r="BU125" s="45"/>
      <c r="BV125" s="48"/>
      <c r="BW125" s="48"/>
      <c r="BX125" s="593"/>
      <c r="BY125" s="45">
        <f>50+50+50+200+200</f>
        <v>550</v>
      </c>
      <c r="BZ125" s="45">
        <f>0.19+0.18+0.11+0.66+0.62</f>
        <v>1.7600000000000002</v>
      </c>
      <c r="CA125" s="45">
        <v>5</v>
      </c>
      <c r="CB125" s="48">
        <f t="shared" si="2174"/>
        <v>312.49999999999994</v>
      </c>
      <c r="CC125" s="48">
        <f t="shared" si="2175"/>
        <v>0.35200000000000004</v>
      </c>
      <c r="CD125" s="593"/>
      <c r="CE125" s="45"/>
      <c r="CF125" s="45"/>
      <c r="CG125" s="45"/>
      <c r="CH125" s="48"/>
      <c r="CI125" s="48"/>
      <c r="CJ125" s="593"/>
      <c r="CK125" s="45"/>
      <c r="CL125" s="45"/>
      <c r="CM125" s="45"/>
      <c r="CN125" s="48"/>
      <c r="CO125" s="48"/>
      <c r="CP125" s="593"/>
      <c r="CQ125" s="45"/>
      <c r="CR125" s="45"/>
      <c r="CS125" s="45"/>
      <c r="CT125" s="48"/>
      <c r="CU125" s="48"/>
      <c r="CV125" s="593"/>
      <c r="CW125" s="45">
        <f>50+50+50+200+200</f>
        <v>550</v>
      </c>
      <c r="CX125" s="45">
        <f>0.19+0.18+0.11+0.66+0.62</f>
        <v>1.7600000000000002</v>
      </c>
      <c r="CY125" s="45">
        <v>5</v>
      </c>
      <c r="CZ125" s="48">
        <f t="shared" si="2101"/>
        <v>312.49999999999994</v>
      </c>
      <c r="DA125" s="48">
        <f t="shared" si="2102"/>
        <v>0.35200000000000004</v>
      </c>
      <c r="DB125" s="593"/>
      <c r="DC125" s="45">
        <f>100+100+100+100+100</f>
        <v>500</v>
      </c>
      <c r="DD125" s="45">
        <f>0.24+0.23+0.21+0.24+0.25</f>
        <v>1.17</v>
      </c>
      <c r="DE125" s="45">
        <v>5</v>
      </c>
      <c r="DF125" s="48">
        <f t="shared" ref="DF125" si="2219">DC125/DD125</f>
        <v>427.35042735042737</v>
      </c>
      <c r="DG125" s="48">
        <f t="shared" ref="DG125" si="2220">DD125/DE125</f>
        <v>0.23399999999999999</v>
      </c>
      <c r="DH125" s="593"/>
      <c r="DI125" s="45"/>
      <c r="DJ125" s="45"/>
      <c r="DK125" s="45"/>
      <c r="DL125" s="48"/>
      <c r="DM125" s="48"/>
      <c r="DN125" s="593"/>
      <c r="DO125" s="45">
        <v>200</v>
      </c>
      <c r="DP125" s="45">
        <v>1.07</v>
      </c>
      <c r="DQ125" s="45">
        <v>5</v>
      </c>
      <c r="DR125" s="48">
        <f t="shared" si="2105"/>
        <v>186.91588785046727</v>
      </c>
      <c r="DS125" s="48">
        <f t="shared" si="2106"/>
        <v>0.21400000000000002</v>
      </c>
      <c r="DT125" s="593"/>
      <c r="DU125" s="45"/>
      <c r="DV125" s="45"/>
      <c r="DW125" s="45"/>
      <c r="DX125" s="48"/>
      <c r="DY125" s="48"/>
      <c r="DZ125" s="593"/>
      <c r="EA125" s="45"/>
      <c r="EB125" s="45"/>
      <c r="EC125" s="45"/>
      <c r="ED125" s="48"/>
      <c r="EE125" s="48"/>
      <c r="EF125" s="593"/>
      <c r="EG125" s="45"/>
      <c r="EH125" s="45"/>
      <c r="EI125" s="45"/>
      <c r="EJ125" s="48"/>
      <c r="EK125" s="48"/>
      <c r="EL125" s="593"/>
      <c r="EM125" s="45"/>
      <c r="EN125" s="45"/>
      <c r="EO125" s="45"/>
      <c r="EP125" s="48"/>
      <c r="EQ125" s="48"/>
      <c r="ES125" s="45">
        <f>50+50+50+200+200</f>
        <v>550</v>
      </c>
      <c r="ET125" s="45">
        <f>0.19+0.18+0.11+0.66+0.62</f>
        <v>1.7600000000000002</v>
      </c>
      <c r="EU125" s="45">
        <v>5</v>
      </c>
      <c r="EV125" s="48">
        <f t="shared" si="1890"/>
        <v>312.49999999999994</v>
      </c>
      <c r="EW125" s="48">
        <f t="shared" si="1890"/>
        <v>0.35200000000000004</v>
      </c>
      <c r="EY125" s="45"/>
      <c r="EZ125" s="45"/>
      <c r="FA125" s="45"/>
      <c r="FB125" s="48"/>
      <c r="FC125" s="48"/>
      <c r="FE125" s="45">
        <v>380</v>
      </c>
      <c r="FF125" s="45">
        <v>1.7000000000000002</v>
      </c>
      <c r="FG125" s="45">
        <v>5</v>
      </c>
      <c r="FH125" s="48">
        <f t="shared" si="1827"/>
        <v>223.52941176470586</v>
      </c>
      <c r="FI125" s="48">
        <f t="shared" si="1827"/>
        <v>0.34</v>
      </c>
      <c r="FK125" s="38"/>
      <c r="FL125" s="40"/>
      <c r="FM125" s="38"/>
      <c r="FN125" s="40"/>
      <c r="FO125" s="40"/>
      <c r="FP125" s="231"/>
      <c r="FQ125" s="45">
        <f>50</f>
        <v>50</v>
      </c>
      <c r="FR125" s="45">
        <f>0.29</f>
        <v>0.28999999999999998</v>
      </c>
      <c r="FS125" s="45">
        <f>1</f>
        <v>1</v>
      </c>
      <c r="FT125" s="48">
        <f t="shared" si="1765"/>
        <v>172.41379310344828</v>
      </c>
      <c r="FU125" s="48">
        <f t="shared" si="1765"/>
        <v>0.28999999999999998</v>
      </c>
      <c r="FW125" s="45">
        <f>100+100+100+100+100</f>
        <v>500</v>
      </c>
      <c r="FX125" s="45">
        <f>0.24+0.23+0.21+0.24+0.25</f>
        <v>1.17</v>
      </c>
      <c r="FY125" s="45">
        <v>5</v>
      </c>
      <c r="FZ125" s="48">
        <f t="shared" si="1766"/>
        <v>427.35042735042737</v>
      </c>
      <c r="GA125" s="48">
        <f t="shared" si="1766"/>
        <v>0.23399999999999999</v>
      </c>
      <c r="GC125" s="26"/>
      <c r="GD125" s="45"/>
      <c r="GE125" s="45"/>
      <c r="GF125" s="48"/>
      <c r="GG125" s="48"/>
      <c r="GI125" s="45">
        <f>50+20+30+100+50</f>
        <v>250</v>
      </c>
      <c r="GJ125" s="45">
        <f>0.62+0.31+0.31+0.25+0.15</f>
        <v>1.64</v>
      </c>
      <c r="GK125" s="45">
        <f>5</f>
        <v>5</v>
      </c>
      <c r="GL125" s="48">
        <f t="shared" si="1768"/>
        <v>152.4390243902439</v>
      </c>
      <c r="GM125" s="48">
        <f t="shared" si="1768"/>
        <v>0.32799999999999996</v>
      </c>
      <c r="GO125" s="45">
        <f>100+100+100+100+100</f>
        <v>500</v>
      </c>
      <c r="GP125" s="45">
        <f>0.63+0.41+0.63+0.41+0.63</f>
        <v>2.71</v>
      </c>
      <c r="GQ125" s="45">
        <f>5</f>
        <v>5</v>
      </c>
      <c r="GR125" s="48">
        <f t="shared" si="1769"/>
        <v>184.50184501845018</v>
      </c>
      <c r="GS125" s="48">
        <f t="shared" si="1769"/>
        <v>0.54200000000000004</v>
      </c>
      <c r="GU125" s="99">
        <f>100+100+100+100+100</f>
        <v>500</v>
      </c>
      <c r="GV125" s="99">
        <f>0.32+0.36+0.3+0.3+0.35</f>
        <v>1.63</v>
      </c>
      <c r="GW125" s="99">
        <v>5</v>
      </c>
      <c r="GX125" s="101">
        <f t="shared" si="1770"/>
        <v>306.74846625766872</v>
      </c>
      <c r="GY125" s="101">
        <f t="shared" si="1770"/>
        <v>0.32599999999999996</v>
      </c>
      <c r="GZ125" s="43"/>
      <c r="HA125" s="28">
        <f>50+20+100+50+100</f>
        <v>320</v>
      </c>
      <c r="HB125" s="28">
        <f>0.3+0.12+0.45+0.27+0.38</f>
        <v>1.52</v>
      </c>
      <c r="HC125" s="27">
        <v>5</v>
      </c>
      <c r="HD125" s="40">
        <f t="shared" si="1771"/>
        <v>210.52631578947367</v>
      </c>
      <c r="HE125" s="40">
        <f t="shared" si="1771"/>
        <v>0.30399999999999999</v>
      </c>
      <c r="HG125" s="45">
        <v>200</v>
      </c>
      <c r="HH125" s="45">
        <v>1.07</v>
      </c>
      <c r="HI125" s="45">
        <v>5</v>
      </c>
      <c r="HJ125" s="48">
        <f t="shared" si="2122"/>
        <v>186.91588785046727</v>
      </c>
      <c r="HK125" s="48">
        <f t="shared" si="2123"/>
        <v>0.21400000000000002</v>
      </c>
      <c r="HM125" s="45"/>
      <c r="HN125" s="45"/>
      <c r="HO125" s="45"/>
      <c r="HP125" s="48"/>
      <c r="HQ125" s="48"/>
      <c r="HS125" s="45"/>
      <c r="HT125" s="45"/>
      <c r="HU125" s="45"/>
      <c r="HV125" s="48"/>
      <c r="HW125" s="48"/>
      <c r="HX125" s="231"/>
      <c r="HY125" s="38"/>
      <c r="HZ125" s="40"/>
      <c r="IA125" s="38"/>
      <c r="IB125" s="40"/>
      <c r="IC125" s="40"/>
      <c r="IE125" s="38">
        <f>200</f>
        <v>200</v>
      </c>
      <c r="IF125" s="40">
        <v>0.48</v>
      </c>
      <c r="IG125" s="38">
        <f>1</f>
        <v>1</v>
      </c>
      <c r="IH125" s="40">
        <f>IE125/IF125</f>
        <v>416.66666666666669</v>
      </c>
      <c r="II125" s="40">
        <f>IF125/IG125</f>
        <v>0.48</v>
      </c>
      <c r="IK125" s="38">
        <f>100+100</f>
        <v>200</v>
      </c>
      <c r="IL125" s="40">
        <f>0.09+0.15</f>
        <v>0.24</v>
      </c>
      <c r="IM125" s="38">
        <v>2</v>
      </c>
      <c r="IN125" s="40">
        <f t="shared" si="2193"/>
        <v>833.33333333333337</v>
      </c>
      <c r="IO125" s="40">
        <f>IL125/IM125</f>
        <v>0.12</v>
      </c>
      <c r="IQ125" s="38"/>
      <c r="IR125" s="40"/>
      <c r="IS125" s="38"/>
      <c r="IT125" s="40"/>
      <c r="IU125" s="40"/>
      <c r="IW125" s="38">
        <f>100+100</f>
        <v>200</v>
      </c>
      <c r="IX125" s="40">
        <f>0.18+0.12</f>
        <v>0.3</v>
      </c>
      <c r="IY125" s="38">
        <v>2</v>
      </c>
      <c r="IZ125" s="40">
        <f t="shared" si="2197"/>
        <v>666.66666666666674</v>
      </c>
      <c r="JA125" s="40">
        <f>IX125/IY125</f>
        <v>0.15</v>
      </c>
      <c r="JC125" s="38">
        <f>50+50+50+50</f>
        <v>200</v>
      </c>
      <c r="JD125" s="40">
        <f>0.37+0.33+0.35+0.41</f>
        <v>1.4599999999999997</v>
      </c>
      <c r="JE125" s="38">
        <v>4</v>
      </c>
      <c r="JF125" s="40">
        <f t="shared" si="2199"/>
        <v>136.98630136986304</v>
      </c>
      <c r="JG125" s="40">
        <f>JD125/JE125</f>
        <v>0.36499999999999994</v>
      </c>
      <c r="JI125" s="38"/>
      <c r="JJ125" s="40"/>
      <c r="JK125" s="38"/>
      <c r="JL125" s="40"/>
      <c r="JM125" s="40"/>
      <c r="JO125" s="38"/>
      <c r="JP125" s="40"/>
      <c r="JQ125" s="38"/>
      <c r="JR125" s="40"/>
      <c r="JS125" s="40"/>
      <c r="JU125" s="38"/>
      <c r="JV125" s="40"/>
      <c r="JW125" s="38"/>
      <c r="JX125" s="40"/>
      <c r="JY125" s="40"/>
      <c r="KA125" s="38"/>
      <c r="KB125" s="40"/>
      <c r="KC125" s="38"/>
      <c r="KD125" s="40"/>
      <c r="KE125" s="40"/>
      <c r="KG125" s="38"/>
      <c r="KH125" s="40"/>
      <c r="KI125" s="38"/>
      <c r="KJ125" s="40" t="e">
        <f t="shared" si="2060"/>
        <v>#DIV/0!</v>
      </c>
      <c r="KK125" s="40" t="e">
        <f t="shared" si="1853"/>
        <v>#DIV/0!</v>
      </c>
      <c r="KM125" s="38"/>
      <c r="KN125" s="40"/>
      <c r="KO125" s="38"/>
      <c r="KP125" s="40" t="e">
        <f t="shared" si="2061"/>
        <v>#DIV/0!</v>
      </c>
      <c r="KQ125" s="40" t="e">
        <f t="shared" si="1777"/>
        <v>#DIV/0!</v>
      </c>
      <c r="KS125" s="38"/>
      <c r="KT125" s="40"/>
      <c r="KU125" s="38"/>
      <c r="KV125" s="40" t="e">
        <f t="shared" si="2062"/>
        <v>#DIV/0!</v>
      </c>
      <c r="KW125" s="40" t="e">
        <f t="shared" si="1779"/>
        <v>#DIV/0!</v>
      </c>
      <c r="KY125" s="38"/>
      <c r="KZ125" s="40"/>
      <c r="LA125" s="38"/>
      <c r="LB125" s="40" t="e">
        <f t="shared" si="2063"/>
        <v>#DIV/0!</v>
      </c>
      <c r="LC125" s="40" t="e">
        <f t="shared" si="1781"/>
        <v>#DIV/0!</v>
      </c>
      <c r="LE125" s="38"/>
      <c r="LF125" s="40"/>
      <c r="LG125" s="38"/>
      <c r="LH125" s="40" t="e">
        <f t="shared" si="2064"/>
        <v>#DIV/0!</v>
      </c>
      <c r="LI125" s="40" t="e">
        <f t="shared" si="1783"/>
        <v>#DIV/0!</v>
      </c>
      <c r="LK125" s="38"/>
      <c r="LL125" s="40"/>
      <c r="LM125" s="38"/>
      <c r="LN125" s="40" t="e">
        <f t="shared" si="2065"/>
        <v>#DIV/0!</v>
      </c>
      <c r="LO125" s="40" t="e">
        <f t="shared" si="1785"/>
        <v>#DIV/0!</v>
      </c>
      <c r="LQ125" s="38">
        <f>100+100+100+50+50</f>
        <v>400</v>
      </c>
      <c r="LR125" s="40">
        <f>0.27+0.27+0.27+0.24+0.24</f>
        <v>1.29</v>
      </c>
      <c r="LS125" s="38">
        <v>5</v>
      </c>
      <c r="LT125" s="40">
        <f t="shared" si="2066"/>
        <v>310.07751937984494</v>
      </c>
      <c r="LU125" s="40">
        <f t="shared" si="1787"/>
        <v>0.25800000000000001</v>
      </c>
      <c r="LW125" s="38">
        <f>100+100+100+100+100</f>
        <v>500</v>
      </c>
      <c r="LX125" s="40">
        <f>0.12+0.16+0.11+0.12+0.22</f>
        <v>0.73</v>
      </c>
      <c r="LY125" s="38">
        <v>5</v>
      </c>
      <c r="LZ125" s="40">
        <f t="shared" si="2067"/>
        <v>684.93150684931504</v>
      </c>
      <c r="MA125" s="40">
        <f t="shared" si="1789"/>
        <v>0.14599999999999999</v>
      </c>
      <c r="MC125" s="38">
        <f>100+100+100+100+30</f>
        <v>430</v>
      </c>
      <c r="MD125" s="40">
        <f>0.58+0.62+0.66+0.42+0.25</f>
        <v>2.5299999999999998</v>
      </c>
      <c r="ME125" s="38">
        <v>5</v>
      </c>
      <c r="MF125" s="40">
        <f t="shared" si="2068"/>
        <v>169.96047430830041</v>
      </c>
      <c r="MG125" s="40">
        <f t="shared" si="1791"/>
        <v>0.50600000000000001</v>
      </c>
      <c r="MI125" s="38"/>
      <c r="MJ125" s="40"/>
      <c r="MK125" s="38"/>
      <c r="ML125" s="40" t="e">
        <f t="shared" si="2069"/>
        <v>#DIV/0!</v>
      </c>
      <c r="MM125" s="40" t="e">
        <f t="shared" si="1793"/>
        <v>#DIV/0!</v>
      </c>
      <c r="MO125" s="38"/>
      <c r="MP125" s="40"/>
      <c r="MQ125" s="38"/>
      <c r="MR125" s="40" t="e">
        <f t="shared" si="2070"/>
        <v>#DIV/0!</v>
      </c>
      <c r="MS125" s="40" t="e">
        <f t="shared" si="1795"/>
        <v>#DIV/0!</v>
      </c>
      <c r="MU125" s="38"/>
      <c r="MV125" s="40"/>
      <c r="MW125" s="38"/>
      <c r="MX125" s="40" t="e">
        <f t="shared" si="2071"/>
        <v>#DIV/0!</v>
      </c>
      <c r="MY125" s="40" t="e">
        <f t="shared" si="1797"/>
        <v>#DIV/0!</v>
      </c>
      <c r="NA125" s="825">
        <f>200+200+200+200+200</f>
        <v>1000</v>
      </c>
      <c r="NB125" s="826">
        <f>0.32+0.21+0.3+0.24+0.18</f>
        <v>1.25</v>
      </c>
      <c r="NC125" s="825">
        <v>5</v>
      </c>
      <c r="ND125" s="40">
        <f t="shared" si="2072"/>
        <v>800</v>
      </c>
      <c r="NE125" s="40">
        <f t="shared" si="1799"/>
        <v>0.25</v>
      </c>
      <c r="NG125" s="825"/>
      <c r="NH125" s="826"/>
      <c r="NI125" s="825"/>
      <c r="NJ125" s="40" t="e">
        <f t="shared" si="2073"/>
        <v>#DIV/0!</v>
      </c>
      <c r="NK125" s="40" t="e">
        <f t="shared" si="1801"/>
        <v>#DIV/0!</v>
      </c>
      <c r="NM125" s="825"/>
      <c r="NN125" s="826"/>
      <c r="NO125" s="825"/>
      <c r="NP125" s="40" t="e">
        <f t="shared" si="2074"/>
        <v>#DIV/0!</v>
      </c>
      <c r="NQ125" s="40" t="e">
        <f t="shared" si="1803"/>
        <v>#DIV/0!</v>
      </c>
      <c r="NS125" s="825"/>
      <c r="NT125" s="826"/>
      <c r="NU125" s="825"/>
      <c r="NV125" s="40" t="e">
        <f t="shared" si="2075"/>
        <v>#DIV/0!</v>
      </c>
      <c r="NW125" s="40" t="e">
        <f t="shared" si="1805"/>
        <v>#DIV/0!</v>
      </c>
      <c r="NY125" s="913"/>
      <c r="NZ125" s="914"/>
      <c r="OA125" s="918"/>
      <c r="OB125" s="40" t="e">
        <f t="shared" si="2076"/>
        <v>#DIV/0!</v>
      </c>
      <c r="OC125" s="40" t="e">
        <f t="shared" si="1807"/>
        <v>#DIV/0!</v>
      </c>
      <c r="OE125" s="825">
        <f>100+100+100+100+100</f>
        <v>500</v>
      </c>
      <c r="OF125" s="826">
        <f>0.34+0.29+0.3+0.39+0.3</f>
        <v>1.6199999999999999</v>
      </c>
      <c r="OG125" s="825">
        <v>5</v>
      </c>
      <c r="OH125" s="40">
        <f t="shared" si="2077"/>
        <v>308.64197530864197</v>
      </c>
      <c r="OI125" s="40">
        <f t="shared" si="1809"/>
        <v>0.32399999999999995</v>
      </c>
    </row>
    <row r="126" spans="2:399">
      <c r="B126" s="20"/>
      <c r="C126" s="3"/>
      <c r="D126" s="58" t="s">
        <v>36</v>
      </c>
      <c r="E126" s="726">
        <f>500+500</f>
        <v>1000</v>
      </c>
      <c r="F126" s="45">
        <f>0.69+0.68</f>
        <v>1.37</v>
      </c>
      <c r="G126" s="45">
        <v>2</v>
      </c>
      <c r="H126" s="48">
        <f t="shared" si="2115"/>
        <v>729.92700729927003</v>
      </c>
      <c r="I126" s="48">
        <f t="shared" si="2116"/>
        <v>0.68500000000000005</v>
      </c>
      <c r="K126" s="45"/>
      <c r="L126" s="45"/>
      <c r="M126" s="45"/>
      <c r="N126" s="48"/>
      <c r="O126" s="48"/>
      <c r="Q126" s="45">
        <v>1400</v>
      </c>
      <c r="R126" s="45">
        <v>5.0999999999999996</v>
      </c>
      <c r="S126" s="45">
        <v>5</v>
      </c>
      <c r="T126" s="48">
        <f t="shared" si="2215"/>
        <v>274.50980392156862</v>
      </c>
      <c r="U126" s="48">
        <f t="shared" si="2216"/>
        <v>1.02</v>
      </c>
      <c r="W126" s="45">
        <f>500+500+500+500+500</f>
        <v>2500</v>
      </c>
      <c r="X126" s="45">
        <f>0.46+0.35+0.39+0.44+0.4</f>
        <v>2.04</v>
      </c>
      <c r="Y126" s="45">
        <v>5</v>
      </c>
      <c r="Z126" s="48">
        <f t="shared" ref="Z126" si="2221">W126/X126</f>
        <v>1225.4901960784314</v>
      </c>
      <c r="AA126" s="48">
        <f t="shared" ref="AA126" si="2222">X126/Y126</f>
        <v>0.40800000000000003</v>
      </c>
      <c r="AC126" s="45">
        <f>500+500+400+300+300</f>
        <v>2000</v>
      </c>
      <c r="AD126" s="45">
        <f>1.1+0.9+0.8+0.8+0.8</f>
        <v>4.3999999999999995</v>
      </c>
      <c r="AE126" s="45">
        <v>5</v>
      </c>
      <c r="AF126" s="48">
        <f t="shared" ref="AF126" si="2223">AC126/AD126</f>
        <v>454.54545454545462</v>
      </c>
      <c r="AG126" s="48">
        <f t="shared" ref="AG126" si="2224">AD126/AE126</f>
        <v>0.87999999999999989</v>
      </c>
      <c r="AI126" s="45">
        <f>500+500+500+500+500</f>
        <v>2500</v>
      </c>
      <c r="AJ126" s="45">
        <f>1.65+1.28+1.3+1.23+1.35</f>
        <v>6.8099999999999987</v>
      </c>
      <c r="AK126" s="45">
        <v>5</v>
      </c>
      <c r="AL126" s="48">
        <f t="shared" si="2188"/>
        <v>367.10719530102796</v>
      </c>
      <c r="AM126" s="48">
        <f t="shared" si="2189"/>
        <v>1.3619999999999997</v>
      </c>
      <c r="AO126" s="45"/>
      <c r="AP126" s="45"/>
      <c r="AQ126" s="45"/>
      <c r="AR126" s="48"/>
      <c r="AS126" s="48"/>
      <c r="AU126" s="45">
        <f>300+300+300+300+300</f>
        <v>1500</v>
      </c>
      <c r="AV126" s="45">
        <f>0.91+0.92+0.91+0.83+0.87</f>
        <v>4.4400000000000004</v>
      </c>
      <c r="AW126" s="45">
        <v>5</v>
      </c>
      <c r="AX126" s="48">
        <f t="shared" si="2146"/>
        <v>337.83783783783781</v>
      </c>
      <c r="AY126" s="48">
        <f t="shared" si="2147"/>
        <v>0.88800000000000012</v>
      </c>
      <c r="AZ126" s="593"/>
      <c r="BA126" s="45"/>
      <c r="BB126" s="45"/>
      <c r="BC126" s="45"/>
      <c r="BD126" s="48"/>
      <c r="BE126" s="48"/>
      <c r="BF126" s="593"/>
      <c r="BG126" s="45"/>
      <c r="BH126" s="45"/>
      <c r="BI126" s="45"/>
      <c r="BJ126" s="48"/>
      <c r="BK126" s="48"/>
      <c r="BL126" s="593"/>
      <c r="BM126" s="45"/>
      <c r="BN126" s="45"/>
      <c r="BO126" s="45"/>
      <c r="BP126" s="48"/>
      <c r="BQ126" s="48"/>
      <c r="BS126" s="45"/>
      <c r="BT126" s="45"/>
      <c r="BU126" s="45"/>
      <c r="BV126" s="48"/>
      <c r="BW126" s="48"/>
      <c r="BX126" s="593"/>
      <c r="BY126" s="45">
        <f>300+300+300+300+300</f>
        <v>1500</v>
      </c>
      <c r="BZ126" s="45">
        <f>0.91+0.92+0.91+0.83+0.87</f>
        <v>4.4400000000000004</v>
      </c>
      <c r="CA126" s="45">
        <v>5</v>
      </c>
      <c r="CB126" s="48">
        <f t="shared" si="2174"/>
        <v>337.83783783783781</v>
      </c>
      <c r="CC126" s="48">
        <f t="shared" si="2175"/>
        <v>0.88800000000000012</v>
      </c>
      <c r="CD126" s="593"/>
      <c r="CE126" s="45"/>
      <c r="CF126" s="45"/>
      <c r="CG126" s="45"/>
      <c r="CH126" s="48"/>
      <c r="CI126" s="48"/>
      <c r="CJ126" s="593"/>
      <c r="CK126" s="45"/>
      <c r="CL126" s="45"/>
      <c r="CM126" s="45"/>
      <c r="CN126" s="48"/>
      <c r="CO126" s="48"/>
      <c r="CP126" s="593"/>
      <c r="CQ126" s="45"/>
      <c r="CR126" s="45"/>
      <c r="CS126" s="45"/>
      <c r="CT126" s="48"/>
      <c r="CU126" s="48"/>
      <c r="CV126" s="593"/>
      <c r="CW126" s="45">
        <f>300+300+300+300+300</f>
        <v>1500</v>
      </c>
      <c r="CX126" s="45">
        <f>0.91+0.92+0.91+0.83+0.87</f>
        <v>4.4400000000000004</v>
      </c>
      <c r="CY126" s="45">
        <v>5</v>
      </c>
      <c r="CZ126" s="48">
        <f t="shared" si="2101"/>
        <v>337.83783783783781</v>
      </c>
      <c r="DA126" s="48">
        <f t="shared" si="2102"/>
        <v>0.88800000000000012</v>
      </c>
      <c r="DB126" s="593"/>
      <c r="DC126" s="45">
        <f>500+500+250+250+250</f>
        <v>1750</v>
      </c>
      <c r="DD126" s="45">
        <f>1.22+1.08+0.76+0.78+0.8</f>
        <v>4.6399999999999997</v>
      </c>
      <c r="DE126" s="45">
        <v>5</v>
      </c>
      <c r="DF126" s="48">
        <f t="shared" si="2103"/>
        <v>377.15517241379314</v>
      </c>
      <c r="DG126" s="48">
        <f t="shared" si="2104"/>
        <v>0.92799999999999994</v>
      </c>
      <c r="DH126" s="593"/>
      <c r="DI126" s="45">
        <v>2000</v>
      </c>
      <c r="DJ126" s="45">
        <v>4.3999999999999995</v>
      </c>
      <c r="DK126" s="45">
        <v>5</v>
      </c>
      <c r="DL126" s="48">
        <f t="shared" si="2176"/>
        <v>454.54545454545462</v>
      </c>
      <c r="DM126" s="48">
        <f t="shared" si="2177"/>
        <v>0.87999999999999989</v>
      </c>
      <c r="DN126" s="593"/>
      <c r="DO126" s="45">
        <v>1300</v>
      </c>
      <c r="DP126" s="45">
        <v>8.11</v>
      </c>
      <c r="DQ126" s="45">
        <v>5</v>
      </c>
      <c r="DR126" s="48">
        <f t="shared" si="2105"/>
        <v>160.29593094944514</v>
      </c>
      <c r="DS126" s="48">
        <f t="shared" si="2106"/>
        <v>1.6219999999999999</v>
      </c>
      <c r="DT126" s="593"/>
      <c r="DU126" s="45"/>
      <c r="DV126" s="45"/>
      <c r="DW126" s="45"/>
      <c r="DX126" s="48"/>
      <c r="DY126" s="48"/>
      <c r="DZ126" s="593"/>
      <c r="EA126" s="45"/>
      <c r="EB126" s="45"/>
      <c r="EC126" s="45"/>
      <c r="ED126" s="48"/>
      <c r="EE126" s="48"/>
      <c r="EF126" s="593"/>
      <c r="EG126" s="45"/>
      <c r="EH126" s="45"/>
      <c r="EI126" s="45"/>
      <c r="EJ126" s="48"/>
      <c r="EK126" s="48"/>
      <c r="EL126" s="593"/>
      <c r="EM126" s="45"/>
      <c r="EN126" s="45"/>
      <c r="EO126" s="45"/>
      <c r="EP126" s="48"/>
      <c r="EQ126" s="48"/>
      <c r="ES126" s="45">
        <f>300+300+300+300+300</f>
        <v>1500</v>
      </c>
      <c r="ET126" s="45">
        <f>0.91+0.92+0.91+0.83+0.87</f>
        <v>4.4400000000000004</v>
      </c>
      <c r="EU126" s="45">
        <v>5</v>
      </c>
      <c r="EV126" s="48">
        <f t="shared" si="1890"/>
        <v>337.83783783783781</v>
      </c>
      <c r="EW126" s="48">
        <f t="shared" si="1890"/>
        <v>0.88800000000000012</v>
      </c>
      <c r="EY126" s="45">
        <v>2500</v>
      </c>
      <c r="EZ126" s="45">
        <v>6.8099999999999987</v>
      </c>
      <c r="FA126" s="45">
        <v>5</v>
      </c>
      <c r="FB126" s="48">
        <f>EY126/EZ126</f>
        <v>367.10719530102796</v>
      </c>
      <c r="FC126" s="48">
        <f>EZ126/FA126</f>
        <v>1.3619999999999997</v>
      </c>
      <c r="FE126" s="45">
        <v>1400</v>
      </c>
      <c r="FF126" s="45">
        <v>5.0999999999999996</v>
      </c>
      <c r="FG126" s="45">
        <v>5</v>
      </c>
      <c r="FH126" s="48">
        <f t="shared" si="1827"/>
        <v>274.50980392156862</v>
      </c>
      <c r="FI126" s="48">
        <f t="shared" si="1827"/>
        <v>1.02</v>
      </c>
      <c r="FK126" s="38">
        <f>300</f>
        <v>300</v>
      </c>
      <c r="FL126" s="40">
        <f>0.36</f>
        <v>0.36</v>
      </c>
      <c r="FM126" s="38">
        <f>1</f>
        <v>1</v>
      </c>
      <c r="FN126" s="40">
        <f t="shared" si="1950"/>
        <v>833.33333333333337</v>
      </c>
      <c r="FO126" s="40">
        <f t="shared" si="1932"/>
        <v>0.36</v>
      </c>
      <c r="FP126" s="231"/>
      <c r="FQ126" s="45">
        <f>400+400+400+400</f>
        <v>1600</v>
      </c>
      <c r="FR126" s="45">
        <f>0.84+0.88+0.74+0.86</f>
        <v>3.32</v>
      </c>
      <c r="FS126" s="45">
        <f>4</f>
        <v>4</v>
      </c>
      <c r="FT126" s="48">
        <f t="shared" si="1765"/>
        <v>481.92771084337352</v>
      </c>
      <c r="FU126" s="48">
        <f t="shared" si="1765"/>
        <v>0.83</v>
      </c>
      <c r="FW126" s="45">
        <f>500+500+500+500+500</f>
        <v>2500</v>
      </c>
      <c r="FX126" s="45">
        <f>1.04+0.8+0.86+0.9+0.69</f>
        <v>4.29</v>
      </c>
      <c r="FY126" s="45">
        <f>5</f>
        <v>5</v>
      </c>
      <c r="FZ126" s="48">
        <f t="shared" si="1766"/>
        <v>582.75058275058279</v>
      </c>
      <c r="GA126" s="48">
        <f t="shared" si="1766"/>
        <v>0.85799999999999998</v>
      </c>
      <c r="GC126" s="26">
        <f>200+500</f>
        <v>700</v>
      </c>
      <c r="GD126" s="45">
        <f>0.56+1.46</f>
        <v>2.02</v>
      </c>
      <c r="GE126" s="45">
        <f>2</f>
        <v>2</v>
      </c>
      <c r="GF126" s="48">
        <f t="shared" si="1767"/>
        <v>346.53465346534654</v>
      </c>
      <c r="GG126" s="48">
        <f t="shared" si="1767"/>
        <v>1.01</v>
      </c>
      <c r="GI126" s="45">
        <f>300+300+200+200+200</f>
        <v>1200</v>
      </c>
      <c r="GJ126" s="45">
        <f>0.36+0.36+0.21+0.21+0.21</f>
        <v>1.3499999999999999</v>
      </c>
      <c r="GK126" s="45">
        <f>5</f>
        <v>5</v>
      </c>
      <c r="GL126" s="48">
        <f t="shared" si="1768"/>
        <v>888.88888888888903</v>
      </c>
      <c r="GM126" s="48">
        <f t="shared" si="1768"/>
        <v>0.26999999999999996</v>
      </c>
      <c r="GO126" s="45">
        <f>400+400+400+400+400</f>
        <v>2000</v>
      </c>
      <c r="GP126" s="45">
        <f>0.59+0.49+0.47+0.5+0.37</f>
        <v>2.42</v>
      </c>
      <c r="GQ126" s="45">
        <f>5</f>
        <v>5</v>
      </c>
      <c r="GR126" s="48">
        <f t="shared" si="1769"/>
        <v>826.44628099173553</v>
      </c>
      <c r="GS126" s="48">
        <f t="shared" si="1769"/>
        <v>0.48399999999999999</v>
      </c>
      <c r="GU126" s="99">
        <f>150+400+400+400+200</f>
        <v>1550</v>
      </c>
      <c r="GV126" s="99">
        <f>0.32+1.23+1.58+0.97+1.24</f>
        <v>5.34</v>
      </c>
      <c r="GW126" s="99">
        <v>5</v>
      </c>
      <c r="GX126" s="101">
        <f t="shared" si="1770"/>
        <v>290.26217228464418</v>
      </c>
      <c r="GY126" s="101">
        <f t="shared" si="1770"/>
        <v>1.0680000000000001</v>
      </c>
      <c r="GZ126" s="43"/>
      <c r="HA126" s="28">
        <f>200+200+200+200+100</f>
        <v>900</v>
      </c>
      <c r="HB126" s="28">
        <f>1.42+1.45+1.07+1.84+1.66</f>
        <v>7.44</v>
      </c>
      <c r="HC126" s="27">
        <v>5</v>
      </c>
      <c r="HD126" s="40">
        <f t="shared" si="1771"/>
        <v>120.96774193548386</v>
      </c>
      <c r="HE126" s="40">
        <f t="shared" si="1771"/>
        <v>1.488</v>
      </c>
      <c r="HG126" s="45">
        <v>1300</v>
      </c>
      <c r="HH126" s="45">
        <v>8.11</v>
      </c>
      <c r="HI126" s="45">
        <v>5</v>
      </c>
      <c r="HJ126" s="48">
        <f t="shared" si="2122"/>
        <v>160.29593094944514</v>
      </c>
      <c r="HK126" s="48">
        <f t="shared" si="2123"/>
        <v>1.6219999999999999</v>
      </c>
      <c r="HM126" s="45">
        <f>500+500</f>
        <v>1000</v>
      </c>
      <c r="HN126" s="45">
        <f>0.69+0.68</f>
        <v>1.37</v>
      </c>
      <c r="HO126" s="45">
        <v>2</v>
      </c>
      <c r="HP126" s="48">
        <f t="shared" si="1839"/>
        <v>729.92700729927003</v>
      </c>
      <c r="HQ126" s="48">
        <f t="shared" si="1839"/>
        <v>0.68500000000000005</v>
      </c>
      <c r="HS126" s="45"/>
      <c r="HT126" s="45"/>
      <c r="HU126" s="45"/>
      <c r="HV126" s="48"/>
      <c r="HW126" s="48"/>
      <c r="HX126" s="231"/>
      <c r="HY126" s="38">
        <f>300+300+400+400+400</f>
        <v>1800</v>
      </c>
      <c r="HZ126" s="40">
        <f>0.34+0.33+0.37+0.44+0.4</f>
        <v>1.88</v>
      </c>
      <c r="IA126" s="38">
        <f>5</f>
        <v>5</v>
      </c>
      <c r="IB126" s="40">
        <f t="shared" si="1828"/>
        <v>957.44680851063833</v>
      </c>
      <c r="IC126" s="40">
        <f t="shared" si="1840"/>
        <v>0.376</v>
      </c>
      <c r="IE126" s="38"/>
      <c r="IF126" s="40"/>
      <c r="IG126" s="38"/>
      <c r="IH126" s="40"/>
      <c r="II126" s="40"/>
      <c r="IK126" s="38">
        <f>300+500+500+500+500</f>
        <v>2300</v>
      </c>
      <c r="IL126" s="40">
        <f>1.19+1.21+0.8+1.22+1.03</f>
        <v>5.45</v>
      </c>
      <c r="IM126" s="38">
        <v>5</v>
      </c>
      <c r="IN126" s="40">
        <f>IK126/IL126</f>
        <v>422.01834862385317</v>
      </c>
      <c r="IO126" s="40">
        <f>IL126/IM126</f>
        <v>1.0900000000000001</v>
      </c>
      <c r="IQ126" s="38">
        <f>300+300+400</f>
        <v>1000</v>
      </c>
      <c r="IR126" s="40">
        <f>1.09+1.13+1.37</f>
        <v>3.59</v>
      </c>
      <c r="IS126" s="38">
        <v>3</v>
      </c>
      <c r="IT126" s="40">
        <f>IQ126/IR126</f>
        <v>278.55153203342621</v>
      </c>
      <c r="IU126" s="40">
        <f>IR126/IS126</f>
        <v>1.1966666666666665</v>
      </c>
      <c r="IW126" s="38">
        <f>300+500+300</f>
        <v>1100</v>
      </c>
      <c r="IX126" s="40">
        <f>0.98+1.03+0.83</f>
        <v>2.84</v>
      </c>
      <c r="IY126" s="38">
        <v>3</v>
      </c>
      <c r="IZ126" s="40">
        <f>IW126/IX126</f>
        <v>387.32394366197184</v>
      </c>
      <c r="JA126" s="40">
        <f>IX126/IY126</f>
        <v>0.94666666666666666</v>
      </c>
      <c r="JC126" s="38">
        <f>300+300+200+500+300</f>
        <v>1600</v>
      </c>
      <c r="JD126" s="40">
        <f>1.38+1.1+0.95+1.18+1.4</f>
        <v>6.01</v>
      </c>
      <c r="JE126" s="38">
        <f>5</f>
        <v>5</v>
      </c>
      <c r="JF126" s="40">
        <f>JC126/JD126</f>
        <v>266.22296173044924</v>
      </c>
      <c r="JG126" s="40">
        <f>JD126/JE126</f>
        <v>1.202</v>
      </c>
      <c r="JI126" s="38">
        <f>200+200+150+100+200</f>
        <v>850</v>
      </c>
      <c r="JJ126" s="40">
        <f>1.35+1.07+1.47+0.92+1.38</f>
        <v>6.1899999999999995</v>
      </c>
      <c r="JK126" s="38">
        <v>5</v>
      </c>
      <c r="JL126" s="40">
        <f>JI126/JJ126</f>
        <v>137.31825525040389</v>
      </c>
      <c r="JM126" s="40">
        <f>JJ126/JK126</f>
        <v>1.238</v>
      </c>
      <c r="JO126" s="38">
        <f>200+200+200+200+200</f>
        <v>1000</v>
      </c>
      <c r="JP126" s="40">
        <f>1.66+1.06+0.94+1.17+1.1</f>
        <v>5.93</v>
      </c>
      <c r="JQ126" s="38">
        <v>5</v>
      </c>
      <c r="JR126" s="40">
        <f>JO126/JP126</f>
        <v>168.63406408094437</v>
      </c>
      <c r="JS126" s="40">
        <f>JP126/JQ126</f>
        <v>1.1859999999999999</v>
      </c>
      <c r="JU126" s="38">
        <f>500+500+500+500+500</f>
        <v>2500</v>
      </c>
      <c r="JV126" s="40">
        <f>0.86+0.88+0.81+0.8+0.85</f>
        <v>4.1999999999999993</v>
      </c>
      <c r="JW126" s="38">
        <v>5</v>
      </c>
      <c r="JX126" s="40">
        <f>JU126/JV126</f>
        <v>595.2380952380953</v>
      </c>
      <c r="JY126" s="40">
        <f>JV126/JW126</f>
        <v>0.83999999999999986</v>
      </c>
      <c r="KA126" s="38"/>
      <c r="KB126" s="40"/>
      <c r="KC126" s="38"/>
      <c r="KD126" s="40"/>
      <c r="KE126" s="40"/>
      <c r="KG126" s="38"/>
      <c r="KH126" s="40"/>
      <c r="KI126" s="38"/>
      <c r="KJ126" s="40" t="e">
        <f t="shared" si="2060"/>
        <v>#DIV/0!</v>
      </c>
      <c r="KK126" s="40" t="e">
        <f t="shared" si="1853"/>
        <v>#DIV/0!</v>
      </c>
      <c r="KM126" s="38"/>
      <c r="KN126" s="40"/>
      <c r="KO126" s="38"/>
      <c r="KP126" s="40" t="e">
        <f t="shared" si="2061"/>
        <v>#DIV/0!</v>
      </c>
      <c r="KQ126" s="40" t="e">
        <f t="shared" si="1777"/>
        <v>#DIV/0!</v>
      </c>
      <c r="KS126" s="38"/>
      <c r="KT126" s="40"/>
      <c r="KU126" s="38"/>
      <c r="KV126" s="40" t="e">
        <f t="shared" si="2062"/>
        <v>#DIV/0!</v>
      </c>
      <c r="KW126" s="40" t="e">
        <f t="shared" si="1779"/>
        <v>#DIV/0!</v>
      </c>
      <c r="KY126" s="38"/>
      <c r="KZ126" s="40"/>
      <c r="LA126" s="38"/>
      <c r="LB126" s="40" t="e">
        <f t="shared" si="2063"/>
        <v>#DIV/0!</v>
      </c>
      <c r="LC126" s="40" t="e">
        <f t="shared" si="1781"/>
        <v>#DIV/0!</v>
      </c>
      <c r="LE126" s="38"/>
      <c r="LF126" s="40"/>
      <c r="LG126" s="38"/>
      <c r="LH126" s="40" t="e">
        <f t="shared" si="2064"/>
        <v>#DIV/0!</v>
      </c>
      <c r="LI126" s="40" t="e">
        <f t="shared" si="1783"/>
        <v>#DIV/0!</v>
      </c>
      <c r="LK126" s="38">
        <f>500+500+500+500</f>
        <v>2000</v>
      </c>
      <c r="LL126" s="40">
        <f>0+93+0.92+0.98+0.9</f>
        <v>95.800000000000011</v>
      </c>
      <c r="LM126" s="38">
        <v>4</v>
      </c>
      <c r="LN126" s="40">
        <f t="shared" si="2065"/>
        <v>20.876826722338201</v>
      </c>
      <c r="LO126" s="40">
        <f t="shared" si="1785"/>
        <v>23.950000000000003</v>
      </c>
      <c r="LQ126" s="38">
        <f>300+300+300+400+400</f>
        <v>1700</v>
      </c>
      <c r="LR126" s="40">
        <f>1.99+1.95+1.26+1.84+1.14</f>
        <v>8.18</v>
      </c>
      <c r="LS126" s="38">
        <v>5</v>
      </c>
      <c r="LT126" s="40">
        <f t="shared" si="2066"/>
        <v>207.82396088019561</v>
      </c>
      <c r="LU126" s="40">
        <f t="shared" si="1787"/>
        <v>1.6359999999999999</v>
      </c>
      <c r="LW126" s="38">
        <f>200+200+200+200+200</f>
        <v>1000</v>
      </c>
      <c r="LX126" s="40">
        <f>1.12+1.17+1.44+1.64+1.15</f>
        <v>6.52</v>
      </c>
      <c r="LY126" s="38">
        <v>5</v>
      </c>
      <c r="LZ126" s="40">
        <f t="shared" si="2067"/>
        <v>153.37423312883436</v>
      </c>
      <c r="MA126" s="40">
        <f t="shared" si="1789"/>
        <v>1.3039999999999998</v>
      </c>
      <c r="MC126" s="38">
        <f>300+250+300+200+200</f>
        <v>1250</v>
      </c>
      <c r="MD126" s="40">
        <f>0.67+0.67+0.79+1.03+0.97</f>
        <v>4.13</v>
      </c>
      <c r="ME126" s="38">
        <v>5</v>
      </c>
      <c r="MF126" s="40">
        <f t="shared" si="2068"/>
        <v>302.66343825665859</v>
      </c>
      <c r="MG126" s="40">
        <f t="shared" si="1791"/>
        <v>0.82599999999999996</v>
      </c>
      <c r="MI126" s="38">
        <f>200+200+200+200+200</f>
        <v>1000</v>
      </c>
      <c r="MJ126" s="40">
        <f>1.19+1.31+0.88+1+0.99</f>
        <v>5.37</v>
      </c>
      <c r="MK126" s="38">
        <v>5</v>
      </c>
      <c r="ML126" s="40">
        <f t="shared" si="2069"/>
        <v>186.21973929236498</v>
      </c>
      <c r="MM126" s="40">
        <f t="shared" si="1793"/>
        <v>1.0740000000000001</v>
      </c>
      <c r="MO126" s="38"/>
      <c r="MP126" s="40"/>
      <c r="MQ126" s="38"/>
      <c r="MR126" s="40" t="e">
        <f t="shared" si="2070"/>
        <v>#DIV/0!</v>
      </c>
      <c r="MS126" s="40" t="e">
        <f t="shared" si="1795"/>
        <v>#DIV/0!</v>
      </c>
      <c r="MU126" s="38"/>
      <c r="MV126" s="40"/>
      <c r="MW126" s="38"/>
      <c r="MX126" s="40" t="e">
        <f t="shared" si="2071"/>
        <v>#DIV/0!</v>
      </c>
      <c r="MY126" s="40" t="e">
        <f t="shared" si="1797"/>
        <v>#DIV/0!</v>
      </c>
      <c r="NA126" s="825"/>
      <c r="NB126" s="826"/>
      <c r="NC126" s="825"/>
      <c r="ND126" s="40" t="e">
        <f t="shared" si="2072"/>
        <v>#DIV/0!</v>
      </c>
      <c r="NE126" s="40" t="e">
        <f t="shared" si="1799"/>
        <v>#DIV/0!</v>
      </c>
      <c r="NG126" s="825"/>
      <c r="NH126" s="826"/>
      <c r="NI126" s="825"/>
      <c r="NJ126" s="40" t="e">
        <f t="shared" si="2073"/>
        <v>#DIV/0!</v>
      </c>
      <c r="NK126" s="40" t="e">
        <f t="shared" si="1801"/>
        <v>#DIV/0!</v>
      </c>
      <c r="NM126" s="825"/>
      <c r="NN126" s="826"/>
      <c r="NO126" s="825"/>
      <c r="NP126" s="40" t="e">
        <f t="shared" si="2074"/>
        <v>#DIV/0!</v>
      </c>
      <c r="NQ126" s="40" t="e">
        <f t="shared" si="1803"/>
        <v>#DIV/0!</v>
      </c>
      <c r="NS126" s="906">
        <f>500+500+500+500+500</f>
        <v>2500</v>
      </c>
      <c r="NT126" s="907">
        <f>0.46+0.21+0.71+0.65+0.6</f>
        <v>2.63</v>
      </c>
      <c r="NU126" s="825">
        <v>5</v>
      </c>
      <c r="NV126" s="40">
        <f t="shared" si="2075"/>
        <v>950.57034220532319</v>
      </c>
      <c r="NW126" s="40">
        <f t="shared" si="1805"/>
        <v>0.52600000000000002</v>
      </c>
      <c r="NY126" s="913">
        <f>500+500+500+500+500</f>
        <v>2500</v>
      </c>
      <c r="NZ126" s="914">
        <f>0.84+0.83+0.85+0.84+0.83</f>
        <v>4.1899999999999995</v>
      </c>
      <c r="OA126" s="918">
        <v>5</v>
      </c>
      <c r="OB126" s="40">
        <f t="shared" si="2076"/>
        <v>596.65871121718385</v>
      </c>
      <c r="OC126" s="40">
        <f t="shared" si="1807"/>
        <v>0.83799999999999986</v>
      </c>
      <c r="OE126" s="825">
        <f>500+500+500+500+500</f>
        <v>2500</v>
      </c>
      <c r="OF126" s="826">
        <f>0.89+0.88+0.83+0.86+0.84</f>
        <v>4.3</v>
      </c>
      <c r="OG126" s="825">
        <v>5</v>
      </c>
      <c r="OH126" s="40">
        <f t="shared" si="2077"/>
        <v>581.39534883720933</v>
      </c>
      <c r="OI126" s="40">
        <f t="shared" si="1809"/>
        <v>0.86</v>
      </c>
    </row>
    <row r="127" spans="2:399">
      <c r="B127" s="20"/>
      <c r="C127" s="3" t="s">
        <v>43</v>
      </c>
      <c r="D127" s="58" t="s">
        <v>44</v>
      </c>
      <c r="E127" s="726"/>
      <c r="F127" s="45"/>
      <c r="G127" s="45"/>
      <c r="H127" s="48"/>
      <c r="I127" s="48"/>
      <c r="K127" s="45"/>
      <c r="L127" s="45"/>
      <c r="M127" s="45"/>
      <c r="N127" s="48"/>
      <c r="O127" s="48"/>
      <c r="Q127" s="45">
        <v>300</v>
      </c>
      <c r="R127" s="45">
        <v>1.3</v>
      </c>
      <c r="S127" s="45">
        <v>5</v>
      </c>
      <c r="T127" s="48">
        <f t="shared" si="2215"/>
        <v>230.76923076923077</v>
      </c>
      <c r="U127" s="48">
        <f t="shared" si="2216"/>
        <v>0.26</v>
      </c>
      <c r="W127" s="45"/>
      <c r="X127" s="45"/>
      <c r="Y127" s="45"/>
      <c r="Z127" s="48"/>
      <c r="AA127" s="48"/>
      <c r="AC127" s="45"/>
      <c r="AD127" s="45"/>
      <c r="AE127" s="45"/>
      <c r="AF127" s="48"/>
      <c r="AG127" s="48"/>
      <c r="AI127" s="45"/>
      <c r="AJ127" s="45"/>
      <c r="AK127" s="45"/>
      <c r="AL127" s="48"/>
      <c r="AM127" s="48"/>
      <c r="AO127" s="45"/>
      <c r="AP127" s="45"/>
      <c r="AQ127" s="45"/>
      <c r="AR127" s="48"/>
      <c r="AS127" s="48"/>
      <c r="AU127" s="45">
        <f>100+100+50+50+50</f>
        <v>350</v>
      </c>
      <c r="AV127" s="45">
        <f>0.46+0.33+0.23+0.23+0.23</f>
        <v>1.48</v>
      </c>
      <c r="AW127" s="45">
        <v>5</v>
      </c>
      <c r="AX127" s="48">
        <f t="shared" si="2146"/>
        <v>236.48648648648648</v>
      </c>
      <c r="AY127" s="48">
        <f t="shared" si="2147"/>
        <v>0.29599999999999999</v>
      </c>
      <c r="AZ127" s="593"/>
      <c r="BA127" s="45"/>
      <c r="BB127" s="45"/>
      <c r="BC127" s="45"/>
      <c r="BD127" s="48"/>
      <c r="BE127" s="48"/>
      <c r="BF127" s="593"/>
      <c r="BG127" s="45"/>
      <c r="BH127" s="45"/>
      <c r="BI127" s="45"/>
      <c r="BJ127" s="48"/>
      <c r="BK127" s="48"/>
      <c r="BL127" s="593"/>
      <c r="BM127" s="45"/>
      <c r="BN127" s="45"/>
      <c r="BO127" s="45"/>
      <c r="BP127" s="48"/>
      <c r="BQ127" s="48"/>
      <c r="BS127" s="45"/>
      <c r="BT127" s="45"/>
      <c r="BU127" s="45"/>
      <c r="BV127" s="48"/>
      <c r="BW127" s="48"/>
      <c r="BX127" s="593"/>
      <c r="BY127" s="45">
        <f>100+100+50+50+50</f>
        <v>350</v>
      </c>
      <c r="BZ127" s="45">
        <f>0.46+0.33+0.23+0.23+0.23</f>
        <v>1.48</v>
      </c>
      <c r="CA127" s="45">
        <v>5</v>
      </c>
      <c r="CB127" s="48">
        <f t="shared" ref="CB127" si="2225">BY127/BZ127</f>
        <v>236.48648648648648</v>
      </c>
      <c r="CC127" s="48">
        <f t="shared" ref="CC127" si="2226">BZ127/CA127</f>
        <v>0.29599999999999999</v>
      </c>
      <c r="CD127" s="593"/>
      <c r="CE127" s="45"/>
      <c r="CF127" s="45"/>
      <c r="CG127" s="45"/>
      <c r="CH127" s="48"/>
      <c r="CI127" s="48"/>
      <c r="CJ127" s="593"/>
      <c r="CK127" s="45"/>
      <c r="CL127" s="45"/>
      <c r="CM127" s="45"/>
      <c r="CN127" s="48"/>
      <c r="CO127" s="48"/>
      <c r="CP127" s="593"/>
      <c r="CQ127" s="45"/>
      <c r="CR127" s="45"/>
      <c r="CS127" s="45"/>
      <c r="CT127" s="48"/>
      <c r="CU127" s="48"/>
      <c r="CV127" s="593"/>
      <c r="CW127" s="45">
        <f>100+100+50+50+50</f>
        <v>350</v>
      </c>
      <c r="CX127" s="45">
        <f>0.46+0.33+0.23+0.23+0.23</f>
        <v>1.48</v>
      </c>
      <c r="CY127" s="45">
        <v>5</v>
      </c>
      <c r="CZ127" s="48">
        <f t="shared" si="2101"/>
        <v>236.48648648648648</v>
      </c>
      <c r="DA127" s="48">
        <f t="shared" si="2102"/>
        <v>0.29599999999999999</v>
      </c>
      <c r="DB127" s="593"/>
      <c r="DC127" s="45"/>
      <c r="DD127" s="45"/>
      <c r="DE127" s="45"/>
      <c r="DF127" s="48"/>
      <c r="DG127" s="48"/>
      <c r="DH127" s="593"/>
      <c r="DI127" s="45"/>
      <c r="DJ127" s="45"/>
      <c r="DK127" s="45"/>
      <c r="DL127" s="48"/>
      <c r="DM127" s="48"/>
      <c r="DN127" s="593"/>
      <c r="DO127" s="45">
        <v>650</v>
      </c>
      <c r="DP127" s="45">
        <v>0.59</v>
      </c>
      <c r="DQ127" s="45">
        <v>5</v>
      </c>
      <c r="DR127" s="48">
        <f t="shared" si="2105"/>
        <v>1101.6949152542375</v>
      </c>
      <c r="DS127" s="48">
        <f t="shared" si="2106"/>
        <v>0.11799999999999999</v>
      </c>
      <c r="DT127" s="593"/>
      <c r="DU127" s="45"/>
      <c r="DV127" s="45"/>
      <c r="DW127" s="45"/>
      <c r="DX127" s="48"/>
      <c r="DY127" s="48"/>
      <c r="DZ127" s="593"/>
      <c r="EA127" s="45"/>
      <c r="EB127" s="45"/>
      <c r="EC127" s="45"/>
      <c r="ED127" s="48"/>
      <c r="EE127" s="48"/>
      <c r="EF127" s="593"/>
      <c r="EG127" s="45"/>
      <c r="EH127" s="45"/>
      <c r="EI127" s="45"/>
      <c r="EJ127" s="48"/>
      <c r="EK127" s="48"/>
      <c r="EL127" s="593"/>
      <c r="EM127" s="45"/>
      <c r="EN127" s="45"/>
      <c r="EO127" s="45"/>
      <c r="EP127" s="48"/>
      <c r="EQ127" s="48"/>
      <c r="ES127" s="45">
        <f>100+100+50+50+50</f>
        <v>350</v>
      </c>
      <c r="ET127" s="45">
        <f>0.46+0.33+0.23+0.23+0.23</f>
        <v>1.48</v>
      </c>
      <c r="EU127" s="45">
        <v>5</v>
      </c>
      <c r="EV127" s="48">
        <f t="shared" si="1890"/>
        <v>236.48648648648648</v>
      </c>
      <c r="EW127" s="48">
        <f t="shared" si="1890"/>
        <v>0.29599999999999999</v>
      </c>
      <c r="EY127" s="45"/>
      <c r="EZ127" s="45"/>
      <c r="FA127" s="45"/>
      <c r="FB127" s="48"/>
      <c r="FC127" s="48"/>
      <c r="FE127" s="45"/>
      <c r="FF127" s="45"/>
      <c r="FG127" s="45"/>
      <c r="FH127" s="48"/>
      <c r="FI127" s="48"/>
      <c r="FK127" s="38"/>
      <c r="FL127" s="40"/>
      <c r="FM127" s="38"/>
      <c r="FN127" s="40"/>
      <c r="FO127" s="40"/>
      <c r="FP127" s="231"/>
      <c r="FQ127" s="45"/>
      <c r="FR127" s="45"/>
      <c r="FS127" s="45"/>
      <c r="FT127" s="48"/>
      <c r="FU127" s="48"/>
      <c r="FW127" s="45"/>
      <c r="FX127" s="45"/>
      <c r="FY127" s="45"/>
      <c r="FZ127" s="48"/>
      <c r="GA127" s="48"/>
      <c r="GC127" s="26"/>
      <c r="GD127" s="45"/>
      <c r="GE127" s="45"/>
      <c r="GF127" s="48"/>
      <c r="GG127" s="48"/>
      <c r="GI127" s="45"/>
      <c r="GJ127" s="45"/>
      <c r="GK127" s="45"/>
      <c r="GL127" s="48"/>
      <c r="GM127" s="48"/>
      <c r="GO127" s="45"/>
      <c r="GP127" s="45"/>
      <c r="GQ127" s="45"/>
      <c r="GR127" s="48"/>
      <c r="GS127" s="48"/>
      <c r="GU127" s="99">
        <f>100+30+40+50+50</f>
        <v>270</v>
      </c>
      <c r="GV127" s="99">
        <f>0.9+0.2+0.23+0.31+0.34</f>
        <v>1.9800000000000002</v>
      </c>
      <c r="GW127" s="99">
        <v>5</v>
      </c>
      <c r="GX127" s="101">
        <f t="shared" si="1770"/>
        <v>136.36363636363635</v>
      </c>
      <c r="GY127" s="101">
        <f t="shared" si="1770"/>
        <v>0.39600000000000002</v>
      </c>
      <c r="GZ127" s="43"/>
      <c r="HA127" s="28">
        <f>50+40+30+20+10</f>
        <v>150</v>
      </c>
      <c r="HB127" s="28">
        <f>0.29+0.22+0.18+0.18+0.14</f>
        <v>1.0099999999999998</v>
      </c>
      <c r="HC127" s="27">
        <v>5</v>
      </c>
      <c r="HD127" s="40">
        <f t="shared" si="1771"/>
        <v>148.51485148514854</v>
      </c>
      <c r="HE127" s="40">
        <f t="shared" si="1771"/>
        <v>0.20199999999999996</v>
      </c>
      <c r="HG127" s="45">
        <v>650</v>
      </c>
      <c r="HH127" s="45">
        <v>0.59</v>
      </c>
      <c r="HI127" s="45">
        <v>5</v>
      </c>
      <c r="HJ127" s="48">
        <f t="shared" si="2122"/>
        <v>1101.6949152542375</v>
      </c>
      <c r="HK127" s="48">
        <f t="shared" si="2123"/>
        <v>0.11799999999999999</v>
      </c>
      <c r="HM127" s="45"/>
      <c r="HN127" s="45"/>
      <c r="HO127" s="45"/>
      <c r="HP127" s="48"/>
      <c r="HQ127" s="48"/>
      <c r="HS127" s="45"/>
      <c r="HT127" s="45"/>
      <c r="HU127" s="45"/>
      <c r="HV127" s="48"/>
      <c r="HW127" s="48"/>
      <c r="HX127" s="231"/>
      <c r="HY127" s="38"/>
      <c r="HZ127" s="40"/>
      <c r="IA127" s="38"/>
      <c r="IB127" s="40"/>
      <c r="IC127" s="40"/>
      <c r="IE127" s="38"/>
      <c r="IF127" s="40"/>
      <c r="IG127" s="38"/>
      <c r="IH127" s="40"/>
      <c r="II127" s="40"/>
      <c r="IK127" s="38"/>
      <c r="IL127" s="40"/>
      <c r="IM127" s="38"/>
      <c r="IN127" s="40"/>
      <c r="IO127" s="40"/>
      <c r="IQ127" s="38"/>
      <c r="IR127" s="40"/>
      <c r="IS127" s="38"/>
      <c r="IT127" s="40"/>
      <c r="IU127" s="40"/>
      <c r="IW127" s="38">
        <f>100*5</f>
        <v>500</v>
      </c>
      <c r="IX127" s="40">
        <f>1.1</f>
        <v>1.1000000000000001</v>
      </c>
      <c r="IY127" s="38">
        <v>5</v>
      </c>
      <c r="IZ127" s="40">
        <f t="shared" ref="IZ127:IZ128" si="2227">IW127/IX127</f>
        <v>454.5454545454545</v>
      </c>
      <c r="JA127" s="40">
        <f t="shared" ref="JA127:JA128" si="2228">IX127/IY127</f>
        <v>0.22000000000000003</v>
      </c>
      <c r="JC127" s="38">
        <f>80+80+50+100+100</f>
        <v>410</v>
      </c>
      <c r="JD127" s="40">
        <f>0.21+0.21+0.17+0.3+0.29</f>
        <v>1.18</v>
      </c>
      <c r="JE127" s="38">
        <v>5</v>
      </c>
      <c r="JF127" s="40">
        <f t="shared" ref="JF127:JF128" si="2229">JC127/JD127</f>
        <v>347.4576271186441</v>
      </c>
      <c r="JG127" s="40">
        <f t="shared" ref="JG127:JG128" si="2230">JD127/JE127</f>
        <v>0.23599999999999999</v>
      </c>
      <c r="JI127" s="38"/>
      <c r="JJ127" s="40"/>
      <c r="JK127" s="38"/>
      <c r="JL127" s="40"/>
      <c r="JM127" s="40"/>
      <c r="JO127" s="38">
        <f>30+30+30+30+30</f>
        <v>150</v>
      </c>
      <c r="JP127" s="40">
        <f>0.24+0.18+0.17+0.62+0.22</f>
        <v>1.43</v>
      </c>
      <c r="JQ127" s="38">
        <v>5</v>
      </c>
      <c r="JR127" s="40">
        <f t="shared" ref="JR127:JR128" si="2231">JO127/JP127</f>
        <v>104.89510489510489</v>
      </c>
      <c r="JS127" s="40">
        <f t="shared" ref="JS127:JS128" si="2232">JP127/JQ127</f>
        <v>0.28599999999999998</v>
      </c>
      <c r="JU127" s="38"/>
      <c r="JV127" s="40"/>
      <c r="JW127" s="38"/>
      <c r="JX127" s="40"/>
      <c r="JY127" s="40"/>
      <c r="KA127" s="38"/>
      <c r="KB127" s="40"/>
      <c r="KC127" s="38"/>
      <c r="KD127" s="40"/>
      <c r="KE127" s="40"/>
      <c r="KG127" s="38"/>
      <c r="KH127" s="40"/>
      <c r="KI127" s="38"/>
      <c r="KJ127" s="40" t="e">
        <f t="shared" si="2060"/>
        <v>#DIV/0!</v>
      </c>
      <c r="KK127" s="40" t="e">
        <f t="shared" si="1853"/>
        <v>#DIV/0!</v>
      </c>
      <c r="KM127" s="38"/>
      <c r="KN127" s="40"/>
      <c r="KO127" s="38"/>
      <c r="KP127" s="40" t="e">
        <f t="shared" si="2061"/>
        <v>#DIV/0!</v>
      </c>
      <c r="KQ127" s="40" t="e">
        <f t="shared" si="1777"/>
        <v>#DIV/0!</v>
      </c>
      <c r="KS127" s="38"/>
      <c r="KT127" s="40"/>
      <c r="KU127" s="38"/>
      <c r="KV127" s="40" t="e">
        <f t="shared" si="2062"/>
        <v>#DIV/0!</v>
      </c>
      <c r="KW127" s="40" t="e">
        <f t="shared" si="1779"/>
        <v>#DIV/0!</v>
      </c>
      <c r="KY127" s="38"/>
      <c r="KZ127" s="40"/>
      <c r="LA127" s="38"/>
      <c r="LB127" s="40" t="e">
        <f t="shared" si="2063"/>
        <v>#DIV/0!</v>
      </c>
      <c r="LC127" s="40" t="e">
        <f t="shared" si="1781"/>
        <v>#DIV/0!</v>
      </c>
      <c r="LE127" s="38"/>
      <c r="LF127" s="40"/>
      <c r="LG127" s="38"/>
      <c r="LH127" s="40" t="e">
        <f t="shared" si="2064"/>
        <v>#DIV/0!</v>
      </c>
      <c r="LI127" s="40" t="e">
        <f t="shared" si="1783"/>
        <v>#DIV/0!</v>
      </c>
      <c r="LK127" s="38"/>
      <c r="LL127" s="40"/>
      <c r="LM127" s="38"/>
      <c r="LN127" s="40" t="e">
        <f t="shared" si="2065"/>
        <v>#DIV/0!</v>
      </c>
      <c r="LO127" s="40" t="e">
        <f t="shared" si="1785"/>
        <v>#DIV/0!</v>
      </c>
      <c r="LQ127" s="38"/>
      <c r="LR127" s="40"/>
      <c r="LS127" s="38"/>
      <c r="LT127" s="40" t="e">
        <f t="shared" si="2066"/>
        <v>#DIV/0!</v>
      </c>
      <c r="LU127" s="40" t="e">
        <f t="shared" si="1787"/>
        <v>#DIV/0!</v>
      </c>
      <c r="LW127" s="38">
        <f>60+60+60+60+60</f>
        <v>300</v>
      </c>
      <c r="LX127" s="40">
        <f>0.3+0.2+0.1+0.3+0.1</f>
        <v>0.99999999999999989</v>
      </c>
      <c r="LY127" s="38">
        <v>5</v>
      </c>
      <c r="LZ127" s="40">
        <f t="shared" si="2067"/>
        <v>300.00000000000006</v>
      </c>
      <c r="MA127" s="40">
        <f t="shared" si="1789"/>
        <v>0.19999999999999998</v>
      </c>
      <c r="MC127" s="38">
        <f>100+100+100+100+100</f>
        <v>500</v>
      </c>
      <c r="MD127" s="40">
        <f>0.78+0.66+1.22+1.2+1.54</f>
        <v>5.4</v>
      </c>
      <c r="ME127" s="38">
        <v>5</v>
      </c>
      <c r="MF127" s="40">
        <f t="shared" si="2068"/>
        <v>92.592592592592581</v>
      </c>
      <c r="MG127" s="40">
        <f t="shared" si="1791"/>
        <v>1.08</v>
      </c>
      <c r="MI127" s="38"/>
      <c r="MJ127" s="40"/>
      <c r="MK127" s="38"/>
      <c r="ML127" s="40" t="e">
        <f t="shared" si="2069"/>
        <v>#DIV/0!</v>
      </c>
      <c r="MM127" s="40" t="e">
        <f t="shared" si="1793"/>
        <v>#DIV/0!</v>
      </c>
      <c r="MO127" s="38"/>
      <c r="MP127" s="40"/>
      <c r="MQ127" s="38"/>
      <c r="MR127" s="40" t="e">
        <f t="shared" si="2070"/>
        <v>#DIV/0!</v>
      </c>
      <c r="MS127" s="40" t="e">
        <f t="shared" si="1795"/>
        <v>#DIV/0!</v>
      </c>
      <c r="MU127" s="38"/>
      <c r="MV127" s="40"/>
      <c r="MW127" s="38"/>
      <c r="MX127" s="40" t="e">
        <f t="shared" si="2071"/>
        <v>#DIV/0!</v>
      </c>
      <c r="MY127" s="40" t="e">
        <f t="shared" si="1797"/>
        <v>#DIV/0!</v>
      </c>
      <c r="NA127" s="825"/>
      <c r="NB127" s="826"/>
      <c r="NC127" s="825"/>
      <c r="ND127" s="40" t="e">
        <f t="shared" si="2072"/>
        <v>#DIV/0!</v>
      </c>
      <c r="NE127" s="40" t="e">
        <f t="shared" si="1799"/>
        <v>#DIV/0!</v>
      </c>
      <c r="NG127" s="825"/>
      <c r="NH127" s="826"/>
      <c r="NI127" s="825"/>
      <c r="NJ127" s="40" t="e">
        <f t="shared" si="2073"/>
        <v>#DIV/0!</v>
      </c>
      <c r="NK127" s="40" t="e">
        <f t="shared" si="1801"/>
        <v>#DIV/0!</v>
      </c>
      <c r="NM127" s="825"/>
      <c r="NN127" s="825"/>
      <c r="NO127" s="825"/>
      <c r="NP127" s="40" t="e">
        <f t="shared" si="2074"/>
        <v>#DIV/0!</v>
      </c>
      <c r="NQ127" s="40" t="e">
        <f t="shared" si="1803"/>
        <v>#DIV/0!</v>
      </c>
      <c r="NS127" s="825"/>
      <c r="NT127" s="825"/>
      <c r="NU127" s="825"/>
      <c r="NV127" s="40" t="e">
        <f t="shared" si="2075"/>
        <v>#DIV/0!</v>
      </c>
      <c r="NW127" s="40" t="e">
        <f t="shared" si="1805"/>
        <v>#DIV/0!</v>
      </c>
      <c r="NY127" s="913"/>
      <c r="NZ127" s="914"/>
      <c r="OA127" s="918"/>
      <c r="OB127" s="40" t="e">
        <f t="shared" si="2076"/>
        <v>#DIV/0!</v>
      </c>
      <c r="OC127" s="40" t="e">
        <f t="shared" si="1807"/>
        <v>#DIV/0!</v>
      </c>
      <c r="OE127" s="825"/>
      <c r="OF127" s="825"/>
      <c r="OG127" s="825"/>
      <c r="OH127" s="40" t="e">
        <f t="shared" si="2077"/>
        <v>#DIV/0!</v>
      </c>
      <c r="OI127" s="40" t="e">
        <f t="shared" si="1809"/>
        <v>#DIV/0!</v>
      </c>
    </row>
    <row r="128" spans="2:399">
      <c r="B128" s="20"/>
      <c r="C128" s="22"/>
      <c r="D128" s="58" t="s">
        <v>45</v>
      </c>
      <c r="E128" s="727"/>
      <c r="F128" s="46"/>
      <c r="G128" s="46"/>
      <c r="H128" s="48"/>
      <c r="I128" s="48"/>
      <c r="K128" s="46">
        <f>300+200</f>
        <v>500</v>
      </c>
      <c r="L128" s="46">
        <f>0.85+0.81</f>
        <v>1.6600000000000001</v>
      </c>
      <c r="M128" s="46">
        <v>2</v>
      </c>
      <c r="N128" s="48">
        <f t="shared" ref="N128:N129" si="2233">K128/L128</f>
        <v>301.20481927710841</v>
      </c>
      <c r="O128" s="48">
        <f t="shared" ref="O128:O129" si="2234">L128/M128</f>
        <v>0.83000000000000007</v>
      </c>
      <c r="Q128" s="46">
        <v>1600</v>
      </c>
      <c r="R128" s="46">
        <v>4.3000000000000007</v>
      </c>
      <c r="S128" s="46">
        <v>5</v>
      </c>
      <c r="T128" s="48">
        <f t="shared" ref="T128:T138" si="2235">Q128/R128</f>
        <v>372.09302325581388</v>
      </c>
      <c r="U128" s="48">
        <f t="shared" ref="U128:U138" si="2236">R128/S128</f>
        <v>0.8600000000000001</v>
      </c>
      <c r="W128" s="46"/>
      <c r="X128" s="46"/>
      <c r="Y128" s="46"/>
      <c r="Z128" s="48"/>
      <c r="AA128" s="48"/>
      <c r="AC128" s="46"/>
      <c r="AD128" s="46"/>
      <c r="AE128" s="46"/>
      <c r="AF128" s="48"/>
      <c r="AG128" s="48"/>
      <c r="AI128" s="46"/>
      <c r="AJ128" s="46"/>
      <c r="AK128" s="46"/>
      <c r="AL128" s="48"/>
      <c r="AM128" s="48"/>
      <c r="AO128" s="46"/>
      <c r="AP128" s="46"/>
      <c r="AQ128" s="46"/>
      <c r="AR128" s="48"/>
      <c r="AS128" s="48"/>
      <c r="AU128" s="46">
        <f>400+400+200+200+300</f>
        <v>1500</v>
      </c>
      <c r="AV128" s="46">
        <f>1.43+1.38+0.84+0.87+1.08</f>
        <v>5.6</v>
      </c>
      <c r="AW128" s="46">
        <v>5</v>
      </c>
      <c r="AX128" s="48">
        <f t="shared" si="2146"/>
        <v>267.85714285714289</v>
      </c>
      <c r="AY128" s="48">
        <f t="shared" si="2147"/>
        <v>1.1199999999999999</v>
      </c>
      <c r="AZ128" s="593"/>
      <c r="BA128" s="46"/>
      <c r="BB128" s="46"/>
      <c r="BC128" s="46"/>
      <c r="BD128" s="48"/>
      <c r="BE128" s="48"/>
      <c r="BF128" s="593"/>
      <c r="BG128" s="46"/>
      <c r="BH128" s="46"/>
      <c r="BI128" s="46"/>
      <c r="BJ128" s="48"/>
      <c r="BK128" s="48"/>
      <c r="BL128" s="593"/>
      <c r="BM128" s="46"/>
      <c r="BN128" s="46"/>
      <c r="BO128" s="46"/>
      <c r="BP128" s="48"/>
      <c r="BQ128" s="48"/>
      <c r="BS128" s="46"/>
      <c r="BT128" s="46"/>
      <c r="BU128" s="46"/>
      <c r="BV128" s="48"/>
      <c r="BW128" s="48"/>
      <c r="BX128" s="593"/>
      <c r="BY128" s="46"/>
      <c r="BZ128" s="46"/>
      <c r="CA128" s="46"/>
      <c r="CB128" s="48"/>
      <c r="CC128" s="48"/>
      <c r="CD128" s="593"/>
      <c r="CE128" s="46"/>
      <c r="CF128" s="46"/>
      <c r="CG128" s="46"/>
      <c r="CH128" s="48"/>
      <c r="CI128" s="48"/>
      <c r="CJ128" s="593"/>
      <c r="CK128" s="46"/>
      <c r="CL128" s="46"/>
      <c r="CM128" s="46"/>
      <c r="CN128" s="48"/>
      <c r="CO128" s="48"/>
      <c r="CP128" s="593"/>
      <c r="CQ128" s="46"/>
      <c r="CR128" s="46"/>
      <c r="CS128" s="46"/>
      <c r="CT128" s="48"/>
      <c r="CU128" s="48"/>
      <c r="CV128" s="593"/>
      <c r="CW128" s="46"/>
      <c r="CX128" s="46"/>
      <c r="CY128" s="46"/>
      <c r="CZ128" s="48"/>
      <c r="DA128" s="48"/>
      <c r="DB128" s="593"/>
      <c r="DC128" s="46"/>
      <c r="DD128" s="46"/>
      <c r="DE128" s="46"/>
      <c r="DF128" s="48"/>
      <c r="DG128" s="48"/>
      <c r="DH128" s="593"/>
      <c r="DI128" s="46">
        <v>1350</v>
      </c>
      <c r="DJ128" s="46">
        <v>3.7</v>
      </c>
      <c r="DK128" s="46">
        <v>5</v>
      </c>
      <c r="DL128" s="48">
        <f t="shared" ref="DL128" si="2237">DI128/DJ128</f>
        <v>364.86486486486484</v>
      </c>
      <c r="DM128" s="48">
        <f t="shared" ref="DM128" si="2238">DJ128/DK128</f>
        <v>0.74</v>
      </c>
      <c r="DN128" s="593"/>
      <c r="DO128" s="46">
        <v>1500</v>
      </c>
      <c r="DP128" s="46">
        <v>5.6</v>
      </c>
      <c r="DQ128" s="46">
        <v>5</v>
      </c>
      <c r="DR128" s="48">
        <f t="shared" ref="DR128" si="2239">DO128/DP128</f>
        <v>267.85714285714289</v>
      </c>
      <c r="DS128" s="48">
        <f t="shared" ref="DS128" si="2240">DP128/DQ128</f>
        <v>1.1199999999999999</v>
      </c>
      <c r="DT128" s="593"/>
      <c r="DU128" s="46"/>
      <c r="DV128" s="46"/>
      <c r="DW128" s="46"/>
      <c r="DX128" s="48"/>
      <c r="DY128" s="48"/>
      <c r="DZ128" s="593"/>
      <c r="EA128" s="46"/>
      <c r="EB128" s="46"/>
      <c r="EC128" s="46"/>
      <c r="ED128" s="48"/>
      <c r="EE128" s="48"/>
      <c r="EF128" s="593"/>
      <c r="EG128" s="46"/>
      <c r="EH128" s="46"/>
      <c r="EI128" s="46"/>
      <c r="EJ128" s="48"/>
      <c r="EK128" s="48"/>
      <c r="EL128" s="593"/>
      <c r="EM128" s="46"/>
      <c r="EN128" s="46"/>
      <c r="EO128" s="46"/>
      <c r="EP128" s="48"/>
      <c r="EQ128" s="48"/>
      <c r="ES128" s="46"/>
      <c r="ET128" s="46"/>
      <c r="EU128" s="46"/>
      <c r="EV128" s="48"/>
      <c r="EW128" s="48"/>
      <c r="EY128" s="45"/>
      <c r="EZ128" s="45"/>
      <c r="FA128" s="45"/>
      <c r="FB128" s="48"/>
      <c r="FC128" s="48"/>
      <c r="FE128" s="45"/>
      <c r="FF128" s="45"/>
      <c r="FG128" s="45"/>
      <c r="FH128" s="48"/>
      <c r="FI128" s="48"/>
      <c r="FK128" s="38"/>
      <c r="FL128" s="40"/>
      <c r="FM128" s="38"/>
      <c r="FN128" s="40"/>
      <c r="FO128" s="40"/>
      <c r="FP128" s="231"/>
      <c r="FQ128" s="45"/>
      <c r="FR128" s="45"/>
      <c r="FS128" s="45"/>
      <c r="FT128" s="48"/>
      <c r="FU128" s="48"/>
      <c r="FW128" s="46"/>
      <c r="FX128" s="46"/>
      <c r="FY128" s="46"/>
      <c r="FZ128" s="48"/>
      <c r="GA128" s="48"/>
      <c r="GC128" s="26"/>
      <c r="GD128" s="45"/>
      <c r="GE128" s="45"/>
      <c r="GF128" s="48"/>
      <c r="GG128" s="48"/>
      <c r="GI128" s="45">
        <f>200+300+200+300+300</f>
        <v>1300</v>
      </c>
      <c r="GJ128" s="45">
        <f>1.04+1.12+1.3+0.84+0.84</f>
        <v>5.14</v>
      </c>
      <c r="GK128" s="45">
        <f>5</f>
        <v>5</v>
      </c>
      <c r="GL128" s="48">
        <f t="shared" si="1768"/>
        <v>252.9182879377432</v>
      </c>
      <c r="GM128" s="48">
        <f t="shared" si="1768"/>
        <v>1.028</v>
      </c>
      <c r="GO128" s="45">
        <f>300+300+300+300+300</f>
        <v>1500</v>
      </c>
      <c r="GP128" s="45">
        <f>0.96+0.96+0.96+0.96+0.96</f>
        <v>4.8</v>
      </c>
      <c r="GQ128" s="45">
        <f>5</f>
        <v>5</v>
      </c>
      <c r="GR128" s="48">
        <f t="shared" si="1769"/>
        <v>312.5</v>
      </c>
      <c r="GS128" s="48">
        <f t="shared" si="1769"/>
        <v>0.96</v>
      </c>
      <c r="GU128" s="99">
        <f>100+100+200+50+100</f>
        <v>550</v>
      </c>
      <c r="GV128" s="99">
        <f>0.94+0.89+0.93+0.78+0.82</f>
        <v>4.3600000000000003</v>
      </c>
      <c r="GW128" s="99">
        <v>5</v>
      </c>
      <c r="GX128" s="101">
        <f t="shared" si="1770"/>
        <v>126.14678899082568</v>
      </c>
      <c r="GY128" s="101">
        <f t="shared" si="1770"/>
        <v>0.87200000000000011</v>
      </c>
      <c r="GZ128" s="43"/>
      <c r="HA128" s="28">
        <f>200+50+150+300+100</f>
        <v>800</v>
      </c>
      <c r="HB128" s="28">
        <f>0.98+0.68+0.92+1.73+0.76</f>
        <v>5.07</v>
      </c>
      <c r="HC128" s="27">
        <v>5</v>
      </c>
      <c r="HD128" s="40">
        <f t="shared" si="1771"/>
        <v>157.79092702169623</v>
      </c>
      <c r="HE128" s="40">
        <f t="shared" si="1771"/>
        <v>1.014</v>
      </c>
      <c r="HG128" s="45">
        <v>1500</v>
      </c>
      <c r="HH128" s="45">
        <v>5.6</v>
      </c>
      <c r="HI128" s="45">
        <v>5</v>
      </c>
      <c r="HJ128" s="48">
        <f t="shared" si="2122"/>
        <v>267.85714285714289</v>
      </c>
      <c r="HK128" s="48">
        <f t="shared" si="2123"/>
        <v>1.1199999999999999</v>
      </c>
      <c r="HM128" s="45">
        <v>1500</v>
      </c>
      <c r="HN128" s="45">
        <v>5.6</v>
      </c>
      <c r="HO128" s="45">
        <v>5</v>
      </c>
      <c r="HP128" s="48">
        <f t="shared" ref="HP128:HP129" si="2241">HM128/HN128</f>
        <v>267.85714285714289</v>
      </c>
      <c r="HQ128" s="48">
        <f t="shared" ref="HQ128:HQ129" si="2242">HN128/HO128</f>
        <v>1.1199999999999999</v>
      </c>
      <c r="HS128" s="45">
        <f>300+200</f>
        <v>500</v>
      </c>
      <c r="HT128" s="45">
        <f>0.85+0.81</f>
        <v>1.6600000000000001</v>
      </c>
      <c r="HU128" s="45">
        <v>2</v>
      </c>
      <c r="HV128" s="48">
        <f t="shared" si="1933"/>
        <v>301.20481927710841</v>
      </c>
      <c r="HW128" s="48">
        <f t="shared" si="1933"/>
        <v>0.83000000000000007</v>
      </c>
      <c r="HX128" s="231"/>
      <c r="HY128" s="38"/>
      <c r="HZ128" s="40"/>
      <c r="IA128" s="38"/>
      <c r="IB128" s="40"/>
      <c r="IC128" s="40"/>
      <c r="IE128" s="38"/>
      <c r="IF128" s="40"/>
      <c r="IG128" s="38"/>
      <c r="IH128" s="40"/>
      <c r="II128" s="40"/>
      <c r="IK128" s="38"/>
      <c r="IL128" s="40"/>
      <c r="IM128" s="38"/>
      <c r="IN128" s="40"/>
      <c r="IO128" s="40"/>
      <c r="IQ128" s="38"/>
      <c r="IR128" s="40"/>
      <c r="IS128" s="38"/>
      <c r="IT128" s="40"/>
      <c r="IU128" s="40"/>
      <c r="IW128" s="38">
        <f>500+500+500+500+500</f>
        <v>2500</v>
      </c>
      <c r="IX128" s="40">
        <f>1.02+0.99+0.79+0.86+0.97</f>
        <v>4.63</v>
      </c>
      <c r="IY128" s="38">
        <v>5</v>
      </c>
      <c r="IZ128" s="40">
        <f t="shared" si="2227"/>
        <v>539.9568034557235</v>
      </c>
      <c r="JA128" s="40">
        <f t="shared" si="2228"/>
        <v>0.92599999999999993</v>
      </c>
      <c r="JC128" s="38">
        <f>200+200+100+400+150</f>
        <v>1050</v>
      </c>
      <c r="JD128" s="40">
        <f>1.16+1.16+0.88+1.51+0.85</f>
        <v>5.56</v>
      </c>
      <c r="JE128" s="38">
        <v>5</v>
      </c>
      <c r="JF128" s="40">
        <f t="shared" si="2229"/>
        <v>188.84892086330936</v>
      </c>
      <c r="JG128" s="40">
        <f t="shared" si="2230"/>
        <v>1.1119999999999999</v>
      </c>
      <c r="JI128" s="38">
        <f>300+300+300+300+300</f>
        <v>1500</v>
      </c>
      <c r="JJ128" s="40">
        <f>0.95+1+1.11+1+1.26</f>
        <v>5.32</v>
      </c>
      <c r="JK128" s="38">
        <v>5</v>
      </c>
      <c r="JL128" s="40">
        <f t="shared" ref="JL128" si="2243">JI128/JJ128</f>
        <v>281.95488721804509</v>
      </c>
      <c r="JM128" s="40">
        <f t="shared" ref="JM128" si="2244">JJ128/JK128</f>
        <v>1.0640000000000001</v>
      </c>
      <c r="JO128" s="38">
        <f>150+150+150+150+150</f>
        <v>750</v>
      </c>
      <c r="JP128" s="40">
        <f>1.44+1.17+0.84+1.05+1.15</f>
        <v>5.65</v>
      </c>
      <c r="JQ128" s="38">
        <v>5</v>
      </c>
      <c r="JR128" s="40">
        <f t="shared" si="2231"/>
        <v>132.74336283185841</v>
      </c>
      <c r="JS128" s="40">
        <f t="shared" si="2232"/>
        <v>1.1300000000000001</v>
      </c>
      <c r="JU128" s="38"/>
      <c r="JV128" s="40"/>
      <c r="JW128" s="38"/>
      <c r="JX128" s="40"/>
      <c r="JY128" s="40"/>
      <c r="KA128" s="38"/>
      <c r="KB128" s="40"/>
      <c r="KC128" s="38"/>
      <c r="KD128" s="40"/>
      <c r="KE128" s="40"/>
      <c r="KG128" s="38"/>
      <c r="KH128" s="40"/>
      <c r="KI128" s="38"/>
      <c r="KJ128" s="40" t="e">
        <f t="shared" si="2060"/>
        <v>#DIV/0!</v>
      </c>
      <c r="KK128" s="40" t="e">
        <f t="shared" si="1853"/>
        <v>#DIV/0!</v>
      </c>
      <c r="KM128" s="38"/>
      <c r="KN128" s="40"/>
      <c r="KO128" s="38"/>
      <c r="KP128" s="40" t="e">
        <f t="shared" si="2061"/>
        <v>#DIV/0!</v>
      </c>
      <c r="KQ128" s="40" t="e">
        <f t="shared" si="1777"/>
        <v>#DIV/0!</v>
      </c>
      <c r="KS128" s="38">
        <f>300+300+300+200</f>
        <v>1100</v>
      </c>
      <c r="KT128" s="40">
        <f>0.77+0.79+0.76+0.44</f>
        <v>2.7600000000000002</v>
      </c>
      <c r="KU128" s="38">
        <v>4</v>
      </c>
      <c r="KV128" s="40">
        <f t="shared" si="2062"/>
        <v>398.55072463768113</v>
      </c>
      <c r="KW128" s="40">
        <f t="shared" si="1779"/>
        <v>0.69000000000000006</v>
      </c>
      <c r="KY128" s="38"/>
      <c r="KZ128" s="40"/>
      <c r="LA128" s="38"/>
      <c r="LB128" s="40" t="e">
        <f t="shared" si="2063"/>
        <v>#DIV/0!</v>
      </c>
      <c r="LC128" s="40" t="e">
        <f t="shared" si="1781"/>
        <v>#DIV/0!</v>
      </c>
      <c r="LE128" s="38"/>
      <c r="LF128" s="40"/>
      <c r="LG128" s="38"/>
      <c r="LH128" s="40" t="e">
        <f t="shared" si="2064"/>
        <v>#DIV/0!</v>
      </c>
      <c r="LI128" s="40" t="e">
        <f t="shared" si="1783"/>
        <v>#DIV/0!</v>
      </c>
      <c r="LK128" s="38"/>
      <c r="LL128" s="40"/>
      <c r="LM128" s="38"/>
      <c r="LN128" s="40" t="e">
        <f t="shared" si="2065"/>
        <v>#DIV/0!</v>
      </c>
      <c r="LO128" s="40" t="e">
        <f t="shared" si="1785"/>
        <v>#DIV/0!</v>
      </c>
      <c r="LQ128" s="38"/>
      <c r="LR128" s="40"/>
      <c r="LS128" s="38"/>
      <c r="LT128" s="40" t="e">
        <f t="shared" si="2066"/>
        <v>#DIV/0!</v>
      </c>
      <c r="LU128" s="40" t="e">
        <f t="shared" si="1787"/>
        <v>#DIV/0!</v>
      </c>
      <c r="LW128" s="38">
        <f>300+300+300+300+300</f>
        <v>1500</v>
      </c>
      <c r="LX128" s="40">
        <f>1.26+1.19+1.27+1.34+1.22</f>
        <v>6.28</v>
      </c>
      <c r="LY128" s="38">
        <v>5</v>
      </c>
      <c r="LZ128" s="40">
        <f t="shared" si="2067"/>
        <v>238.85350318471336</v>
      </c>
      <c r="MA128" s="40">
        <f t="shared" si="1789"/>
        <v>1.256</v>
      </c>
      <c r="MC128" s="38">
        <f>300+300+300+300+300</f>
        <v>1500</v>
      </c>
      <c r="MD128" s="40">
        <f>0.76+0.72+0.69+0.73+0.68</f>
        <v>3.58</v>
      </c>
      <c r="ME128" s="38">
        <v>5</v>
      </c>
      <c r="MF128" s="40">
        <f t="shared" si="2068"/>
        <v>418.99441340782124</v>
      </c>
      <c r="MG128" s="40">
        <f t="shared" si="1791"/>
        <v>0.71599999999999997</v>
      </c>
      <c r="MI128" s="38"/>
      <c r="MJ128" s="40"/>
      <c r="MK128" s="38"/>
      <c r="ML128" s="40" t="e">
        <f t="shared" si="2069"/>
        <v>#DIV/0!</v>
      </c>
      <c r="MM128" s="40" t="e">
        <f t="shared" si="1793"/>
        <v>#DIV/0!</v>
      </c>
      <c r="MO128" s="38"/>
      <c r="MP128" s="40"/>
      <c r="MQ128" s="38"/>
      <c r="MR128" s="40" t="e">
        <f t="shared" si="2070"/>
        <v>#DIV/0!</v>
      </c>
      <c r="MS128" s="40" t="e">
        <f t="shared" si="1795"/>
        <v>#DIV/0!</v>
      </c>
      <c r="MU128" s="38"/>
      <c r="MV128" s="40"/>
      <c r="MW128" s="38"/>
      <c r="MX128" s="40" t="e">
        <f t="shared" si="2071"/>
        <v>#DIV/0!</v>
      </c>
      <c r="MY128" s="40" t="e">
        <f t="shared" si="1797"/>
        <v>#DIV/0!</v>
      </c>
      <c r="NA128" s="825"/>
      <c r="NB128" s="826"/>
      <c r="NC128" s="825"/>
      <c r="ND128" s="40" t="e">
        <f t="shared" si="2072"/>
        <v>#DIV/0!</v>
      </c>
      <c r="NE128" s="40" t="e">
        <f t="shared" si="1799"/>
        <v>#DIV/0!</v>
      </c>
      <c r="NG128" s="825"/>
      <c r="NH128" s="826"/>
      <c r="NI128" s="825"/>
      <c r="NJ128" s="40" t="e">
        <f t="shared" si="2073"/>
        <v>#DIV/0!</v>
      </c>
      <c r="NK128" s="40" t="e">
        <f t="shared" si="1801"/>
        <v>#DIV/0!</v>
      </c>
      <c r="NM128" s="825"/>
      <c r="NN128" s="826"/>
      <c r="NO128" s="825"/>
      <c r="NP128" s="40" t="e">
        <f t="shared" si="2074"/>
        <v>#DIV/0!</v>
      </c>
      <c r="NQ128" s="40" t="e">
        <f t="shared" si="1803"/>
        <v>#DIV/0!</v>
      </c>
      <c r="NS128" s="825"/>
      <c r="NT128" s="826"/>
      <c r="NU128" s="825"/>
      <c r="NV128" s="40" t="e">
        <f t="shared" si="2075"/>
        <v>#DIV/0!</v>
      </c>
      <c r="NW128" s="40" t="e">
        <f t="shared" si="1805"/>
        <v>#DIV/0!</v>
      </c>
      <c r="NY128" s="913"/>
      <c r="NZ128" s="914"/>
      <c r="OA128" s="918"/>
      <c r="OB128" s="40" t="e">
        <f t="shared" si="2076"/>
        <v>#DIV/0!</v>
      </c>
      <c r="OC128" s="40" t="e">
        <f t="shared" si="1807"/>
        <v>#DIV/0!</v>
      </c>
      <c r="OE128" s="825"/>
      <c r="OF128" s="826"/>
      <c r="OG128" s="825"/>
      <c r="OH128" s="40" t="e">
        <f t="shared" si="2077"/>
        <v>#DIV/0!</v>
      </c>
      <c r="OI128" s="40" t="e">
        <f t="shared" si="1809"/>
        <v>#DIV/0!</v>
      </c>
    </row>
    <row r="129" spans="1:399">
      <c r="B129" s="20"/>
      <c r="C129" s="3"/>
      <c r="D129" s="58" t="s">
        <v>46</v>
      </c>
      <c r="E129" s="726"/>
      <c r="F129" s="45"/>
      <c r="G129" s="45"/>
      <c r="H129" s="48"/>
      <c r="I129" s="48"/>
      <c r="K129" s="45">
        <f>100+100+200+200+100</f>
        <v>700</v>
      </c>
      <c r="L129" s="45">
        <f>0.83+0.89+0.93+0.98+0.82</f>
        <v>4.45</v>
      </c>
      <c r="M129" s="45">
        <v>5</v>
      </c>
      <c r="N129" s="48">
        <f t="shared" si="2233"/>
        <v>157.30337078651684</v>
      </c>
      <c r="O129" s="48">
        <f t="shared" si="2234"/>
        <v>0.89</v>
      </c>
      <c r="Q129" s="45">
        <v>1000</v>
      </c>
      <c r="R129" s="45">
        <v>3.8499999999999996</v>
      </c>
      <c r="S129" s="45">
        <v>5</v>
      </c>
      <c r="T129" s="48">
        <f t="shared" si="2235"/>
        <v>259.74025974025977</v>
      </c>
      <c r="U129" s="48">
        <f t="shared" si="2236"/>
        <v>0.76999999999999991</v>
      </c>
      <c r="W129" s="45"/>
      <c r="X129" s="45"/>
      <c r="Y129" s="45"/>
      <c r="Z129" s="48"/>
      <c r="AA129" s="48"/>
      <c r="AC129" s="45">
        <f>300+250+300+250+250</f>
        <v>1350</v>
      </c>
      <c r="AD129" s="45">
        <f>0.7+0.8+0.7+0.6+0.9</f>
        <v>3.7</v>
      </c>
      <c r="AE129" s="45">
        <v>5</v>
      </c>
      <c r="AF129" s="48">
        <f>AC129/AD129</f>
        <v>364.86486486486484</v>
      </c>
      <c r="AG129" s="48">
        <f t="shared" ref="AG129" si="2245">AD129/AE129</f>
        <v>0.74</v>
      </c>
      <c r="AI129" s="45">
        <f>200+300+300+300+500</f>
        <v>1600</v>
      </c>
      <c r="AJ129" s="45">
        <f>0.57+0.6+0.65+0.71+1</f>
        <v>3.53</v>
      </c>
      <c r="AK129" s="45">
        <v>5</v>
      </c>
      <c r="AL129" s="48">
        <f>AI129/AJ129</f>
        <v>453.25779036827197</v>
      </c>
      <c r="AM129" s="48">
        <f t="shared" ref="AM129:AM138" si="2246">AJ129/AK129</f>
        <v>0.70599999999999996</v>
      </c>
      <c r="AO129" s="45"/>
      <c r="AP129" s="45"/>
      <c r="AQ129" s="45"/>
      <c r="AR129" s="48"/>
      <c r="AS129" s="48"/>
      <c r="AU129" s="45">
        <f>200+200+200+200+200</f>
        <v>1000</v>
      </c>
      <c r="AV129" s="45">
        <f>0.11+0.81+0.8+0.88+0.86</f>
        <v>3.46</v>
      </c>
      <c r="AW129" s="45">
        <v>5</v>
      </c>
      <c r="AX129" s="48">
        <f>AU129/AV129</f>
        <v>289.01734104046244</v>
      </c>
      <c r="AY129" s="48">
        <f t="shared" si="2147"/>
        <v>0.69199999999999995</v>
      </c>
      <c r="AZ129" s="593"/>
      <c r="BA129" s="45">
        <f>200+200+200+300+100</f>
        <v>1000</v>
      </c>
      <c r="BB129" s="45">
        <f>0.46+0.45+0.7+0.73+0.41</f>
        <v>2.75</v>
      </c>
      <c r="BC129" s="45">
        <v>5</v>
      </c>
      <c r="BD129" s="48">
        <f>BA129/BB129</f>
        <v>363.63636363636363</v>
      </c>
      <c r="BE129" s="48">
        <f t="shared" si="2120"/>
        <v>0.55000000000000004</v>
      </c>
      <c r="BF129" s="593"/>
      <c r="BG129" s="45"/>
      <c r="BH129" s="45"/>
      <c r="BI129" s="45"/>
      <c r="BJ129" s="48"/>
      <c r="BK129" s="48"/>
      <c r="BL129" s="593"/>
      <c r="BM129" s="45"/>
      <c r="BN129" s="45"/>
      <c r="BO129" s="45"/>
      <c r="BP129" s="48"/>
      <c r="BQ129" s="48"/>
      <c r="BS129" s="45"/>
      <c r="BT129" s="45"/>
      <c r="BU129" s="45"/>
      <c r="BV129" s="48"/>
      <c r="BW129" s="48"/>
      <c r="BX129" s="593"/>
      <c r="BY129" s="45">
        <f>200+200+200+200+200</f>
        <v>1000</v>
      </c>
      <c r="BZ129" s="45">
        <f>0.11+0.81+0.8+0.88+0.86</f>
        <v>3.46</v>
      </c>
      <c r="CA129" s="45">
        <v>5</v>
      </c>
      <c r="CB129" s="48">
        <f t="shared" ref="CB129" si="2247">BY129/BZ129</f>
        <v>289.01734104046244</v>
      </c>
      <c r="CC129" s="48">
        <f t="shared" ref="CC129" si="2248">BZ129/CA129</f>
        <v>0.69199999999999995</v>
      </c>
      <c r="CD129" s="593"/>
      <c r="CE129" s="45"/>
      <c r="CF129" s="45"/>
      <c r="CG129" s="45"/>
      <c r="CH129" s="48"/>
      <c r="CI129" s="48"/>
      <c r="CJ129" s="593"/>
      <c r="CK129" s="45"/>
      <c r="CL129" s="45"/>
      <c r="CM129" s="45"/>
      <c r="CN129" s="48"/>
      <c r="CO129" s="48"/>
      <c r="CP129" s="593"/>
      <c r="CQ129" s="45"/>
      <c r="CR129" s="45"/>
      <c r="CS129" s="45"/>
      <c r="CT129" s="48"/>
      <c r="CU129" s="48"/>
      <c r="CV129" s="593"/>
      <c r="CW129" s="45">
        <f>200+200+200+200+200</f>
        <v>1000</v>
      </c>
      <c r="CX129" s="45">
        <f>0.11+0.81+0.8+0.88+0.86</f>
        <v>3.46</v>
      </c>
      <c r="CY129" s="45">
        <v>5</v>
      </c>
      <c r="CZ129" s="48">
        <f t="shared" ref="CZ129:CZ138" si="2249">CW129/CX129</f>
        <v>289.01734104046244</v>
      </c>
      <c r="DA129" s="48">
        <f t="shared" ref="DA129:DA138" si="2250">CX129/CY129</f>
        <v>0.69199999999999995</v>
      </c>
      <c r="DB129" s="593"/>
      <c r="DC129" s="45"/>
      <c r="DD129" s="45"/>
      <c r="DE129" s="45"/>
      <c r="DF129" s="48"/>
      <c r="DG129" s="48"/>
      <c r="DH129" s="593"/>
      <c r="DI129" s="45">
        <f>200+200+200+200+200</f>
        <v>1000</v>
      </c>
      <c r="DJ129" s="45">
        <f>0.11+0.81+0.8+0.88+0.86</f>
        <v>3.46</v>
      </c>
      <c r="DK129" s="45">
        <v>5</v>
      </c>
      <c r="DL129" s="48">
        <f t="shared" ref="DL129" si="2251">DI129/DJ129</f>
        <v>289.01734104046244</v>
      </c>
      <c r="DM129" s="48">
        <f t="shared" ref="DM129:DM137" si="2252">DJ129/DK129</f>
        <v>0.69199999999999995</v>
      </c>
      <c r="DN129" s="593"/>
      <c r="DO129" s="45">
        <v>600</v>
      </c>
      <c r="DP129" s="45">
        <v>2.74</v>
      </c>
      <c r="DQ129" s="45">
        <v>3</v>
      </c>
      <c r="DR129" s="48">
        <f t="shared" ref="DR129:DR138" si="2253">DO129/DP129</f>
        <v>218.978102189781</v>
      </c>
      <c r="DS129" s="48">
        <f t="shared" ref="DS129:DS138" si="2254">DP129/DQ129</f>
        <v>0.91333333333333344</v>
      </c>
      <c r="DT129" s="593"/>
      <c r="DU129" s="45"/>
      <c r="DV129" s="45"/>
      <c r="DW129" s="45"/>
      <c r="DX129" s="48"/>
      <c r="DY129" s="48"/>
      <c r="DZ129" s="593"/>
      <c r="EA129" s="45"/>
      <c r="EB129" s="45"/>
      <c r="EC129" s="45"/>
      <c r="ED129" s="48"/>
      <c r="EE129" s="48"/>
      <c r="EF129" s="593"/>
      <c r="EG129" s="45"/>
      <c r="EH129" s="45"/>
      <c r="EI129" s="45"/>
      <c r="EJ129" s="48"/>
      <c r="EK129" s="48"/>
      <c r="EL129" s="593"/>
      <c r="EM129" s="45"/>
      <c r="EN129" s="45"/>
      <c r="EO129" s="45"/>
      <c r="EP129" s="48"/>
      <c r="EQ129" s="48"/>
      <c r="ES129" s="45">
        <f>200+200+200+200+200</f>
        <v>1000</v>
      </c>
      <c r="ET129" s="45">
        <f>0.11+0.81+0.8+0.88+0.86</f>
        <v>3.46</v>
      </c>
      <c r="EU129" s="45">
        <v>5</v>
      </c>
      <c r="EV129" s="48">
        <f t="shared" si="1890"/>
        <v>289.01734104046244</v>
      </c>
      <c r="EW129" s="48">
        <f t="shared" si="1890"/>
        <v>0.69199999999999995</v>
      </c>
      <c r="EY129" s="45">
        <v>1600</v>
      </c>
      <c r="EZ129" s="45">
        <v>3.53</v>
      </c>
      <c r="FA129" s="45">
        <v>5</v>
      </c>
      <c r="FB129" s="48">
        <f t="shared" ref="FB129:FC138" si="2255">EY129/EZ129</f>
        <v>453.25779036827197</v>
      </c>
      <c r="FC129" s="48">
        <f t="shared" si="2255"/>
        <v>0.70599999999999996</v>
      </c>
      <c r="FE129" s="45"/>
      <c r="FF129" s="45"/>
      <c r="FG129" s="45"/>
      <c r="FH129" s="48"/>
      <c r="FI129" s="48"/>
      <c r="FK129" s="38">
        <f>500+500+500+500+500</f>
        <v>2500</v>
      </c>
      <c r="FL129" s="40">
        <f>0.43+0.37+0.44+0.41+0.41</f>
        <v>2.06</v>
      </c>
      <c r="FM129" s="38">
        <f>5</f>
        <v>5</v>
      </c>
      <c r="FN129" s="40">
        <f t="shared" si="1950"/>
        <v>1213.5922330097087</v>
      </c>
      <c r="FO129" s="40">
        <f t="shared" si="1932"/>
        <v>0.41200000000000003</v>
      </c>
      <c r="FP129" s="231"/>
      <c r="FQ129" s="45">
        <f>500+500+500</f>
        <v>1500</v>
      </c>
      <c r="FR129" s="45">
        <f>0.96+0.85+1.04</f>
        <v>2.85</v>
      </c>
      <c r="FS129" s="45">
        <f>3</f>
        <v>3</v>
      </c>
      <c r="FT129" s="48">
        <f t="shared" si="1765"/>
        <v>526.31578947368416</v>
      </c>
      <c r="FU129" s="48">
        <f t="shared" si="1765"/>
        <v>0.95000000000000007</v>
      </c>
      <c r="FW129" s="45"/>
      <c r="FX129" s="45"/>
      <c r="FY129" s="45"/>
      <c r="FZ129" s="48"/>
      <c r="GA129" s="48"/>
      <c r="GC129" s="26">
        <f>300+300+300+300+300</f>
        <v>1500</v>
      </c>
      <c r="GD129" s="45">
        <f>0.49+0.58+0.5+0.5+0.55</f>
        <v>2.62</v>
      </c>
      <c r="GE129" s="45">
        <f>5</f>
        <v>5</v>
      </c>
      <c r="GF129" s="48">
        <f t="shared" si="1767"/>
        <v>572.51908396946567</v>
      </c>
      <c r="GG129" s="48">
        <f t="shared" si="1767"/>
        <v>0.52400000000000002</v>
      </c>
      <c r="GI129" s="45">
        <f>100+100+100+200+200</f>
        <v>700</v>
      </c>
      <c r="GJ129" s="45">
        <f>0.82+0.96+0.41+0.33+0.45</f>
        <v>2.97</v>
      </c>
      <c r="GK129" s="45">
        <f>5</f>
        <v>5</v>
      </c>
      <c r="GL129" s="48">
        <f t="shared" si="1768"/>
        <v>235.69023569023568</v>
      </c>
      <c r="GM129" s="48">
        <f t="shared" si="1768"/>
        <v>0.59400000000000008</v>
      </c>
      <c r="GO129" s="45">
        <f>200+200+200+200+200</f>
        <v>1000</v>
      </c>
      <c r="GP129" s="27">
        <f>0.8+0.78+0.8+0.78+0.8</f>
        <v>3.96</v>
      </c>
      <c r="GQ129" s="45">
        <f>5</f>
        <v>5</v>
      </c>
      <c r="GR129" s="48">
        <f t="shared" si="1769"/>
        <v>252.52525252525254</v>
      </c>
      <c r="GS129" s="48">
        <f t="shared" si="1769"/>
        <v>0.79200000000000004</v>
      </c>
      <c r="GU129" s="99">
        <f>100+100+100+100+100</f>
        <v>500</v>
      </c>
      <c r="GV129" s="99">
        <f>0.94+1.07+1.13+1.12+1.28</f>
        <v>5.54</v>
      </c>
      <c r="GW129" s="99">
        <v>5</v>
      </c>
      <c r="GX129" s="101">
        <f t="shared" si="1770"/>
        <v>90.25270758122744</v>
      </c>
      <c r="GY129" s="101">
        <f t="shared" si="1770"/>
        <v>1.1080000000000001</v>
      </c>
      <c r="GZ129" s="43"/>
      <c r="HA129" s="28">
        <f>100+100+100+100+100</f>
        <v>500</v>
      </c>
      <c r="HB129" s="28">
        <f>0.44+0.62+0.85+1.07+1.25</f>
        <v>4.2300000000000004</v>
      </c>
      <c r="HC129" s="27">
        <v>5</v>
      </c>
      <c r="HD129" s="40">
        <f t="shared" si="1771"/>
        <v>118.20330969267138</v>
      </c>
      <c r="HE129" s="40">
        <f t="shared" si="1771"/>
        <v>0.84600000000000009</v>
      </c>
      <c r="HG129" s="45">
        <v>600</v>
      </c>
      <c r="HH129" s="45">
        <v>2.74</v>
      </c>
      <c r="HI129" s="45">
        <v>3</v>
      </c>
      <c r="HJ129" s="48">
        <f t="shared" si="2122"/>
        <v>218.978102189781</v>
      </c>
      <c r="HK129" s="48">
        <f t="shared" si="2123"/>
        <v>0.91333333333333344</v>
      </c>
      <c r="HM129" s="45">
        <f>250+200+200+200+200</f>
        <v>1050</v>
      </c>
      <c r="HN129" s="45">
        <f>0.5+0.35+0.49+0.48+0.48</f>
        <v>2.2999999999999998</v>
      </c>
      <c r="HO129" s="45">
        <v>5</v>
      </c>
      <c r="HP129" s="48">
        <f t="shared" si="2241"/>
        <v>456.52173913043481</v>
      </c>
      <c r="HQ129" s="48">
        <f t="shared" si="2242"/>
        <v>0.45999999999999996</v>
      </c>
      <c r="HS129" s="45">
        <f>100+100+200+200+100</f>
        <v>700</v>
      </c>
      <c r="HT129" s="45">
        <f>0.83+0.89+0.93+0.98+0.82</f>
        <v>4.45</v>
      </c>
      <c r="HU129" s="45">
        <v>5</v>
      </c>
      <c r="HV129" s="48">
        <f t="shared" si="1933"/>
        <v>157.30337078651684</v>
      </c>
      <c r="HW129" s="48">
        <f t="shared" si="1933"/>
        <v>0.89</v>
      </c>
      <c r="HX129" s="231"/>
      <c r="HY129" s="38"/>
      <c r="HZ129" s="40"/>
      <c r="IA129" s="38"/>
      <c r="IB129" s="40"/>
      <c r="IC129" s="40"/>
      <c r="IE129" s="38">
        <f>500+500+500+500+500</f>
        <v>2500</v>
      </c>
      <c r="IF129" s="40">
        <f>0.45+0.57+0.57+0.57+0.47</f>
        <v>2.63</v>
      </c>
      <c r="IG129" s="38">
        <f>5</f>
        <v>5</v>
      </c>
      <c r="IH129" s="40">
        <f t="shared" si="1841"/>
        <v>950.57034220532319</v>
      </c>
      <c r="II129" s="40">
        <f t="shared" si="1842"/>
        <v>0.52600000000000002</v>
      </c>
      <c r="IK129" s="38">
        <f>400+400+400+400+400</f>
        <v>2000</v>
      </c>
      <c r="IL129" s="40">
        <f>0.5+0.4+0.45+0.45+0.45</f>
        <v>2.25</v>
      </c>
      <c r="IM129" s="38">
        <v>5</v>
      </c>
      <c r="IN129" s="40">
        <f t="shared" ref="IN129:IN138" si="2256">IK129/IL129</f>
        <v>888.88888888888891</v>
      </c>
      <c r="IO129" s="40">
        <f t="shared" ref="IO129:IO138" si="2257">IL129/IM129</f>
        <v>0.45</v>
      </c>
      <c r="IQ129" s="38">
        <f>300+300+300+300+300</f>
        <v>1500</v>
      </c>
      <c r="IR129" s="40">
        <f>0.62+0.52+0.43+0.56+0.66</f>
        <v>2.79</v>
      </c>
      <c r="IS129" s="38">
        <v>5</v>
      </c>
      <c r="IT129" s="40">
        <f t="shared" ref="IT129:IT138" si="2258">IQ129/IR129</f>
        <v>537.63440860215053</v>
      </c>
      <c r="IU129" s="40">
        <f t="shared" ref="IU129:IU138" si="2259">IR129/IS129</f>
        <v>0.55800000000000005</v>
      </c>
      <c r="IW129" s="38">
        <f>200+200+300+300+200</f>
        <v>1200</v>
      </c>
      <c r="IX129" s="40">
        <f>0.63+0.66+0.5+0.46+0.71</f>
        <v>2.96</v>
      </c>
      <c r="IY129" s="38">
        <v>5</v>
      </c>
      <c r="IZ129" s="40">
        <f t="shared" ref="IZ129:IZ138" si="2260">IW129/IX129</f>
        <v>405.40540540540542</v>
      </c>
      <c r="JA129" s="40">
        <f t="shared" ref="JA129:JA138" si="2261">IX129/IY129</f>
        <v>0.59199999999999997</v>
      </c>
      <c r="JC129" s="38">
        <f>100+100+50+100+100</f>
        <v>450</v>
      </c>
      <c r="JD129" s="40">
        <f>0.8+0.89+0.52+0.74+0.79</f>
        <v>3.74</v>
      </c>
      <c r="JE129" s="38">
        <v>5</v>
      </c>
      <c r="JF129" s="40">
        <f t="shared" ref="JF129:JF138" si="2262">JC129/JD129</f>
        <v>120.32085561497325</v>
      </c>
      <c r="JG129" s="40">
        <f t="shared" ref="JG129:JG138" si="2263">JD129/JE129</f>
        <v>0.748</v>
      </c>
      <c r="JI129" s="38">
        <f>200+200+200+200+200</f>
        <v>1000</v>
      </c>
      <c r="JJ129" s="40">
        <f>0.85+0.78+0.8+0.84+0.82</f>
        <v>4.09</v>
      </c>
      <c r="JK129" s="38">
        <v>5</v>
      </c>
      <c r="JL129" s="40">
        <f t="shared" ref="JL129:JL138" si="2264">JI129/JJ129</f>
        <v>244.49877750611248</v>
      </c>
      <c r="JM129" s="40">
        <f t="shared" ref="JM129:JM138" si="2265">JJ129/JK129</f>
        <v>0.81799999999999995</v>
      </c>
      <c r="JO129" s="38">
        <f>100+100+100+100+100</f>
        <v>500</v>
      </c>
      <c r="JP129" s="40">
        <f>0.98+0.96+0.99+0.87+0.88</f>
        <v>4.68</v>
      </c>
      <c r="JQ129" s="38">
        <v>5</v>
      </c>
      <c r="JR129" s="40">
        <f t="shared" ref="JR129:JR138" si="2266">JO129/JP129</f>
        <v>106.83760683760684</v>
      </c>
      <c r="JS129" s="40">
        <f t="shared" ref="JS129:JS138" si="2267">JP129/JQ129</f>
        <v>0.93599999999999994</v>
      </c>
      <c r="JU129" s="38">
        <f>150+150+150+150+150</f>
        <v>750</v>
      </c>
      <c r="JV129" s="40">
        <f>0.92+0.86+0.86+0.82+0.81</f>
        <v>4.2699999999999996</v>
      </c>
      <c r="JW129" s="38">
        <v>5</v>
      </c>
      <c r="JX129" s="40">
        <f t="shared" ref="JX129:JX138" si="2268">JU129/JV129</f>
        <v>175.64402810304452</v>
      </c>
      <c r="JY129" s="40">
        <f t="shared" ref="JY129:JY138" si="2269">JV129/JW129</f>
        <v>0.85399999999999987</v>
      </c>
      <c r="KA129" s="38">
        <f>200+200+200+200+200</f>
        <v>1000</v>
      </c>
      <c r="KB129" s="40">
        <f>1.2+1.15+1.18+1.18+1.09</f>
        <v>5.7999999999999989</v>
      </c>
      <c r="KC129" s="38">
        <v>5</v>
      </c>
      <c r="KD129" s="40">
        <f t="shared" ref="KD129" si="2270">KA129/KB129</f>
        <v>172.41379310344831</v>
      </c>
      <c r="KE129" s="40">
        <f t="shared" ref="KE129" si="2271">KB129/KC129</f>
        <v>1.1599999999999997</v>
      </c>
      <c r="KG129" s="38">
        <f>200+200+200+200+200</f>
        <v>1000</v>
      </c>
      <c r="KH129" s="40">
        <f>0.74+0.69+0.69+0.6+1</f>
        <v>3.72</v>
      </c>
      <c r="KI129" s="38">
        <v>5</v>
      </c>
      <c r="KJ129" s="40">
        <f t="shared" si="2060"/>
        <v>268.81720430107526</v>
      </c>
      <c r="KK129" s="40">
        <f t="shared" si="1853"/>
        <v>0.74399999999999999</v>
      </c>
      <c r="KM129" s="38">
        <f>500+500+500+500+500</f>
        <v>2500</v>
      </c>
      <c r="KN129" s="40">
        <f>1.13+1.15+1.19+1.17+1.18</f>
        <v>5.8199999999999994</v>
      </c>
      <c r="KO129" s="38">
        <v>5</v>
      </c>
      <c r="KP129" s="40">
        <f t="shared" si="2061"/>
        <v>429.55326460481103</v>
      </c>
      <c r="KQ129" s="40">
        <f t="shared" si="1777"/>
        <v>1.1639999999999999</v>
      </c>
      <c r="KS129" s="38"/>
      <c r="KT129" s="40"/>
      <c r="KU129" s="38"/>
      <c r="KV129" s="40" t="e">
        <f t="shared" si="2062"/>
        <v>#DIV/0!</v>
      </c>
      <c r="KW129" s="40" t="e">
        <f t="shared" si="1779"/>
        <v>#DIV/0!</v>
      </c>
      <c r="KY129" s="38"/>
      <c r="KZ129" s="40"/>
      <c r="LA129" s="38"/>
      <c r="LB129" s="40" t="e">
        <f t="shared" si="2063"/>
        <v>#DIV/0!</v>
      </c>
      <c r="LC129" s="40" t="e">
        <f t="shared" si="1781"/>
        <v>#DIV/0!</v>
      </c>
      <c r="LE129" s="38"/>
      <c r="LF129" s="40"/>
      <c r="LG129" s="38"/>
      <c r="LH129" s="40" t="e">
        <f t="shared" si="2064"/>
        <v>#DIV/0!</v>
      </c>
      <c r="LI129" s="40" t="e">
        <f t="shared" si="1783"/>
        <v>#DIV/0!</v>
      </c>
      <c r="LK129" s="38"/>
      <c r="LL129" s="40"/>
      <c r="LM129" s="38"/>
      <c r="LN129" s="40" t="e">
        <f t="shared" si="2065"/>
        <v>#DIV/0!</v>
      </c>
      <c r="LO129" s="40" t="e">
        <f t="shared" si="1785"/>
        <v>#DIV/0!</v>
      </c>
      <c r="LQ129" s="38">
        <f>200+200+200+200+200</f>
        <v>1000</v>
      </c>
      <c r="LR129" s="40">
        <f>0.48+0.48+0.48+0.76+0.69</f>
        <v>2.89</v>
      </c>
      <c r="LS129" s="38">
        <v>5</v>
      </c>
      <c r="LT129" s="40">
        <f t="shared" si="2066"/>
        <v>346.02076124567475</v>
      </c>
      <c r="LU129" s="40">
        <f t="shared" si="1787"/>
        <v>0.57800000000000007</v>
      </c>
      <c r="LW129" s="38">
        <f>100+100+100+100+100</f>
        <v>500</v>
      </c>
      <c r="LX129" s="40">
        <f>0.79+0.8+0.86+0.86+0.8</f>
        <v>4.1100000000000003</v>
      </c>
      <c r="LY129" s="38">
        <v>5</v>
      </c>
      <c r="LZ129" s="40">
        <f t="shared" si="2067"/>
        <v>121.654501216545</v>
      </c>
      <c r="MA129" s="40">
        <f t="shared" si="1789"/>
        <v>0.82200000000000006</v>
      </c>
      <c r="MC129" s="38">
        <f>150+150+150+150+150</f>
        <v>750</v>
      </c>
      <c r="MD129" s="40">
        <f>0.52+0.48+0.46+0.53+0.46</f>
        <v>2.4500000000000002</v>
      </c>
      <c r="ME129" s="38">
        <v>5</v>
      </c>
      <c r="MF129" s="40">
        <f t="shared" si="2068"/>
        <v>306.12244897959181</v>
      </c>
      <c r="MG129" s="40">
        <f t="shared" si="1791"/>
        <v>0.49000000000000005</v>
      </c>
      <c r="MI129" s="38">
        <f>100+100+100+100+100</f>
        <v>500</v>
      </c>
      <c r="MJ129" s="40">
        <f>0.39+0.32+0.65+0.63+0.6</f>
        <v>2.59</v>
      </c>
      <c r="MK129" s="38">
        <v>5</v>
      </c>
      <c r="ML129" s="40">
        <f t="shared" si="2069"/>
        <v>193.05019305019306</v>
      </c>
      <c r="MM129" s="40">
        <f t="shared" si="1793"/>
        <v>0.51800000000000002</v>
      </c>
      <c r="MO129" s="38"/>
      <c r="MP129" s="40"/>
      <c r="MQ129" s="38"/>
      <c r="MR129" s="40" t="e">
        <f t="shared" si="2070"/>
        <v>#DIV/0!</v>
      </c>
      <c r="MS129" s="40" t="e">
        <f t="shared" si="1795"/>
        <v>#DIV/0!</v>
      </c>
      <c r="MU129" s="38"/>
      <c r="MV129" s="40"/>
      <c r="MW129" s="38"/>
      <c r="MX129" s="40" t="e">
        <f t="shared" si="2071"/>
        <v>#DIV/0!</v>
      </c>
      <c r="MY129" s="40" t="e">
        <f t="shared" si="1797"/>
        <v>#DIV/0!</v>
      </c>
      <c r="NA129" s="825">
        <f>500+500+500</f>
        <v>1500</v>
      </c>
      <c r="NB129" s="826">
        <f>0.78+0.7+0.78</f>
        <v>2.2599999999999998</v>
      </c>
      <c r="NC129" s="825">
        <v>3</v>
      </c>
      <c r="ND129" s="40">
        <f t="shared" si="2072"/>
        <v>663.71681415929208</v>
      </c>
      <c r="NE129" s="40">
        <f t="shared" si="1799"/>
        <v>0.7533333333333333</v>
      </c>
      <c r="NG129" s="825"/>
      <c r="NH129" s="826"/>
      <c r="NI129" s="825"/>
      <c r="NJ129" s="40" t="e">
        <f t="shared" si="2073"/>
        <v>#DIV/0!</v>
      </c>
      <c r="NK129" s="40" t="e">
        <f t="shared" si="1801"/>
        <v>#DIV/0!</v>
      </c>
      <c r="NM129" s="825">
        <f>500+500+500+500+500</f>
        <v>2500</v>
      </c>
      <c r="NN129" s="826">
        <f>0.24+0.26+0.5+0.57+0.65</f>
        <v>2.2199999999999998</v>
      </c>
      <c r="NO129" s="825">
        <v>5</v>
      </c>
      <c r="NP129" s="40">
        <f t="shared" si="2074"/>
        <v>1126.1261261261263</v>
      </c>
      <c r="NQ129" s="40">
        <f t="shared" si="1803"/>
        <v>0.44399999999999995</v>
      </c>
      <c r="NS129" s="825"/>
      <c r="NT129" s="826"/>
      <c r="NU129" s="825"/>
      <c r="NV129" s="40" t="e">
        <f t="shared" si="2075"/>
        <v>#DIV/0!</v>
      </c>
      <c r="NW129" s="40" t="e">
        <f t="shared" si="1805"/>
        <v>#DIV/0!</v>
      </c>
      <c r="NY129" s="913">
        <f>500+500+500+500+500</f>
        <v>2500</v>
      </c>
      <c r="NZ129" s="914">
        <f>1+1.2+0.72+0.86+0.72</f>
        <v>4.5</v>
      </c>
      <c r="OA129" s="918">
        <v>5</v>
      </c>
      <c r="OB129" s="40">
        <f t="shared" si="2076"/>
        <v>555.55555555555554</v>
      </c>
      <c r="OC129" s="40">
        <f t="shared" si="1807"/>
        <v>0.9</v>
      </c>
      <c r="OE129" s="825">
        <f>400+400+400+400+400</f>
        <v>2000</v>
      </c>
      <c r="OF129" s="826">
        <f>1.04+1+1.02+1.03+1</f>
        <v>5.09</v>
      </c>
      <c r="OG129" s="825">
        <v>5</v>
      </c>
      <c r="OH129" s="40">
        <f t="shared" si="2077"/>
        <v>392.92730844793715</v>
      </c>
      <c r="OI129" s="40">
        <f t="shared" si="1809"/>
        <v>1.018</v>
      </c>
    </row>
    <row r="130" spans="1:399">
      <c r="B130" s="715" t="s">
        <v>376</v>
      </c>
      <c r="C130" s="730" t="s">
        <v>377</v>
      </c>
      <c r="D130" s="723" t="s">
        <v>11</v>
      </c>
      <c r="E130" s="725" t="s">
        <v>11</v>
      </c>
      <c r="F130" s="45"/>
      <c r="G130" s="45"/>
      <c r="H130" s="48"/>
      <c r="I130" s="48"/>
      <c r="K130" s="45"/>
      <c r="L130" s="45"/>
      <c r="M130" s="45"/>
      <c r="N130" s="48"/>
      <c r="O130" s="48"/>
      <c r="Q130" s="45"/>
      <c r="R130" s="45"/>
      <c r="S130" s="45"/>
      <c r="T130" s="48"/>
      <c r="U130" s="48"/>
      <c r="W130" s="45"/>
      <c r="X130" s="45"/>
      <c r="Y130" s="45"/>
      <c r="Z130" s="48"/>
      <c r="AA130" s="48"/>
      <c r="AC130" s="45"/>
      <c r="AD130" s="45"/>
      <c r="AE130" s="45"/>
      <c r="AF130" s="48"/>
      <c r="AG130" s="48"/>
      <c r="AI130" s="45"/>
      <c r="AJ130" s="45"/>
      <c r="AK130" s="45"/>
      <c r="AL130" s="48"/>
      <c r="AM130" s="48"/>
      <c r="AO130" s="45"/>
      <c r="AP130" s="45"/>
      <c r="AQ130" s="45"/>
      <c r="AR130" s="48"/>
      <c r="AS130" s="48"/>
      <c r="AU130" s="45"/>
      <c r="AV130" s="45"/>
      <c r="AW130" s="45"/>
      <c r="AX130" s="48"/>
      <c r="AY130" s="48"/>
      <c r="AZ130" s="593"/>
      <c r="BA130" s="45"/>
      <c r="BB130" s="45"/>
      <c r="BC130" s="45"/>
      <c r="BD130" s="48"/>
      <c r="BE130" s="48"/>
      <c r="BF130" s="593"/>
      <c r="BG130" s="45"/>
      <c r="BH130" s="45"/>
      <c r="BI130" s="45"/>
      <c r="BJ130" s="48"/>
      <c r="BK130" s="48"/>
      <c r="BL130" s="593"/>
      <c r="BM130" s="45"/>
      <c r="BN130" s="45"/>
      <c r="BO130" s="45"/>
      <c r="BP130" s="48"/>
      <c r="BQ130" s="48"/>
      <c r="BS130" s="45"/>
      <c r="BT130" s="45"/>
      <c r="BU130" s="45"/>
      <c r="BV130" s="48"/>
      <c r="BW130" s="48"/>
      <c r="BX130" s="593"/>
      <c r="BY130" s="45"/>
      <c r="BZ130" s="45"/>
      <c r="CA130" s="45"/>
      <c r="CB130" s="48"/>
      <c r="CC130" s="48"/>
      <c r="CD130" s="593"/>
      <c r="CE130" s="45"/>
      <c r="CF130" s="45"/>
      <c r="CG130" s="45"/>
      <c r="CH130" s="48"/>
      <c r="CI130" s="48"/>
      <c r="CJ130" s="593"/>
      <c r="CK130" s="45"/>
      <c r="CL130" s="45"/>
      <c r="CM130" s="45"/>
      <c r="CN130" s="48"/>
      <c r="CO130" s="48"/>
      <c r="CP130" s="593"/>
      <c r="CQ130" s="45"/>
      <c r="CR130" s="45"/>
      <c r="CS130" s="45"/>
      <c r="CT130" s="48"/>
      <c r="CU130" s="48"/>
      <c r="CV130" s="593"/>
      <c r="CW130" s="45"/>
      <c r="CX130" s="45"/>
      <c r="CY130" s="45"/>
      <c r="CZ130" s="48"/>
      <c r="DA130" s="48"/>
      <c r="DB130" s="593"/>
      <c r="DC130" s="45"/>
      <c r="DD130" s="45"/>
      <c r="DE130" s="45"/>
      <c r="DF130" s="48"/>
      <c r="DG130" s="48"/>
      <c r="DH130" s="593"/>
      <c r="DI130" s="45"/>
      <c r="DJ130" s="45"/>
      <c r="DK130" s="45"/>
      <c r="DL130" s="48"/>
      <c r="DM130" s="48"/>
      <c r="DN130" s="593"/>
      <c r="DO130" s="45"/>
      <c r="DP130" s="45"/>
      <c r="DQ130" s="45"/>
      <c r="DR130" s="48"/>
      <c r="DS130" s="48"/>
      <c r="DT130" s="593"/>
      <c r="DU130" s="45"/>
      <c r="DV130" s="45"/>
      <c r="DW130" s="45"/>
      <c r="DX130" s="48"/>
      <c r="DY130" s="48"/>
      <c r="DZ130" s="593"/>
      <c r="EA130" s="45"/>
      <c r="EB130" s="45"/>
      <c r="EC130" s="45"/>
      <c r="ED130" s="48"/>
      <c r="EE130" s="48"/>
      <c r="EF130" s="593"/>
      <c r="EG130" s="45"/>
      <c r="EH130" s="45"/>
      <c r="EI130" s="45"/>
      <c r="EJ130" s="48"/>
      <c r="EK130" s="48"/>
      <c r="EL130" s="593"/>
      <c r="EM130" s="45"/>
      <c r="EN130" s="45"/>
      <c r="EO130" s="45"/>
      <c r="EP130" s="48"/>
      <c r="EQ130" s="48"/>
      <c r="ES130" s="45"/>
      <c r="ET130" s="45"/>
      <c r="EU130" s="45"/>
      <c r="EV130" s="48"/>
      <c r="EW130" s="48"/>
      <c r="EY130" s="45"/>
      <c r="EZ130" s="45"/>
      <c r="FA130" s="45"/>
      <c r="FB130" s="48"/>
      <c r="FC130" s="48"/>
      <c r="FE130" s="45"/>
      <c r="FF130" s="45"/>
      <c r="FG130" s="45"/>
      <c r="FH130" s="48"/>
      <c r="FI130" s="48"/>
      <c r="FK130" s="38"/>
      <c r="FL130" s="40"/>
      <c r="FM130" s="38"/>
      <c r="FN130" s="40"/>
      <c r="FO130" s="40"/>
      <c r="FP130" s="231"/>
      <c r="FQ130" s="45"/>
      <c r="FR130" s="45"/>
      <c r="FS130" s="45"/>
      <c r="FT130" s="48"/>
      <c r="FU130" s="48"/>
      <c r="FW130" s="45"/>
      <c r="FX130" s="45"/>
      <c r="FY130" s="45"/>
      <c r="FZ130" s="48"/>
      <c r="GA130" s="48"/>
      <c r="GC130" s="26"/>
      <c r="GD130" s="45"/>
      <c r="GE130" s="45"/>
      <c r="GF130" s="48"/>
      <c r="GG130" s="48"/>
      <c r="GI130" s="45"/>
      <c r="GJ130" s="45"/>
      <c r="GK130" s="45"/>
      <c r="GL130" s="48"/>
      <c r="GM130" s="48"/>
      <c r="GO130" s="45"/>
      <c r="GP130" s="27"/>
      <c r="GQ130" s="45"/>
      <c r="GR130" s="48"/>
      <c r="GS130" s="48"/>
      <c r="GU130" s="99"/>
      <c r="GV130" s="99"/>
      <c r="GW130" s="99"/>
      <c r="GX130" s="101"/>
      <c r="GY130" s="101"/>
      <c r="GZ130" s="43"/>
      <c r="HA130" s="28"/>
      <c r="HB130" s="28"/>
      <c r="HC130" s="27"/>
      <c r="HD130" s="40"/>
      <c r="HE130" s="40"/>
      <c r="HG130" s="45"/>
      <c r="HH130" s="45"/>
      <c r="HI130" s="45"/>
      <c r="HJ130" s="48"/>
      <c r="HK130" s="48"/>
      <c r="HM130" s="45"/>
      <c r="HN130" s="45"/>
      <c r="HO130" s="45"/>
      <c r="HP130" s="48"/>
      <c r="HQ130" s="48"/>
      <c r="HS130" s="45"/>
      <c r="HT130" s="45"/>
      <c r="HU130" s="45"/>
      <c r="HV130" s="48"/>
      <c r="HW130" s="48"/>
      <c r="HX130" s="231"/>
      <c r="HY130" s="38"/>
      <c r="HZ130" s="40"/>
      <c r="IA130" s="38"/>
      <c r="IB130" s="40"/>
      <c r="IC130" s="40"/>
      <c r="IE130" s="38"/>
      <c r="IF130" s="40"/>
      <c r="IG130" s="38"/>
      <c r="IH130" s="40"/>
      <c r="II130" s="40"/>
      <c r="IK130" s="38"/>
      <c r="IL130" s="40"/>
      <c r="IM130" s="38"/>
      <c r="IN130" s="40"/>
      <c r="IO130" s="40"/>
      <c r="IQ130" s="38"/>
      <c r="IR130" s="40"/>
      <c r="IS130" s="38"/>
      <c r="IT130" s="40"/>
      <c r="IU130" s="40"/>
      <c r="IW130" s="38"/>
      <c r="IX130" s="40"/>
      <c r="IY130" s="38"/>
      <c r="IZ130" s="40"/>
      <c r="JA130" s="40"/>
      <c r="JC130" s="38"/>
      <c r="JD130" s="40"/>
      <c r="JE130" s="38"/>
      <c r="JF130" s="40"/>
      <c r="JG130" s="40"/>
      <c r="JI130" s="38"/>
      <c r="JJ130" s="40"/>
      <c r="JK130" s="38"/>
      <c r="JL130" s="40"/>
      <c r="JM130" s="40"/>
      <c r="JO130" s="741"/>
      <c r="JP130" s="742"/>
      <c r="JQ130" s="741"/>
      <c r="JR130" s="742"/>
      <c r="JS130" s="742"/>
      <c r="JU130" s="741"/>
      <c r="JV130" s="742"/>
      <c r="JW130" s="741"/>
      <c r="JX130" s="742"/>
      <c r="JY130" s="742"/>
      <c r="KA130" s="741"/>
      <c r="KB130" s="742"/>
      <c r="KC130" s="741"/>
      <c r="KD130" s="742"/>
      <c r="KE130" s="742"/>
      <c r="KG130" s="741"/>
      <c r="KH130" s="742"/>
      <c r="KI130" s="741"/>
      <c r="KJ130" s="40" t="e">
        <f t="shared" si="2060"/>
        <v>#DIV/0!</v>
      </c>
      <c r="KK130" s="40" t="e">
        <f t="shared" si="1853"/>
        <v>#DIV/0!</v>
      </c>
      <c r="KM130" s="741"/>
      <c r="KN130" s="742"/>
      <c r="KO130" s="741"/>
      <c r="KP130" s="40" t="e">
        <f t="shared" si="2061"/>
        <v>#DIV/0!</v>
      </c>
      <c r="KQ130" s="40" t="e">
        <f t="shared" si="1777"/>
        <v>#DIV/0!</v>
      </c>
      <c r="KS130" s="741"/>
      <c r="KT130" s="742"/>
      <c r="KU130" s="741"/>
      <c r="KV130" s="40" t="e">
        <f t="shared" si="2062"/>
        <v>#DIV/0!</v>
      </c>
      <c r="KW130" s="40" t="e">
        <f t="shared" si="1779"/>
        <v>#DIV/0!</v>
      </c>
      <c r="KY130" s="741"/>
      <c r="KZ130" s="742"/>
      <c r="LA130" s="741"/>
      <c r="LB130" s="40" t="e">
        <f t="shared" si="2063"/>
        <v>#DIV/0!</v>
      </c>
      <c r="LC130" s="40" t="e">
        <f t="shared" si="1781"/>
        <v>#DIV/0!</v>
      </c>
      <c r="LE130" s="741"/>
      <c r="LF130" s="742"/>
      <c r="LG130" s="741"/>
      <c r="LH130" s="40" t="e">
        <f t="shared" si="2064"/>
        <v>#DIV/0!</v>
      </c>
      <c r="LI130" s="40" t="e">
        <f t="shared" si="1783"/>
        <v>#DIV/0!</v>
      </c>
      <c r="LK130" s="741"/>
      <c r="LL130" s="742"/>
      <c r="LM130" s="741"/>
      <c r="LN130" s="40" t="e">
        <f t="shared" si="2065"/>
        <v>#DIV/0!</v>
      </c>
      <c r="LO130" s="40" t="e">
        <f t="shared" si="1785"/>
        <v>#DIV/0!</v>
      </c>
      <c r="LQ130" s="741"/>
      <c r="LR130" s="742"/>
      <c r="LS130" s="741"/>
      <c r="LT130" s="40" t="e">
        <f t="shared" si="2066"/>
        <v>#DIV/0!</v>
      </c>
      <c r="LU130" s="40" t="e">
        <f t="shared" si="1787"/>
        <v>#DIV/0!</v>
      </c>
      <c r="LW130" s="741"/>
      <c r="LX130" s="742"/>
      <c r="LY130" s="741"/>
      <c r="LZ130" s="40" t="e">
        <f t="shared" si="2067"/>
        <v>#DIV/0!</v>
      </c>
      <c r="MA130" s="40" t="e">
        <f t="shared" si="1789"/>
        <v>#DIV/0!</v>
      </c>
      <c r="MC130" s="741"/>
      <c r="MD130" s="742"/>
      <c r="ME130" s="741"/>
      <c r="MF130" s="40" t="e">
        <f t="shared" si="2068"/>
        <v>#DIV/0!</v>
      </c>
      <c r="MG130" s="40" t="e">
        <f t="shared" si="1791"/>
        <v>#DIV/0!</v>
      </c>
      <c r="MI130" s="741">
        <f>500+500+500+500+500</f>
        <v>2500</v>
      </c>
      <c r="MJ130" s="742">
        <f>2.53+2.56+2.6+2.24+2.35</f>
        <v>12.28</v>
      </c>
      <c r="MK130" s="741">
        <v>5</v>
      </c>
      <c r="ML130" s="40">
        <f t="shared" si="2069"/>
        <v>203.58306188925081</v>
      </c>
      <c r="MM130" s="40">
        <f t="shared" si="1793"/>
        <v>2.456</v>
      </c>
      <c r="MO130" s="741"/>
      <c r="MP130" s="742"/>
      <c r="MQ130" s="741"/>
      <c r="MR130" s="40" t="e">
        <f t="shared" si="2070"/>
        <v>#DIV/0!</v>
      </c>
      <c r="MS130" s="40" t="e">
        <f t="shared" si="1795"/>
        <v>#DIV/0!</v>
      </c>
      <c r="MU130" s="741"/>
      <c r="MV130" s="742"/>
      <c r="MW130" s="741"/>
      <c r="MX130" s="40" t="e">
        <f t="shared" si="2071"/>
        <v>#DIV/0!</v>
      </c>
      <c r="MY130" s="40" t="e">
        <f t="shared" si="1797"/>
        <v>#DIV/0!</v>
      </c>
      <c r="NA130" s="825"/>
      <c r="NB130" s="827"/>
      <c r="NC130" s="825"/>
      <c r="ND130" s="40" t="e">
        <f t="shared" si="2072"/>
        <v>#DIV/0!</v>
      </c>
      <c r="NE130" s="40" t="e">
        <f t="shared" si="1799"/>
        <v>#DIV/0!</v>
      </c>
      <c r="NG130" s="825"/>
      <c r="NH130" s="827"/>
      <c r="NI130" s="825"/>
      <c r="NJ130" s="40" t="e">
        <f t="shared" si="2073"/>
        <v>#DIV/0!</v>
      </c>
      <c r="NK130" s="40" t="e">
        <f t="shared" si="1801"/>
        <v>#DIV/0!</v>
      </c>
      <c r="NM130" s="886"/>
      <c r="NN130" s="887"/>
      <c r="NO130" s="886"/>
      <c r="NP130" s="742" t="e">
        <f t="shared" si="2074"/>
        <v>#DIV/0!</v>
      </c>
      <c r="NQ130" s="742" t="e">
        <f t="shared" si="1803"/>
        <v>#DIV/0!</v>
      </c>
      <c r="NS130" s="886"/>
      <c r="NT130" s="887"/>
      <c r="NU130" s="886"/>
      <c r="NV130" s="742" t="e">
        <f t="shared" si="2075"/>
        <v>#DIV/0!</v>
      </c>
      <c r="NW130" s="742" t="e">
        <f t="shared" si="1805"/>
        <v>#DIV/0!</v>
      </c>
      <c r="NY130" s="913"/>
      <c r="NZ130" s="914"/>
      <c r="OA130" s="918"/>
      <c r="OB130" s="742" t="e">
        <f t="shared" si="2076"/>
        <v>#DIV/0!</v>
      </c>
      <c r="OC130" s="742" t="e">
        <f t="shared" si="1807"/>
        <v>#DIV/0!</v>
      </c>
      <c r="OE130" s="886"/>
      <c r="OF130" s="887"/>
      <c r="OG130" s="886"/>
      <c r="OH130" s="742" t="e">
        <f t="shared" si="2077"/>
        <v>#DIV/0!</v>
      </c>
      <c r="OI130" s="742" t="e">
        <f t="shared" si="1809"/>
        <v>#DIV/0!</v>
      </c>
    </row>
    <row r="131" spans="1:399">
      <c r="B131" s="715" t="s">
        <v>376</v>
      </c>
      <c r="C131" s="720" t="s">
        <v>378</v>
      </c>
      <c r="D131" s="723" t="s">
        <v>11</v>
      </c>
      <c r="E131" s="725" t="s">
        <v>11</v>
      </c>
      <c r="F131" s="45"/>
      <c r="G131" s="45"/>
      <c r="H131" s="48"/>
      <c r="I131" s="48"/>
      <c r="K131" s="45"/>
      <c r="L131" s="45"/>
      <c r="M131" s="45"/>
      <c r="N131" s="48"/>
      <c r="O131" s="48"/>
      <c r="Q131" s="45"/>
      <c r="R131" s="45"/>
      <c r="S131" s="45"/>
      <c r="T131" s="48"/>
      <c r="U131" s="48"/>
      <c r="W131" s="45"/>
      <c r="X131" s="45"/>
      <c r="Y131" s="45"/>
      <c r="Z131" s="48"/>
      <c r="AA131" s="48"/>
      <c r="AC131" s="45"/>
      <c r="AD131" s="45"/>
      <c r="AE131" s="45"/>
      <c r="AF131" s="48"/>
      <c r="AG131" s="48"/>
      <c r="AI131" s="45"/>
      <c r="AJ131" s="45"/>
      <c r="AK131" s="45"/>
      <c r="AL131" s="48"/>
      <c r="AM131" s="48"/>
      <c r="AO131" s="45"/>
      <c r="AP131" s="45"/>
      <c r="AQ131" s="45"/>
      <c r="AR131" s="48"/>
      <c r="AS131" s="48"/>
      <c r="AU131" s="45"/>
      <c r="AV131" s="45"/>
      <c r="AW131" s="45"/>
      <c r="AX131" s="48"/>
      <c r="AY131" s="48"/>
      <c r="AZ131" s="593"/>
      <c r="BA131" s="45"/>
      <c r="BB131" s="45"/>
      <c r="BC131" s="45"/>
      <c r="BD131" s="48"/>
      <c r="BE131" s="48"/>
      <c r="BF131" s="593"/>
      <c r="BG131" s="45"/>
      <c r="BH131" s="45"/>
      <c r="BI131" s="45"/>
      <c r="BJ131" s="48"/>
      <c r="BK131" s="48"/>
      <c r="BL131" s="593"/>
      <c r="BM131" s="45"/>
      <c r="BN131" s="45"/>
      <c r="BO131" s="45"/>
      <c r="BP131" s="48"/>
      <c r="BQ131" s="48"/>
      <c r="BS131" s="45"/>
      <c r="BT131" s="45"/>
      <c r="BU131" s="45"/>
      <c r="BV131" s="48"/>
      <c r="BW131" s="48"/>
      <c r="BX131" s="593"/>
      <c r="BY131" s="45"/>
      <c r="BZ131" s="45"/>
      <c r="CA131" s="45"/>
      <c r="CB131" s="48"/>
      <c r="CC131" s="48"/>
      <c r="CD131" s="593"/>
      <c r="CE131" s="45"/>
      <c r="CF131" s="45"/>
      <c r="CG131" s="45"/>
      <c r="CH131" s="48"/>
      <c r="CI131" s="48"/>
      <c r="CJ131" s="593"/>
      <c r="CK131" s="45"/>
      <c r="CL131" s="45"/>
      <c r="CM131" s="45"/>
      <c r="CN131" s="48"/>
      <c r="CO131" s="48"/>
      <c r="CP131" s="593"/>
      <c r="CQ131" s="45"/>
      <c r="CR131" s="45"/>
      <c r="CS131" s="45"/>
      <c r="CT131" s="48"/>
      <c r="CU131" s="48"/>
      <c r="CV131" s="593"/>
      <c r="CW131" s="45"/>
      <c r="CX131" s="45"/>
      <c r="CY131" s="45"/>
      <c r="CZ131" s="48"/>
      <c r="DA131" s="48"/>
      <c r="DB131" s="593"/>
      <c r="DC131" s="45"/>
      <c r="DD131" s="45"/>
      <c r="DE131" s="45"/>
      <c r="DF131" s="48"/>
      <c r="DG131" s="48"/>
      <c r="DH131" s="593"/>
      <c r="DI131" s="45"/>
      <c r="DJ131" s="45"/>
      <c r="DK131" s="45"/>
      <c r="DL131" s="48"/>
      <c r="DM131" s="48"/>
      <c r="DN131" s="593"/>
      <c r="DO131" s="45"/>
      <c r="DP131" s="45"/>
      <c r="DQ131" s="45"/>
      <c r="DR131" s="48"/>
      <c r="DS131" s="48"/>
      <c r="DT131" s="593"/>
      <c r="DU131" s="45"/>
      <c r="DV131" s="45"/>
      <c r="DW131" s="45"/>
      <c r="DX131" s="48"/>
      <c r="DY131" s="48"/>
      <c r="DZ131" s="593"/>
      <c r="EA131" s="45"/>
      <c r="EB131" s="45"/>
      <c r="EC131" s="45"/>
      <c r="ED131" s="48"/>
      <c r="EE131" s="48"/>
      <c r="EF131" s="593"/>
      <c r="EG131" s="45"/>
      <c r="EH131" s="45"/>
      <c r="EI131" s="45"/>
      <c r="EJ131" s="48"/>
      <c r="EK131" s="48"/>
      <c r="EL131" s="593"/>
      <c r="EM131" s="45"/>
      <c r="EN131" s="45"/>
      <c r="EO131" s="45"/>
      <c r="EP131" s="48"/>
      <c r="EQ131" s="48"/>
      <c r="ES131" s="45"/>
      <c r="ET131" s="45"/>
      <c r="EU131" s="45"/>
      <c r="EV131" s="48"/>
      <c r="EW131" s="48"/>
      <c r="EY131" s="45"/>
      <c r="EZ131" s="45"/>
      <c r="FA131" s="45"/>
      <c r="FB131" s="48"/>
      <c r="FC131" s="48"/>
      <c r="FE131" s="45"/>
      <c r="FF131" s="45"/>
      <c r="FG131" s="45"/>
      <c r="FH131" s="48"/>
      <c r="FI131" s="48"/>
      <c r="FK131" s="38"/>
      <c r="FL131" s="40"/>
      <c r="FM131" s="38"/>
      <c r="FN131" s="40"/>
      <c r="FO131" s="40"/>
      <c r="FP131" s="231"/>
      <c r="FQ131" s="45"/>
      <c r="FR131" s="45"/>
      <c r="FS131" s="45"/>
      <c r="FT131" s="48"/>
      <c r="FU131" s="48"/>
      <c r="FW131" s="45"/>
      <c r="FX131" s="45"/>
      <c r="FY131" s="45"/>
      <c r="FZ131" s="48"/>
      <c r="GA131" s="48"/>
      <c r="GC131" s="26"/>
      <c r="GD131" s="45"/>
      <c r="GE131" s="45"/>
      <c r="GF131" s="48"/>
      <c r="GG131" s="48"/>
      <c r="GI131" s="45"/>
      <c r="GJ131" s="45"/>
      <c r="GK131" s="45"/>
      <c r="GL131" s="48"/>
      <c r="GM131" s="48"/>
      <c r="GO131" s="45"/>
      <c r="GP131" s="27"/>
      <c r="GQ131" s="45"/>
      <c r="GR131" s="48"/>
      <c r="GS131" s="48"/>
      <c r="GU131" s="99"/>
      <c r="GV131" s="99"/>
      <c r="GW131" s="99"/>
      <c r="GX131" s="101"/>
      <c r="GY131" s="101"/>
      <c r="GZ131" s="43"/>
      <c r="HA131" s="28"/>
      <c r="HB131" s="28"/>
      <c r="HC131" s="27"/>
      <c r="HD131" s="40"/>
      <c r="HE131" s="40"/>
      <c r="HG131" s="45"/>
      <c r="HH131" s="45"/>
      <c r="HI131" s="45"/>
      <c r="HJ131" s="48"/>
      <c r="HK131" s="48"/>
      <c r="HM131" s="45"/>
      <c r="HN131" s="45"/>
      <c r="HO131" s="45"/>
      <c r="HP131" s="48"/>
      <c r="HQ131" s="48"/>
      <c r="HS131" s="45"/>
      <c r="HT131" s="45"/>
      <c r="HU131" s="45"/>
      <c r="HV131" s="48"/>
      <c r="HW131" s="48"/>
      <c r="HX131" s="231"/>
      <c r="HY131" s="38"/>
      <c r="HZ131" s="40"/>
      <c r="IA131" s="38"/>
      <c r="IB131" s="40"/>
      <c r="IC131" s="40"/>
      <c r="IE131" s="38"/>
      <c r="IF131" s="40"/>
      <c r="IG131" s="38"/>
      <c r="IH131" s="40"/>
      <c r="II131" s="40"/>
      <c r="IK131" s="38"/>
      <c r="IL131" s="40"/>
      <c r="IM131" s="38"/>
      <c r="IN131" s="40"/>
      <c r="IO131" s="40"/>
      <c r="IQ131" s="38"/>
      <c r="IR131" s="40"/>
      <c r="IS131" s="38"/>
      <c r="IT131" s="40"/>
      <c r="IU131" s="40"/>
      <c r="IW131" s="38"/>
      <c r="IX131" s="40"/>
      <c r="IY131" s="38"/>
      <c r="IZ131" s="40"/>
      <c r="JA131" s="40"/>
      <c r="JC131" s="38"/>
      <c r="JD131" s="40"/>
      <c r="JE131" s="38"/>
      <c r="JF131" s="40"/>
      <c r="JG131" s="40"/>
      <c r="JI131" s="38"/>
      <c r="JJ131" s="40"/>
      <c r="JK131" s="38"/>
      <c r="JL131" s="40"/>
      <c r="JM131" s="40"/>
      <c r="JO131" s="741"/>
      <c r="JP131" s="742"/>
      <c r="JQ131" s="741"/>
      <c r="JR131" s="742"/>
      <c r="JS131" s="742"/>
      <c r="JU131" s="741"/>
      <c r="JV131" s="742"/>
      <c r="JW131" s="741"/>
      <c r="JX131" s="742"/>
      <c r="JY131" s="742"/>
      <c r="KA131" s="741"/>
      <c r="KB131" s="742"/>
      <c r="KC131" s="741"/>
      <c r="KD131" s="742"/>
      <c r="KE131" s="742"/>
      <c r="KG131" s="741"/>
      <c r="KH131" s="742"/>
      <c r="KI131" s="741"/>
      <c r="KJ131" s="40" t="e">
        <f t="shared" si="2060"/>
        <v>#DIV/0!</v>
      </c>
      <c r="KK131" s="40" t="e">
        <f t="shared" si="1853"/>
        <v>#DIV/0!</v>
      </c>
      <c r="KM131" s="741"/>
      <c r="KN131" s="742"/>
      <c r="KO131" s="741"/>
      <c r="KP131" s="40" t="e">
        <f t="shared" si="2061"/>
        <v>#DIV/0!</v>
      </c>
      <c r="KQ131" s="40" t="e">
        <f t="shared" si="1777"/>
        <v>#DIV/0!</v>
      </c>
      <c r="KS131" s="741">
        <f>200+200+200+200+200</f>
        <v>1000</v>
      </c>
      <c r="KT131" s="742">
        <f>0.26+0.35+0.23+0.24+0.23</f>
        <v>1.31</v>
      </c>
      <c r="KU131" s="741">
        <v>5</v>
      </c>
      <c r="KV131" s="40">
        <f t="shared" si="2062"/>
        <v>763.35877862595419</v>
      </c>
      <c r="KW131" s="40">
        <f t="shared" si="1779"/>
        <v>0.26200000000000001</v>
      </c>
      <c r="KY131" s="741"/>
      <c r="KZ131" s="742"/>
      <c r="LA131" s="741"/>
      <c r="LB131" s="40" t="e">
        <f t="shared" si="2063"/>
        <v>#DIV/0!</v>
      </c>
      <c r="LC131" s="40" t="e">
        <f t="shared" si="1781"/>
        <v>#DIV/0!</v>
      </c>
      <c r="LE131" s="741"/>
      <c r="LF131" s="742"/>
      <c r="LG131" s="741"/>
      <c r="LH131" s="40" t="e">
        <f t="shared" si="2064"/>
        <v>#DIV/0!</v>
      </c>
      <c r="LI131" s="40" t="e">
        <f t="shared" si="1783"/>
        <v>#DIV/0!</v>
      </c>
      <c r="LK131" s="741"/>
      <c r="LL131" s="742"/>
      <c r="LM131" s="741"/>
      <c r="LN131" s="40" t="e">
        <f t="shared" si="2065"/>
        <v>#DIV/0!</v>
      </c>
      <c r="LO131" s="40" t="e">
        <f t="shared" si="1785"/>
        <v>#DIV/0!</v>
      </c>
      <c r="LQ131" s="741">
        <f>200+200+200+200+200</f>
        <v>1000</v>
      </c>
      <c r="LR131" s="742">
        <f>0.24+0.28+0.28+0.28+0.28</f>
        <v>1.36</v>
      </c>
      <c r="LS131" s="741">
        <v>5</v>
      </c>
      <c r="LT131" s="40">
        <f t="shared" si="2066"/>
        <v>735.29411764705878</v>
      </c>
      <c r="LU131" s="40">
        <f t="shared" si="1787"/>
        <v>0.27200000000000002</v>
      </c>
      <c r="LW131" s="741"/>
      <c r="LX131" s="742"/>
      <c r="LY131" s="741"/>
      <c r="LZ131" s="40" t="e">
        <f t="shared" si="2067"/>
        <v>#DIV/0!</v>
      </c>
      <c r="MA131" s="40" t="e">
        <f t="shared" si="1789"/>
        <v>#DIV/0!</v>
      </c>
      <c r="MC131" s="741"/>
      <c r="MD131" s="742"/>
      <c r="ME131" s="741"/>
      <c r="MF131" s="40" t="e">
        <f t="shared" si="2068"/>
        <v>#DIV/0!</v>
      </c>
      <c r="MG131" s="40" t="e">
        <f t="shared" si="1791"/>
        <v>#DIV/0!</v>
      </c>
      <c r="MI131" s="741">
        <f>200+200+200+200+200</f>
        <v>1000</v>
      </c>
      <c r="MJ131" s="742">
        <f>0.28+0.27+0.38+0.23+0.27</f>
        <v>1.4300000000000002</v>
      </c>
      <c r="MK131" s="741">
        <v>5</v>
      </c>
      <c r="ML131" s="40">
        <f t="shared" si="2069"/>
        <v>699.30069930069919</v>
      </c>
      <c r="MM131" s="40">
        <f t="shared" si="1793"/>
        <v>0.28600000000000003</v>
      </c>
      <c r="MO131" s="741"/>
      <c r="MP131" s="742"/>
      <c r="MQ131" s="741"/>
      <c r="MR131" s="40" t="e">
        <f t="shared" si="2070"/>
        <v>#DIV/0!</v>
      </c>
      <c r="MS131" s="40" t="e">
        <f t="shared" si="1795"/>
        <v>#DIV/0!</v>
      </c>
      <c r="MU131" s="741"/>
      <c r="MV131" s="742"/>
      <c r="MW131" s="741"/>
      <c r="MX131" s="40" t="e">
        <f t="shared" si="2071"/>
        <v>#DIV/0!</v>
      </c>
      <c r="MY131" s="40" t="e">
        <f t="shared" si="1797"/>
        <v>#DIV/0!</v>
      </c>
      <c r="NA131" s="825"/>
      <c r="NB131" s="827"/>
      <c r="NC131" s="825"/>
      <c r="ND131" s="40" t="e">
        <f t="shared" si="2072"/>
        <v>#DIV/0!</v>
      </c>
      <c r="NE131" s="40" t="e">
        <f t="shared" si="1799"/>
        <v>#DIV/0!</v>
      </c>
      <c r="NG131" s="825"/>
      <c r="NH131" s="827"/>
      <c r="NI131" s="825"/>
      <c r="NJ131" s="40" t="e">
        <f t="shared" si="2073"/>
        <v>#DIV/0!</v>
      </c>
      <c r="NK131" s="40" t="e">
        <f t="shared" si="1801"/>
        <v>#DIV/0!</v>
      </c>
      <c r="NM131" s="886"/>
      <c r="NN131" s="887"/>
      <c r="NO131" s="886"/>
      <c r="NP131" s="742" t="e">
        <f t="shared" si="2074"/>
        <v>#DIV/0!</v>
      </c>
      <c r="NQ131" s="742" t="e">
        <f t="shared" si="1803"/>
        <v>#DIV/0!</v>
      </c>
      <c r="NS131" s="886"/>
      <c r="NT131" s="887"/>
      <c r="NU131" s="886"/>
      <c r="NV131" s="742" t="e">
        <f t="shared" si="2075"/>
        <v>#DIV/0!</v>
      </c>
      <c r="NW131" s="742" t="e">
        <f t="shared" si="1805"/>
        <v>#DIV/0!</v>
      </c>
      <c r="NY131" s="913"/>
      <c r="NZ131" s="914"/>
      <c r="OA131" s="918"/>
      <c r="OB131" s="742" t="e">
        <f t="shared" si="2076"/>
        <v>#DIV/0!</v>
      </c>
      <c r="OC131" s="742" t="e">
        <f t="shared" si="1807"/>
        <v>#DIV/0!</v>
      </c>
      <c r="OE131" s="886"/>
      <c r="OF131" s="887"/>
      <c r="OG131" s="886"/>
      <c r="OH131" s="742" t="e">
        <f t="shared" si="2077"/>
        <v>#DIV/0!</v>
      </c>
      <c r="OI131" s="742" t="e">
        <f t="shared" si="1809"/>
        <v>#DIV/0!</v>
      </c>
    </row>
    <row r="132" spans="1:399">
      <c r="B132" s="715" t="s">
        <v>376</v>
      </c>
      <c r="C132" s="720" t="s">
        <v>379</v>
      </c>
      <c r="D132" s="723" t="s">
        <v>11</v>
      </c>
      <c r="E132" s="725" t="s">
        <v>11</v>
      </c>
      <c r="F132" s="45"/>
      <c r="G132" s="45"/>
      <c r="H132" s="48"/>
      <c r="I132" s="48"/>
      <c r="K132" s="45"/>
      <c r="L132" s="45"/>
      <c r="M132" s="45"/>
      <c r="N132" s="48"/>
      <c r="O132" s="48"/>
      <c r="Q132" s="45"/>
      <c r="R132" s="45"/>
      <c r="S132" s="45"/>
      <c r="T132" s="48"/>
      <c r="U132" s="48"/>
      <c r="W132" s="45"/>
      <c r="X132" s="45"/>
      <c r="Y132" s="45"/>
      <c r="Z132" s="48"/>
      <c r="AA132" s="48"/>
      <c r="AC132" s="45"/>
      <c r="AD132" s="45"/>
      <c r="AE132" s="45"/>
      <c r="AF132" s="48"/>
      <c r="AG132" s="48"/>
      <c r="AI132" s="45"/>
      <c r="AJ132" s="45"/>
      <c r="AK132" s="45"/>
      <c r="AL132" s="48"/>
      <c r="AM132" s="48"/>
      <c r="AO132" s="45"/>
      <c r="AP132" s="45"/>
      <c r="AQ132" s="45"/>
      <c r="AR132" s="48"/>
      <c r="AS132" s="48"/>
      <c r="AU132" s="45"/>
      <c r="AV132" s="45"/>
      <c r="AW132" s="45"/>
      <c r="AX132" s="48"/>
      <c r="AY132" s="48"/>
      <c r="AZ132" s="593"/>
      <c r="BA132" s="45"/>
      <c r="BB132" s="45"/>
      <c r="BC132" s="45"/>
      <c r="BD132" s="48"/>
      <c r="BE132" s="48"/>
      <c r="BF132" s="593"/>
      <c r="BG132" s="45"/>
      <c r="BH132" s="45"/>
      <c r="BI132" s="45"/>
      <c r="BJ132" s="48"/>
      <c r="BK132" s="48"/>
      <c r="BL132" s="593"/>
      <c r="BM132" s="45"/>
      <c r="BN132" s="45"/>
      <c r="BO132" s="45"/>
      <c r="BP132" s="48"/>
      <c r="BQ132" s="48"/>
      <c r="BS132" s="45"/>
      <c r="BT132" s="45"/>
      <c r="BU132" s="45"/>
      <c r="BV132" s="48"/>
      <c r="BW132" s="48"/>
      <c r="BX132" s="593"/>
      <c r="BY132" s="45"/>
      <c r="BZ132" s="45"/>
      <c r="CA132" s="45"/>
      <c r="CB132" s="48"/>
      <c r="CC132" s="48"/>
      <c r="CD132" s="593"/>
      <c r="CE132" s="45"/>
      <c r="CF132" s="45"/>
      <c r="CG132" s="45"/>
      <c r="CH132" s="48"/>
      <c r="CI132" s="48"/>
      <c r="CJ132" s="593"/>
      <c r="CK132" s="45"/>
      <c r="CL132" s="45"/>
      <c r="CM132" s="45"/>
      <c r="CN132" s="48"/>
      <c r="CO132" s="48"/>
      <c r="CP132" s="593"/>
      <c r="CQ132" s="45"/>
      <c r="CR132" s="45"/>
      <c r="CS132" s="45"/>
      <c r="CT132" s="48"/>
      <c r="CU132" s="48"/>
      <c r="CV132" s="593"/>
      <c r="CW132" s="45"/>
      <c r="CX132" s="45"/>
      <c r="CY132" s="45"/>
      <c r="CZ132" s="48"/>
      <c r="DA132" s="48"/>
      <c r="DB132" s="593"/>
      <c r="DC132" s="45"/>
      <c r="DD132" s="45"/>
      <c r="DE132" s="45"/>
      <c r="DF132" s="48"/>
      <c r="DG132" s="48"/>
      <c r="DH132" s="593"/>
      <c r="DI132" s="45"/>
      <c r="DJ132" s="45"/>
      <c r="DK132" s="45"/>
      <c r="DL132" s="48"/>
      <c r="DM132" s="48"/>
      <c r="DN132" s="593"/>
      <c r="DO132" s="45"/>
      <c r="DP132" s="45"/>
      <c r="DQ132" s="45"/>
      <c r="DR132" s="48"/>
      <c r="DS132" s="48"/>
      <c r="DT132" s="593"/>
      <c r="DU132" s="45"/>
      <c r="DV132" s="45"/>
      <c r="DW132" s="45"/>
      <c r="DX132" s="48"/>
      <c r="DY132" s="48"/>
      <c r="DZ132" s="593"/>
      <c r="EA132" s="45"/>
      <c r="EB132" s="45"/>
      <c r="EC132" s="45"/>
      <c r="ED132" s="48"/>
      <c r="EE132" s="48"/>
      <c r="EF132" s="593"/>
      <c r="EG132" s="45"/>
      <c r="EH132" s="45"/>
      <c r="EI132" s="45"/>
      <c r="EJ132" s="48"/>
      <c r="EK132" s="48"/>
      <c r="EL132" s="593"/>
      <c r="EM132" s="45"/>
      <c r="EN132" s="45"/>
      <c r="EO132" s="45"/>
      <c r="EP132" s="48"/>
      <c r="EQ132" s="48"/>
      <c r="ES132" s="45"/>
      <c r="ET132" s="45"/>
      <c r="EU132" s="45"/>
      <c r="EV132" s="48"/>
      <c r="EW132" s="48"/>
      <c r="EY132" s="45"/>
      <c r="EZ132" s="45"/>
      <c r="FA132" s="45"/>
      <c r="FB132" s="48"/>
      <c r="FC132" s="48"/>
      <c r="FE132" s="45"/>
      <c r="FF132" s="45"/>
      <c r="FG132" s="45"/>
      <c r="FH132" s="48"/>
      <c r="FI132" s="48"/>
      <c r="FK132" s="38"/>
      <c r="FL132" s="40"/>
      <c r="FM132" s="38"/>
      <c r="FN132" s="40"/>
      <c r="FO132" s="40"/>
      <c r="FP132" s="231"/>
      <c r="FQ132" s="45"/>
      <c r="FR132" s="45"/>
      <c r="FS132" s="45"/>
      <c r="FT132" s="48"/>
      <c r="FU132" s="48"/>
      <c r="FW132" s="45"/>
      <c r="FX132" s="45"/>
      <c r="FY132" s="45"/>
      <c r="FZ132" s="48"/>
      <c r="GA132" s="48"/>
      <c r="GC132" s="26"/>
      <c r="GD132" s="45"/>
      <c r="GE132" s="45"/>
      <c r="GF132" s="48"/>
      <c r="GG132" s="48"/>
      <c r="GI132" s="45"/>
      <c r="GJ132" s="45"/>
      <c r="GK132" s="45"/>
      <c r="GL132" s="48"/>
      <c r="GM132" s="48"/>
      <c r="GO132" s="45"/>
      <c r="GP132" s="27"/>
      <c r="GQ132" s="45"/>
      <c r="GR132" s="48"/>
      <c r="GS132" s="48"/>
      <c r="GU132" s="99"/>
      <c r="GV132" s="99"/>
      <c r="GW132" s="99"/>
      <c r="GX132" s="101"/>
      <c r="GY132" s="101"/>
      <c r="GZ132" s="43"/>
      <c r="HA132" s="28"/>
      <c r="HB132" s="28"/>
      <c r="HC132" s="27"/>
      <c r="HD132" s="40"/>
      <c r="HE132" s="40"/>
      <c r="HG132" s="45"/>
      <c r="HH132" s="45"/>
      <c r="HI132" s="45"/>
      <c r="HJ132" s="48"/>
      <c r="HK132" s="48"/>
      <c r="HM132" s="45"/>
      <c r="HN132" s="45"/>
      <c r="HO132" s="45"/>
      <c r="HP132" s="48"/>
      <c r="HQ132" s="48"/>
      <c r="HS132" s="45"/>
      <c r="HT132" s="45"/>
      <c r="HU132" s="45"/>
      <c r="HV132" s="48"/>
      <c r="HW132" s="48"/>
      <c r="HX132" s="231"/>
      <c r="HY132" s="38"/>
      <c r="HZ132" s="40"/>
      <c r="IA132" s="38"/>
      <c r="IB132" s="40"/>
      <c r="IC132" s="40"/>
      <c r="IE132" s="38"/>
      <c r="IF132" s="40"/>
      <c r="IG132" s="38"/>
      <c r="IH132" s="40"/>
      <c r="II132" s="40"/>
      <c r="IK132" s="38"/>
      <c r="IL132" s="40"/>
      <c r="IM132" s="38"/>
      <c r="IN132" s="40"/>
      <c r="IO132" s="40"/>
      <c r="IQ132" s="38"/>
      <c r="IR132" s="40"/>
      <c r="IS132" s="38"/>
      <c r="IT132" s="40"/>
      <c r="IU132" s="40"/>
      <c r="IW132" s="38"/>
      <c r="IX132" s="40"/>
      <c r="IY132" s="38"/>
      <c r="IZ132" s="40"/>
      <c r="JA132" s="40"/>
      <c r="JC132" s="38"/>
      <c r="JD132" s="40"/>
      <c r="JE132" s="38"/>
      <c r="JF132" s="40"/>
      <c r="JG132" s="40"/>
      <c r="JI132" s="38"/>
      <c r="JJ132" s="40"/>
      <c r="JK132" s="38"/>
      <c r="JL132" s="40"/>
      <c r="JM132" s="40"/>
      <c r="JO132" s="741">
        <f>150+150+150+150+150</f>
        <v>750</v>
      </c>
      <c r="JP132" s="742">
        <f>0.67+0.66+0.59+0.7+0.71</f>
        <v>3.33</v>
      </c>
      <c r="JQ132" s="741">
        <v>5</v>
      </c>
      <c r="JR132" s="742">
        <f t="shared" si="2266"/>
        <v>225.22522522522522</v>
      </c>
      <c r="JS132" s="742">
        <f t="shared" si="2267"/>
        <v>0.66600000000000004</v>
      </c>
      <c r="JU132" s="741">
        <f>200+200+200+200+200</f>
        <v>1000</v>
      </c>
      <c r="JV132" s="742">
        <f>0.81+0.73+0.74+0.81+0.8</f>
        <v>3.8900000000000006</v>
      </c>
      <c r="JW132" s="741">
        <v>5</v>
      </c>
      <c r="JX132" s="742">
        <f t="shared" si="2268"/>
        <v>257.06940874035985</v>
      </c>
      <c r="JY132" s="742">
        <f t="shared" si="2269"/>
        <v>0.77800000000000014</v>
      </c>
      <c r="KA132" s="741">
        <f>200+200+200+200</f>
        <v>800</v>
      </c>
      <c r="KB132" s="742">
        <f>1.43+1.01+1.2+1.5</f>
        <v>5.14</v>
      </c>
      <c r="KC132" s="741">
        <v>4</v>
      </c>
      <c r="KD132" s="742">
        <f t="shared" ref="KD132:KD133" si="2272">KA132/KB132</f>
        <v>155.64202334630352</v>
      </c>
      <c r="KE132" s="742">
        <f t="shared" ref="KE132:KE133" si="2273">KB132/KC132</f>
        <v>1.2849999999999999</v>
      </c>
      <c r="KG132" s="741">
        <f>200+200+200+200+200</f>
        <v>1000</v>
      </c>
      <c r="KH132" s="742">
        <f>1.06+1.03+1.08+1+1.13</f>
        <v>5.3</v>
      </c>
      <c r="KI132" s="741">
        <v>5</v>
      </c>
      <c r="KJ132" s="40">
        <f t="shared" si="2060"/>
        <v>188.67924528301887</v>
      </c>
      <c r="KK132" s="40">
        <f t="shared" si="1853"/>
        <v>1.06</v>
      </c>
      <c r="KM132" s="741"/>
      <c r="KN132" s="742"/>
      <c r="KO132" s="741"/>
      <c r="KP132" s="40" t="e">
        <f t="shared" si="2061"/>
        <v>#DIV/0!</v>
      </c>
      <c r="KQ132" s="40" t="e">
        <f t="shared" si="1777"/>
        <v>#DIV/0!</v>
      </c>
      <c r="KS132" s="741">
        <f>200+200+200+200+200</f>
        <v>1000</v>
      </c>
      <c r="KT132" s="742">
        <f>0.55+0.6+0.57+0.58+0.56</f>
        <v>2.86</v>
      </c>
      <c r="KU132" s="741">
        <v>5</v>
      </c>
      <c r="KV132" s="40">
        <f t="shared" si="2062"/>
        <v>349.65034965034965</v>
      </c>
      <c r="KW132" s="40">
        <f t="shared" si="1779"/>
        <v>0.57199999999999995</v>
      </c>
      <c r="KY132" s="741"/>
      <c r="KZ132" s="742"/>
      <c r="LA132" s="741"/>
      <c r="LB132" s="40" t="e">
        <f t="shared" si="2063"/>
        <v>#DIV/0!</v>
      </c>
      <c r="LC132" s="40" t="e">
        <f t="shared" si="1781"/>
        <v>#DIV/0!</v>
      </c>
      <c r="LE132" s="741">
        <f>100+100+100+100+100</f>
        <v>500</v>
      </c>
      <c r="LF132" s="742">
        <f>0.56+0.77+0.56+0.61+0.74</f>
        <v>3.24</v>
      </c>
      <c r="LG132" s="741">
        <v>5</v>
      </c>
      <c r="LH132" s="40">
        <f t="shared" si="2064"/>
        <v>154.32098765432099</v>
      </c>
      <c r="LI132" s="40">
        <f t="shared" si="1783"/>
        <v>0.64800000000000002</v>
      </c>
      <c r="LK132" s="741"/>
      <c r="LL132" s="742"/>
      <c r="LM132" s="741"/>
      <c r="LN132" s="40" t="e">
        <f t="shared" si="2065"/>
        <v>#DIV/0!</v>
      </c>
      <c r="LO132" s="40" t="e">
        <f t="shared" si="1785"/>
        <v>#DIV/0!</v>
      </c>
      <c r="LQ132" s="741"/>
      <c r="LR132" s="742"/>
      <c r="LS132" s="741"/>
      <c r="LT132" s="40" t="e">
        <f t="shared" si="2066"/>
        <v>#DIV/0!</v>
      </c>
      <c r="LU132" s="40" t="e">
        <f t="shared" si="1787"/>
        <v>#DIV/0!</v>
      </c>
      <c r="LW132" s="741">
        <f>200+200+200+200</f>
        <v>800</v>
      </c>
      <c r="LX132" s="742">
        <f>0.57+0.36+0.49+0.58</f>
        <v>2</v>
      </c>
      <c r="LY132" s="741">
        <v>4</v>
      </c>
      <c r="LZ132" s="40">
        <f t="shared" si="2067"/>
        <v>400</v>
      </c>
      <c r="MA132" s="40">
        <f t="shared" si="1789"/>
        <v>0.5</v>
      </c>
      <c r="MC132" s="741"/>
      <c r="MD132" s="742"/>
      <c r="ME132" s="741"/>
      <c r="MF132" s="40" t="e">
        <f t="shared" si="2068"/>
        <v>#DIV/0!</v>
      </c>
      <c r="MG132" s="40" t="e">
        <f t="shared" si="1791"/>
        <v>#DIV/0!</v>
      </c>
      <c r="MI132" s="741">
        <f>200+200+200+200</f>
        <v>800</v>
      </c>
      <c r="MJ132" s="742">
        <f>0.3+0.25+0.26+0.22</f>
        <v>1.03</v>
      </c>
      <c r="MK132" s="741">
        <v>4</v>
      </c>
      <c r="ML132" s="40">
        <f t="shared" si="2069"/>
        <v>776.69902912621353</v>
      </c>
      <c r="MM132" s="40">
        <f t="shared" si="1793"/>
        <v>0.25750000000000001</v>
      </c>
      <c r="MO132" s="741"/>
      <c r="MP132" s="742"/>
      <c r="MQ132" s="741"/>
      <c r="MR132" s="40" t="e">
        <f t="shared" si="2070"/>
        <v>#DIV/0!</v>
      </c>
      <c r="MS132" s="40" t="e">
        <f t="shared" si="1795"/>
        <v>#DIV/0!</v>
      </c>
      <c r="MU132" s="741"/>
      <c r="MV132" s="742"/>
      <c r="MW132" s="741"/>
      <c r="MX132" s="40" t="e">
        <f t="shared" si="2071"/>
        <v>#DIV/0!</v>
      </c>
      <c r="MY132" s="40" t="e">
        <f t="shared" si="1797"/>
        <v>#DIV/0!</v>
      </c>
      <c r="NA132" s="825">
        <f>200+200+200+200+200</f>
        <v>1000</v>
      </c>
      <c r="NB132" s="827">
        <f>0.72+0.78+0.75+0.72+0.6</f>
        <v>3.57</v>
      </c>
      <c r="NC132" s="825">
        <v>5</v>
      </c>
      <c r="ND132" s="40">
        <f t="shared" si="2072"/>
        <v>280.1120448179272</v>
      </c>
      <c r="NE132" s="40">
        <f t="shared" si="1799"/>
        <v>0.71399999999999997</v>
      </c>
      <c r="NG132" s="825">
        <f>200+200+200+200+200</f>
        <v>1000</v>
      </c>
      <c r="NH132" s="827">
        <f>0.57+0.15+0.43+0.45+0.52</f>
        <v>2.12</v>
      </c>
      <c r="NI132" s="825">
        <v>5</v>
      </c>
      <c r="NJ132" s="40">
        <f t="shared" si="2073"/>
        <v>471.69811320754712</v>
      </c>
      <c r="NK132" s="40">
        <f t="shared" si="1801"/>
        <v>0.42400000000000004</v>
      </c>
      <c r="NM132" s="886">
        <f>200+200+200+200+200</f>
        <v>1000</v>
      </c>
      <c r="NN132" s="887">
        <f>0.63+0.6+0.68+0.67+0.7</f>
        <v>3.2800000000000002</v>
      </c>
      <c r="NO132" s="886">
        <v>5</v>
      </c>
      <c r="NP132" s="742">
        <f t="shared" si="2074"/>
        <v>304.8780487804878</v>
      </c>
      <c r="NQ132" s="742">
        <f t="shared" si="1803"/>
        <v>0.65600000000000003</v>
      </c>
      <c r="NS132" s="886">
        <f>100+200+200+200+200</f>
        <v>900</v>
      </c>
      <c r="NT132" s="887">
        <f>0.25+0.64+0.65+0.61+0.6</f>
        <v>2.75</v>
      </c>
      <c r="NU132" s="886">
        <v>5</v>
      </c>
      <c r="NV132" s="742">
        <f t="shared" si="2075"/>
        <v>327.27272727272725</v>
      </c>
      <c r="NW132" s="742">
        <f t="shared" si="1805"/>
        <v>0.55000000000000004</v>
      </c>
      <c r="NY132" s="913">
        <f>200+200+200+200+200</f>
        <v>1000</v>
      </c>
      <c r="NZ132" s="914">
        <f>0.48+0.5+0.46+0.48+0.47</f>
        <v>2.3899999999999997</v>
      </c>
      <c r="OA132" s="918">
        <v>5</v>
      </c>
      <c r="OB132" s="742">
        <f t="shared" si="2076"/>
        <v>418.41004184100422</v>
      </c>
      <c r="OC132" s="742">
        <f t="shared" si="1807"/>
        <v>0.47799999999999992</v>
      </c>
      <c r="OE132" s="886">
        <f>300+300+0+300+300+300</f>
        <v>1500</v>
      </c>
      <c r="OF132" s="887">
        <f>0.45+0.39+0.42+0.4+0.42</f>
        <v>2.08</v>
      </c>
      <c r="OG132" s="886">
        <v>5</v>
      </c>
      <c r="OH132" s="742">
        <f t="shared" si="2077"/>
        <v>721.15384615384608</v>
      </c>
      <c r="OI132" s="742">
        <f t="shared" si="1809"/>
        <v>0.41600000000000004</v>
      </c>
    </row>
    <row r="133" spans="1:399">
      <c r="B133" s="715" t="s">
        <v>376</v>
      </c>
      <c r="C133" s="720" t="s">
        <v>380</v>
      </c>
      <c r="D133" s="723" t="s">
        <v>11</v>
      </c>
      <c r="E133" s="725" t="s">
        <v>11</v>
      </c>
      <c r="F133" s="45"/>
      <c r="G133" s="45"/>
      <c r="H133" s="48"/>
      <c r="I133" s="48"/>
      <c r="K133" s="45"/>
      <c r="L133" s="45"/>
      <c r="M133" s="45"/>
      <c r="N133" s="48"/>
      <c r="O133" s="48"/>
      <c r="Q133" s="45"/>
      <c r="R133" s="45"/>
      <c r="S133" s="45"/>
      <c r="T133" s="48"/>
      <c r="U133" s="48"/>
      <c r="W133" s="45"/>
      <c r="X133" s="45"/>
      <c r="Y133" s="45"/>
      <c r="Z133" s="48"/>
      <c r="AA133" s="48"/>
      <c r="AC133" s="45"/>
      <c r="AD133" s="45"/>
      <c r="AE133" s="45"/>
      <c r="AF133" s="48"/>
      <c r="AG133" s="48"/>
      <c r="AI133" s="45"/>
      <c r="AJ133" s="45"/>
      <c r="AK133" s="45"/>
      <c r="AL133" s="48"/>
      <c r="AM133" s="48"/>
      <c r="AO133" s="45"/>
      <c r="AP133" s="45"/>
      <c r="AQ133" s="45"/>
      <c r="AR133" s="48"/>
      <c r="AS133" s="48"/>
      <c r="AU133" s="45"/>
      <c r="AV133" s="45"/>
      <c r="AW133" s="45"/>
      <c r="AX133" s="48"/>
      <c r="AY133" s="48"/>
      <c r="AZ133" s="593"/>
      <c r="BA133" s="45"/>
      <c r="BB133" s="45"/>
      <c r="BC133" s="45"/>
      <c r="BD133" s="48"/>
      <c r="BE133" s="48"/>
      <c r="BF133" s="593"/>
      <c r="BG133" s="45"/>
      <c r="BH133" s="45"/>
      <c r="BI133" s="45"/>
      <c r="BJ133" s="48"/>
      <c r="BK133" s="48"/>
      <c r="BL133" s="593"/>
      <c r="BM133" s="45"/>
      <c r="BN133" s="45"/>
      <c r="BO133" s="45"/>
      <c r="BP133" s="48"/>
      <c r="BQ133" s="48"/>
      <c r="BS133" s="45"/>
      <c r="BT133" s="45"/>
      <c r="BU133" s="45"/>
      <c r="BV133" s="48"/>
      <c r="BW133" s="48"/>
      <c r="BX133" s="593"/>
      <c r="BY133" s="45"/>
      <c r="BZ133" s="45"/>
      <c r="CA133" s="45"/>
      <c r="CB133" s="48"/>
      <c r="CC133" s="48"/>
      <c r="CD133" s="593"/>
      <c r="CE133" s="45"/>
      <c r="CF133" s="45"/>
      <c r="CG133" s="45"/>
      <c r="CH133" s="48"/>
      <c r="CI133" s="48"/>
      <c r="CJ133" s="593"/>
      <c r="CK133" s="45"/>
      <c r="CL133" s="45"/>
      <c r="CM133" s="45"/>
      <c r="CN133" s="48"/>
      <c r="CO133" s="48"/>
      <c r="CP133" s="593"/>
      <c r="CQ133" s="45"/>
      <c r="CR133" s="45"/>
      <c r="CS133" s="45"/>
      <c r="CT133" s="48"/>
      <c r="CU133" s="48"/>
      <c r="CV133" s="593"/>
      <c r="CW133" s="45"/>
      <c r="CX133" s="45"/>
      <c r="CY133" s="45"/>
      <c r="CZ133" s="48"/>
      <c r="DA133" s="48"/>
      <c r="DB133" s="593"/>
      <c r="DC133" s="45"/>
      <c r="DD133" s="45"/>
      <c r="DE133" s="45"/>
      <c r="DF133" s="48"/>
      <c r="DG133" s="48"/>
      <c r="DH133" s="593"/>
      <c r="DI133" s="45"/>
      <c r="DJ133" s="45"/>
      <c r="DK133" s="45"/>
      <c r="DL133" s="48"/>
      <c r="DM133" s="48"/>
      <c r="DN133" s="593"/>
      <c r="DO133" s="45"/>
      <c r="DP133" s="45"/>
      <c r="DQ133" s="45"/>
      <c r="DR133" s="48"/>
      <c r="DS133" s="48"/>
      <c r="DT133" s="593"/>
      <c r="DU133" s="45"/>
      <c r="DV133" s="45"/>
      <c r="DW133" s="45"/>
      <c r="DX133" s="48"/>
      <c r="DY133" s="48"/>
      <c r="DZ133" s="593"/>
      <c r="EA133" s="45"/>
      <c r="EB133" s="45"/>
      <c r="EC133" s="45"/>
      <c r="ED133" s="48"/>
      <c r="EE133" s="48"/>
      <c r="EF133" s="593"/>
      <c r="EG133" s="45"/>
      <c r="EH133" s="45"/>
      <c r="EI133" s="45"/>
      <c r="EJ133" s="48"/>
      <c r="EK133" s="48"/>
      <c r="EL133" s="593"/>
      <c r="EM133" s="45"/>
      <c r="EN133" s="45"/>
      <c r="EO133" s="45"/>
      <c r="EP133" s="48"/>
      <c r="EQ133" s="48"/>
      <c r="ES133" s="45"/>
      <c r="ET133" s="45"/>
      <c r="EU133" s="45"/>
      <c r="EV133" s="48"/>
      <c r="EW133" s="48"/>
      <c r="EY133" s="45"/>
      <c r="EZ133" s="45"/>
      <c r="FA133" s="45"/>
      <c r="FB133" s="48"/>
      <c r="FC133" s="48"/>
      <c r="FE133" s="45"/>
      <c r="FF133" s="45"/>
      <c r="FG133" s="45"/>
      <c r="FH133" s="48"/>
      <c r="FI133" s="48"/>
      <c r="FK133" s="38"/>
      <c r="FL133" s="40"/>
      <c r="FM133" s="38"/>
      <c r="FN133" s="40"/>
      <c r="FO133" s="40"/>
      <c r="FP133" s="231"/>
      <c r="FQ133" s="45"/>
      <c r="FR133" s="45"/>
      <c r="FS133" s="45"/>
      <c r="FT133" s="48"/>
      <c r="FU133" s="48"/>
      <c r="FW133" s="45"/>
      <c r="FX133" s="45"/>
      <c r="FY133" s="45"/>
      <c r="FZ133" s="48"/>
      <c r="GA133" s="48"/>
      <c r="GC133" s="26"/>
      <c r="GD133" s="45"/>
      <c r="GE133" s="45"/>
      <c r="GF133" s="48"/>
      <c r="GG133" s="48"/>
      <c r="GI133" s="45"/>
      <c r="GJ133" s="45"/>
      <c r="GK133" s="45"/>
      <c r="GL133" s="48"/>
      <c r="GM133" s="48"/>
      <c r="GO133" s="45"/>
      <c r="GP133" s="27"/>
      <c r="GQ133" s="45"/>
      <c r="GR133" s="48"/>
      <c r="GS133" s="48"/>
      <c r="GU133" s="99"/>
      <c r="GV133" s="99"/>
      <c r="GW133" s="99"/>
      <c r="GX133" s="101"/>
      <c r="GY133" s="101"/>
      <c r="GZ133" s="43"/>
      <c r="HA133" s="28"/>
      <c r="HB133" s="28"/>
      <c r="HC133" s="27"/>
      <c r="HD133" s="40"/>
      <c r="HE133" s="40"/>
      <c r="HG133" s="45"/>
      <c r="HH133" s="45"/>
      <c r="HI133" s="45"/>
      <c r="HJ133" s="48"/>
      <c r="HK133" s="48"/>
      <c r="HM133" s="45"/>
      <c r="HN133" s="45"/>
      <c r="HO133" s="45"/>
      <c r="HP133" s="48"/>
      <c r="HQ133" s="48"/>
      <c r="HS133" s="45"/>
      <c r="HT133" s="45"/>
      <c r="HU133" s="45"/>
      <c r="HV133" s="48"/>
      <c r="HW133" s="48"/>
      <c r="HX133" s="231"/>
      <c r="HY133" s="38"/>
      <c r="HZ133" s="40"/>
      <c r="IA133" s="38"/>
      <c r="IB133" s="40"/>
      <c r="IC133" s="40"/>
      <c r="IE133" s="38"/>
      <c r="IF133" s="40"/>
      <c r="IG133" s="38"/>
      <c r="IH133" s="40"/>
      <c r="II133" s="40"/>
      <c r="IK133" s="38"/>
      <c r="IL133" s="40"/>
      <c r="IM133" s="38"/>
      <c r="IN133" s="40"/>
      <c r="IO133" s="40"/>
      <c r="IQ133" s="38"/>
      <c r="IR133" s="40"/>
      <c r="IS133" s="38"/>
      <c r="IT133" s="40"/>
      <c r="IU133" s="40"/>
      <c r="IW133" s="38"/>
      <c r="IX133" s="40"/>
      <c r="IY133" s="38"/>
      <c r="IZ133" s="40"/>
      <c r="JA133" s="40"/>
      <c r="JC133" s="38"/>
      <c r="JD133" s="40"/>
      <c r="JE133" s="38"/>
      <c r="JF133" s="40"/>
      <c r="JG133" s="40"/>
      <c r="JI133" s="38"/>
      <c r="JJ133" s="40"/>
      <c r="JK133" s="38"/>
      <c r="JL133" s="40"/>
      <c r="JM133" s="40"/>
      <c r="JO133" s="741">
        <f>200*5</f>
        <v>1000</v>
      </c>
      <c r="JP133" s="742">
        <f>3.25</f>
        <v>3.25</v>
      </c>
      <c r="JQ133" s="741">
        <v>5</v>
      </c>
      <c r="JR133" s="742">
        <f t="shared" si="2266"/>
        <v>307.69230769230768</v>
      </c>
      <c r="JS133" s="742">
        <f t="shared" si="2267"/>
        <v>0.65</v>
      </c>
      <c r="JU133" s="741">
        <f>200+200+200+200+200</f>
        <v>1000</v>
      </c>
      <c r="JV133" s="742">
        <f>0.59+0.58+0.59+0.57+0.55</f>
        <v>2.88</v>
      </c>
      <c r="JW133" s="741">
        <v>5</v>
      </c>
      <c r="JX133" s="742">
        <f t="shared" si="2268"/>
        <v>347.22222222222223</v>
      </c>
      <c r="JY133" s="742">
        <f t="shared" si="2269"/>
        <v>0.57599999999999996</v>
      </c>
      <c r="KA133" s="741">
        <f>200+200+200+200+200</f>
        <v>1000</v>
      </c>
      <c r="KB133" s="742">
        <f>0.43+0.66+0.6+0.4+0.3</f>
        <v>2.3899999999999997</v>
      </c>
      <c r="KC133" s="741">
        <v>5</v>
      </c>
      <c r="KD133" s="742">
        <f t="shared" si="2272"/>
        <v>418.41004184100422</v>
      </c>
      <c r="KE133" s="742">
        <f t="shared" si="2273"/>
        <v>0.47799999999999992</v>
      </c>
      <c r="KG133" s="741">
        <f>200+200+200+200+200</f>
        <v>1000</v>
      </c>
      <c r="KH133" s="742">
        <f>0.48+0.54+1.39+1+1.02</f>
        <v>4.43</v>
      </c>
      <c r="KI133" s="741">
        <v>5</v>
      </c>
      <c r="KJ133" s="40">
        <f t="shared" si="2060"/>
        <v>225.73363431151242</v>
      </c>
      <c r="KK133" s="40">
        <f t="shared" si="1853"/>
        <v>0.8859999999999999</v>
      </c>
      <c r="KM133" s="741"/>
      <c r="KN133" s="742"/>
      <c r="KO133" s="741"/>
      <c r="KP133" s="40" t="e">
        <f t="shared" si="2061"/>
        <v>#DIV/0!</v>
      </c>
      <c r="KQ133" s="40" t="e">
        <f t="shared" si="1777"/>
        <v>#DIV/0!</v>
      </c>
      <c r="KS133" s="741">
        <f>200+200+200+200+200</f>
        <v>1000</v>
      </c>
      <c r="KT133" s="742">
        <f>0.47+0.51+0.5+0.45+0.43</f>
        <v>2.36</v>
      </c>
      <c r="KU133" s="741">
        <v>5</v>
      </c>
      <c r="KV133" s="40">
        <f t="shared" si="2062"/>
        <v>423.72881355932208</v>
      </c>
      <c r="KW133" s="40">
        <f t="shared" si="1779"/>
        <v>0.47199999999999998</v>
      </c>
      <c r="KY133" s="741"/>
      <c r="KZ133" s="742"/>
      <c r="LA133" s="741"/>
      <c r="LB133" s="40" t="e">
        <f t="shared" si="2063"/>
        <v>#DIV/0!</v>
      </c>
      <c r="LC133" s="40" t="e">
        <f t="shared" si="1781"/>
        <v>#DIV/0!</v>
      </c>
      <c r="LE133" s="741">
        <f>250+250+250+200+200</f>
        <v>1150</v>
      </c>
      <c r="LF133" s="742">
        <f>0.58+0.51+0.56+0.71+0.47</f>
        <v>2.83</v>
      </c>
      <c r="LG133" s="741">
        <v>5</v>
      </c>
      <c r="LH133" s="40">
        <f t="shared" si="2064"/>
        <v>406.36042402826854</v>
      </c>
      <c r="LI133" s="40">
        <f t="shared" si="1783"/>
        <v>0.56600000000000006</v>
      </c>
      <c r="LK133" s="741"/>
      <c r="LL133" s="742"/>
      <c r="LM133" s="741"/>
      <c r="LN133" s="40" t="e">
        <f t="shared" si="2065"/>
        <v>#DIV/0!</v>
      </c>
      <c r="LO133" s="40" t="e">
        <f t="shared" si="1785"/>
        <v>#DIV/0!</v>
      </c>
      <c r="LQ133" s="741">
        <f>50+50+100+100+100</f>
        <v>400</v>
      </c>
      <c r="LR133" s="742">
        <f>0.33+0.27+0.34+0.34+0.37</f>
        <v>1.6500000000000004</v>
      </c>
      <c r="LS133" s="741">
        <v>5</v>
      </c>
      <c r="LT133" s="40">
        <f t="shared" si="2066"/>
        <v>242.42424242424238</v>
      </c>
      <c r="LU133" s="40">
        <f t="shared" si="1787"/>
        <v>0.33000000000000007</v>
      </c>
      <c r="LW133" s="741">
        <f>200+200+200+200+200</f>
        <v>1000</v>
      </c>
      <c r="LX133" s="742">
        <f>0.47+0.48+0.45+0.42+0.38</f>
        <v>2.1999999999999997</v>
      </c>
      <c r="LY133" s="741">
        <v>5</v>
      </c>
      <c r="LZ133" s="40">
        <f t="shared" si="2067"/>
        <v>454.54545454545462</v>
      </c>
      <c r="MA133" s="40">
        <f t="shared" si="1789"/>
        <v>0.43999999999999995</v>
      </c>
      <c r="MC133" s="741"/>
      <c r="MD133" s="742"/>
      <c r="ME133" s="741"/>
      <c r="MF133" s="40" t="e">
        <f t="shared" si="2068"/>
        <v>#DIV/0!</v>
      </c>
      <c r="MG133" s="40" t="e">
        <f t="shared" si="1791"/>
        <v>#DIV/0!</v>
      </c>
      <c r="MI133" s="741">
        <f>200+200+100+100+200</f>
        <v>800</v>
      </c>
      <c r="MJ133" s="742">
        <f>0.2+0.2+0.2+0.2+0.2</f>
        <v>1</v>
      </c>
      <c r="MK133" s="741">
        <v>5</v>
      </c>
      <c r="ML133" s="40">
        <f t="shared" si="2069"/>
        <v>800</v>
      </c>
      <c r="MM133" s="40">
        <f t="shared" si="1793"/>
        <v>0.2</v>
      </c>
      <c r="MO133" s="741"/>
      <c r="MP133" s="742"/>
      <c r="MQ133" s="741"/>
      <c r="MR133" s="40" t="e">
        <f t="shared" si="2070"/>
        <v>#DIV/0!</v>
      </c>
      <c r="MS133" s="40" t="e">
        <f t="shared" si="1795"/>
        <v>#DIV/0!</v>
      </c>
      <c r="MU133" s="741"/>
      <c r="MV133" s="742"/>
      <c r="MW133" s="741"/>
      <c r="MX133" s="40" t="e">
        <f t="shared" si="2071"/>
        <v>#DIV/0!</v>
      </c>
      <c r="MY133" s="40" t="e">
        <f t="shared" si="1797"/>
        <v>#DIV/0!</v>
      </c>
      <c r="NA133" s="825">
        <f>200+200</f>
        <v>400</v>
      </c>
      <c r="NB133" s="827">
        <f>0.94+0.92</f>
        <v>1.8599999999999999</v>
      </c>
      <c r="NC133" s="825">
        <v>2</v>
      </c>
      <c r="ND133" s="40">
        <f t="shared" si="2072"/>
        <v>215.05376344086022</v>
      </c>
      <c r="NE133" s="40">
        <f t="shared" si="1799"/>
        <v>0.92999999999999994</v>
      </c>
      <c r="NG133" s="825">
        <f>200+200+200+200+200</f>
        <v>1000</v>
      </c>
      <c r="NH133" s="827">
        <f>0.32+0.3+0.35+0.31+0.3</f>
        <v>1.58</v>
      </c>
      <c r="NI133" s="825">
        <v>5</v>
      </c>
      <c r="NJ133" s="40">
        <f t="shared" si="2073"/>
        <v>632.91139240506322</v>
      </c>
      <c r="NK133" s="40">
        <f t="shared" si="1801"/>
        <v>0.316</v>
      </c>
      <c r="NM133" s="886">
        <f>200+200+200+200+200</f>
        <v>1000</v>
      </c>
      <c r="NN133" s="887">
        <f>0.36+0.42+0.48+0.47+0.6</f>
        <v>2.33</v>
      </c>
      <c r="NO133" s="886">
        <v>5</v>
      </c>
      <c r="NP133" s="742">
        <f t="shared" si="2074"/>
        <v>429.18454935622316</v>
      </c>
      <c r="NQ133" s="742">
        <f t="shared" si="1803"/>
        <v>0.46600000000000003</v>
      </c>
      <c r="NS133" s="886">
        <f>150+150+150+150+150</f>
        <v>750</v>
      </c>
      <c r="NT133" s="887">
        <f>0.56+0.61+0.62+0.54+0.51</f>
        <v>2.84</v>
      </c>
      <c r="NU133" s="886">
        <v>5</v>
      </c>
      <c r="NV133" s="742">
        <f t="shared" si="2075"/>
        <v>264.08450704225356</v>
      </c>
      <c r="NW133" s="742">
        <f t="shared" si="1805"/>
        <v>0.56799999999999995</v>
      </c>
      <c r="NY133" s="913">
        <f>250+250+200+200+200</f>
        <v>1100</v>
      </c>
      <c r="NZ133" s="914">
        <f>0.65+0.55+0.89+0.86+0.87</f>
        <v>3.8200000000000003</v>
      </c>
      <c r="OA133" s="918">
        <v>5</v>
      </c>
      <c r="OB133" s="742">
        <f t="shared" si="2076"/>
        <v>287.95811518324604</v>
      </c>
      <c r="OC133" s="742">
        <f t="shared" si="1807"/>
        <v>0.76400000000000001</v>
      </c>
      <c r="OE133" s="886">
        <f>200+200+200+200+200</f>
        <v>1000</v>
      </c>
      <c r="OF133" s="887">
        <f>0.59+0.6+0.38+0.45+0.42</f>
        <v>2.44</v>
      </c>
      <c r="OG133" s="886">
        <v>5</v>
      </c>
      <c r="OH133" s="742">
        <f t="shared" si="2077"/>
        <v>409.8360655737705</v>
      </c>
      <c r="OI133" s="742">
        <f t="shared" si="1809"/>
        <v>0.48799999999999999</v>
      </c>
    </row>
    <row r="134" spans="1:399">
      <c r="B134" s="715" t="s">
        <v>376</v>
      </c>
      <c r="C134" s="720" t="s">
        <v>381</v>
      </c>
      <c r="D134" s="723" t="s">
        <v>11</v>
      </c>
      <c r="E134" s="725" t="s">
        <v>384</v>
      </c>
      <c r="F134" s="45"/>
      <c r="G134" s="45"/>
      <c r="H134" s="48"/>
      <c r="I134" s="48"/>
      <c r="K134" s="45"/>
      <c r="L134" s="45"/>
      <c r="M134" s="45"/>
      <c r="N134" s="48"/>
      <c r="O134" s="48"/>
      <c r="Q134" s="45"/>
      <c r="R134" s="45"/>
      <c r="S134" s="45"/>
      <c r="T134" s="48"/>
      <c r="U134" s="48"/>
      <c r="W134" s="45"/>
      <c r="X134" s="45"/>
      <c r="Y134" s="45"/>
      <c r="Z134" s="48"/>
      <c r="AA134" s="48"/>
      <c r="AC134" s="45"/>
      <c r="AD134" s="45"/>
      <c r="AE134" s="45"/>
      <c r="AF134" s="48"/>
      <c r="AG134" s="48"/>
      <c r="AI134" s="45"/>
      <c r="AJ134" s="45"/>
      <c r="AK134" s="45"/>
      <c r="AL134" s="48"/>
      <c r="AM134" s="48"/>
      <c r="AO134" s="45"/>
      <c r="AP134" s="45"/>
      <c r="AQ134" s="45"/>
      <c r="AR134" s="48"/>
      <c r="AS134" s="48"/>
      <c r="AU134" s="45"/>
      <c r="AV134" s="45"/>
      <c r="AW134" s="45"/>
      <c r="AX134" s="48"/>
      <c r="AY134" s="48"/>
      <c r="AZ134" s="593"/>
      <c r="BA134" s="45"/>
      <c r="BB134" s="45"/>
      <c r="BC134" s="45"/>
      <c r="BD134" s="48"/>
      <c r="BE134" s="48"/>
      <c r="BF134" s="593"/>
      <c r="BG134" s="45"/>
      <c r="BH134" s="45"/>
      <c r="BI134" s="45"/>
      <c r="BJ134" s="48"/>
      <c r="BK134" s="48"/>
      <c r="BL134" s="593"/>
      <c r="BM134" s="45"/>
      <c r="BN134" s="45"/>
      <c r="BO134" s="45"/>
      <c r="BP134" s="48"/>
      <c r="BQ134" s="48"/>
      <c r="BS134" s="45"/>
      <c r="BT134" s="45"/>
      <c r="BU134" s="45"/>
      <c r="BV134" s="48"/>
      <c r="BW134" s="48"/>
      <c r="BX134" s="593"/>
      <c r="BY134" s="45"/>
      <c r="BZ134" s="45"/>
      <c r="CA134" s="45"/>
      <c r="CB134" s="48"/>
      <c r="CC134" s="48"/>
      <c r="CD134" s="593"/>
      <c r="CE134" s="45"/>
      <c r="CF134" s="45"/>
      <c r="CG134" s="45"/>
      <c r="CH134" s="48"/>
      <c r="CI134" s="48"/>
      <c r="CJ134" s="593"/>
      <c r="CK134" s="45"/>
      <c r="CL134" s="45"/>
      <c r="CM134" s="45"/>
      <c r="CN134" s="48"/>
      <c r="CO134" s="48"/>
      <c r="CP134" s="593"/>
      <c r="CQ134" s="45"/>
      <c r="CR134" s="45"/>
      <c r="CS134" s="45"/>
      <c r="CT134" s="48"/>
      <c r="CU134" s="48"/>
      <c r="CV134" s="593"/>
      <c r="CW134" s="45"/>
      <c r="CX134" s="45"/>
      <c r="CY134" s="45"/>
      <c r="CZ134" s="48"/>
      <c r="DA134" s="48"/>
      <c r="DB134" s="593"/>
      <c r="DC134" s="45"/>
      <c r="DD134" s="45"/>
      <c r="DE134" s="45"/>
      <c r="DF134" s="48"/>
      <c r="DG134" s="48"/>
      <c r="DH134" s="593"/>
      <c r="DI134" s="45"/>
      <c r="DJ134" s="45"/>
      <c r="DK134" s="45"/>
      <c r="DL134" s="48"/>
      <c r="DM134" s="48"/>
      <c r="DN134" s="593"/>
      <c r="DO134" s="45"/>
      <c r="DP134" s="45"/>
      <c r="DQ134" s="45"/>
      <c r="DR134" s="48"/>
      <c r="DS134" s="48"/>
      <c r="DT134" s="593"/>
      <c r="DU134" s="45"/>
      <c r="DV134" s="45"/>
      <c r="DW134" s="45"/>
      <c r="DX134" s="48"/>
      <c r="DY134" s="48"/>
      <c r="DZ134" s="593"/>
      <c r="EA134" s="45"/>
      <c r="EB134" s="45"/>
      <c r="EC134" s="45"/>
      <c r="ED134" s="48"/>
      <c r="EE134" s="48"/>
      <c r="EF134" s="593"/>
      <c r="EG134" s="45"/>
      <c r="EH134" s="45"/>
      <c r="EI134" s="45"/>
      <c r="EJ134" s="48"/>
      <c r="EK134" s="48"/>
      <c r="EL134" s="593"/>
      <c r="EM134" s="45"/>
      <c r="EN134" s="45"/>
      <c r="EO134" s="45"/>
      <c r="EP134" s="48"/>
      <c r="EQ134" s="48"/>
      <c r="ES134" s="45"/>
      <c r="ET134" s="45"/>
      <c r="EU134" s="45"/>
      <c r="EV134" s="48"/>
      <c r="EW134" s="48"/>
      <c r="EY134" s="45"/>
      <c r="EZ134" s="45"/>
      <c r="FA134" s="45"/>
      <c r="FB134" s="48"/>
      <c r="FC134" s="48"/>
      <c r="FE134" s="45"/>
      <c r="FF134" s="45"/>
      <c r="FG134" s="45"/>
      <c r="FH134" s="48"/>
      <c r="FI134" s="48"/>
      <c r="FK134" s="38"/>
      <c r="FL134" s="40"/>
      <c r="FM134" s="38"/>
      <c r="FN134" s="40"/>
      <c r="FO134" s="40"/>
      <c r="FP134" s="231"/>
      <c r="FQ134" s="45"/>
      <c r="FR134" s="45"/>
      <c r="FS134" s="45"/>
      <c r="FT134" s="48"/>
      <c r="FU134" s="48"/>
      <c r="FW134" s="45"/>
      <c r="FX134" s="45"/>
      <c r="FY134" s="45"/>
      <c r="FZ134" s="48"/>
      <c r="GA134" s="48"/>
      <c r="GC134" s="26"/>
      <c r="GD134" s="45"/>
      <c r="GE134" s="45"/>
      <c r="GF134" s="48"/>
      <c r="GG134" s="48"/>
      <c r="GI134" s="45"/>
      <c r="GJ134" s="45"/>
      <c r="GK134" s="45"/>
      <c r="GL134" s="48"/>
      <c r="GM134" s="48"/>
      <c r="GO134" s="45"/>
      <c r="GP134" s="27"/>
      <c r="GQ134" s="45"/>
      <c r="GR134" s="48"/>
      <c r="GS134" s="48"/>
      <c r="GU134" s="99"/>
      <c r="GV134" s="99"/>
      <c r="GW134" s="99"/>
      <c r="GX134" s="101"/>
      <c r="GY134" s="101"/>
      <c r="GZ134" s="43"/>
      <c r="HA134" s="28"/>
      <c r="HB134" s="28"/>
      <c r="HC134" s="27"/>
      <c r="HD134" s="40"/>
      <c r="HE134" s="40"/>
      <c r="HG134" s="45"/>
      <c r="HH134" s="45"/>
      <c r="HI134" s="45"/>
      <c r="HJ134" s="48"/>
      <c r="HK134" s="48"/>
      <c r="HM134" s="45"/>
      <c r="HN134" s="45"/>
      <c r="HO134" s="45"/>
      <c r="HP134" s="48"/>
      <c r="HQ134" s="48"/>
      <c r="HS134" s="45"/>
      <c r="HT134" s="45"/>
      <c r="HU134" s="45"/>
      <c r="HV134" s="48"/>
      <c r="HW134" s="48"/>
      <c r="HX134" s="231"/>
      <c r="HY134" s="38"/>
      <c r="HZ134" s="40"/>
      <c r="IA134" s="38"/>
      <c r="IB134" s="40"/>
      <c r="IC134" s="40"/>
      <c r="IE134" s="38"/>
      <c r="IF134" s="40"/>
      <c r="IG134" s="38"/>
      <c r="IH134" s="40"/>
      <c r="II134" s="40"/>
      <c r="IK134" s="38"/>
      <c r="IL134" s="40"/>
      <c r="IM134" s="38"/>
      <c r="IN134" s="40"/>
      <c r="IO134" s="40"/>
      <c r="IQ134" s="38"/>
      <c r="IR134" s="40"/>
      <c r="IS134" s="38"/>
      <c r="IT134" s="40"/>
      <c r="IU134" s="40"/>
      <c r="IW134" s="38"/>
      <c r="IX134" s="40"/>
      <c r="IY134" s="38"/>
      <c r="IZ134" s="40"/>
      <c r="JA134" s="40"/>
      <c r="JC134" s="38"/>
      <c r="JD134" s="40"/>
      <c r="JE134" s="38"/>
      <c r="JF134" s="40"/>
      <c r="JG134" s="40"/>
      <c r="JI134" s="38"/>
      <c r="JJ134" s="40"/>
      <c r="JK134" s="38"/>
      <c r="JL134" s="40"/>
      <c r="JM134" s="40"/>
      <c r="JO134" s="741">
        <f>100*5</f>
        <v>500</v>
      </c>
      <c r="JP134" s="742">
        <v>0.77</v>
      </c>
      <c r="JQ134" s="741">
        <v>5</v>
      </c>
      <c r="JR134" s="742">
        <f t="shared" si="2266"/>
        <v>649.35064935064929</v>
      </c>
      <c r="JS134" s="742">
        <f t="shared" si="2267"/>
        <v>0.154</v>
      </c>
      <c r="JU134" s="741">
        <f>100+100+100+100+100</f>
        <v>500</v>
      </c>
      <c r="JV134" s="742">
        <f>0.19+0.21+0.2+0.18+0.15</f>
        <v>0.93</v>
      </c>
      <c r="JW134" s="741">
        <v>5</v>
      </c>
      <c r="JX134" s="742">
        <f t="shared" si="2268"/>
        <v>537.63440860215053</v>
      </c>
      <c r="JY134" s="742">
        <f t="shared" si="2269"/>
        <v>0.186</v>
      </c>
      <c r="KA134" s="741"/>
      <c r="KB134" s="742"/>
      <c r="KC134" s="741"/>
      <c r="KD134" s="742"/>
      <c r="KE134" s="742"/>
      <c r="KG134" s="741">
        <f>100+100+100+150+150</f>
        <v>600</v>
      </c>
      <c r="KH134" s="742">
        <f>0.53</f>
        <v>0.53</v>
      </c>
      <c r="KI134" s="741">
        <v>5</v>
      </c>
      <c r="KJ134" s="40">
        <f t="shared" si="2060"/>
        <v>1132.0754716981132</v>
      </c>
      <c r="KK134" s="40">
        <f t="shared" si="1853"/>
        <v>0.10600000000000001</v>
      </c>
      <c r="KM134" s="741">
        <f>100+100+100+100+100</f>
        <v>500</v>
      </c>
      <c r="KN134" s="742">
        <f>0.67+0.65+0.98+0.88+0.75</f>
        <v>3.9299999999999997</v>
      </c>
      <c r="KO134" s="741">
        <v>5</v>
      </c>
      <c r="KP134" s="40">
        <f t="shared" si="2061"/>
        <v>127.2264631043257</v>
      </c>
      <c r="KQ134" s="40">
        <f t="shared" si="1777"/>
        <v>0.78599999999999992</v>
      </c>
      <c r="KS134" s="741">
        <f>200+200+160+100+100</f>
        <v>760</v>
      </c>
      <c r="KT134" s="742">
        <f>0.54+0.59+0.59+0.69+0.68</f>
        <v>3.09</v>
      </c>
      <c r="KU134" s="741">
        <v>5</v>
      </c>
      <c r="KV134" s="40">
        <f t="shared" si="2062"/>
        <v>245.95469255663431</v>
      </c>
      <c r="KW134" s="40">
        <f t="shared" si="1779"/>
        <v>0.61799999999999999</v>
      </c>
      <c r="KY134" s="741"/>
      <c r="KZ134" s="742"/>
      <c r="LA134" s="741"/>
      <c r="LB134" s="40" t="e">
        <f t="shared" si="2063"/>
        <v>#DIV/0!</v>
      </c>
      <c r="LC134" s="40" t="e">
        <f t="shared" si="1781"/>
        <v>#DIV/0!</v>
      </c>
      <c r="LE134" s="741">
        <f>200+200+200+200</f>
        <v>800</v>
      </c>
      <c r="LF134" s="742">
        <f>0.47+0.39+0.53+0.55</f>
        <v>1.9400000000000002</v>
      </c>
      <c r="LG134" s="741">
        <v>4</v>
      </c>
      <c r="LH134" s="40">
        <f t="shared" si="2064"/>
        <v>412.37113402061851</v>
      </c>
      <c r="LI134" s="40">
        <f t="shared" si="1783"/>
        <v>0.48500000000000004</v>
      </c>
      <c r="LK134" s="741"/>
      <c r="LL134" s="742"/>
      <c r="LM134" s="741"/>
      <c r="LN134" s="40" t="e">
        <f t="shared" si="2065"/>
        <v>#DIV/0!</v>
      </c>
      <c r="LO134" s="40" t="e">
        <f t="shared" si="1785"/>
        <v>#DIV/0!</v>
      </c>
      <c r="LQ134" s="741">
        <f>200+200+200</f>
        <v>600</v>
      </c>
      <c r="LR134" s="742">
        <f>0.33+0.37+0.38</f>
        <v>1.08</v>
      </c>
      <c r="LS134" s="741">
        <v>3</v>
      </c>
      <c r="LT134" s="40">
        <f t="shared" si="2066"/>
        <v>555.55555555555554</v>
      </c>
      <c r="LU134" s="40">
        <f t="shared" si="1787"/>
        <v>0.36000000000000004</v>
      </c>
      <c r="LW134" s="741">
        <f>200+200+200+200+200</f>
        <v>1000</v>
      </c>
      <c r="LX134" s="742">
        <f>0.21+0.9+0.5+0.59+0.52</f>
        <v>2.72</v>
      </c>
      <c r="LY134" s="741">
        <v>5</v>
      </c>
      <c r="LZ134" s="40">
        <f t="shared" si="2067"/>
        <v>367.64705882352939</v>
      </c>
      <c r="MA134" s="40">
        <f t="shared" si="1789"/>
        <v>0.54400000000000004</v>
      </c>
      <c r="MC134" s="741"/>
      <c r="MD134" s="742"/>
      <c r="ME134" s="741"/>
      <c r="MF134" s="40" t="e">
        <f t="shared" si="2068"/>
        <v>#DIV/0!</v>
      </c>
      <c r="MG134" s="40" t="e">
        <f t="shared" si="1791"/>
        <v>#DIV/0!</v>
      </c>
      <c r="MI134" s="741">
        <f>200+200+100+100+100</f>
        <v>700</v>
      </c>
      <c r="MJ134" s="742">
        <f>0.34+0.41+0.14+0.1+0.49</f>
        <v>1.48</v>
      </c>
      <c r="MK134" s="741">
        <v>5</v>
      </c>
      <c r="ML134" s="40">
        <f t="shared" si="2069"/>
        <v>472.97297297297297</v>
      </c>
      <c r="MM134" s="40">
        <f t="shared" si="1793"/>
        <v>0.29599999999999999</v>
      </c>
      <c r="MO134" s="741"/>
      <c r="MP134" s="742"/>
      <c r="MQ134" s="741"/>
      <c r="MR134" s="40" t="e">
        <f t="shared" si="2070"/>
        <v>#DIV/0!</v>
      </c>
      <c r="MS134" s="40" t="e">
        <f t="shared" si="1795"/>
        <v>#DIV/0!</v>
      </c>
      <c r="MU134" s="741"/>
      <c r="MV134" s="742"/>
      <c r="MW134" s="741"/>
      <c r="MX134" s="40" t="e">
        <f t="shared" si="2071"/>
        <v>#DIV/0!</v>
      </c>
      <c r="MY134" s="40" t="e">
        <f t="shared" si="1797"/>
        <v>#DIV/0!</v>
      </c>
      <c r="NA134" s="825">
        <f>100+100+100+100+100</f>
        <v>500</v>
      </c>
      <c r="NB134" s="827">
        <f>0.54+0.52+0.56+0.53+0.52</f>
        <v>2.6700000000000004</v>
      </c>
      <c r="NC134" s="825">
        <v>5</v>
      </c>
      <c r="ND134" s="40">
        <f t="shared" si="2072"/>
        <v>187.26591760299624</v>
      </c>
      <c r="NE134" s="40">
        <f t="shared" si="1799"/>
        <v>0.53400000000000003</v>
      </c>
      <c r="NG134" s="825"/>
      <c r="NH134" s="827"/>
      <c r="NI134" s="825"/>
      <c r="NJ134" s="40" t="e">
        <f t="shared" si="2073"/>
        <v>#DIV/0!</v>
      </c>
      <c r="NK134" s="40" t="e">
        <f t="shared" si="1801"/>
        <v>#DIV/0!</v>
      </c>
      <c r="NM134" s="886">
        <f>200+200+200+200+200</f>
        <v>1000</v>
      </c>
      <c r="NN134" s="887">
        <f>0.2+0.2+0.63+0.55+0.55</f>
        <v>2.13</v>
      </c>
      <c r="NO134" s="886">
        <v>5</v>
      </c>
      <c r="NP134" s="742">
        <f t="shared" si="2074"/>
        <v>469.48356807511738</v>
      </c>
      <c r="NQ134" s="742">
        <f t="shared" si="1803"/>
        <v>0.42599999999999999</v>
      </c>
      <c r="NS134" s="886">
        <f>200+200+200+200+200</f>
        <v>1000</v>
      </c>
      <c r="NT134" s="887">
        <f>0.3+0.36+0.37+0.34+0.31</f>
        <v>1.68</v>
      </c>
      <c r="NU134" s="886">
        <v>5</v>
      </c>
      <c r="NV134" s="742">
        <f t="shared" si="2075"/>
        <v>595.2380952380953</v>
      </c>
      <c r="NW134" s="742">
        <f t="shared" si="1805"/>
        <v>0.33599999999999997</v>
      </c>
      <c r="NY134" s="913">
        <f>100+100+100+100+100</f>
        <v>500</v>
      </c>
      <c r="NZ134" s="914">
        <f>0.09+0.1+0.08+0.07+0.09</f>
        <v>0.43000000000000005</v>
      </c>
      <c r="OA134" s="918">
        <v>5</v>
      </c>
      <c r="OB134" s="742">
        <f t="shared" si="2076"/>
        <v>1162.7906976744184</v>
      </c>
      <c r="OC134" s="742">
        <f t="shared" si="1807"/>
        <v>8.6000000000000007E-2</v>
      </c>
      <c r="OE134" s="886"/>
      <c r="OF134" s="887"/>
      <c r="OG134" s="886"/>
      <c r="OH134" s="742" t="e">
        <f t="shared" si="2077"/>
        <v>#DIV/0!</v>
      </c>
      <c r="OI134" s="742" t="e">
        <f t="shared" si="1809"/>
        <v>#DIV/0!</v>
      </c>
    </row>
    <row r="135" spans="1:399">
      <c r="B135" s="715" t="s">
        <v>376</v>
      </c>
      <c r="C135" s="720" t="s">
        <v>382</v>
      </c>
      <c r="D135" s="723" t="s">
        <v>36</v>
      </c>
      <c r="E135" s="725" t="s">
        <v>36</v>
      </c>
      <c r="F135" s="45"/>
      <c r="G135" s="45"/>
      <c r="H135" s="48"/>
      <c r="I135" s="48"/>
      <c r="K135" s="45"/>
      <c r="L135" s="45"/>
      <c r="M135" s="45"/>
      <c r="N135" s="48"/>
      <c r="O135" s="48"/>
      <c r="Q135" s="45"/>
      <c r="R135" s="45"/>
      <c r="S135" s="45"/>
      <c r="T135" s="48"/>
      <c r="U135" s="48"/>
      <c r="W135" s="45"/>
      <c r="X135" s="45"/>
      <c r="Y135" s="45"/>
      <c r="Z135" s="48"/>
      <c r="AA135" s="48"/>
      <c r="AC135" s="45"/>
      <c r="AD135" s="45"/>
      <c r="AE135" s="45"/>
      <c r="AF135" s="48"/>
      <c r="AG135" s="48"/>
      <c r="AI135" s="45"/>
      <c r="AJ135" s="45"/>
      <c r="AK135" s="45"/>
      <c r="AL135" s="48"/>
      <c r="AM135" s="48"/>
      <c r="AO135" s="45"/>
      <c r="AP135" s="45"/>
      <c r="AQ135" s="45"/>
      <c r="AR135" s="48"/>
      <c r="AS135" s="48"/>
      <c r="AU135" s="45"/>
      <c r="AV135" s="45"/>
      <c r="AW135" s="45"/>
      <c r="AX135" s="48"/>
      <c r="AY135" s="48"/>
      <c r="AZ135" s="593"/>
      <c r="BA135" s="45"/>
      <c r="BB135" s="45"/>
      <c r="BC135" s="45"/>
      <c r="BD135" s="48"/>
      <c r="BE135" s="48"/>
      <c r="BF135" s="593"/>
      <c r="BG135" s="45"/>
      <c r="BH135" s="45"/>
      <c r="BI135" s="45"/>
      <c r="BJ135" s="48"/>
      <c r="BK135" s="48"/>
      <c r="BL135" s="593"/>
      <c r="BM135" s="45"/>
      <c r="BN135" s="45"/>
      <c r="BO135" s="45"/>
      <c r="BP135" s="48"/>
      <c r="BQ135" s="48"/>
      <c r="BS135" s="45"/>
      <c r="BT135" s="45"/>
      <c r="BU135" s="45"/>
      <c r="BV135" s="48"/>
      <c r="BW135" s="48"/>
      <c r="BX135" s="593"/>
      <c r="BY135" s="45"/>
      <c r="BZ135" s="45"/>
      <c r="CA135" s="45"/>
      <c r="CB135" s="48"/>
      <c r="CC135" s="48"/>
      <c r="CD135" s="593"/>
      <c r="CE135" s="45"/>
      <c r="CF135" s="45"/>
      <c r="CG135" s="45"/>
      <c r="CH135" s="48"/>
      <c r="CI135" s="48"/>
      <c r="CJ135" s="593"/>
      <c r="CK135" s="45"/>
      <c r="CL135" s="45"/>
      <c r="CM135" s="45"/>
      <c r="CN135" s="48"/>
      <c r="CO135" s="48"/>
      <c r="CP135" s="593"/>
      <c r="CQ135" s="45"/>
      <c r="CR135" s="45"/>
      <c r="CS135" s="45"/>
      <c r="CT135" s="48"/>
      <c r="CU135" s="48"/>
      <c r="CV135" s="593"/>
      <c r="CW135" s="45"/>
      <c r="CX135" s="45"/>
      <c r="CY135" s="45"/>
      <c r="CZ135" s="48"/>
      <c r="DA135" s="48"/>
      <c r="DB135" s="593"/>
      <c r="DC135" s="45"/>
      <c r="DD135" s="45"/>
      <c r="DE135" s="45"/>
      <c r="DF135" s="48"/>
      <c r="DG135" s="48"/>
      <c r="DH135" s="593"/>
      <c r="DI135" s="45"/>
      <c r="DJ135" s="45"/>
      <c r="DK135" s="45"/>
      <c r="DL135" s="48"/>
      <c r="DM135" s="48"/>
      <c r="DN135" s="593"/>
      <c r="DO135" s="45"/>
      <c r="DP135" s="45"/>
      <c r="DQ135" s="45"/>
      <c r="DR135" s="48"/>
      <c r="DS135" s="48"/>
      <c r="DT135" s="593"/>
      <c r="DU135" s="45"/>
      <c r="DV135" s="45"/>
      <c r="DW135" s="45"/>
      <c r="DX135" s="48"/>
      <c r="DY135" s="48"/>
      <c r="DZ135" s="593"/>
      <c r="EA135" s="45"/>
      <c r="EB135" s="45"/>
      <c r="EC135" s="45"/>
      <c r="ED135" s="48"/>
      <c r="EE135" s="48"/>
      <c r="EF135" s="593"/>
      <c r="EG135" s="45"/>
      <c r="EH135" s="45"/>
      <c r="EI135" s="45"/>
      <c r="EJ135" s="48"/>
      <c r="EK135" s="48"/>
      <c r="EL135" s="593"/>
      <c r="EM135" s="45"/>
      <c r="EN135" s="45"/>
      <c r="EO135" s="45"/>
      <c r="EP135" s="48"/>
      <c r="EQ135" s="48"/>
      <c r="ES135" s="45"/>
      <c r="ET135" s="45"/>
      <c r="EU135" s="45"/>
      <c r="EV135" s="48"/>
      <c r="EW135" s="48"/>
      <c r="EY135" s="45"/>
      <c r="EZ135" s="45"/>
      <c r="FA135" s="45"/>
      <c r="FB135" s="48"/>
      <c r="FC135" s="48"/>
      <c r="FE135" s="45"/>
      <c r="FF135" s="45"/>
      <c r="FG135" s="45"/>
      <c r="FH135" s="48"/>
      <c r="FI135" s="48"/>
      <c r="FK135" s="38"/>
      <c r="FL135" s="40"/>
      <c r="FM135" s="38"/>
      <c r="FN135" s="40"/>
      <c r="FO135" s="40"/>
      <c r="FP135" s="231"/>
      <c r="FQ135" s="45"/>
      <c r="FR135" s="45"/>
      <c r="FS135" s="45"/>
      <c r="FT135" s="48"/>
      <c r="FU135" s="48"/>
      <c r="FW135" s="45"/>
      <c r="FX135" s="45"/>
      <c r="FY135" s="45"/>
      <c r="FZ135" s="48"/>
      <c r="GA135" s="48"/>
      <c r="GC135" s="26"/>
      <c r="GD135" s="45"/>
      <c r="GE135" s="45"/>
      <c r="GF135" s="48"/>
      <c r="GG135" s="48"/>
      <c r="GI135" s="45"/>
      <c r="GJ135" s="45"/>
      <c r="GK135" s="45"/>
      <c r="GL135" s="48"/>
      <c r="GM135" s="48"/>
      <c r="GO135" s="45"/>
      <c r="GP135" s="27"/>
      <c r="GQ135" s="45"/>
      <c r="GR135" s="48"/>
      <c r="GS135" s="48"/>
      <c r="GU135" s="99"/>
      <c r="GV135" s="99"/>
      <c r="GW135" s="99"/>
      <c r="GX135" s="101"/>
      <c r="GY135" s="101"/>
      <c r="GZ135" s="43"/>
      <c r="HA135" s="28"/>
      <c r="HB135" s="28"/>
      <c r="HC135" s="27"/>
      <c r="HD135" s="40"/>
      <c r="HE135" s="40"/>
      <c r="HG135" s="45"/>
      <c r="HH135" s="45"/>
      <c r="HI135" s="45"/>
      <c r="HJ135" s="48"/>
      <c r="HK135" s="48"/>
      <c r="HM135" s="45"/>
      <c r="HN135" s="45"/>
      <c r="HO135" s="45"/>
      <c r="HP135" s="48"/>
      <c r="HQ135" s="48"/>
      <c r="HS135" s="45"/>
      <c r="HT135" s="45"/>
      <c r="HU135" s="45"/>
      <c r="HV135" s="48"/>
      <c r="HW135" s="48"/>
      <c r="HX135" s="231"/>
      <c r="HY135" s="38"/>
      <c r="HZ135" s="40"/>
      <c r="IA135" s="38"/>
      <c r="IB135" s="40"/>
      <c r="IC135" s="40"/>
      <c r="IE135" s="38"/>
      <c r="IF135" s="40"/>
      <c r="IG135" s="38"/>
      <c r="IH135" s="40"/>
      <c r="II135" s="40"/>
      <c r="IK135" s="38"/>
      <c r="IL135" s="40"/>
      <c r="IM135" s="38"/>
      <c r="IN135" s="40"/>
      <c r="IO135" s="40"/>
      <c r="IQ135" s="38"/>
      <c r="IR135" s="40"/>
      <c r="IS135" s="38"/>
      <c r="IT135" s="40"/>
      <c r="IU135" s="40"/>
      <c r="IW135" s="38"/>
      <c r="IX135" s="40"/>
      <c r="IY135" s="38"/>
      <c r="IZ135" s="40"/>
      <c r="JA135" s="40"/>
      <c r="JC135" s="38"/>
      <c r="JD135" s="40"/>
      <c r="JE135" s="38"/>
      <c r="JF135" s="40"/>
      <c r="JG135" s="40"/>
      <c r="JI135" s="38"/>
      <c r="JJ135" s="40"/>
      <c r="JK135" s="38"/>
      <c r="JL135" s="40"/>
      <c r="JM135" s="40"/>
      <c r="JO135" s="741"/>
      <c r="JP135" s="742"/>
      <c r="JQ135" s="741"/>
      <c r="JR135" s="742" t="e">
        <f t="shared" si="2266"/>
        <v>#DIV/0!</v>
      </c>
      <c r="JS135" s="742" t="e">
        <f t="shared" si="2267"/>
        <v>#DIV/0!</v>
      </c>
      <c r="JU135" s="741"/>
      <c r="JV135" s="742"/>
      <c r="JW135" s="741"/>
      <c r="JX135" s="742"/>
      <c r="JY135" s="742"/>
      <c r="KA135" s="741"/>
      <c r="KB135" s="742"/>
      <c r="KC135" s="741"/>
      <c r="KD135" s="742"/>
      <c r="KE135" s="742"/>
      <c r="KG135" s="741"/>
      <c r="KH135" s="742"/>
      <c r="KI135" s="741"/>
      <c r="KJ135" s="40" t="e">
        <f t="shared" si="2060"/>
        <v>#DIV/0!</v>
      </c>
      <c r="KK135" s="40" t="e">
        <f t="shared" si="1853"/>
        <v>#DIV/0!</v>
      </c>
      <c r="KM135" s="741">
        <f>300+200+300+200+300</f>
        <v>1300</v>
      </c>
      <c r="KN135" s="742">
        <f>1.19+1.23+1.2+1.2+1.18</f>
        <v>6</v>
      </c>
      <c r="KO135" s="741">
        <v>5</v>
      </c>
      <c r="KP135" s="40">
        <f t="shared" si="2061"/>
        <v>216.66666666666666</v>
      </c>
      <c r="KQ135" s="40">
        <f t="shared" si="1777"/>
        <v>1.2</v>
      </c>
      <c r="KS135" s="741">
        <f>200+200+200+200+200</f>
        <v>1000</v>
      </c>
      <c r="KT135" s="742">
        <f>2.21+2.35+2.93+2.6+2.73</f>
        <v>12.82</v>
      </c>
      <c r="KU135" s="741">
        <v>5</v>
      </c>
      <c r="KV135" s="40">
        <f t="shared" si="2062"/>
        <v>78.003120124804994</v>
      </c>
      <c r="KW135" s="40">
        <f t="shared" si="1779"/>
        <v>2.5640000000000001</v>
      </c>
      <c r="KY135" s="741"/>
      <c r="KZ135" s="742"/>
      <c r="LA135" s="741"/>
      <c r="LB135" s="40" t="e">
        <f t="shared" si="2063"/>
        <v>#DIV/0!</v>
      </c>
      <c r="LC135" s="40" t="e">
        <f t="shared" si="1781"/>
        <v>#DIV/0!</v>
      </c>
      <c r="LE135" s="741">
        <f>200+200+200+200+200</f>
        <v>1000</v>
      </c>
      <c r="LF135" s="742">
        <f>1.55+1.65+1.47+1.42+1.61</f>
        <v>7.7</v>
      </c>
      <c r="LG135" s="741">
        <v>5</v>
      </c>
      <c r="LH135" s="40">
        <f t="shared" si="2064"/>
        <v>129.87012987012986</v>
      </c>
      <c r="LI135" s="40">
        <f t="shared" si="1783"/>
        <v>1.54</v>
      </c>
      <c r="LK135" s="741"/>
      <c r="LL135" s="742"/>
      <c r="LM135" s="741"/>
      <c r="LN135" s="40" t="e">
        <f t="shared" si="2065"/>
        <v>#DIV/0!</v>
      </c>
      <c r="LO135" s="40" t="e">
        <f t="shared" si="1785"/>
        <v>#DIV/0!</v>
      </c>
      <c r="LQ135" s="741">
        <f>200+200+200+200+200</f>
        <v>1000</v>
      </c>
      <c r="LR135" s="742">
        <f>1.86+0.58+0.69+0.96+0.98</f>
        <v>5.07</v>
      </c>
      <c r="LS135" s="741">
        <v>5</v>
      </c>
      <c r="LT135" s="40">
        <f t="shared" si="2066"/>
        <v>197.23865877712029</v>
      </c>
      <c r="LU135" s="40">
        <f t="shared" si="1787"/>
        <v>1.014</v>
      </c>
      <c r="LW135" s="741"/>
      <c r="LX135" s="742"/>
      <c r="LY135" s="741"/>
      <c r="LZ135" s="40" t="e">
        <f t="shared" si="2067"/>
        <v>#DIV/0!</v>
      </c>
      <c r="MA135" s="40" t="e">
        <f t="shared" si="1789"/>
        <v>#DIV/0!</v>
      </c>
      <c r="MC135" s="741"/>
      <c r="MD135" s="742"/>
      <c r="ME135" s="741"/>
      <c r="MF135" s="40" t="e">
        <f t="shared" si="2068"/>
        <v>#DIV/0!</v>
      </c>
      <c r="MG135" s="40" t="e">
        <f t="shared" si="1791"/>
        <v>#DIV/0!</v>
      </c>
      <c r="MI135" s="741">
        <f>200+200+200+200+200</f>
        <v>1000</v>
      </c>
      <c r="MJ135" s="742">
        <f>2.6+1.94+1.87+1.79+2.16</f>
        <v>10.36</v>
      </c>
      <c r="MK135" s="741">
        <v>5</v>
      </c>
      <c r="ML135" s="40">
        <f t="shared" si="2069"/>
        <v>96.525096525096529</v>
      </c>
      <c r="MM135" s="40">
        <f t="shared" si="1793"/>
        <v>2.0720000000000001</v>
      </c>
      <c r="MO135" s="741"/>
      <c r="MP135" s="742"/>
      <c r="MQ135" s="741"/>
      <c r="MR135" s="40" t="e">
        <f t="shared" si="2070"/>
        <v>#DIV/0!</v>
      </c>
      <c r="MS135" s="40" t="e">
        <f t="shared" si="1795"/>
        <v>#DIV/0!</v>
      </c>
      <c r="MU135" s="741"/>
      <c r="MV135" s="742"/>
      <c r="MW135" s="741"/>
      <c r="MX135" s="40" t="e">
        <f t="shared" si="2071"/>
        <v>#DIV/0!</v>
      </c>
      <c r="MY135" s="40" t="e">
        <f t="shared" si="1797"/>
        <v>#DIV/0!</v>
      </c>
      <c r="NA135" s="825">
        <f>200+200+200+200+200</f>
        <v>1000</v>
      </c>
      <c r="NB135" s="827">
        <f>1.48+1.52+1.56+1.68+1.59</f>
        <v>7.83</v>
      </c>
      <c r="NC135" s="825">
        <v>5</v>
      </c>
      <c r="ND135" s="40">
        <f t="shared" si="2072"/>
        <v>127.71392081736909</v>
      </c>
      <c r="NE135" s="40">
        <f t="shared" si="1799"/>
        <v>1.5660000000000001</v>
      </c>
      <c r="NG135" s="825">
        <f>200+200+200+200+200</f>
        <v>1000</v>
      </c>
      <c r="NH135" s="827">
        <f>2.23+1.98+1.9+2.1+2.05</f>
        <v>10.259999999999998</v>
      </c>
      <c r="NI135" s="825">
        <v>5</v>
      </c>
      <c r="NJ135" s="40">
        <f t="shared" si="2073"/>
        <v>97.465886939571163</v>
      </c>
      <c r="NK135" s="40">
        <f t="shared" si="1801"/>
        <v>2.0519999999999996</v>
      </c>
      <c r="NM135" s="886"/>
      <c r="NN135" s="887"/>
      <c r="NO135" s="886"/>
      <c r="NP135" s="742" t="e">
        <f t="shared" si="2074"/>
        <v>#DIV/0!</v>
      </c>
      <c r="NQ135" s="742" t="e">
        <f t="shared" si="1803"/>
        <v>#DIV/0!</v>
      </c>
      <c r="NS135" s="886">
        <f>200+200+200+200+200</f>
        <v>1000</v>
      </c>
      <c r="NT135" s="887">
        <f>1.1+1.09+1.19+1.24+1.1</f>
        <v>5.7200000000000006</v>
      </c>
      <c r="NU135" s="886">
        <v>5</v>
      </c>
      <c r="NV135" s="742">
        <f t="shared" si="2075"/>
        <v>174.8251748251748</v>
      </c>
      <c r="NW135" s="742">
        <f t="shared" si="1805"/>
        <v>1.1440000000000001</v>
      </c>
      <c r="NY135" s="913"/>
      <c r="NZ135" s="914"/>
      <c r="OA135" s="918"/>
      <c r="OB135" s="742" t="e">
        <f t="shared" si="2076"/>
        <v>#DIV/0!</v>
      </c>
      <c r="OC135" s="742" t="e">
        <f t="shared" si="1807"/>
        <v>#DIV/0!</v>
      </c>
      <c r="OE135" s="886">
        <f>200+200+200+200+200</f>
        <v>1000</v>
      </c>
      <c r="OF135" s="887">
        <f>1.2+1.3+1.25+1.22+1.26</f>
        <v>6.2299999999999995</v>
      </c>
      <c r="OG135" s="886">
        <v>5</v>
      </c>
      <c r="OH135" s="742">
        <f t="shared" si="2077"/>
        <v>160.51364365971108</v>
      </c>
      <c r="OI135" s="742">
        <f t="shared" si="1809"/>
        <v>1.246</v>
      </c>
    </row>
    <row r="136" spans="1:399" ht="15" thickBot="1">
      <c r="B136" s="715" t="s">
        <v>376</v>
      </c>
      <c r="C136" s="720" t="s">
        <v>383</v>
      </c>
      <c r="D136" s="724" t="s">
        <v>14</v>
      </c>
      <c r="E136" s="728" t="s">
        <v>14</v>
      </c>
      <c r="F136" s="45"/>
      <c r="G136" s="45"/>
      <c r="H136" s="48"/>
      <c r="I136" s="48"/>
      <c r="K136" s="45"/>
      <c r="L136" s="45"/>
      <c r="M136" s="45"/>
      <c r="N136" s="48"/>
      <c r="O136" s="48"/>
      <c r="Q136" s="45"/>
      <c r="R136" s="45"/>
      <c r="S136" s="45"/>
      <c r="T136" s="48"/>
      <c r="U136" s="48"/>
      <c r="W136" s="45"/>
      <c r="X136" s="45"/>
      <c r="Y136" s="45"/>
      <c r="Z136" s="48"/>
      <c r="AA136" s="48"/>
      <c r="AC136" s="45"/>
      <c r="AD136" s="45"/>
      <c r="AE136" s="45"/>
      <c r="AF136" s="48"/>
      <c r="AG136" s="48"/>
      <c r="AI136" s="45"/>
      <c r="AJ136" s="45"/>
      <c r="AK136" s="45"/>
      <c r="AL136" s="48"/>
      <c r="AM136" s="48"/>
      <c r="AO136" s="45"/>
      <c r="AP136" s="45"/>
      <c r="AQ136" s="45"/>
      <c r="AR136" s="48"/>
      <c r="AS136" s="48"/>
      <c r="AU136" s="45"/>
      <c r="AV136" s="45"/>
      <c r="AW136" s="45"/>
      <c r="AX136" s="48"/>
      <c r="AY136" s="48"/>
      <c r="AZ136" s="593"/>
      <c r="BA136" s="45"/>
      <c r="BB136" s="45"/>
      <c r="BC136" s="45"/>
      <c r="BD136" s="48"/>
      <c r="BE136" s="48"/>
      <c r="BF136" s="593"/>
      <c r="BG136" s="45"/>
      <c r="BH136" s="45"/>
      <c r="BI136" s="45"/>
      <c r="BJ136" s="48"/>
      <c r="BK136" s="48"/>
      <c r="BL136" s="593"/>
      <c r="BM136" s="45"/>
      <c r="BN136" s="45"/>
      <c r="BO136" s="45"/>
      <c r="BP136" s="48"/>
      <c r="BQ136" s="48"/>
      <c r="BS136" s="45"/>
      <c r="BT136" s="45"/>
      <c r="BU136" s="45"/>
      <c r="BV136" s="48"/>
      <c r="BW136" s="48"/>
      <c r="BX136" s="593"/>
      <c r="BY136" s="45"/>
      <c r="BZ136" s="45"/>
      <c r="CA136" s="45"/>
      <c r="CB136" s="48"/>
      <c r="CC136" s="48"/>
      <c r="CD136" s="593"/>
      <c r="CE136" s="45"/>
      <c r="CF136" s="45"/>
      <c r="CG136" s="45"/>
      <c r="CH136" s="48"/>
      <c r="CI136" s="48"/>
      <c r="CJ136" s="593"/>
      <c r="CK136" s="45"/>
      <c r="CL136" s="45"/>
      <c r="CM136" s="45"/>
      <c r="CN136" s="48"/>
      <c r="CO136" s="48"/>
      <c r="CP136" s="593"/>
      <c r="CQ136" s="45"/>
      <c r="CR136" s="45"/>
      <c r="CS136" s="45"/>
      <c r="CT136" s="48"/>
      <c r="CU136" s="48"/>
      <c r="CV136" s="593"/>
      <c r="CW136" s="45"/>
      <c r="CX136" s="45"/>
      <c r="CY136" s="45"/>
      <c r="CZ136" s="48"/>
      <c r="DA136" s="48"/>
      <c r="DB136" s="593"/>
      <c r="DC136" s="45"/>
      <c r="DD136" s="45"/>
      <c r="DE136" s="45"/>
      <c r="DF136" s="48"/>
      <c r="DG136" s="48"/>
      <c r="DH136" s="593"/>
      <c r="DI136" s="45"/>
      <c r="DJ136" s="45"/>
      <c r="DK136" s="45"/>
      <c r="DL136" s="48"/>
      <c r="DM136" s="48"/>
      <c r="DN136" s="593"/>
      <c r="DO136" s="45"/>
      <c r="DP136" s="45"/>
      <c r="DQ136" s="45"/>
      <c r="DR136" s="48"/>
      <c r="DS136" s="48"/>
      <c r="DT136" s="593"/>
      <c r="DU136" s="45"/>
      <c r="DV136" s="45"/>
      <c r="DW136" s="45"/>
      <c r="DX136" s="48"/>
      <c r="DY136" s="48"/>
      <c r="DZ136" s="593"/>
      <c r="EA136" s="45"/>
      <c r="EB136" s="45"/>
      <c r="EC136" s="45"/>
      <c r="ED136" s="48"/>
      <c r="EE136" s="48"/>
      <c r="EF136" s="593"/>
      <c r="EG136" s="45"/>
      <c r="EH136" s="45"/>
      <c r="EI136" s="45"/>
      <c r="EJ136" s="48"/>
      <c r="EK136" s="48"/>
      <c r="EL136" s="593"/>
      <c r="EM136" s="45"/>
      <c r="EN136" s="45"/>
      <c r="EO136" s="45"/>
      <c r="EP136" s="48"/>
      <c r="EQ136" s="48"/>
      <c r="ES136" s="45"/>
      <c r="ET136" s="45"/>
      <c r="EU136" s="45"/>
      <c r="EV136" s="48"/>
      <c r="EW136" s="48"/>
      <c r="EY136" s="45"/>
      <c r="EZ136" s="45"/>
      <c r="FA136" s="45"/>
      <c r="FB136" s="48"/>
      <c r="FC136" s="48"/>
      <c r="FE136" s="45"/>
      <c r="FF136" s="45"/>
      <c r="FG136" s="45"/>
      <c r="FH136" s="48"/>
      <c r="FI136" s="48"/>
      <c r="FK136" s="38"/>
      <c r="FL136" s="40"/>
      <c r="FM136" s="38"/>
      <c r="FN136" s="40"/>
      <c r="FO136" s="40"/>
      <c r="FP136" s="231"/>
      <c r="FQ136" s="45"/>
      <c r="FR136" s="45"/>
      <c r="FS136" s="45"/>
      <c r="FT136" s="48"/>
      <c r="FU136" s="48"/>
      <c r="FW136" s="45"/>
      <c r="FX136" s="45"/>
      <c r="FY136" s="45"/>
      <c r="FZ136" s="48"/>
      <c r="GA136" s="48"/>
      <c r="GC136" s="26"/>
      <c r="GD136" s="45"/>
      <c r="GE136" s="45"/>
      <c r="GF136" s="48"/>
      <c r="GG136" s="48"/>
      <c r="GI136" s="45"/>
      <c r="GJ136" s="45"/>
      <c r="GK136" s="45"/>
      <c r="GL136" s="48"/>
      <c r="GM136" s="48"/>
      <c r="GO136" s="45"/>
      <c r="GP136" s="27"/>
      <c r="GQ136" s="45"/>
      <c r="GR136" s="48"/>
      <c r="GS136" s="48"/>
      <c r="GU136" s="99"/>
      <c r="GV136" s="99"/>
      <c r="GW136" s="99"/>
      <c r="GX136" s="101"/>
      <c r="GY136" s="101"/>
      <c r="GZ136" s="43"/>
      <c r="HA136" s="28"/>
      <c r="HB136" s="28"/>
      <c r="HC136" s="27"/>
      <c r="HD136" s="40"/>
      <c r="HE136" s="40"/>
      <c r="HG136" s="45"/>
      <c r="HH136" s="45"/>
      <c r="HI136" s="45"/>
      <c r="HJ136" s="48"/>
      <c r="HK136" s="48"/>
      <c r="HM136" s="45"/>
      <c r="HN136" s="45"/>
      <c r="HO136" s="45"/>
      <c r="HP136" s="48"/>
      <c r="HQ136" s="48"/>
      <c r="HS136" s="45"/>
      <c r="HT136" s="45"/>
      <c r="HU136" s="45"/>
      <c r="HV136" s="48"/>
      <c r="HW136" s="48"/>
      <c r="HX136" s="231"/>
      <c r="HY136" s="38"/>
      <c r="HZ136" s="40"/>
      <c r="IA136" s="38"/>
      <c r="IB136" s="40"/>
      <c r="IC136" s="40"/>
      <c r="IE136" s="38"/>
      <c r="IF136" s="40"/>
      <c r="IG136" s="38"/>
      <c r="IH136" s="40"/>
      <c r="II136" s="40"/>
      <c r="IK136" s="38"/>
      <c r="IL136" s="40"/>
      <c r="IM136" s="38"/>
      <c r="IN136" s="40"/>
      <c r="IO136" s="40"/>
      <c r="IQ136" s="38"/>
      <c r="IR136" s="40"/>
      <c r="IS136" s="38"/>
      <c r="IT136" s="40"/>
      <c r="IU136" s="40"/>
      <c r="IW136" s="38"/>
      <c r="IX136" s="40"/>
      <c r="IY136" s="38"/>
      <c r="IZ136" s="40"/>
      <c r="JA136" s="40"/>
      <c r="JC136" s="38"/>
      <c r="JD136" s="40"/>
      <c r="JE136" s="38"/>
      <c r="JF136" s="40"/>
      <c r="JG136" s="40"/>
      <c r="JI136" s="38"/>
      <c r="JJ136" s="40"/>
      <c r="JK136" s="38"/>
      <c r="JL136" s="40"/>
      <c r="JM136" s="40"/>
      <c r="JO136" s="741"/>
      <c r="JP136" s="742"/>
      <c r="JQ136" s="741"/>
      <c r="JR136" s="742" t="e">
        <f t="shared" si="2266"/>
        <v>#DIV/0!</v>
      </c>
      <c r="JS136" s="742" t="e">
        <f t="shared" si="2267"/>
        <v>#DIV/0!</v>
      </c>
      <c r="JU136" s="741"/>
      <c r="JV136" s="742"/>
      <c r="JW136" s="741"/>
      <c r="JX136" s="742"/>
      <c r="JY136" s="742"/>
      <c r="KA136" s="741"/>
      <c r="KB136" s="742"/>
      <c r="KC136" s="741"/>
      <c r="KD136" s="742"/>
      <c r="KE136" s="742"/>
      <c r="KG136" s="741"/>
      <c r="KH136" s="742"/>
      <c r="KI136" s="741"/>
      <c r="KJ136" s="40" t="e">
        <f t="shared" si="2060"/>
        <v>#DIV/0!</v>
      </c>
      <c r="KK136" s="40" t="e">
        <f t="shared" si="1853"/>
        <v>#DIV/0!</v>
      </c>
      <c r="KM136" s="741"/>
      <c r="KN136" s="742"/>
      <c r="KO136" s="741"/>
      <c r="KP136" s="40" t="e">
        <f t="shared" si="2061"/>
        <v>#DIV/0!</v>
      </c>
      <c r="KQ136" s="40" t="e">
        <f t="shared" si="1777"/>
        <v>#DIV/0!</v>
      </c>
      <c r="KS136" s="741"/>
      <c r="KT136" s="742"/>
      <c r="KU136" s="741"/>
      <c r="KV136" s="40" t="e">
        <f t="shared" si="2062"/>
        <v>#DIV/0!</v>
      </c>
      <c r="KW136" s="40" t="e">
        <f t="shared" si="1779"/>
        <v>#DIV/0!</v>
      </c>
      <c r="KY136" s="741"/>
      <c r="KZ136" s="742"/>
      <c r="LA136" s="741"/>
      <c r="LB136" s="40" t="e">
        <f t="shared" si="2063"/>
        <v>#DIV/0!</v>
      </c>
      <c r="LC136" s="40" t="e">
        <f t="shared" si="1781"/>
        <v>#DIV/0!</v>
      </c>
      <c r="LE136" s="741"/>
      <c r="LF136" s="742"/>
      <c r="LG136" s="741"/>
      <c r="LH136" s="40" t="e">
        <f t="shared" si="2064"/>
        <v>#DIV/0!</v>
      </c>
      <c r="LI136" s="40" t="e">
        <f t="shared" si="1783"/>
        <v>#DIV/0!</v>
      </c>
      <c r="LK136" s="741"/>
      <c r="LL136" s="742"/>
      <c r="LM136" s="741"/>
      <c r="LN136" s="40" t="e">
        <f t="shared" si="2065"/>
        <v>#DIV/0!</v>
      </c>
      <c r="LO136" s="40" t="e">
        <f t="shared" si="1785"/>
        <v>#DIV/0!</v>
      </c>
      <c r="LQ136" s="741">
        <f>500+500+300+300+300</f>
        <v>1900</v>
      </c>
      <c r="LR136" s="742">
        <f>0.86+0.86+0.78+0.78+0.78</f>
        <v>4.0600000000000005</v>
      </c>
      <c r="LS136" s="741">
        <v>5</v>
      </c>
      <c r="LT136" s="40">
        <f t="shared" si="2066"/>
        <v>467.98029556650238</v>
      </c>
      <c r="LU136" s="40">
        <f t="shared" si="1787"/>
        <v>0.81200000000000006</v>
      </c>
      <c r="LW136" s="741">
        <f>150+150+50+100+100</f>
        <v>550</v>
      </c>
      <c r="LX136" s="742">
        <f>0.27+0.37+0.28+0.22+0.2</f>
        <v>1.34</v>
      </c>
      <c r="LY136" s="741">
        <v>5</v>
      </c>
      <c r="LZ136" s="40">
        <f t="shared" si="2067"/>
        <v>410.44776119402985</v>
      </c>
      <c r="MA136" s="40">
        <f t="shared" si="1789"/>
        <v>0.26800000000000002</v>
      </c>
      <c r="MC136" s="741"/>
      <c r="MD136" s="742"/>
      <c r="ME136" s="741"/>
      <c r="MF136" s="40" t="e">
        <f t="shared" si="2068"/>
        <v>#DIV/0!</v>
      </c>
      <c r="MG136" s="40" t="e">
        <f t="shared" si="1791"/>
        <v>#DIV/0!</v>
      </c>
      <c r="MI136" s="741">
        <f>200+200+250+250+250</f>
        <v>1150</v>
      </c>
      <c r="MJ136" s="742">
        <f>0.41+0.41+0.42+0.41+0.6</f>
        <v>2.25</v>
      </c>
      <c r="MK136" s="741">
        <v>5</v>
      </c>
      <c r="ML136" s="40">
        <f t="shared" si="2069"/>
        <v>511.11111111111109</v>
      </c>
      <c r="MM136" s="40">
        <f t="shared" si="1793"/>
        <v>0.45</v>
      </c>
      <c r="MO136" s="741"/>
      <c r="MP136" s="742"/>
      <c r="MQ136" s="741"/>
      <c r="MR136" s="40" t="e">
        <f t="shared" si="2070"/>
        <v>#DIV/0!</v>
      </c>
      <c r="MS136" s="40" t="e">
        <f t="shared" si="1795"/>
        <v>#DIV/0!</v>
      </c>
      <c r="MU136" s="741"/>
      <c r="MV136" s="742"/>
      <c r="MW136" s="741"/>
      <c r="MX136" s="40" t="e">
        <f t="shared" si="2071"/>
        <v>#DIV/0!</v>
      </c>
      <c r="MY136" s="40" t="e">
        <f t="shared" si="1797"/>
        <v>#DIV/0!</v>
      </c>
      <c r="NA136" s="825"/>
      <c r="NB136" s="827"/>
      <c r="NC136" s="825"/>
      <c r="ND136" s="40" t="e">
        <f t="shared" si="2072"/>
        <v>#DIV/0!</v>
      </c>
      <c r="NE136" s="40" t="e">
        <f t="shared" si="1799"/>
        <v>#DIV/0!</v>
      </c>
      <c r="NG136" s="825"/>
      <c r="NH136" s="827"/>
      <c r="NI136" s="825"/>
      <c r="NJ136" s="40" t="e">
        <f t="shared" si="2073"/>
        <v>#DIV/0!</v>
      </c>
      <c r="NK136" s="40" t="e">
        <f t="shared" si="1801"/>
        <v>#DIV/0!</v>
      </c>
      <c r="NM136" s="886"/>
      <c r="NN136" s="887"/>
      <c r="NO136" s="886"/>
      <c r="NP136" s="742" t="e">
        <f t="shared" si="2074"/>
        <v>#DIV/0!</v>
      </c>
      <c r="NQ136" s="742" t="e">
        <f t="shared" si="1803"/>
        <v>#DIV/0!</v>
      </c>
      <c r="NS136" s="886"/>
      <c r="NT136" s="887"/>
      <c r="NU136" s="886"/>
      <c r="NV136" s="742" t="e">
        <f t="shared" si="2075"/>
        <v>#DIV/0!</v>
      </c>
      <c r="NW136" s="742" t="e">
        <f t="shared" si="1805"/>
        <v>#DIV/0!</v>
      </c>
      <c r="NY136" s="913">
        <f>200+200+200+200+200</f>
        <v>1000</v>
      </c>
      <c r="NZ136" s="914">
        <f>2.5+2.62+2.58+2.48+2.5</f>
        <v>12.68</v>
      </c>
      <c r="OA136" s="918">
        <v>5</v>
      </c>
      <c r="OB136" s="742">
        <f t="shared" si="2076"/>
        <v>78.864353312302839</v>
      </c>
      <c r="OC136" s="742">
        <f t="shared" si="1807"/>
        <v>2.536</v>
      </c>
      <c r="OE136" s="886"/>
      <c r="OF136" s="887"/>
      <c r="OG136" s="886"/>
      <c r="OH136" s="742" t="e">
        <f t="shared" si="2077"/>
        <v>#DIV/0!</v>
      </c>
      <c r="OI136" s="742" t="e">
        <f t="shared" si="1809"/>
        <v>#DIV/0!</v>
      </c>
    </row>
    <row r="137" spans="1:399">
      <c r="B137" s="23" t="s">
        <v>47</v>
      </c>
      <c r="C137" s="24" t="s">
        <v>48</v>
      </c>
      <c r="D137" s="61" t="s">
        <v>36</v>
      </c>
      <c r="E137" s="726">
        <f>300+300+300+300+300</f>
        <v>1500</v>
      </c>
      <c r="F137" s="45">
        <f>3.8+2.88+6.1+6.04+3.37</f>
        <v>22.19</v>
      </c>
      <c r="G137" s="45">
        <v>5</v>
      </c>
      <c r="H137" s="48">
        <f t="shared" ref="H137:H138" si="2274">E137/F137</f>
        <v>67.598017124831003</v>
      </c>
      <c r="I137" s="48">
        <f t="shared" ref="I137:I138" si="2275">F137/G137</f>
        <v>4.4380000000000006</v>
      </c>
      <c r="K137" s="45">
        <f>400+300+300</f>
        <v>1000</v>
      </c>
      <c r="L137" s="45">
        <f>4.7+3.5+3.62</f>
        <v>11.82</v>
      </c>
      <c r="M137" s="45">
        <v>3</v>
      </c>
      <c r="N137" s="48">
        <f t="shared" ref="N137:N138" si="2276">K137/L137</f>
        <v>84.602368866328248</v>
      </c>
      <c r="O137" s="48">
        <f t="shared" ref="O137:O138" si="2277">L137/M137</f>
        <v>3.94</v>
      </c>
      <c r="Q137" s="45">
        <v>750</v>
      </c>
      <c r="R137" s="45">
        <v>28.800000000000004</v>
      </c>
      <c r="S137" s="45">
        <v>5</v>
      </c>
      <c r="T137" s="48">
        <f t="shared" si="2235"/>
        <v>26.041666666666664</v>
      </c>
      <c r="U137" s="48">
        <f t="shared" si="2236"/>
        <v>5.7600000000000007</v>
      </c>
      <c r="W137" s="45">
        <f>300+300+300+300+300</f>
        <v>1500</v>
      </c>
      <c r="X137" s="45">
        <f>5.7+5.3+5.8+3.3+2.95</f>
        <v>23.05</v>
      </c>
      <c r="Y137" s="45">
        <v>5</v>
      </c>
      <c r="Z137" s="48">
        <f t="shared" ref="Z137:Z138" si="2278">W137/X137</f>
        <v>65.075921908893704</v>
      </c>
      <c r="AA137" s="48">
        <f t="shared" ref="AA137:AA138" si="2279">X137/Y137</f>
        <v>4.6100000000000003</v>
      </c>
      <c r="AC137" s="45">
        <f>300+300</f>
        <v>600</v>
      </c>
      <c r="AD137" s="45">
        <f>5.7+5.8</f>
        <v>11.5</v>
      </c>
      <c r="AE137" s="45">
        <v>2</v>
      </c>
      <c r="AF137" s="48">
        <f t="shared" ref="AF137:AF138" si="2280">AC137/AD137</f>
        <v>52.173913043478258</v>
      </c>
      <c r="AG137" s="48">
        <f t="shared" ref="AG137:AG138" si="2281">AD137/AE137</f>
        <v>5.75</v>
      </c>
      <c r="AI137" s="45">
        <f>300+300+300+300+300</f>
        <v>1500</v>
      </c>
      <c r="AJ137" s="45">
        <f>5.32+5.47+4.54+4.66+4.63</f>
        <v>24.619999999999997</v>
      </c>
      <c r="AK137" s="45">
        <v>5</v>
      </c>
      <c r="AL137" s="48">
        <f t="shared" ref="AL137:AL138" si="2282">AI137/AJ137</f>
        <v>60.92607636068238</v>
      </c>
      <c r="AM137" s="48">
        <f t="shared" si="2246"/>
        <v>4.9239999999999995</v>
      </c>
      <c r="AO137" s="45"/>
      <c r="AP137" s="45"/>
      <c r="AQ137" s="45"/>
      <c r="AR137" s="48"/>
      <c r="AS137" s="48"/>
      <c r="AU137" s="45">
        <f>300+300+300+300+300</f>
        <v>1500</v>
      </c>
      <c r="AV137" s="45">
        <f>3.32+3.39+3.39+3.47+3.49</f>
        <v>17.060000000000002</v>
      </c>
      <c r="AW137" s="45">
        <v>5</v>
      </c>
      <c r="AX137" s="48">
        <f t="shared" ref="AX137:AX138" si="2283">AU137/AV137</f>
        <v>87.924970691676421</v>
      </c>
      <c r="AY137" s="48">
        <f t="shared" si="2147"/>
        <v>3.4120000000000004</v>
      </c>
      <c r="AZ137" s="593"/>
      <c r="BA137" s="45">
        <f>300+300+300+300+300+300</f>
        <v>1800</v>
      </c>
      <c r="BB137" s="45">
        <f>4.19+4.41+4.02+4.62+4.14+4.09</f>
        <v>25.470000000000002</v>
      </c>
      <c r="BC137" s="45">
        <v>6</v>
      </c>
      <c r="BD137" s="48">
        <f t="shared" ref="BD137:BD138" si="2284">BA137/BB137</f>
        <v>70.671378091872782</v>
      </c>
      <c r="BE137" s="48">
        <f t="shared" si="2120"/>
        <v>4.2450000000000001</v>
      </c>
      <c r="BF137" s="593"/>
      <c r="BG137" s="45"/>
      <c r="BH137" s="45"/>
      <c r="BI137" s="45"/>
      <c r="BJ137" s="48"/>
      <c r="BK137" s="48"/>
      <c r="BL137" s="593"/>
      <c r="BM137" s="45"/>
      <c r="BN137" s="45"/>
      <c r="BO137" s="45"/>
      <c r="BP137" s="48"/>
      <c r="BQ137" s="48"/>
      <c r="BS137" s="45"/>
      <c r="BT137" s="45"/>
      <c r="BU137" s="45"/>
      <c r="BV137" s="48"/>
      <c r="BW137" s="48"/>
      <c r="BX137" s="593"/>
      <c r="BY137" s="45">
        <f>300+350+400+450+350</f>
        <v>1850</v>
      </c>
      <c r="BZ137" s="45">
        <f>4.3+3.9+3.65+4.1+4.2</f>
        <v>20.149999999999999</v>
      </c>
      <c r="CA137" s="45">
        <v>5</v>
      </c>
      <c r="CB137" s="48">
        <f t="shared" ref="CB137:CB138" si="2285">BY137/BZ137</f>
        <v>91.811414392059561</v>
      </c>
      <c r="CC137" s="48">
        <f t="shared" ref="CC137:CC138" si="2286">BZ137/CA137</f>
        <v>4.0299999999999994</v>
      </c>
      <c r="CD137" s="593"/>
      <c r="CE137" s="45"/>
      <c r="CF137" s="45"/>
      <c r="CG137" s="45"/>
      <c r="CH137" s="48"/>
      <c r="CI137" s="48"/>
      <c r="CJ137" s="593"/>
      <c r="CK137" s="45">
        <v>1400</v>
      </c>
      <c r="CL137" s="45">
        <v>25.82</v>
      </c>
      <c r="CM137" s="45">
        <v>5</v>
      </c>
      <c r="CN137" s="48">
        <f t="shared" ref="CN137:CN138" si="2287">CK137/CL137</f>
        <v>54.221533694810226</v>
      </c>
      <c r="CO137" s="48">
        <f t="shared" ref="CO137:CO138" si="2288">CL137/CM137</f>
        <v>5.1639999999999997</v>
      </c>
      <c r="CP137" s="593"/>
      <c r="CQ137" s="45">
        <f>150+150+150+150+150</f>
        <v>750</v>
      </c>
      <c r="CR137" s="45">
        <f>4.47+4.39+4.19+3.99+3.96</f>
        <v>21</v>
      </c>
      <c r="CS137" s="45">
        <v>5</v>
      </c>
      <c r="CT137" s="48">
        <f t="shared" ref="CT137:CT138" si="2289">CQ137/CR137</f>
        <v>35.714285714285715</v>
      </c>
      <c r="CU137" s="48">
        <f t="shared" ref="CU137:CU138" si="2290">CR137/CS137</f>
        <v>4.2</v>
      </c>
      <c r="CV137" s="593"/>
      <c r="CW137" s="45">
        <f>300+350+400+450+350</f>
        <v>1850</v>
      </c>
      <c r="CX137" s="45">
        <f>4.3+3.9+3.65+4.1+4.2</f>
        <v>20.149999999999999</v>
      </c>
      <c r="CY137" s="45">
        <v>5</v>
      </c>
      <c r="CZ137" s="48">
        <f t="shared" si="2249"/>
        <v>91.811414392059561</v>
      </c>
      <c r="DA137" s="48">
        <f t="shared" si="2250"/>
        <v>4.0299999999999994</v>
      </c>
      <c r="DB137" s="593"/>
      <c r="DC137" s="45">
        <f>250+250+250+250+250</f>
        <v>1250</v>
      </c>
      <c r="DD137" s="45">
        <f>6.34+5.35+5.4+5.92+4.26</f>
        <v>27.269999999999996</v>
      </c>
      <c r="DE137" s="45">
        <v>5</v>
      </c>
      <c r="DF137" s="48">
        <f t="shared" ref="DF137:DF138" si="2291">DC137/DD137</f>
        <v>45.837917125045841</v>
      </c>
      <c r="DG137" s="48">
        <f t="shared" ref="DG137:DG138" si="2292">DD137/DE137</f>
        <v>5.4539999999999988</v>
      </c>
      <c r="DH137" s="593"/>
      <c r="DI137" s="45">
        <v>400</v>
      </c>
      <c r="DJ137" s="45">
        <v>11.7</v>
      </c>
      <c r="DK137" s="45">
        <v>2</v>
      </c>
      <c r="DL137" s="48">
        <f>DI137/DJ137</f>
        <v>34.188034188034187</v>
      </c>
      <c r="DM137" s="48">
        <f t="shared" si="2252"/>
        <v>5.85</v>
      </c>
      <c r="DN137" s="593"/>
      <c r="DO137" s="45">
        <v>1500</v>
      </c>
      <c r="DP137" s="45">
        <v>24.08</v>
      </c>
      <c r="DQ137" s="45">
        <v>5</v>
      </c>
      <c r="DR137" s="48">
        <f t="shared" si="2253"/>
        <v>62.292358803986716</v>
      </c>
      <c r="DS137" s="48">
        <f t="shared" si="2254"/>
        <v>4.8159999999999998</v>
      </c>
      <c r="DT137" s="593"/>
      <c r="DU137" s="45"/>
      <c r="DV137" s="45"/>
      <c r="DW137" s="45"/>
      <c r="DX137" s="48"/>
      <c r="DY137" s="48"/>
      <c r="DZ137" s="593"/>
      <c r="EA137" s="45"/>
      <c r="EB137" s="45"/>
      <c r="EC137" s="45"/>
      <c r="ED137" s="48"/>
      <c r="EE137" s="48"/>
      <c r="EF137" s="593"/>
      <c r="EG137" s="45"/>
      <c r="EH137" s="45"/>
      <c r="EI137" s="45"/>
      <c r="EJ137" s="48"/>
      <c r="EK137" s="48"/>
      <c r="EL137" s="593"/>
      <c r="EM137" s="45"/>
      <c r="EN137" s="45"/>
      <c r="EO137" s="45"/>
      <c r="EP137" s="48"/>
      <c r="EQ137" s="48"/>
      <c r="ES137" s="45">
        <f>300+350+400+450+350</f>
        <v>1850</v>
      </c>
      <c r="ET137" s="45">
        <f>4.3+3.9+3.65+4.1+4.2</f>
        <v>20.149999999999999</v>
      </c>
      <c r="EU137" s="45">
        <v>5</v>
      </c>
      <c r="EV137" s="48">
        <f t="shared" si="1890"/>
        <v>91.811414392059561</v>
      </c>
      <c r="EW137" s="48">
        <f t="shared" si="1890"/>
        <v>4.0299999999999994</v>
      </c>
      <c r="EY137" s="45">
        <v>1500</v>
      </c>
      <c r="EZ137" s="45">
        <v>24.619999999999997</v>
      </c>
      <c r="FA137" s="45">
        <v>5</v>
      </c>
      <c r="FB137" s="48">
        <f t="shared" si="2255"/>
        <v>60.92607636068238</v>
      </c>
      <c r="FC137" s="48">
        <f t="shared" si="2255"/>
        <v>4.9239999999999995</v>
      </c>
      <c r="FE137" s="26">
        <v>750</v>
      </c>
      <c r="FF137" s="45">
        <v>28.800000000000004</v>
      </c>
      <c r="FG137" s="45">
        <v>5</v>
      </c>
      <c r="FH137" s="48">
        <f t="shared" si="1827"/>
        <v>26.041666666666664</v>
      </c>
      <c r="FI137" s="48">
        <f t="shared" si="1827"/>
        <v>5.7600000000000007</v>
      </c>
      <c r="FK137" s="38">
        <f>200+200+200+200+200</f>
        <v>1000</v>
      </c>
      <c r="FL137" s="40">
        <f>5+6.18+4.72+4.9+4.5</f>
        <v>25.299999999999997</v>
      </c>
      <c r="FM137" s="38">
        <f>5</f>
        <v>5</v>
      </c>
      <c r="FN137" s="40">
        <f t="shared" si="1950"/>
        <v>39.525691699604749</v>
      </c>
      <c r="FO137" s="40">
        <f t="shared" si="1932"/>
        <v>5.0599999999999996</v>
      </c>
      <c r="FP137" s="231"/>
      <c r="FQ137" s="45">
        <f>100+100+100+200+200</f>
        <v>700</v>
      </c>
      <c r="FR137" s="45">
        <f>4.37+4.69+4.57+5.1+5.06</f>
        <v>23.79</v>
      </c>
      <c r="FS137" s="45">
        <f>5</f>
        <v>5</v>
      </c>
      <c r="FT137" s="48">
        <f t="shared" si="1765"/>
        <v>29.424127784783522</v>
      </c>
      <c r="FU137" s="48">
        <f t="shared" si="1765"/>
        <v>4.758</v>
      </c>
      <c r="FW137" s="45">
        <f>250+250+250+250+250</f>
        <v>1250</v>
      </c>
      <c r="FX137" s="45">
        <f>6.34+5.35+5.4+5.92+4.26</f>
        <v>27.269999999999996</v>
      </c>
      <c r="FY137" s="45">
        <v>5</v>
      </c>
      <c r="FZ137" s="48">
        <f t="shared" si="1766"/>
        <v>45.837917125045841</v>
      </c>
      <c r="GA137" s="48">
        <f t="shared" si="1766"/>
        <v>5.4539999999999988</v>
      </c>
      <c r="GC137" s="26">
        <f>200+200+250+250+250</f>
        <v>1150</v>
      </c>
      <c r="GD137" s="45">
        <f>5.26+5.53+5.28+4.65+4.66</f>
        <v>25.38</v>
      </c>
      <c r="GE137" s="45">
        <f>5</f>
        <v>5</v>
      </c>
      <c r="GF137" s="48">
        <f t="shared" si="1767"/>
        <v>45.311268715524037</v>
      </c>
      <c r="GG137" s="48">
        <f t="shared" si="1767"/>
        <v>5.0759999999999996</v>
      </c>
      <c r="GI137" s="45">
        <f>200+200+250+250+300</f>
        <v>1200</v>
      </c>
      <c r="GJ137" s="45">
        <f>7.12+6.96+6.8+6+6.1</f>
        <v>32.979999999999997</v>
      </c>
      <c r="GK137" s="45">
        <f>5</f>
        <v>5</v>
      </c>
      <c r="GL137" s="48">
        <f t="shared" si="1768"/>
        <v>36.385688295936937</v>
      </c>
      <c r="GM137" s="48">
        <f t="shared" si="1768"/>
        <v>6.5959999999999992</v>
      </c>
      <c r="GO137" s="45">
        <f>300+300+300+300+300</f>
        <v>1500</v>
      </c>
      <c r="GP137" s="45">
        <f>13.58+15.14+17.9+14.52+4.58</f>
        <v>65.72</v>
      </c>
      <c r="GQ137" s="45">
        <f>5</f>
        <v>5</v>
      </c>
      <c r="GR137" s="48">
        <f t="shared" si="1769"/>
        <v>22.82410225197809</v>
      </c>
      <c r="GS137" s="48">
        <f t="shared" si="1769"/>
        <v>13.144</v>
      </c>
      <c r="GU137" s="99">
        <f>300+300+300+300+300</f>
        <v>1500</v>
      </c>
      <c r="GV137" s="99">
        <f>4.84+4.77+4.72+4.09+3.29</f>
        <v>21.709999999999997</v>
      </c>
      <c r="GW137" s="99">
        <v>5</v>
      </c>
      <c r="GX137" s="101">
        <f t="shared" si="1770"/>
        <v>69.092584062643951</v>
      </c>
      <c r="GY137" s="101">
        <f t="shared" si="1770"/>
        <v>4.3419999999999996</v>
      </c>
      <c r="GZ137" s="43"/>
      <c r="HA137" s="28">
        <f>250+250+200+250+250</f>
        <v>1200</v>
      </c>
      <c r="HB137" s="28">
        <f>3.78+3.55+5.76+5.55+4.9</f>
        <v>23.54</v>
      </c>
      <c r="HC137" s="27">
        <v>5</v>
      </c>
      <c r="HD137" s="40">
        <f t="shared" si="1771"/>
        <v>50.977060322854719</v>
      </c>
      <c r="HE137" s="40">
        <f t="shared" si="1771"/>
        <v>4.7080000000000002</v>
      </c>
      <c r="HG137" s="45">
        <v>1500</v>
      </c>
      <c r="HH137" s="45">
        <v>24.08</v>
      </c>
      <c r="HI137" s="45">
        <v>5</v>
      </c>
      <c r="HJ137" s="48">
        <f t="shared" si="2122"/>
        <v>62.292358803986716</v>
      </c>
      <c r="HK137" s="48">
        <f t="shared" si="2123"/>
        <v>4.8159999999999998</v>
      </c>
      <c r="HM137" s="45">
        <f>300+300+300+300+300</f>
        <v>1500</v>
      </c>
      <c r="HN137" s="45">
        <f>3.8+2.88+6.1+6.04+3.37</f>
        <v>22.19</v>
      </c>
      <c r="HO137" s="45">
        <v>5</v>
      </c>
      <c r="HP137" s="48">
        <f t="shared" si="1839"/>
        <v>67.598017124831003</v>
      </c>
      <c r="HQ137" s="48">
        <f t="shared" si="1839"/>
        <v>4.4380000000000006</v>
      </c>
      <c r="HS137" s="26">
        <f>400+300+300</f>
        <v>1000</v>
      </c>
      <c r="HT137" s="45">
        <f>4.7+3.5+3.62</f>
        <v>11.82</v>
      </c>
      <c r="HU137" s="45">
        <v>3</v>
      </c>
      <c r="HV137" s="48">
        <f t="shared" si="1933"/>
        <v>84.602368866328248</v>
      </c>
      <c r="HW137" s="48">
        <f t="shared" si="1933"/>
        <v>3.94</v>
      </c>
      <c r="HX137" s="231"/>
      <c r="HY137" s="38">
        <f>200+200+200+200+200</f>
        <v>1000</v>
      </c>
      <c r="HZ137" s="40">
        <f>7.02+6.19+7.21+6.51+6.32</f>
        <v>33.25</v>
      </c>
      <c r="IA137" s="38">
        <f>5</f>
        <v>5</v>
      </c>
      <c r="IB137" s="40">
        <f t="shared" si="1828"/>
        <v>30.075187969924812</v>
      </c>
      <c r="IC137" s="40">
        <f t="shared" si="1840"/>
        <v>6.65</v>
      </c>
      <c r="IE137" s="38">
        <f>250+230+250+200+200</f>
        <v>1130</v>
      </c>
      <c r="IF137" s="40">
        <f>6.12+7.65+6.82+6.52+6.15</f>
        <v>33.26</v>
      </c>
      <c r="IG137" s="38">
        <f>5</f>
        <v>5</v>
      </c>
      <c r="IH137" s="40">
        <f t="shared" si="1841"/>
        <v>33.974744437763079</v>
      </c>
      <c r="II137" s="40">
        <f t="shared" si="1842"/>
        <v>6.6519999999999992</v>
      </c>
      <c r="IK137" s="38">
        <f>300+300+300+300+300</f>
        <v>1500</v>
      </c>
      <c r="IL137" s="40">
        <f>6.17+6.08+5.34+5.91+5.66</f>
        <v>29.16</v>
      </c>
      <c r="IM137" s="38">
        <v>5</v>
      </c>
      <c r="IN137" s="40">
        <f t="shared" si="2256"/>
        <v>51.440329218106996</v>
      </c>
      <c r="IO137" s="40">
        <f t="shared" si="2257"/>
        <v>5.8319999999999999</v>
      </c>
      <c r="IQ137" s="38">
        <f>300+300+300+250+250</f>
        <v>1400</v>
      </c>
      <c r="IR137" s="40">
        <f>6.72+5.71+6.38+6.03+5.97</f>
        <v>30.81</v>
      </c>
      <c r="IS137" s="38">
        <v>5</v>
      </c>
      <c r="IT137" s="40">
        <f t="shared" si="2258"/>
        <v>45.439792275235313</v>
      </c>
      <c r="IU137" s="40">
        <f t="shared" si="2259"/>
        <v>6.1619999999999999</v>
      </c>
      <c r="IW137" s="38">
        <f>300+300+300</f>
        <v>900</v>
      </c>
      <c r="IX137" s="40">
        <f>4.95+5.49+5.68</f>
        <v>16.12</v>
      </c>
      <c r="IY137" s="38">
        <v>3</v>
      </c>
      <c r="IZ137" s="40">
        <f t="shared" si="2260"/>
        <v>55.831265508684858</v>
      </c>
      <c r="JA137" s="40">
        <f t="shared" si="2261"/>
        <v>5.373333333333334</v>
      </c>
      <c r="JC137" s="38">
        <f>300+300+300+250+250</f>
        <v>1400</v>
      </c>
      <c r="JD137" s="40">
        <f>6.61+6.72+7.39+5.52+5.33</f>
        <v>31.57</v>
      </c>
      <c r="JE137" s="38">
        <v>5</v>
      </c>
      <c r="JF137" s="40">
        <f t="shared" si="2262"/>
        <v>44.345898004434588</v>
      </c>
      <c r="JG137" s="40">
        <f t="shared" si="2263"/>
        <v>6.3140000000000001</v>
      </c>
      <c r="JI137" s="38">
        <f>350+300+300+300+300</f>
        <v>1550</v>
      </c>
      <c r="JJ137" s="40">
        <f>6.34+5.74+5.66+6.09+6.02</f>
        <v>29.85</v>
      </c>
      <c r="JK137" s="38">
        <v>5</v>
      </c>
      <c r="JL137" s="40">
        <f t="shared" si="2264"/>
        <v>51.926298157453935</v>
      </c>
      <c r="JM137" s="40">
        <f t="shared" si="2265"/>
        <v>5.9700000000000006</v>
      </c>
      <c r="JO137" s="38">
        <f>250+250+250+250+250</f>
        <v>1250</v>
      </c>
      <c r="JP137" s="40">
        <f>5.2+5.07+4.96+5.08+4.84</f>
        <v>25.150000000000002</v>
      </c>
      <c r="JQ137" s="38">
        <v>5</v>
      </c>
      <c r="JR137" s="40">
        <f t="shared" si="2266"/>
        <v>49.701789264413513</v>
      </c>
      <c r="JS137" s="40">
        <f t="shared" si="2267"/>
        <v>5.03</v>
      </c>
      <c r="JU137" s="38">
        <f>300+300+300+300+300</f>
        <v>1500</v>
      </c>
      <c r="JV137" s="40">
        <f>6.36+6.01+6.13+6.33+6.42</f>
        <v>31.25</v>
      </c>
      <c r="JW137" s="38">
        <v>5</v>
      </c>
      <c r="JX137" s="40">
        <f t="shared" si="2268"/>
        <v>48</v>
      </c>
      <c r="JY137" s="40">
        <f t="shared" si="2269"/>
        <v>6.25</v>
      </c>
      <c r="KA137" s="38">
        <f>200+250+300+250+200</f>
        <v>1200</v>
      </c>
      <c r="KB137" s="40">
        <f>3.99+5.18+5.61+5.35+6.65</f>
        <v>26.78</v>
      </c>
      <c r="KC137" s="38">
        <v>5</v>
      </c>
      <c r="KD137" s="40">
        <f t="shared" ref="KD137:KD138" si="2293">KA137/KB137</f>
        <v>44.809559372666165</v>
      </c>
      <c r="KE137" s="40">
        <f t="shared" ref="KE137:KE138" si="2294">KB137/KC137</f>
        <v>5.3559999999999999</v>
      </c>
      <c r="KG137" s="38">
        <f>200+200+200+200+200</f>
        <v>1000</v>
      </c>
      <c r="KH137" s="40">
        <f>5.48+5.01+4.99+4.94+5.58</f>
        <v>26</v>
      </c>
      <c r="KI137" s="38">
        <v>5</v>
      </c>
      <c r="KJ137" s="40">
        <f t="shared" si="2060"/>
        <v>38.46153846153846</v>
      </c>
      <c r="KK137" s="40">
        <f t="shared" si="1853"/>
        <v>5.2</v>
      </c>
      <c r="KM137" s="38">
        <f>300+300+300+300+300</f>
        <v>1500</v>
      </c>
      <c r="KN137" s="40">
        <f>4.22+4.9+4.45+4.71+4.84</f>
        <v>23.12</v>
      </c>
      <c r="KO137" s="38">
        <v>5</v>
      </c>
      <c r="KP137" s="40">
        <f t="shared" si="2061"/>
        <v>64.878892733564015</v>
      </c>
      <c r="KQ137" s="40">
        <f t="shared" si="1777"/>
        <v>4.6240000000000006</v>
      </c>
      <c r="KS137" s="38">
        <f>350+350+250+250+250</f>
        <v>1450</v>
      </c>
      <c r="KT137" s="40">
        <f>6.7+6.26+4.09+6.67+6.62</f>
        <v>30.34</v>
      </c>
      <c r="KU137" s="38">
        <v>5</v>
      </c>
      <c r="KV137" s="40">
        <f t="shared" si="2062"/>
        <v>47.791694133157549</v>
      </c>
      <c r="KW137" s="40">
        <f t="shared" si="1779"/>
        <v>6.0679999999999996</v>
      </c>
      <c r="KY137" s="38"/>
      <c r="KZ137" s="40"/>
      <c r="LA137" s="38"/>
      <c r="LB137" s="40" t="e">
        <f t="shared" si="2063"/>
        <v>#DIV/0!</v>
      </c>
      <c r="LC137" s="40" t="e">
        <f t="shared" si="1781"/>
        <v>#DIV/0!</v>
      </c>
      <c r="LE137" s="38">
        <f>350+350+250+300+300</f>
        <v>1550</v>
      </c>
      <c r="LF137" s="40">
        <f>3.99+6.68+3.67+4.26+4.79</f>
        <v>23.39</v>
      </c>
      <c r="LG137" s="38">
        <v>5</v>
      </c>
      <c r="LH137" s="40">
        <f t="shared" si="2064"/>
        <v>66.267635741769979</v>
      </c>
      <c r="LI137" s="40">
        <f t="shared" si="1783"/>
        <v>4.6779999999999999</v>
      </c>
      <c r="LK137" s="38">
        <f>300+300+300+300+300</f>
        <v>1500</v>
      </c>
      <c r="LL137" s="40">
        <f>6.97</f>
        <v>6.97</v>
      </c>
      <c r="LM137" s="38">
        <v>5</v>
      </c>
      <c r="LN137" s="40">
        <f t="shared" si="2065"/>
        <v>215.20803443328552</v>
      </c>
      <c r="LO137" s="40">
        <f t="shared" si="1785"/>
        <v>1.3939999999999999</v>
      </c>
      <c r="LQ137" s="38">
        <f>300+300+250+250+250</f>
        <v>1350</v>
      </c>
      <c r="LR137" s="40">
        <f>6.8+7.31+5.06+5.46+5.44</f>
        <v>30.07</v>
      </c>
      <c r="LS137" s="38">
        <v>5</v>
      </c>
      <c r="LT137" s="40">
        <f t="shared" si="2066"/>
        <v>44.895244429664118</v>
      </c>
      <c r="LU137" s="40">
        <f t="shared" si="1787"/>
        <v>6.0140000000000002</v>
      </c>
      <c r="LW137" s="38">
        <f>200+200+200+200+200</f>
        <v>1000</v>
      </c>
      <c r="LX137" s="40">
        <f>5.35+4.13+4.57+4.15+4.19</f>
        <v>22.390000000000004</v>
      </c>
      <c r="LY137" s="38">
        <v>5</v>
      </c>
      <c r="LZ137" s="40">
        <f t="shared" si="2067"/>
        <v>44.662795891022768</v>
      </c>
      <c r="MA137" s="40">
        <f t="shared" si="1789"/>
        <v>4.4780000000000006</v>
      </c>
      <c r="MC137" s="38">
        <f>300+300+300+250+250</f>
        <v>1400</v>
      </c>
      <c r="MD137" s="40">
        <f>3.45+3.62+3.76+2.98+2.65</f>
        <v>16.46</v>
      </c>
      <c r="ME137" s="38">
        <v>5</v>
      </c>
      <c r="MF137" s="40">
        <f t="shared" si="2068"/>
        <v>85.054678007290391</v>
      </c>
      <c r="MG137" s="40">
        <f t="shared" si="1791"/>
        <v>3.2920000000000003</v>
      </c>
      <c r="MI137" s="38">
        <f>300+300+300+300+300</f>
        <v>1500</v>
      </c>
      <c r="MJ137" s="40">
        <f>6.83+6.85+6.43+6.83+5.02</f>
        <v>31.959999999999997</v>
      </c>
      <c r="MK137" s="38">
        <v>5</v>
      </c>
      <c r="ML137" s="40">
        <f t="shared" si="2069"/>
        <v>46.933667083854822</v>
      </c>
      <c r="MM137" s="40">
        <f t="shared" si="1793"/>
        <v>6.3919999999999995</v>
      </c>
      <c r="MO137" s="38"/>
      <c r="MP137" s="40"/>
      <c r="MQ137" s="38"/>
      <c r="MR137" s="40" t="e">
        <f t="shared" si="2070"/>
        <v>#DIV/0!</v>
      </c>
      <c r="MS137" s="40" t="e">
        <f t="shared" si="1795"/>
        <v>#DIV/0!</v>
      </c>
      <c r="MU137" s="38"/>
      <c r="MV137" s="40"/>
      <c r="MW137" s="38"/>
      <c r="MX137" s="40" t="e">
        <f t="shared" si="2071"/>
        <v>#DIV/0!</v>
      </c>
      <c r="MY137" s="40" t="e">
        <f t="shared" si="1797"/>
        <v>#DIV/0!</v>
      </c>
      <c r="NA137" s="825">
        <f>200+200+200+200+200</f>
        <v>1000</v>
      </c>
      <c r="NB137" s="826">
        <f>5.36+5.23+5.73+5.66+5.67</f>
        <v>27.65</v>
      </c>
      <c r="NC137" s="825">
        <v>5</v>
      </c>
      <c r="ND137" s="40">
        <f t="shared" si="2072"/>
        <v>36.166365280289334</v>
      </c>
      <c r="NE137" s="40">
        <f t="shared" si="1799"/>
        <v>5.5299999999999994</v>
      </c>
      <c r="NG137" s="825">
        <f>200+200+200+200+200</f>
        <v>1000</v>
      </c>
      <c r="NH137" s="826">
        <f>6+5.15+5+4.5+5</f>
        <v>25.65</v>
      </c>
      <c r="NI137" s="825">
        <v>5</v>
      </c>
      <c r="NJ137" s="40">
        <f t="shared" si="2073"/>
        <v>38.98635477582846</v>
      </c>
      <c r="NK137" s="40">
        <f t="shared" si="1801"/>
        <v>5.13</v>
      </c>
      <c r="NM137" s="825">
        <f>200+200+200+200+200</f>
        <v>1000</v>
      </c>
      <c r="NN137" s="826">
        <f>7.7+6.57+7.5+4.91+4.6</f>
        <v>31.28</v>
      </c>
      <c r="NO137" s="825">
        <v>5</v>
      </c>
      <c r="NP137" s="40">
        <f t="shared" si="2074"/>
        <v>31.9693094629156</v>
      </c>
      <c r="NQ137" s="40">
        <f t="shared" si="1803"/>
        <v>6.2560000000000002</v>
      </c>
      <c r="NS137" s="904">
        <f>200+200+250+250+250</f>
        <v>1150</v>
      </c>
      <c r="NT137" s="905">
        <f>12.18+13+13.3+11.36+14.66</f>
        <v>64.5</v>
      </c>
      <c r="NU137" s="825">
        <v>5</v>
      </c>
      <c r="NV137" s="40">
        <f t="shared" si="2075"/>
        <v>17.829457364341085</v>
      </c>
      <c r="NW137" s="40">
        <f t="shared" si="1805"/>
        <v>12.9</v>
      </c>
      <c r="NY137" s="913">
        <f>150+150+150+150+150</f>
        <v>750</v>
      </c>
      <c r="NZ137" s="914">
        <f>5+4.8+5.35+5.21+5.2</f>
        <v>25.56</v>
      </c>
      <c r="OA137" s="918">
        <v>5</v>
      </c>
      <c r="OB137" s="40">
        <f t="shared" si="2076"/>
        <v>29.342723004694836</v>
      </c>
      <c r="OC137" s="40">
        <f t="shared" si="1807"/>
        <v>5.1120000000000001</v>
      </c>
      <c r="OE137" s="825">
        <f>250+250+250+250+250</f>
        <v>1250</v>
      </c>
      <c r="OF137" s="826">
        <f>4.87+3.76+4.32+3.96+3.66</f>
        <v>20.57</v>
      </c>
      <c r="OG137" s="825">
        <v>5</v>
      </c>
      <c r="OH137" s="40">
        <f t="shared" si="2077"/>
        <v>60.768108896451139</v>
      </c>
      <c r="OI137" s="40">
        <f t="shared" si="1809"/>
        <v>4.1139999999999999</v>
      </c>
    </row>
    <row r="138" spans="1:399" ht="15" thickBot="1">
      <c r="B138" s="25"/>
      <c r="C138" s="17" t="s">
        <v>49</v>
      </c>
      <c r="D138" s="65" t="s">
        <v>14</v>
      </c>
      <c r="E138" s="726">
        <f>200+100+100+50+50</f>
        <v>500</v>
      </c>
      <c r="F138" s="45">
        <f>1.36+0.82+0.86+0.46+0.54</f>
        <v>4.04</v>
      </c>
      <c r="G138" s="45">
        <v>5</v>
      </c>
      <c r="H138" s="48">
        <f t="shared" si="2274"/>
        <v>123.76237623762376</v>
      </c>
      <c r="I138" s="48">
        <f t="shared" si="2275"/>
        <v>0.80800000000000005</v>
      </c>
      <c r="K138" s="45">
        <f>150+150+150</f>
        <v>450</v>
      </c>
      <c r="L138" s="45">
        <f>0.91+0.93+0.82</f>
        <v>2.66</v>
      </c>
      <c r="M138" s="45">
        <v>3</v>
      </c>
      <c r="N138" s="48">
        <f t="shared" si="2276"/>
        <v>169.17293233082705</v>
      </c>
      <c r="O138" s="48">
        <f t="shared" si="2277"/>
        <v>0.88666666666666671</v>
      </c>
      <c r="Q138" s="45">
        <v>650</v>
      </c>
      <c r="R138" s="45">
        <v>4.3</v>
      </c>
      <c r="S138" s="45">
        <v>5</v>
      </c>
      <c r="T138" s="48">
        <f t="shared" si="2235"/>
        <v>151.16279069767444</v>
      </c>
      <c r="U138" s="48">
        <f t="shared" si="2236"/>
        <v>0.86</v>
      </c>
      <c r="W138" s="45">
        <f>150+100+50+100+100</f>
        <v>500</v>
      </c>
      <c r="X138" s="45">
        <f>0.73+0.63+0.48+0.58+0.58</f>
        <v>3</v>
      </c>
      <c r="Y138" s="45">
        <v>5</v>
      </c>
      <c r="Z138" s="48">
        <f t="shared" si="2278"/>
        <v>166.66666666666666</v>
      </c>
      <c r="AA138" s="48">
        <f t="shared" si="2279"/>
        <v>0.6</v>
      </c>
      <c r="AC138" s="45">
        <f>150+150+100</f>
        <v>400</v>
      </c>
      <c r="AD138" s="45">
        <f>0.9+0.8+0.6</f>
        <v>2.3000000000000003</v>
      </c>
      <c r="AE138" s="45">
        <v>3</v>
      </c>
      <c r="AF138" s="48">
        <f t="shared" si="2280"/>
        <v>173.91304347826085</v>
      </c>
      <c r="AG138" s="48">
        <f t="shared" si="2281"/>
        <v>0.76666666666666672</v>
      </c>
      <c r="AI138" s="45">
        <f>200+100+50+100+150</f>
        <v>600</v>
      </c>
      <c r="AJ138" s="45">
        <f>0.88+0.65+0.52+0.77+0.82</f>
        <v>3.6399999999999997</v>
      </c>
      <c r="AK138" s="45">
        <v>5</v>
      </c>
      <c r="AL138" s="48">
        <f t="shared" si="2282"/>
        <v>164.83516483516485</v>
      </c>
      <c r="AM138" s="48">
        <f t="shared" si="2246"/>
        <v>0.72799999999999998</v>
      </c>
      <c r="AO138" s="45"/>
      <c r="AP138" s="45"/>
      <c r="AQ138" s="45"/>
      <c r="AR138" s="48"/>
      <c r="AS138" s="48"/>
      <c r="AU138" s="45">
        <f>100+100+100+150+150</f>
        <v>600</v>
      </c>
      <c r="AV138" s="45">
        <f>0.68+0.7+0.7+0.85+0.77</f>
        <v>3.7</v>
      </c>
      <c r="AW138" s="45">
        <v>5</v>
      </c>
      <c r="AX138" s="48">
        <f t="shared" si="2283"/>
        <v>162.16216216216216</v>
      </c>
      <c r="AY138" s="48">
        <f t="shared" si="2147"/>
        <v>0.74</v>
      </c>
      <c r="AZ138" s="593"/>
      <c r="BA138" s="45">
        <f>200+200+200+200</f>
        <v>800</v>
      </c>
      <c r="BB138" s="45">
        <f>0.86+0.84+0.91+0.88</f>
        <v>3.4899999999999998</v>
      </c>
      <c r="BC138" s="45">
        <v>4</v>
      </c>
      <c r="BD138" s="48">
        <f t="shared" si="2284"/>
        <v>229.22636103151865</v>
      </c>
      <c r="BE138" s="48">
        <f t="shared" si="2120"/>
        <v>0.87249999999999994</v>
      </c>
      <c r="BF138" s="593"/>
      <c r="BG138" s="45"/>
      <c r="BH138" s="45"/>
      <c r="BI138" s="45"/>
      <c r="BJ138" s="48"/>
      <c r="BK138" s="48"/>
      <c r="BL138" s="593"/>
      <c r="BM138" s="45"/>
      <c r="BN138" s="45"/>
      <c r="BO138" s="45"/>
      <c r="BP138" s="48"/>
      <c r="BQ138" s="48"/>
      <c r="BS138" s="45"/>
      <c r="BT138" s="45"/>
      <c r="BU138" s="45"/>
      <c r="BV138" s="48"/>
      <c r="BW138" s="48"/>
      <c r="BX138" s="593"/>
      <c r="BY138" s="45">
        <f>100+100+100+150+150</f>
        <v>600</v>
      </c>
      <c r="BZ138" s="45">
        <f>0.75+0.85+0.65+0.85+0.95</f>
        <v>4.05</v>
      </c>
      <c r="CA138" s="45">
        <v>5</v>
      </c>
      <c r="CB138" s="48">
        <f t="shared" si="2285"/>
        <v>148.14814814814815</v>
      </c>
      <c r="CC138" s="48">
        <f t="shared" si="2286"/>
        <v>0.80999999999999994</v>
      </c>
      <c r="CD138" s="593"/>
      <c r="CE138" s="45"/>
      <c r="CF138" s="45"/>
      <c r="CG138" s="45"/>
      <c r="CH138" s="48"/>
      <c r="CI138" s="48"/>
      <c r="CJ138" s="593"/>
      <c r="CK138" s="45">
        <v>550</v>
      </c>
      <c r="CL138" s="45">
        <v>4.3599999999999994</v>
      </c>
      <c r="CM138" s="45">
        <v>5</v>
      </c>
      <c r="CN138" s="48">
        <f t="shared" si="2287"/>
        <v>126.1467889908257</v>
      </c>
      <c r="CO138" s="48">
        <f t="shared" si="2288"/>
        <v>0.87199999999999989</v>
      </c>
      <c r="CP138" s="593"/>
      <c r="CQ138" s="45">
        <f>100+100+100+150+150</f>
        <v>600</v>
      </c>
      <c r="CR138" s="45">
        <f>0.72+0.72+0.85+1.12+0.96</f>
        <v>4.37</v>
      </c>
      <c r="CS138" s="45">
        <v>5</v>
      </c>
      <c r="CT138" s="48">
        <f t="shared" si="2289"/>
        <v>137.29977116704805</v>
      </c>
      <c r="CU138" s="48">
        <f t="shared" si="2290"/>
        <v>0.874</v>
      </c>
      <c r="CV138" s="593"/>
      <c r="CW138" s="45">
        <f>100+100+100+150+150</f>
        <v>600</v>
      </c>
      <c r="CX138" s="45">
        <f>0.75+0.85+0.65+0.85+0.95</f>
        <v>4.05</v>
      </c>
      <c r="CY138" s="45">
        <v>5</v>
      </c>
      <c r="CZ138" s="48">
        <f t="shared" si="2249"/>
        <v>148.14814814814815</v>
      </c>
      <c r="DA138" s="48">
        <f t="shared" si="2250"/>
        <v>0.80999999999999994</v>
      </c>
      <c r="DB138" s="593"/>
      <c r="DC138" s="45">
        <f>100+100+100+100+100</f>
        <v>500</v>
      </c>
      <c r="DD138" s="45">
        <f>1.03+1.1+0.82+0.74+1.22</f>
        <v>4.9099999999999993</v>
      </c>
      <c r="DE138" s="45">
        <v>5</v>
      </c>
      <c r="DF138" s="48">
        <f t="shared" si="2291"/>
        <v>101.83299389002038</v>
      </c>
      <c r="DG138" s="48">
        <f t="shared" si="2292"/>
        <v>0.98199999999999987</v>
      </c>
      <c r="DH138" s="593"/>
      <c r="DI138" s="45"/>
      <c r="DJ138" s="45"/>
      <c r="DK138" s="45"/>
      <c r="DL138" s="48"/>
      <c r="DM138" s="48"/>
      <c r="DN138" s="593"/>
      <c r="DO138" s="45">
        <v>330</v>
      </c>
      <c r="DP138" s="45">
        <v>3.88</v>
      </c>
      <c r="DQ138" s="45">
        <v>5</v>
      </c>
      <c r="DR138" s="48">
        <f t="shared" si="2253"/>
        <v>85.051546391752581</v>
      </c>
      <c r="DS138" s="48">
        <f t="shared" si="2254"/>
        <v>0.77600000000000002</v>
      </c>
      <c r="DT138" s="593"/>
      <c r="DU138" s="45"/>
      <c r="DV138" s="45"/>
      <c r="DW138" s="45"/>
      <c r="DX138" s="48"/>
      <c r="DY138" s="48"/>
      <c r="DZ138" s="593"/>
      <c r="EA138" s="45"/>
      <c r="EB138" s="45"/>
      <c r="EC138" s="45"/>
      <c r="ED138" s="48"/>
      <c r="EE138" s="48"/>
      <c r="EF138" s="593"/>
      <c r="EG138" s="45"/>
      <c r="EH138" s="45"/>
      <c r="EI138" s="45"/>
      <c r="EJ138" s="48"/>
      <c r="EK138" s="48"/>
      <c r="EL138" s="593"/>
      <c r="EM138" s="45"/>
      <c r="EN138" s="45"/>
      <c r="EO138" s="45"/>
      <c r="EP138" s="48"/>
      <c r="EQ138" s="48"/>
      <c r="ES138" s="45">
        <f>100+100+100+150+150</f>
        <v>600</v>
      </c>
      <c r="ET138" s="45">
        <f>0.75+0.85+0.65+0.85+0.95</f>
        <v>4.05</v>
      </c>
      <c r="EU138" s="45">
        <v>5</v>
      </c>
      <c r="EV138" s="48">
        <f t="shared" si="1890"/>
        <v>148.14814814814815</v>
      </c>
      <c r="EW138" s="48">
        <f t="shared" si="1890"/>
        <v>0.80999999999999994</v>
      </c>
      <c r="EY138" s="45">
        <v>600</v>
      </c>
      <c r="EZ138" s="45">
        <v>3.64</v>
      </c>
      <c r="FA138" s="45">
        <v>5</v>
      </c>
      <c r="FB138" s="48">
        <f t="shared" si="2255"/>
        <v>164.83516483516482</v>
      </c>
      <c r="FC138" s="48">
        <f t="shared" si="2255"/>
        <v>0.72799999999999998</v>
      </c>
      <c r="FE138" s="26">
        <v>650</v>
      </c>
      <c r="FF138" s="45">
        <v>4.3</v>
      </c>
      <c r="FG138" s="45">
        <v>5</v>
      </c>
      <c r="FH138" s="48">
        <f t="shared" si="1827"/>
        <v>151.16279069767444</v>
      </c>
      <c r="FI138" s="48">
        <f t="shared" si="1827"/>
        <v>0.86</v>
      </c>
      <c r="FK138" s="38">
        <f>100*5</f>
        <v>500</v>
      </c>
      <c r="FL138" s="40">
        <f>9.2</f>
        <v>9.1999999999999993</v>
      </c>
      <c r="FM138" s="38">
        <f>5</f>
        <v>5</v>
      </c>
      <c r="FN138" s="40">
        <f t="shared" si="1950"/>
        <v>54.347826086956523</v>
      </c>
      <c r="FO138" s="40">
        <f t="shared" si="1932"/>
        <v>1.8399999999999999</v>
      </c>
      <c r="FP138" s="231"/>
      <c r="FQ138" s="45">
        <f>450</f>
        <v>450</v>
      </c>
      <c r="FR138" s="45">
        <f>3.55</f>
        <v>3.55</v>
      </c>
      <c r="FS138" s="45">
        <f>1</f>
        <v>1</v>
      </c>
      <c r="FT138" s="48">
        <f t="shared" si="1765"/>
        <v>126.7605633802817</v>
      </c>
      <c r="FU138" s="48">
        <f t="shared" si="1765"/>
        <v>3.55</v>
      </c>
      <c r="FW138" s="45">
        <f>100+100+100+100+100</f>
        <v>500</v>
      </c>
      <c r="FX138" s="27">
        <f>1.03+1.1+0.82+0.74+1.22</f>
        <v>4.9099999999999993</v>
      </c>
      <c r="FY138" s="45">
        <v>5</v>
      </c>
      <c r="FZ138" s="48">
        <f t="shared" si="1766"/>
        <v>101.83299389002038</v>
      </c>
      <c r="GA138" s="48">
        <f t="shared" si="1766"/>
        <v>0.98199999999999987</v>
      </c>
      <c r="GC138" s="26">
        <f>100+100+100+100+100</f>
        <v>500</v>
      </c>
      <c r="GD138" s="45">
        <f>4.65</f>
        <v>4.6500000000000004</v>
      </c>
      <c r="GE138" s="45">
        <f>5</f>
        <v>5</v>
      </c>
      <c r="GF138" s="48">
        <f t="shared" si="1767"/>
        <v>107.5268817204301</v>
      </c>
      <c r="GG138" s="48">
        <f t="shared" si="1767"/>
        <v>0.93</v>
      </c>
      <c r="GI138" s="45">
        <f>100+100+50+50+100</f>
        <v>400</v>
      </c>
      <c r="GJ138" s="45">
        <f>3.84</f>
        <v>3.84</v>
      </c>
      <c r="GK138" s="45">
        <v>5</v>
      </c>
      <c r="GL138" s="48">
        <f t="shared" si="1768"/>
        <v>104.16666666666667</v>
      </c>
      <c r="GM138" s="48">
        <f t="shared" si="1768"/>
        <v>0.76800000000000002</v>
      </c>
      <c r="GO138" s="45">
        <f>100+100+100+50+50</f>
        <v>400</v>
      </c>
      <c r="GP138" s="27">
        <f>3.84</f>
        <v>3.84</v>
      </c>
      <c r="GQ138" s="45">
        <f>5</f>
        <v>5</v>
      </c>
      <c r="GR138" s="48">
        <f t="shared" si="1769"/>
        <v>104.16666666666667</v>
      </c>
      <c r="GS138" s="48">
        <f t="shared" si="1769"/>
        <v>0.76800000000000002</v>
      </c>
      <c r="GU138" s="99">
        <f>100+100+100+150+150</f>
        <v>600</v>
      </c>
      <c r="GV138" s="99">
        <f>0.71+0.76+0.47+0.78+0.98</f>
        <v>3.6999999999999997</v>
      </c>
      <c r="GW138" s="99">
        <v>5</v>
      </c>
      <c r="GX138" s="101">
        <f t="shared" si="1770"/>
        <v>162.16216216216216</v>
      </c>
      <c r="GY138" s="101">
        <f t="shared" si="1770"/>
        <v>0.74</v>
      </c>
      <c r="GZ138" s="43"/>
      <c r="HA138" s="28">
        <f>200+150+100</f>
        <v>450</v>
      </c>
      <c r="HB138" s="28">
        <f>1.5+0.93+0.17</f>
        <v>2.6</v>
      </c>
      <c r="HC138" s="27">
        <v>3</v>
      </c>
      <c r="HD138" s="40">
        <f t="shared" si="1771"/>
        <v>173.07692307692307</v>
      </c>
      <c r="HE138" s="40">
        <f t="shared" si="1771"/>
        <v>0.8666666666666667</v>
      </c>
      <c r="HG138" s="45">
        <v>330</v>
      </c>
      <c r="HH138" s="27">
        <v>3.88</v>
      </c>
      <c r="HI138" s="45">
        <v>5</v>
      </c>
      <c r="HJ138" s="48">
        <f t="shared" si="2122"/>
        <v>85.051546391752581</v>
      </c>
      <c r="HK138" s="48">
        <f t="shared" si="2123"/>
        <v>0.77600000000000002</v>
      </c>
      <c r="HM138" s="45">
        <f>200+100+100+50+50</f>
        <v>500</v>
      </c>
      <c r="HN138" s="45">
        <f>1.36+0.82+0.86+0.46+0.54</f>
        <v>4.04</v>
      </c>
      <c r="HO138" s="45">
        <v>5</v>
      </c>
      <c r="HP138" s="48">
        <f t="shared" si="1839"/>
        <v>123.76237623762376</v>
      </c>
      <c r="HQ138" s="48">
        <f t="shared" si="1839"/>
        <v>0.80800000000000005</v>
      </c>
      <c r="HS138" s="26">
        <f>150+150+150</f>
        <v>450</v>
      </c>
      <c r="HT138" s="45">
        <f>0.91+0.93+0.82</f>
        <v>2.66</v>
      </c>
      <c r="HU138" s="45">
        <v>3</v>
      </c>
      <c r="HV138" s="48">
        <f t="shared" si="1933"/>
        <v>169.17293233082705</v>
      </c>
      <c r="HW138" s="48">
        <f t="shared" si="1933"/>
        <v>0.88666666666666671</v>
      </c>
      <c r="HX138" s="231"/>
      <c r="HY138" s="38">
        <f>100+100+100+100+100</f>
        <v>500</v>
      </c>
      <c r="HZ138" s="38">
        <f>4.27</f>
        <v>4.2699999999999996</v>
      </c>
      <c r="IA138" s="38">
        <v>5</v>
      </c>
      <c r="IB138" s="40">
        <f>HY138/HZ138</f>
        <v>117.096018735363</v>
      </c>
      <c r="IC138" s="40">
        <f>HZ138/IA138</f>
        <v>0.85399999999999987</v>
      </c>
      <c r="IE138" s="38">
        <f>100+100+100+100+100</f>
        <v>500</v>
      </c>
      <c r="IF138" s="40">
        <f>4.14</f>
        <v>4.1399999999999997</v>
      </c>
      <c r="IG138" s="38">
        <f>5</f>
        <v>5</v>
      </c>
      <c r="IH138" s="40">
        <f t="shared" si="1841"/>
        <v>120.77294685990339</v>
      </c>
      <c r="II138" s="40">
        <f t="shared" si="1842"/>
        <v>0.82799999999999996</v>
      </c>
      <c r="IK138" s="38">
        <f>100*5</f>
        <v>500</v>
      </c>
      <c r="IL138" s="40">
        <f>4.07*5</f>
        <v>20.350000000000001</v>
      </c>
      <c r="IM138" s="38">
        <v>5</v>
      </c>
      <c r="IN138" s="40">
        <f t="shared" si="2256"/>
        <v>24.570024570024568</v>
      </c>
      <c r="IO138" s="40">
        <f t="shared" si="2257"/>
        <v>4.07</v>
      </c>
      <c r="IQ138" s="38">
        <f>100+100+100+100+150</f>
        <v>550</v>
      </c>
      <c r="IR138" s="40">
        <f>0.6+0.76+0.61+0.74+0.95</f>
        <v>3.66</v>
      </c>
      <c r="IS138" s="38">
        <v>5</v>
      </c>
      <c r="IT138" s="40">
        <f t="shared" si="2258"/>
        <v>150.27322404371583</v>
      </c>
      <c r="IU138" s="40">
        <f t="shared" si="2259"/>
        <v>0.73199999999999998</v>
      </c>
      <c r="IW138" s="38">
        <f>100*5</f>
        <v>500</v>
      </c>
      <c r="IX138" s="40">
        <f>3.69</f>
        <v>3.69</v>
      </c>
      <c r="IY138" s="38">
        <v>5</v>
      </c>
      <c r="IZ138" s="40">
        <f t="shared" si="2260"/>
        <v>135.50135501355012</v>
      </c>
      <c r="JA138" s="40">
        <f t="shared" si="2261"/>
        <v>0.73799999999999999</v>
      </c>
      <c r="JC138" s="38">
        <f>50+100+100+150+150</f>
        <v>550</v>
      </c>
      <c r="JD138" s="40">
        <f>0.61+0.75+0.64+0.83+0.91</f>
        <v>3.74</v>
      </c>
      <c r="JE138" s="38">
        <v>5</v>
      </c>
      <c r="JF138" s="40">
        <f t="shared" si="2262"/>
        <v>147.05882352941177</v>
      </c>
      <c r="JG138" s="40">
        <f t="shared" si="2263"/>
        <v>0.748</v>
      </c>
      <c r="JI138" s="38">
        <f>100*5</f>
        <v>500</v>
      </c>
      <c r="JJ138" s="40">
        <f>4.14</f>
        <v>4.1399999999999997</v>
      </c>
      <c r="JK138" s="38">
        <v>5</v>
      </c>
      <c r="JL138" s="40">
        <f t="shared" si="2264"/>
        <v>120.77294685990339</v>
      </c>
      <c r="JM138" s="40">
        <f t="shared" si="2265"/>
        <v>0.82799999999999996</v>
      </c>
      <c r="JO138" s="38">
        <f>50+50+100+50+50</f>
        <v>300</v>
      </c>
      <c r="JP138" s="40">
        <f>0.36+0.35+0.56+0.32+0.42</f>
        <v>2.0100000000000002</v>
      </c>
      <c r="JQ138" s="38">
        <v>5</v>
      </c>
      <c r="JR138" s="40">
        <f t="shared" si="2266"/>
        <v>149.25373134328356</v>
      </c>
      <c r="JS138" s="40">
        <f t="shared" si="2267"/>
        <v>0.40200000000000002</v>
      </c>
      <c r="JU138" s="38">
        <f>50+100+50+100+50</f>
        <v>350</v>
      </c>
      <c r="JV138" s="40">
        <f>0.67+0.98+0.56+0.81+0.32</f>
        <v>3.34</v>
      </c>
      <c r="JW138" s="38">
        <v>5</v>
      </c>
      <c r="JX138" s="40">
        <f t="shared" si="2268"/>
        <v>104.79041916167665</v>
      </c>
      <c r="JY138" s="40">
        <f t="shared" si="2269"/>
        <v>0.66799999999999993</v>
      </c>
      <c r="KA138" s="38">
        <f>50+20+100+50+100</f>
        <v>320</v>
      </c>
      <c r="KB138" s="40">
        <f>0.57+0.42+0.99+0.6+0.84</f>
        <v>3.42</v>
      </c>
      <c r="KC138" s="38">
        <v>5</v>
      </c>
      <c r="KD138" s="40">
        <f t="shared" si="2293"/>
        <v>93.567251461988306</v>
      </c>
      <c r="KE138" s="40">
        <f t="shared" si="2294"/>
        <v>0.68399999999999994</v>
      </c>
      <c r="KG138" s="38">
        <f>30+30+20+20+20</f>
        <v>120</v>
      </c>
      <c r="KH138" s="40">
        <f>1.25+1.36</f>
        <v>2.6100000000000003</v>
      </c>
      <c r="KI138" s="38">
        <v>5</v>
      </c>
      <c r="KJ138" s="40">
        <f t="shared" si="2060"/>
        <v>45.977011494252871</v>
      </c>
      <c r="KK138" s="40">
        <f t="shared" si="1853"/>
        <v>0.52200000000000002</v>
      </c>
      <c r="KM138" s="38"/>
      <c r="KN138" s="40"/>
      <c r="KO138" s="38"/>
      <c r="KP138" s="40" t="e">
        <f t="shared" si="2061"/>
        <v>#DIV/0!</v>
      </c>
      <c r="KQ138" s="40" t="e">
        <f t="shared" si="1777"/>
        <v>#DIV/0!</v>
      </c>
      <c r="KS138" s="38">
        <f>50+50+50+50+50</f>
        <v>250</v>
      </c>
      <c r="KT138" s="40">
        <f>0.61+0.65+0.6+0.62+0.65</f>
        <v>3.13</v>
      </c>
      <c r="KU138" s="38">
        <v>5</v>
      </c>
      <c r="KV138" s="40">
        <f t="shared" si="2062"/>
        <v>79.87220447284345</v>
      </c>
      <c r="KW138" s="40">
        <f t="shared" si="1779"/>
        <v>0.626</v>
      </c>
      <c r="KY138" s="38"/>
      <c r="KZ138" s="40"/>
      <c r="LA138" s="38"/>
      <c r="LB138" s="40" t="e">
        <f t="shared" si="2063"/>
        <v>#DIV/0!</v>
      </c>
      <c r="LC138" s="40" t="e">
        <f t="shared" si="1781"/>
        <v>#DIV/0!</v>
      </c>
      <c r="LE138" s="38">
        <f>100+150+200+50+100</f>
        <v>600</v>
      </c>
      <c r="LF138" s="40">
        <f>0.71+0.87+1.1+0.39+0.72</f>
        <v>3.79</v>
      </c>
      <c r="LG138" s="38">
        <v>5</v>
      </c>
      <c r="LH138" s="40">
        <f t="shared" si="2064"/>
        <v>158.31134564643799</v>
      </c>
      <c r="LI138" s="40">
        <f t="shared" si="1783"/>
        <v>0.75800000000000001</v>
      </c>
      <c r="LK138" s="38"/>
      <c r="LL138" s="40"/>
      <c r="LM138" s="38"/>
      <c r="LN138" s="40" t="e">
        <f t="shared" si="2065"/>
        <v>#DIV/0!</v>
      </c>
      <c r="LO138" s="40" t="e">
        <f t="shared" si="1785"/>
        <v>#DIV/0!</v>
      </c>
      <c r="LQ138" s="38">
        <f>50+50+50+100+100</f>
        <v>350</v>
      </c>
      <c r="LR138" s="40">
        <f>1.86+1.86+1.86+1.98+1.98</f>
        <v>9.5400000000000009</v>
      </c>
      <c r="LS138" s="38">
        <v>5</v>
      </c>
      <c r="LT138" s="40">
        <f t="shared" si="2066"/>
        <v>36.687631027253666</v>
      </c>
      <c r="LU138" s="40">
        <f t="shared" si="1787"/>
        <v>1.9080000000000001</v>
      </c>
      <c r="LW138" s="38">
        <f>100+100+50+50+30</f>
        <v>330</v>
      </c>
      <c r="LX138" s="40">
        <f>1+1.18+1.81+1.75+1.62</f>
        <v>7.36</v>
      </c>
      <c r="LY138" s="38">
        <v>5</v>
      </c>
      <c r="LZ138" s="40">
        <f t="shared" si="2067"/>
        <v>44.836956521739125</v>
      </c>
      <c r="MA138" s="40">
        <f t="shared" si="1789"/>
        <v>1.472</v>
      </c>
      <c r="MC138" s="38">
        <f>100+50+60+100+100</f>
        <v>410</v>
      </c>
      <c r="MD138" s="40">
        <f>0.56+0.36+0.46+0.53+0.63</f>
        <v>2.54</v>
      </c>
      <c r="ME138" s="38">
        <v>5</v>
      </c>
      <c r="MF138" s="40">
        <f t="shared" si="2068"/>
        <v>161.41732283464566</v>
      </c>
      <c r="MG138" s="40">
        <f t="shared" si="1791"/>
        <v>0.50800000000000001</v>
      </c>
      <c r="MI138" s="38">
        <f>50+50+50+100+100</f>
        <v>350</v>
      </c>
      <c r="MJ138" s="40">
        <f>0.8+0.8+0.8+1.74+0.82</f>
        <v>4.9600000000000009</v>
      </c>
      <c r="MK138" s="38">
        <v>5</v>
      </c>
      <c r="ML138" s="40">
        <f t="shared" si="2069"/>
        <v>70.564516129032242</v>
      </c>
      <c r="MM138" s="40">
        <f t="shared" si="1793"/>
        <v>0.99200000000000021</v>
      </c>
      <c r="MO138" s="38"/>
      <c r="MP138" s="40"/>
      <c r="MQ138" s="38"/>
      <c r="MR138" s="40" t="e">
        <f t="shared" si="2070"/>
        <v>#DIV/0!</v>
      </c>
      <c r="MS138" s="40" t="e">
        <f t="shared" si="1795"/>
        <v>#DIV/0!</v>
      </c>
      <c r="MU138" s="38"/>
      <c r="MV138" s="40"/>
      <c r="MW138" s="38"/>
      <c r="MX138" s="40" t="e">
        <f t="shared" si="2071"/>
        <v>#DIV/0!</v>
      </c>
      <c r="MY138" s="40" t="e">
        <f t="shared" si="1797"/>
        <v>#DIV/0!</v>
      </c>
      <c r="NA138" s="825">
        <f>100+100+100+100+100</f>
        <v>500</v>
      </c>
      <c r="NB138" s="826">
        <f>0.94+0.96+1.06+1.02+0.97</f>
        <v>4.95</v>
      </c>
      <c r="NC138" s="825">
        <v>5</v>
      </c>
      <c r="ND138" s="40">
        <f t="shared" si="2072"/>
        <v>101.01010101010101</v>
      </c>
      <c r="NE138" s="40">
        <f t="shared" si="1799"/>
        <v>0.99</v>
      </c>
      <c r="NG138" s="825">
        <f>150+100+100+100+150</f>
        <v>600</v>
      </c>
      <c r="NH138" s="826">
        <f>1.33+0.93+0.72+0.88+1.31</f>
        <v>5.17</v>
      </c>
      <c r="NI138" s="825">
        <v>5</v>
      </c>
      <c r="NJ138" s="40">
        <f t="shared" si="2073"/>
        <v>116.0541586073501</v>
      </c>
      <c r="NK138" s="40">
        <f t="shared" si="1801"/>
        <v>1.034</v>
      </c>
      <c r="NM138" s="825">
        <f>100+100+150+150+50</f>
        <v>550</v>
      </c>
      <c r="NN138" s="826">
        <f>0.7+0.14+0.19+0.1+0.12</f>
        <v>1.25</v>
      </c>
      <c r="NO138" s="825">
        <v>5</v>
      </c>
      <c r="NP138" s="40">
        <f t="shared" si="2074"/>
        <v>440</v>
      </c>
      <c r="NQ138" s="40">
        <f t="shared" si="1803"/>
        <v>0.25</v>
      </c>
      <c r="NS138" s="906">
        <f>100+100+100+100+100</f>
        <v>500</v>
      </c>
      <c r="NT138" s="907">
        <f>0.88+0.94+1.03+0.91+0.99</f>
        <v>4.75</v>
      </c>
      <c r="NU138" s="825">
        <v>5</v>
      </c>
      <c r="NV138" s="40">
        <f t="shared" si="2075"/>
        <v>105.26315789473684</v>
      </c>
      <c r="NW138" s="40">
        <f t="shared" si="1805"/>
        <v>0.95</v>
      </c>
      <c r="NY138" s="915">
        <f>50+30+100+100+50</f>
        <v>330</v>
      </c>
      <c r="NZ138" s="916">
        <f>0.25+0.14+0.35+0.55+0.45</f>
        <v>1.74</v>
      </c>
      <c r="OA138" s="919">
        <v>5</v>
      </c>
      <c r="OB138" s="40">
        <f t="shared" si="2076"/>
        <v>189.65517241379311</v>
      </c>
      <c r="OC138" s="40">
        <f t="shared" si="1807"/>
        <v>0.34799999999999998</v>
      </c>
      <c r="OE138" s="825">
        <f>100+100+100+100+100</f>
        <v>500</v>
      </c>
      <c r="OF138" s="826">
        <f>1.03+1.05+1.02+1.01+1.02</f>
        <v>5.1300000000000008</v>
      </c>
      <c r="OG138" s="825">
        <v>5</v>
      </c>
      <c r="OH138" s="40">
        <f t="shared" si="2077"/>
        <v>97.465886939571135</v>
      </c>
      <c r="OI138" s="40">
        <f t="shared" si="1809"/>
        <v>1.0260000000000002</v>
      </c>
    </row>
    <row r="139" spans="1:399">
      <c r="FP139" s="230"/>
      <c r="KP139" s="178"/>
      <c r="KV139" s="178"/>
    </row>
    <row r="140" spans="1:399" ht="18.5">
      <c r="C140" s="97" t="s">
        <v>53</v>
      </c>
      <c r="HY140" s="526"/>
      <c r="KP140" s="178"/>
      <c r="KV140" s="178"/>
    </row>
    <row r="141" spans="1:399">
      <c r="KP141" s="178"/>
      <c r="KV141" s="178"/>
    </row>
    <row r="142" spans="1:399" ht="34.5">
      <c r="A142" s="49"/>
      <c r="B142" s="50" t="s">
        <v>6</v>
      </c>
      <c r="C142" s="50"/>
      <c r="D142" s="51" t="s">
        <v>7</v>
      </c>
      <c r="E142" s="80" t="s">
        <v>1</v>
      </c>
      <c r="F142" s="80" t="s">
        <v>50</v>
      </c>
      <c r="G142" s="80" t="s">
        <v>3</v>
      </c>
      <c r="H142" s="81" t="s">
        <v>4</v>
      </c>
      <c r="I142" s="80" t="s">
        <v>5</v>
      </c>
      <c r="K142" s="80" t="s">
        <v>1</v>
      </c>
      <c r="L142" s="80" t="s">
        <v>50</v>
      </c>
      <c r="M142" s="80" t="s">
        <v>3</v>
      </c>
      <c r="N142" s="81" t="s">
        <v>4</v>
      </c>
      <c r="O142" s="80" t="s">
        <v>5</v>
      </c>
      <c r="Q142" s="80" t="s">
        <v>1</v>
      </c>
      <c r="R142" s="80" t="s">
        <v>50</v>
      </c>
      <c r="S142" s="80" t="s">
        <v>3</v>
      </c>
      <c r="T142" s="81" t="s">
        <v>4</v>
      </c>
      <c r="U142" s="80" t="s">
        <v>5</v>
      </c>
      <c r="W142" s="80" t="s">
        <v>1</v>
      </c>
      <c r="X142" s="80" t="s">
        <v>50</v>
      </c>
      <c r="Y142" s="80" t="s">
        <v>3</v>
      </c>
      <c r="Z142" s="81" t="s">
        <v>4</v>
      </c>
      <c r="AA142" s="80" t="s">
        <v>5</v>
      </c>
      <c r="AC142" s="80" t="s">
        <v>1</v>
      </c>
      <c r="AD142" s="80" t="s">
        <v>50</v>
      </c>
      <c r="AE142" s="80" t="s">
        <v>3</v>
      </c>
      <c r="AF142" s="81" t="s">
        <v>4</v>
      </c>
      <c r="AG142" s="80" t="s">
        <v>5</v>
      </c>
      <c r="AI142" s="80" t="s">
        <v>1</v>
      </c>
      <c r="AJ142" s="80" t="s">
        <v>50</v>
      </c>
      <c r="AK142" s="80" t="s">
        <v>3</v>
      </c>
      <c r="AL142" s="81" t="s">
        <v>4</v>
      </c>
      <c r="AM142" s="80" t="s">
        <v>5</v>
      </c>
      <c r="AO142" s="80" t="s">
        <v>1</v>
      </c>
      <c r="AP142" s="80" t="s">
        <v>50</v>
      </c>
      <c r="AQ142" s="80" t="s">
        <v>3</v>
      </c>
      <c r="AR142" s="81" t="s">
        <v>4</v>
      </c>
      <c r="AS142" s="80" t="s">
        <v>5</v>
      </c>
      <c r="AU142" s="80" t="s">
        <v>1</v>
      </c>
      <c r="AV142" s="80" t="s">
        <v>50</v>
      </c>
      <c r="AW142" s="80" t="s">
        <v>3</v>
      </c>
      <c r="AX142" s="81" t="s">
        <v>4</v>
      </c>
      <c r="AY142" s="80" t="s">
        <v>5</v>
      </c>
      <c r="AZ142" s="594"/>
      <c r="BA142" s="80" t="s">
        <v>1</v>
      </c>
      <c r="BB142" s="80" t="s">
        <v>50</v>
      </c>
      <c r="BC142" s="80" t="s">
        <v>3</v>
      </c>
      <c r="BD142" s="81" t="s">
        <v>4</v>
      </c>
      <c r="BE142" s="80" t="s">
        <v>5</v>
      </c>
      <c r="BF142" s="594"/>
      <c r="BG142" s="80" t="s">
        <v>1</v>
      </c>
      <c r="BH142" s="80" t="s">
        <v>50</v>
      </c>
      <c r="BI142" s="80" t="s">
        <v>3</v>
      </c>
      <c r="BJ142" s="81" t="s">
        <v>4</v>
      </c>
      <c r="BK142" s="80" t="s">
        <v>5</v>
      </c>
      <c r="BL142" s="594"/>
      <c r="BM142" s="80" t="s">
        <v>1</v>
      </c>
      <c r="BN142" s="80" t="s">
        <v>50</v>
      </c>
      <c r="BO142" s="80" t="s">
        <v>3</v>
      </c>
      <c r="BP142" s="81" t="s">
        <v>4</v>
      </c>
      <c r="BQ142" s="80" t="s">
        <v>5</v>
      </c>
      <c r="BS142" s="80" t="s">
        <v>1</v>
      </c>
      <c r="BT142" s="80" t="s">
        <v>50</v>
      </c>
      <c r="BU142" s="80" t="s">
        <v>3</v>
      </c>
      <c r="BV142" s="81" t="s">
        <v>4</v>
      </c>
      <c r="BW142" s="80" t="s">
        <v>5</v>
      </c>
      <c r="BX142" s="594"/>
      <c r="BY142" s="80" t="s">
        <v>1</v>
      </c>
      <c r="BZ142" s="80" t="s">
        <v>50</v>
      </c>
      <c r="CA142" s="80" t="s">
        <v>3</v>
      </c>
      <c r="CB142" s="81" t="s">
        <v>4</v>
      </c>
      <c r="CC142" s="80" t="s">
        <v>5</v>
      </c>
      <c r="CD142" s="594"/>
      <c r="CE142" s="80" t="s">
        <v>1</v>
      </c>
      <c r="CF142" s="80" t="s">
        <v>50</v>
      </c>
      <c r="CG142" s="80" t="s">
        <v>3</v>
      </c>
      <c r="CH142" s="81" t="s">
        <v>4</v>
      </c>
      <c r="CI142" s="80" t="s">
        <v>5</v>
      </c>
      <c r="CJ142" s="594"/>
      <c r="CK142" s="80" t="s">
        <v>1</v>
      </c>
      <c r="CL142" s="80" t="s">
        <v>50</v>
      </c>
      <c r="CM142" s="80" t="s">
        <v>3</v>
      </c>
      <c r="CN142" s="81" t="s">
        <v>4</v>
      </c>
      <c r="CO142" s="80" t="s">
        <v>5</v>
      </c>
      <c r="CP142" s="594"/>
      <c r="CQ142" s="80" t="s">
        <v>1</v>
      </c>
      <c r="CR142" s="80" t="s">
        <v>50</v>
      </c>
      <c r="CS142" s="80" t="s">
        <v>3</v>
      </c>
      <c r="CT142" s="81" t="s">
        <v>4</v>
      </c>
      <c r="CU142" s="80" t="s">
        <v>5</v>
      </c>
      <c r="CV142" s="594"/>
      <c r="CW142" s="80" t="s">
        <v>1</v>
      </c>
      <c r="CX142" s="80" t="s">
        <v>50</v>
      </c>
      <c r="CY142" s="80" t="s">
        <v>3</v>
      </c>
      <c r="CZ142" s="81" t="s">
        <v>4</v>
      </c>
      <c r="DA142" s="80" t="s">
        <v>5</v>
      </c>
      <c r="DB142" s="594"/>
      <c r="DC142" s="80" t="s">
        <v>1</v>
      </c>
      <c r="DD142" s="80" t="s">
        <v>50</v>
      </c>
      <c r="DE142" s="80" t="s">
        <v>3</v>
      </c>
      <c r="DF142" s="81" t="s">
        <v>4</v>
      </c>
      <c r="DG142" s="80" t="s">
        <v>5</v>
      </c>
      <c r="DH142" s="594"/>
      <c r="DI142" s="80" t="s">
        <v>1</v>
      </c>
      <c r="DJ142" s="80" t="s">
        <v>50</v>
      </c>
      <c r="DK142" s="80" t="s">
        <v>3</v>
      </c>
      <c r="DL142" s="81" t="s">
        <v>4</v>
      </c>
      <c r="DM142" s="80" t="s">
        <v>5</v>
      </c>
      <c r="DN142" s="594"/>
      <c r="DO142" s="80" t="s">
        <v>1</v>
      </c>
      <c r="DP142" s="80" t="s">
        <v>50</v>
      </c>
      <c r="DQ142" s="80" t="s">
        <v>3</v>
      </c>
      <c r="DR142" s="81" t="s">
        <v>4</v>
      </c>
      <c r="DS142" s="80" t="s">
        <v>5</v>
      </c>
      <c r="DT142" s="594"/>
      <c r="DU142" s="80" t="s">
        <v>1</v>
      </c>
      <c r="DV142" s="80" t="s">
        <v>50</v>
      </c>
      <c r="DW142" s="80" t="s">
        <v>3</v>
      </c>
      <c r="DX142" s="81" t="s">
        <v>4</v>
      </c>
      <c r="DY142" s="80" t="s">
        <v>5</v>
      </c>
      <c r="DZ142" s="594"/>
      <c r="EA142" s="80" t="s">
        <v>1</v>
      </c>
      <c r="EB142" s="80" t="s">
        <v>50</v>
      </c>
      <c r="EC142" s="80" t="s">
        <v>3</v>
      </c>
      <c r="ED142" s="81" t="s">
        <v>4</v>
      </c>
      <c r="EE142" s="80" t="s">
        <v>5</v>
      </c>
      <c r="EF142" s="594"/>
      <c r="EG142" s="80" t="s">
        <v>1</v>
      </c>
      <c r="EH142" s="80" t="s">
        <v>50</v>
      </c>
      <c r="EI142" s="80" t="s">
        <v>3</v>
      </c>
      <c r="EJ142" s="81" t="s">
        <v>4</v>
      </c>
      <c r="EK142" s="80" t="s">
        <v>5</v>
      </c>
      <c r="EL142" s="594"/>
      <c r="EM142" s="80" t="s">
        <v>1</v>
      </c>
      <c r="EN142" s="80" t="s">
        <v>50</v>
      </c>
      <c r="EO142" s="80" t="s">
        <v>3</v>
      </c>
      <c r="EP142" s="81" t="s">
        <v>4</v>
      </c>
      <c r="EQ142" s="80" t="s">
        <v>5</v>
      </c>
      <c r="ES142" s="80" t="s">
        <v>1</v>
      </c>
      <c r="ET142" s="80" t="s">
        <v>50</v>
      </c>
      <c r="EU142" s="80" t="s">
        <v>3</v>
      </c>
      <c r="EV142" s="81" t="s">
        <v>4</v>
      </c>
      <c r="EW142" s="80" t="s">
        <v>5</v>
      </c>
      <c r="EY142" s="80" t="s">
        <v>1</v>
      </c>
      <c r="EZ142" s="80" t="s">
        <v>50</v>
      </c>
      <c r="FA142" s="80" t="s">
        <v>3</v>
      </c>
      <c r="FB142" s="81" t="s">
        <v>4</v>
      </c>
      <c r="FC142" s="80" t="s">
        <v>5</v>
      </c>
      <c r="FE142" s="80" t="s">
        <v>1</v>
      </c>
      <c r="FF142" s="80" t="s">
        <v>50</v>
      </c>
      <c r="FG142" s="80" t="s">
        <v>3</v>
      </c>
      <c r="FH142" s="81" t="s">
        <v>4</v>
      </c>
      <c r="FI142" s="80" t="s">
        <v>5</v>
      </c>
      <c r="FK142" s="80" t="s">
        <v>1</v>
      </c>
      <c r="FL142" s="80" t="s">
        <v>50</v>
      </c>
      <c r="FM142" s="80" t="s">
        <v>3</v>
      </c>
      <c r="FN142" s="81" t="s">
        <v>4</v>
      </c>
      <c r="FO142" s="80" t="s">
        <v>5</v>
      </c>
      <c r="FQ142" s="80" t="s">
        <v>1</v>
      </c>
      <c r="FR142" s="80" t="s">
        <v>50</v>
      </c>
      <c r="FS142" s="80" t="s">
        <v>3</v>
      </c>
      <c r="FT142" s="81" t="s">
        <v>4</v>
      </c>
      <c r="FU142" s="80" t="s">
        <v>5</v>
      </c>
      <c r="FW142" s="80" t="s">
        <v>1</v>
      </c>
      <c r="FX142" s="80" t="s">
        <v>50</v>
      </c>
      <c r="FY142" s="80" t="s">
        <v>3</v>
      </c>
      <c r="FZ142" s="81" t="s">
        <v>4</v>
      </c>
      <c r="GA142" s="80" t="s">
        <v>5</v>
      </c>
      <c r="GC142" s="80" t="s">
        <v>1</v>
      </c>
      <c r="GD142" s="80" t="s">
        <v>50</v>
      </c>
      <c r="GE142" s="80" t="s">
        <v>3</v>
      </c>
      <c r="GF142" s="81" t="s">
        <v>4</v>
      </c>
      <c r="GG142" s="80" t="s">
        <v>5</v>
      </c>
      <c r="GI142" s="80" t="s">
        <v>1</v>
      </c>
      <c r="GJ142" s="80" t="s">
        <v>50</v>
      </c>
      <c r="GK142" s="80" t="s">
        <v>3</v>
      </c>
      <c r="GL142" s="81" t="s">
        <v>4</v>
      </c>
      <c r="GM142" s="80" t="s">
        <v>5</v>
      </c>
      <c r="GO142" s="80" t="s">
        <v>1</v>
      </c>
      <c r="GP142" s="80" t="s">
        <v>50</v>
      </c>
      <c r="GQ142" s="80" t="s">
        <v>3</v>
      </c>
      <c r="GR142" s="81" t="s">
        <v>4</v>
      </c>
      <c r="GS142" s="80" t="s">
        <v>5</v>
      </c>
      <c r="GU142" s="80" t="s">
        <v>1</v>
      </c>
      <c r="GV142" s="80" t="s">
        <v>50</v>
      </c>
      <c r="GW142" s="80" t="s">
        <v>3</v>
      </c>
      <c r="GX142" s="81" t="s">
        <v>4</v>
      </c>
      <c r="GY142" s="80" t="s">
        <v>5</v>
      </c>
      <c r="HA142" s="80" t="s">
        <v>1</v>
      </c>
      <c r="HB142" s="80" t="s">
        <v>50</v>
      </c>
      <c r="HC142" s="80" t="s">
        <v>3</v>
      </c>
      <c r="HD142" s="81" t="s">
        <v>4</v>
      </c>
      <c r="HE142" s="80" t="s">
        <v>5</v>
      </c>
      <c r="HG142" s="80" t="s">
        <v>1</v>
      </c>
      <c r="HH142" s="80" t="s">
        <v>50</v>
      </c>
      <c r="HI142" s="80" t="s">
        <v>3</v>
      </c>
      <c r="HJ142" s="81" t="s">
        <v>4</v>
      </c>
      <c r="HK142" s="80" t="s">
        <v>5</v>
      </c>
      <c r="HM142" s="80" t="s">
        <v>1</v>
      </c>
      <c r="HN142" s="80" t="s">
        <v>50</v>
      </c>
      <c r="HO142" s="80" t="s">
        <v>3</v>
      </c>
      <c r="HP142" s="81" t="s">
        <v>4</v>
      </c>
      <c r="HQ142" s="80" t="s">
        <v>5</v>
      </c>
      <c r="HS142" s="80" t="s">
        <v>1</v>
      </c>
      <c r="HT142" s="80" t="s">
        <v>50</v>
      </c>
      <c r="HU142" s="80" t="s">
        <v>3</v>
      </c>
      <c r="HV142" s="81" t="s">
        <v>4</v>
      </c>
      <c r="HW142" s="80" t="s">
        <v>5</v>
      </c>
      <c r="HY142" s="80" t="s">
        <v>1</v>
      </c>
      <c r="HZ142" s="80" t="s">
        <v>50</v>
      </c>
      <c r="IA142" s="80" t="s">
        <v>3</v>
      </c>
      <c r="IB142" s="81" t="s">
        <v>4</v>
      </c>
      <c r="IC142" s="80" t="s">
        <v>5</v>
      </c>
      <c r="IE142" s="80" t="s">
        <v>1</v>
      </c>
      <c r="IF142" s="80" t="s">
        <v>50</v>
      </c>
      <c r="IG142" s="80" t="s">
        <v>3</v>
      </c>
      <c r="IH142" s="81" t="s">
        <v>4</v>
      </c>
      <c r="II142" s="80" t="s">
        <v>5</v>
      </c>
      <c r="IK142" s="80" t="s">
        <v>1</v>
      </c>
      <c r="IL142" s="80" t="s">
        <v>50</v>
      </c>
      <c r="IM142" s="80" t="s">
        <v>3</v>
      </c>
      <c r="IN142" s="81" t="s">
        <v>4</v>
      </c>
      <c r="IO142" s="80" t="s">
        <v>5</v>
      </c>
      <c r="IQ142" s="80" t="s">
        <v>1</v>
      </c>
      <c r="IR142" s="80" t="s">
        <v>50</v>
      </c>
      <c r="IS142" s="80" t="s">
        <v>3</v>
      </c>
      <c r="IT142" s="81" t="s">
        <v>4</v>
      </c>
      <c r="IU142" s="80" t="s">
        <v>5</v>
      </c>
      <c r="IW142" s="80" t="s">
        <v>1</v>
      </c>
      <c r="IX142" s="80" t="s">
        <v>50</v>
      </c>
      <c r="IY142" s="80" t="s">
        <v>3</v>
      </c>
      <c r="IZ142" s="81" t="s">
        <v>4</v>
      </c>
      <c r="JA142" s="80" t="s">
        <v>5</v>
      </c>
      <c r="JC142" s="80" t="s">
        <v>1</v>
      </c>
      <c r="JD142" s="80" t="s">
        <v>50</v>
      </c>
      <c r="JE142" s="80" t="s">
        <v>3</v>
      </c>
      <c r="JF142" s="81" t="s">
        <v>4</v>
      </c>
      <c r="JG142" s="80" t="s">
        <v>5</v>
      </c>
      <c r="JI142" s="80" t="s">
        <v>1</v>
      </c>
      <c r="JJ142" s="80" t="s">
        <v>50</v>
      </c>
      <c r="JK142" s="80" t="s">
        <v>3</v>
      </c>
      <c r="JL142" s="81" t="s">
        <v>4</v>
      </c>
      <c r="JM142" s="80" t="s">
        <v>5</v>
      </c>
      <c r="JO142" s="80" t="s">
        <v>1</v>
      </c>
      <c r="JP142" s="80" t="s">
        <v>50</v>
      </c>
      <c r="JQ142" s="80" t="s">
        <v>3</v>
      </c>
      <c r="JR142" s="81" t="s">
        <v>4</v>
      </c>
      <c r="JS142" s="80" t="s">
        <v>5</v>
      </c>
      <c r="JU142" s="80" t="s">
        <v>1</v>
      </c>
      <c r="JV142" s="80" t="s">
        <v>50</v>
      </c>
      <c r="JW142" s="80" t="s">
        <v>3</v>
      </c>
      <c r="JX142" s="81" t="s">
        <v>4</v>
      </c>
      <c r="JY142" s="80" t="s">
        <v>5</v>
      </c>
      <c r="KA142" s="80" t="s">
        <v>1</v>
      </c>
      <c r="KB142" s="80" t="s">
        <v>50</v>
      </c>
      <c r="KC142" s="80" t="s">
        <v>3</v>
      </c>
      <c r="KD142" s="81" t="s">
        <v>4</v>
      </c>
      <c r="KE142" s="80" t="s">
        <v>5</v>
      </c>
      <c r="KG142" s="80" t="s">
        <v>1</v>
      </c>
      <c r="KH142" s="80" t="s">
        <v>50</v>
      </c>
      <c r="KI142" s="80" t="s">
        <v>3</v>
      </c>
      <c r="KJ142" s="81" t="s">
        <v>4</v>
      </c>
      <c r="KK142" s="80" t="s">
        <v>5</v>
      </c>
      <c r="KM142" s="80" t="s">
        <v>1</v>
      </c>
      <c r="KN142" s="80" t="s">
        <v>50</v>
      </c>
      <c r="KO142" s="80" t="s">
        <v>3</v>
      </c>
      <c r="KP142" s="81" t="s">
        <v>4</v>
      </c>
      <c r="KQ142" s="80" t="s">
        <v>5</v>
      </c>
      <c r="KS142" s="80" t="s">
        <v>1</v>
      </c>
      <c r="KT142" s="80" t="s">
        <v>50</v>
      </c>
      <c r="KU142" s="80" t="s">
        <v>3</v>
      </c>
      <c r="KV142" s="81" t="s">
        <v>4</v>
      </c>
      <c r="KW142" s="80" t="s">
        <v>5</v>
      </c>
      <c r="KY142" s="80" t="s">
        <v>1</v>
      </c>
      <c r="KZ142" s="80" t="s">
        <v>50</v>
      </c>
      <c r="LA142" s="80" t="s">
        <v>3</v>
      </c>
      <c r="LB142" s="81" t="s">
        <v>4</v>
      </c>
      <c r="LC142" s="80" t="s">
        <v>5</v>
      </c>
      <c r="LE142" s="80" t="s">
        <v>1</v>
      </c>
      <c r="LF142" s="80" t="s">
        <v>50</v>
      </c>
      <c r="LG142" s="80" t="s">
        <v>3</v>
      </c>
      <c r="LH142" s="81" t="s">
        <v>4</v>
      </c>
      <c r="LI142" s="80" t="s">
        <v>5</v>
      </c>
      <c r="LK142" s="80" t="s">
        <v>1</v>
      </c>
      <c r="LL142" s="80" t="s">
        <v>50</v>
      </c>
      <c r="LM142" s="80" t="s">
        <v>3</v>
      </c>
      <c r="LN142" s="81" t="s">
        <v>4</v>
      </c>
      <c r="LO142" s="80" t="s">
        <v>5</v>
      </c>
      <c r="LQ142" s="80" t="s">
        <v>1</v>
      </c>
      <c r="LR142" s="80" t="s">
        <v>50</v>
      </c>
      <c r="LS142" s="80" t="s">
        <v>3</v>
      </c>
      <c r="LT142" s="81" t="s">
        <v>4</v>
      </c>
      <c r="LU142" s="80" t="s">
        <v>5</v>
      </c>
      <c r="LW142" s="80" t="s">
        <v>1</v>
      </c>
      <c r="LX142" s="80" t="s">
        <v>50</v>
      </c>
      <c r="LY142" s="80" t="s">
        <v>3</v>
      </c>
      <c r="LZ142" s="81" t="s">
        <v>4</v>
      </c>
      <c r="MA142" s="80" t="s">
        <v>5</v>
      </c>
      <c r="MC142" s="80" t="s">
        <v>1</v>
      </c>
      <c r="MD142" s="80" t="s">
        <v>50</v>
      </c>
      <c r="ME142" s="80" t="s">
        <v>3</v>
      </c>
      <c r="MF142" s="81" t="s">
        <v>4</v>
      </c>
      <c r="MG142" s="80" t="s">
        <v>5</v>
      </c>
      <c r="MI142" s="80" t="s">
        <v>1</v>
      </c>
      <c r="MJ142" s="80" t="s">
        <v>50</v>
      </c>
      <c r="MK142" s="80" t="s">
        <v>3</v>
      </c>
      <c r="ML142" s="81" t="s">
        <v>4</v>
      </c>
      <c r="MM142" s="80" t="s">
        <v>5</v>
      </c>
      <c r="MO142" s="80" t="s">
        <v>1</v>
      </c>
      <c r="MP142" s="80" t="s">
        <v>50</v>
      </c>
      <c r="MQ142" s="80" t="s">
        <v>3</v>
      </c>
      <c r="MR142" s="81" t="s">
        <v>4</v>
      </c>
      <c r="MS142" s="80" t="s">
        <v>5</v>
      </c>
      <c r="MU142" s="80" t="s">
        <v>1</v>
      </c>
      <c r="MV142" s="80" t="s">
        <v>50</v>
      </c>
      <c r="MW142" s="80" t="s">
        <v>3</v>
      </c>
      <c r="MX142" s="81" t="s">
        <v>4</v>
      </c>
      <c r="MY142" s="80" t="s">
        <v>5</v>
      </c>
      <c r="NA142" s="822" t="s">
        <v>1</v>
      </c>
      <c r="NB142" s="822" t="s">
        <v>50</v>
      </c>
      <c r="NC142" s="822" t="s">
        <v>3</v>
      </c>
      <c r="ND142" s="81" t="s">
        <v>4</v>
      </c>
      <c r="NE142" s="80" t="s">
        <v>5</v>
      </c>
      <c r="NG142" s="80" t="s">
        <v>1</v>
      </c>
      <c r="NH142" s="80" t="s">
        <v>50</v>
      </c>
      <c r="NI142" s="80" t="s">
        <v>3</v>
      </c>
      <c r="NJ142" s="81" t="s">
        <v>4</v>
      </c>
      <c r="NK142" s="80" t="s">
        <v>5</v>
      </c>
      <c r="NM142" s="80" t="s">
        <v>1</v>
      </c>
      <c r="NN142" s="80" t="s">
        <v>50</v>
      </c>
      <c r="NO142" s="80" t="s">
        <v>3</v>
      </c>
      <c r="NP142" s="81" t="s">
        <v>4</v>
      </c>
      <c r="NQ142" s="80" t="s">
        <v>5</v>
      </c>
      <c r="NS142" s="80" t="s">
        <v>1</v>
      </c>
      <c r="NT142" s="80" t="s">
        <v>50</v>
      </c>
      <c r="NU142" s="80" t="s">
        <v>3</v>
      </c>
      <c r="NV142" s="81" t="s">
        <v>4</v>
      </c>
      <c r="NW142" s="80" t="s">
        <v>5</v>
      </c>
      <c r="NY142" s="80" t="s">
        <v>1</v>
      </c>
      <c r="NZ142" s="80" t="s">
        <v>50</v>
      </c>
      <c r="OA142" s="80" t="s">
        <v>3</v>
      </c>
      <c r="OB142" s="81" t="s">
        <v>4</v>
      </c>
      <c r="OC142" s="80" t="s">
        <v>5</v>
      </c>
      <c r="OE142" s="80" t="s">
        <v>1</v>
      </c>
      <c r="OF142" s="80" t="s">
        <v>50</v>
      </c>
      <c r="OG142" s="80" t="s">
        <v>3</v>
      </c>
      <c r="OH142" s="81" t="s">
        <v>4</v>
      </c>
      <c r="OI142" s="80" t="s">
        <v>5</v>
      </c>
    </row>
    <row r="143" spans="1:399">
      <c r="A143" s="107" t="s">
        <v>8</v>
      </c>
      <c r="B143" s="52" t="s">
        <v>9</v>
      </c>
      <c r="C143" s="53"/>
      <c r="D143" s="54" t="s">
        <v>10</v>
      </c>
      <c r="E143" s="79">
        <f>SUM(E93:E94)</f>
        <v>0</v>
      </c>
      <c r="F143" s="82">
        <f>SUM(F93:F94)</f>
        <v>0</v>
      </c>
      <c r="G143" s="79">
        <f>SUM(G93:G94)</f>
        <v>0</v>
      </c>
      <c r="H143" s="82" t="e">
        <f>E143/F143</f>
        <v>#DIV/0!</v>
      </c>
      <c r="I143" s="83" t="e">
        <f>F143/G143</f>
        <v>#DIV/0!</v>
      </c>
      <c r="J143" s="589"/>
      <c r="K143" s="79">
        <f>SUM(K93:K94)</f>
        <v>0</v>
      </c>
      <c r="L143" s="82">
        <f>SUM(L93:L94)</f>
        <v>0</v>
      </c>
      <c r="M143" s="79">
        <f>SUM(M93:M94)</f>
        <v>0</v>
      </c>
      <c r="N143" s="82" t="e">
        <f>K143/L143</f>
        <v>#DIV/0!</v>
      </c>
      <c r="O143" s="83" t="e">
        <f>L143/M143</f>
        <v>#DIV/0!</v>
      </c>
      <c r="P143" s="589"/>
      <c r="Q143" s="79">
        <f>SUM(Q93:Q94)</f>
        <v>5700</v>
      </c>
      <c r="R143" s="82">
        <f>SUM(R93:R94)</f>
        <v>52.35</v>
      </c>
      <c r="S143" s="79">
        <f>SUM(S93:S94)</f>
        <v>10</v>
      </c>
      <c r="T143" s="82">
        <f>Q143/R143</f>
        <v>108.88252148997134</v>
      </c>
      <c r="U143" s="83">
        <f>R143/S143</f>
        <v>5.2350000000000003</v>
      </c>
      <c r="V143" s="589"/>
      <c r="W143" s="79">
        <f>SUM(W93:W94)</f>
        <v>2500</v>
      </c>
      <c r="X143" s="82">
        <f>SUM(X93:X94)</f>
        <v>11.11</v>
      </c>
      <c r="Y143" s="79">
        <f>SUM(Y93:Y94)</f>
        <v>5</v>
      </c>
      <c r="Z143" s="82">
        <f>W143/X143</f>
        <v>225.02250225022505</v>
      </c>
      <c r="AA143" s="83">
        <f>X143/Y143</f>
        <v>2.222</v>
      </c>
      <c r="AB143" s="589"/>
      <c r="AC143" s="79">
        <f>SUM(AC93:AC94)</f>
        <v>4300</v>
      </c>
      <c r="AD143" s="82">
        <f>SUM(AD93:AD94)</f>
        <v>35.699999999999996</v>
      </c>
      <c r="AE143" s="79">
        <f>SUM(AE93:AE94)</f>
        <v>7</v>
      </c>
      <c r="AF143" s="82">
        <f>AC143/AD143</f>
        <v>120.4481792717087</v>
      </c>
      <c r="AG143" s="83">
        <f>AD143/AE143</f>
        <v>5.0999999999999996</v>
      </c>
      <c r="AH143" s="589"/>
      <c r="AI143" s="79">
        <f>SUM(AI93:AI94)</f>
        <v>0</v>
      </c>
      <c r="AJ143" s="82">
        <f>SUM(AJ93:AJ94)</f>
        <v>0</v>
      </c>
      <c r="AK143" s="79">
        <f>SUM(AK93:AK94)</f>
        <v>0</v>
      </c>
      <c r="AL143" s="82" t="e">
        <f>AI143/AJ143</f>
        <v>#DIV/0!</v>
      </c>
      <c r="AM143" s="83" t="e">
        <f>AJ143/AK143</f>
        <v>#DIV/0!</v>
      </c>
      <c r="AN143" s="589"/>
      <c r="AO143" s="79">
        <f>SUM(AO93:AO94)</f>
        <v>0</v>
      </c>
      <c r="AP143" s="82">
        <f>SUM(AP93:AP94)</f>
        <v>0</v>
      </c>
      <c r="AQ143" s="79">
        <f>SUM(AQ93:AQ94)</f>
        <v>0</v>
      </c>
      <c r="AR143" s="82" t="e">
        <f>AO143/AP143</f>
        <v>#DIV/0!</v>
      </c>
      <c r="AS143" s="83" t="e">
        <f>AP143/AQ143</f>
        <v>#DIV/0!</v>
      </c>
      <c r="AT143" s="589"/>
      <c r="AU143" s="79">
        <f>SUM(AU93:AU94)</f>
        <v>6100</v>
      </c>
      <c r="AV143" s="82">
        <f>SUM(AV93:AV94)</f>
        <v>48.349999999999994</v>
      </c>
      <c r="AW143" s="79">
        <f>SUM(AW93:AW94)</f>
        <v>10</v>
      </c>
      <c r="AX143" s="82">
        <f>AU143/AV143</f>
        <v>126.16339193381594</v>
      </c>
      <c r="AY143" s="83">
        <f>AV143/AW143</f>
        <v>4.8349999999999991</v>
      </c>
      <c r="AZ143" s="84"/>
      <c r="BA143" s="79">
        <f>SUM(BA93:BA94)</f>
        <v>2100</v>
      </c>
      <c r="BB143" s="82">
        <f>SUM(BB93:BB94)</f>
        <v>13.079999999999998</v>
      </c>
      <c r="BC143" s="79">
        <f>SUM(BC93:BC94)</f>
        <v>4</v>
      </c>
      <c r="BD143" s="82">
        <f>BA143/BB143</f>
        <v>160.55045871559636</v>
      </c>
      <c r="BE143" s="83">
        <f>BB143/BC143</f>
        <v>3.2699999999999996</v>
      </c>
      <c r="BF143" s="84"/>
      <c r="BG143" s="79">
        <f>SUM(BG93:BG94)</f>
        <v>0</v>
      </c>
      <c r="BH143" s="82">
        <f>SUM(BH93:BH94)</f>
        <v>0</v>
      </c>
      <c r="BI143" s="79">
        <f>SUM(BI93:BI94)</f>
        <v>0</v>
      </c>
      <c r="BJ143" s="82" t="e">
        <f>BG143/BH143</f>
        <v>#DIV/0!</v>
      </c>
      <c r="BK143" s="83" t="e">
        <f>BH143/BI143</f>
        <v>#DIV/0!</v>
      </c>
      <c r="BL143" s="84"/>
      <c r="BM143" s="79">
        <f>SUM(BM93:BM94)</f>
        <v>0</v>
      </c>
      <c r="BN143" s="82">
        <f>SUM(BN93:BN94)</f>
        <v>0</v>
      </c>
      <c r="BO143" s="79">
        <f>SUM(BO93:BO94)</f>
        <v>0</v>
      </c>
      <c r="BP143" s="82" t="e">
        <f>BM143/BN143</f>
        <v>#DIV/0!</v>
      </c>
      <c r="BQ143" s="83" t="e">
        <f>BN143/BO143</f>
        <v>#DIV/0!</v>
      </c>
      <c r="BR143" s="589"/>
      <c r="BS143" s="79">
        <f>SUM(BS93:BS94)</f>
        <v>0</v>
      </c>
      <c r="BT143" s="82">
        <f>SUM(BT93:BT94)</f>
        <v>0</v>
      </c>
      <c r="BU143" s="79">
        <f>SUM(BU93:BU94)</f>
        <v>0</v>
      </c>
      <c r="BV143" s="82" t="e">
        <f>BS143/BT143</f>
        <v>#DIV/0!</v>
      </c>
      <c r="BW143" s="83" t="e">
        <f>BT143/BU143</f>
        <v>#DIV/0!</v>
      </c>
      <c r="BX143" s="84"/>
      <c r="BY143" s="79">
        <f>SUM(BY93:BY94)</f>
        <v>3100</v>
      </c>
      <c r="BZ143" s="82">
        <f>SUM(BZ93:BZ94)</f>
        <v>19.369999999999997</v>
      </c>
      <c r="CA143" s="79">
        <f>SUM(CA93:CA94)</f>
        <v>5</v>
      </c>
      <c r="CB143" s="82">
        <f>BY143/BZ143</f>
        <v>160.04130098089831</v>
      </c>
      <c r="CC143" s="83">
        <f>BZ143/CA143</f>
        <v>3.8739999999999997</v>
      </c>
      <c r="CD143" s="84"/>
      <c r="CE143" s="79">
        <f>SUM(CE93:CE94)</f>
        <v>0</v>
      </c>
      <c r="CF143" s="82">
        <f>SUM(CF93:CF94)</f>
        <v>0</v>
      </c>
      <c r="CG143" s="79">
        <f>SUM(CG93:CG94)</f>
        <v>0</v>
      </c>
      <c r="CH143" s="82" t="e">
        <f>CE143/CF143</f>
        <v>#DIV/0!</v>
      </c>
      <c r="CI143" s="83" t="e">
        <f>CF143/CG143</f>
        <v>#DIV/0!</v>
      </c>
      <c r="CJ143" s="84"/>
      <c r="CK143" s="79">
        <f>SUM(CK93:CK94)</f>
        <v>0</v>
      </c>
      <c r="CL143" s="82">
        <f>SUM(CL93:CL94)</f>
        <v>0</v>
      </c>
      <c r="CM143" s="79">
        <f>SUM(CM93:CM94)</f>
        <v>0</v>
      </c>
      <c r="CN143" s="82" t="e">
        <f>CK143/CL143</f>
        <v>#DIV/0!</v>
      </c>
      <c r="CO143" s="83" t="e">
        <f>CL143/CM143</f>
        <v>#DIV/0!</v>
      </c>
      <c r="CP143" s="84"/>
      <c r="CQ143" s="79">
        <f>SUM(CQ93:CQ94)</f>
        <v>3900</v>
      </c>
      <c r="CR143" s="82">
        <f>SUM(CR93:CR94)</f>
        <v>25.549999999999997</v>
      </c>
      <c r="CS143" s="79">
        <f>SUM(CS93:CS94)</f>
        <v>7</v>
      </c>
      <c r="CT143" s="82">
        <f>CQ143/CR143</f>
        <v>152.64187866927594</v>
      </c>
      <c r="CU143" s="83">
        <f>CR143/CS143</f>
        <v>3.6499999999999995</v>
      </c>
      <c r="CV143" s="84"/>
      <c r="CW143" s="79">
        <f>SUM(CW93:CW94)</f>
        <v>3100</v>
      </c>
      <c r="CX143" s="82">
        <f>SUM(CX93:CX94)</f>
        <v>19.369999999999997</v>
      </c>
      <c r="CY143" s="79">
        <f>SUM(CY93:CY94)</f>
        <v>5</v>
      </c>
      <c r="CZ143" s="82">
        <f>CW143/CX143</f>
        <v>160.04130098089831</v>
      </c>
      <c r="DA143" s="83">
        <f>CX143/CY143</f>
        <v>3.8739999999999997</v>
      </c>
      <c r="DB143" s="84"/>
      <c r="DC143" s="79">
        <f>SUM(DC93:DC94)</f>
        <v>5200</v>
      </c>
      <c r="DD143" s="82">
        <f>SUM(DD93:DD94)</f>
        <v>41.5</v>
      </c>
      <c r="DE143" s="79">
        <f>SUM(DE93:DE94)</f>
        <v>9</v>
      </c>
      <c r="DF143" s="82">
        <f>DC143/DD143</f>
        <v>125.3012048192771</v>
      </c>
      <c r="DG143" s="83">
        <f>DD143/DE143</f>
        <v>4.6111111111111107</v>
      </c>
      <c r="DH143" s="84"/>
      <c r="DI143" s="79">
        <f>SUM(DI93:DI94)</f>
        <v>4300</v>
      </c>
      <c r="DJ143" s="82">
        <f>SUM(DJ93:DJ94)</f>
        <v>35.699999999999996</v>
      </c>
      <c r="DK143" s="79">
        <f>SUM(DK93:DK94)</f>
        <v>7</v>
      </c>
      <c r="DL143" s="82">
        <f>DI143/DJ143</f>
        <v>120.4481792717087</v>
      </c>
      <c r="DM143" s="83">
        <f>DJ143/DK143</f>
        <v>5.0999999999999996</v>
      </c>
      <c r="DN143" s="84"/>
      <c r="DO143" s="79">
        <f>SUM(DO93:DO94)</f>
        <v>5200</v>
      </c>
      <c r="DP143" s="82">
        <f>SUM(DP93:DP94)</f>
        <v>53.43</v>
      </c>
      <c r="DQ143" s="79">
        <f>SUM(DQ93:DQ94)</f>
        <v>10</v>
      </c>
      <c r="DR143" s="82">
        <f>DO143/DP143</f>
        <v>97.323600973236012</v>
      </c>
      <c r="DS143" s="83">
        <f>DP143/DQ143</f>
        <v>5.343</v>
      </c>
      <c r="DT143" s="84"/>
      <c r="DU143" s="79">
        <f>SUM(DU93:DU94)</f>
        <v>0</v>
      </c>
      <c r="DV143" s="82">
        <f>SUM(DV93:DV94)</f>
        <v>0</v>
      </c>
      <c r="DW143" s="79">
        <f>SUM(DW93:DW94)</f>
        <v>0</v>
      </c>
      <c r="DX143" s="82" t="e">
        <f>DU143/DV143</f>
        <v>#DIV/0!</v>
      </c>
      <c r="DY143" s="83" t="e">
        <f>DV143/DW143</f>
        <v>#DIV/0!</v>
      </c>
      <c r="DZ143" s="84"/>
      <c r="EA143" s="79">
        <f>SUM(EA93:EA94)</f>
        <v>0</v>
      </c>
      <c r="EB143" s="82">
        <f>SUM(EB93:EB94)</f>
        <v>0</v>
      </c>
      <c r="EC143" s="79">
        <f>SUM(EC93:EC94)</f>
        <v>0</v>
      </c>
      <c r="ED143" s="82" t="e">
        <f>EA143/EB143</f>
        <v>#DIV/0!</v>
      </c>
      <c r="EE143" s="83" t="e">
        <f>EB143/EC143</f>
        <v>#DIV/0!</v>
      </c>
      <c r="EF143" s="84"/>
      <c r="EG143" s="79">
        <f>SUM(EG93:EG94)</f>
        <v>0</v>
      </c>
      <c r="EH143" s="82">
        <f>SUM(EH93:EH94)</f>
        <v>0</v>
      </c>
      <c r="EI143" s="79">
        <f>SUM(EI93:EI94)</f>
        <v>0</v>
      </c>
      <c r="EJ143" s="82" t="e">
        <f>EG143/EH143</f>
        <v>#DIV/0!</v>
      </c>
      <c r="EK143" s="83" t="e">
        <f>EH143/EI143</f>
        <v>#DIV/0!</v>
      </c>
      <c r="EL143" s="84"/>
      <c r="EM143" s="79">
        <f>SUM(EM93:EM94)</f>
        <v>0</v>
      </c>
      <c r="EN143" s="82">
        <f>SUM(EN93:EN94)</f>
        <v>0</v>
      </c>
      <c r="EO143" s="79">
        <f>SUM(EO93:EO94)</f>
        <v>0</v>
      </c>
      <c r="EP143" s="82" t="e">
        <f>EM143/EN143</f>
        <v>#DIV/0!</v>
      </c>
      <c r="EQ143" s="83" t="e">
        <f>EN143/EO143</f>
        <v>#DIV/0!</v>
      </c>
      <c r="ER143" s="589"/>
      <c r="ES143" s="79">
        <f>SUM(ES93:ES94)</f>
        <v>3100</v>
      </c>
      <c r="ET143" s="82">
        <f>SUM(ET93:ET94)</f>
        <v>19.369999999999997</v>
      </c>
      <c r="EU143" s="79">
        <f>SUM(EU93:EU94)</f>
        <v>5</v>
      </c>
      <c r="EV143" s="82">
        <f>ES143/ET143</f>
        <v>160.04130098089831</v>
      </c>
      <c r="EW143" s="83">
        <f>ET143/EU143</f>
        <v>3.8739999999999997</v>
      </c>
      <c r="EY143" s="98">
        <f>SUM(EY93:EY94)</f>
        <v>0</v>
      </c>
      <c r="EZ143" s="82">
        <f>SUM(EZ93:EZ94)</f>
        <v>0</v>
      </c>
      <c r="FA143" s="371">
        <f>SUM(FA93:FA94)</f>
        <v>0</v>
      </c>
      <c r="FB143" s="369" t="e">
        <f>EY143/EZ143</f>
        <v>#DIV/0!</v>
      </c>
      <c r="FC143" s="370" t="e">
        <f>EZ143/FA143</f>
        <v>#DIV/0!</v>
      </c>
      <c r="FD143" s="178"/>
      <c r="FE143" s="378">
        <f>SUM(FE93:FE94)</f>
        <v>5700</v>
      </c>
      <c r="FF143" s="369">
        <f>SUM(FF93:FF94)</f>
        <v>52.35</v>
      </c>
      <c r="FG143" s="371">
        <f>SUM(FG93:FG94)</f>
        <v>10</v>
      </c>
      <c r="FH143" s="369">
        <f>FE143/FF143</f>
        <v>108.88252148997134</v>
      </c>
      <c r="FI143" s="377">
        <f>FF143/FG143</f>
        <v>5.2350000000000003</v>
      </c>
      <c r="FK143" s="229">
        <f>SUM(FK93:FK94)</f>
        <v>2500</v>
      </c>
      <c r="FL143" s="82">
        <f>SUM(FL93:FL94)</f>
        <v>12.530000000000001</v>
      </c>
      <c r="FM143" s="79">
        <f>SUM(FM93:FM94)</f>
        <v>5</v>
      </c>
      <c r="FN143" s="82">
        <f>FK143/FL143</f>
        <v>199.52114924181961</v>
      </c>
      <c r="FO143" s="83">
        <f>FL143/FM143</f>
        <v>2.5060000000000002</v>
      </c>
      <c r="FQ143" s="98">
        <f>SUM(FQ93:FQ94)</f>
        <v>4100</v>
      </c>
      <c r="FR143" s="82">
        <f>SUM(FR93:FR94)</f>
        <v>32.090000000000003</v>
      </c>
      <c r="FS143" s="79">
        <f>SUM(FS93:FS94)</f>
        <v>8</v>
      </c>
      <c r="FT143" s="82">
        <f>FQ143/FR143</f>
        <v>127.76565908382672</v>
      </c>
      <c r="FU143" s="83">
        <f>FR143/FS143</f>
        <v>4.0112500000000004</v>
      </c>
      <c r="FW143" s="98">
        <f>SUM(FW93:FW94)</f>
        <v>5200</v>
      </c>
      <c r="FX143" s="82">
        <f>SUM(FX93:FX94)</f>
        <v>41.5</v>
      </c>
      <c r="FY143" s="79">
        <f>SUM(FY93:FY94)</f>
        <v>9</v>
      </c>
      <c r="FZ143" s="82">
        <f>FW143/FX143</f>
        <v>125.3012048192771</v>
      </c>
      <c r="GA143" s="83">
        <f>FX143/FY143</f>
        <v>4.6111111111111107</v>
      </c>
      <c r="GC143" s="98">
        <f>SUM(GC93:GC94)</f>
        <v>6400</v>
      </c>
      <c r="GD143" s="82">
        <f>SUM(GD93:GD94)</f>
        <v>47.44</v>
      </c>
      <c r="GE143" s="79">
        <f>SUM(GE93:GE94)</f>
        <v>10</v>
      </c>
      <c r="GF143" s="82">
        <f>GC143/GD143</f>
        <v>134.90725126475547</v>
      </c>
      <c r="GG143" s="83">
        <f>GD143/GE143</f>
        <v>4.7439999999999998</v>
      </c>
      <c r="GI143" s="378">
        <f>SUM(GI93:GI94)</f>
        <v>5500</v>
      </c>
      <c r="GJ143" s="369">
        <f>SUM(GJ93:GJ94)</f>
        <v>51.460000000000008</v>
      </c>
      <c r="GK143" s="371">
        <f>SUM(GK93:GK94)</f>
        <v>10</v>
      </c>
      <c r="GL143" s="369">
        <f>GI143/GJ143</f>
        <v>106.87912942090942</v>
      </c>
      <c r="GM143" s="377">
        <f>GJ143/GK143</f>
        <v>5.1460000000000008</v>
      </c>
      <c r="GO143" s="378">
        <f>SUM(GO93:GO94)</f>
        <v>4900</v>
      </c>
      <c r="GP143" s="369">
        <f>SUM(GP93:GP94)</f>
        <v>39.99</v>
      </c>
      <c r="GQ143" s="371">
        <f>SUM(GQ93:GQ94)</f>
        <v>7</v>
      </c>
      <c r="GR143" s="369">
        <f>GO143/GP143</f>
        <v>122.53063265816454</v>
      </c>
      <c r="GS143" s="377">
        <f>GP143/GQ143</f>
        <v>5.7128571428571435</v>
      </c>
      <c r="GU143" s="378">
        <f>SUM(GU93:GU94)</f>
        <v>3050</v>
      </c>
      <c r="GV143" s="369">
        <f>SUM(GV93:GV94)</f>
        <v>23.5</v>
      </c>
      <c r="GW143" s="371">
        <f>SUM(GW93:GW94)</f>
        <v>7</v>
      </c>
      <c r="GX143" s="369">
        <f>GU143/GV143</f>
        <v>129.78723404255319</v>
      </c>
      <c r="GY143" s="377">
        <f>GV143/GW143</f>
        <v>3.3571428571428572</v>
      </c>
      <c r="HA143" s="98">
        <f>SUM(HA93:HA94)</f>
        <v>3500</v>
      </c>
      <c r="HB143" s="82">
        <f>SUM(HB93:HB94)</f>
        <v>28.99</v>
      </c>
      <c r="HC143" s="79">
        <f>SUM(HC93:HC94)</f>
        <v>6</v>
      </c>
      <c r="HD143" s="82">
        <f>HA143/HB143</f>
        <v>120.73128665056917</v>
      </c>
      <c r="HE143" s="83">
        <f>HB143/HC143</f>
        <v>4.8316666666666661</v>
      </c>
      <c r="HG143" s="98">
        <f>SUM(HG93:HG94)</f>
        <v>5200</v>
      </c>
      <c r="HH143" s="82">
        <f>SUM(HH93:HH94)</f>
        <v>53.43</v>
      </c>
      <c r="HI143" s="79">
        <f>SUM(HI93:HI94)</f>
        <v>10</v>
      </c>
      <c r="HJ143" s="82">
        <f>HG143/HH143</f>
        <v>97.323600973236012</v>
      </c>
      <c r="HK143" s="83">
        <f>HH143/HI143</f>
        <v>5.343</v>
      </c>
      <c r="HM143" s="98">
        <f>SUM(HM93:HM94)</f>
        <v>0</v>
      </c>
      <c r="HN143" s="82">
        <f>SUM(HN93:HN94)</f>
        <v>0</v>
      </c>
      <c r="HO143" s="371">
        <f>SUM(HO93:HO94)</f>
        <v>0</v>
      </c>
      <c r="HP143" s="369" t="e">
        <f>HM143/HN143</f>
        <v>#DIV/0!</v>
      </c>
      <c r="HQ143" s="377" t="e">
        <f>HN143/HO143</f>
        <v>#DIV/0!</v>
      </c>
      <c r="HS143" s="98">
        <f>SUM(HS93:HS94)</f>
        <v>0</v>
      </c>
      <c r="HT143" s="82">
        <f>SUM(HT93:HT94)</f>
        <v>0</v>
      </c>
      <c r="HU143" s="371">
        <f>SUM(HU93:HU94)</f>
        <v>0</v>
      </c>
      <c r="HV143" s="369" t="e">
        <f>HS143/HT143</f>
        <v>#DIV/0!</v>
      </c>
      <c r="HW143" s="377" t="e">
        <f>HT143/HU143</f>
        <v>#DIV/0!</v>
      </c>
      <c r="HX143" s="178"/>
      <c r="HY143" s="98">
        <f>SUM(HY93:HY94)</f>
        <v>6500</v>
      </c>
      <c r="HZ143" s="82">
        <f>SUM(HZ93:HZ94)</f>
        <v>43.22</v>
      </c>
      <c r="IA143" s="79">
        <f>SUM(IA93:IA94)</f>
        <v>10</v>
      </c>
      <c r="IB143" s="82">
        <f>HY143/HZ143</f>
        <v>150.39333641832485</v>
      </c>
      <c r="IC143" s="83">
        <f>HZ143/IA143</f>
        <v>4.3220000000000001</v>
      </c>
      <c r="IE143" s="98">
        <f>SUM(IE93:IE94)</f>
        <v>2700</v>
      </c>
      <c r="IF143" s="82">
        <f>SUM(IF93:IF94)</f>
        <v>15.07</v>
      </c>
      <c r="IG143" s="79">
        <f>SUM(IG93:IG94)</f>
        <v>5</v>
      </c>
      <c r="IH143" s="82">
        <f>IE143/IF143</f>
        <v>179.16390179163901</v>
      </c>
      <c r="II143" s="83">
        <f>IF143/IG143</f>
        <v>3.0140000000000002</v>
      </c>
      <c r="IK143" s="98">
        <f>SUM(IK93:IK94)</f>
        <v>5000</v>
      </c>
      <c r="IL143" s="82">
        <f>SUM(IL93:IL94)</f>
        <v>31.31</v>
      </c>
      <c r="IM143" s="79">
        <f>SUM(IM93:IM94)</f>
        <v>8</v>
      </c>
      <c r="IN143" s="82">
        <f>IK143/IL143</f>
        <v>159.69338869370807</v>
      </c>
      <c r="IO143" s="83">
        <f>IL143/IM143</f>
        <v>3.9137499999999998</v>
      </c>
      <c r="IQ143" s="98">
        <f>SUM(IQ93:IQ94)</f>
        <v>6200</v>
      </c>
      <c r="IR143" s="82">
        <f>SUM(IR93:IR94)</f>
        <v>37.129999999999995</v>
      </c>
      <c r="IS143" s="79">
        <f>SUM(IS93:IS94)</f>
        <v>10</v>
      </c>
      <c r="IT143" s="82">
        <f>IQ143/IR143</f>
        <v>166.98087799622948</v>
      </c>
      <c r="IU143" s="83">
        <f>IR143/IS143</f>
        <v>3.7129999999999996</v>
      </c>
      <c r="IW143" s="98">
        <f>SUM(IW93:IW94)</f>
        <v>2000</v>
      </c>
      <c r="IX143" s="82">
        <f>SUM(IX93:IX94)</f>
        <v>14.93</v>
      </c>
      <c r="IY143" s="79">
        <f>SUM(IY93:IY94)</f>
        <v>4</v>
      </c>
      <c r="IZ143" s="82">
        <f>IW143/IX143</f>
        <v>133.95847287340925</v>
      </c>
      <c r="JA143" s="83">
        <f>IX143/IY143</f>
        <v>3.7324999999999999</v>
      </c>
      <c r="JC143" s="98">
        <f>SUM(JC93:JC94)</f>
        <v>6200</v>
      </c>
      <c r="JD143" s="82">
        <f>SUM(JD93:JD94)</f>
        <v>49.790000000000006</v>
      </c>
      <c r="JE143" s="79">
        <f>SUM(JE93:JE94)</f>
        <v>10</v>
      </c>
      <c r="JF143" s="82">
        <f>JC143/JD143</f>
        <v>124.52299658565975</v>
      </c>
      <c r="JG143" s="83">
        <f>JD143/JE143</f>
        <v>4.979000000000001</v>
      </c>
      <c r="JI143" s="98">
        <f>SUM(JI93:JI94)</f>
        <v>6200</v>
      </c>
      <c r="JJ143" s="82">
        <f>SUM(JJ93:JJ94)</f>
        <v>50.269999999999996</v>
      </c>
      <c r="JK143" s="79">
        <f>SUM(JK93:JK94)</f>
        <v>10</v>
      </c>
      <c r="JL143" s="82">
        <f>JI143/JJ143</f>
        <v>123.33399641933559</v>
      </c>
      <c r="JM143" s="83">
        <f>JJ143/JK143</f>
        <v>5.0269999999999992</v>
      </c>
      <c r="JO143" s="98">
        <f>SUM(JO93:JO94)</f>
        <v>5500</v>
      </c>
      <c r="JP143" s="82">
        <f>SUM(JP93:JP94)</f>
        <v>43.25</v>
      </c>
      <c r="JQ143" s="79">
        <f>SUM(JQ93:JQ94)</f>
        <v>10</v>
      </c>
      <c r="JR143" s="82">
        <f>JO143/JP143</f>
        <v>127.16763005780346</v>
      </c>
      <c r="JS143" s="83">
        <f>JP143/JQ143</f>
        <v>4.3250000000000002</v>
      </c>
      <c r="JU143" s="525">
        <f>SUM(JU93:JU94)</f>
        <v>3200</v>
      </c>
      <c r="JV143" s="82">
        <f>SUM(JV93:JV94)</f>
        <v>19.55</v>
      </c>
      <c r="JW143" s="748">
        <f>SUM(JW93:JW94)</f>
        <v>5</v>
      </c>
      <c r="JX143" s="369">
        <f>JU143/JV143</f>
        <v>163.68286445012788</v>
      </c>
      <c r="JY143" s="83">
        <f>JV143/JW143</f>
        <v>3.91</v>
      </c>
      <c r="KA143" s="525">
        <f>SUM(KA93:KA94)</f>
        <v>5000</v>
      </c>
      <c r="KB143" s="82">
        <f>SUM(KB93:KB94)</f>
        <v>46.930000000000007</v>
      </c>
      <c r="KC143" s="748">
        <f>SUM(KC93:KC94)</f>
        <v>5</v>
      </c>
      <c r="KD143" s="369">
        <f>KA143/KB143</f>
        <v>106.54165778819517</v>
      </c>
      <c r="KE143" s="83">
        <f>KB143/KC143</f>
        <v>9.386000000000001</v>
      </c>
      <c r="KG143" s="525">
        <f>SUM(KG93:KG94)</f>
        <v>4000</v>
      </c>
      <c r="KH143" s="82">
        <f>SUM(KH93:KH94)</f>
        <v>40.520000000000003</v>
      </c>
      <c r="KI143" s="748">
        <f>SUM(KI93:KI94)</f>
        <v>5</v>
      </c>
      <c r="KJ143" s="369">
        <f>KG143/KH143</f>
        <v>98.716683119447183</v>
      </c>
      <c r="KK143" s="83">
        <f>KH143/KI143</f>
        <v>8.104000000000001</v>
      </c>
      <c r="KM143" s="525">
        <f>SUM(KM93:KM94)</f>
        <v>2400</v>
      </c>
      <c r="KN143" s="82">
        <f>SUM(KN93:KN94)</f>
        <v>31.55</v>
      </c>
      <c r="KO143" s="748">
        <f>SUM(KO93:KO94)</f>
        <v>5</v>
      </c>
      <c r="KP143" s="369">
        <f>KM143/KN143</f>
        <v>76.069730586370838</v>
      </c>
      <c r="KQ143" s="83">
        <f>KN143/KO143</f>
        <v>6.3100000000000005</v>
      </c>
      <c r="KS143" s="525">
        <f>SUM(KS93:KS94)</f>
        <v>1000</v>
      </c>
      <c r="KT143" s="82">
        <f>SUM(KT93:KT94)</f>
        <v>6.46</v>
      </c>
      <c r="KU143" s="748">
        <f>SUM(KU93:KU94)</f>
        <v>2</v>
      </c>
      <c r="KV143" s="369">
        <f>KS143/KT143</f>
        <v>154.79876160990713</v>
      </c>
      <c r="KW143" s="83">
        <f>KT143/KU143</f>
        <v>3.23</v>
      </c>
      <c r="KY143" s="525">
        <f>SUM(KY93:KY94)</f>
        <v>0</v>
      </c>
      <c r="KZ143" s="82">
        <f>SUM(KZ93:KZ94)</f>
        <v>0</v>
      </c>
      <c r="LA143" s="748">
        <f>SUM(LA93:LA94)</f>
        <v>0</v>
      </c>
      <c r="LB143" s="369" t="e">
        <f>KY143/KZ143</f>
        <v>#DIV/0!</v>
      </c>
      <c r="LC143" s="83" t="e">
        <f>KZ143/LA143</f>
        <v>#DIV/0!</v>
      </c>
      <c r="LE143" s="525">
        <f>SUM(LE93:LE94)</f>
        <v>1900</v>
      </c>
      <c r="LF143" s="82">
        <f>SUM(LF93:LF94)</f>
        <v>18.53</v>
      </c>
      <c r="LG143" s="748">
        <f>SUM(LG93:LG94)</f>
        <v>3</v>
      </c>
      <c r="LH143" s="369">
        <f>LE143/LF143</f>
        <v>102.53642741500269</v>
      </c>
      <c r="LI143" s="83">
        <f>LF143/LG143</f>
        <v>6.1766666666666667</v>
      </c>
      <c r="LK143" s="525">
        <f>SUM(LK93:LK94)</f>
        <v>800</v>
      </c>
      <c r="LL143" s="82">
        <f>SUM(LL93:LL94)</f>
        <v>6.28</v>
      </c>
      <c r="LM143" s="748">
        <f>SUM(LM93:LM94)</f>
        <v>1</v>
      </c>
      <c r="LN143" s="369">
        <f>LK143/LL143</f>
        <v>127.38853503184713</v>
      </c>
      <c r="LO143" s="83">
        <f>LL143/LM143</f>
        <v>6.28</v>
      </c>
      <c r="LQ143" s="525">
        <f>SUM(LQ93:LQ94)</f>
        <v>2500</v>
      </c>
      <c r="LR143" s="82">
        <f>SUM(LR93:LR94)</f>
        <v>19.57</v>
      </c>
      <c r="LS143" s="748">
        <f>SUM(LS93:LS94)</f>
        <v>5</v>
      </c>
      <c r="LT143" s="369">
        <f>LQ143/LR143</f>
        <v>127.74655084312724</v>
      </c>
      <c r="LU143" s="83">
        <f>LR143/LS143</f>
        <v>3.9140000000000001</v>
      </c>
      <c r="LW143" s="525">
        <f>SUM(LW93:LW94)</f>
        <v>5300</v>
      </c>
      <c r="LX143" s="82">
        <f>SUM(LX93:LX94)</f>
        <v>36.56</v>
      </c>
      <c r="LY143" s="748">
        <f>SUM(LY93:LY94)</f>
        <v>10</v>
      </c>
      <c r="LZ143" s="369">
        <f>LW143/LX143</f>
        <v>144.9671772428884</v>
      </c>
      <c r="MA143" s="83">
        <f>LX143/LY143</f>
        <v>3.6560000000000001</v>
      </c>
      <c r="MC143" s="525">
        <f>SUM(MC93:MC94)</f>
        <v>6500</v>
      </c>
      <c r="MD143" s="82">
        <f>SUM(MD93:MD94)</f>
        <v>81.59</v>
      </c>
      <c r="ME143" s="748">
        <f>SUM(ME93:ME94)</f>
        <v>10</v>
      </c>
      <c r="MF143" s="369">
        <f>MC143/MD143</f>
        <v>79.666625811986762</v>
      </c>
      <c r="MG143" s="83">
        <f>MD143/ME143</f>
        <v>8.1590000000000007</v>
      </c>
      <c r="MI143" s="525">
        <f>SUM(MI93:MI94)</f>
        <v>5000</v>
      </c>
      <c r="MJ143" s="82">
        <f>SUM(MJ93:MJ94)</f>
        <v>40.379999999999995</v>
      </c>
      <c r="MK143" s="748">
        <f>SUM(MK93:MK94)</f>
        <v>10</v>
      </c>
      <c r="ML143" s="369">
        <f>MI143/MJ143</f>
        <v>123.82367508667659</v>
      </c>
      <c r="MM143" s="83">
        <f>MJ143/MK143</f>
        <v>4.0379999999999994</v>
      </c>
      <c r="MO143" s="525">
        <f>SUM(MO93:MO94)</f>
        <v>0</v>
      </c>
      <c r="MP143" s="82">
        <f>SUM(MP93:MP94)</f>
        <v>0</v>
      </c>
      <c r="MQ143" s="748">
        <f>SUM(MQ93:MQ94)</f>
        <v>0</v>
      </c>
      <c r="MR143" s="369" t="e">
        <f>MO143/MP143</f>
        <v>#DIV/0!</v>
      </c>
      <c r="MS143" s="83" t="e">
        <f>MP143/MQ143</f>
        <v>#DIV/0!</v>
      </c>
      <c r="MU143" s="525">
        <f>SUM(MU93:MU94)</f>
        <v>0</v>
      </c>
      <c r="MV143" s="82">
        <f>SUM(MV93:MV94)</f>
        <v>0</v>
      </c>
      <c r="MW143" s="748">
        <f>SUM(MW93:MW94)</f>
        <v>0</v>
      </c>
      <c r="MX143" s="369" t="e">
        <f>MU143/MV143</f>
        <v>#DIV/0!</v>
      </c>
      <c r="MY143" s="83" t="e">
        <f>MV143/MW143</f>
        <v>#DIV/0!</v>
      </c>
      <c r="NA143" s="525">
        <f>SUM(NA93:NA94)</f>
        <v>3000</v>
      </c>
      <c r="NB143" s="748">
        <f>SUM(NB93:NB94)</f>
        <v>23.779999999999998</v>
      </c>
      <c r="NC143" s="748">
        <f>SUM(NC93:NC94)</f>
        <v>5</v>
      </c>
      <c r="ND143" s="369">
        <f>NA143/NB143</f>
        <v>126.1564339781329</v>
      </c>
      <c r="NE143" s="83">
        <f>NB143/NC143</f>
        <v>4.7559999999999993</v>
      </c>
      <c r="NG143" s="525">
        <f>SUM(NG93:NG94)</f>
        <v>2800</v>
      </c>
      <c r="NH143" s="82">
        <f>SUM(NH93:NH94)</f>
        <v>31.31</v>
      </c>
      <c r="NI143" s="748">
        <f>SUM(NI93:NI94)</f>
        <v>5</v>
      </c>
      <c r="NJ143" s="369">
        <f>NG143/NH143</f>
        <v>89.428297668476532</v>
      </c>
      <c r="NK143" s="83">
        <f>NH143/NI143</f>
        <v>6.2619999999999996</v>
      </c>
      <c r="NM143" s="525">
        <f>SUM(NM93:NM94)</f>
        <v>4000</v>
      </c>
      <c r="NN143" s="82">
        <f>SUM(NN93:NN94)</f>
        <v>36.68</v>
      </c>
      <c r="NO143" s="748">
        <f>SUM(NO93:NO94)</f>
        <v>5</v>
      </c>
      <c r="NP143" s="369">
        <f>NM143/NN143</f>
        <v>109.05125408942203</v>
      </c>
      <c r="NQ143" s="83">
        <f>NN143/NO143</f>
        <v>7.3360000000000003</v>
      </c>
      <c r="NS143" s="525">
        <f>SUM(NS93:NS94)</f>
        <v>5200</v>
      </c>
      <c r="NT143" s="82">
        <f>SUM(NT93:NT94)</f>
        <v>33.15</v>
      </c>
      <c r="NU143" s="748">
        <f>SUM(NU93:NU94)</f>
        <v>10</v>
      </c>
      <c r="NV143" s="369">
        <f>NS143/NT143</f>
        <v>156.86274509803923</v>
      </c>
      <c r="NW143" s="83">
        <f>NT143/NU143</f>
        <v>3.3149999999999999</v>
      </c>
      <c r="NY143" s="525">
        <f>SUM(NY93:NY94)</f>
        <v>3000</v>
      </c>
      <c r="NZ143" s="82">
        <f>SUM(NZ93:NZ94)</f>
        <v>35.64</v>
      </c>
      <c r="OA143" s="748">
        <f>SUM(OA93:OA94)</f>
        <v>5</v>
      </c>
      <c r="OB143" s="369">
        <f>NY143/NZ143</f>
        <v>84.17508417508418</v>
      </c>
      <c r="OC143" s="83">
        <f>NZ143/OA143</f>
        <v>7.1280000000000001</v>
      </c>
      <c r="OE143" s="525">
        <f>SUM(OE93:OE94)</f>
        <v>3000</v>
      </c>
      <c r="OF143" s="82">
        <f>SUM(OF93:OF94)</f>
        <v>26.45</v>
      </c>
      <c r="OG143" s="748">
        <f>SUM(OG93:OG94)</f>
        <v>5</v>
      </c>
      <c r="OH143" s="369">
        <f>OE143/OF143</f>
        <v>113.42155009451797</v>
      </c>
      <c r="OI143" s="83">
        <f>OF143/OG143</f>
        <v>5.29</v>
      </c>
    </row>
    <row r="144" spans="1:399">
      <c r="A144" s="55"/>
      <c r="B144" s="56" t="s">
        <v>12</v>
      </c>
      <c r="C144" s="57"/>
      <c r="D144" s="58" t="s">
        <v>13</v>
      </c>
      <c r="E144" s="79">
        <f>SUM(E95:E96)</f>
        <v>1500</v>
      </c>
      <c r="F144" s="82">
        <f>SUM(F95:F96)</f>
        <v>9.629999999999999</v>
      </c>
      <c r="G144" s="371">
        <f>SUM(G95:G96)</f>
        <v>3</v>
      </c>
      <c r="H144" s="369">
        <f t="shared" ref="H144:H146" si="2295">E144/F144</f>
        <v>155.76323987538942</v>
      </c>
      <c r="I144" s="370">
        <f t="shared" ref="I144:I146" si="2296">F144/G144</f>
        <v>3.2099999999999995</v>
      </c>
      <c r="J144" s="589"/>
      <c r="K144" s="79">
        <f>SUM(K95:K96)</f>
        <v>0</v>
      </c>
      <c r="L144" s="82">
        <f>SUM(L95:L96)</f>
        <v>0</v>
      </c>
      <c r="M144" s="371">
        <f>SUM(M95:M96)</f>
        <v>0</v>
      </c>
      <c r="N144" s="369" t="e">
        <f t="shared" ref="N144:N146" si="2297">K144/L144</f>
        <v>#DIV/0!</v>
      </c>
      <c r="O144" s="370" t="e">
        <f t="shared" ref="O144:O146" si="2298">L144/M144</f>
        <v>#DIV/0!</v>
      </c>
      <c r="P144" s="589"/>
      <c r="Q144" s="79">
        <f>SUM(Q95:Q96)</f>
        <v>5350</v>
      </c>
      <c r="R144" s="82">
        <f>SUM(R95:R96)</f>
        <v>40.85</v>
      </c>
      <c r="S144" s="371">
        <f>SUM(S95:S96)</f>
        <v>10</v>
      </c>
      <c r="T144" s="369">
        <f t="shared" ref="T144:T146" si="2299">Q144/R144</f>
        <v>130.96695226438189</v>
      </c>
      <c r="U144" s="370">
        <f t="shared" ref="U144:U146" si="2300">R144/S144</f>
        <v>4.085</v>
      </c>
      <c r="V144" s="589"/>
      <c r="W144" s="79">
        <f>SUM(W95:W96)</f>
        <v>1900</v>
      </c>
      <c r="X144" s="82">
        <f>SUM(X95:X96)</f>
        <v>9.5300000000000011</v>
      </c>
      <c r="Y144" s="371">
        <f>SUM(Y95:Y96)</f>
        <v>5</v>
      </c>
      <c r="Z144" s="369">
        <f t="shared" ref="Z144:Z146" si="2301">W144/X144</f>
        <v>199.37040923399789</v>
      </c>
      <c r="AA144" s="370">
        <f t="shared" ref="AA144:AA146" si="2302">X144/Y144</f>
        <v>1.9060000000000001</v>
      </c>
      <c r="AB144" s="589"/>
      <c r="AC144" s="79">
        <f>SUM(AC95:AC96)</f>
        <v>3950</v>
      </c>
      <c r="AD144" s="82">
        <f>SUM(AD95:AD96)</f>
        <v>27.700000000000003</v>
      </c>
      <c r="AE144" s="371">
        <f>SUM(AE95:AE96)</f>
        <v>10</v>
      </c>
      <c r="AF144" s="369">
        <f t="shared" ref="AF144:AF146" si="2303">AC144/AD144</f>
        <v>142.59927797833933</v>
      </c>
      <c r="AG144" s="370">
        <f t="shared" ref="AG144:AG146" si="2304">AD144/AE144</f>
        <v>2.7700000000000005</v>
      </c>
      <c r="AH144" s="589"/>
      <c r="AI144" s="79">
        <f>SUM(AI95:AI96)</f>
        <v>1700</v>
      </c>
      <c r="AJ144" s="82">
        <f>SUM(AJ95:AJ96)</f>
        <v>10.51</v>
      </c>
      <c r="AK144" s="371">
        <f>SUM(AK95:AK96)</f>
        <v>5</v>
      </c>
      <c r="AL144" s="369">
        <f t="shared" ref="AL144:AL146" si="2305">AI144/AJ144</f>
        <v>161.75071360608945</v>
      </c>
      <c r="AM144" s="370">
        <f t="shared" ref="AM144:AM146" si="2306">AJ144/AK144</f>
        <v>2.1019999999999999</v>
      </c>
      <c r="AN144" s="589"/>
      <c r="AO144" s="79">
        <f>SUM(AO95:AO96)</f>
        <v>0</v>
      </c>
      <c r="AP144" s="82">
        <f>SUM(AP95:AP96)</f>
        <v>0</v>
      </c>
      <c r="AQ144" s="371">
        <f>SUM(AQ95:AQ96)</f>
        <v>0</v>
      </c>
      <c r="AR144" s="369" t="e">
        <f t="shared" ref="AR144:AR146" si="2307">AO144/AP144</f>
        <v>#DIV/0!</v>
      </c>
      <c r="AS144" s="370" t="e">
        <f t="shared" ref="AS144:AS146" si="2308">AP144/AQ144</f>
        <v>#DIV/0!</v>
      </c>
      <c r="AT144" s="589"/>
      <c r="AU144" s="79">
        <f>SUM(AU95:AU96)</f>
        <v>1600</v>
      </c>
      <c r="AV144" s="82">
        <f>SUM(AV95:AV96)</f>
        <v>9.0299999999999994</v>
      </c>
      <c r="AW144" s="371">
        <f>SUM(AW95:AW96)</f>
        <v>5</v>
      </c>
      <c r="AX144" s="369">
        <f t="shared" ref="AX144:AX146" si="2309">AU144/AV144</f>
        <v>177.18715393133999</v>
      </c>
      <c r="AY144" s="370">
        <f t="shared" ref="AY144:AY146" si="2310">AV144/AW144</f>
        <v>1.8059999999999998</v>
      </c>
      <c r="AZ144" s="370"/>
      <c r="BA144" s="79">
        <f>SUM(BA95:BA96)</f>
        <v>1000</v>
      </c>
      <c r="BB144" s="82">
        <f>SUM(BB95:BB96)</f>
        <v>8.2799999999999994</v>
      </c>
      <c r="BC144" s="371">
        <f>SUM(BC95:BC96)</f>
        <v>2</v>
      </c>
      <c r="BD144" s="369">
        <f t="shared" ref="BD144:BD146" si="2311">BA144/BB144</f>
        <v>120.77294685990339</v>
      </c>
      <c r="BE144" s="370">
        <f t="shared" ref="BE144:BE146" si="2312">BB144/BC144</f>
        <v>4.1399999999999997</v>
      </c>
      <c r="BF144" s="370"/>
      <c r="BG144" s="79">
        <f>SUM(BG95:BG96)</f>
        <v>0</v>
      </c>
      <c r="BH144" s="82">
        <f>SUM(BH95:BH96)</f>
        <v>0</v>
      </c>
      <c r="BI144" s="371">
        <f>SUM(BI95:BI96)</f>
        <v>0</v>
      </c>
      <c r="BJ144" s="369" t="e">
        <f t="shared" ref="BJ144:BJ146" si="2313">BG144/BH144</f>
        <v>#DIV/0!</v>
      </c>
      <c r="BK144" s="370" t="e">
        <f t="shared" ref="BK144:BK146" si="2314">BH144/BI144</f>
        <v>#DIV/0!</v>
      </c>
      <c r="BL144" s="370"/>
      <c r="BM144" s="79">
        <f>SUM(BM95:BM96)</f>
        <v>0</v>
      </c>
      <c r="BN144" s="82">
        <f>SUM(BN95:BN96)</f>
        <v>0</v>
      </c>
      <c r="BO144" s="371">
        <f>SUM(BO95:BO96)</f>
        <v>0</v>
      </c>
      <c r="BP144" s="369" t="e">
        <f t="shared" ref="BP144:BP146" si="2315">BM144/BN144</f>
        <v>#DIV/0!</v>
      </c>
      <c r="BQ144" s="370" t="e">
        <f t="shared" ref="BQ144:BQ146" si="2316">BN144/BO144</f>
        <v>#DIV/0!</v>
      </c>
      <c r="BR144" s="589"/>
      <c r="BS144" s="79">
        <f>SUM(BS95:BS96)</f>
        <v>0</v>
      </c>
      <c r="BT144" s="82">
        <f>SUM(BT95:BT96)</f>
        <v>0</v>
      </c>
      <c r="BU144" s="371">
        <f>SUM(BU95:BU96)</f>
        <v>0</v>
      </c>
      <c r="BV144" s="369" t="e">
        <f t="shared" ref="BV144:BV146" si="2317">BS144/BT144</f>
        <v>#DIV/0!</v>
      </c>
      <c r="BW144" s="370" t="e">
        <f t="shared" ref="BW144:BW146" si="2318">BT144/BU144</f>
        <v>#DIV/0!</v>
      </c>
      <c r="BX144" s="370"/>
      <c r="BY144" s="79">
        <f>SUM(BY95:BY96)</f>
        <v>1600</v>
      </c>
      <c r="BZ144" s="82">
        <f>SUM(BZ95:BZ96)</f>
        <v>9.3000000000000007</v>
      </c>
      <c r="CA144" s="371">
        <f>SUM(CA95:CA96)</f>
        <v>5</v>
      </c>
      <c r="CB144" s="369">
        <f t="shared" ref="CB144:CB146" si="2319">BY144/BZ144</f>
        <v>172.04301075268816</v>
      </c>
      <c r="CC144" s="370">
        <f t="shared" ref="CC144:CC146" si="2320">BZ144/CA144</f>
        <v>1.86</v>
      </c>
      <c r="CD144" s="370"/>
      <c r="CE144" s="79">
        <f>SUM(CE95:CE96)</f>
        <v>0</v>
      </c>
      <c r="CF144" s="82">
        <f>SUM(CF95:CF96)</f>
        <v>0</v>
      </c>
      <c r="CG144" s="371">
        <f>SUM(CG95:CG96)</f>
        <v>0</v>
      </c>
      <c r="CH144" s="369" t="e">
        <f t="shared" ref="CH144:CH146" si="2321">CE144/CF144</f>
        <v>#DIV/0!</v>
      </c>
      <c r="CI144" s="370" t="e">
        <f t="shared" ref="CI144:CI146" si="2322">CF144/CG144</f>
        <v>#DIV/0!</v>
      </c>
      <c r="CJ144" s="370"/>
      <c r="CK144" s="79">
        <f>SUM(CK95:CK96)</f>
        <v>4550</v>
      </c>
      <c r="CL144" s="82">
        <f>SUM(CL95:CL96)</f>
        <v>34.53</v>
      </c>
      <c r="CM144" s="371">
        <f>SUM(CM95:CM96)</f>
        <v>10</v>
      </c>
      <c r="CN144" s="369">
        <f t="shared" ref="CN144:CN146" si="2323">CK144/CL144</f>
        <v>131.76947581812917</v>
      </c>
      <c r="CO144" s="370">
        <f t="shared" ref="CO144:CO146" si="2324">CL144/CM144</f>
        <v>3.4530000000000003</v>
      </c>
      <c r="CP144" s="370"/>
      <c r="CQ144" s="79">
        <f>SUM(CQ95:CQ96)</f>
        <v>3750</v>
      </c>
      <c r="CR144" s="82">
        <f>SUM(CR95:CR96)</f>
        <v>29.39</v>
      </c>
      <c r="CS144" s="371">
        <f>SUM(CS95:CS96)</f>
        <v>8</v>
      </c>
      <c r="CT144" s="369">
        <f t="shared" ref="CT144:CT146" si="2325">CQ144/CR144</f>
        <v>127.59441987070431</v>
      </c>
      <c r="CU144" s="370">
        <f t="shared" ref="CU144:CU146" si="2326">CR144/CS144</f>
        <v>3.6737500000000001</v>
      </c>
      <c r="CV144" s="370"/>
      <c r="CW144" s="79">
        <f>SUM(CW95:CW96)</f>
        <v>1600</v>
      </c>
      <c r="CX144" s="82">
        <f>SUM(CX95:CX96)</f>
        <v>9.3000000000000007</v>
      </c>
      <c r="CY144" s="371">
        <f>SUM(CY95:CY96)</f>
        <v>5</v>
      </c>
      <c r="CZ144" s="369">
        <f t="shared" ref="CZ144:CZ146" si="2327">CW144/CX144</f>
        <v>172.04301075268816</v>
      </c>
      <c r="DA144" s="370">
        <f t="shared" ref="DA144:DA146" si="2328">CX144/CY144</f>
        <v>1.86</v>
      </c>
      <c r="DB144" s="370"/>
      <c r="DC144" s="79">
        <f>SUM(DC95:DC96)</f>
        <v>4600</v>
      </c>
      <c r="DD144" s="82">
        <f>SUM(DD95:DD96)</f>
        <v>38.54</v>
      </c>
      <c r="DE144" s="371">
        <f>SUM(DE95:DE96)</f>
        <v>10</v>
      </c>
      <c r="DF144" s="369">
        <f t="shared" ref="DF144:DF146" si="2329">DC144/DD144</f>
        <v>119.35651271406331</v>
      </c>
      <c r="DG144" s="370">
        <f t="shared" ref="DG144:DG146" si="2330">DD144/DE144</f>
        <v>3.8540000000000001</v>
      </c>
      <c r="DH144" s="370"/>
      <c r="DI144" s="79">
        <f>SUM(DI95:DI96)</f>
        <v>3950</v>
      </c>
      <c r="DJ144" s="82">
        <f>SUM(DJ95:DJ96)</f>
        <v>27.700000000000003</v>
      </c>
      <c r="DK144" s="371">
        <f>SUM(DK95:DK96)</f>
        <v>10</v>
      </c>
      <c r="DL144" s="369">
        <f t="shared" ref="DL144:DL146" si="2331">DI144/DJ144</f>
        <v>142.59927797833933</v>
      </c>
      <c r="DM144" s="370">
        <f t="shared" ref="DM144:DM146" si="2332">DJ144/DK144</f>
        <v>2.7700000000000005</v>
      </c>
      <c r="DN144" s="370"/>
      <c r="DO144" s="79">
        <f>SUM(DO95:DO96)</f>
        <v>4450</v>
      </c>
      <c r="DP144" s="82">
        <f>SUM(DP95:DP96)</f>
        <v>34.9</v>
      </c>
      <c r="DQ144" s="371">
        <f>SUM(DQ95:DQ96)</f>
        <v>10</v>
      </c>
      <c r="DR144" s="369">
        <f t="shared" ref="DR144:DR146" si="2333">DO144/DP144</f>
        <v>127.50716332378224</v>
      </c>
      <c r="DS144" s="370">
        <f t="shared" ref="DS144:DS146" si="2334">DP144/DQ144</f>
        <v>3.4899999999999998</v>
      </c>
      <c r="DT144" s="370"/>
      <c r="DU144" s="79">
        <f>SUM(DU95:DU96)</f>
        <v>0</v>
      </c>
      <c r="DV144" s="82">
        <f>SUM(DV95:DV96)</f>
        <v>0</v>
      </c>
      <c r="DW144" s="371">
        <f>SUM(DW95:DW96)</f>
        <v>0</v>
      </c>
      <c r="DX144" s="369" t="e">
        <f t="shared" ref="DX144:DX146" si="2335">DU144/DV144</f>
        <v>#DIV/0!</v>
      </c>
      <c r="DY144" s="370" t="e">
        <f t="shared" ref="DY144:DY146" si="2336">DV144/DW144</f>
        <v>#DIV/0!</v>
      </c>
      <c r="DZ144" s="370"/>
      <c r="EA144" s="79">
        <f>SUM(EA95:EA96)</f>
        <v>0</v>
      </c>
      <c r="EB144" s="82">
        <f>SUM(EB95:EB96)</f>
        <v>0</v>
      </c>
      <c r="EC144" s="371">
        <f>SUM(EC95:EC96)</f>
        <v>0</v>
      </c>
      <c r="ED144" s="369" t="e">
        <f t="shared" ref="ED144:ED146" si="2337">EA144/EB144</f>
        <v>#DIV/0!</v>
      </c>
      <c r="EE144" s="370" t="e">
        <f t="shared" ref="EE144:EE146" si="2338">EB144/EC144</f>
        <v>#DIV/0!</v>
      </c>
      <c r="EF144" s="370"/>
      <c r="EG144" s="79">
        <f>SUM(EG95:EG96)</f>
        <v>0</v>
      </c>
      <c r="EH144" s="82">
        <f>SUM(EH95:EH96)</f>
        <v>0</v>
      </c>
      <c r="EI144" s="371">
        <f>SUM(EI95:EI96)</f>
        <v>0</v>
      </c>
      <c r="EJ144" s="369" t="e">
        <f t="shared" ref="EJ144:EJ146" si="2339">EG144/EH144</f>
        <v>#DIV/0!</v>
      </c>
      <c r="EK144" s="370" t="e">
        <f t="shared" ref="EK144:EK146" si="2340">EH144/EI144</f>
        <v>#DIV/0!</v>
      </c>
      <c r="EL144" s="370"/>
      <c r="EM144" s="79">
        <f>SUM(EM95:EM96)</f>
        <v>0</v>
      </c>
      <c r="EN144" s="82">
        <f>SUM(EN95:EN96)</f>
        <v>0</v>
      </c>
      <c r="EO144" s="371">
        <f>SUM(EO95:EO96)</f>
        <v>0</v>
      </c>
      <c r="EP144" s="369" t="e">
        <f t="shared" ref="EP144:EP146" si="2341">EM144/EN144</f>
        <v>#DIV/0!</v>
      </c>
      <c r="EQ144" s="370" t="e">
        <f t="shared" ref="EQ144:EQ146" si="2342">EN144/EO144</f>
        <v>#DIV/0!</v>
      </c>
      <c r="ER144" s="589"/>
      <c r="ES144" s="79">
        <f>SUM(ES95:ES96)</f>
        <v>1600</v>
      </c>
      <c r="ET144" s="82">
        <f>SUM(ET95:ET96)</f>
        <v>9.3000000000000007</v>
      </c>
      <c r="EU144" s="371">
        <f>SUM(EU95:EU96)</f>
        <v>5</v>
      </c>
      <c r="EV144" s="369">
        <f t="shared" ref="EV144:EV150" si="2343">ES144/ET144</f>
        <v>172.04301075268816</v>
      </c>
      <c r="EW144" s="370">
        <f t="shared" ref="EW144:EW150" si="2344">ET144/EU144</f>
        <v>1.86</v>
      </c>
      <c r="EY144" s="91">
        <f>SUM(EY95:EY96)</f>
        <v>2500</v>
      </c>
      <c r="EZ144" s="82">
        <f>SUM(EZ95:EZ96)</f>
        <v>55.49</v>
      </c>
      <c r="FA144" s="371">
        <f>SUM(FA95:FA96)</f>
        <v>5</v>
      </c>
      <c r="FB144" s="369">
        <f>EY144/EZ144</f>
        <v>45.053162732023786</v>
      </c>
      <c r="FC144" s="370">
        <f>EZ144/FA144</f>
        <v>11.098000000000001</v>
      </c>
      <c r="FD144" s="178"/>
      <c r="FE144" s="379">
        <f>SUM(FE95:FE96)</f>
        <v>5350</v>
      </c>
      <c r="FF144" s="369">
        <f>SUM(FF95:FF96)</f>
        <v>40.85</v>
      </c>
      <c r="FG144" s="371">
        <f>SUM(FG95:FG96)</f>
        <v>10</v>
      </c>
      <c r="FH144" s="369">
        <f t="shared" ref="FH144:FH147" si="2345">FE144/FF144</f>
        <v>130.96695226438189</v>
      </c>
      <c r="FI144" s="370">
        <f t="shared" ref="FI144:FI147" si="2346">FF144/FG144</f>
        <v>4.085</v>
      </c>
      <c r="FK144" s="91">
        <f>SUM(FK95:FK96)</f>
        <v>2200</v>
      </c>
      <c r="FL144" s="82">
        <f>SUM(FL95:FL96)</f>
        <v>29.2</v>
      </c>
      <c r="FM144" s="79">
        <f>SUM(FM95:FM96)</f>
        <v>5</v>
      </c>
      <c r="FN144" s="82">
        <f t="shared" ref="FN144:FN147" si="2347">FK144/FL144</f>
        <v>75.342465753424662</v>
      </c>
      <c r="FO144" s="84">
        <f t="shared" ref="FO144:FO147" si="2348">FL144/FM144</f>
        <v>5.84</v>
      </c>
      <c r="FQ144" s="91">
        <f>SUM(FQ95:FQ96)</f>
        <v>4850</v>
      </c>
      <c r="FR144" s="82">
        <f>SUM(FR95:FR96)</f>
        <v>39.96</v>
      </c>
      <c r="FS144" s="79">
        <f>SUM(FS95:FS96)</f>
        <v>10</v>
      </c>
      <c r="FT144" s="82">
        <f t="shared" ref="FT144:FT147" si="2349">FQ144/FR144</f>
        <v>121.37137137137137</v>
      </c>
      <c r="FU144" s="84">
        <f t="shared" ref="FU144:FU147" si="2350">FR144/FS144</f>
        <v>3.996</v>
      </c>
      <c r="FW144" s="91">
        <f>SUM(FW95:FW96)</f>
        <v>4600</v>
      </c>
      <c r="FX144" s="82">
        <f>SUM(FX95:FX96)</f>
        <v>38.54</v>
      </c>
      <c r="FY144" s="79">
        <f>SUM(FY95:FY96)</f>
        <v>10</v>
      </c>
      <c r="FZ144" s="82">
        <f t="shared" ref="FZ144:FZ147" si="2351">FW144/FX144</f>
        <v>119.35651271406331</v>
      </c>
      <c r="GA144" s="84">
        <f t="shared" ref="GA144:GA147" si="2352">FX144/FY144</f>
        <v>3.8540000000000001</v>
      </c>
      <c r="GC144" s="91">
        <f>SUM(GC95:GC96)</f>
        <v>1900</v>
      </c>
      <c r="GD144" s="82">
        <f>SUM(GD95:GD96)</f>
        <v>9.379999999999999</v>
      </c>
      <c r="GE144" s="79">
        <f>SUM(GE95:GE96)</f>
        <v>5</v>
      </c>
      <c r="GF144" s="82">
        <f t="shared" ref="GF144:GF147" si="2353">GC144/GD144</f>
        <v>202.5586353944563</v>
      </c>
      <c r="GG144" s="84">
        <f t="shared" ref="GG144:GG147" si="2354">GD144/GE144</f>
        <v>1.8759999999999999</v>
      </c>
      <c r="GI144" s="379">
        <f>SUM(GI95:GI96)</f>
        <v>4200</v>
      </c>
      <c r="GJ144" s="369">
        <f>SUM(GJ95:GJ96)</f>
        <v>27.3</v>
      </c>
      <c r="GK144" s="371">
        <f>SUM(GK95:GK96)</f>
        <v>10</v>
      </c>
      <c r="GL144" s="369">
        <f t="shared" ref="GL144:GL147" si="2355">GI144/GJ144</f>
        <v>153.84615384615384</v>
      </c>
      <c r="GM144" s="370">
        <f t="shared" ref="GM144:GM147" si="2356">GJ144/GK144</f>
        <v>2.73</v>
      </c>
      <c r="GO144" s="379">
        <f>SUM(GO95:GO96)</f>
        <v>1600</v>
      </c>
      <c r="GP144" s="369">
        <f>SUM(GP95:GP96)</f>
        <v>7.65</v>
      </c>
      <c r="GQ144" s="371">
        <f>SUM(GQ95:GQ96)</f>
        <v>5</v>
      </c>
      <c r="GR144" s="369">
        <f t="shared" ref="GR144:GR147" si="2357">GO144/GP144</f>
        <v>209.15032679738562</v>
      </c>
      <c r="GS144" s="370">
        <f t="shared" ref="GS144:GS147" si="2358">GP144/GQ144</f>
        <v>1.53</v>
      </c>
      <c r="GU144" s="379">
        <f>SUM(GU95:GU96)</f>
        <v>2100</v>
      </c>
      <c r="GV144" s="369">
        <f>SUM(GV95:GV96)</f>
        <v>18.130000000000003</v>
      </c>
      <c r="GW144" s="371">
        <f>SUM(GW95:GW96)</f>
        <v>5</v>
      </c>
      <c r="GX144" s="369">
        <f t="shared" ref="GX144:GX146" si="2359">GU144/GV144</f>
        <v>115.83011583011582</v>
      </c>
      <c r="GY144" s="370">
        <f t="shared" ref="GY144:GY146" si="2360">GV144/GW144</f>
        <v>3.6260000000000003</v>
      </c>
      <c r="HA144" s="91">
        <f>SUM(HA95:HA96)</f>
        <v>2350</v>
      </c>
      <c r="HB144" s="82">
        <f>SUM(HB95:HB96)</f>
        <v>14.620000000000001</v>
      </c>
      <c r="HC144" s="371">
        <f>SUM(HC95:HC96)</f>
        <v>6</v>
      </c>
      <c r="HD144" s="369">
        <f t="shared" ref="HD144:HD147" si="2361">HA144/HB144</f>
        <v>160.73871409028726</v>
      </c>
      <c r="HE144" s="370">
        <f t="shared" ref="HE144:HE147" si="2362">HB144/HC144</f>
        <v>2.436666666666667</v>
      </c>
      <c r="HG144" s="91">
        <f>SUM(HG95:HG96)</f>
        <v>4450</v>
      </c>
      <c r="HH144" s="82">
        <f>SUM(HH95:HH96)</f>
        <v>34.9</v>
      </c>
      <c r="HI144" s="79">
        <f>SUM(HI95:HI96)</f>
        <v>10</v>
      </c>
      <c r="HJ144" s="82">
        <f t="shared" ref="HJ144:HJ147" si="2363">HG144/HH144</f>
        <v>127.50716332378224</v>
      </c>
      <c r="HK144" s="84">
        <f t="shared" ref="HK144:HK147" si="2364">HH144/HI144</f>
        <v>3.4899999999999998</v>
      </c>
      <c r="HM144" s="91">
        <f>SUM(HM95:HM96)</f>
        <v>1500</v>
      </c>
      <c r="HN144" s="82">
        <f>SUM(HN95:HN96)</f>
        <v>9.629999999999999</v>
      </c>
      <c r="HO144" s="371">
        <f>SUM(HO95:HO96)</f>
        <v>3</v>
      </c>
      <c r="HP144" s="369">
        <f t="shared" ref="HP144:HP147" si="2365">HM144/HN144</f>
        <v>155.76323987538942</v>
      </c>
      <c r="HQ144" s="370">
        <f t="shared" ref="HQ144:HQ147" si="2366">HN144/HO144</f>
        <v>3.2099999999999995</v>
      </c>
      <c r="HS144" s="91">
        <f>SUM(HS95:HS96)</f>
        <v>0</v>
      </c>
      <c r="HT144" s="82">
        <f>SUM(HT95:HT96)</f>
        <v>0</v>
      </c>
      <c r="HU144" s="371">
        <f>SUM(HU95:HU96)</f>
        <v>0</v>
      </c>
      <c r="HV144" s="369" t="e">
        <f>HS144/HT144</f>
        <v>#DIV/0!</v>
      </c>
      <c r="HW144" s="370" t="e">
        <f>HT144/HU144</f>
        <v>#DIV/0!</v>
      </c>
      <c r="HX144" s="178"/>
      <c r="HY144" s="91">
        <f>SUM(HY95:HY96)</f>
        <v>2550</v>
      </c>
      <c r="HZ144" s="82">
        <f>SUM(HZ95:HZ96)</f>
        <v>13.44</v>
      </c>
      <c r="IA144" s="79">
        <f>SUM(IA95:IA96)</f>
        <v>6</v>
      </c>
      <c r="IB144" s="82">
        <f t="shared" ref="IB144:IB147" si="2367">HY144/HZ144</f>
        <v>189.73214285714286</v>
      </c>
      <c r="IC144" s="84">
        <f t="shared" ref="IC144:IC147" si="2368">HZ144/IA144</f>
        <v>2.2399999999999998</v>
      </c>
      <c r="IE144" s="91">
        <f>SUM(IE95:IE96)</f>
        <v>5300</v>
      </c>
      <c r="IF144" s="82">
        <f>SUM(IF95:IF96)</f>
        <v>37</v>
      </c>
      <c r="IG144" s="79">
        <f>SUM(IG95:IG96)</f>
        <v>10</v>
      </c>
      <c r="IH144" s="82">
        <f t="shared" ref="IH144:IH147" si="2369">IE144/IF144</f>
        <v>143.24324324324326</v>
      </c>
      <c r="II144" s="84">
        <f t="shared" ref="II144:II147" si="2370">IF144/IG144</f>
        <v>3.7</v>
      </c>
      <c r="IK144" s="91">
        <f>SUM(IK95:IK96)</f>
        <v>3500</v>
      </c>
      <c r="IL144" s="82">
        <f>SUM(IL95:IL96)</f>
        <v>13.3</v>
      </c>
      <c r="IM144" s="79">
        <f>SUM(IM95:IM96)</f>
        <v>7</v>
      </c>
      <c r="IN144" s="82">
        <f t="shared" ref="IN144:IN147" si="2371">IK144/IL144</f>
        <v>263.15789473684208</v>
      </c>
      <c r="IO144" s="84">
        <f t="shared" ref="IO144:IO147" si="2372">IL144/IM144</f>
        <v>1.9000000000000001</v>
      </c>
      <c r="IQ144" s="91">
        <f>SUM(IQ95:IQ96)</f>
        <v>2650</v>
      </c>
      <c r="IR144" s="82">
        <f>SUM(IR95:IR96)</f>
        <v>15.78</v>
      </c>
      <c r="IS144" s="79">
        <f>SUM(IS95:IS96)</f>
        <v>7</v>
      </c>
      <c r="IT144" s="82">
        <f t="shared" ref="IT144:IT147" si="2373">IQ144/IR144</f>
        <v>167.93409378960712</v>
      </c>
      <c r="IU144" s="84">
        <f t="shared" ref="IU144:IU147" si="2374">IR144/IS144</f>
        <v>2.254285714285714</v>
      </c>
      <c r="IW144" s="91">
        <f>SUM(IW95:IW96)</f>
        <v>4700</v>
      </c>
      <c r="IX144" s="82">
        <f>SUM(IX95:IX96)</f>
        <v>35.769999999999996</v>
      </c>
      <c r="IY144" s="79">
        <f>SUM(IY95:IY96)</f>
        <v>10</v>
      </c>
      <c r="IZ144" s="82">
        <f t="shared" ref="IZ144:IZ147" si="2375">IW144/IX144</f>
        <v>131.39502376292984</v>
      </c>
      <c r="JA144" s="84">
        <f t="shared" ref="JA144:JA147" si="2376">IX144/IY144</f>
        <v>3.5769999999999995</v>
      </c>
      <c r="JC144" s="91">
        <f>SUM(JC95:JC96)</f>
        <v>1150</v>
      </c>
      <c r="JD144" s="82">
        <f>SUM(JD95:JD96)</f>
        <v>5.4399999999999995</v>
      </c>
      <c r="JE144" s="79">
        <f>SUM(JE95:JE96)</f>
        <v>5</v>
      </c>
      <c r="JF144" s="82">
        <f t="shared" ref="JF144:JF147" si="2377">JC144/JD144</f>
        <v>211.39705882352942</v>
      </c>
      <c r="JG144" s="84">
        <f t="shared" ref="JG144:JG147" si="2378">JD144/JE144</f>
        <v>1.0879999999999999</v>
      </c>
      <c r="JI144" s="91">
        <f>SUM(JI95:JI96)</f>
        <v>2800</v>
      </c>
      <c r="JJ144" s="82">
        <f>SUM(JJ95:JJ96)</f>
        <v>22.63</v>
      </c>
      <c r="JK144" s="79">
        <f>SUM(JK95:JK96)</f>
        <v>5</v>
      </c>
      <c r="JL144" s="82">
        <f t="shared" ref="JL144:JL147" si="2379">JI144/JJ144</f>
        <v>123.72956252761821</v>
      </c>
      <c r="JM144" s="84">
        <f t="shared" ref="JM144:JM147" si="2380">JJ144/JK144</f>
        <v>4.5259999999999998</v>
      </c>
      <c r="JO144" s="91">
        <f>SUM(JO95:JO96)</f>
        <v>1500</v>
      </c>
      <c r="JP144" s="82">
        <f>SUM(JP95:JP96)</f>
        <v>7.84</v>
      </c>
      <c r="JQ144" s="79">
        <f>SUM(JQ95:JQ96)</f>
        <v>5</v>
      </c>
      <c r="JR144" s="82">
        <f t="shared" ref="JR144:JR147" si="2381">JO144/JP144</f>
        <v>191.32653061224491</v>
      </c>
      <c r="JS144" s="84">
        <f t="shared" ref="JS144:JS147" si="2382">JP144/JQ144</f>
        <v>1.5680000000000001</v>
      </c>
      <c r="JU144" s="383">
        <f>SUM(JU95:JU96)</f>
        <v>3400</v>
      </c>
      <c r="JV144" s="82">
        <f>SUM(JV95:JV96)</f>
        <v>32.67</v>
      </c>
      <c r="JW144" s="748">
        <f>SUM(JW95:JW96)</f>
        <v>5</v>
      </c>
      <c r="JX144" s="369">
        <f t="shared" ref="JX144:JX147" si="2383">JU144/JV144</f>
        <v>104.07101316192225</v>
      </c>
      <c r="JY144" s="84">
        <f t="shared" ref="JY144:JY146" si="2384">JV144/JW144</f>
        <v>6.5340000000000007</v>
      </c>
      <c r="KA144" s="383">
        <f>SUM(KA95:KA96)</f>
        <v>2300</v>
      </c>
      <c r="KB144" s="82">
        <f>SUM(KB95:KB96)</f>
        <v>9.36</v>
      </c>
      <c r="KC144" s="748">
        <f>SUM(KC95:KC96)</f>
        <v>5</v>
      </c>
      <c r="KD144" s="369">
        <f t="shared" ref="KD144:KD147" si="2385">KA144/KB144</f>
        <v>245.72649572649573</v>
      </c>
      <c r="KE144" s="84">
        <f t="shared" ref="KE144:KE147" si="2386">KB144/KC144</f>
        <v>1.8719999999999999</v>
      </c>
      <c r="KG144" s="383">
        <f>SUM(KG95:KG96)</f>
        <v>3900</v>
      </c>
      <c r="KH144" s="82">
        <f>SUM(KH95:KH96)</f>
        <v>16.91</v>
      </c>
      <c r="KI144" s="748">
        <f>SUM(KI95:KI96)</f>
        <v>5</v>
      </c>
      <c r="KJ144" s="369">
        <f t="shared" ref="KJ144:KJ147" si="2387">KG144/KH144</f>
        <v>230.63276167947959</v>
      </c>
      <c r="KK144" s="84">
        <f t="shared" ref="KK144:KK147" si="2388">KH144/KI144</f>
        <v>3.3820000000000001</v>
      </c>
      <c r="KM144" s="383">
        <f>SUM(KM95:KM96)</f>
        <v>2500</v>
      </c>
      <c r="KN144" s="82">
        <f>SUM(KN95:KN96)</f>
        <v>47.320000000000007</v>
      </c>
      <c r="KO144" s="748">
        <f>SUM(KO95:KO96)</f>
        <v>5</v>
      </c>
      <c r="KP144" s="369">
        <f t="shared" ref="KP144:KP147" si="2389">KM144/KN144</f>
        <v>52.831783601014365</v>
      </c>
      <c r="KQ144" s="84">
        <f t="shared" ref="KQ144:KQ147" si="2390">KN144/KO144</f>
        <v>9.4640000000000022</v>
      </c>
      <c r="KS144" s="383">
        <f>SUM(KS95:KS96)</f>
        <v>3200</v>
      </c>
      <c r="KT144" s="82">
        <f>SUM(KT95:KT96)</f>
        <v>12.16</v>
      </c>
      <c r="KU144" s="748">
        <f>SUM(KU95:KU96)</f>
        <v>5</v>
      </c>
      <c r="KV144" s="369">
        <f t="shared" ref="KV144:KV147" si="2391">KS144/KT144</f>
        <v>263.15789473684208</v>
      </c>
      <c r="KW144" s="84">
        <f t="shared" ref="KW144:KW147" si="2392">KT144/KU144</f>
        <v>2.4319999999999999</v>
      </c>
      <c r="KY144" s="383">
        <f>SUM(KY95:KY96)</f>
        <v>0</v>
      </c>
      <c r="KZ144" s="82">
        <f>SUM(KZ95:KZ96)</f>
        <v>0</v>
      </c>
      <c r="LA144" s="748">
        <f>SUM(LA95:LA96)</f>
        <v>0</v>
      </c>
      <c r="LB144" s="369" t="e">
        <f t="shared" ref="LB144:LB147" si="2393">KY144/KZ144</f>
        <v>#DIV/0!</v>
      </c>
      <c r="LC144" s="84" t="e">
        <f t="shared" ref="LC144:LC147" si="2394">KZ144/LA144</f>
        <v>#DIV/0!</v>
      </c>
      <c r="LE144" s="383">
        <f>SUM(LE95:LE96)</f>
        <v>2200</v>
      </c>
      <c r="LF144" s="82">
        <f>SUM(LF95:LF96)</f>
        <v>10.26</v>
      </c>
      <c r="LG144" s="748">
        <f>SUM(LG95:LG96)</f>
        <v>5</v>
      </c>
      <c r="LH144" s="369">
        <f t="shared" ref="LH144:LH147" si="2395">LE144/LF144</f>
        <v>214.42495126705654</v>
      </c>
      <c r="LI144" s="84">
        <f t="shared" ref="LI144:LI147" si="2396">LF144/LG144</f>
        <v>2.052</v>
      </c>
      <c r="LK144" s="383">
        <f>SUM(LK95:LK96)</f>
        <v>0</v>
      </c>
      <c r="LL144" s="82">
        <f>SUM(LL95:LL96)</f>
        <v>0</v>
      </c>
      <c r="LM144" s="748">
        <f>SUM(LM95:LM96)</f>
        <v>0</v>
      </c>
      <c r="LN144" s="369" t="e">
        <f t="shared" ref="LN144:LN147" si="2397">LK144/LL144</f>
        <v>#DIV/0!</v>
      </c>
      <c r="LO144" s="84" t="e">
        <f t="shared" ref="LO144:LO147" si="2398">LL144/LM144</f>
        <v>#DIV/0!</v>
      </c>
      <c r="LQ144" s="383">
        <f>SUM(LQ95:LQ96)</f>
        <v>0</v>
      </c>
      <c r="LR144" s="82">
        <f>SUM(LR95:LR96)</f>
        <v>0</v>
      </c>
      <c r="LS144" s="748">
        <f>SUM(LS95:LS96)</f>
        <v>0</v>
      </c>
      <c r="LT144" s="369" t="e">
        <f t="shared" ref="LT144:LT147" si="2399">LQ144/LR144</f>
        <v>#DIV/0!</v>
      </c>
      <c r="LU144" s="84" t="e">
        <f t="shared" ref="LU144:LU147" si="2400">LR144/LS144</f>
        <v>#DIV/0!</v>
      </c>
      <c r="LW144" s="383">
        <f>SUM(LW95:LW96)</f>
        <v>0</v>
      </c>
      <c r="LX144" s="82">
        <f>SUM(LX95:LX96)</f>
        <v>0</v>
      </c>
      <c r="LY144" s="748">
        <f>SUM(LY95:LY96)</f>
        <v>0</v>
      </c>
      <c r="LZ144" s="369" t="e">
        <f t="shared" ref="LZ144:LZ147" si="2401">LW144/LX144</f>
        <v>#DIV/0!</v>
      </c>
      <c r="MA144" s="84" t="e">
        <f t="shared" ref="MA144:MA147" si="2402">LX144/LY144</f>
        <v>#DIV/0!</v>
      </c>
      <c r="MC144" s="383">
        <f>SUM(MC95:MC96)</f>
        <v>2100</v>
      </c>
      <c r="MD144" s="82">
        <f>SUM(MD95:MD96)</f>
        <v>6.78</v>
      </c>
      <c r="ME144" s="748">
        <f>SUM(ME95:ME96)</f>
        <v>5</v>
      </c>
      <c r="MF144" s="369">
        <f t="shared" ref="MF144:MF147" si="2403">MC144/MD144</f>
        <v>309.73451327433628</v>
      </c>
      <c r="MG144" s="84">
        <f t="shared" ref="MG144:MG147" si="2404">MD144/ME144</f>
        <v>1.3560000000000001</v>
      </c>
      <c r="MI144" s="383">
        <f>SUM(MI95:MI96)</f>
        <v>1200</v>
      </c>
      <c r="MJ144" s="82">
        <f>SUM(MJ95:MJ96)</f>
        <v>7.16</v>
      </c>
      <c r="MK144" s="748">
        <f>SUM(MK95:MK96)</f>
        <v>2</v>
      </c>
      <c r="ML144" s="369">
        <f t="shared" ref="ML144:ML147" si="2405">MI144/MJ144</f>
        <v>167.5977653631285</v>
      </c>
      <c r="MM144" s="84">
        <f t="shared" ref="MM144:MM147" si="2406">MJ144/MK144</f>
        <v>3.58</v>
      </c>
      <c r="MO144" s="383">
        <f>SUM(MO95:MO96)</f>
        <v>0</v>
      </c>
      <c r="MP144" s="82">
        <f>SUM(MP95:MP96)</f>
        <v>0</v>
      </c>
      <c r="MQ144" s="748">
        <f>SUM(MQ95:MQ96)</f>
        <v>0</v>
      </c>
      <c r="MR144" s="369" t="e">
        <f t="shared" ref="MR144:MR147" si="2407">MO144/MP144</f>
        <v>#DIV/0!</v>
      </c>
      <c r="MS144" s="84" t="e">
        <f t="shared" ref="MS144:MS147" si="2408">MP144/MQ144</f>
        <v>#DIV/0!</v>
      </c>
      <c r="MU144" s="383">
        <f>SUM(MU95:MU96)</f>
        <v>0</v>
      </c>
      <c r="MV144" s="82">
        <f>SUM(MV95:MV96)</f>
        <v>0</v>
      </c>
      <c r="MW144" s="748">
        <f>SUM(MW95:MW96)</f>
        <v>0</v>
      </c>
      <c r="MX144" s="369" t="e">
        <f t="shared" ref="MX144:MX147" si="2409">MU144/MV144</f>
        <v>#DIV/0!</v>
      </c>
      <c r="MY144" s="84" t="e">
        <f t="shared" ref="MY144:MY147" si="2410">MV144/MW144</f>
        <v>#DIV/0!</v>
      </c>
      <c r="NA144" s="383">
        <f>SUM(NA95:NA96)</f>
        <v>5600</v>
      </c>
      <c r="NB144" s="748">
        <f>SUM(NB95:NB96)</f>
        <v>32.64</v>
      </c>
      <c r="NC144" s="748">
        <f>SUM(NC95:NC96)</f>
        <v>10</v>
      </c>
      <c r="ND144" s="369">
        <f t="shared" ref="ND144:ND147" si="2411">NA144/NB144</f>
        <v>171.56862745098039</v>
      </c>
      <c r="NE144" s="84">
        <f t="shared" ref="NE144:NE147" si="2412">NB144/NC144</f>
        <v>3.2640000000000002</v>
      </c>
      <c r="NG144" s="383">
        <f>SUM(NG95:NG96)</f>
        <v>5750</v>
      </c>
      <c r="NH144" s="82">
        <f>SUM(NH95:NH96)</f>
        <v>33.260000000000005</v>
      </c>
      <c r="NI144" s="748">
        <f>SUM(NI95:NI96)</f>
        <v>10</v>
      </c>
      <c r="NJ144" s="369">
        <f t="shared" ref="NJ144:NJ147" si="2413">NG144/NH144</f>
        <v>172.88033674082979</v>
      </c>
      <c r="NK144" s="84">
        <f t="shared" ref="NK144:NK147" si="2414">NH144/NI144</f>
        <v>3.3260000000000005</v>
      </c>
      <c r="NM144" s="383">
        <f>SUM(NM95:NM96)</f>
        <v>1700</v>
      </c>
      <c r="NN144" s="82">
        <f>SUM(NN95:NN96)</f>
        <v>11.530000000000001</v>
      </c>
      <c r="NO144" s="748">
        <f>SUM(NO95:NO96)</f>
        <v>5</v>
      </c>
      <c r="NP144" s="369">
        <f t="shared" ref="NP144:NP147" si="2415">NM144/NN144</f>
        <v>147.44145706851691</v>
      </c>
      <c r="NQ144" s="84">
        <f t="shared" ref="NQ144:NQ147" si="2416">NN144/NO144</f>
        <v>2.306</v>
      </c>
      <c r="NS144" s="383">
        <f>SUM(NS95:NS96)</f>
        <v>2500</v>
      </c>
      <c r="NT144" s="82">
        <f>SUM(NT95:NT96)</f>
        <v>21.6</v>
      </c>
      <c r="NU144" s="748">
        <f>SUM(NU95:NU96)</f>
        <v>5</v>
      </c>
      <c r="NV144" s="369">
        <f t="shared" ref="NV144:NV147" si="2417">NS144/NT144</f>
        <v>115.74074074074073</v>
      </c>
      <c r="NW144" s="84">
        <f t="shared" ref="NW144:NW147" si="2418">NT144/NU144</f>
        <v>4.32</v>
      </c>
      <c r="NY144" s="383">
        <f>SUM(NY95:NY96)</f>
        <v>4000</v>
      </c>
      <c r="NZ144" s="82">
        <f>SUM(NZ95:NZ96)</f>
        <v>22.950000000000003</v>
      </c>
      <c r="OA144" s="748">
        <f>SUM(OA95:OA96)</f>
        <v>5</v>
      </c>
      <c r="OB144" s="369">
        <f t="shared" ref="OB144:OB147" si="2419">NY144/NZ144</f>
        <v>174.29193899782132</v>
      </c>
      <c r="OC144" s="84">
        <f t="shared" ref="OC144:OC147" si="2420">NZ144/OA144</f>
        <v>4.5900000000000007</v>
      </c>
      <c r="OE144" s="383">
        <f>SUM(OE95:OE96)</f>
        <v>1000</v>
      </c>
      <c r="OF144" s="82">
        <f>SUM(OF95:OF96)</f>
        <v>6.12</v>
      </c>
      <c r="OG144" s="748">
        <f>SUM(OG95:OG96)</f>
        <v>5</v>
      </c>
      <c r="OH144" s="369">
        <f t="shared" ref="OH144:OH147" si="2421">OE144/OF144</f>
        <v>163.3986928104575</v>
      </c>
      <c r="OI144" s="84">
        <f t="shared" ref="OI144:OI147" si="2422">OF144/OG144</f>
        <v>1.224</v>
      </c>
    </row>
    <row r="145" spans="1:399">
      <c r="A145" s="55"/>
      <c r="B145" s="56" t="s">
        <v>15</v>
      </c>
      <c r="C145" s="57"/>
      <c r="D145" s="58" t="s">
        <v>16</v>
      </c>
      <c r="E145" s="79">
        <f>SUM(E97:E99)</f>
        <v>4000</v>
      </c>
      <c r="F145" s="82">
        <f>SUM(F97:F99)</f>
        <v>71.949999999999989</v>
      </c>
      <c r="G145" s="371">
        <f>SUM(G97:G99)</f>
        <v>8</v>
      </c>
      <c r="H145" s="369">
        <f t="shared" si="2295"/>
        <v>55.594162612925651</v>
      </c>
      <c r="I145" s="370">
        <f t="shared" si="2296"/>
        <v>8.9937499999999986</v>
      </c>
      <c r="J145" s="589"/>
      <c r="K145" s="79">
        <f>SUM(K97:K99)</f>
        <v>1400</v>
      </c>
      <c r="L145" s="82">
        <f>SUM(L97:L99)</f>
        <v>43.2</v>
      </c>
      <c r="M145" s="371">
        <f>SUM(M97:M99)</f>
        <v>5</v>
      </c>
      <c r="N145" s="369">
        <f t="shared" si="2297"/>
        <v>32.407407407407405</v>
      </c>
      <c r="O145" s="370">
        <f t="shared" si="2298"/>
        <v>8.64</v>
      </c>
      <c r="P145" s="589"/>
      <c r="Q145" s="79">
        <f>SUM(Q97:Q99)</f>
        <v>4000</v>
      </c>
      <c r="R145" s="82">
        <f>SUM(R97:R99)</f>
        <v>62.8</v>
      </c>
      <c r="S145" s="371">
        <f>SUM(S97:S99)</f>
        <v>10</v>
      </c>
      <c r="T145" s="369">
        <f t="shared" si="2299"/>
        <v>63.69426751592357</v>
      </c>
      <c r="U145" s="370">
        <f t="shared" si="2300"/>
        <v>6.2799999999999994</v>
      </c>
      <c r="V145" s="589"/>
      <c r="W145" s="79">
        <f>SUM(W97:W99)</f>
        <v>2600</v>
      </c>
      <c r="X145" s="82">
        <f>SUM(X97:X99)</f>
        <v>41.76</v>
      </c>
      <c r="Y145" s="371">
        <f>SUM(Y97:Y99)</f>
        <v>5</v>
      </c>
      <c r="Z145" s="369">
        <f t="shared" si="2301"/>
        <v>62.260536398467437</v>
      </c>
      <c r="AA145" s="370">
        <f t="shared" si="2302"/>
        <v>8.3520000000000003</v>
      </c>
      <c r="AB145" s="589"/>
      <c r="AC145" s="79">
        <f>SUM(AC97:AC99)</f>
        <v>3900</v>
      </c>
      <c r="AD145" s="82">
        <f>SUM(AD97:AD99)</f>
        <v>49.1</v>
      </c>
      <c r="AE145" s="371">
        <f>SUM(AE97:AE99)</f>
        <v>10</v>
      </c>
      <c r="AF145" s="369">
        <f t="shared" si="2303"/>
        <v>79.429735234215883</v>
      </c>
      <c r="AG145" s="370">
        <f t="shared" si="2304"/>
        <v>4.91</v>
      </c>
      <c r="AH145" s="589"/>
      <c r="AI145" s="79">
        <f>SUM(AI97:AI99)</f>
        <v>2500</v>
      </c>
      <c r="AJ145" s="82">
        <f>SUM(AJ97:AJ99)</f>
        <v>55.49</v>
      </c>
      <c r="AK145" s="371">
        <f>SUM(AK97:AK99)</f>
        <v>5</v>
      </c>
      <c r="AL145" s="369">
        <f t="shared" si="2305"/>
        <v>45.053162732023786</v>
      </c>
      <c r="AM145" s="370">
        <f t="shared" si="2306"/>
        <v>11.098000000000001</v>
      </c>
      <c r="AN145" s="589"/>
      <c r="AO145" s="79">
        <f>SUM(AO97:AO99)</f>
        <v>0</v>
      </c>
      <c r="AP145" s="82">
        <f>SUM(AP97:AP99)</f>
        <v>0</v>
      </c>
      <c r="AQ145" s="371">
        <f>SUM(AQ97:AQ99)</f>
        <v>0</v>
      </c>
      <c r="AR145" s="369" t="e">
        <f t="shared" si="2307"/>
        <v>#DIV/0!</v>
      </c>
      <c r="AS145" s="370" t="e">
        <f t="shared" si="2308"/>
        <v>#DIV/0!</v>
      </c>
      <c r="AT145" s="589"/>
      <c r="AU145" s="79">
        <f>SUM(AU97:AU99)</f>
        <v>2300</v>
      </c>
      <c r="AV145" s="82">
        <f>SUM(AV97:AV99)</f>
        <v>57.78</v>
      </c>
      <c r="AW145" s="371">
        <f>SUM(AW97:AW99)</f>
        <v>6</v>
      </c>
      <c r="AX145" s="369">
        <f t="shared" si="2309"/>
        <v>39.806161301488402</v>
      </c>
      <c r="AY145" s="370">
        <f t="shared" si="2310"/>
        <v>9.6300000000000008</v>
      </c>
      <c r="AZ145" s="370"/>
      <c r="BA145" s="79">
        <f>SUM(BA97:BA99)</f>
        <v>2900</v>
      </c>
      <c r="BB145" s="82">
        <f>SUM(BB97:BB99)</f>
        <v>58.929999999999993</v>
      </c>
      <c r="BC145" s="371">
        <f>SUM(BC97:BC99)</f>
        <v>7</v>
      </c>
      <c r="BD145" s="369">
        <f t="shared" si="2311"/>
        <v>49.210928219921946</v>
      </c>
      <c r="BE145" s="370">
        <f t="shared" si="2312"/>
        <v>8.4185714285714273</v>
      </c>
      <c r="BF145" s="370"/>
      <c r="BG145" s="79">
        <f>SUM(BG97:BG99)</f>
        <v>0</v>
      </c>
      <c r="BH145" s="82">
        <f>SUM(BH97:BH99)</f>
        <v>0</v>
      </c>
      <c r="BI145" s="371">
        <f>SUM(BI97:BI99)</f>
        <v>0</v>
      </c>
      <c r="BJ145" s="369" t="e">
        <f t="shared" si="2313"/>
        <v>#DIV/0!</v>
      </c>
      <c r="BK145" s="370" t="e">
        <f t="shared" si="2314"/>
        <v>#DIV/0!</v>
      </c>
      <c r="BL145" s="370"/>
      <c r="BM145" s="79">
        <f>SUM(BM97:BM99)</f>
        <v>0</v>
      </c>
      <c r="BN145" s="82">
        <f>SUM(BN97:BN99)</f>
        <v>0</v>
      </c>
      <c r="BO145" s="371">
        <f>SUM(BO97:BO99)</f>
        <v>0</v>
      </c>
      <c r="BP145" s="369" t="e">
        <f t="shared" si="2315"/>
        <v>#DIV/0!</v>
      </c>
      <c r="BQ145" s="370" t="e">
        <f t="shared" si="2316"/>
        <v>#DIV/0!</v>
      </c>
      <c r="BR145" s="589"/>
      <c r="BS145" s="79">
        <f>SUM(BS97:BS99)</f>
        <v>0</v>
      </c>
      <c r="BT145" s="82">
        <f>SUM(BT97:BT99)</f>
        <v>0</v>
      </c>
      <c r="BU145" s="371">
        <f>SUM(BU97:BU99)</f>
        <v>0</v>
      </c>
      <c r="BV145" s="369" t="e">
        <f t="shared" si="2317"/>
        <v>#DIV/0!</v>
      </c>
      <c r="BW145" s="370" t="e">
        <f t="shared" si="2318"/>
        <v>#DIV/0!</v>
      </c>
      <c r="BX145" s="370"/>
      <c r="BY145" s="79">
        <f>SUM(BY97:BY99)</f>
        <v>2500</v>
      </c>
      <c r="BZ145" s="82">
        <f>SUM(BZ97:BZ99)</f>
        <v>54.660000000000004</v>
      </c>
      <c r="CA145" s="371">
        <f>SUM(CA97:CA99)</f>
        <v>5</v>
      </c>
      <c r="CB145" s="369">
        <f t="shared" si="2319"/>
        <v>45.737285034760333</v>
      </c>
      <c r="CC145" s="370">
        <f t="shared" si="2320"/>
        <v>10.932</v>
      </c>
      <c r="CD145" s="370"/>
      <c r="CE145" s="79">
        <f>SUM(CE97:CE99)</f>
        <v>0</v>
      </c>
      <c r="CF145" s="82">
        <f>SUM(CF97:CF99)</f>
        <v>0</v>
      </c>
      <c r="CG145" s="371">
        <f>SUM(CG97:CG99)</f>
        <v>0</v>
      </c>
      <c r="CH145" s="369" t="e">
        <f t="shared" si="2321"/>
        <v>#DIV/0!</v>
      </c>
      <c r="CI145" s="370" t="e">
        <f t="shared" si="2322"/>
        <v>#DIV/0!</v>
      </c>
      <c r="CJ145" s="370"/>
      <c r="CK145" s="79">
        <f>SUM(CK97:CK99)</f>
        <v>2750</v>
      </c>
      <c r="CL145" s="82">
        <f>SUM(CL97:CL99)</f>
        <v>76.91</v>
      </c>
      <c r="CM145" s="371">
        <f>SUM(CM97:CM99)</f>
        <v>10</v>
      </c>
      <c r="CN145" s="369">
        <f t="shared" si="2323"/>
        <v>35.756078533350674</v>
      </c>
      <c r="CO145" s="370">
        <f t="shared" si="2324"/>
        <v>7.6909999999999998</v>
      </c>
      <c r="CP145" s="370"/>
      <c r="CQ145" s="79">
        <f>SUM(CQ97:CQ99)</f>
        <v>3350</v>
      </c>
      <c r="CR145" s="82">
        <f>SUM(CR97:CR99)</f>
        <v>96.530000000000015</v>
      </c>
      <c r="CS145" s="371">
        <f>SUM(CS97:CS99)</f>
        <v>15</v>
      </c>
      <c r="CT145" s="369">
        <f t="shared" si="2325"/>
        <v>34.704237024759138</v>
      </c>
      <c r="CU145" s="370">
        <f t="shared" si="2326"/>
        <v>6.4353333333333342</v>
      </c>
      <c r="CV145" s="370"/>
      <c r="CW145" s="79">
        <f>SUM(CW97:CW99)</f>
        <v>2500</v>
      </c>
      <c r="CX145" s="82">
        <f>SUM(CX97:CX99)</f>
        <v>54.660000000000004</v>
      </c>
      <c r="CY145" s="371">
        <f>SUM(CY97:CY99)</f>
        <v>5</v>
      </c>
      <c r="CZ145" s="369">
        <f t="shared" si="2327"/>
        <v>45.737285034760333</v>
      </c>
      <c r="DA145" s="370">
        <f t="shared" si="2328"/>
        <v>10.932</v>
      </c>
      <c r="DB145" s="370"/>
      <c r="DC145" s="79">
        <f>SUM(DC97:DC99)</f>
        <v>2500</v>
      </c>
      <c r="DD145" s="82">
        <f>SUM(DD97:DD99)</f>
        <v>59.89</v>
      </c>
      <c r="DE145" s="371">
        <f>SUM(DE97:DE99)</f>
        <v>5</v>
      </c>
      <c r="DF145" s="369">
        <f t="shared" si="2329"/>
        <v>41.743195859074973</v>
      </c>
      <c r="DG145" s="370">
        <f t="shared" si="2330"/>
        <v>11.978</v>
      </c>
      <c r="DH145" s="370"/>
      <c r="DI145" s="79">
        <f>SUM(DI97:DI99)</f>
        <v>3900</v>
      </c>
      <c r="DJ145" s="82">
        <f>SUM(DJ97:DJ99)</f>
        <v>49.1</v>
      </c>
      <c r="DK145" s="371">
        <f>SUM(DK97:DK99)</f>
        <v>10</v>
      </c>
      <c r="DL145" s="369">
        <f t="shared" si="2331"/>
        <v>79.429735234215883</v>
      </c>
      <c r="DM145" s="370">
        <f t="shared" si="2332"/>
        <v>4.91</v>
      </c>
      <c r="DN145" s="370"/>
      <c r="DO145" s="79">
        <f>SUM(DO97:DO99)</f>
        <v>1700</v>
      </c>
      <c r="DP145" s="82">
        <f>SUM(DP97:DP99)</f>
        <v>56.82</v>
      </c>
      <c r="DQ145" s="371">
        <f>SUM(DQ97:DQ99)</f>
        <v>5</v>
      </c>
      <c r="DR145" s="369">
        <f t="shared" si="2333"/>
        <v>29.919042590637101</v>
      </c>
      <c r="DS145" s="370">
        <f t="shared" si="2334"/>
        <v>11.364000000000001</v>
      </c>
      <c r="DT145" s="370"/>
      <c r="DU145" s="79">
        <f>SUM(DU97:DU99)</f>
        <v>0</v>
      </c>
      <c r="DV145" s="82">
        <f>SUM(DV97:DV99)</f>
        <v>0</v>
      </c>
      <c r="DW145" s="371">
        <f>SUM(DW97:DW99)</f>
        <v>0</v>
      </c>
      <c r="DX145" s="369" t="e">
        <f t="shared" si="2335"/>
        <v>#DIV/0!</v>
      </c>
      <c r="DY145" s="370" t="e">
        <f t="shared" si="2336"/>
        <v>#DIV/0!</v>
      </c>
      <c r="DZ145" s="370"/>
      <c r="EA145" s="79">
        <f>SUM(EA97:EA99)</f>
        <v>0</v>
      </c>
      <c r="EB145" s="82">
        <f>SUM(EB97:EB99)</f>
        <v>0</v>
      </c>
      <c r="EC145" s="371">
        <f>SUM(EC97:EC99)</f>
        <v>0</v>
      </c>
      <c r="ED145" s="369" t="e">
        <f t="shared" si="2337"/>
        <v>#DIV/0!</v>
      </c>
      <c r="EE145" s="370" t="e">
        <f t="shared" si="2338"/>
        <v>#DIV/0!</v>
      </c>
      <c r="EF145" s="370"/>
      <c r="EG145" s="79">
        <f>SUM(EG97:EG99)</f>
        <v>0</v>
      </c>
      <c r="EH145" s="82">
        <f>SUM(EH97:EH99)</f>
        <v>0</v>
      </c>
      <c r="EI145" s="371">
        <f>SUM(EI97:EI99)</f>
        <v>0</v>
      </c>
      <c r="EJ145" s="369" t="e">
        <f t="shared" si="2339"/>
        <v>#DIV/0!</v>
      </c>
      <c r="EK145" s="370" t="e">
        <f t="shared" si="2340"/>
        <v>#DIV/0!</v>
      </c>
      <c r="EL145" s="370"/>
      <c r="EM145" s="79">
        <f>SUM(EM97:EM99)</f>
        <v>0</v>
      </c>
      <c r="EN145" s="82">
        <f>SUM(EN97:EN99)</f>
        <v>0</v>
      </c>
      <c r="EO145" s="371">
        <f>SUM(EO97:EO99)</f>
        <v>0</v>
      </c>
      <c r="EP145" s="369" t="e">
        <f t="shared" si="2341"/>
        <v>#DIV/0!</v>
      </c>
      <c r="EQ145" s="370" t="e">
        <f t="shared" si="2342"/>
        <v>#DIV/0!</v>
      </c>
      <c r="ER145" s="589"/>
      <c r="ES145" s="79">
        <f>SUM(ES97:ES99)</f>
        <v>2500</v>
      </c>
      <c r="ET145" s="82">
        <f>SUM(ET97:ET99)</f>
        <v>54.660000000000004</v>
      </c>
      <c r="EU145" s="371">
        <f>SUM(EU97:EU99)</f>
        <v>5</v>
      </c>
      <c r="EV145" s="369">
        <f t="shared" si="2343"/>
        <v>45.737285034760333</v>
      </c>
      <c r="EW145" s="370">
        <f t="shared" si="2344"/>
        <v>10.932</v>
      </c>
      <c r="EY145" s="91">
        <f>SUM(EY97:EY99)</f>
        <v>2700</v>
      </c>
      <c r="EZ145" s="82">
        <f>SUM(EZ97:EZ99)</f>
        <v>36.620000000000005</v>
      </c>
      <c r="FA145" s="371">
        <f>SUM(FA97:FA99)</f>
        <v>5</v>
      </c>
      <c r="FB145" s="369">
        <f t="shared" ref="FB145:FB150" si="2423">EY145/EZ145</f>
        <v>73.730202075368638</v>
      </c>
      <c r="FC145" s="370">
        <f t="shared" ref="FC145:FC150" si="2424">EZ145/FA145</f>
        <v>7.3240000000000007</v>
      </c>
      <c r="FD145" s="178"/>
      <c r="FE145" s="379">
        <f>SUM(FE97:FE99)</f>
        <v>2800</v>
      </c>
      <c r="FF145" s="369">
        <f>SUM(FF97:FF99)</f>
        <v>48.25</v>
      </c>
      <c r="FG145" s="371">
        <f>SUM(FG97:FG99)</f>
        <v>5</v>
      </c>
      <c r="FH145" s="369">
        <f t="shared" si="2345"/>
        <v>58.031088082901555</v>
      </c>
      <c r="FI145" s="370">
        <f t="shared" si="2346"/>
        <v>9.65</v>
      </c>
      <c r="FK145" s="91">
        <f>SUM(FK97:FK99)</f>
        <v>2500</v>
      </c>
      <c r="FL145" s="82">
        <f>SUM(FL97:FL99)</f>
        <v>42.259999999999991</v>
      </c>
      <c r="FM145" s="79">
        <f>SUM(FM97:FM99)</f>
        <v>5</v>
      </c>
      <c r="FN145" s="82">
        <f t="shared" si="2347"/>
        <v>59.157595835305266</v>
      </c>
      <c r="FO145" s="84">
        <f t="shared" si="2348"/>
        <v>8.4519999999999982</v>
      </c>
      <c r="FQ145" s="91">
        <f>SUM(FQ97:FQ99)</f>
        <v>2700</v>
      </c>
      <c r="FR145" s="82">
        <f>SUM(FR97:FR99)</f>
        <v>54.42</v>
      </c>
      <c r="FS145" s="79">
        <f>SUM(FS97:FS99)</f>
        <v>6</v>
      </c>
      <c r="FT145" s="82">
        <f t="shared" si="2349"/>
        <v>49.614112458654908</v>
      </c>
      <c r="FU145" s="84">
        <f t="shared" si="2350"/>
        <v>9.07</v>
      </c>
      <c r="FW145" s="91">
        <f>SUM(FW97:FW99)</f>
        <v>2500</v>
      </c>
      <c r="FX145" s="82">
        <f>SUM(FX97:FX99)</f>
        <v>59.89</v>
      </c>
      <c r="FY145" s="79">
        <f>SUM(FY97:FY99)</f>
        <v>5</v>
      </c>
      <c r="FZ145" s="82">
        <f t="shared" si="2351"/>
        <v>41.743195859074973</v>
      </c>
      <c r="GA145" s="84">
        <f t="shared" si="2352"/>
        <v>11.978</v>
      </c>
      <c r="GC145" s="91">
        <f>SUM(GC97:GC99)</f>
        <v>2500</v>
      </c>
      <c r="GD145" s="82">
        <f>SUM(GD97:GD99)</f>
        <v>41.22</v>
      </c>
      <c r="GE145" s="79">
        <f>SUM(GE97:GE99)</f>
        <v>5</v>
      </c>
      <c r="GF145" s="82">
        <f t="shared" si="2353"/>
        <v>60.650169820475497</v>
      </c>
      <c r="GG145" s="84">
        <f t="shared" si="2354"/>
        <v>8.2439999999999998</v>
      </c>
      <c r="GI145" s="379">
        <f>SUM(GI97:GI99)</f>
        <v>2600</v>
      </c>
      <c r="GJ145" s="369">
        <f>SUM(GJ97:GJ99)</f>
        <v>55.01</v>
      </c>
      <c r="GK145" s="371">
        <f>SUM(GK97:GK99)</f>
        <v>10</v>
      </c>
      <c r="GL145" s="369">
        <f t="shared" si="2355"/>
        <v>47.264133793855663</v>
      </c>
      <c r="GM145" s="370">
        <f t="shared" si="2356"/>
        <v>5.5009999999999994</v>
      </c>
      <c r="GO145" s="379">
        <f>SUM(GO97:GO99)</f>
        <v>3500</v>
      </c>
      <c r="GP145" s="369">
        <f>SUM(GP97:GP99)</f>
        <v>62.56</v>
      </c>
      <c r="GQ145" s="371">
        <f>SUM(GQ97:GQ99)</f>
        <v>10</v>
      </c>
      <c r="GR145" s="369">
        <f t="shared" si="2357"/>
        <v>55.946291560102303</v>
      </c>
      <c r="GS145" s="370">
        <f t="shared" si="2358"/>
        <v>6.2560000000000002</v>
      </c>
      <c r="GU145" s="379">
        <f>SUM(GU97:GU99)</f>
        <v>2700</v>
      </c>
      <c r="GV145" s="369">
        <f>SUM(GV97:GV99)</f>
        <v>43.2</v>
      </c>
      <c r="GW145" s="371">
        <f>SUM(GW97:GW99)</f>
        <v>5</v>
      </c>
      <c r="GX145" s="369">
        <f t="shared" si="2359"/>
        <v>62.499999999999993</v>
      </c>
      <c r="GY145" s="370">
        <f t="shared" si="2360"/>
        <v>8.64</v>
      </c>
      <c r="HA145" s="91">
        <f>SUM(HA97:HA99)</f>
        <v>3900</v>
      </c>
      <c r="HB145" s="82">
        <f>SUM(HB97:HB99)</f>
        <v>70.149999999999991</v>
      </c>
      <c r="HC145" s="371">
        <f>SUM(HC97:HC99)</f>
        <v>10</v>
      </c>
      <c r="HD145" s="369">
        <f t="shared" si="2361"/>
        <v>55.595153243050611</v>
      </c>
      <c r="HE145" s="370">
        <f t="shared" si="2362"/>
        <v>7.0149999999999988</v>
      </c>
      <c r="HG145" s="91">
        <f>SUM(HG97:HG99)</f>
        <v>1700</v>
      </c>
      <c r="HH145" s="82">
        <f>SUM(HH97:HH99)</f>
        <v>56.82</v>
      </c>
      <c r="HI145" s="79">
        <f>SUM(HI97:HI99)</f>
        <v>5</v>
      </c>
      <c r="HJ145" s="82">
        <f t="shared" si="2363"/>
        <v>29.919042590637101</v>
      </c>
      <c r="HK145" s="84">
        <f t="shared" si="2364"/>
        <v>11.364000000000001</v>
      </c>
      <c r="HM145" s="91">
        <f>SUM(HM97:HM99)</f>
        <v>4000</v>
      </c>
      <c r="HN145" s="82">
        <f>SUM(HN97:HN99)</f>
        <v>71.949999999999989</v>
      </c>
      <c r="HO145" s="371">
        <f>SUM(HO97:HO99)</f>
        <v>8</v>
      </c>
      <c r="HP145" s="369">
        <f t="shared" si="2365"/>
        <v>55.594162612925651</v>
      </c>
      <c r="HQ145" s="370">
        <f t="shared" si="2366"/>
        <v>8.9937499999999986</v>
      </c>
      <c r="HS145" s="91">
        <f>SUM(HS97:HS99)</f>
        <v>1400</v>
      </c>
      <c r="HT145" s="82">
        <f>SUM(HT97:HT99)</f>
        <v>43.2</v>
      </c>
      <c r="HU145" s="371">
        <f>SUM(HU97:HU99)</f>
        <v>5</v>
      </c>
      <c r="HV145" s="369">
        <f t="shared" ref="HV145:HV146" si="2425">HS145/HT145</f>
        <v>32.407407407407405</v>
      </c>
      <c r="HW145" s="370">
        <f t="shared" ref="HW145:HW146" si="2426">HT145/HU145</f>
        <v>8.64</v>
      </c>
      <c r="HX145" s="178"/>
      <c r="HY145" s="91">
        <f>SUM(HY97:HY99)</f>
        <v>2500</v>
      </c>
      <c r="HZ145" s="82">
        <f>SUM(HZ97:HZ99)</f>
        <v>49.08</v>
      </c>
      <c r="IA145" s="79">
        <f>SUM(IA97:IA99)</f>
        <v>5</v>
      </c>
      <c r="IB145" s="82">
        <f t="shared" si="2367"/>
        <v>50.937245313773431</v>
      </c>
      <c r="IC145" s="84">
        <f t="shared" si="2368"/>
        <v>9.8159999999999989</v>
      </c>
      <c r="IE145" s="91">
        <f>SUM(IE97:IE99)</f>
        <v>2500</v>
      </c>
      <c r="IF145" s="82">
        <f>SUM(IF97:IF99)</f>
        <v>54.22</v>
      </c>
      <c r="IG145" s="79">
        <f>SUM(IG97:IG99)</f>
        <v>5</v>
      </c>
      <c r="IH145" s="82">
        <f t="shared" si="2369"/>
        <v>46.108447067502766</v>
      </c>
      <c r="II145" s="84">
        <f t="shared" si="2370"/>
        <v>10.843999999999999</v>
      </c>
      <c r="IK145" s="91">
        <f>SUM(IK97:IK99)</f>
        <v>3000</v>
      </c>
      <c r="IL145" s="82">
        <f>SUM(IL97:IL99)</f>
        <v>49.56</v>
      </c>
      <c r="IM145" s="79">
        <f>SUM(IM97:IM99)</f>
        <v>5</v>
      </c>
      <c r="IN145" s="82">
        <f t="shared" si="2371"/>
        <v>60.532687651331713</v>
      </c>
      <c r="IO145" s="84">
        <f t="shared" si="2372"/>
        <v>9.9120000000000008</v>
      </c>
      <c r="IQ145" s="91">
        <f>SUM(IQ97:IQ99)</f>
        <v>2000</v>
      </c>
      <c r="IR145" s="82">
        <f>SUM(IR97:IR99)</f>
        <v>32.22</v>
      </c>
      <c r="IS145" s="79">
        <f>SUM(IS97:IS99)</f>
        <v>4</v>
      </c>
      <c r="IT145" s="82">
        <f t="shared" si="2373"/>
        <v>62.07324643078833</v>
      </c>
      <c r="IU145" s="84">
        <f t="shared" si="2374"/>
        <v>8.0549999999999997</v>
      </c>
      <c r="IW145" s="91">
        <f>SUM(IW97:IW99)</f>
        <v>2700</v>
      </c>
      <c r="IX145" s="82">
        <f>SUM(IX97:IX99)</f>
        <v>54.35</v>
      </c>
      <c r="IY145" s="79">
        <f>SUM(IY97:IY99)</f>
        <v>9</v>
      </c>
      <c r="IZ145" s="82">
        <f t="shared" si="2375"/>
        <v>49.678012879484818</v>
      </c>
      <c r="JA145" s="84">
        <f t="shared" si="2376"/>
        <v>6.0388888888888888</v>
      </c>
      <c r="JC145" s="91">
        <f>SUM(JC97:JC99)</f>
        <v>2800</v>
      </c>
      <c r="JD145" s="82">
        <f>SUM(JD97:JD99)</f>
        <v>48.5</v>
      </c>
      <c r="JE145" s="79">
        <f>SUM(JE97:JE99)</f>
        <v>7</v>
      </c>
      <c r="JF145" s="82">
        <f t="shared" si="2377"/>
        <v>57.731958762886599</v>
      </c>
      <c r="JG145" s="84">
        <f t="shared" si="2378"/>
        <v>6.9285714285714288</v>
      </c>
      <c r="JI145" s="91">
        <f>SUM(JI97:JI99)</f>
        <v>2500</v>
      </c>
      <c r="JJ145" s="82">
        <f>SUM(JJ97:JJ99)</f>
        <v>42.15</v>
      </c>
      <c r="JK145" s="79">
        <f>SUM(JK97:JK99)</f>
        <v>5</v>
      </c>
      <c r="JL145" s="82">
        <f t="shared" si="2379"/>
        <v>59.311981020166073</v>
      </c>
      <c r="JM145" s="84">
        <f t="shared" si="2380"/>
        <v>8.43</v>
      </c>
      <c r="JO145" s="91">
        <f>SUM(JO97:JO99)</f>
        <v>2500</v>
      </c>
      <c r="JP145" s="82">
        <f>SUM(JP97:JP99)</f>
        <v>47.45</v>
      </c>
      <c r="JQ145" s="79">
        <f>SUM(JQ97:JQ99)</f>
        <v>5</v>
      </c>
      <c r="JR145" s="82">
        <f t="shared" si="2381"/>
        <v>52.687038988408851</v>
      </c>
      <c r="JS145" s="84">
        <f t="shared" si="2382"/>
        <v>9.49</v>
      </c>
      <c r="JU145" s="383">
        <f>SUM(JU97:JU99)</f>
        <v>1000</v>
      </c>
      <c r="JV145" s="82">
        <f>SUM(JV97:JV99)</f>
        <v>13.19</v>
      </c>
      <c r="JW145" s="748">
        <f>SUM(JW97:JW99)</f>
        <v>2</v>
      </c>
      <c r="JX145" s="369">
        <f t="shared" si="2383"/>
        <v>75.815011372251703</v>
      </c>
      <c r="JY145" s="84">
        <f t="shared" si="2384"/>
        <v>6.5949999999999998</v>
      </c>
      <c r="KA145" s="383">
        <f>SUM(KA97:KA99)</f>
        <v>3000</v>
      </c>
      <c r="KB145" s="82">
        <f>SUM(KB97:KB99)</f>
        <v>66.72</v>
      </c>
      <c r="KC145" s="748">
        <f>SUM(KC97:KC99)</f>
        <v>5</v>
      </c>
      <c r="KD145" s="369">
        <f t="shared" si="2385"/>
        <v>44.964028776978417</v>
      </c>
      <c r="KE145" s="84">
        <f t="shared" si="2386"/>
        <v>13.343999999999999</v>
      </c>
      <c r="KG145" s="383">
        <f>SUM(KG97:KG99)</f>
        <v>2700</v>
      </c>
      <c r="KH145" s="82">
        <f>SUM(KH97:KH99)</f>
        <v>57.760000000000005</v>
      </c>
      <c r="KI145" s="748">
        <f>SUM(KI97:KI99)</f>
        <v>5</v>
      </c>
      <c r="KJ145" s="369">
        <f t="shared" si="2387"/>
        <v>46.745152354570635</v>
      </c>
      <c r="KK145" s="84">
        <f t="shared" si="2388"/>
        <v>11.552000000000001</v>
      </c>
      <c r="KM145" s="383">
        <f>SUM(KM97:KM99)</f>
        <v>0</v>
      </c>
      <c r="KN145" s="82">
        <f>SUM(KN97:KN99)</f>
        <v>0</v>
      </c>
      <c r="KO145" s="748">
        <f>SUM(KO97:KO99)</f>
        <v>0</v>
      </c>
      <c r="KP145" s="369" t="e">
        <f t="shared" si="2389"/>
        <v>#DIV/0!</v>
      </c>
      <c r="KQ145" s="84" t="e">
        <f t="shared" si="2390"/>
        <v>#DIV/0!</v>
      </c>
      <c r="KS145" s="383">
        <f>SUM(KS97:KS99)</f>
        <v>2500</v>
      </c>
      <c r="KT145" s="82">
        <f>SUM(KT97:KT99)</f>
        <v>37.07</v>
      </c>
      <c r="KU145" s="748">
        <f>SUM(KU97:KU99)</f>
        <v>5</v>
      </c>
      <c r="KV145" s="369">
        <f t="shared" si="2391"/>
        <v>67.439978419206909</v>
      </c>
      <c r="KW145" s="84">
        <f t="shared" si="2392"/>
        <v>7.4139999999999997</v>
      </c>
      <c r="KY145" s="383">
        <f>SUM(KY97:KY99)</f>
        <v>0</v>
      </c>
      <c r="KZ145" s="82">
        <f>SUM(KZ97:KZ99)</f>
        <v>0</v>
      </c>
      <c r="LA145" s="748">
        <f>SUM(LA97:LA99)</f>
        <v>0</v>
      </c>
      <c r="LB145" s="369" t="e">
        <f t="shared" si="2393"/>
        <v>#DIV/0!</v>
      </c>
      <c r="LC145" s="84" t="e">
        <f t="shared" si="2394"/>
        <v>#DIV/0!</v>
      </c>
      <c r="LE145" s="383">
        <f>SUM(LE97:LE99)</f>
        <v>2700</v>
      </c>
      <c r="LF145" s="82">
        <f>SUM(LF97:LF99)</f>
        <v>52.589999999999996</v>
      </c>
      <c r="LG145" s="748">
        <f>SUM(LG97:LG99)</f>
        <v>5</v>
      </c>
      <c r="LH145" s="369">
        <f t="shared" si="2395"/>
        <v>51.340559041642905</v>
      </c>
      <c r="LI145" s="84">
        <f t="shared" si="2396"/>
        <v>10.517999999999999</v>
      </c>
      <c r="LK145" s="383">
        <f>SUM(LK97:LK99)</f>
        <v>1500</v>
      </c>
      <c r="LL145" s="82">
        <f>SUM(LL97:LL99)</f>
        <v>9.5300000000000011</v>
      </c>
      <c r="LM145" s="748">
        <f>SUM(LM97:LM99)</f>
        <v>3</v>
      </c>
      <c r="LN145" s="369">
        <f t="shared" si="2397"/>
        <v>157.39769150052464</v>
      </c>
      <c r="LO145" s="84">
        <f t="shared" si="2398"/>
        <v>3.1766666666666672</v>
      </c>
      <c r="LQ145" s="383">
        <f>SUM(LQ97:LQ99)</f>
        <v>5500</v>
      </c>
      <c r="LR145" s="82">
        <f>SUM(LR97:LR99)</f>
        <v>72.240000000000009</v>
      </c>
      <c r="LS145" s="748">
        <f>SUM(LS97:LS99)</f>
        <v>10</v>
      </c>
      <c r="LT145" s="369">
        <f t="shared" si="2399"/>
        <v>76.13510520487263</v>
      </c>
      <c r="LU145" s="84">
        <f t="shared" si="2400"/>
        <v>7.2240000000000011</v>
      </c>
      <c r="LW145" s="383">
        <f>SUM(LW97:LW99)</f>
        <v>1500</v>
      </c>
      <c r="LX145" s="82">
        <f>SUM(LX97:LX99)</f>
        <v>30.14</v>
      </c>
      <c r="LY145" s="748">
        <f>SUM(LY97:LY99)</f>
        <v>5</v>
      </c>
      <c r="LZ145" s="369">
        <f t="shared" si="2401"/>
        <v>49.767750497677504</v>
      </c>
      <c r="MA145" s="84">
        <f t="shared" si="2402"/>
        <v>6.0280000000000005</v>
      </c>
      <c r="MC145" s="383">
        <f>SUM(MC97:MC99)</f>
        <v>2500</v>
      </c>
      <c r="MD145" s="82">
        <f>SUM(MD97:MD99)</f>
        <v>70.790000000000006</v>
      </c>
      <c r="ME145" s="748">
        <f>SUM(ME97:ME99)</f>
        <v>5</v>
      </c>
      <c r="MF145" s="369">
        <f t="shared" si="2403"/>
        <v>35.315722559683572</v>
      </c>
      <c r="MG145" s="84">
        <f t="shared" si="2404"/>
        <v>14.158000000000001</v>
      </c>
      <c r="MI145" s="383">
        <f>SUM(MI97:MI99)</f>
        <v>2900</v>
      </c>
      <c r="MJ145" s="82">
        <f>SUM(MJ97:MJ99)</f>
        <v>52.160000000000004</v>
      </c>
      <c r="MK145" s="748">
        <f>SUM(MK97:MK99)</f>
        <v>7</v>
      </c>
      <c r="ML145" s="369">
        <f t="shared" si="2405"/>
        <v>55.598159509202453</v>
      </c>
      <c r="MM145" s="84">
        <f t="shared" si="2406"/>
        <v>7.451428571428572</v>
      </c>
      <c r="MO145" s="383">
        <f>SUM(MO97:MO99)</f>
        <v>0</v>
      </c>
      <c r="MP145" s="82">
        <f>SUM(MP97:MP99)</f>
        <v>0</v>
      </c>
      <c r="MQ145" s="748">
        <f>SUM(MQ97:MQ99)</f>
        <v>0</v>
      </c>
      <c r="MR145" s="369" t="e">
        <f t="shared" si="2407"/>
        <v>#DIV/0!</v>
      </c>
      <c r="MS145" s="84" t="e">
        <f t="shared" si="2408"/>
        <v>#DIV/0!</v>
      </c>
      <c r="MU145" s="383">
        <f>SUM(MU97:MU99)</f>
        <v>0</v>
      </c>
      <c r="MV145" s="82">
        <f>SUM(MV97:MV99)</f>
        <v>0</v>
      </c>
      <c r="MW145" s="748">
        <f>SUM(MW97:MW99)</f>
        <v>0</v>
      </c>
      <c r="MX145" s="369" t="e">
        <f t="shared" si="2409"/>
        <v>#DIV/0!</v>
      </c>
      <c r="MY145" s="84" t="e">
        <f t="shared" si="2410"/>
        <v>#DIV/0!</v>
      </c>
      <c r="NA145" s="383">
        <f>SUM(NA97:NA99)</f>
        <v>3500</v>
      </c>
      <c r="NB145" s="748">
        <f>SUM(NB97:NB99)</f>
        <v>64.63</v>
      </c>
      <c r="NC145" s="748">
        <f>SUM(NC97:NC99)</f>
        <v>10</v>
      </c>
      <c r="ND145" s="369">
        <f t="shared" si="2411"/>
        <v>54.154417453195116</v>
      </c>
      <c r="NE145" s="84">
        <f t="shared" si="2412"/>
        <v>6.4629999999999992</v>
      </c>
      <c r="NG145" s="383">
        <f>SUM(NG97:NG99)</f>
        <v>3500</v>
      </c>
      <c r="NH145" s="82">
        <f>SUM(NH97:NH99)</f>
        <v>64.41</v>
      </c>
      <c r="NI145" s="748">
        <f>SUM(NI97:NI99)</f>
        <v>10</v>
      </c>
      <c r="NJ145" s="369">
        <f t="shared" si="2413"/>
        <v>54.339388293743212</v>
      </c>
      <c r="NK145" s="84">
        <f t="shared" si="2414"/>
        <v>6.4409999999999998</v>
      </c>
      <c r="NM145" s="383">
        <f>SUM(NM97:NM99)</f>
        <v>2500</v>
      </c>
      <c r="NN145" s="82">
        <f>SUM(NN97:NN99)</f>
        <v>47.62</v>
      </c>
      <c r="NO145" s="748">
        <f>SUM(NO97:NO99)</f>
        <v>5</v>
      </c>
      <c r="NP145" s="369">
        <f t="shared" si="2415"/>
        <v>52.49895002099958</v>
      </c>
      <c r="NQ145" s="84">
        <f t="shared" si="2416"/>
        <v>9.5239999999999991</v>
      </c>
      <c r="NS145" s="383">
        <f>SUM(NS97:NS99)</f>
        <v>2500</v>
      </c>
      <c r="NT145" s="82">
        <f>SUM(NT97:NT99)</f>
        <v>52.96</v>
      </c>
      <c r="NU145" s="748">
        <f>SUM(NU97:NU99)</f>
        <v>5</v>
      </c>
      <c r="NV145" s="369">
        <f t="shared" si="2417"/>
        <v>47.205438066465256</v>
      </c>
      <c r="NW145" s="84">
        <f t="shared" si="2418"/>
        <v>10.592000000000001</v>
      </c>
      <c r="NY145" s="383">
        <f>SUM(NY97:NY99)</f>
        <v>1800</v>
      </c>
      <c r="NZ145" s="82">
        <f>SUM(NZ97:NZ99)</f>
        <v>41.84</v>
      </c>
      <c r="OA145" s="748">
        <f>SUM(OA97:OA99)</f>
        <v>5</v>
      </c>
      <c r="OB145" s="369">
        <f t="shared" si="2419"/>
        <v>43.021032504780109</v>
      </c>
      <c r="OC145" s="84">
        <f t="shared" si="2420"/>
        <v>8.3680000000000003</v>
      </c>
      <c r="OE145" s="383">
        <f>SUM(OE97:OE99)</f>
        <v>2500</v>
      </c>
      <c r="OF145" s="82">
        <f>SUM(OF97:OF99)</f>
        <v>46.739999999999995</v>
      </c>
      <c r="OG145" s="748">
        <f>SUM(OG97:OG99)</f>
        <v>5</v>
      </c>
      <c r="OH145" s="369">
        <f t="shared" si="2421"/>
        <v>53.487376979032952</v>
      </c>
      <c r="OI145" s="84">
        <f t="shared" si="2422"/>
        <v>9.347999999999999</v>
      </c>
    </row>
    <row r="146" spans="1:399" s="178" customFormat="1">
      <c r="A146" s="750"/>
      <c r="B146" s="751" t="s">
        <v>19</v>
      </c>
      <c r="C146" s="752"/>
      <c r="D146" s="753" t="s">
        <v>20</v>
      </c>
      <c r="E146" s="371">
        <f>SUM(E100:E101)</f>
        <v>2950</v>
      </c>
      <c r="F146" s="369">
        <f>SUM(F100:F101)</f>
        <v>37.83</v>
      </c>
      <c r="G146" s="371">
        <f>SUM(G100:G101)</f>
        <v>8</v>
      </c>
      <c r="H146" s="369">
        <f t="shared" si="2295"/>
        <v>77.98043880518108</v>
      </c>
      <c r="I146" s="370">
        <f t="shared" si="2296"/>
        <v>4.7287499999999998</v>
      </c>
      <c r="J146" s="754"/>
      <c r="K146" s="371">
        <f>SUM(K100:K101)</f>
        <v>3200</v>
      </c>
      <c r="L146" s="369">
        <f>SUM(L100:L101)</f>
        <v>51.099999999999994</v>
      </c>
      <c r="M146" s="371">
        <f>SUM(M100:M101)</f>
        <v>8</v>
      </c>
      <c r="N146" s="369">
        <f t="shared" si="2297"/>
        <v>62.622309197651667</v>
      </c>
      <c r="O146" s="370">
        <f t="shared" si="2298"/>
        <v>6.3874999999999993</v>
      </c>
      <c r="P146" s="754"/>
      <c r="Q146" s="371">
        <f>SUM(Q100:Q101)</f>
        <v>4500</v>
      </c>
      <c r="R146" s="369">
        <f>SUM(R100:R101)</f>
        <v>53</v>
      </c>
      <c r="S146" s="371">
        <f>SUM(S100:S101)</f>
        <v>10</v>
      </c>
      <c r="T146" s="369">
        <f t="shared" si="2299"/>
        <v>84.905660377358487</v>
      </c>
      <c r="U146" s="370">
        <f t="shared" si="2300"/>
        <v>5.3</v>
      </c>
      <c r="V146" s="754"/>
      <c r="W146" s="371">
        <f>SUM(W100:W101)</f>
        <v>4400</v>
      </c>
      <c r="X146" s="369">
        <f>SUM(X100:X101)</f>
        <v>52.679999999999993</v>
      </c>
      <c r="Y146" s="371">
        <f>SUM(Y100:Y101)</f>
        <v>10</v>
      </c>
      <c r="Z146" s="369">
        <f t="shared" si="2301"/>
        <v>83.523158694001523</v>
      </c>
      <c r="AA146" s="370">
        <f t="shared" si="2302"/>
        <v>5.2679999999999989</v>
      </c>
      <c r="AB146" s="754"/>
      <c r="AC146" s="371">
        <f>SUM(AC100:AC101)</f>
        <v>4900</v>
      </c>
      <c r="AD146" s="369">
        <f>SUM(AD100:AD101)</f>
        <v>48.900000000000006</v>
      </c>
      <c r="AE146" s="371">
        <f>SUM(AE100:AE101)</f>
        <v>10</v>
      </c>
      <c r="AF146" s="369">
        <f t="shared" si="2303"/>
        <v>100.2044989775051</v>
      </c>
      <c r="AG146" s="370">
        <f t="shared" si="2304"/>
        <v>4.8900000000000006</v>
      </c>
      <c r="AH146" s="754"/>
      <c r="AI146" s="371">
        <f>SUM(AI100:AI101)</f>
        <v>4400</v>
      </c>
      <c r="AJ146" s="369">
        <f>SUM(AJ100:AJ101)</f>
        <v>49.260000000000005</v>
      </c>
      <c r="AK146" s="371">
        <f>SUM(AK100:AK101)</f>
        <v>10</v>
      </c>
      <c r="AL146" s="369">
        <f t="shared" si="2305"/>
        <v>89.321965083231817</v>
      </c>
      <c r="AM146" s="370">
        <f t="shared" si="2306"/>
        <v>4.9260000000000002</v>
      </c>
      <c r="AN146" s="754"/>
      <c r="AO146" s="371">
        <f>SUM(AO100:AO101)</f>
        <v>0</v>
      </c>
      <c r="AP146" s="369">
        <f>SUM(AP100:AP101)</f>
        <v>0</v>
      </c>
      <c r="AQ146" s="371">
        <f>SUM(AQ100:AQ101)</f>
        <v>0</v>
      </c>
      <c r="AR146" s="369" t="e">
        <f t="shared" si="2307"/>
        <v>#DIV/0!</v>
      </c>
      <c r="AS146" s="370" t="e">
        <f t="shared" si="2308"/>
        <v>#DIV/0!</v>
      </c>
      <c r="AT146" s="754"/>
      <c r="AU146" s="371">
        <f>SUM(AU100:AU101)</f>
        <v>3700</v>
      </c>
      <c r="AV146" s="369">
        <f>SUM(AV100:AV101)</f>
        <v>55.870000000000005</v>
      </c>
      <c r="AW146" s="371">
        <f>SUM(AW100:AW101)</f>
        <v>10</v>
      </c>
      <c r="AX146" s="369">
        <f t="shared" si="2309"/>
        <v>66.225165562913901</v>
      </c>
      <c r="AY146" s="370">
        <f t="shared" si="2310"/>
        <v>5.5870000000000006</v>
      </c>
      <c r="AZ146" s="370"/>
      <c r="BA146" s="371">
        <f>SUM(BA100:BA101)</f>
        <v>5000</v>
      </c>
      <c r="BB146" s="369">
        <f>SUM(BB100:BB101)</f>
        <v>57.160000000000004</v>
      </c>
      <c r="BC146" s="371">
        <f>SUM(BC100:BC101)</f>
        <v>10</v>
      </c>
      <c r="BD146" s="369">
        <f t="shared" si="2311"/>
        <v>87.473757872638203</v>
      </c>
      <c r="BE146" s="370">
        <f t="shared" si="2312"/>
        <v>5.7160000000000002</v>
      </c>
      <c r="BF146" s="370"/>
      <c r="BG146" s="371">
        <f>SUM(BG100:BG101)</f>
        <v>0</v>
      </c>
      <c r="BH146" s="369">
        <f>SUM(BH100:BH101)</f>
        <v>0</v>
      </c>
      <c r="BI146" s="371">
        <f>SUM(BI100:BI101)</f>
        <v>0</v>
      </c>
      <c r="BJ146" s="369" t="e">
        <f t="shared" si="2313"/>
        <v>#DIV/0!</v>
      </c>
      <c r="BK146" s="370" t="e">
        <f t="shared" si="2314"/>
        <v>#DIV/0!</v>
      </c>
      <c r="BL146" s="370"/>
      <c r="BM146" s="371">
        <f>SUM(BM100:BM101)</f>
        <v>0</v>
      </c>
      <c r="BN146" s="369">
        <f>SUM(BN100:BN101)</f>
        <v>0</v>
      </c>
      <c r="BO146" s="371">
        <f>SUM(BO100:BO101)</f>
        <v>0</v>
      </c>
      <c r="BP146" s="369" t="e">
        <f t="shared" si="2315"/>
        <v>#DIV/0!</v>
      </c>
      <c r="BQ146" s="370" t="e">
        <f t="shared" si="2316"/>
        <v>#DIV/0!</v>
      </c>
      <c r="BR146" s="754"/>
      <c r="BS146" s="371">
        <f>SUM(BS100:BS101)</f>
        <v>0</v>
      </c>
      <c r="BT146" s="369">
        <f>SUM(BT100:BT101)</f>
        <v>0</v>
      </c>
      <c r="BU146" s="371">
        <f>SUM(BU100:BU101)</f>
        <v>0</v>
      </c>
      <c r="BV146" s="369" t="e">
        <f t="shared" si="2317"/>
        <v>#DIV/0!</v>
      </c>
      <c r="BW146" s="370" t="e">
        <f t="shared" si="2318"/>
        <v>#DIV/0!</v>
      </c>
      <c r="BX146" s="370"/>
      <c r="BY146" s="371">
        <f>SUM(BY100:BY101)</f>
        <v>3700</v>
      </c>
      <c r="BZ146" s="369">
        <f>SUM(BZ100:BZ101)</f>
        <v>53.400000000000006</v>
      </c>
      <c r="CA146" s="371">
        <f>SUM(CA100:CA101)</f>
        <v>10</v>
      </c>
      <c r="CB146" s="369">
        <f t="shared" si="2319"/>
        <v>69.288389513108612</v>
      </c>
      <c r="CC146" s="370">
        <f t="shared" si="2320"/>
        <v>5.3400000000000007</v>
      </c>
      <c r="CD146" s="370"/>
      <c r="CE146" s="371">
        <f>SUM(CE100:CE101)</f>
        <v>0</v>
      </c>
      <c r="CF146" s="369">
        <f>SUM(CF100:CF101)</f>
        <v>0</v>
      </c>
      <c r="CG146" s="371">
        <f>SUM(CG100:CG101)</f>
        <v>0</v>
      </c>
      <c r="CH146" s="369" t="e">
        <f t="shared" si="2321"/>
        <v>#DIV/0!</v>
      </c>
      <c r="CI146" s="370" t="e">
        <f t="shared" si="2322"/>
        <v>#DIV/0!</v>
      </c>
      <c r="CJ146" s="370"/>
      <c r="CK146" s="371">
        <f>SUM(CK100:CK101)</f>
        <v>3300</v>
      </c>
      <c r="CL146" s="369">
        <f>SUM(CL100:CL101)</f>
        <v>58.25</v>
      </c>
      <c r="CM146" s="371">
        <f>SUM(CM100:CM101)</f>
        <v>10</v>
      </c>
      <c r="CN146" s="369">
        <f t="shared" si="2323"/>
        <v>56.652360515021456</v>
      </c>
      <c r="CO146" s="370">
        <f t="shared" si="2324"/>
        <v>5.8250000000000002</v>
      </c>
      <c r="CP146" s="370"/>
      <c r="CQ146" s="371">
        <f>SUM(CQ100:CQ101)</f>
        <v>3300</v>
      </c>
      <c r="CR146" s="369">
        <f>SUM(CR100:CR101)</f>
        <v>64.12</v>
      </c>
      <c r="CS146" s="371">
        <f>SUM(CS100:CS101)</f>
        <v>10</v>
      </c>
      <c r="CT146" s="369">
        <f t="shared" si="2325"/>
        <v>51.466001247660635</v>
      </c>
      <c r="CU146" s="370">
        <f t="shared" si="2326"/>
        <v>6.4120000000000008</v>
      </c>
      <c r="CV146" s="370"/>
      <c r="CW146" s="371">
        <f>SUM(CW100:CW101)</f>
        <v>3700</v>
      </c>
      <c r="CX146" s="369">
        <f>SUM(CX100:CX101)</f>
        <v>53.400000000000006</v>
      </c>
      <c r="CY146" s="371">
        <f>SUM(CY100:CY101)</f>
        <v>10</v>
      </c>
      <c r="CZ146" s="369">
        <f t="shared" si="2327"/>
        <v>69.288389513108612</v>
      </c>
      <c r="DA146" s="370">
        <f t="shared" si="2328"/>
        <v>5.3400000000000007</v>
      </c>
      <c r="DB146" s="370"/>
      <c r="DC146" s="371">
        <f>SUM(DC100:DC101)</f>
        <v>5100</v>
      </c>
      <c r="DD146" s="369">
        <f>SUM(DD100:DD101)</f>
        <v>46.32</v>
      </c>
      <c r="DE146" s="371">
        <f>SUM(DE100:DE101)</f>
        <v>10</v>
      </c>
      <c r="DF146" s="369">
        <f t="shared" si="2329"/>
        <v>110.10362694300518</v>
      </c>
      <c r="DG146" s="370">
        <f t="shared" si="2330"/>
        <v>4.6319999999999997</v>
      </c>
      <c r="DH146" s="370"/>
      <c r="DI146" s="371">
        <f>SUM(DI100:DI101)</f>
        <v>4900</v>
      </c>
      <c r="DJ146" s="369">
        <f>SUM(DJ100:DJ101)</f>
        <v>48.900000000000006</v>
      </c>
      <c r="DK146" s="371">
        <f>SUM(DK100:DK101)</f>
        <v>10</v>
      </c>
      <c r="DL146" s="369">
        <f t="shared" si="2331"/>
        <v>100.2044989775051</v>
      </c>
      <c r="DM146" s="370">
        <f t="shared" si="2332"/>
        <v>4.8900000000000006</v>
      </c>
      <c r="DN146" s="370"/>
      <c r="DO146" s="371">
        <f>SUM(DO100:DO101)</f>
        <v>3830</v>
      </c>
      <c r="DP146" s="369">
        <f>SUM(DP100:DP101)</f>
        <v>62.21</v>
      </c>
      <c r="DQ146" s="371">
        <f>SUM(DQ100:DQ101)</f>
        <v>10</v>
      </c>
      <c r="DR146" s="369">
        <f t="shared" si="2333"/>
        <v>61.565664684134383</v>
      </c>
      <c r="DS146" s="370">
        <f t="shared" si="2334"/>
        <v>6.2210000000000001</v>
      </c>
      <c r="DT146" s="370"/>
      <c r="DU146" s="371">
        <f>SUM(DU100:DU101)</f>
        <v>0</v>
      </c>
      <c r="DV146" s="369">
        <f>SUM(DV100:DV101)</f>
        <v>0</v>
      </c>
      <c r="DW146" s="371">
        <f>SUM(DW100:DW101)</f>
        <v>0</v>
      </c>
      <c r="DX146" s="369" t="e">
        <f t="shared" si="2335"/>
        <v>#DIV/0!</v>
      </c>
      <c r="DY146" s="370" t="e">
        <f t="shared" si="2336"/>
        <v>#DIV/0!</v>
      </c>
      <c r="DZ146" s="370"/>
      <c r="EA146" s="371">
        <f>SUM(EA100:EA101)</f>
        <v>0</v>
      </c>
      <c r="EB146" s="369">
        <f>SUM(EB100:EB101)</f>
        <v>0</v>
      </c>
      <c r="EC146" s="371">
        <f>SUM(EC100:EC101)</f>
        <v>0</v>
      </c>
      <c r="ED146" s="369" t="e">
        <f t="shared" si="2337"/>
        <v>#DIV/0!</v>
      </c>
      <c r="EE146" s="370" t="e">
        <f t="shared" si="2338"/>
        <v>#DIV/0!</v>
      </c>
      <c r="EF146" s="370"/>
      <c r="EG146" s="371">
        <f>SUM(EG100:EG101)</f>
        <v>0</v>
      </c>
      <c r="EH146" s="369">
        <f>SUM(EH100:EH101)</f>
        <v>0</v>
      </c>
      <c r="EI146" s="371">
        <f>SUM(EI100:EI101)</f>
        <v>0</v>
      </c>
      <c r="EJ146" s="369" t="e">
        <f t="shared" si="2339"/>
        <v>#DIV/0!</v>
      </c>
      <c r="EK146" s="370" t="e">
        <f t="shared" si="2340"/>
        <v>#DIV/0!</v>
      </c>
      <c r="EL146" s="370"/>
      <c r="EM146" s="371">
        <f>SUM(EM100:EM101)</f>
        <v>0</v>
      </c>
      <c r="EN146" s="369">
        <f>SUM(EN100:EN101)</f>
        <v>0</v>
      </c>
      <c r="EO146" s="371">
        <f>SUM(EO100:EO101)</f>
        <v>0</v>
      </c>
      <c r="EP146" s="369" t="e">
        <f t="shared" si="2341"/>
        <v>#DIV/0!</v>
      </c>
      <c r="EQ146" s="370" t="e">
        <f t="shared" si="2342"/>
        <v>#DIV/0!</v>
      </c>
      <c r="ER146" s="754"/>
      <c r="ES146" s="371">
        <f>SUM(ES100:ES101)</f>
        <v>3700</v>
      </c>
      <c r="ET146" s="369">
        <f>SUM(ET100:ET101)</f>
        <v>53.400000000000006</v>
      </c>
      <c r="EU146" s="371">
        <f>SUM(EU100:EU101)</f>
        <v>10</v>
      </c>
      <c r="EV146" s="369">
        <f t="shared" si="2343"/>
        <v>69.288389513108612</v>
      </c>
      <c r="EW146" s="370">
        <f t="shared" si="2344"/>
        <v>5.3400000000000007</v>
      </c>
      <c r="EY146" s="379">
        <f>SUM(EY100:EY101)</f>
        <v>1700</v>
      </c>
      <c r="EZ146" s="369">
        <f>SUM(EZ100:EZ101)</f>
        <v>12.64</v>
      </c>
      <c r="FA146" s="371">
        <f>SUM(FA100:FA101)</f>
        <v>5</v>
      </c>
      <c r="FB146" s="369">
        <f t="shared" si="2423"/>
        <v>134.49367088607593</v>
      </c>
      <c r="FC146" s="370">
        <f t="shared" si="2424"/>
        <v>2.528</v>
      </c>
      <c r="FE146" s="379">
        <f>SUM(FE100:FE101)</f>
        <v>4500</v>
      </c>
      <c r="FF146" s="369">
        <f>SUM(FF100:FF101)</f>
        <v>53</v>
      </c>
      <c r="FG146" s="371">
        <f>SUM(FG100:FG101)</f>
        <v>10</v>
      </c>
      <c r="FH146" s="369">
        <f t="shared" si="2345"/>
        <v>84.905660377358487</v>
      </c>
      <c r="FI146" s="370">
        <f t="shared" si="2346"/>
        <v>5.3</v>
      </c>
      <c r="FK146" s="379">
        <f>SUM(FK100:FK101)</f>
        <v>3500</v>
      </c>
      <c r="FL146" s="369">
        <f>SUM(FL100:FL101)</f>
        <v>69.39</v>
      </c>
      <c r="FM146" s="371">
        <f>SUM(FM100:FM101)</f>
        <v>10</v>
      </c>
      <c r="FN146" s="369">
        <f t="shared" si="2347"/>
        <v>50.439544602968724</v>
      </c>
      <c r="FO146" s="370">
        <f t="shared" si="2348"/>
        <v>6.9390000000000001</v>
      </c>
      <c r="FQ146" s="379">
        <f>SUM(FQ100:FQ101)</f>
        <v>3800</v>
      </c>
      <c r="FR146" s="369">
        <f>SUM(FR100:FR101)</f>
        <v>50.39</v>
      </c>
      <c r="FS146" s="371">
        <f>SUM(FS100:FS101)</f>
        <v>10</v>
      </c>
      <c r="FT146" s="369">
        <f t="shared" si="2349"/>
        <v>75.411788053185148</v>
      </c>
      <c r="FU146" s="370">
        <f t="shared" si="2350"/>
        <v>5.0389999999999997</v>
      </c>
      <c r="FW146" s="379">
        <f>SUM(FW100:FW101)</f>
        <v>5100</v>
      </c>
      <c r="FX146" s="369">
        <f>SUM(FX100:FX101)</f>
        <v>46.32</v>
      </c>
      <c r="FY146" s="371">
        <f>SUM(FY100:FY101)</f>
        <v>10</v>
      </c>
      <c r="FZ146" s="369">
        <f t="shared" si="2351"/>
        <v>110.10362694300518</v>
      </c>
      <c r="GA146" s="370">
        <f t="shared" si="2352"/>
        <v>4.6319999999999997</v>
      </c>
      <c r="GC146" s="379">
        <f>SUM(GC100:GC101)</f>
        <v>2600</v>
      </c>
      <c r="GD146" s="369">
        <f>SUM(GD100:GD101)</f>
        <v>40.919999999999995</v>
      </c>
      <c r="GE146" s="371">
        <f>SUM(GE100:GE101)</f>
        <v>5</v>
      </c>
      <c r="GF146" s="369">
        <f t="shared" si="2353"/>
        <v>63.538611925708707</v>
      </c>
      <c r="GG146" s="370">
        <f t="shared" si="2354"/>
        <v>8.1839999999999993</v>
      </c>
      <c r="GI146" s="379">
        <f>SUM(GI100:GI101)</f>
        <v>4000</v>
      </c>
      <c r="GJ146" s="369">
        <f>SUM(GJ100:GJ101)</f>
        <v>67.760000000000005</v>
      </c>
      <c r="GK146" s="371">
        <f>SUM(GK100:GK101)</f>
        <v>10</v>
      </c>
      <c r="GL146" s="369">
        <f t="shared" si="2355"/>
        <v>59.031877213695388</v>
      </c>
      <c r="GM146" s="370">
        <f t="shared" si="2356"/>
        <v>6.7760000000000007</v>
      </c>
      <c r="GO146" s="379">
        <f>SUM(GO100:GO101)</f>
        <v>4050</v>
      </c>
      <c r="GP146" s="369">
        <f>SUM(GP100:GP101)</f>
        <v>53.440000000000005</v>
      </c>
      <c r="GQ146" s="371">
        <f>SUM(GQ100:GQ101)</f>
        <v>10</v>
      </c>
      <c r="GR146" s="369">
        <f t="shared" si="2357"/>
        <v>75.785928143712567</v>
      </c>
      <c r="GS146" s="370">
        <f t="shared" si="2358"/>
        <v>5.3440000000000003</v>
      </c>
      <c r="GU146" s="379">
        <f>SUM(GU100:GU101)</f>
        <v>3750</v>
      </c>
      <c r="GV146" s="369">
        <f>SUM(GV100:GV101)</f>
        <v>47.980000000000004</v>
      </c>
      <c r="GW146" s="371">
        <f>SUM(GW100:GW101)</f>
        <v>10</v>
      </c>
      <c r="GX146" s="369">
        <f t="shared" si="2359"/>
        <v>78.157565652355146</v>
      </c>
      <c r="GY146" s="370">
        <f t="shared" si="2360"/>
        <v>4.798</v>
      </c>
      <c r="HA146" s="379">
        <f>SUM(HA100:HA101)</f>
        <v>4300</v>
      </c>
      <c r="HB146" s="369">
        <f>SUM(HB100:HB101)</f>
        <v>53.38</v>
      </c>
      <c r="HC146" s="371">
        <f>SUM(HC100:HC101)</f>
        <v>10</v>
      </c>
      <c r="HD146" s="369">
        <f t="shared" si="2361"/>
        <v>80.55451479955039</v>
      </c>
      <c r="HE146" s="370">
        <f t="shared" si="2362"/>
        <v>5.3380000000000001</v>
      </c>
      <c r="HG146" s="379">
        <f>SUM(HG100:HG101)</f>
        <v>3830</v>
      </c>
      <c r="HH146" s="369">
        <f>SUM(HH100:HH101)</f>
        <v>62.21</v>
      </c>
      <c r="HI146" s="371">
        <f>SUM(HI100:HI101)</f>
        <v>10</v>
      </c>
      <c r="HJ146" s="369">
        <f t="shared" si="2363"/>
        <v>61.565664684134383</v>
      </c>
      <c r="HK146" s="370">
        <f t="shared" si="2364"/>
        <v>6.2210000000000001</v>
      </c>
      <c r="HM146" s="379">
        <f>SUM(HM100:HM101)</f>
        <v>2950</v>
      </c>
      <c r="HN146" s="369">
        <f>SUM(HN100:HN101)</f>
        <v>37.83</v>
      </c>
      <c r="HO146" s="371">
        <f>SUM(HO100:HO101)</f>
        <v>8</v>
      </c>
      <c r="HP146" s="369">
        <f t="shared" si="2365"/>
        <v>77.98043880518108</v>
      </c>
      <c r="HQ146" s="370">
        <f t="shared" si="2366"/>
        <v>4.7287499999999998</v>
      </c>
      <c r="HS146" s="379">
        <f>SUM(HS100:HS101)</f>
        <v>3200</v>
      </c>
      <c r="HT146" s="369">
        <f>SUM(HT100:HT101)</f>
        <v>51.099999999999994</v>
      </c>
      <c r="HU146" s="371">
        <f>SUM(HU100:HU101)</f>
        <v>8</v>
      </c>
      <c r="HV146" s="369">
        <f t="shared" si="2425"/>
        <v>62.622309197651667</v>
      </c>
      <c r="HW146" s="370">
        <f t="shared" si="2426"/>
        <v>6.3874999999999993</v>
      </c>
      <c r="HY146" s="379">
        <f>SUM(HY100:HY101)</f>
        <v>2900</v>
      </c>
      <c r="HZ146" s="369">
        <f>SUM(HZ100:HZ101)</f>
        <v>48.519999999999996</v>
      </c>
      <c r="IA146" s="371">
        <f>SUM(IA100:IA101)</f>
        <v>5</v>
      </c>
      <c r="IB146" s="369">
        <f t="shared" si="2367"/>
        <v>59.769167353668593</v>
      </c>
      <c r="IC146" s="370">
        <f t="shared" si="2368"/>
        <v>9.7039999999999988</v>
      </c>
      <c r="IE146" s="379">
        <f>SUM(IE100:IE101)</f>
        <v>4000</v>
      </c>
      <c r="IF146" s="369">
        <f>SUM(IF100:IF101)</f>
        <v>40.919999999999995</v>
      </c>
      <c r="IG146" s="371">
        <f>SUM(IG100:IG101)</f>
        <v>10</v>
      </c>
      <c r="IH146" s="369">
        <f t="shared" si="2369"/>
        <v>97.751710654936474</v>
      </c>
      <c r="II146" s="370">
        <f t="shared" si="2370"/>
        <v>4.0919999999999996</v>
      </c>
      <c r="IK146" s="379">
        <f>SUM(IK100:IK101)</f>
        <v>2800</v>
      </c>
      <c r="IL146" s="369">
        <f>SUM(IL100:IL101)</f>
        <v>32.599999999999994</v>
      </c>
      <c r="IM146" s="371">
        <f>SUM(IM100:IM101)</f>
        <v>8</v>
      </c>
      <c r="IN146" s="369">
        <f t="shared" si="2371"/>
        <v>85.889570552147248</v>
      </c>
      <c r="IO146" s="370">
        <f t="shared" si="2372"/>
        <v>4.0749999999999993</v>
      </c>
      <c r="IQ146" s="379">
        <f>SUM(IQ100:IQ101)</f>
        <v>5500</v>
      </c>
      <c r="IR146" s="369">
        <f>SUM(IR100:IR101)</f>
        <v>65.64</v>
      </c>
      <c r="IS146" s="371">
        <f>SUM(IS100:IS101)</f>
        <v>10</v>
      </c>
      <c r="IT146" s="369">
        <f t="shared" si="2373"/>
        <v>83.790371724558199</v>
      </c>
      <c r="IU146" s="370">
        <f t="shared" si="2374"/>
        <v>6.5640000000000001</v>
      </c>
      <c r="IW146" s="379">
        <f>SUM(IW100:IW101)</f>
        <v>4200</v>
      </c>
      <c r="IX146" s="369">
        <f>SUM(IX100:IX101)</f>
        <v>42.75</v>
      </c>
      <c r="IY146" s="371">
        <f>SUM(IY100:IY101)</f>
        <v>7</v>
      </c>
      <c r="IZ146" s="369">
        <f t="shared" si="2375"/>
        <v>98.245614035087726</v>
      </c>
      <c r="JA146" s="370">
        <f t="shared" si="2376"/>
        <v>6.1071428571428568</v>
      </c>
      <c r="JC146" s="379">
        <f>SUM(JC100:JC101)</f>
        <v>5600</v>
      </c>
      <c r="JD146" s="369">
        <f>SUM(JD100:JD101)</f>
        <v>50.59</v>
      </c>
      <c r="JE146" s="371">
        <f>SUM(JE100:JE101)</f>
        <v>10</v>
      </c>
      <c r="JF146" s="369">
        <f t="shared" si="2377"/>
        <v>110.69381300652302</v>
      </c>
      <c r="JG146" s="370">
        <f t="shared" si="2378"/>
        <v>5.0590000000000002</v>
      </c>
      <c r="JI146" s="379">
        <f>SUM(JI100:JI101)</f>
        <v>5100</v>
      </c>
      <c r="JJ146" s="369">
        <f>SUM(JJ100:JJ101)</f>
        <v>47.82</v>
      </c>
      <c r="JK146" s="371">
        <f>SUM(JK100:JK101)</f>
        <v>10</v>
      </c>
      <c r="JL146" s="369">
        <f t="shared" si="2379"/>
        <v>106.64993726474279</v>
      </c>
      <c r="JM146" s="370">
        <f t="shared" si="2380"/>
        <v>4.782</v>
      </c>
      <c r="JO146" s="379">
        <f>SUM(JO100:JO101)</f>
        <v>4000</v>
      </c>
      <c r="JP146" s="369">
        <f>SUM(JP100:JP101)</f>
        <v>46.809999999999995</v>
      </c>
      <c r="JQ146" s="371">
        <f>SUM(JQ100:JQ101)</f>
        <v>10</v>
      </c>
      <c r="JR146" s="369">
        <f t="shared" si="2381"/>
        <v>85.451826532792154</v>
      </c>
      <c r="JS146" s="370">
        <f t="shared" si="2382"/>
        <v>4.6809999999999992</v>
      </c>
      <c r="JU146" s="755">
        <f>SUM(JU100:JU101)</f>
        <v>4000</v>
      </c>
      <c r="JV146" s="369">
        <f>SUM(JV100:JV101)</f>
        <v>49.72</v>
      </c>
      <c r="JW146" s="384">
        <f>SUM(JW100:JW101)</f>
        <v>10</v>
      </c>
      <c r="JX146" s="369">
        <f t="shared" si="2383"/>
        <v>80.450522928399039</v>
      </c>
      <c r="JY146" s="370">
        <f t="shared" si="2384"/>
        <v>4.9719999999999995</v>
      </c>
      <c r="KA146" s="755">
        <f>SUM(KA100:KA101)</f>
        <v>2300</v>
      </c>
      <c r="KB146" s="369">
        <f>SUM(KB100:KB101)</f>
        <v>35.450000000000003</v>
      </c>
      <c r="KC146" s="384">
        <f>SUM(KC100:KC101)</f>
        <v>5</v>
      </c>
      <c r="KD146" s="369">
        <f t="shared" si="2385"/>
        <v>64.880112834978831</v>
      </c>
      <c r="KE146" s="370">
        <f t="shared" si="2386"/>
        <v>7.0900000000000007</v>
      </c>
      <c r="KG146" s="755">
        <f>SUM(KG100:KG101)</f>
        <v>2700</v>
      </c>
      <c r="KH146" s="369">
        <f>SUM(KH100:KH101)</f>
        <v>37.049999999999997</v>
      </c>
      <c r="KI146" s="384">
        <f>SUM(KI100:KI101)</f>
        <v>5</v>
      </c>
      <c r="KJ146" s="369">
        <f t="shared" si="2387"/>
        <v>72.874493927125513</v>
      </c>
      <c r="KK146" s="370">
        <f t="shared" si="2388"/>
        <v>7.4099999999999993</v>
      </c>
      <c r="KM146" s="755">
        <f>SUM(KM100:KM101)</f>
        <v>0</v>
      </c>
      <c r="KN146" s="369">
        <f>SUM(KN100:KN101)</f>
        <v>0</v>
      </c>
      <c r="KO146" s="384">
        <f>SUM(KO100:KO101)</f>
        <v>0</v>
      </c>
      <c r="KP146" s="369" t="e">
        <f t="shared" si="2389"/>
        <v>#DIV/0!</v>
      </c>
      <c r="KQ146" s="370" t="e">
        <f t="shared" si="2390"/>
        <v>#DIV/0!</v>
      </c>
      <c r="KS146" s="755">
        <f>SUM(KS100:KS101)</f>
        <v>3300</v>
      </c>
      <c r="KT146" s="369">
        <f>SUM(KT100:KT101)</f>
        <v>45</v>
      </c>
      <c r="KU146" s="384">
        <f>SUM(KU100:KU101)</f>
        <v>9</v>
      </c>
      <c r="KV146" s="369">
        <f t="shared" si="2391"/>
        <v>73.333333333333329</v>
      </c>
      <c r="KW146" s="370">
        <f t="shared" si="2392"/>
        <v>5</v>
      </c>
      <c r="KY146" s="755">
        <f>SUM(KY100:KY101)</f>
        <v>0</v>
      </c>
      <c r="KZ146" s="369">
        <f>SUM(KZ100:KZ101)</f>
        <v>0</v>
      </c>
      <c r="LA146" s="384">
        <f>SUM(LA100:LA101)</f>
        <v>0</v>
      </c>
      <c r="LB146" s="369" t="e">
        <f t="shared" si="2393"/>
        <v>#DIV/0!</v>
      </c>
      <c r="LC146" s="370" t="e">
        <f t="shared" si="2394"/>
        <v>#DIV/0!</v>
      </c>
      <c r="LE146" s="755">
        <f>SUM(LE100:LE101)</f>
        <v>2900</v>
      </c>
      <c r="LF146" s="369">
        <f>SUM(LF100:LF101)</f>
        <v>35.840000000000003</v>
      </c>
      <c r="LG146" s="384">
        <f>SUM(LG100:LG101)</f>
        <v>5</v>
      </c>
      <c r="LH146" s="369">
        <f t="shared" si="2395"/>
        <v>80.915178571428569</v>
      </c>
      <c r="LI146" s="370">
        <f t="shared" si="2396"/>
        <v>7.168000000000001</v>
      </c>
      <c r="LK146" s="755">
        <f>SUM(LK100:LK101)</f>
        <v>2000</v>
      </c>
      <c r="LL146" s="369">
        <f>SUM(LL100:LL101)</f>
        <v>28.77</v>
      </c>
      <c r="LM146" s="384">
        <f>SUM(LM100:LM101)</f>
        <v>4</v>
      </c>
      <c r="LN146" s="369">
        <f t="shared" si="2397"/>
        <v>69.516857838025729</v>
      </c>
      <c r="LO146" s="370">
        <f t="shared" si="2398"/>
        <v>7.1924999999999999</v>
      </c>
      <c r="LQ146" s="755">
        <f>SUM(LQ100:LQ101)</f>
        <v>0</v>
      </c>
      <c r="LR146" s="369">
        <f>SUM(LR100:LR101)</f>
        <v>0</v>
      </c>
      <c r="LS146" s="384">
        <f>SUM(LS100:LS101)</f>
        <v>0</v>
      </c>
      <c r="LT146" s="369" t="e">
        <f t="shared" si="2399"/>
        <v>#DIV/0!</v>
      </c>
      <c r="LU146" s="370" t="e">
        <f t="shared" si="2400"/>
        <v>#DIV/0!</v>
      </c>
      <c r="LW146" s="755">
        <f>SUM(LW100:LW101)</f>
        <v>3000</v>
      </c>
      <c r="LX146" s="369">
        <f>SUM(LX100:LX101)</f>
        <v>32.130000000000003</v>
      </c>
      <c r="LY146" s="384">
        <f>SUM(LY100:LY101)</f>
        <v>5</v>
      </c>
      <c r="LZ146" s="369">
        <f t="shared" si="2401"/>
        <v>93.370681605975719</v>
      </c>
      <c r="MA146" s="370">
        <f t="shared" si="2402"/>
        <v>6.4260000000000002</v>
      </c>
      <c r="MC146" s="755">
        <f>SUM(MC100:MC101)</f>
        <v>6000</v>
      </c>
      <c r="MD146" s="369">
        <f>SUM(MD100:MD101)</f>
        <v>80.88</v>
      </c>
      <c r="ME146" s="384">
        <f>SUM(ME100:ME101)</f>
        <v>10</v>
      </c>
      <c r="MF146" s="369">
        <f t="shared" si="2403"/>
        <v>74.183976261127597</v>
      </c>
      <c r="MG146" s="370">
        <f t="shared" si="2404"/>
        <v>8.0879999999999992</v>
      </c>
      <c r="MI146" s="755">
        <f>SUM(MI100:MI101)</f>
        <v>2500</v>
      </c>
      <c r="MJ146" s="369">
        <f>SUM(MJ100:MJ101)</f>
        <v>31.130000000000003</v>
      </c>
      <c r="MK146" s="384">
        <f>SUM(MK100:MK101)</f>
        <v>5</v>
      </c>
      <c r="ML146" s="369">
        <f t="shared" si="2405"/>
        <v>80.308384195309984</v>
      </c>
      <c r="MM146" s="370">
        <f t="shared" si="2406"/>
        <v>6.2260000000000009</v>
      </c>
      <c r="MO146" s="755">
        <f>SUM(MO100:MO101)</f>
        <v>0</v>
      </c>
      <c r="MP146" s="369">
        <f>SUM(MP100:MP101)</f>
        <v>0</v>
      </c>
      <c r="MQ146" s="384">
        <f>SUM(MQ100:MQ101)</f>
        <v>0</v>
      </c>
      <c r="MR146" s="369" t="e">
        <f t="shared" si="2407"/>
        <v>#DIV/0!</v>
      </c>
      <c r="MS146" s="370" t="e">
        <f t="shared" si="2408"/>
        <v>#DIV/0!</v>
      </c>
      <c r="MU146" s="755">
        <f>SUM(MU100:MU101)</f>
        <v>0</v>
      </c>
      <c r="MV146" s="369">
        <f>SUM(MV100:MV101)</f>
        <v>0</v>
      </c>
      <c r="MW146" s="384">
        <f>SUM(MW100:MW101)</f>
        <v>0</v>
      </c>
      <c r="MX146" s="369" t="e">
        <f t="shared" si="2409"/>
        <v>#DIV/0!</v>
      </c>
      <c r="MY146" s="370" t="e">
        <f t="shared" si="2410"/>
        <v>#DIV/0!</v>
      </c>
      <c r="NA146" s="755">
        <f>SUM(NA100:NA101)</f>
        <v>3500</v>
      </c>
      <c r="NB146" s="384">
        <f>SUM(NB100:NB101)</f>
        <v>45.34</v>
      </c>
      <c r="NC146" s="384">
        <f>SUM(NC100:NC101)</f>
        <v>10</v>
      </c>
      <c r="ND146" s="369">
        <f t="shared" si="2411"/>
        <v>77.194530216144685</v>
      </c>
      <c r="NE146" s="370">
        <f t="shared" si="2412"/>
        <v>4.5340000000000007</v>
      </c>
      <c r="NG146" s="755">
        <f>SUM(NG100:NG101)</f>
        <v>2500</v>
      </c>
      <c r="NH146" s="369">
        <f>SUM(NH100:NH101)</f>
        <v>29.24</v>
      </c>
      <c r="NI146" s="384">
        <f>SUM(NI100:NI101)</f>
        <v>5</v>
      </c>
      <c r="NJ146" s="369">
        <f t="shared" si="2413"/>
        <v>85.499316005471954</v>
      </c>
      <c r="NK146" s="370">
        <f t="shared" si="2414"/>
        <v>5.8479999999999999</v>
      </c>
      <c r="NM146" s="755">
        <f>SUM(NM100:NM101)</f>
        <v>2800</v>
      </c>
      <c r="NN146" s="369">
        <f>SUM(NN100:NN101)</f>
        <v>34.39</v>
      </c>
      <c r="NO146" s="384">
        <f>SUM(NO100:NO101)</f>
        <v>5</v>
      </c>
      <c r="NP146" s="369">
        <f t="shared" si="2415"/>
        <v>81.419017156150048</v>
      </c>
      <c r="NQ146" s="370">
        <f t="shared" si="2416"/>
        <v>6.8780000000000001</v>
      </c>
      <c r="NS146" s="755">
        <f>SUM(NS100:NS101)</f>
        <v>5500</v>
      </c>
      <c r="NT146" s="369">
        <f>SUM(NT100:NT101)</f>
        <v>60.2</v>
      </c>
      <c r="NU146" s="384">
        <f>SUM(NU100:NU101)</f>
        <v>10</v>
      </c>
      <c r="NV146" s="369">
        <f t="shared" si="2417"/>
        <v>91.362126245847165</v>
      </c>
      <c r="NW146" s="370">
        <f t="shared" si="2418"/>
        <v>6.0200000000000005</v>
      </c>
      <c r="NY146" s="755">
        <f>SUM(NY100:NY101)</f>
        <v>0</v>
      </c>
      <c r="NZ146" s="369">
        <f>SUM(NZ100:NZ101)</f>
        <v>0</v>
      </c>
      <c r="OA146" s="384">
        <f>SUM(OA100:OA101)</f>
        <v>0</v>
      </c>
      <c r="OB146" s="369" t="e">
        <f t="shared" si="2419"/>
        <v>#DIV/0!</v>
      </c>
      <c r="OC146" s="370" t="e">
        <f t="shared" si="2420"/>
        <v>#DIV/0!</v>
      </c>
      <c r="OE146" s="755">
        <f>SUM(OE100:OE101)</f>
        <v>2500</v>
      </c>
      <c r="OF146" s="369">
        <f>SUM(OF100:OF101)</f>
        <v>40.729999999999997</v>
      </c>
      <c r="OG146" s="384">
        <f>SUM(OG100:OG101)</f>
        <v>5</v>
      </c>
      <c r="OH146" s="369">
        <f t="shared" si="2421"/>
        <v>61.379818315737793</v>
      </c>
      <c r="OI146" s="370">
        <f t="shared" si="2422"/>
        <v>8.145999999999999</v>
      </c>
    </row>
    <row r="147" spans="1:399" ht="15" thickBot="1">
      <c r="A147" s="55"/>
      <c r="B147" s="56" t="s">
        <v>22</v>
      </c>
      <c r="C147" s="57"/>
      <c r="D147" s="58" t="s">
        <v>20</v>
      </c>
      <c r="E147" s="79">
        <f>SUM(E102:E103)</f>
        <v>400</v>
      </c>
      <c r="F147" s="82">
        <f>SUM(F102:F103)</f>
        <v>3.55</v>
      </c>
      <c r="G147" s="371">
        <f>SUM(G102:G103)</f>
        <v>1</v>
      </c>
      <c r="H147" s="361">
        <f>E147/F147</f>
        <v>112.67605633802818</v>
      </c>
      <c r="I147" s="362">
        <f>F147/G147</f>
        <v>3.55</v>
      </c>
      <c r="J147" s="589"/>
      <c r="K147" s="79">
        <f>SUM(K102:K103)</f>
        <v>0</v>
      </c>
      <c r="L147" s="82">
        <f>SUM(L102:L103)</f>
        <v>0</v>
      </c>
      <c r="M147" s="371">
        <f>SUM(M102:M103)</f>
        <v>0</v>
      </c>
      <c r="N147" s="361" t="e">
        <f>K147/L147</f>
        <v>#DIV/0!</v>
      </c>
      <c r="O147" s="362" t="e">
        <f>L147/M147</f>
        <v>#DIV/0!</v>
      </c>
      <c r="P147" s="589"/>
      <c r="Q147" s="79">
        <f>SUM(Q102:Q103)</f>
        <v>13150</v>
      </c>
      <c r="R147" s="82">
        <f>SUM(R102:R103)</f>
        <v>57.55</v>
      </c>
      <c r="S147" s="371">
        <f>SUM(S102:S103)</f>
        <v>10</v>
      </c>
      <c r="T147" s="361">
        <f>Q147/R147</f>
        <v>228.49695916594268</v>
      </c>
      <c r="U147" s="362">
        <f>R147/S147</f>
        <v>5.7549999999999999</v>
      </c>
      <c r="V147" s="589"/>
      <c r="W147" s="79">
        <f>SUM(W102:W103)</f>
        <v>0</v>
      </c>
      <c r="X147" s="82">
        <f>SUM(X102:X103)</f>
        <v>0</v>
      </c>
      <c r="Y147" s="371">
        <f>SUM(Y102:Y103)</f>
        <v>0</v>
      </c>
      <c r="Z147" s="361" t="e">
        <f>W147/X147</f>
        <v>#DIV/0!</v>
      </c>
      <c r="AA147" s="362" t="e">
        <f>X147/Y147</f>
        <v>#DIV/0!</v>
      </c>
      <c r="AB147" s="589"/>
      <c r="AC147" s="79">
        <f>SUM(AC102:AC103)</f>
        <v>4000</v>
      </c>
      <c r="AD147" s="82">
        <f>SUM(AD102:AD103)</f>
        <v>13.5</v>
      </c>
      <c r="AE147" s="371">
        <f>SUM(AE102:AE103)</f>
        <v>5</v>
      </c>
      <c r="AF147" s="361">
        <f>AC147/AD147</f>
        <v>296.2962962962963</v>
      </c>
      <c r="AG147" s="362">
        <f>AD147/AE147</f>
        <v>2.7</v>
      </c>
      <c r="AH147" s="589"/>
      <c r="AI147" s="79">
        <f>SUM(AI102:AI103)</f>
        <v>2600</v>
      </c>
      <c r="AJ147" s="82">
        <f>SUM(AJ102:AJ103)</f>
        <v>10.98</v>
      </c>
      <c r="AK147" s="371">
        <f>SUM(AK102:AK103)</f>
        <v>5</v>
      </c>
      <c r="AL147" s="361">
        <f>AI147/AJ147</f>
        <v>236.79417122040073</v>
      </c>
      <c r="AM147" s="362">
        <f>AJ147/AK147</f>
        <v>2.1960000000000002</v>
      </c>
      <c r="AN147" s="589"/>
      <c r="AO147" s="79">
        <f>SUM(AO102:AO103)</f>
        <v>0</v>
      </c>
      <c r="AP147" s="82">
        <f>SUM(AP102:AP103)</f>
        <v>0</v>
      </c>
      <c r="AQ147" s="371">
        <f>SUM(AQ102:AQ103)</f>
        <v>0</v>
      </c>
      <c r="AR147" s="361" t="e">
        <f>AO147/AP147</f>
        <v>#DIV/0!</v>
      </c>
      <c r="AS147" s="362" t="e">
        <f>AP147/AQ147</f>
        <v>#DIV/0!</v>
      </c>
      <c r="AT147" s="589"/>
      <c r="AU147" s="79">
        <f>SUM(AU102:AU103)</f>
        <v>5100</v>
      </c>
      <c r="AV147" s="82">
        <f>SUM(AV102:AV103)</f>
        <v>15.530000000000001</v>
      </c>
      <c r="AW147" s="371">
        <f>SUM(AW102:AW103)</f>
        <v>5</v>
      </c>
      <c r="AX147" s="361">
        <f>AU147/AV147</f>
        <v>328.39665164198323</v>
      </c>
      <c r="AY147" s="362">
        <f>AV147/AW147</f>
        <v>3.1060000000000003</v>
      </c>
      <c r="AZ147" s="362"/>
      <c r="BA147" s="79">
        <f>SUM(BA102:BA103)</f>
        <v>3700</v>
      </c>
      <c r="BB147" s="82">
        <f>SUM(BB102:BB103)</f>
        <v>13.760000000000002</v>
      </c>
      <c r="BC147" s="371">
        <f>SUM(BC102:BC103)</f>
        <v>5</v>
      </c>
      <c r="BD147" s="361">
        <f>BA147/BB147</f>
        <v>268.89534883720927</v>
      </c>
      <c r="BE147" s="362">
        <f>BB147/BC147</f>
        <v>2.7520000000000002</v>
      </c>
      <c r="BF147" s="362"/>
      <c r="BG147" s="79">
        <f>SUM(BG102:BG103)</f>
        <v>0</v>
      </c>
      <c r="BH147" s="82">
        <f>SUM(BH102:BH103)</f>
        <v>0</v>
      </c>
      <c r="BI147" s="371">
        <f>SUM(BI102:BI103)</f>
        <v>0</v>
      </c>
      <c r="BJ147" s="361" t="e">
        <f>BG147/BH147</f>
        <v>#DIV/0!</v>
      </c>
      <c r="BK147" s="362" t="e">
        <f>BH147/BI147</f>
        <v>#DIV/0!</v>
      </c>
      <c r="BL147" s="362"/>
      <c r="BM147" s="79">
        <f>SUM(BM102:BM103)</f>
        <v>0</v>
      </c>
      <c r="BN147" s="82">
        <f>SUM(BN102:BN103)</f>
        <v>0</v>
      </c>
      <c r="BO147" s="371">
        <f>SUM(BO102:BO103)</f>
        <v>0</v>
      </c>
      <c r="BP147" s="361" t="e">
        <f>BM147/BN147</f>
        <v>#DIV/0!</v>
      </c>
      <c r="BQ147" s="362" t="e">
        <f>BN147/BO147</f>
        <v>#DIV/0!</v>
      </c>
      <c r="BR147" s="589"/>
      <c r="BS147" s="79">
        <f>SUM(BS102:BS103)</f>
        <v>0</v>
      </c>
      <c r="BT147" s="82">
        <f>SUM(BT102:BT103)</f>
        <v>0</v>
      </c>
      <c r="BU147" s="371">
        <f>SUM(BU102:BU103)</f>
        <v>0</v>
      </c>
      <c r="BV147" s="361" t="e">
        <f>BS147/BT147</f>
        <v>#DIV/0!</v>
      </c>
      <c r="BW147" s="362" t="e">
        <f>BT147/BU147</f>
        <v>#DIV/0!</v>
      </c>
      <c r="BX147" s="362"/>
      <c r="BY147" s="79">
        <f>SUM(BY102:BY103)</f>
        <v>0</v>
      </c>
      <c r="BZ147" s="82">
        <f>SUM(BZ102:BZ103)</f>
        <v>0</v>
      </c>
      <c r="CA147" s="371">
        <f>SUM(CA102:CA103)</f>
        <v>0</v>
      </c>
      <c r="CB147" s="361" t="e">
        <f>BY147/BZ147</f>
        <v>#DIV/0!</v>
      </c>
      <c r="CC147" s="362" t="e">
        <f>BZ147/CA147</f>
        <v>#DIV/0!</v>
      </c>
      <c r="CD147" s="362"/>
      <c r="CE147" s="79">
        <f>SUM(CE102:CE103)</f>
        <v>0</v>
      </c>
      <c r="CF147" s="82">
        <f>SUM(CF102:CF103)</f>
        <v>0</v>
      </c>
      <c r="CG147" s="371">
        <f>SUM(CG102:CG103)</f>
        <v>0</v>
      </c>
      <c r="CH147" s="361" t="e">
        <f>CE147/CF147</f>
        <v>#DIV/0!</v>
      </c>
      <c r="CI147" s="362" t="e">
        <f>CF147/CG147</f>
        <v>#DIV/0!</v>
      </c>
      <c r="CJ147" s="362"/>
      <c r="CK147" s="79">
        <f>SUM(CK102:CK103)</f>
        <v>4000</v>
      </c>
      <c r="CL147" s="82">
        <f>SUM(CL102:CL103)</f>
        <v>18.03</v>
      </c>
      <c r="CM147" s="371">
        <f>SUM(CM102:CM103)</f>
        <v>5</v>
      </c>
      <c r="CN147" s="361">
        <f>CK147/CL147</f>
        <v>221.85246810870768</v>
      </c>
      <c r="CO147" s="362">
        <f>CL147/CM147</f>
        <v>3.6060000000000003</v>
      </c>
      <c r="CP147" s="362"/>
      <c r="CQ147" s="79">
        <f>SUM(CQ102:CQ103)</f>
        <v>3800</v>
      </c>
      <c r="CR147" s="82">
        <f>SUM(CR102:CR103)</f>
        <v>20.66</v>
      </c>
      <c r="CS147" s="371">
        <f>SUM(CS102:CS103)</f>
        <v>6</v>
      </c>
      <c r="CT147" s="361">
        <f>CQ147/CR147</f>
        <v>183.93030009680541</v>
      </c>
      <c r="CU147" s="362">
        <f>CR147/CS147</f>
        <v>3.4433333333333334</v>
      </c>
      <c r="CV147" s="362"/>
      <c r="CW147" s="79">
        <f>SUM(CW102:CW103)</f>
        <v>0</v>
      </c>
      <c r="CX147" s="82">
        <f>SUM(CX102:CX103)</f>
        <v>0</v>
      </c>
      <c r="CY147" s="371">
        <f>SUM(CY102:CY103)</f>
        <v>0</v>
      </c>
      <c r="CZ147" s="361" t="e">
        <f>CW147/CX147</f>
        <v>#DIV/0!</v>
      </c>
      <c r="DA147" s="362" t="e">
        <f>CX147/CY147</f>
        <v>#DIV/0!</v>
      </c>
      <c r="DB147" s="362"/>
      <c r="DC147" s="79">
        <f>SUM(DC102:DC103)</f>
        <v>8600</v>
      </c>
      <c r="DD147" s="82">
        <f>SUM(DD102:DD103)</f>
        <v>50.35</v>
      </c>
      <c r="DE147" s="371">
        <f>SUM(DE102:DE103)</f>
        <v>10</v>
      </c>
      <c r="DF147" s="361">
        <f>DC147/DD147</f>
        <v>170.80436941410127</v>
      </c>
      <c r="DG147" s="362">
        <f>DD147/DE147</f>
        <v>5.0350000000000001</v>
      </c>
      <c r="DH147" s="362"/>
      <c r="DI147" s="79">
        <f>SUM(DI102:DI103)</f>
        <v>4000</v>
      </c>
      <c r="DJ147" s="82">
        <f>SUM(DJ102:DJ103)</f>
        <v>13.5</v>
      </c>
      <c r="DK147" s="371">
        <f>SUM(DK102:DK103)</f>
        <v>5</v>
      </c>
      <c r="DL147" s="361">
        <f>DI147/DJ147</f>
        <v>296.2962962962963</v>
      </c>
      <c r="DM147" s="362">
        <f>DJ147/DK147</f>
        <v>2.7</v>
      </c>
      <c r="DN147" s="362"/>
      <c r="DO147" s="79">
        <f>SUM(DO102:DO103)</f>
        <v>12600</v>
      </c>
      <c r="DP147" s="82">
        <f>SUM(DP102:DP103)</f>
        <v>44.58</v>
      </c>
      <c r="DQ147" s="371">
        <f>SUM(DQ102:DQ103)</f>
        <v>10</v>
      </c>
      <c r="DR147" s="361">
        <f>DO147/DP147</f>
        <v>282.6379542395693</v>
      </c>
      <c r="DS147" s="362">
        <f>DP147/DQ147</f>
        <v>4.4580000000000002</v>
      </c>
      <c r="DT147" s="362"/>
      <c r="DU147" s="79">
        <f>SUM(DU102:DU103)</f>
        <v>0</v>
      </c>
      <c r="DV147" s="82">
        <f>SUM(DV102:DV103)</f>
        <v>0</v>
      </c>
      <c r="DW147" s="371">
        <f>SUM(DW102:DW103)</f>
        <v>0</v>
      </c>
      <c r="DX147" s="361" t="e">
        <f>DU147/DV147</f>
        <v>#DIV/0!</v>
      </c>
      <c r="DY147" s="362" t="e">
        <f>DV147/DW147</f>
        <v>#DIV/0!</v>
      </c>
      <c r="DZ147" s="362"/>
      <c r="EA147" s="79">
        <f>SUM(EA102:EA103)</f>
        <v>0</v>
      </c>
      <c r="EB147" s="82">
        <f>SUM(EB102:EB103)</f>
        <v>0</v>
      </c>
      <c r="EC147" s="371">
        <f>SUM(EC102:EC103)</f>
        <v>0</v>
      </c>
      <c r="ED147" s="361" t="e">
        <f>EA147/EB147</f>
        <v>#DIV/0!</v>
      </c>
      <c r="EE147" s="362" t="e">
        <f>EB147/EC147</f>
        <v>#DIV/0!</v>
      </c>
      <c r="EF147" s="362"/>
      <c r="EG147" s="79">
        <f>SUM(EG102:EG103)</f>
        <v>0</v>
      </c>
      <c r="EH147" s="82">
        <f>SUM(EH102:EH103)</f>
        <v>0</v>
      </c>
      <c r="EI147" s="371">
        <f>SUM(EI102:EI103)</f>
        <v>0</v>
      </c>
      <c r="EJ147" s="361" t="e">
        <f>EG147/EH147</f>
        <v>#DIV/0!</v>
      </c>
      <c r="EK147" s="362" t="e">
        <f>EH147/EI147</f>
        <v>#DIV/0!</v>
      </c>
      <c r="EL147" s="362"/>
      <c r="EM147" s="79">
        <f>SUM(EM102:EM103)</f>
        <v>0</v>
      </c>
      <c r="EN147" s="82">
        <f>SUM(EN102:EN103)</f>
        <v>0</v>
      </c>
      <c r="EO147" s="371">
        <f>SUM(EO102:EO103)</f>
        <v>0</v>
      </c>
      <c r="EP147" s="361" t="e">
        <f>EM147/EN147</f>
        <v>#DIV/0!</v>
      </c>
      <c r="EQ147" s="362" t="e">
        <f>EN147/EO147</f>
        <v>#DIV/0!</v>
      </c>
      <c r="ER147" s="589"/>
      <c r="ES147" s="79">
        <f>SUM(ES102:ES103)</f>
        <v>0</v>
      </c>
      <c r="ET147" s="82">
        <f>SUM(ET102:ET103)</f>
        <v>0</v>
      </c>
      <c r="EU147" s="371">
        <f>SUM(EU102:EU103)</f>
        <v>0</v>
      </c>
      <c r="EV147" s="361" t="e">
        <f>ES147/ET147</f>
        <v>#DIV/0!</v>
      </c>
      <c r="EW147" s="362" t="e">
        <f>ET147/EU147</f>
        <v>#DIV/0!</v>
      </c>
      <c r="EY147" s="91">
        <f>SUM(EY102:EY103)</f>
        <v>3500</v>
      </c>
      <c r="EZ147" s="82">
        <f>SUM(EZ102:EZ103)</f>
        <v>10.979999999999999</v>
      </c>
      <c r="FA147" s="371">
        <f>SUM(FA102:FA103)</f>
        <v>5</v>
      </c>
      <c r="FB147" s="369">
        <f t="shared" si="2423"/>
        <v>318.76138433515484</v>
      </c>
      <c r="FC147" s="370">
        <f t="shared" si="2424"/>
        <v>2.1959999999999997</v>
      </c>
      <c r="FD147" s="178"/>
      <c r="FE147" s="379">
        <f>SUM(FE102:FE103)</f>
        <v>13150</v>
      </c>
      <c r="FF147" s="369">
        <f>SUM(FF102:FF103)</f>
        <v>57.55</v>
      </c>
      <c r="FG147" s="371">
        <f>SUM(FG102:FG103)</f>
        <v>10</v>
      </c>
      <c r="FH147" s="369">
        <f t="shared" si="2345"/>
        <v>228.49695916594268</v>
      </c>
      <c r="FI147" s="370">
        <f t="shared" si="2346"/>
        <v>5.7549999999999999</v>
      </c>
      <c r="FK147" s="91">
        <f>SUM(FK102:FK103)</f>
        <v>11200</v>
      </c>
      <c r="FL147" s="369">
        <f>SUM(FL102:FL103)</f>
        <v>62.79</v>
      </c>
      <c r="FM147" s="371">
        <f>SUM(FM102:FM103)</f>
        <v>10</v>
      </c>
      <c r="FN147" s="369">
        <f t="shared" si="2347"/>
        <v>178.37235228539578</v>
      </c>
      <c r="FO147" s="370">
        <f t="shared" si="2348"/>
        <v>6.2789999999999999</v>
      </c>
      <c r="FQ147" s="91">
        <f>SUM(FQ102:FQ103)</f>
        <v>7900</v>
      </c>
      <c r="FR147" s="369">
        <f>SUM(FR102:FR103)</f>
        <v>51.540000000000006</v>
      </c>
      <c r="FS147" s="371">
        <f>SUM(FS102:FS103)</f>
        <v>10</v>
      </c>
      <c r="FT147" s="369">
        <f t="shared" si="2349"/>
        <v>153.27900659681799</v>
      </c>
      <c r="FU147" s="370">
        <f t="shared" si="2350"/>
        <v>5.1540000000000008</v>
      </c>
      <c r="FV147" s="178"/>
      <c r="FW147" s="91">
        <f>SUM(FW102:FW103)</f>
        <v>8600</v>
      </c>
      <c r="FX147" s="369">
        <f>SUM(FX102:FX103)</f>
        <v>50.35</v>
      </c>
      <c r="FY147" s="371">
        <f>SUM(FY102:FY103)</f>
        <v>10</v>
      </c>
      <c r="FZ147" s="369">
        <f t="shared" si="2351"/>
        <v>170.80436941410127</v>
      </c>
      <c r="GA147" s="370">
        <f t="shared" si="2352"/>
        <v>5.0350000000000001</v>
      </c>
      <c r="GC147" s="379">
        <f>SUM(GC102:GC103)</f>
        <v>14350</v>
      </c>
      <c r="GD147" s="369">
        <f>SUM(GD102:GD103)</f>
        <v>64.820000000000007</v>
      </c>
      <c r="GE147" s="371">
        <f>SUM(GE102:GE103)</f>
        <v>10</v>
      </c>
      <c r="GF147" s="369">
        <f t="shared" si="2353"/>
        <v>221.38228941684662</v>
      </c>
      <c r="GG147" s="370">
        <f t="shared" si="2354"/>
        <v>6.4820000000000011</v>
      </c>
      <c r="GI147" s="379">
        <f>SUM(GI102:GI103)</f>
        <v>16400</v>
      </c>
      <c r="GJ147" s="369">
        <f>SUM(GJ102:GJ103)</f>
        <v>85.740000000000009</v>
      </c>
      <c r="GK147" s="371">
        <f>SUM(GK102:GK103)</f>
        <v>10</v>
      </c>
      <c r="GL147" s="369">
        <f t="shared" si="2355"/>
        <v>191.27595054816885</v>
      </c>
      <c r="GM147" s="370">
        <f t="shared" si="2356"/>
        <v>8.5740000000000016</v>
      </c>
      <c r="GO147" s="379">
        <f>SUM(GO102:GO103)</f>
        <v>6700</v>
      </c>
      <c r="GP147" s="369">
        <f>SUM(GP102:GP103)</f>
        <v>27.33</v>
      </c>
      <c r="GQ147" s="371">
        <f>SUM(GQ102:GQ103)</f>
        <v>7</v>
      </c>
      <c r="GR147" s="369">
        <f t="shared" si="2357"/>
        <v>245.15184778631541</v>
      </c>
      <c r="GS147" s="370">
        <f t="shared" si="2358"/>
        <v>3.9042857142857139</v>
      </c>
      <c r="GU147" s="379">
        <f>SUM(GU102:GU103)</f>
        <v>0</v>
      </c>
      <c r="GV147" s="369">
        <f>SUM(GV102:GV103)</f>
        <v>0</v>
      </c>
      <c r="GW147" s="371">
        <f>SUM(GW102:GW103)</f>
        <v>0</v>
      </c>
      <c r="GX147" s="361" t="e">
        <f>GU147/GV147</f>
        <v>#DIV/0!</v>
      </c>
      <c r="GY147" s="362" t="e">
        <f>GV147/GW147</f>
        <v>#DIV/0!</v>
      </c>
      <c r="HA147" s="91">
        <f>SUM(HA102:HA103)</f>
        <v>3500</v>
      </c>
      <c r="HB147" s="82">
        <f>SUM(HB102:HB103)</f>
        <v>15.18</v>
      </c>
      <c r="HC147" s="371">
        <f>SUM(HC102:HC103)</f>
        <v>6</v>
      </c>
      <c r="HD147" s="369">
        <f t="shared" si="2361"/>
        <v>230.566534914361</v>
      </c>
      <c r="HE147" s="370">
        <f t="shared" si="2362"/>
        <v>2.5299999999999998</v>
      </c>
      <c r="HG147" s="91">
        <f>SUM(HG102:HG103)</f>
        <v>11200</v>
      </c>
      <c r="HH147" s="82">
        <f>SUM(HH102:HH103)</f>
        <v>13.14</v>
      </c>
      <c r="HI147" s="79">
        <f>SUM(HI102:HI103)</f>
        <v>10</v>
      </c>
      <c r="HJ147" s="82">
        <f t="shared" si="2363"/>
        <v>852.35920852359209</v>
      </c>
      <c r="HK147" s="84">
        <f t="shared" si="2364"/>
        <v>1.3140000000000001</v>
      </c>
      <c r="HM147" s="91">
        <f>SUM(HM102:HM103)</f>
        <v>400</v>
      </c>
      <c r="HN147" s="82">
        <f>SUM(HN102:HN103)</f>
        <v>3.55</v>
      </c>
      <c r="HO147" s="371">
        <f>SUM(HO102:HO103)</f>
        <v>1</v>
      </c>
      <c r="HP147" s="369">
        <f t="shared" si="2365"/>
        <v>112.67605633802818</v>
      </c>
      <c r="HQ147" s="370">
        <f t="shared" si="2366"/>
        <v>3.55</v>
      </c>
      <c r="HS147" s="91">
        <f>SUM(HS102:HS103)</f>
        <v>0</v>
      </c>
      <c r="HT147" s="82">
        <f>SUM(HT102:HT103)</f>
        <v>0</v>
      </c>
      <c r="HU147" s="371">
        <f>SUM(HU102:HU103)</f>
        <v>0</v>
      </c>
      <c r="HV147" s="361" t="e">
        <f>HS147/HT147</f>
        <v>#DIV/0!</v>
      </c>
      <c r="HW147" s="362" t="e">
        <f>HT147/HU147</f>
        <v>#DIV/0!</v>
      </c>
      <c r="HX147" s="178"/>
      <c r="HY147" s="91">
        <f>SUM(HY102:HY103)</f>
        <v>10000</v>
      </c>
      <c r="HZ147" s="82">
        <f>SUM(HZ102:HZ103)</f>
        <v>40.699999999999996</v>
      </c>
      <c r="IA147" s="371">
        <f>SUM(IA102:IA103)</f>
        <v>10</v>
      </c>
      <c r="IB147" s="369">
        <f t="shared" si="2367"/>
        <v>245.70024570024572</v>
      </c>
      <c r="IC147" s="370">
        <f t="shared" si="2368"/>
        <v>4.0699999999999994</v>
      </c>
      <c r="IE147" s="91">
        <f>SUM(IE102:IE103)</f>
        <v>10300</v>
      </c>
      <c r="IF147" s="82">
        <f>SUM(IF102:IF103)</f>
        <v>50.99</v>
      </c>
      <c r="IG147" s="79">
        <f>SUM(IG102:IG103)</f>
        <v>10</v>
      </c>
      <c r="IH147" s="82">
        <f t="shared" si="2369"/>
        <v>202.00039223377132</v>
      </c>
      <c r="II147" s="84">
        <f t="shared" si="2370"/>
        <v>5.0990000000000002</v>
      </c>
      <c r="IK147" s="91">
        <f>SUM(IK102:IK103)</f>
        <v>5500</v>
      </c>
      <c r="IL147" s="82">
        <f>SUM(IL102:IL103)</f>
        <v>31.75</v>
      </c>
      <c r="IM147" s="79">
        <f>SUM(IM102:IM103)</f>
        <v>7</v>
      </c>
      <c r="IN147" s="82">
        <f t="shared" si="2371"/>
        <v>173.22834645669292</v>
      </c>
      <c r="IO147" s="84">
        <f t="shared" si="2372"/>
        <v>4.5357142857142856</v>
      </c>
      <c r="IQ147" s="91">
        <f>SUM(IQ102:IQ103)</f>
        <v>13300</v>
      </c>
      <c r="IR147" s="82">
        <f>SUM(IR102:IR103)</f>
        <v>66.210000000000008</v>
      </c>
      <c r="IS147" s="79">
        <f>SUM(IS102:IS103)</f>
        <v>10</v>
      </c>
      <c r="IT147" s="82">
        <f t="shared" si="2373"/>
        <v>200.87600060413831</v>
      </c>
      <c r="IU147" s="84">
        <f t="shared" si="2374"/>
        <v>6.6210000000000004</v>
      </c>
      <c r="IW147" s="91">
        <f>SUM(IW102:IW103)</f>
        <v>8400</v>
      </c>
      <c r="IX147" s="82">
        <f>SUM(IX102:IX103)</f>
        <v>51.7</v>
      </c>
      <c r="IY147" s="79">
        <f>SUM(IY102:IY103)</f>
        <v>9</v>
      </c>
      <c r="IZ147" s="82">
        <f t="shared" si="2375"/>
        <v>162.47582205029013</v>
      </c>
      <c r="JA147" s="84">
        <f t="shared" si="2376"/>
        <v>5.7444444444444445</v>
      </c>
      <c r="JC147" s="91">
        <f>SUM(JC102:JC103)</f>
        <v>11800</v>
      </c>
      <c r="JD147" s="82">
        <f>SUM(JD102:JD103)</f>
        <v>54.01</v>
      </c>
      <c r="JE147" s="79">
        <f>SUM(JE102:JE103)</f>
        <v>10</v>
      </c>
      <c r="JF147" s="82">
        <f t="shared" si="2377"/>
        <v>218.47805961858916</v>
      </c>
      <c r="JG147" s="84">
        <f t="shared" si="2378"/>
        <v>5.4009999999999998</v>
      </c>
      <c r="JI147" s="91">
        <f>SUM(JI102:JI103)</f>
        <v>12500</v>
      </c>
      <c r="JJ147" s="82">
        <f>SUM(JJ102:JJ103)</f>
        <v>62.76</v>
      </c>
      <c r="JK147" s="79">
        <f>SUM(JK102:JK103)</f>
        <v>10</v>
      </c>
      <c r="JL147" s="82">
        <f t="shared" si="2379"/>
        <v>199.17144678138942</v>
      </c>
      <c r="JM147" s="84">
        <f t="shared" si="2380"/>
        <v>6.2759999999999998</v>
      </c>
      <c r="JO147" s="91">
        <f>SUM(JO102:JO103)</f>
        <v>6500</v>
      </c>
      <c r="JP147" s="82">
        <f>SUM(JP102:JP103)</f>
        <v>44.86</v>
      </c>
      <c r="JQ147" s="79">
        <f>SUM(JQ102:JQ103)</f>
        <v>5</v>
      </c>
      <c r="JR147" s="82">
        <f t="shared" si="2381"/>
        <v>144.89522960321</v>
      </c>
      <c r="JS147" s="84">
        <f t="shared" si="2382"/>
        <v>8.9719999999999995</v>
      </c>
      <c r="JU147" s="383">
        <f>SUM(JU102:JU103)</f>
        <v>0</v>
      </c>
      <c r="JV147" s="82">
        <f>SUM(JV102:JV103)</f>
        <v>0</v>
      </c>
      <c r="JW147" s="748">
        <f>SUM(JW102:JW103)</f>
        <v>0</v>
      </c>
      <c r="JX147" s="369" t="e">
        <f t="shared" si="2383"/>
        <v>#DIV/0!</v>
      </c>
      <c r="JY147" s="84" t="e">
        <f>JV147/JW147</f>
        <v>#DIV/0!</v>
      </c>
      <c r="KA147" s="383">
        <f>SUM(KA102:KA103)</f>
        <v>4400</v>
      </c>
      <c r="KB147" s="82">
        <f>SUM(KB102:KB103)</f>
        <v>11.42</v>
      </c>
      <c r="KC147" s="748">
        <f>SUM(KC102:KC103)</f>
        <v>5</v>
      </c>
      <c r="KD147" s="369">
        <f t="shared" si="2385"/>
        <v>385.28896672504379</v>
      </c>
      <c r="KE147" s="84">
        <f t="shared" si="2386"/>
        <v>2.2839999999999998</v>
      </c>
      <c r="KG147" s="383">
        <f>SUM(KG102:KG103)</f>
        <v>10000</v>
      </c>
      <c r="KH147" s="82">
        <f>SUM(KH102:KH103)</f>
        <v>52.83</v>
      </c>
      <c r="KI147" s="748">
        <f>SUM(KI102:KI103)</f>
        <v>5</v>
      </c>
      <c r="KJ147" s="369">
        <f t="shared" si="2387"/>
        <v>189.28639030853682</v>
      </c>
      <c r="KK147" s="84">
        <f t="shared" si="2388"/>
        <v>10.565999999999999</v>
      </c>
      <c r="KM147" s="383">
        <f>SUM(KM102:KM103)</f>
        <v>0</v>
      </c>
      <c r="KN147" s="82">
        <f>SUM(KN102:KN103)</f>
        <v>0</v>
      </c>
      <c r="KO147" s="748">
        <f>SUM(KO102:KO103)</f>
        <v>0</v>
      </c>
      <c r="KP147" s="369" t="e">
        <f t="shared" si="2389"/>
        <v>#DIV/0!</v>
      </c>
      <c r="KQ147" s="84" t="e">
        <f t="shared" si="2390"/>
        <v>#DIV/0!</v>
      </c>
      <c r="KS147" s="383">
        <f>SUM(KS102:KS103)</f>
        <v>3500</v>
      </c>
      <c r="KT147" s="82">
        <f>SUM(KT102:KT103)</f>
        <v>20.36</v>
      </c>
      <c r="KU147" s="748">
        <f>SUM(KU102:KU103)</f>
        <v>6</v>
      </c>
      <c r="KV147" s="369">
        <f t="shared" si="2391"/>
        <v>171.90569744597249</v>
      </c>
      <c r="KW147" s="84">
        <f t="shared" si="2392"/>
        <v>3.3933333333333331</v>
      </c>
      <c r="KY147" s="383">
        <f>SUM(KY102:KY103)</f>
        <v>0</v>
      </c>
      <c r="KZ147" s="82">
        <f>SUM(KZ102:KZ103)</f>
        <v>0</v>
      </c>
      <c r="LA147" s="748">
        <f>SUM(LA102:LA103)</f>
        <v>0</v>
      </c>
      <c r="LB147" s="369" t="e">
        <f t="shared" si="2393"/>
        <v>#DIV/0!</v>
      </c>
      <c r="LC147" s="84" t="e">
        <f t="shared" si="2394"/>
        <v>#DIV/0!</v>
      </c>
      <c r="LE147" s="383">
        <f>SUM(LE102:LE103)</f>
        <v>12000</v>
      </c>
      <c r="LF147" s="82">
        <f>SUM(LF102:LF103)</f>
        <v>46.09</v>
      </c>
      <c r="LG147" s="748">
        <f>SUM(LG102:LG103)</f>
        <v>7</v>
      </c>
      <c r="LH147" s="369">
        <f t="shared" si="2395"/>
        <v>260.36016489477106</v>
      </c>
      <c r="LI147" s="84">
        <f t="shared" si="2396"/>
        <v>6.5842857142857145</v>
      </c>
      <c r="LK147" s="383">
        <f>SUM(LK102:LK103)</f>
        <v>0</v>
      </c>
      <c r="LL147" s="82">
        <f>SUM(LL102:LL103)</f>
        <v>0</v>
      </c>
      <c r="LM147" s="748">
        <f>SUM(LM102:LM103)</f>
        <v>0</v>
      </c>
      <c r="LN147" s="369" t="e">
        <f t="shared" si="2397"/>
        <v>#DIV/0!</v>
      </c>
      <c r="LO147" s="84" t="e">
        <f t="shared" si="2398"/>
        <v>#DIV/0!</v>
      </c>
      <c r="LQ147" s="383">
        <f>SUM(LQ102:LQ103)</f>
        <v>0</v>
      </c>
      <c r="LR147" s="82">
        <f>SUM(LR102:LR103)</f>
        <v>0</v>
      </c>
      <c r="LS147" s="748">
        <f>SUM(LS102:LS103)</f>
        <v>0</v>
      </c>
      <c r="LT147" s="369" t="e">
        <f t="shared" si="2399"/>
        <v>#DIV/0!</v>
      </c>
      <c r="LU147" s="84" t="e">
        <f t="shared" si="2400"/>
        <v>#DIV/0!</v>
      </c>
      <c r="LW147" s="383">
        <f>SUM(LW102:LW103)</f>
        <v>18100</v>
      </c>
      <c r="LX147" s="82">
        <f>SUM(LX102:LX103)</f>
        <v>67.81</v>
      </c>
      <c r="LY147" s="748">
        <f>SUM(LY102:LY103)</f>
        <v>10</v>
      </c>
      <c r="LZ147" s="369">
        <f t="shared" si="2401"/>
        <v>266.92228284913728</v>
      </c>
      <c r="MA147" s="84">
        <f t="shared" si="2402"/>
        <v>6.7810000000000006</v>
      </c>
      <c r="MC147" s="383">
        <f>SUM(MC102:MC103)</f>
        <v>12400</v>
      </c>
      <c r="MD147" s="82">
        <f>SUM(MD102:MD103)</f>
        <v>74.53</v>
      </c>
      <c r="ME147" s="748">
        <f>SUM(ME102:ME103)</f>
        <v>10</v>
      </c>
      <c r="MF147" s="369">
        <f t="shared" si="2403"/>
        <v>166.37595599087615</v>
      </c>
      <c r="MG147" s="84">
        <f t="shared" si="2404"/>
        <v>7.4530000000000003</v>
      </c>
      <c r="MI147" s="383">
        <f>SUM(MI102:MI103)</f>
        <v>12500</v>
      </c>
      <c r="MJ147" s="82">
        <f>SUM(MJ102:MJ103)</f>
        <v>44.22</v>
      </c>
      <c r="MK147" s="748">
        <f>SUM(MK102:MK103)</f>
        <v>8</v>
      </c>
      <c r="ML147" s="369">
        <f t="shared" si="2405"/>
        <v>282.67752148349166</v>
      </c>
      <c r="MM147" s="84">
        <f t="shared" si="2406"/>
        <v>5.5274999999999999</v>
      </c>
      <c r="MO147" s="383">
        <f>SUM(MO102:MO103)</f>
        <v>0</v>
      </c>
      <c r="MP147" s="82">
        <f>SUM(MP102:MP103)</f>
        <v>0</v>
      </c>
      <c r="MQ147" s="748">
        <f>SUM(MQ102:MQ103)</f>
        <v>0</v>
      </c>
      <c r="MR147" s="369" t="e">
        <f t="shared" si="2407"/>
        <v>#DIV/0!</v>
      </c>
      <c r="MS147" s="84" t="e">
        <f t="shared" si="2408"/>
        <v>#DIV/0!</v>
      </c>
      <c r="MU147" s="383">
        <f>SUM(MU102:MU103)</f>
        <v>0</v>
      </c>
      <c r="MV147" s="82">
        <f>SUM(MV102:MV103)</f>
        <v>0</v>
      </c>
      <c r="MW147" s="748">
        <f>SUM(MW102:MW103)</f>
        <v>0</v>
      </c>
      <c r="MX147" s="369" t="e">
        <f t="shared" si="2409"/>
        <v>#DIV/0!</v>
      </c>
      <c r="MY147" s="84" t="e">
        <f t="shared" si="2410"/>
        <v>#DIV/0!</v>
      </c>
      <c r="NA147" s="383">
        <f>SUM(NA102:NA103)</f>
        <v>12000</v>
      </c>
      <c r="NB147" s="748">
        <f>SUM(NB102:NB103)</f>
        <v>138.88</v>
      </c>
      <c r="NC147" s="748">
        <f>SUM(NC102:NC103)</f>
        <v>5</v>
      </c>
      <c r="ND147" s="369">
        <f t="shared" si="2411"/>
        <v>86.405529953917053</v>
      </c>
      <c r="NE147" s="84">
        <f t="shared" si="2412"/>
        <v>27.776</v>
      </c>
      <c r="NG147" s="383">
        <f>SUM(NG102:NG103)</f>
        <v>18600</v>
      </c>
      <c r="NH147" s="82">
        <f>SUM(NH102:NH103)</f>
        <v>92.68</v>
      </c>
      <c r="NI147" s="748">
        <f>SUM(NI102:NI103)</f>
        <v>10</v>
      </c>
      <c r="NJ147" s="369">
        <f t="shared" si="2413"/>
        <v>200.69054812257227</v>
      </c>
      <c r="NK147" s="84">
        <f t="shared" si="2414"/>
        <v>9.2680000000000007</v>
      </c>
      <c r="NM147" s="383">
        <f>SUM(NM102:NM103)</f>
        <v>8800</v>
      </c>
      <c r="NN147" s="82">
        <f>SUM(NN102:NN103)</f>
        <v>41.2</v>
      </c>
      <c r="NO147" s="748">
        <f>SUM(NO102:NO103)</f>
        <v>5</v>
      </c>
      <c r="NP147" s="369">
        <f t="shared" si="2415"/>
        <v>213.59223300970874</v>
      </c>
      <c r="NQ147" s="84">
        <f t="shared" si="2416"/>
        <v>8.24</v>
      </c>
      <c r="NS147" s="383">
        <f>SUM(NS102:NS103)</f>
        <v>5000</v>
      </c>
      <c r="NT147" s="82">
        <f>SUM(NT102:NT103)</f>
        <v>40.480000000000004</v>
      </c>
      <c r="NU147" s="748">
        <f>SUM(NU102:NU103)</f>
        <v>5</v>
      </c>
      <c r="NV147" s="369">
        <f t="shared" si="2417"/>
        <v>123.51778656126481</v>
      </c>
      <c r="NW147" s="84">
        <f t="shared" si="2418"/>
        <v>8.0960000000000001</v>
      </c>
      <c r="NY147" s="383">
        <f>SUM(NY102:NY103)</f>
        <v>9000</v>
      </c>
      <c r="NZ147" s="82">
        <f>SUM(NZ102:NZ103)</f>
        <v>69.3</v>
      </c>
      <c r="OA147" s="748">
        <f>SUM(OA102:OA103)</f>
        <v>5</v>
      </c>
      <c r="OB147" s="369">
        <f t="shared" si="2419"/>
        <v>129.87012987012989</v>
      </c>
      <c r="OC147" s="84">
        <f t="shared" si="2420"/>
        <v>13.86</v>
      </c>
      <c r="OE147" s="383">
        <f>SUM(OE102:OE103)</f>
        <v>5700</v>
      </c>
      <c r="OF147" s="82">
        <f>SUM(OF102:OF103)</f>
        <v>34.67</v>
      </c>
      <c r="OG147" s="748">
        <f>SUM(OG102:OG103)</f>
        <v>5</v>
      </c>
      <c r="OH147" s="369">
        <f t="shared" si="2421"/>
        <v>164.40726853187192</v>
      </c>
      <c r="OI147" s="84">
        <f t="shared" si="2422"/>
        <v>6.9340000000000002</v>
      </c>
    </row>
    <row r="148" spans="1:399">
      <c r="A148" s="108" t="s">
        <v>24</v>
      </c>
      <c r="B148" s="59" t="s">
        <v>25</v>
      </c>
      <c r="C148" s="60"/>
      <c r="D148" s="61" t="s">
        <v>26</v>
      </c>
      <c r="E148" s="79">
        <f>SUM(E104:E107)</f>
        <v>1700</v>
      </c>
      <c r="F148" s="82">
        <f>SUM(F104:F107)</f>
        <v>13.379999999999999</v>
      </c>
      <c r="G148" s="371">
        <f>SUM(G104:G107)</f>
        <v>5</v>
      </c>
      <c r="H148" s="369">
        <f t="shared" ref="H148:H150" si="2427">E148/F148</f>
        <v>127.05530642750375</v>
      </c>
      <c r="I148" s="370">
        <f t="shared" ref="I148:I150" si="2428">F148/G148</f>
        <v>2.6759999999999997</v>
      </c>
      <c r="J148" s="589"/>
      <c r="K148" s="79">
        <f>SUM(K104:K107)</f>
        <v>3300</v>
      </c>
      <c r="L148" s="82">
        <f>SUM(L104:L107)</f>
        <v>9.6999999999999993</v>
      </c>
      <c r="M148" s="371">
        <f>SUM(M104:M107)</f>
        <v>8</v>
      </c>
      <c r="N148" s="369">
        <f t="shared" ref="N148:N150" si="2429">K148/L148</f>
        <v>340.20618556701032</v>
      </c>
      <c r="O148" s="370">
        <f t="shared" ref="O148:O150" si="2430">L148/M148</f>
        <v>1.2124999999999999</v>
      </c>
      <c r="P148" s="589"/>
      <c r="Q148" s="79">
        <f>SUM(Q104:Q107)</f>
        <v>2300</v>
      </c>
      <c r="R148" s="82">
        <f>SUM(R104:R107)</f>
        <v>9.2999999999999989</v>
      </c>
      <c r="S148" s="371">
        <f>SUM(S104:S107)</f>
        <v>8</v>
      </c>
      <c r="T148" s="369">
        <f t="shared" ref="T148:T150" si="2431">Q148/R148</f>
        <v>247.31182795698928</v>
      </c>
      <c r="U148" s="370">
        <f t="shared" ref="U148:U150" si="2432">R148/S148</f>
        <v>1.1624999999999999</v>
      </c>
      <c r="V148" s="589"/>
      <c r="W148" s="79">
        <f>SUM(W104:W107)</f>
        <v>2000</v>
      </c>
      <c r="X148" s="82">
        <f>SUM(X104:X107)</f>
        <v>25.020000000000003</v>
      </c>
      <c r="Y148" s="371">
        <f>SUM(Y104:Y107)</f>
        <v>4</v>
      </c>
      <c r="Z148" s="369">
        <f t="shared" ref="Z148:Z150" si="2433">W148/X148</f>
        <v>79.936051159072733</v>
      </c>
      <c r="AA148" s="370">
        <f t="shared" ref="AA148:AA150" si="2434">X148/Y148</f>
        <v>6.2550000000000008</v>
      </c>
      <c r="AB148" s="589"/>
      <c r="AC148" s="79">
        <f>SUM(AC104:AC107)</f>
        <v>0</v>
      </c>
      <c r="AD148" s="82">
        <f>SUM(AD104:AD107)</f>
        <v>0</v>
      </c>
      <c r="AE148" s="371">
        <f>SUM(AE104:AE107)</f>
        <v>0</v>
      </c>
      <c r="AF148" s="369" t="e">
        <f t="shared" ref="AF148:AF150" si="2435">AC148/AD148</f>
        <v>#DIV/0!</v>
      </c>
      <c r="AG148" s="370" t="e">
        <f t="shared" ref="AG148:AG150" si="2436">AD148/AE148</f>
        <v>#DIV/0!</v>
      </c>
      <c r="AH148" s="589"/>
      <c r="AI148" s="79">
        <f>SUM(AI104:AI107)</f>
        <v>3200</v>
      </c>
      <c r="AJ148" s="82">
        <f>SUM(AJ104:AJ107)</f>
        <v>44.86</v>
      </c>
      <c r="AK148" s="371">
        <f>SUM(AK104:AK107)</f>
        <v>5</v>
      </c>
      <c r="AL148" s="369">
        <f t="shared" ref="AL148:AL150" si="2437">AI148/AJ148</f>
        <v>71.333036112349532</v>
      </c>
      <c r="AM148" s="370">
        <f t="shared" ref="AM148:AM150" si="2438">AJ148/AK148</f>
        <v>8.9719999999999995</v>
      </c>
      <c r="AN148" s="589"/>
      <c r="AO148" s="79">
        <f>SUM(AO104:AO107)</f>
        <v>0</v>
      </c>
      <c r="AP148" s="82">
        <f>SUM(AP104:AP107)</f>
        <v>0</v>
      </c>
      <c r="AQ148" s="371">
        <f>SUM(AQ104:AQ107)</f>
        <v>0</v>
      </c>
      <c r="AR148" s="369" t="e">
        <f t="shared" ref="AR148:AR150" si="2439">AO148/AP148</f>
        <v>#DIV/0!</v>
      </c>
      <c r="AS148" s="370" t="e">
        <f t="shared" ref="AS148:AS150" si="2440">AP148/AQ148</f>
        <v>#DIV/0!</v>
      </c>
      <c r="AT148" s="589"/>
      <c r="AU148" s="79">
        <f>SUM(AU104:AU107)</f>
        <v>4750</v>
      </c>
      <c r="AV148" s="82">
        <f>SUM(AV104:AV107)</f>
        <v>46.150000000000006</v>
      </c>
      <c r="AW148" s="371">
        <f>SUM(AW104:AW107)</f>
        <v>12</v>
      </c>
      <c r="AX148" s="369">
        <f t="shared" ref="AX148:AX150" si="2441">AU148/AV148</f>
        <v>102.92524377031418</v>
      </c>
      <c r="AY148" s="370">
        <f t="shared" ref="AY148:AY150" si="2442">AV148/AW148</f>
        <v>3.8458333333333337</v>
      </c>
      <c r="AZ148" s="370"/>
      <c r="BA148" s="79">
        <f>SUM(BA104:BA107)</f>
        <v>1750</v>
      </c>
      <c r="BB148" s="82">
        <f>SUM(BB104:BB107)</f>
        <v>11.82</v>
      </c>
      <c r="BC148" s="371">
        <f>SUM(BC104:BC107)</f>
        <v>5</v>
      </c>
      <c r="BD148" s="369">
        <f t="shared" ref="BD148:BD150" si="2443">BA148/BB148</f>
        <v>148.05414551607444</v>
      </c>
      <c r="BE148" s="370">
        <f t="shared" ref="BE148:BE150" si="2444">BB148/BC148</f>
        <v>2.3639999999999999</v>
      </c>
      <c r="BF148" s="370"/>
      <c r="BG148" s="79">
        <f>SUM(BG104:BG107)</f>
        <v>0</v>
      </c>
      <c r="BH148" s="82">
        <f>SUM(BH104:BH107)</f>
        <v>0</v>
      </c>
      <c r="BI148" s="371">
        <f>SUM(BI104:BI107)</f>
        <v>0</v>
      </c>
      <c r="BJ148" s="369" t="e">
        <f t="shared" ref="BJ148:BJ150" si="2445">BG148/BH148</f>
        <v>#DIV/0!</v>
      </c>
      <c r="BK148" s="370" t="e">
        <f t="shared" ref="BK148:BK150" si="2446">BH148/BI148</f>
        <v>#DIV/0!</v>
      </c>
      <c r="BL148" s="370"/>
      <c r="BM148" s="79">
        <f>SUM(BM104:BM107)</f>
        <v>0</v>
      </c>
      <c r="BN148" s="82">
        <f>SUM(BN104:BN107)</f>
        <v>0</v>
      </c>
      <c r="BO148" s="371">
        <f>SUM(BO104:BO107)</f>
        <v>0</v>
      </c>
      <c r="BP148" s="369" t="e">
        <f t="shared" ref="BP148:BP150" si="2447">BM148/BN148</f>
        <v>#DIV/0!</v>
      </c>
      <c r="BQ148" s="370" t="e">
        <f t="shared" ref="BQ148:BQ150" si="2448">BN148/BO148</f>
        <v>#DIV/0!</v>
      </c>
      <c r="BR148" s="589"/>
      <c r="BS148" s="79">
        <f>SUM(BS104:BS107)</f>
        <v>0</v>
      </c>
      <c r="BT148" s="82">
        <f>SUM(BT104:BT107)</f>
        <v>0</v>
      </c>
      <c r="BU148" s="371">
        <f>SUM(BU104:BU107)</f>
        <v>0</v>
      </c>
      <c r="BV148" s="369" t="e">
        <f t="shared" ref="BV148:BV150" si="2449">BS148/BT148</f>
        <v>#DIV/0!</v>
      </c>
      <c r="BW148" s="370" t="e">
        <f t="shared" ref="BW148:BW150" si="2450">BT148/BU148</f>
        <v>#DIV/0!</v>
      </c>
      <c r="BX148" s="370"/>
      <c r="BY148" s="79">
        <f>SUM(BY104:BY107)</f>
        <v>7000</v>
      </c>
      <c r="BZ148" s="82">
        <f>SUM(BZ104:BZ107)</f>
        <v>46.36</v>
      </c>
      <c r="CA148" s="371">
        <f>SUM(CA104:CA107)</f>
        <v>12</v>
      </c>
      <c r="CB148" s="369">
        <f t="shared" ref="CB148:CB150" si="2451">BY148/BZ148</f>
        <v>150.99223468507333</v>
      </c>
      <c r="CC148" s="370">
        <f t="shared" ref="CC148:CC150" si="2452">BZ148/CA148</f>
        <v>3.8633333333333333</v>
      </c>
      <c r="CD148" s="370"/>
      <c r="CE148" s="79">
        <f>SUM(CE104:CE107)</f>
        <v>0</v>
      </c>
      <c r="CF148" s="82">
        <f>SUM(CF104:CF107)</f>
        <v>0</v>
      </c>
      <c r="CG148" s="371">
        <f>SUM(CG104:CG107)</f>
        <v>0</v>
      </c>
      <c r="CH148" s="369" t="e">
        <f t="shared" ref="CH148:CH150" si="2453">CE148/CF148</f>
        <v>#DIV/0!</v>
      </c>
      <c r="CI148" s="370" t="e">
        <f t="shared" ref="CI148:CI150" si="2454">CF148/CG148</f>
        <v>#DIV/0!</v>
      </c>
      <c r="CJ148" s="370"/>
      <c r="CK148" s="79">
        <f>SUM(CK104:CK107)</f>
        <v>5150</v>
      </c>
      <c r="CL148" s="82">
        <f>SUM(CL104:CL107)</f>
        <v>70.98</v>
      </c>
      <c r="CM148" s="371">
        <f>SUM(CM104:CM107)</f>
        <v>15</v>
      </c>
      <c r="CN148" s="369">
        <f t="shared" ref="CN148:CN150" si="2455">CK148/CL148</f>
        <v>72.555649478726394</v>
      </c>
      <c r="CO148" s="370">
        <f t="shared" ref="CO148:CO150" si="2456">CL148/CM148</f>
        <v>4.7320000000000002</v>
      </c>
      <c r="CP148" s="370"/>
      <c r="CQ148" s="79">
        <f>SUM(CQ104:CQ107)</f>
        <v>4100</v>
      </c>
      <c r="CR148" s="82">
        <f>SUM(CR104:CR107)</f>
        <v>53.139999999999993</v>
      </c>
      <c r="CS148" s="371">
        <f>SUM(CS104:CS107)</f>
        <v>12</v>
      </c>
      <c r="CT148" s="369">
        <f t="shared" ref="CT148:CT150" si="2457">CQ148/CR148</f>
        <v>77.154685735792256</v>
      </c>
      <c r="CU148" s="370">
        <f t="shared" ref="CU148:CU150" si="2458">CR148/CS148</f>
        <v>4.4283333333333328</v>
      </c>
      <c r="CV148" s="370"/>
      <c r="CW148" s="79">
        <f>SUM(CW104:CW107)</f>
        <v>7000</v>
      </c>
      <c r="CX148" s="82">
        <f>SUM(CX104:CX107)</f>
        <v>46.36</v>
      </c>
      <c r="CY148" s="371">
        <f>SUM(CY104:CY107)</f>
        <v>12</v>
      </c>
      <c r="CZ148" s="369">
        <f t="shared" ref="CZ148:CZ150" si="2459">CW148/CX148</f>
        <v>150.99223468507333</v>
      </c>
      <c r="DA148" s="370">
        <f t="shared" ref="DA148:DA150" si="2460">CX148/CY148</f>
        <v>3.8633333333333333</v>
      </c>
      <c r="DB148" s="370"/>
      <c r="DC148" s="79">
        <f>SUM(DC104:DC107)</f>
        <v>6400</v>
      </c>
      <c r="DD148" s="82">
        <f>SUM(DD104:DD107)</f>
        <v>56.989999999999995</v>
      </c>
      <c r="DE148" s="371">
        <f>SUM(DE104:DE107)</f>
        <v>15</v>
      </c>
      <c r="DF148" s="369">
        <f t="shared" ref="DF148:DF150" si="2461">DC148/DD148</f>
        <v>112.30040357957537</v>
      </c>
      <c r="DG148" s="370">
        <f t="shared" ref="DG148:DG150" si="2462">DD148/DE148</f>
        <v>3.7993333333333328</v>
      </c>
      <c r="DH148" s="370"/>
      <c r="DI148" s="79">
        <f>SUM(DI104:DI107)</f>
        <v>0</v>
      </c>
      <c r="DJ148" s="82">
        <f>SUM(DJ104:DJ107)</f>
        <v>0</v>
      </c>
      <c r="DK148" s="371">
        <f>SUM(DK104:DK107)</f>
        <v>0</v>
      </c>
      <c r="DL148" s="369" t="e">
        <f t="shared" ref="DL148:DL150" si="2463">DI148/DJ148</f>
        <v>#DIV/0!</v>
      </c>
      <c r="DM148" s="370" t="e">
        <f t="shared" ref="DM148:DM150" si="2464">DJ148/DK148</f>
        <v>#DIV/0!</v>
      </c>
      <c r="DN148" s="370"/>
      <c r="DO148" s="79">
        <f>SUM(DO104:DO107)</f>
        <v>3000</v>
      </c>
      <c r="DP148" s="82">
        <f>SUM(DP104:DP107)</f>
        <v>37.729999999999997</v>
      </c>
      <c r="DQ148" s="371">
        <f>SUM(DQ104:DQ107)</f>
        <v>9</v>
      </c>
      <c r="DR148" s="369">
        <f t="shared" ref="DR148:DR150" si="2465">DO148/DP148</f>
        <v>79.512324410283597</v>
      </c>
      <c r="DS148" s="370">
        <f t="shared" ref="DS148:DS150" si="2466">DP148/DQ148</f>
        <v>4.1922222222222221</v>
      </c>
      <c r="DT148" s="370"/>
      <c r="DU148" s="79">
        <f>SUM(DU104:DU107)</f>
        <v>0</v>
      </c>
      <c r="DV148" s="82">
        <f>SUM(DV104:DV107)</f>
        <v>0</v>
      </c>
      <c r="DW148" s="371">
        <f>SUM(DW104:DW107)</f>
        <v>0</v>
      </c>
      <c r="DX148" s="369" t="e">
        <f t="shared" ref="DX148:DX150" si="2467">DU148/DV148</f>
        <v>#DIV/0!</v>
      </c>
      <c r="DY148" s="370" t="e">
        <f t="shared" ref="DY148:DY150" si="2468">DV148/DW148</f>
        <v>#DIV/0!</v>
      </c>
      <c r="DZ148" s="370"/>
      <c r="EA148" s="79">
        <f>SUM(EA104:EA107)</f>
        <v>0</v>
      </c>
      <c r="EB148" s="82">
        <f>SUM(EB104:EB107)</f>
        <v>0</v>
      </c>
      <c r="EC148" s="371">
        <f>SUM(EC104:EC107)</f>
        <v>0</v>
      </c>
      <c r="ED148" s="369" t="e">
        <f t="shared" ref="ED148:ED150" si="2469">EA148/EB148</f>
        <v>#DIV/0!</v>
      </c>
      <c r="EE148" s="370" t="e">
        <f t="shared" ref="EE148:EE150" si="2470">EB148/EC148</f>
        <v>#DIV/0!</v>
      </c>
      <c r="EF148" s="370"/>
      <c r="EG148" s="79">
        <f>SUM(EG104:EG107)</f>
        <v>0</v>
      </c>
      <c r="EH148" s="82">
        <f>SUM(EH104:EH107)</f>
        <v>0</v>
      </c>
      <c r="EI148" s="371">
        <f>SUM(EI104:EI107)</f>
        <v>0</v>
      </c>
      <c r="EJ148" s="369" t="e">
        <f t="shared" ref="EJ148:EJ150" si="2471">EG148/EH148</f>
        <v>#DIV/0!</v>
      </c>
      <c r="EK148" s="370" t="e">
        <f t="shared" ref="EK148:EK150" si="2472">EH148/EI148</f>
        <v>#DIV/0!</v>
      </c>
      <c r="EL148" s="370"/>
      <c r="EM148" s="79">
        <f>SUM(EM104:EM107)</f>
        <v>0</v>
      </c>
      <c r="EN148" s="82">
        <f>SUM(EN104:EN107)</f>
        <v>0</v>
      </c>
      <c r="EO148" s="371">
        <f>SUM(EO104:EO107)</f>
        <v>0</v>
      </c>
      <c r="EP148" s="369" t="e">
        <f t="shared" ref="EP148:EP150" si="2473">EM148/EN148</f>
        <v>#DIV/0!</v>
      </c>
      <c r="EQ148" s="370" t="e">
        <f t="shared" ref="EQ148:EQ150" si="2474">EN148/EO148</f>
        <v>#DIV/0!</v>
      </c>
      <c r="ER148" s="589"/>
      <c r="ES148" s="79">
        <f>SUM(ES104:ES107)</f>
        <v>7000</v>
      </c>
      <c r="ET148" s="82">
        <f>SUM(ET104:ET107)</f>
        <v>46.36</v>
      </c>
      <c r="EU148" s="371">
        <f>SUM(EU104:EU107)</f>
        <v>12</v>
      </c>
      <c r="EV148" s="369">
        <f t="shared" si="2343"/>
        <v>150.99223468507333</v>
      </c>
      <c r="EW148" s="370">
        <f t="shared" si="2344"/>
        <v>3.8633333333333333</v>
      </c>
      <c r="EY148" s="91">
        <f>SUM(EY104:EY107)</f>
        <v>0</v>
      </c>
      <c r="EZ148" s="82">
        <f>SUM(EZ104:EZ107)</f>
        <v>0</v>
      </c>
      <c r="FA148" s="371">
        <f>SUM(FA104:FA107)</f>
        <v>0</v>
      </c>
      <c r="FB148" s="361" t="e">
        <f>EY148/EZ148</f>
        <v>#DIV/0!</v>
      </c>
      <c r="FC148" s="362" t="e">
        <f>EZ148/FA148</f>
        <v>#DIV/0!</v>
      </c>
      <c r="FD148" s="178"/>
      <c r="FE148" s="379">
        <f>SUM(FE104:FE107)</f>
        <v>600</v>
      </c>
      <c r="FF148" s="369">
        <f>SUM(FF104:FF107)</f>
        <v>2.5999999999999996</v>
      </c>
      <c r="FG148" s="371">
        <f>SUM(FG104:FG107)</f>
        <v>3</v>
      </c>
      <c r="FH148" s="369">
        <f>FE148/FF148</f>
        <v>230.7692307692308</v>
      </c>
      <c r="FI148" s="370">
        <f>FF148/FG148</f>
        <v>0.86666666666666659</v>
      </c>
      <c r="FK148" s="91">
        <f>SUM(FK104:FK107)</f>
        <v>2900</v>
      </c>
      <c r="FL148" s="369">
        <f>SUM(FL104:FL107)</f>
        <v>40.779999999999994</v>
      </c>
      <c r="FM148" s="371">
        <f>SUM(FM104:FM107)</f>
        <v>5</v>
      </c>
      <c r="FN148" s="369">
        <f>FK148/FL148</f>
        <v>71.113290828837677</v>
      </c>
      <c r="FO148" s="370">
        <f>FL148/FM148</f>
        <v>8.1559999999999988</v>
      </c>
      <c r="FQ148" s="91">
        <f>SUM(FQ104:FQ107)</f>
        <v>3450</v>
      </c>
      <c r="FR148" s="369">
        <f>SUM(FR104:FR107)</f>
        <v>59.53</v>
      </c>
      <c r="FS148" s="371">
        <f>SUM(FS104:FS107)</f>
        <v>14</v>
      </c>
      <c r="FT148" s="369">
        <f>FQ148/FR148</f>
        <v>57.953972786830171</v>
      </c>
      <c r="FU148" s="370">
        <f>FR148/FS148</f>
        <v>4.2521428571428572</v>
      </c>
      <c r="FV148" s="178"/>
      <c r="FW148" s="91">
        <f>SUM(FW104:FW107)</f>
        <v>6400</v>
      </c>
      <c r="FX148" s="369">
        <f>SUM(FX104:FX107)</f>
        <v>56.989999999999995</v>
      </c>
      <c r="FY148" s="371">
        <f>SUM(FY104:FY107)</f>
        <v>15</v>
      </c>
      <c r="FZ148" s="369">
        <f>FW148/FX148</f>
        <v>112.30040357957537</v>
      </c>
      <c r="GA148" s="370">
        <f>FX148/FY148</f>
        <v>3.7993333333333328</v>
      </c>
      <c r="GC148" s="379">
        <f>SUM(GC104:GC107)</f>
        <v>1200</v>
      </c>
      <c r="GD148" s="369">
        <f>SUM(GD104:GD107)</f>
        <v>24.509999999999998</v>
      </c>
      <c r="GE148" s="371">
        <f>SUM(GE104:GE107)</f>
        <v>4</v>
      </c>
      <c r="GF148" s="369">
        <f>GC148/GD148</f>
        <v>48.959608323133416</v>
      </c>
      <c r="GG148" s="370">
        <f>GD148/GE148</f>
        <v>6.1274999999999995</v>
      </c>
      <c r="GI148" s="379">
        <f>SUM(GI104:GI107)</f>
        <v>3750</v>
      </c>
      <c r="GJ148" s="369">
        <f>SUM(GJ104:GJ107)</f>
        <v>51.989999999999995</v>
      </c>
      <c r="GK148" s="371">
        <f>SUM(GK104:GK107)</f>
        <v>5</v>
      </c>
      <c r="GL148" s="369">
        <f>GI148/GJ148</f>
        <v>72.129255626081942</v>
      </c>
      <c r="GM148" s="370">
        <f>GJ148/GK148</f>
        <v>10.398</v>
      </c>
      <c r="GO148" s="379">
        <f>SUM(GO104:GO107)</f>
        <v>7200</v>
      </c>
      <c r="GP148" s="369">
        <f>SUM(GP104:GP107)</f>
        <v>120.35999999999999</v>
      </c>
      <c r="GQ148" s="371">
        <f>SUM(GQ104:GQ107)</f>
        <v>20</v>
      </c>
      <c r="GR148" s="369">
        <f>GO148/GP148</f>
        <v>59.82053838484547</v>
      </c>
      <c r="GS148" s="370">
        <f>GP148/GQ148</f>
        <v>6.0179999999999989</v>
      </c>
      <c r="GU148" s="379">
        <f>SUM(GU104:GU107)</f>
        <v>1600</v>
      </c>
      <c r="GV148" s="369">
        <f>SUM(GV104:GV107)</f>
        <v>7.07</v>
      </c>
      <c r="GW148" s="371">
        <f>SUM(GW104:GW107)</f>
        <v>5</v>
      </c>
      <c r="GX148" s="369">
        <f>GU148/GV148</f>
        <v>226.30834512022631</v>
      </c>
      <c r="GY148" s="370">
        <f>GV148/GW148</f>
        <v>1.4140000000000001</v>
      </c>
      <c r="HA148" s="91">
        <f>SUM(HA104:HA107)</f>
        <v>2550</v>
      </c>
      <c r="HB148" s="82">
        <f>SUM(HB104:HB107)</f>
        <v>6.9</v>
      </c>
      <c r="HC148" s="371">
        <f>SUM(HC104:HC107)</f>
        <v>5</v>
      </c>
      <c r="HD148" s="369">
        <f>HA148/HB148</f>
        <v>369.56521739130432</v>
      </c>
      <c r="HE148" s="370">
        <f>HB148/HC148</f>
        <v>1.3800000000000001</v>
      </c>
      <c r="HG148" s="91">
        <f>SUM(HG104:HG107)</f>
        <v>3000</v>
      </c>
      <c r="HH148" s="82">
        <f>SUM(HH104:HH107)</f>
        <v>37.729999999999997</v>
      </c>
      <c r="HI148" s="79">
        <f>SUM(HI104:HI107)</f>
        <v>9</v>
      </c>
      <c r="HJ148" s="82">
        <f>HG148/HH148</f>
        <v>79.512324410283597</v>
      </c>
      <c r="HK148" s="84">
        <f>HH148/HI148</f>
        <v>4.1922222222222221</v>
      </c>
      <c r="HM148" s="91">
        <f>SUM(HM104:HM107)</f>
        <v>1700</v>
      </c>
      <c r="HN148" s="82">
        <f>SUM(HN104:HN107)</f>
        <v>13.379999999999999</v>
      </c>
      <c r="HO148" s="371">
        <f>SUM(HO104:HO107)</f>
        <v>5</v>
      </c>
      <c r="HP148" s="369">
        <f>HM148/HN148</f>
        <v>127.05530642750375</v>
      </c>
      <c r="HQ148" s="370">
        <f>HN148/HO148</f>
        <v>2.6759999999999997</v>
      </c>
      <c r="HS148" s="91">
        <f>SUM(HS104:HS107)</f>
        <v>3300</v>
      </c>
      <c r="HT148" s="82">
        <f>SUM(HT104:HT107)</f>
        <v>9.6999999999999993</v>
      </c>
      <c r="HU148" s="371">
        <f>SUM(HU104:HU107)</f>
        <v>8</v>
      </c>
      <c r="HV148" s="369">
        <f>HS148/HT148</f>
        <v>340.20618556701032</v>
      </c>
      <c r="HW148" s="370">
        <f>HT148/HU148</f>
        <v>1.2124999999999999</v>
      </c>
      <c r="HX148" s="178"/>
      <c r="HY148" s="91">
        <f>SUM(HY104:HY107)</f>
        <v>4400</v>
      </c>
      <c r="HZ148" s="82">
        <f>SUM(HZ104:HZ107)</f>
        <v>76.539999999999992</v>
      </c>
      <c r="IA148" s="371">
        <f>SUM(IA104:IA107)</f>
        <v>15</v>
      </c>
      <c r="IB148" s="369">
        <f>HY148/HZ148</f>
        <v>57.486281682780252</v>
      </c>
      <c r="IC148" s="370">
        <f>HZ148/IA148</f>
        <v>5.102666666666666</v>
      </c>
      <c r="IE148" s="91">
        <f>SUM(IE104:IE107)</f>
        <v>4700</v>
      </c>
      <c r="IF148" s="82">
        <f>SUM(IF104:IF107)</f>
        <v>72.87</v>
      </c>
      <c r="IG148" s="79">
        <f>SUM(IG104:IG107)</f>
        <v>15</v>
      </c>
      <c r="IH148" s="82">
        <f>IE148/IF148</f>
        <v>64.498421847125016</v>
      </c>
      <c r="II148" s="84">
        <f>IF148/IG148</f>
        <v>4.8580000000000005</v>
      </c>
      <c r="IK148" s="91">
        <f>SUM(IK104:IK107)</f>
        <v>2200</v>
      </c>
      <c r="IL148" s="82">
        <f>SUM(IL104:IL107)</f>
        <v>22.38</v>
      </c>
      <c r="IM148" s="79">
        <f>SUM(IM104:IM107)</f>
        <v>7</v>
      </c>
      <c r="IN148" s="82">
        <f>IK148/IL148</f>
        <v>98.30205540661305</v>
      </c>
      <c r="IO148" s="84">
        <f>IL148/IM148</f>
        <v>3.1971428571428571</v>
      </c>
      <c r="IQ148" s="91">
        <f>SUM(IQ104:IQ107)</f>
        <v>10610</v>
      </c>
      <c r="IR148" s="82">
        <f>SUM(IR104:IR107)</f>
        <v>153.02999999999997</v>
      </c>
      <c r="IS148" s="79">
        <f>SUM(IS104:IS107)</f>
        <v>15</v>
      </c>
      <c r="IT148" s="82">
        <f>IQ148/IR148</f>
        <v>69.332810560020917</v>
      </c>
      <c r="IU148" s="84">
        <f>IR148/IS148</f>
        <v>10.201999999999998</v>
      </c>
      <c r="IW148" s="91">
        <f>SUM(IW104:IW107)</f>
        <v>4200</v>
      </c>
      <c r="IX148" s="82">
        <f>SUM(IX104:IX107)</f>
        <v>61.160000000000004</v>
      </c>
      <c r="IY148" s="79">
        <f>SUM(IY104:IY107)</f>
        <v>15</v>
      </c>
      <c r="IZ148" s="82">
        <f>IW148/IX148</f>
        <v>68.672334859385217</v>
      </c>
      <c r="JA148" s="84">
        <f>IX148/IY148</f>
        <v>4.0773333333333337</v>
      </c>
      <c r="JC148" s="91">
        <f>SUM(JC104:JC107)</f>
        <v>3800</v>
      </c>
      <c r="JD148" s="82">
        <f>SUM(JD104:JD107)</f>
        <v>57.599999999999994</v>
      </c>
      <c r="JE148" s="79">
        <f>SUM(JE104:JE107)</f>
        <v>10</v>
      </c>
      <c r="JF148" s="82">
        <f>JC148/JD148</f>
        <v>65.972222222222229</v>
      </c>
      <c r="JG148" s="84">
        <f>JD148/JE148</f>
        <v>5.76</v>
      </c>
      <c r="JI148" s="91">
        <f>SUM(JI104:JI107)</f>
        <v>6100</v>
      </c>
      <c r="JJ148" s="82">
        <f>SUM(JJ104:JJ107)</f>
        <v>70.430000000000007</v>
      </c>
      <c r="JK148" s="79">
        <f>SUM(JK104:JK107)</f>
        <v>20</v>
      </c>
      <c r="JL148" s="82">
        <f>JI148/JJ148</f>
        <v>86.61081925315915</v>
      </c>
      <c r="JM148" s="84">
        <f>JJ148/JK148</f>
        <v>3.5215000000000005</v>
      </c>
      <c r="JO148" s="91">
        <f>SUM(JO104:JO107)</f>
        <v>3520</v>
      </c>
      <c r="JP148" s="82">
        <f>SUM(JP104:JP107)</f>
        <v>56.720000000000006</v>
      </c>
      <c r="JQ148" s="79">
        <f>SUM(JQ104:JQ107)</f>
        <v>11</v>
      </c>
      <c r="JR148" s="82">
        <f>JO148/JP148</f>
        <v>62.059238363892803</v>
      </c>
      <c r="JS148" s="84">
        <f>JP148/JQ148</f>
        <v>5.1563636363636371</v>
      </c>
      <c r="JU148" s="383">
        <f>SUM(JU104:JU107)</f>
        <v>5600</v>
      </c>
      <c r="JV148" s="82">
        <f>SUM(JV104:JV107)</f>
        <v>51.710000000000008</v>
      </c>
      <c r="JW148" s="748">
        <f>SUM(JW104:JW107)</f>
        <v>10</v>
      </c>
      <c r="JX148" s="369">
        <f>JU148/JV148</f>
        <v>108.29626764649002</v>
      </c>
      <c r="JY148" s="84">
        <f>JV148/JW148</f>
        <v>5.1710000000000012</v>
      </c>
      <c r="KA148" s="383">
        <f>SUM(KA104:KA107)</f>
        <v>3650</v>
      </c>
      <c r="KB148" s="82">
        <f>SUM(KB104:KB107)</f>
        <v>39.36</v>
      </c>
      <c r="KC148" s="748">
        <f>SUM(KC104:KC107)</f>
        <v>10</v>
      </c>
      <c r="KD148" s="369">
        <f>KA148/KB148</f>
        <v>92.733739837398375</v>
      </c>
      <c r="KE148" s="84">
        <f>KB148/KC148</f>
        <v>3.9359999999999999</v>
      </c>
      <c r="KG148" s="383">
        <f>SUM(KG104:KG107)</f>
        <v>8600</v>
      </c>
      <c r="KH148" s="82">
        <f>SUM(KH104:KH107)</f>
        <v>125.08000000000001</v>
      </c>
      <c r="KI148" s="748">
        <f>SUM(KI104:KI107)</f>
        <v>14</v>
      </c>
      <c r="KJ148" s="369">
        <f>KG148/KH148</f>
        <v>68.755996162456015</v>
      </c>
      <c r="KK148" s="84">
        <f>KH148/KI148</f>
        <v>8.9342857142857159</v>
      </c>
      <c r="KM148" s="383">
        <f>SUM(KM104:KM107)</f>
        <v>5700</v>
      </c>
      <c r="KN148" s="82">
        <f>SUM(KN104:KN107)</f>
        <v>71.23</v>
      </c>
      <c r="KO148" s="748">
        <f>SUM(KO104:KO107)</f>
        <v>5</v>
      </c>
      <c r="KP148" s="369">
        <f>KM148/KN148</f>
        <v>80.022462445598762</v>
      </c>
      <c r="KQ148" s="84">
        <f>KN148/KO148</f>
        <v>14.246</v>
      </c>
      <c r="KS148" s="383">
        <f>SUM(KS104:KS107)</f>
        <v>5700</v>
      </c>
      <c r="KT148" s="82">
        <f>SUM(KT104:KT107)</f>
        <v>66.419999999999987</v>
      </c>
      <c r="KU148" s="748">
        <f>SUM(KU104:KU107)</f>
        <v>8</v>
      </c>
      <c r="KV148" s="369">
        <f>KS148/KT148</f>
        <v>85.817524841915102</v>
      </c>
      <c r="KW148" s="84">
        <f>KT148/KU148</f>
        <v>8.3024999999999984</v>
      </c>
      <c r="KY148" s="383">
        <f>SUM(KY104:KY107)</f>
        <v>0</v>
      </c>
      <c r="KZ148" s="82">
        <f>SUM(KZ104:KZ107)</f>
        <v>0</v>
      </c>
      <c r="LA148" s="748">
        <f>SUM(LA104:LA107)</f>
        <v>0</v>
      </c>
      <c r="LB148" s="369" t="e">
        <f>KY148/KZ148</f>
        <v>#DIV/0!</v>
      </c>
      <c r="LC148" s="84" t="e">
        <f>KZ148/LA148</f>
        <v>#DIV/0!</v>
      </c>
      <c r="LE148" s="383">
        <f>SUM(LE104:LE107)</f>
        <v>5550</v>
      </c>
      <c r="LF148" s="82">
        <f>SUM(LF104:LF107)</f>
        <v>77.69</v>
      </c>
      <c r="LG148" s="748">
        <f>SUM(LG104:LG107)</f>
        <v>13</v>
      </c>
      <c r="LH148" s="369">
        <f>LE148/LF148</f>
        <v>71.437765478182527</v>
      </c>
      <c r="LI148" s="84">
        <f>LF148/LG148</f>
        <v>5.9761538461538457</v>
      </c>
      <c r="LK148" s="383">
        <f>SUM(LK104:LK107)</f>
        <v>800</v>
      </c>
      <c r="LL148" s="82">
        <f>SUM(LL104:LL107)</f>
        <v>8.76</v>
      </c>
      <c r="LM148" s="748">
        <f>SUM(LM104:LM107)</f>
        <v>1</v>
      </c>
      <c r="LN148" s="369">
        <f>LK148/LL148</f>
        <v>91.324200913242009</v>
      </c>
      <c r="LO148" s="84">
        <f>LL148/LM148</f>
        <v>8.76</v>
      </c>
      <c r="LQ148" s="383">
        <f>SUM(LQ104:LQ107)</f>
        <v>3000</v>
      </c>
      <c r="LR148" s="82">
        <f>SUM(LR104:LR107)</f>
        <v>33.54</v>
      </c>
      <c r="LS148" s="748">
        <f>SUM(LS104:LS107)</f>
        <v>5</v>
      </c>
      <c r="LT148" s="369">
        <f>LQ148/LR148</f>
        <v>89.445438282647586</v>
      </c>
      <c r="LU148" s="84">
        <f>LR148/LS148</f>
        <v>6.7080000000000002</v>
      </c>
      <c r="LW148" s="383">
        <f>SUM(LW104:LW107)</f>
        <v>3350</v>
      </c>
      <c r="LX148" s="82">
        <f>SUM(LX104:LX107)</f>
        <v>52.600000000000009</v>
      </c>
      <c r="LY148" s="748">
        <f>SUM(LY104:LY107)</f>
        <v>7</v>
      </c>
      <c r="LZ148" s="369">
        <f>LW148/LX148</f>
        <v>63.688212927756645</v>
      </c>
      <c r="MA148" s="84">
        <f>LX148/LY148</f>
        <v>7.5142857142857151</v>
      </c>
      <c r="MC148" s="383">
        <f>SUM(MC104:MC107)</f>
        <v>7900</v>
      </c>
      <c r="MD148" s="82">
        <f>SUM(MD104:MD107)</f>
        <v>61.849999999999994</v>
      </c>
      <c r="ME148" s="748">
        <f>SUM(ME104:ME107)</f>
        <v>20</v>
      </c>
      <c r="MF148" s="369">
        <f>MC148/MD148</f>
        <v>127.72837510105094</v>
      </c>
      <c r="MG148" s="84">
        <f>MD148/ME148</f>
        <v>3.0924999999999998</v>
      </c>
      <c r="MI148" s="383">
        <f>SUM(MI104:MI107)</f>
        <v>6900</v>
      </c>
      <c r="MJ148" s="82">
        <f>SUM(MJ104:MJ107)</f>
        <v>93.97</v>
      </c>
      <c r="MK148" s="748">
        <f>SUM(MK104:MK107)</f>
        <v>15</v>
      </c>
      <c r="ML148" s="369">
        <f>MI148/MJ148</f>
        <v>73.427689688198356</v>
      </c>
      <c r="MM148" s="84">
        <f>MJ148/MK148</f>
        <v>6.2646666666666668</v>
      </c>
      <c r="MO148" s="383">
        <f>SUM(MO104:MO107)</f>
        <v>0</v>
      </c>
      <c r="MP148" s="82">
        <f>SUM(MP104:MP107)</f>
        <v>0</v>
      </c>
      <c r="MQ148" s="748">
        <f>SUM(MQ104:MQ107)</f>
        <v>0</v>
      </c>
      <c r="MR148" s="369" t="e">
        <f>MO148/MP148</f>
        <v>#DIV/0!</v>
      </c>
      <c r="MS148" s="84" t="e">
        <f>MP148/MQ148</f>
        <v>#DIV/0!</v>
      </c>
      <c r="MU148" s="383">
        <f>SUM(MU104:MU107)</f>
        <v>0</v>
      </c>
      <c r="MV148" s="82">
        <f>SUM(MV104:MV107)</f>
        <v>0</v>
      </c>
      <c r="MW148" s="748">
        <f>SUM(MW104:MW107)</f>
        <v>0</v>
      </c>
      <c r="MX148" s="369" t="e">
        <f>MU148/MV148</f>
        <v>#DIV/0!</v>
      </c>
      <c r="MY148" s="84" t="e">
        <f>MV148/MW148</f>
        <v>#DIV/0!</v>
      </c>
      <c r="NA148" s="383">
        <f>SUM(NA104:NA107)</f>
        <v>6150</v>
      </c>
      <c r="NB148" s="748">
        <f>SUM(NB104:NB107)</f>
        <v>107.14</v>
      </c>
      <c r="NC148" s="748">
        <f>SUM(NC104:NC107)</f>
        <v>20</v>
      </c>
      <c r="ND148" s="369">
        <f>NA148/NB148</f>
        <v>57.401530707485534</v>
      </c>
      <c r="NE148" s="84">
        <f>NB148/NC148</f>
        <v>5.3570000000000002</v>
      </c>
      <c r="NG148" s="383">
        <f>SUM(NG104:NG107)</f>
        <v>3500</v>
      </c>
      <c r="NH148" s="82">
        <f>SUM(NH104:NH107)</f>
        <v>50.3</v>
      </c>
      <c r="NI148" s="748">
        <f>SUM(NI104:NI107)</f>
        <v>10</v>
      </c>
      <c r="NJ148" s="369">
        <f>NG148/NH148</f>
        <v>69.582504970178931</v>
      </c>
      <c r="NK148" s="84">
        <f>NH148/NI148</f>
        <v>5.0299999999999994</v>
      </c>
      <c r="NM148" s="383">
        <f>SUM(NM104:NM107)</f>
        <v>4950</v>
      </c>
      <c r="NN148" s="82">
        <f>SUM(NN104:NN107)</f>
        <v>90.13</v>
      </c>
      <c r="NO148" s="748">
        <f>SUM(NO104:NO107)</f>
        <v>20</v>
      </c>
      <c r="NP148" s="369">
        <f>NM148/NN148</f>
        <v>54.9206701431266</v>
      </c>
      <c r="NQ148" s="84">
        <f>NN148/NO148</f>
        <v>4.5065</v>
      </c>
      <c r="NS148" s="383">
        <f>SUM(NS104:NS107)</f>
        <v>6100</v>
      </c>
      <c r="NT148" s="82">
        <f>SUM(NT104:NT107)</f>
        <v>113.22000000000001</v>
      </c>
      <c r="NU148" s="748">
        <f>SUM(NU104:NU107)</f>
        <v>15</v>
      </c>
      <c r="NV148" s="369">
        <f>NS148/NT148</f>
        <v>53.877406818583282</v>
      </c>
      <c r="NW148" s="84">
        <f>NT148/NU148</f>
        <v>7.5480000000000009</v>
      </c>
      <c r="NY148" s="383">
        <f>SUM(NY104:NY107)</f>
        <v>4300</v>
      </c>
      <c r="NZ148" s="82">
        <f>SUM(NZ104:NZ107)</f>
        <v>54.809999999999995</v>
      </c>
      <c r="OA148" s="748">
        <f>SUM(OA104:OA107)</f>
        <v>5</v>
      </c>
      <c r="OB148" s="369">
        <f>NY148/NZ148</f>
        <v>78.452837073526737</v>
      </c>
      <c r="OC148" s="84">
        <f>NZ148/OA148</f>
        <v>10.962</v>
      </c>
      <c r="OE148" s="383">
        <f>SUM(OE104:OE107)</f>
        <v>4300</v>
      </c>
      <c r="OF148" s="82">
        <f>SUM(OF104:OF107)</f>
        <v>66.650000000000006</v>
      </c>
      <c r="OG148" s="748">
        <f>SUM(OG104:OG107)</f>
        <v>10</v>
      </c>
      <c r="OH148" s="369">
        <f>OE148/OF148</f>
        <v>64.516129032258064</v>
      </c>
      <c r="OI148" s="84">
        <f>OF148/OG148</f>
        <v>6.6650000000000009</v>
      </c>
    </row>
    <row r="149" spans="1:399">
      <c r="A149" s="55"/>
      <c r="B149" s="62" t="s">
        <v>30</v>
      </c>
      <c r="C149" s="63"/>
      <c r="D149" s="64" t="s">
        <v>26</v>
      </c>
      <c r="E149" s="79">
        <f>SUM(E108:E111)</f>
        <v>1900</v>
      </c>
      <c r="F149" s="82">
        <f>SUM(F108:F111)</f>
        <v>10.41</v>
      </c>
      <c r="G149" s="371">
        <f>SUM(G108:G111)</f>
        <v>5</v>
      </c>
      <c r="H149" s="369">
        <f t="shared" si="2427"/>
        <v>182.5168107588857</v>
      </c>
      <c r="I149" s="370">
        <f t="shared" si="2428"/>
        <v>2.0819999999999999</v>
      </c>
      <c r="J149" s="589"/>
      <c r="K149" s="79">
        <f>SUM(K108:K111)</f>
        <v>4250</v>
      </c>
      <c r="L149" s="82">
        <f>SUM(L108:L111)</f>
        <v>13.25</v>
      </c>
      <c r="M149" s="371">
        <f>SUM(M108:M111)</f>
        <v>11</v>
      </c>
      <c r="N149" s="369">
        <f t="shared" si="2429"/>
        <v>320.75471698113205</v>
      </c>
      <c r="O149" s="370">
        <f t="shared" si="2430"/>
        <v>1.2045454545454546</v>
      </c>
      <c r="P149" s="589"/>
      <c r="Q149" s="79">
        <f>SUM(Q108:Q111)</f>
        <v>1450</v>
      </c>
      <c r="R149" s="82">
        <f>SUM(R108:R111)</f>
        <v>3.45</v>
      </c>
      <c r="S149" s="371">
        <f>SUM(S108:S111)</f>
        <v>5</v>
      </c>
      <c r="T149" s="369">
        <f t="shared" si="2431"/>
        <v>420.28985507246375</v>
      </c>
      <c r="U149" s="370">
        <f t="shared" si="2432"/>
        <v>0.69000000000000006</v>
      </c>
      <c r="V149" s="589"/>
      <c r="W149" s="79">
        <f>SUM(W108:W111)</f>
        <v>400</v>
      </c>
      <c r="X149" s="82">
        <f>SUM(X108:X111)</f>
        <v>6.3</v>
      </c>
      <c r="Y149" s="371">
        <f>SUM(Y108:Y111)</f>
        <v>5</v>
      </c>
      <c r="Z149" s="369">
        <f t="shared" si="2433"/>
        <v>63.492063492063494</v>
      </c>
      <c r="AA149" s="370">
        <f t="shared" si="2434"/>
        <v>1.26</v>
      </c>
      <c r="AB149" s="589"/>
      <c r="AC149" s="79">
        <f>SUM(AC108:AC111)</f>
        <v>0</v>
      </c>
      <c r="AD149" s="82">
        <f>SUM(AD108:AD111)</f>
        <v>0</v>
      </c>
      <c r="AE149" s="371">
        <f>SUM(AE108:AE111)</f>
        <v>0</v>
      </c>
      <c r="AF149" s="369" t="e">
        <f t="shared" si="2435"/>
        <v>#DIV/0!</v>
      </c>
      <c r="AG149" s="370" t="e">
        <f t="shared" si="2436"/>
        <v>#DIV/0!</v>
      </c>
      <c r="AH149" s="589"/>
      <c r="AI149" s="79">
        <f>SUM(AI108:AI111)</f>
        <v>2700</v>
      </c>
      <c r="AJ149" s="82">
        <f>SUM(AJ108:AJ111)</f>
        <v>17.479999999999997</v>
      </c>
      <c r="AK149" s="371">
        <f>SUM(AK108:AK111)</f>
        <v>11</v>
      </c>
      <c r="AL149" s="369">
        <f t="shared" si="2437"/>
        <v>154.46224256292908</v>
      </c>
      <c r="AM149" s="370">
        <f t="shared" si="2438"/>
        <v>1.5890909090909089</v>
      </c>
      <c r="AN149" s="589"/>
      <c r="AO149" s="79">
        <f>SUM(AO108:AO111)</f>
        <v>0</v>
      </c>
      <c r="AP149" s="82">
        <f>SUM(AP108:AP111)</f>
        <v>0</v>
      </c>
      <c r="AQ149" s="371">
        <f>SUM(AQ108:AQ111)</f>
        <v>0</v>
      </c>
      <c r="AR149" s="369" t="e">
        <f t="shared" si="2439"/>
        <v>#DIV/0!</v>
      </c>
      <c r="AS149" s="370" t="e">
        <f t="shared" si="2440"/>
        <v>#DIV/0!</v>
      </c>
      <c r="AT149" s="589"/>
      <c r="AU149" s="79">
        <f>SUM(AU108:AU111)</f>
        <v>4050</v>
      </c>
      <c r="AV149" s="82">
        <f>SUM(AV108:AV111)</f>
        <v>25.64</v>
      </c>
      <c r="AW149" s="371">
        <f>SUM(AW108:AW111)</f>
        <v>12</v>
      </c>
      <c r="AX149" s="369">
        <f t="shared" si="2441"/>
        <v>157.95631825273011</v>
      </c>
      <c r="AY149" s="370">
        <f t="shared" si="2442"/>
        <v>2.1366666666666667</v>
      </c>
      <c r="AZ149" s="370"/>
      <c r="BA149" s="79">
        <f>SUM(BA108:BA111)</f>
        <v>2800</v>
      </c>
      <c r="BB149" s="82">
        <f>SUM(BB108:BB111)</f>
        <v>47.83</v>
      </c>
      <c r="BC149" s="371">
        <f>SUM(BC108:BC111)</f>
        <v>5</v>
      </c>
      <c r="BD149" s="369">
        <f t="shared" si="2443"/>
        <v>58.540664854693709</v>
      </c>
      <c r="BE149" s="370">
        <f t="shared" si="2444"/>
        <v>9.5659999999999989</v>
      </c>
      <c r="BF149" s="370"/>
      <c r="BG149" s="79">
        <f>SUM(BG108:BG111)</f>
        <v>0</v>
      </c>
      <c r="BH149" s="82">
        <f>SUM(BH108:BH111)</f>
        <v>0</v>
      </c>
      <c r="BI149" s="371">
        <f>SUM(BI108:BI111)</f>
        <v>0</v>
      </c>
      <c r="BJ149" s="369" t="e">
        <f t="shared" si="2445"/>
        <v>#DIV/0!</v>
      </c>
      <c r="BK149" s="370" t="e">
        <f t="shared" si="2446"/>
        <v>#DIV/0!</v>
      </c>
      <c r="BL149" s="370"/>
      <c r="BM149" s="79">
        <f>SUM(BM108:BM111)</f>
        <v>0</v>
      </c>
      <c r="BN149" s="82">
        <f>SUM(BN108:BN111)</f>
        <v>0</v>
      </c>
      <c r="BO149" s="371">
        <f>SUM(BO108:BO111)</f>
        <v>0</v>
      </c>
      <c r="BP149" s="369" t="e">
        <f t="shared" si="2447"/>
        <v>#DIV/0!</v>
      </c>
      <c r="BQ149" s="370" t="e">
        <f t="shared" si="2448"/>
        <v>#DIV/0!</v>
      </c>
      <c r="BR149" s="589"/>
      <c r="BS149" s="79">
        <f>SUM(BS108:BS111)</f>
        <v>0</v>
      </c>
      <c r="BT149" s="82">
        <f>SUM(BT108:BT111)</f>
        <v>0</v>
      </c>
      <c r="BU149" s="371">
        <f>SUM(BU108:BU111)</f>
        <v>0</v>
      </c>
      <c r="BV149" s="369" t="e">
        <f t="shared" si="2449"/>
        <v>#DIV/0!</v>
      </c>
      <c r="BW149" s="370" t="e">
        <f t="shared" si="2450"/>
        <v>#DIV/0!</v>
      </c>
      <c r="BX149" s="370"/>
      <c r="BY149" s="79">
        <f>SUM(BY108:BY111)</f>
        <v>4050</v>
      </c>
      <c r="BZ149" s="82">
        <f>SUM(BZ108:BZ111)</f>
        <v>26.89</v>
      </c>
      <c r="CA149" s="371">
        <f>SUM(CA108:CA111)</f>
        <v>12</v>
      </c>
      <c r="CB149" s="369">
        <f t="shared" si="2451"/>
        <v>150.6136110078096</v>
      </c>
      <c r="CC149" s="370">
        <f t="shared" si="2452"/>
        <v>2.2408333333333332</v>
      </c>
      <c r="CD149" s="370"/>
      <c r="CE149" s="79">
        <f>SUM(CE108:CE111)</f>
        <v>0</v>
      </c>
      <c r="CF149" s="82">
        <f>SUM(CF108:CF111)</f>
        <v>0</v>
      </c>
      <c r="CG149" s="371">
        <f>SUM(CG108:CG111)</f>
        <v>0</v>
      </c>
      <c r="CH149" s="369" t="e">
        <f t="shared" si="2453"/>
        <v>#DIV/0!</v>
      </c>
      <c r="CI149" s="370" t="e">
        <f t="shared" si="2454"/>
        <v>#DIV/0!</v>
      </c>
      <c r="CJ149" s="370"/>
      <c r="CK149" s="79">
        <f>SUM(CK108:CK111)</f>
        <v>2200</v>
      </c>
      <c r="CL149" s="82">
        <f>SUM(CL108:CL111)</f>
        <v>20.23</v>
      </c>
      <c r="CM149" s="371">
        <f>SUM(CM108:CM111)</f>
        <v>10</v>
      </c>
      <c r="CN149" s="369">
        <f t="shared" si="2455"/>
        <v>108.74938210578348</v>
      </c>
      <c r="CO149" s="370">
        <f t="shared" si="2456"/>
        <v>2.0230000000000001</v>
      </c>
      <c r="CP149" s="370"/>
      <c r="CQ149" s="79">
        <f>SUM(CQ108:CQ111)</f>
        <v>1900</v>
      </c>
      <c r="CR149" s="82">
        <f>SUM(CR108:CR111)</f>
        <v>26.62</v>
      </c>
      <c r="CS149" s="371">
        <f>SUM(CS108:CS111)</f>
        <v>11</v>
      </c>
      <c r="CT149" s="369">
        <f t="shared" si="2457"/>
        <v>71.374906085649883</v>
      </c>
      <c r="CU149" s="370">
        <f t="shared" si="2458"/>
        <v>2.42</v>
      </c>
      <c r="CV149" s="370"/>
      <c r="CW149" s="79">
        <f>SUM(CW108:CW111)</f>
        <v>4050</v>
      </c>
      <c r="CX149" s="82">
        <f>SUM(CX108:CX111)</f>
        <v>26.89</v>
      </c>
      <c r="CY149" s="371">
        <f>SUM(CY108:CY111)</f>
        <v>12</v>
      </c>
      <c r="CZ149" s="369">
        <f t="shared" si="2459"/>
        <v>150.6136110078096</v>
      </c>
      <c r="DA149" s="370">
        <f t="shared" si="2460"/>
        <v>2.2408333333333332</v>
      </c>
      <c r="DB149" s="370"/>
      <c r="DC149" s="79">
        <f>SUM(DC108:DC111)</f>
        <v>2350</v>
      </c>
      <c r="DD149" s="82">
        <f>SUM(DD108:DD111)</f>
        <v>11.799999999999999</v>
      </c>
      <c r="DE149" s="371">
        <f>SUM(DE108:DE111)</f>
        <v>10</v>
      </c>
      <c r="DF149" s="369">
        <f t="shared" si="2461"/>
        <v>199.15254237288138</v>
      </c>
      <c r="DG149" s="370">
        <f t="shared" si="2462"/>
        <v>1.18</v>
      </c>
      <c r="DH149" s="370"/>
      <c r="DI149" s="79">
        <f>SUM(DI108:DI111)</f>
        <v>0</v>
      </c>
      <c r="DJ149" s="82">
        <f>SUM(DJ108:DJ111)</f>
        <v>0</v>
      </c>
      <c r="DK149" s="371">
        <f>SUM(DK108:DK111)</f>
        <v>0</v>
      </c>
      <c r="DL149" s="369" t="e">
        <f t="shared" si="2463"/>
        <v>#DIV/0!</v>
      </c>
      <c r="DM149" s="370" t="e">
        <f t="shared" si="2464"/>
        <v>#DIV/0!</v>
      </c>
      <c r="DN149" s="370"/>
      <c r="DO149" s="79">
        <f>SUM(DO108:DO111)</f>
        <v>1400</v>
      </c>
      <c r="DP149" s="82">
        <f>SUM(DP108:DP111)</f>
        <v>9.58</v>
      </c>
      <c r="DQ149" s="371">
        <f>SUM(DQ108:DQ111)</f>
        <v>5</v>
      </c>
      <c r="DR149" s="369">
        <f t="shared" si="2465"/>
        <v>146.13778705636744</v>
      </c>
      <c r="DS149" s="370">
        <f t="shared" si="2466"/>
        <v>1.9159999999999999</v>
      </c>
      <c r="DT149" s="370"/>
      <c r="DU149" s="79">
        <f>SUM(DU108:DU111)</f>
        <v>0</v>
      </c>
      <c r="DV149" s="82">
        <f>SUM(DV108:DV111)</f>
        <v>0</v>
      </c>
      <c r="DW149" s="371">
        <f>SUM(DW108:DW111)</f>
        <v>0</v>
      </c>
      <c r="DX149" s="369" t="e">
        <f t="shared" si="2467"/>
        <v>#DIV/0!</v>
      </c>
      <c r="DY149" s="370" t="e">
        <f t="shared" si="2468"/>
        <v>#DIV/0!</v>
      </c>
      <c r="DZ149" s="370"/>
      <c r="EA149" s="79">
        <f>SUM(EA108:EA111)</f>
        <v>0</v>
      </c>
      <c r="EB149" s="82">
        <f>SUM(EB108:EB111)</f>
        <v>0</v>
      </c>
      <c r="EC149" s="371">
        <f>SUM(EC108:EC111)</f>
        <v>0</v>
      </c>
      <c r="ED149" s="369" t="e">
        <f t="shared" si="2469"/>
        <v>#DIV/0!</v>
      </c>
      <c r="EE149" s="370" t="e">
        <f t="shared" si="2470"/>
        <v>#DIV/0!</v>
      </c>
      <c r="EF149" s="370"/>
      <c r="EG149" s="79">
        <f>SUM(EG108:EG111)</f>
        <v>0</v>
      </c>
      <c r="EH149" s="82">
        <f>SUM(EH108:EH111)</f>
        <v>0</v>
      </c>
      <c r="EI149" s="371">
        <f>SUM(EI108:EI111)</f>
        <v>0</v>
      </c>
      <c r="EJ149" s="369" t="e">
        <f t="shared" si="2471"/>
        <v>#DIV/0!</v>
      </c>
      <c r="EK149" s="370" t="e">
        <f t="shared" si="2472"/>
        <v>#DIV/0!</v>
      </c>
      <c r="EL149" s="370"/>
      <c r="EM149" s="79">
        <f>SUM(EM108:EM111)</f>
        <v>0</v>
      </c>
      <c r="EN149" s="82">
        <f>SUM(EN108:EN111)</f>
        <v>0</v>
      </c>
      <c r="EO149" s="371">
        <f>SUM(EO108:EO111)</f>
        <v>0</v>
      </c>
      <c r="EP149" s="369" t="e">
        <f t="shared" si="2473"/>
        <v>#DIV/0!</v>
      </c>
      <c r="EQ149" s="370" t="e">
        <f t="shared" si="2474"/>
        <v>#DIV/0!</v>
      </c>
      <c r="ER149" s="589"/>
      <c r="ES149" s="79">
        <f>SUM(ES108:ES111)</f>
        <v>4050</v>
      </c>
      <c r="ET149" s="82">
        <f>SUM(ET108:ET111)</f>
        <v>26.89</v>
      </c>
      <c r="EU149" s="371">
        <f>SUM(EU108:EU111)</f>
        <v>12</v>
      </c>
      <c r="EV149" s="369">
        <f t="shared" si="2343"/>
        <v>150.6136110078096</v>
      </c>
      <c r="EW149" s="370">
        <f t="shared" si="2344"/>
        <v>2.2408333333333332</v>
      </c>
      <c r="EY149" s="91">
        <f>SUM(EY108:EY111)</f>
        <v>2700</v>
      </c>
      <c r="EZ149" s="82">
        <f>SUM(EZ108:EZ111)</f>
        <v>17.479999999999997</v>
      </c>
      <c r="FA149" s="371">
        <f>SUM(FA108:FA111)</f>
        <v>11</v>
      </c>
      <c r="FB149" s="369">
        <f t="shared" si="2423"/>
        <v>154.46224256292908</v>
      </c>
      <c r="FC149" s="370">
        <f t="shared" si="2424"/>
        <v>1.5890909090909089</v>
      </c>
      <c r="FD149" s="178"/>
      <c r="FE149" s="379">
        <f>SUM(FE108:FE111)</f>
        <v>0</v>
      </c>
      <c r="FF149" s="369">
        <f>SUM(FF108:FF111)</f>
        <v>0</v>
      </c>
      <c r="FG149" s="371">
        <f>SUM(FG108:FG111)</f>
        <v>0</v>
      </c>
      <c r="FH149" s="369" t="e">
        <f>FE149/FF149</f>
        <v>#DIV/0!</v>
      </c>
      <c r="FI149" s="370" t="e">
        <f t="shared" ref="FI149" si="2475">FF149/FG149</f>
        <v>#DIV/0!</v>
      </c>
      <c r="FK149" s="91">
        <f>SUM(FK108:FK111)</f>
        <v>4900</v>
      </c>
      <c r="FL149" s="369">
        <f>SUM(FL108:FL111)</f>
        <v>64.899999999999991</v>
      </c>
      <c r="FM149" s="371">
        <f>SUM(FM108:FM111)</f>
        <v>15</v>
      </c>
      <c r="FN149" s="369">
        <f t="shared" ref="FN149:FN150" si="2476">FK149/FL149</f>
        <v>75.500770416024665</v>
      </c>
      <c r="FO149" s="370">
        <f t="shared" ref="FO149:FO150" si="2477">FL149/FM149</f>
        <v>4.3266666666666662</v>
      </c>
      <c r="FQ149" s="91">
        <f>SUM(FQ108:FQ111)</f>
        <v>3700</v>
      </c>
      <c r="FR149" s="369">
        <f>SUM(FR108:FR111)</f>
        <v>59.5</v>
      </c>
      <c r="FS149" s="371">
        <f>SUM(FS108:FS111)</f>
        <v>16</v>
      </c>
      <c r="FT149" s="369">
        <f t="shared" ref="FT149:FT150" si="2478">FQ149/FR149</f>
        <v>62.184873949579831</v>
      </c>
      <c r="FU149" s="370">
        <f t="shared" ref="FU149:FU150" si="2479">FR149/FS149</f>
        <v>3.71875</v>
      </c>
      <c r="FV149" s="178"/>
      <c r="FW149" s="91">
        <f>SUM(FW108:FW111)</f>
        <v>2850</v>
      </c>
      <c r="FX149" s="369">
        <f>SUM(FX108:FX111)</f>
        <v>21.09</v>
      </c>
      <c r="FY149" s="371">
        <f>SUM(FY108:FY111)</f>
        <v>11</v>
      </c>
      <c r="FZ149" s="369">
        <f t="shared" ref="FZ149:FZ150" si="2480">FW149/FX149</f>
        <v>135.13513513513513</v>
      </c>
      <c r="GA149" s="370">
        <f t="shared" ref="GA149:GA150" si="2481">FX149/FY149</f>
        <v>1.9172727272727272</v>
      </c>
      <c r="GC149" s="379">
        <f>SUM(GC108:GC111)</f>
        <v>300</v>
      </c>
      <c r="GD149" s="369">
        <f>SUM(GD108:GD111)</f>
        <v>5.12</v>
      </c>
      <c r="GE149" s="371">
        <f>SUM(GE108:GE111)</f>
        <v>4</v>
      </c>
      <c r="GF149" s="369">
        <f t="shared" ref="GF149:GF150" si="2482">GC149/GD149</f>
        <v>58.59375</v>
      </c>
      <c r="GG149" s="370">
        <f t="shared" ref="GG149:GG150" si="2483">GD149/GE149</f>
        <v>1.28</v>
      </c>
      <c r="GI149" s="379">
        <f>SUM(GI108:GI111)</f>
        <v>5350</v>
      </c>
      <c r="GJ149" s="369">
        <f>SUM(GJ108:GJ111)</f>
        <v>55.42</v>
      </c>
      <c r="GK149" s="371">
        <f>SUM(GK108:GK111)</f>
        <v>11</v>
      </c>
      <c r="GL149" s="369">
        <f t="shared" ref="GL149:GL150" si="2484">GI149/GJ149</f>
        <v>96.53554673403103</v>
      </c>
      <c r="GM149" s="370">
        <f t="shared" ref="GM149:GM150" si="2485">GJ149/GK149</f>
        <v>5.0381818181818181</v>
      </c>
      <c r="GO149" s="379">
        <f>SUM(GO108:GO111)</f>
        <v>3550</v>
      </c>
      <c r="GP149" s="369">
        <f>SUM(GP108:GP111)</f>
        <v>44.959999999999994</v>
      </c>
      <c r="GQ149" s="371">
        <f>SUM(GQ108:GQ111)</f>
        <v>11</v>
      </c>
      <c r="GR149" s="369">
        <f t="shared" ref="GR149:GR150" si="2486">GO149/GP149</f>
        <v>78.959074733096102</v>
      </c>
      <c r="GS149" s="370">
        <f t="shared" ref="GS149:GS150" si="2487">GP149/GQ149</f>
        <v>4.0872727272727269</v>
      </c>
      <c r="GU149" s="379">
        <f>SUM(GU108:GU111)</f>
        <v>2100</v>
      </c>
      <c r="GV149" s="369">
        <f>SUM(GV108:GV111)</f>
        <v>6</v>
      </c>
      <c r="GW149" s="371">
        <f>SUM(GW108:GW111)</f>
        <v>5</v>
      </c>
      <c r="GX149" s="369">
        <f t="shared" ref="GX149:GX150" si="2488">GU149/GV149</f>
        <v>350</v>
      </c>
      <c r="GY149" s="370">
        <f t="shared" ref="GY149:GY150" si="2489">GV149/GW149</f>
        <v>1.2</v>
      </c>
      <c r="HA149" s="91">
        <f>SUM(HA108:HA111)</f>
        <v>1600</v>
      </c>
      <c r="HB149" s="82">
        <f>SUM(HB108:HB111)</f>
        <v>5.63</v>
      </c>
      <c r="HC149" s="371">
        <f>SUM(HC108:HC111)</f>
        <v>5</v>
      </c>
      <c r="HD149" s="369">
        <f t="shared" ref="HD149" si="2490">HA149/HB149</f>
        <v>284.19182948490231</v>
      </c>
      <c r="HE149" s="370">
        <f t="shared" ref="HE149" si="2491">HB149/HC149</f>
        <v>1.1259999999999999</v>
      </c>
      <c r="HG149" s="91">
        <f>SUM(HG108:HG111)</f>
        <v>1400</v>
      </c>
      <c r="HH149" s="82">
        <f>SUM(HH108:HH111)</f>
        <v>9.58</v>
      </c>
      <c r="HI149" s="79">
        <f>SUM(HI108:HI111)</f>
        <v>5</v>
      </c>
      <c r="HJ149" s="82">
        <f t="shared" ref="HJ149:HJ150" si="2492">HG149/HH149</f>
        <v>146.13778705636744</v>
      </c>
      <c r="HK149" s="84">
        <f t="shared" ref="HK149:HK150" si="2493">HH149/HI149</f>
        <v>1.9159999999999999</v>
      </c>
      <c r="HM149" s="91">
        <f>SUM(HM108:HM111)</f>
        <v>1900</v>
      </c>
      <c r="HN149" s="82">
        <f>SUM(HN108:HN111)</f>
        <v>10.41</v>
      </c>
      <c r="HO149" s="371">
        <f>SUM(HO108:HO111)</f>
        <v>5</v>
      </c>
      <c r="HP149" s="369">
        <f t="shared" ref="HP149:HP150" si="2494">HM149/HN149</f>
        <v>182.5168107588857</v>
      </c>
      <c r="HQ149" s="370">
        <f t="shared" ref="HQ149:HQ150" si="2495">HN149/HO149</f>
        <v>2.0819999999999999</v>
      </c>
      <c r="HS149" s="91">
        <f>SUM(HS108:HS111)</f>
        <v>4250</v>
      </c>
      <c r="HT149" s="82">
        <f>SUM(HT108:HT111)</f>
        <v>13.25</v>
      </c>
      <c r="HU149" s="371">
        <f>SUM(HU108:HU111)</f>
        <v>11</v>
      </c>
      <c r="HV149" s="369">
        <f t="shared" ref="HV149:HV150" si="2496">HS149/HT149</f>
        <v>320.75471698113205</v>
      </c>
      <c r="HW149" s="370">
        <f t="shared" ref="HW149:HW150" si="2497">HT149/HU149</f>
        <v>1.2045454545454546</v>
      </c>
      <c r="HX149" s="178"/>
      <c r="HY149" s="91">
        <f>SUM(HY108:HY111)</f>
        <v>6100</v>
      </c>
      <c r="HZ149" s="82">
        <f>SUM(HZ108:HZ111)</f>
        <v>129.73000000000002</v>
      </c>
      <c r="IA149" s="371">
        <f>SUM(IA108:IA111)</f>
        <v>19</v>
      </c>
      <c r="IB149" s="369">
        <f t="shared" ref="IB149:IB150" si="2498">HY149/HZ149</f>
        <v>47.020735373467964</v>
      </c>
      <c r="IC149" s="370">
        <f t="shared" ref="IC149:IC150" si="2499">HZ149/IA149</f>
        <v>6.8278947368421061</v>
      </c>
      <c r="IE149" s="91">
        <f>SUM(IE108:IE111)</f>
        <v>3150</v>
      </c>
      <c r="IF149" s="82">
        <f>SUM(IF108:IF111)</f>
        <v>49.04</v>
      </c>
      <c r="IG149" s="79">
        <f>SUM(IG108:IG111)</f>
        <v>10</v>
      </c>
      <c r="IH149" s="82">
        <f t="shared" ref="IH149:IH150" si="2500">IE149/IF149</f>
        <v>64.233278955954319</v>
      </c>
      <c r="II149" s="84">
        <f t="shared" ref="II149:II150" si="2501">IF149/IG149</f>
        <v>4.9039999999999999</v>
      </c>
      <c r="IK149" s="91">
        <f>SUM(IK108:IK111)</f>
        <v>1400</v>
      </c>
      <c r="IL149" s="82">
        <f>SUM(IL108:IL111)</f>
        <v>14.07</v>
      </c>
      <c r="IM149" s="79">
        <f>SUM(IM108:IM111)</f>
        <v>10</v>
      </c>
      <c r="IN149" s="82">
        <f t="shared" ref="IN149:IN150" si="2502">IK149/IL149</f>
        <v>99.502487562189046</v>
      </c>
      <c r="IO149" s="84">
        <f t="shared" ref="IO149:IO150" si="2503">IL149/IM149</f>
        <v>1.407</v>
      </c>
      <c r="IQ149" s="91">
        <f>SUM(IQ108:IQ111)</f>
        <v>6100</v>
      </c>
      <c r="IR149" s="82">
        <f>SUM(IR108:IR111)</f>
        <v>88.05</v>
      </c>
      <c r="IS149" s="79">
        <f>SUM(IS108:IS111)</f>
        <v>17</v>
      </c>
      <c r="IT149" s="82">
        <f t="shared" ref="IT149:IT150" si="2504">IQ149/IR149</f>
        <v>69.278818852924474</v>
      </c>
      <c r="IU149" s="84">
        <f t="shared" ref="IU149:IU150" si="2505">IR149/IS149</f>
        <v>5.1794117647058826</v>
      </c>
      <c r="IW149" s="91">
        <f>SUM(IW108:IW111)</f>
        <v>3380</v>
      </c>
      <c r="IX149" s="82">
        <f>SUM(IX108:IX111)</f>
        <v>43.850000000000009</v>
      </c>
      <c r="IY149" s="79">
        <f>SUM(IY108:IY111)</f>
        <v>12</v>
      </c>
      <c r="IZ149" s="82">
        <f t="shared" ref="IZ149:IZ150" si="2506">IW149/IX149</f>
        <v>77.080957810718346</v>
      </c>
      <c r="JA149" s="84">
        <f t="shared" ref="JA149:JA150" si="2507">IX149/IY149</f>
        <v>3.6541666666666672</v>
      </c>
      <c r="JC149" s="91">
        <f>SUM(JC108:JC111)</f>
        <v>2550</v>
      </c>
      <c r="JD149" s="82">
        <f>SUM(JD108:JD111)</f>
        <v>29.700000000000003</v>
      </c>
      <c r="JE149" s="79">
        <f>SUM(JE108:JE111)</f>
        <v>10</v>
      </c>
      <c r="JF149" s="82">
        <f t="shared" ref="JF149:JF150" si="2508">JC149/JD149</f>
        <v>85.858585858585855</v>
      </c>
      <c r="JG149" s="84">
        <f t="shared" ref="JG149:JG150" si="2509">JD149/JE149</f>
        <v>2.97</v>
      </c>
      <c r="JI149" s="91">
        <f>SUM(JI108:JI111)</f>
        <v>4200</v>
      </c>
      <c r="JJ149" s="82">
        <f>SUM(JJ108:JJ111)</f>
        <v>45.41</v>
      </c>
      <c r="JK149" s="79">
        <f>SUM(JK108:JK111)</f>
        <v>12</v>
      </c>
      <c r="JL149" s="82">
        <f t="shared" ref="JL149:JL150" si="2510">JI149/JJ149</f>
        <v>92.490640828011465</v>
      </c>
      <c r="JM149" s="84">
        <f t="shared" ref="JM149:JM150" si="2511">JJ149/JK149</f>
        <v>3.7841666666666662</v>
      </c>
      <c r="JO149" s="91">
        <f>SUM(JO108:JO111)</f>
        <v>0</v>
      </c>
      <c r="JP149" s="82">
        <f>SUM(JP108:JP111)</f>
        <v>0</v>
      </c>
      <c r="JQ149" s="79">
        <f>SUM(JQ108:JQ111)</f>
        <v>0</v>
      </c>
      <c r="JR149" s="82" t="e">
        <f t="shared" ref="JR149:JR150" si="2512">JO149/JP149</f>
        <v>#DIV/0!</v>
      </c>
      <c r="JS149" s="84" t="e">
        <f t="shared" ref="JS149:JS150" si="2513">JP149/JQ149</f>
        <v>#DIV/0!</v>
      </c>
      <c r="JU149" s="383">
        <f>SUM(JU108:JU111)</f>
        <v>2800</v>
      </c>
      <c r="JV149" s="82">
        <f>SUM(JV108:JV111)</f>
        <v>10.74</v>
      </c>
      <c r="JW149" s="748">
        <f>SUM(JW108:JW111)</f>
        <v>10</v>
      </c>
      <c r="JX149" s="369">
        <f t="shared" ref="JX149:JX150" si="2514">JU149/JV149</f>
        <v>260.70763500931099</v>
      </c>
      <c r="JY149" s="84">
        <f t="shared" ref="JY149:JY150" si="2515">JV149/JW149</f>
        <v>1.0740000000000001</v>
      </c>
      <c r="KA149" s="383">
        <f>SUM(KA108:KA111)</f>
        <v>2150</v>
      </c>
      <c r="KB149" s="82">
        <f>SUM(KB108:KB111)</f>
        <v>27.05</v>
      </c>
      <c r="KC149" s="748">
        <f>SUM(KC108:KC111)</f>
        <v>8</v>
      </c>
      <c r="KD149" s="369">
        <f t="shared" ref="KD149:KD150" si="2516">KA149/KB149</f>
        <v>79.482439926062838</v>
      </c>
      <c r="KE149" s="84">
        <f t="shared" ref="KE149:KE150" si="2517">KB149/KC149</f>
        <v>3.3812500000000001</v>
      </c>
      <c r="KG149" s="383">
        <f>SUM(KG108:KG111)</f>
        <v>2350</v>
      </c>
      <c r="KH149" s="82">
        <f>SUM(KH108:KH111)</f>
        <v>20.630000000000003</v>
      </c>
      <c r="KI149" s="748">
        <f>SUM(KI108:KI111)</f>
        <v>10</v>
      </c>
      <c r="KJ149" s="369">
        <f t="shared" ref="KJ149:KJ150" si="2518">KG149/KH149</f>
        <v>113.9117789626757</v>
      </c>
      <c r="KK149" s="84">
        <f t="shared" ref="KK149:KK150" si="2519">KH149/KI149</f>
        <v>2.0630000000000002</v>
      </c>
      <c r="KM149" s="383">
        <f>SUM(KM108:KM111)</f>
        <v>3400</v>
      </c>
      <c r="KN149" s="82">
        <f>SUM(KN108:KN111)</f>
        <v>22.409999999999997</v>
      </c>
      <c r="KO149" s="748">
        <f>SUM(KO108:KO111)</f>
        <v>10</v>
      </c>
      <c r="KP149" s="369">
        <f t="shared" ref="KP149:KP150" si="2520">KM149/KN149</f>
        <v>151.71798304328428</v>
      </c>
      <c r="KQ149" s="84">
        <f t="shared" ref="KQ149:KQ150" si="2521">KN149/KO149</f>
        <v>2.2409999999999997</v>
      </c>
      <c r="KS149" s="383">
        <f>SUM(KS108:KS111)</f>
        <v>4350</v>
      </c>
      <c r="KT149" s="82">
        <f>SUM(KT108:KT111)</f>
        <v>59.44</v>
      </c>
      <c r="KU149" s="748">
        <f>SUM(KU108:KU111)</f>
        <v>12</v>
      </c>
      <c r="KV149" s="369">
        <f t="shared" ref="KV149:KV150" si="2522">KS149/KT149</f>
        <v>73.183041722745628</v>
      </c>
      <c r="KW149" s="84">
        <f t="shared" ref="KW149:KW150" si="2523">KT149/KU149</f>
        <v>4.9533333333333331</v>
      </c>
      <c r="KY149" s="383">
        <f>SUM(KY108:KY111)</f>
        <v>0</v>
      </c>
      <c r="KZ149" s="82">
        <f>SUM(KZ108:KZ111)</f>
        <v>0</v>
      </c>
      <c r="LA149" s="748">
        <f>SUM(LA108:LA111)</f>
        <v>0</v>
      </c>
      <c r="LB149" s="369" t="e">
        <f t="shared" ref="LB149:LB150" si="2524">KY149/KZ149</f>
        <v>#DIV/0!</v>
      </c>
      <c r="LC149" s="84" t="e">
        <f t="shared" ref="LC149:LC150" si="2525">KZ149/LA149</f>
        <v>#DIV/0!</v>
      </c>
      <c r="LE149" s="383">
        <f>SUM(LE108:LE111)</f>
        <v>800</v>
      </c>
      <c r="LF149" s="82">
        <f>SUM(LF108:LF111)</f>
        <v>4.49</v>
      </c>
      <c r="LG149" s="748">
        <f>SUM(LG108:LG111)</f>
        <v>5</v>
      </c>
      <c r="LH149" s="369">
        <f t="shared" ref="LH149:LH150" si="2526">LE149/LF149</f>
        <v>178.17371937639197</v>
      </c>
      <c r="LI149" s="84">
        <f t="shared" ref="LI149:LI150" si="2527">LF149/LG149</f>
        <v>0.89800000000000002</v>
      </c>
      <c r="LK149" s="383">
        <f>SUM(LK108:LK111)</f>
        <v>0</v>
      </c>
      <c r="LL149" s="82">
        <f>SUM(LL108:LL111)</f>
        <v>0</v>
      </c>
      <c r="LM149" s="748">
        <f>SUM(LM108:LM111)</f>
        <v>0</v>
      </c>
      <c r="LN149" s="369" t="e">
        <f t="shared" ref="LN149:LN150" si="2528">LK149/LL149</f>
        <v>#DIV/0!</v>
      </c>
      <c r="LO149" s="84" t="e">
        <f t="shared" ref="LO149:LO150" si="2529">LL149/LM149</f>
        <v>#DIV/0!</v>
      </c>
      <c r="LQ149" s="383">
        <f>SUM(LQ108:LQ111)</f>
        <v>0</v>
      </c>
      <c r="LR149" s="82">
        <f>SUM(LR108:LR111)</f>
        <v>0</v>
      </c>
      <c r="LS149" s="748">
        <f>SUM(LS108:LS111)</f>
        <v>0</v>
      </c>
      <c r="LT149" s="369" t="e">
        <f t="shared" ref="LT149:LT150" si="2530">LQ149/LR149</f>
        <v>#DIV/0!</v>
      </c>
      <c r="LU149" s="84" t="e">
        <f t="shared" ref="LU149:LU150" si="2531">LR149/LS149</f>
        <v>#DIV/0!</v>
      </c>
      <c r="LW149" s="383">
        <f>SUM(LW108:LW111)</f>
        <v>400</v>
      </c>
      <c r="LX149" s="82">
        <f>SUM(LX108:LX111)</f>
        <v>7.32</v>
      </c>
      <c r="LY149" s="748">
        <f>SUM(LY108:LY111)</f>
        <v>5</v>
      </c>
      <c r="LZ149" s="369">
        <f t="shared" ref="LZ149:LZ150" si="2532">LW149/LX149</f>
        <v>54.644808743169399</v>
      </c>
      <c r="MA149" s="84">
        <f t="shared" ref="MA149:MA150" si="2533">LX149/LY149</f>
        <v>1.464</v>
      </c>
      <c r="MC149" s="383">
        <f>SUM(MC108:MC111)</f>
        <v>4750</v>
      </c>
      <c r="MD149" s="82">
        <f>SUM(MD108:MD111)</f>
        <v>52.009999999999991</v>
      </c>
      <c r="ME149" s="748">
        <f>SUM(ME108:ME111)</f>
        <v>12</v>
      </c>
      <c r="MF149" s="369">
        <f t="shared" ref="MF149:MF150" si="2534">MC149/MD149</f>
        <v>91.328590655643168</v>
      </c>
      <c r="MG149" s="84">
        <f t="shared" ref="MG149:MG150" si="2535">MD149/ME149</f>
        <v>4.3341666666666656</v>
      </c>
      <c r="MI149" s="383">
        <f>SUM(MI108:MI111)</f>
        <v>2700</v>
      </c>
      <c r="MJ149" s="82">
        <f>SUM(MJ108:MJ111)</f>
        <v>17.88</v>
      </c>
      <c r="MK149" s="748">
        <f>SUM(MK108:MK111)</f>
        <v>10</v>
      </c>
      <c r="ML149" s="369">
        <f t="shared" ref="ML149:ML150" si="2536">MI149/MJ149</f>
        <v>151.00671140939599</v>
      </c>
      <c r="MM149" s="84">
        <f t="shared" ref="MM149:MM150" si="2537">MJ149/MK149</f>
        <v>1.7879999999999998</v>
      </c>
      <c r="MO149" s="383">
        <f>SUM(MO108:MO111)</f>
        <v>0</v>
      </c>
      <c r="MP149" s="82">
        <f>SUM(MP108:MP111)</f>
        <v>0</v>
      </c>
      <c r="MQ149" s="748">
        <f>SUM(MQ108:MQ111)</f>
        <v>0</v>
      </c>
      <c r="MR149" s="369" t="e">
        <f t="shared" ref="MR149:MR150" si="2538">MO149/MP149</f>
        <v>#DIV/0!</v>
      </c>
      <c r="MS149" s="84" t="e">
        <f t="shared" ref="MS149:MS150" si="2539">MP149/MQ149</f>
        <v>#DIV/0!</v>
      </c>
      <c r="MU149" s="383">
        <f>SUM(MU108:MU111)</f>
        <v>0</v>
      </c>
      <c r="MV149" s="82">
        <f>SUM(MV108:MV111)</f>
        <v>0</v>
      </c>
      <c r="MW149" s="748">
        <f>SUM(MW108:MW111)</f>
        <v>0</v>
      </c>
      <c r="MX149" s="369" t="e">
        <f t="shared" ref="MX149:MX150" si="2540">MU149/MV149</f>
        <v>#DIV/0!</v>
      </c>
      <c r="MY149" s="84" t="e">
        <f t="shared" ref="MY149:MY150" si="2541">MV149/MW149</f>
        <v>#DIV/0!</v>
      </c>
      <c r="NA149" s="383">
        <f>SUM(NA108:NA111)</f>
        <v>5600</v>
      </c>
      <c r="NB149" s="748">
        <f>SUM(NB108:NB111)</f>
        <v>89.089999999999989</v>
      </c>
      <c r="NC149" s="748">
        <f>SUM(NC108:NC111)</f>
        <v>19</v>
      </c>
      <c r="ND149" s="369">
        <f t="shared" ref="ND149:ND150" si="2542">NA149/NB149</f>
        <v>62.857784263104733</v>
      </c>
      <c r="NE149" s="84">
        <f t="shared" ref="NE149:NE150" si="2543">NB149/NC149</f>
        <v>4.6889473684210516</v>
      </c>
      <c r="NG149" s="383">
        <f>SUM(NG108:NG111)</f>
        <v>2500</v>
      </c>
      <c r="NH149" s="82">
        <f>SUM(NH108:NH111)</f>
        <v>18.43</v>
      </c>
      <c r="NI149" s="748">
        <f>SUM(NI108:NI111)</f>
        <v>10</v>
      </c>
      <c r="NJ149" s="369">
        <f t="shared" ref="NJ149:NJ150" si="2544">NG149/NH149</f>
        <v>135.64839934888769</v>
      </c>
      <c r="NK149" s="84">
        <f t="shared" ref="NK149:NK150" si="2545">NH149/NI149</f>
        <v>1.843</v>
      </c>
      <c r="NM149" s="383">
        <f>SUM(NM108:NM111)</f>
        <v>1150</v>
      </c>
      <c r="NN149" s="82">
        <f>SUM(NN108:NN111)</f>
        <v>19.829999999999998</v>
      </c>
      <c r="NO149" s="748">
        <f>SUM(NO108:NO111)</f>
        <v>10</v>
      </c>
      <c r="NP149" s="369">
        <f t="shared" ref="NP149:NP150" si="2546">NM149/NN149</f>
        <v>57.992939989914277</v>
      </c>
      <c r="NQ149" s="84">
        <f t="shared" ref="NQ149:NQ150" si="2547">NN149/NO149</f>
        <v>1.9829999999999999</v>
      </c>
      <c r="NS149" s="383">
        <f>SUM(NS108:NS111)</f>
        <v>3250</v>
      </c>
      <c r="NT149" s="82">
        <f>SUM(NT108:NT111)</f>
        <v>51.309999999999988</v>
      </c>
      <c r="NU149" s="748">
        <f>SUM(NU108:NU111)</f>
        <v>8</v>
      </c>
      <c r="NV149" s="369">
        <f t="shared" ref="NV149:NV150" si="2548">NS149/NT149</f>
        <v>63.34047943870592</v>
      </c>
      <c r="NW149" s="84">
        <f t="shared" ref="NW149:NW150" si="2549">NT149/NU149</f>
        <v>6.4137499999999985</v>
      </c>
      <c r="NY149" s="383">
        <f>SUM(NY108:NY111)</f>
        <v>2450</v>
      </c>
      <c r="NZ149" s="82">
        <f>SUM(NZ108:NZ111)</f>
        <v>17.39</v>
      </c>
      <c r="OA149" s="748">
        <f>SUM(OA108:OA111)</f>
        <v>10</v>
      </c>
      <c r="OB149" s="369">
        <f t="shared" ref="OB149:OB150" si="2550">NY149/NZ149</f>
        <v>140.8855664174813</v>
      </c>
      <c r="OC149" s="84">
        <f t="shared" ref="OC149:OC150" si="2551">NZ149/OA149</f>
        <v>1.7390000000000001</v>
      </c>
      <c r="OE149" s="383">
        <f>SUM(OE108:OE111)</f>
        <v>850</v>
      </c>
      <c r="OF149" s="82">
        <f>SUM(OF108:OF111)</f>
        <v>6.6999999999999993</v>
      </c>
      <c r="OG149" s="748">
        <f>SUM(OG108:OG111)</f>
        <v>5</v>
      </c>
      <c r="OH149" s="369">
        <f t="shared" ref="OH149:OH150" si="2552">OE149/OF149</f>
        <v>126.86567164179105</v>
      </c>
      <c r="OI149" s="84">
        <f t="shared" ref="OI149:OI150" si="2553">OF149/OG149</f>
        <v>1.3399999999999999</v>
      </c>
    </row>
    <row r="150" spans="1:399">
      <c r="A150" s="55"/>
      <c r="B150" s="59" t="s">
        <v>31</v>
      </c>
      <c r="C150" s="60"/>
      <c r="D150" s="58" t="s">
        <v>14</v>
      </c>
      <c r="E150" s="79">
        <f t="shared" ref="E150:G151" si="2554">E112</f>
        <v>900</v>
      </c>
      <c r="F150" s="82">
        <f t="shared" si="2554"/>
        <v>9.4</v>
      </c>
      <c r="G150" s="371">
        <f t="shared" si="2554"/>
        <v>5</v>
      </c>
      <c r="H150" s="369">
        <f t="shared" si="2427"/>
        <v>95.744680851063819</v>
      </c>
      <c r="I150" s="370">
        <f t="shared" si="2428"/>
        <v>1.8800000000000001</v>
      </c>
      <c r="J150" s="589"/>
      <c r="K150" s="79">
        <f t="shared" ref="K150:M151" si="2555">K112</f>
        <v>800</v>
      </c>
      <c r="L150" s="82">
        <f t="shared" si="2555"/>
        <v>9.5500000000000007</v>
      </c>
      <c r="M150" s="371">
        <f t="shared" si="2555"/>
        <v>5</v>
      </c>
      <c r="N150" s="369">
        <f t="shared" si="2429"/>
        <v>83.769633507853399</v>
      </c>
      <c r="O150" s="370">
        <f t="shared" si="2430"/>
        <v>1.9100000000000001</v>
      </c>
      <c r="P150" s="589"/>
      <c r="Q150" s="79">
        <f t="shared" ref="Q150:S151" si="2556">Q112</f>
        <v>0</v>
      </c>
      <c r="R150" s="82">
        <f t="shared" si="2556"/>
        <v>0</v>
      </c>
      <c r="S150" s="371">
        <f t="shared" si="2556"/>
        <v>0</v>
      </c>
      <c r="T150" s="369" t="e">
        <f t="shared" si="2431"/>
        <v>#DIV/0!</v>
      </c>
      <c r="U150" s="370" t="e">
        <f t="shared" si="2432"/>
        <v>#DIV/0!</v>
      </c>
      <c r="V150" s="589"/>
      <c r="W150" s="79">
        <f t="shared" ref="W150:Y151" si="2557">W112</f>
        <v>800</v>
      </c>
      <c r="X150" s="82">
        <f t="shared" si="2557"/>
        <v>7.98</v>
      </c>
      <c r="Y150" s="371">
        <f t="shared" si="2557"/>
        <v>5</v>
      </c>
      <c r="Z150" s="369">
        <f t="shared" si="2433"/>
        <v>100.25062656641603</v>
      </c>
      <c r="AA150" s="370">
        <f t="shared" si="2434"/>
        <v>1.5960000000000001</v>
      </c>
      <c r="AB150" s="589"/>
      <c r="AC150" s="79">
        <f t="shared" ref="AC150:AE151" si="2558">AC112</f>
        <v>0</v>
      </c>
      <c r="AD150" s="82">
        <f t="shared" si="2558"/>
        <v>0</v>
      </c>
      <c r="AE150" s="371">
        <f t="shared" si="2558"/>
        <v>0</v>
      </c>
      <c r="AF150" s="369" t="e">
        <f t="shared" si="2435"/>
        <v>#DIV/0!</v>
      </c>
      <c r="AG150" s="370" t="e">
        <f t="shared" si="2436"/>
        <v>#DIV/0!</v>
      </c>
      <c r="AH150" s="589"/>
      <c r="AI150" s="79">
        <f t="shared" ref="AI150:AK151" si="2559">AI112</f>
        <v>530</v>
      </c>
      <c r="AJ150" s="82">
        <f t="shared" si="2559"/>
        <v>6.98</v>
      </c>
      <c r="AK150" s="371">
        <f t="shared" si="2559"/>
        <v>5</v>
      </c>
      <c r="AL150" s="369">
        <f t="shared" si="2437"/>
        <v>75.931232091690546</v>
      </c>
      <c r="AM150" s="370">
        <f t="shared" si="2438"/>
        <v>1.3960000000000001</v>
      </c>
      <c r="AN150" s="589"/>
      <c r="AO150" s="79">
        <f t="shared" ref="AO150:AQ151" si="2560">AO112</f>
        <v>0</v>
      </c>
      <c r="AP150" s="82">
        <f t="shared" si="2560"/>
        <v>0</v>
      </c>
      <c r="AQ150" s="371">
        <f t="shared" si="2560"/>
        <v>0</v>
      </c>
      <c r="AR150" s="369" t="e">
        <f t="shared" si="2439"/>
        <v>#DIV/0!</v>
      </c>
      <c r="AS150" s="370" t="e">
        <f t="shared" si="2440"/>
        <v>#DIV/0!</v>
      </c>
      <c r="AT150" s="589"/>
      <c r="AU150" s="79">
        <f t="shared" ref="AU150:AW151" si="2561">AU112</f>
        <v>950</v>
      </c>
      <c r="AV150" s="82">
        <f t="shared" si="2561"/>
        <v>10.129999999999999</v>
      </c>
      <c r="AW150" s="371">
        <f t="shared" si="2561"/>
        <v>5</v>
      </c>
      <c r="AX150" s="369">
        <f t="shared" si="2441"/>
        <v>93.780848963474838</v>
      </c>
      <c r="AY150" s="370">
        <f t="shared" si="2442"/>
        <v>2.0259999999999998</v>
      </c>
      <c r="AZ150" s="370"/>
      <c r="BA150" s="79">
        <f t="shared" ref="BA150:BC151" si="2562">BA112</f>
        <v>800</v>
      </c>
      <c r="BB150" s="82">
        <f t="shared" si="2562"/>
        <v>8.7900000000000009</v>
      </c>
      <c r="BC150" s="371">
        <f t="shared" si="2562"/>
        <v>5</v>
      </c>
      <c r="BD150" s="369">
        <f t="shared" si="2443"/>
        <v>91.012514220705341</v>
      </c>
      <c r="BE150" s="370">
        <f t="shared" si="2444"/>
        <v>1.7580000000000002</v>
      </c>
      <c r="BF150" s="370"/>
      <c r="BG150" s="79">
        <f t="shared" ref="BG150:BI151" si="2563">BG112</f>
        <v>0</v>
      </c>
      <c r="BH150" s="82">
        <f t="shared" si="2563"/>
        <v>0</v>
      </c>
      <c r="BI150" s="371">
        <f t="shared" si="2563"/>
        <v>0</v>
      </c>
      <c r="BJ150" s="369" t="e">
        <f t="shared" si="2445"/>
        <v>#DIV/0!</v>
      </c>
      <c r="BK150" s="370" t="e">
        <f t="shared" si="2446"/>
        <v>#DIV/0!</v>
      </c>
      <c r="BL150" s="370"/>
      <c r="BM150" s="79">
        <f t="shared" ref="BM150:BO151" si="2564">BM112</f>
        <v>0</v>
      </c>
      <c r="BN150" s="82">
        <f t="shared" si="2564"/>
        <v>0</v>
      </c>
      <c r="BO150" s="371">
        <f t="shared" si="2564"/>
        <v>0</v>
      </c>
      <c r="BP150" s="369" t="e">
        <f t="shared" si="2447"/>
        <v>#DIV/0!</v>
      </c>
      <c r="BQ150" s="370" t="e">
        <f t="shared" si="2448"/>
        <v>#DIV/0!</v>
      </c>
      <c r="BR150" s="589"/>
      <c r="BS150" s="79">
        <f t="shared" ref="BS150:BU151" si="2565">BS112</f>
        <v>0</v>
      </c>
      <c r="BT150" s="82">
        <f t="shared" si="2565"/>
        <v>0</v>
      </c>
      <c r="BU150" s="371">
        <f t="shared" si="2565"/>
        <v>0</v>
      </c>
      <c r="BV150" s="369" t="e">
        <f t="shared" si="2449"/>
        <v>#DIV/0!</v>
      </c>
      <c r="BW150" s="370" t="e">
        <f t="shared" si="2450"/>
        <v>#DIV/0!</v>
      </c>
      <c r="BX150" s="370"/>
      <c r="BY150" s="79">
        <f t="shared" ref="BY150:CA151" si="2566">BY112</f>
        <v>950</v>
      </c>
      <c r="BZ150" s="82">
        <f t="shared" si="2566"/>
        <v>10.129999999999999</v>
      </c>
      <c r="CA150" s="371">
        <f t="shared" si="2566"/>
        <v>5</v>
      </c>
      <c r="CB150" s="369">
        <f t="shared" si="2451"/>
        <v>93.780848963474838</v>
      </c>
      <c r="CC150" s="370">
        <f t="shared" si="2452"/>
        <v>2.0259999999999998</v>
      </c>
      <c r="CD150" s="370"/>
      <c r="CE150" s="79">
        <f t="shared" ref="CE150:CG151" si="2567">CE112</f>
        <v>0</v>
      </c>
      <c r="CF150" s="82">
        <f t="shared" si="2567"/>
        <v>0</v>
      </c>
      <c r="CG150" s="371">
        <f t="shared" si="2567"/>
        <v>0</v>
      </c>
      <c r="CH150" s="369" t="e">
        <f t="shared" si="2453"/>
        <v>#DIV/0!</v>
      </c>
      <c r="CI150" s="370" t="e">
        <f t="shared" si="2454"/>
        <v>#DIV/0!</v>
      </c>
      <c r="CJ150" s="370"/>
      <c r="CK150" s="79">
        <f t="shared" ref="CK150:CM151" si="2568">CK112</f>
        <v>380</v>
      </c>
      <c r="CL150" s="82">
        <f t="shared" si="2568"/>
        <v>6.8800000000000008</v>
      </c>
      <c r="CM150" s="371">
        <f t="shared" si="2568"/>
        <v>5</v>
      </c>
      <c r="CN150" s="369">
        <f t="shared" si="2455"/>
        <v>55.232558139534881</v>
      </c>
      <c r="CO150" s="370">
        <f t="shared" si="2456"/>
        <v>1.3760000000000001</v>
      </c>
      <c r="CP150" s="370"/>
      <c r="CQ150" s="79">
        <f t="shared" ref="CQ150:CS151" si="2569">CQ112</f>
        <v>260</v>
      </c>
      <c r="CR150" s="82">
        <f t="shared" si="2569"/>
        <v>6.74</v>
      </c>
      <c r="CS150" s="371">
        <f t="shared" si="2569"/>
        <v>5</v>
      </c>
      <c r="CT150" s="369">
        <f t="shared" si="2457"/>
        <v>38.575667655786347</v>
      </c>
      <c r="CU150" s="370">
        <f t="shared" si="2458"/>
        <v>1.3480000000000001</v>
      </c>
      <c r="CV150" s="370"/>
      <c r="CW150" s="79">
        <f t="shared" ref="CW150:CY151" si="2570">CW112</f>
        <v>950</v>
      </c>
      <c r="CX150" s="82">
        <f t="shared" si="2570"/>
        <v>10.129999999999999</v>
      </c>
      <c r="CY150" s="371">
        <f t="shared" si="2570"/>
        <v>5</v>
      </c>
      <c r="CZ150" s="369">
        <f t="shared" si="2459"/>
        <v>93.780848963474838</v>
      </c>
      <c r="DA150" s="370">
        <f t="shared" si="2460"/>
        <v>2.0259999999999998</v>
      </c>
      <c r="DB150" s="370"/>
      <c r="DC150" s="79">
        <f t="shared" ref="DC150:DE151" si="2571">DC112</f>
        <v>420</v>
      </c>
      <c r="DD150" s="82">
        <f t="shared" si="2571"/>
        <v>6.33</v>
      </c>
      <c r="DE150" s="371">
        <f t="shared" si="2571"/>
        <v>5</v>
      </c>
      <c r="DF150" s="369">
        <f t="shared" si="2461"/>
        <v>66.350710900473928</v>
      </c>
      <c r="DG150" s="370">
        <f t="shared" si="2462"/>
        <v>1.266</v>
      </c>
      <c r="DH150" s="370"/>
      <c r="DI150" s="79">
        <f t="shared" ref="DI150:DK151" si="2572">DI112</f>
        <v>0</v>
      </c>
      <c r="DJ150" s="82">
        <f t="shared" si="2572"/>
        <v>0</v>
      </c>
      <c r="DK150" s="371">
        <f t="shared" si="2572"/>
        <v>0</v>
      </c>
      <c r="DL150" s="369" t="e">
        <f t="shared" si="2463"/>
        <v>#DIV/0!</v>
      </c>
      <c r="DM150" s="370" t="e">
        <f t="shared" si="2464"/>
        <v>#DIV/0!</v>
      </c>
      <c r="DN150" s="370"/>
      <c r="DO150" s="79">
        <f t="shared" ref="DO150:DQ151" si="2573">DO112</f>
        <v>530</v>
      </c>
      <c r="DP150" s="82">
        <f t="shared" si="2573"/>
        <v>6.45</v>
      </c>
      <c r="DQ150" s="371">
        <f t="shared" si="2573"/>
        <v>5</v>
      </c>
      <c r="DR150" s="369">
        <f t="shared" si="2465"/>
        <v>82.170542635658919</v>
      </c>
      <c r="DS150" s="370">
        <f t="shared" si="2466"/>
        <v>1.29</v>
      </c>
      <c r="DT150" s="370"/>
      <c r="DU150" s="79">
        <f t="shared" ref="DU150:DW151" si="2574">DU112</f>
        <v>0</v>
      </c>
      <c r="DV150" s="82">
        <f t="shared" si="2574"/>
        <v>0</v>
      </c>
      <c r="DW150" s="371">
        <f t="shared" si="2574"/>
        <v>0</v>
      </c>
      <c r="DX150" s="369" t="e">
        <f t="shared" si="2467"/>
        <v>#DIV/0!</v>
      </c>
      <c r="DY150" s="370" t="e">
        <f t="shared" si="2468"/>
        <v>#DIV/0!</v>
      </c>
      <c r="DZ150" s="370"/>
      <c r="EA150" s="79">
        <f t="shared" ref="EA150:EC151" si="2575">EA112</f>
        <v>0</v>
      </c>
      <c r="EB150" s="82">
        <f t="shared" si="2575"/>
        <v>0</v>
      </c>
      <c r="EC150" s="371">
        <f t="shared" si="2575"/>
        <v>0</v>
      </c>
      <c r="ED150" s="369" t="e">
        <f t="shared" si="2469"/>
        <v>#DIV/0!</v>
      </c>
      <c r="EE150" s="370" t="e">
        <f t="shared" si="2470"/>
        <v>#DIV/0!</v>
      </c>
      <c r="EF150" s="370"/>
      <c r="EG150" s="79">
        <f t="shared" ref="EG150:EI151" si="2576">EG112</f>
        <v>0</v>
      </c>
      <c r="EH150" s="82">
        <f t="shared" si="2576"/>
        <v>0</v>
      </c>
      <c r="EI150" s="371">
        <f t="shared" si="2576"/>
        <v>0</v>
      </c>
      <c r="EJ150" s="369" t="e">
        <f t="shared" si="2471"/>
        <v>#DIV/0!</v>
      </c>
      <c r="EK150" s="370" t="e">
        <f t="shared" si="2472"/>
        <v>#DIV/0!</v>
      </c>
      <c r="EL150" s="370"/>
      <c r="EM150" s="79">
        <f t="shared" ref="EM150:EO151" si="2577">EM112</f>
        <v>0</v>
      </c>
      <c r="EN150" s="82">
        <f t="shared" si="2577"/>
        <v>0</v>
      </c>
      <c r="EO150" s="371">
        <f t="shared" si="2577"/>
        <v>0</v>
      </c>
      <c r="EP150" s="369" t="e">
        <f t="shared" si="2473"/>
        <v>#DIV/0!</v>
      </c>
      <c r="EQ150" s="370" t="e">
        <f t="shared" si="2474"/>
        <v>#DIV/0!</v>
      </c>
      <c r="ER150" s="589"/>
      <c r="ES150" s="79">
        <f t="shared" ref="ES150:EU151" si="2578">ES112</f>
        <v>950</v>
      </c>
      <c r="ET150" s="82">
        <f t="shared" si="2578"/>
        <v>10.129999999999999</v>
      </c>
      <c r="EU150" s="371">
        <f t="shared" si="2578"/>
        <v>5</v>
      </c>
      <c r="EV150" s="369">
        <f t="shared" si="2343"/>
        <v>93.780848963474838</v>
      </c>
      <c r="EW150" s="370">
        <f t="shared" si="2344"/>
        <v>2.0259999999999998</v>
      </c>
      <c r="EY150" s="91">
        <f t="shared" ref="EY150:FA151" si="2579">EY112</f>
        <v>530</v>
      </c>
      <c r="EZ150" s="82">
        <f t="shared" si="2579"/>
        <v>6.98</v>
      </c>
      <c r="FA150" s="371">
        <f t="shared" si="2579"/>
        <v>5</v>
      </c>
      <c r="FB150" s="369">
        <f t="shared" si="2423"/>
        <v>75.931232091690546</v>
      </c>
      <c r="FC150" s="370">
        <f t="shared" si="2424"/>
        <v>1.3960000000000001</v>
      </c>
      <c r="FD150" s="178"/>
      <c r="FE150" s="379">
        <f t="shared" ref="FE150:FG151" si="2580">FE112</f>
        <v>0</v>
      </c>
      <c r="FF150" s="369">
        <f t="shared" si="2580"/>
        <v>0</v>
      </c>
      <c r="FG150" s="371">
        <f t="shared" si="2580"/>
        <v>0</v>
      </c>
      <c r="FH150" s="361" t="e">
        <f>FE150/FF150</f>
        <v>#DIV/0!</v>
      </c>
      <c r="FI150" s="362" t="e">
        <f>FF150/FG150</f>
        <v>#DIV/0!</v>
      </c>
      <c r="FK150" s="91">
        <f t="shared" ref="FK150:FM151" si="2581">FK112</f>
        <v>700</v>
      </c>
      <c r="FL150" s="369">
        <f t="shared" si="2581"/>
        <v>7.0600000000000005</v>
      </c>
      <c r="FM150" s="371">
        <f t="shared" si="2581"/>
        <v>5</v>
      </c>
      <c r="FN150" s="369">
        <f t="shared" si="2476"/>
        <v>99.150141643059484</v>
      </c>
      <c r="FO150" s="370">
        <f t="shared" si="2477"/>
        <v>1.4120000000000001</v>
      </c>
      <c r="FQ150" s="91">
        <f t="shared" ref="FQ150:FS151" si="2582">FQ112</f>
        <v>250</v>
      </c>
      <c r="FR150" s="369">
        <f t="shared" si="2582"/>
        <v>6.129999999999999</v>
      </c>
      <c r="FS150" s="371">
        <f t="shared" si="2582"/>
        <v>5</v>
      </c>
      <c r="FT150" s="369">
        <f t="shared" si="2478"/>
        <v>40.783034257748781</v>
      </c>
      <c r="FU150" s="370">
        <f t="shared" si="2479"/>
        <v>1.2259999999999998</v>
      </c>
      <c r="FV150" s="178"/>
      <c r="FW150" s="91">
        <f t="shared" ref="FW150:FY151" si="2583">FW112</f>
        <v>420</v>
      </c>
      <c r="FX150" s="369">
        <f t="shared" si="2583"/>
        <v>6.33</v>
      </c>
      <c r="FY150" s="371">
        <f t="shared" si="2583"/>
        <v>5</v>
      </c>
      <c r="FZ150" s="369">
        <f t="shared" si="2480"/>
        <v>66.350710900473928</v>
      </c>
      <c r="GA150" s="370">
        <f t="shared" si="2481"/>
        <v>1.266</v>
      </c>
      <c r="GC150" s="379">
        <f t="shared" ref="GC150:GE151" si="2584">GC112</f>
        <v>950</v>
      </c>
      <c r="GD150" s="369">
        <f t="shared" si="2584"/>
        <v>3.9</v>
      </c>
      <c r="GE150" s="371">
        <f t="shared" si="2584"/>
        <v>5</v>
      </c>
      <c r="GF150" s="369">
        <f t="shared" si="2482"/>
        <v>243.58974358974359</v>
      </c>
      <c r="GG150" s="370">
        <f t="shared" si="2483"/>
        <v>0.78</v>
      </c>
      <c r="GI150" s="379">
        <f t="shared" ref="GI150:GK151" si="2585">GI112</f>
        <v>450</v>
      </c>
      <c r="GJ150" s="369">
        <f t="shared" si="2585"/>
        <v>5.92</v>
      </c>
      <c r="GK150" s="371">
        <f t="shared" si="2585"/>
        <v>5</v>
      </c>
      <c r="GL150" s="369">
        <f t="shared" si="2484"/>
        <v>76.013513513513516</v>
      </c>
      <c r="GM150" s="370">
        <f t="shared" si="2485"/>
        <v>1.1839999999999999</v>
      </c>
      <c r="GO150" s="379">
        <f t="shared" ref="GO150:GQ151" si="2586">GO112</f>
        <v>500</v>
      </c>
      <c r="GP150" s="369">
        <f t="shared" si="2586"/>
        <v>5.8999999999999995</v>
      </c>
      <c r="GQ150" s="371">
        <f t="shared" si="2586"/>
        <v>5</v>
      </c>
      <c r="GR150" s="369">
        <f t="shared" si="2486"/>
        <v>84.745762711864415</v>
      </c>
      <c r="GS150" s="370">
        <f t="shared" si="2487"/>
        <v>1.18</v>
      </c>
      <c r="GU150" s="379">
        <f t="shared" ref="GU150:GW151" si="2587">GU112</f>
        <v>2150</v>
      </c>
      <c r="GV150" s="369">
        <f t="shared" si="2587"/>
        <v>5.72</v>
      </c>
      <c r="GW150" s="371">
        <f t="shared" si="2587"/>
        <v>5</v>
      </c>
      <c r="GX150" s="369">
        <f t="shared" si="2488"/>
        <v>375.87412587412587</v>
      </c>
      <c r="GY150" s="370">
        <f t="shared" si="2489"/>
        <v>1.1439999999999999</v>
      </c>
      <c r="HA150" s="91">
        <f t="shared" ref="HA150:HC151" si="2588">HA112</f>
        <v>0</v>
      </c>
      <c r="HB150" s="82">
        <f t="shared" si="2588"/>
        <v>0</v>
      </c>
      <c r="HC150" s="371">
        <f t="shared" si="2588"/>
        <v>0</v>
      </c>
      <c r="HD150" s="361" t="e">
        <f>HA150/HB150</f>
        <v>#DIV/0!</v>
      </c>
      <c r="HE150" s="362" t="e">
        <f>HB150/HC150</f>
        <v>#DIV/0!</v>
      </c>
      <c r="HG150" s="91">
        <f t="shared" ref="HG150:HI151" si="2589">HG112</f>
        <v>530</v>
      </c>
      <c r="HH150" s="82">
        <f t="shared" si="2589"/>
        <v>6.45</v>
      </c>
      <c r="HI150" s="79">
        <f t="shared" si="2589"/>
        <v>5</v>
      </c>
      <c r="HJ150" s="82">
        <f t="shared" si="2492"/>
        <v>82.170542635658919</v>
      </c>
      <c r="HK150" s="84">
        <f t="shared" si="2493"/>
        <v>1.29</v>
      </c>
      <c r="HM150" s="91">
        <f t="shared" ref="HM150:HO151" si="2590">HM112</f>
        <v>900</v>
      </c>
      <c r="HN150" s="82">
        <f t="shared" si="2590"/>
        <v>9.4</v>
      </c>
      <c r="HO150" s="371">
        <f t="shared" si="2590"/>
        <v>5</v>
      </c>
      <c r="HP150" s="369">
        <f t="shared" si="2494"/>
        <v>95.744680851063819</v>
      </c>
      <c r="HQ150" s="370">
        <f t="shared" si="2495"/>
        <v>1.8800000000000001</v>
      </c>
      <c r="HS150" s="91">
        <f t="shared" ref="HS150:HU151" si="2591">HS112</f>
        <v>800</v>
      </c>
      <c r="HT150" s="82">
        <f t="shared" si="2591"/>
        <v>9.5500000000000007</v>
      </c>
      <c r="HU150" s="371">
        <f t="shared" si="2591"/>
        <v>5</v>
      </c>
      <c r="HV150" s="369">
        <f t="shared" si="2496"/>
        <v>83.769633507853399</v>
      </c>
      <c r="HW150" s="370">
        <f t="shared" si="2497"/>
        <v>1.9100000000000001</v>
      </c>
      <c r="HX150" s="178"/>
      <c r="HY150" s="91">
        <f t="shared" ref="HY150:IA151" si="2592">HY112</f>
        <v>430</v>
      </c>
      <c r="HZ150" s="82">
        <f t="shared" si="2592"/>
        <v>5.49</v>
      </c>
      <c r="IA150" s="371">
        <f t="shared" si="2592"/>
        <v>5</v>
      </c>
      <c r="IB150" s="369">
        <f t="shared" si="2498"/>
        <v>78.32422586520947</v>
      </c>
      <c r="IC150" s="370">
        <f t="shared" si="2499"/>
        <v>1.0980000000000001</v>
      </c>
      <c r="IE150" s="91">
        <f t="shared" ref="IE150:IG151" si="2593">IE112</f>
        <v>430</v>
      </c>
      <c r="IF150" s="82">
        <f t="shared" si="2593"/>
        <v>7.23</v>
      </c>
      <c r="IG150" s="79">
        <f t="shared" si="2593"/>
        <v>5</v>
      </c>
      <c r="IH150" s="82">
        <f t="shared" si="2500"/>
        <v>59.474412171507602</v>
      </c>
      <c r="II150" s="84">
        <f t="shared" si="2501"/>
        <v>1.4460000000000002</v>
      </c>
      <c r="IK150" s="91">
        <f t="shared" ref="IK150:IM151" si="2594">IK112</f>
        <v>400</v>
      </c>
      <c r="IL150" s="82">
        <f t="shared" si="2594"/>
        <v>5.7</v>
      </c>
      <c r="IM150" s="79">
        <f t="shared" si="2594"/>
        <v>5</v>
      </c>
      <c r="IN150" s="82">
        <f t="shared" si="2502"/>
        <v>70.175438596491219</v>
      </c>
      <c r="IO150" s="84">
        <f t="shared" si="2503"/>
        <v>1.1400000000000001</v>
      </c>
      <c r="IQ150" s="91">
        <f t="shared" ref="IQ150:IS151" si="2595">IQ112</f>
        <v>550</v>
      </c>
      <c r="IR150" s="82">
        <f t="shared" si="2595"/>
        <v>5.28</v>
      </c>
      <c r="IS150" s="79">
        <f t="shared" si="2595"/>
        <v>5</v>
      </c>
      <c r="IT150" s="82">
        <f t="shared" si="2504"/>
        <v>104.16666666666666</v>
      </c>
      <c r="IU150" s="84">
        <f t="shared" si="2505"/>
        <v>1.056</v>
      </c>
      <c r="IW150" s="91">
        <f t="shared" ref="IW150:IY151" si="2596">IW112</f>
        <v>290</v>
      </c>
      <c r="IX150" s="82">
        <f t="shared" si="2596"/>
        <v>4.24</v>
      </c>
      <c r="IY150" s="79">
        <f t="shared" si="2596"/>
        <v>5</v>
      </c>
      <c r="IZ150" s="82">
        <f t="shared" si="2506"/>
        <v>68.396226415094333</v>
      </c>
      <c r="JA150" s="84">
        <f t="shared" si="2507"/>
        <v>0.84800000000000009</v>
      </c>
      <c r="JC150" s="91">
        <f t="shared" ref="JC150:JE151" si="2597">JC112</f>
        <v>530</v>
      </c>
      <c r="JD150" s="82">
        <f t="shared" si="2597"/>
        <v>5.0999999999999996</v>
      </c>
      <c r="JE150" s="79">
        <f t="shared" si="2597"/>
        <v>5</v>
      </c>
      <c r="JF150" s="82">
        <f t="shared" si="2508"/>
        <v>103.92156862745098</v>
      </c>
      <c r="JG150" s="84">
        <f t="shared" si="2509"/>
        <v>1.02</v>
      </c>
      <c r="JI150" s="91">
        <f t="shared" ref="JI150:JK151" si="2598">JI112</f>
        <v>680</v>
      </c>
      <c r="JJ150" s="82">
        <f t="shared" si="2598"/>
        <v>5.45</v>
      </c>
      <c r="JK150" s="79">
        <f t="shared" si="2598"/>
        <v>5</v>
      </c>
      <c r="JL150" s="82">
        <f t="shared" si="2510"/>
        <v>124.77064220183486</v>
      </c>
      <c r="JM150" s="84">
        <f t="shared" si="2511"/>
        <v>1.0900000000000001</v>
      </c>
      <c r="JO150" s="91">
        <f t="shared" ref="JO150:JQ151" si="2599">JO112</f>
        <v>550</v>
      </c>
      <c r="JP150" s="82">
        <f t="shared" si="2599"/>
        <v>7.02</v>
      </c>
      <c r="JQ150" s="79">
        <f t="shared" si="2599"/>
        <v>5</v>
      </c>
      <c r="JR150" s="82">
        <f t="shared" si="2512"/>
        <v>78.347578347578349</v>
      </c>
      <c r="JS150" s="84">
        <f t="shared" si="2513"/>
        <v>1.4039999999999999</v>
      </c>
      <c r="JU150" s="383">
        <f t="shared" ref="JU150:JW162" si="2600">SUM(JU112)</f>
        <v>650</v>
      </c>
      <c r="JV150" s="82">
        <f t="shared" si="2600"/>
        <v>6.88</v>
      </c>
      <c r="JW150" s="748">
        <f t="shared" si="2600"/>
        <v>5</v>
      </c>
      <c r="JX150" s="369">
        <f t="shared" si="2514"/>
        <v>94.476744186046517</v>
      </c>
      <c r="JY150" s="84">
        <f t="shared" si="2515"/>
        <v>1.3759999999999999</v>
      </c>
      <c r="KA150" s="383">
        <f t="shared" ref="KA150:KC162" si="2601">SUM(KA112)</f>
        <v>850</v>
      </c>
      <c r="KB150" s="82">
        <f t="shared" si="2601"/>
        <v>8.1999999999999993</v>
      </c>
      <c r="KC150" s="748">
        <f t="shared" si="2601"/>
        <v>4</v>
      </c>
      <c r="KD150" s="369">
        <f t="shared" si="2516"/>
        <v>103.65853658536587</v>
      </c>
      <c r="KE150" s="84">
        <f t="shared" si="2517"/>
        <v>2.0499999999999998</v>
      </c>
      <c r="KG150" s="383">
        <f t="shared" ref="KG150:KI150" si="2602">SUM(KG112)</f>
        <v>650</v>
      </c>
      <c r="KH150" s="82">
        <f t="shared" si="2602"/>
        <v>8.14</v>
      </c>
      <c r="KI150" s="748">
        <f t="shared" si="2602"/>
        <v>5</v>
      </c>
      <c r="KJ150" s="369">
        <f t="shared" si="2518"/>
        <v>79.852579852579851</v>
      </c>
      <c r="KK150" s="84">
        <f t="shared" si="2519"/>
        <v>1.6280000000000001</v>
      </c>
      <c r="KM150" s="383">
        <f t="shared" ref="KM150:KO150" si="2603">SUM(KM112)</f>
        <v>550</v>
      </c>
      <c r="KN150" s="82">
        <f t="shared" si="2603"/>
        <v>7.8199999999999994</v>
      </c>
      <c r="KO150" s="748">
        <f t="shared" si="2603"/>
        <v>5</v>
      </c>
      <c r="KP150" s="369">
        <f t="shared" si="2520"/>
        <v>70.332480818414325</v>
      </c>
      <c r="KQ150" s="84">
        <f t="shared" si="2521"/>
        <v>1.5639999999999998</v>
      </c>
      <c r="KS150" s="383">
        <f t="shared" ref="KS150:KU150" si="2604">SUM(KS112)</f>
        <v>800</v>
      </c>
      <c r="KT150" s="82">
        <f t="shared" si="2604"/>
        <v>7.53</v>
      </c>
      <c r="KU150" s="748">
        <f t="shared" si="2604"/>
        <v>5</v>
      </c>
      <c r="KV150" s="369">
        <f t="shared" si="2522"/>
        <v>106.24169986719787</v>
      </c>
      <c r="KW150" s="84">
        <f t="shared" si="2523"/>
        <v>1.506</v>
      </c>
      <c r="KY150" s="383">
        <f t="shared" ref="KY150:LA150" si="2605">SUM(KY112)</f>
        <v>0</v>
      </c>
      <c r="KZ150" s="82">
        <f t="shared" si="2605"/>
        <v>0</v>
      </c>
      <c r="LA150" s="748">
        <f t="shared" si="2605"/>
        <v>0</v>
      </c>
      <c r="LB150" s="369" t="e">
        <f t="shared" si="2524"/>
        <v>#DIV/0!</v>
      </c>
      <c r="LC150" s="84" t="e">
        <f t="shared" si="2525"/>
        <v>#DIV/0!</v>
      </c>
      <c r="LE150" s="383">
        <f t="shared" ref="LE150:LG150" si="2606">SUM(LE112)</f>
        <v>350</v>
      </c>
      <c r="LF150" s="82">
        <f t="shared" si="2606"/>
        <v>4.4000000000000004</v>
      </c>
      <c r="LG150" s="748">
        <f t="shared" si="2606"/>
        <v>3</v>
      </c>
      <c r="LH150" s="369">
        <f t="shared" si="2526"/>
        <v>79.545454545454533</v>
      </c>
      <c r="LI150" s="84">
        <f t="shared" si="2527"/>
        <v>1.4666666666666668</v>
      </c>
      <c r="LK150" s="383">
        <f t="shared" ref="LK150:LM150" si="2607">SUM(LK112)</f>
        <v>0</v>
      </c>
      <c r="LL150" s="82">
        <f t="shared" si="2607"/>
        <v>0</v>
      </c>
      <c r="LM150" s="748">
        <f t="shared" si="2607"/>
        <v>0</v>
      </c>
      <c r="LN150" s="369" t="e">
        <f t="shared" si="2528"/>
        <v>#DIV/0!</v>
      </c>
      <c r="LO150" s="84" t="e">
        <f t="shared" si="2529"/>
        <v>#DIV/0!</v>
      </c>
      <c r="LQ150" s="383">
        <f t="shared" ref="LQ150:LS150" si="2608">SUM(LQ112)</f>
        <v>750</v>
      </c>
      <c r="LR150" s="82">
        <f t="shared" si="2608"/>
        <v>7.9499999999999993</v>
      </c>
      <c r="LS150" s="748">
        <f t="shared" si="2608"/>
        <v>5</v>
      </c>
      <c r="LT150" s="369">
        <f t="shared" si="2530"/>
        <v>94.339622641509436</v>
      </c>
      <c r="LU150" s="84">
        <f t="shared" si="2531"/>
        <v>1.5899999999999999</v>
      </c>
      <c r="LW150" s="383">
        <f t="shared" ref="LW150:LY150" si="2609">SUM(LW112)</f>
        <v>770</v>
      </c>
      <c r="LX150" s="82">
        <f t="shared" si="2609"/>
        <v>6.04</v>
      </c>
      <c r="LY150" s="748">
        <f t="shared" si="2609"/>
        <v>5</v>
      </c>
      <c r="LZ150" s="369">
        <f t="shared" si="2532"/>
        <v>127.48344370860927</v>
      </c>
      <c r="MA150" s="84">
        <f t="shared" si="2533"/>
        <v>1.208</v>
      </c>
      <c r="MC150" s="383">
        <f t="shared" ref="MC150:ME150" si="2610">SUM(MC112)</f>
        <v>800</v>
      </c>
      <c r="MD150" s="82">
        <f t="shared" si="2610"/>
        <v>7.09</v>
      </c>
      <c r="ME150" s="748">
        <f t="shared" si="2610"/>
        <v>5</v>
      </c>
      <c r="MF150" s="369">
        <f t="shared" si="2534"/>
        <v>112.83497884344148</v>
      </c>
      <c r="MG150" s="84">
        <f t="shared" si="2535"/>
        <v>1.4179999999999999</v>
      </c>
      <c r="MI150" s="383">
        <f t="shared" ref="MI150:MK150" si="2611">SUM(MI112)</f>
        <v>500</v>
      </c>
      <c r="MJ150" s="82">
        <f t="shared" si="2611"/>
        <v>8.2399999999999984</v>
      </c>
      <c r="MK150" s="748">
        <f t="shared" si="2611"/>
        <v>5</v>
      </c>
      <c r="ML150" s="369">
        <f t="shared" si="2536"/>
        <v>60.679611650485448</v>
      </c>
      <c r="MM150" s="84">
        <f t="shared" si="2537"/>
        <v>1.6479999999999997</v>
      </c>
      <c r="MO150" s="383">
        <f t="shared" ref="MO150:MQ150" si="2612">SUM(MO112)</f>
        <v>0</v>
      </c>
      <c r="MP150" s="82">
        <f t="shared" si="2612"/>
        <v>0</v>
      </c>
      <c r="MQ150" s="748">
        <f t="shared" si="2612"/>
        <v>0</v>
      </c>
      <c r="MR150" s="369" t="e">
        <f t="shared" si="2538"/>
        <v>#DIV/0!</v>
      </c>
      <c r="MS150" s="84" t="e">
        <f t="shared" si="2539"/>
        <v>#DIV/0!</v>
      </c>
      <c r="MU150" s="383">
        <f t="shared" ref="MU150:MW150" si="2613">SUM(MU112)</f>
        <v>0</v>
      </c>
      <c r="MV150" s="82">
        <f t="shared" si="2613"/>
        <v>0</v>
      </c>
      <c r="MW150" s="748">
        <f t="shared" si="2613"/>
        <v>0</v>
      </c>
      <c r="MX150" s="369" t="e">
        <f t="shared" si="2540"/>
        <v>#DIV/0!</v>
      </c>
      <c r="MY150" s="84" t="e">
        <f t="shared" si="2541"/>
        <v>#DIV/0!</v>
      </c>
      <c r="NA150" s="383">
        <f t="shared" ref="NA150:NC150" si="2614">SUM(NA112)</f>
        <v>680</v>
      </c>
      <c r="NB150" s="748">
        <f t="shared" si="2614"/>
        <v>6.4799999999999995</v>
      </c>
      <c r="NC150" s="748">
        <f t="shared" si="2614"/>
        <v>5</v>
      </c>
      <c r="ND150" s="369">
        <f t="shared" si="2542"/>
        <v>104.93827160493828</v>
      </c>
      <c r="NE150" s="84">
        <f t="shared" si="2543"/>
        <v>1.2959999999999998</v>
      </c>
      <c r="NG150" s="383">
        <f t="shared" ref="NG150:NI150" si="2615">SUM(NG112)</f>
        <v>480</v>
      </c>
      <c r="NH150" s="82">
        <f t="shared" si="2615"/>
        <v>7.04</v>
      </c>
      <c r="NI150" s="748">
        <f t="shared" si="2615"/>
        <v>5</v>
      </c>
      <c r="NJ150" s="369">
        <f t="shared" si="2544"/>
        <v>68.181818181818187</v>
      </c>
      <c r="NK150" s="84">
        <f t="shared" si="2545"/>
        <v>1.4079999999999999</v>
      </c>
      <c r="NM150" s="383">
        <f t="shared" ref="NM150:NO150" si="2616">SUM(NM112)</f>
        <v>500</v>
      </c>
      <c r="NN150" s="82">
        <f t="shared" si="2616"/>
        <v>7.25</v>
      </c>
      <c r="NO150" s="748">
        <f t="shared" si="2616"/>
        <v>5</v>
      </c>
      <c r="NP150" s="369">
        <f t="shared" si="2546"/>
        <v>68.965517241379317</v>
      </c>
      <c r="NQ150" s="84">
        <f t="shared" si="2547"/>
        <v>1.45</v>
      </c>
      <c r="NS150" s="383">
        <f t="shared" ref="NS150:NU150" si="2617">SUM(NS112)</f>
        <v>390</v>
      </c>
      <c r="NT150" s="82">
        <f t="shared" si="2617"/>
        <v>4.46</v>
      </c>
      <c r="NU150" s="748">
        <f t="shared" si="2617"/>
        <v>0</v>
      </c>
      <c r="NV150" s="369">
        <f t="shared" si="2548"/>
        <v>87.443946188340803</v>
      </c>
      <c r="NW150" s="84" t="e">
        <f t="shared" si="2549"/>
        <v>#DIV/0!</v>
      </c>
      <c r="NY150" s="383">
        <f t="shared" ref="NY150:OA150" si="2618">SUM(NY112)</f>
        <v>530</v>
      </c>
      <c r="NZ150" s="82">
        <f t="shared" si="2618"/>
        <v>5.32</v>
      </c>
      <c r="OA150" s="748">
        <f t="shared" si="2618"/>
        <v>5</v>
      </c>
      <c r="OB150" s="369">
        <f t="shared" si="2550"/>
        <v>99.624060150375939</v>
      </c>
      <c r="OC150" s="84">
        <f t="shared" si="2551"/>
        <v>1.0640000000000001</v>
      </c>
      <c r="OE150" s="383">
        <f t="shared" ref="OE150:OG150" si="2619">SUM(OE112)</f>
        <v>550</v>
      </c>
      <c r="OF150" s="82">
        <f t="shared" si="2619"/>
        <v>5.870000000000001</v>
      </c>
      <c r="OG150" s="748">
        <f t="shared" si="2619"/>
        <v>5</v>
      </c>
      <c r="OH150" s="369">
        <f t="shared" si="2552"/>
        <v>93.696763202725705</v>
      </c>
      <c r="OI150" s="84">
        <f t="shared" si="2553"/>
        <v>1.1740000000000002</v>
      </c>
    </row>
    <row r="151" spans="1:399">
      <c r="A151" s="55"/>
      <c r="B151" s="59" t="s">
        <v>32</v>
      </c>
      <c r="C151" s="60"/>
      <c r="D151" s="58" t="s">
        <v>14</v>
      </c>
      <c r="E151" s="79">
        <f t="shared" si="2554"/>
        <v>1300</v>
      </c>
      <c r="F151" s="82">
        <f t="shared" si="2554"/>
        <v>7.25</v>
      </c>
      <c r="G151" s="371">
        <f t="shared" si="2554"/>
        <v>2</v>
      </c>
      <c r="H151" s="369">
        <f>E151/F151</f>
        <v>179.31034482758622</v>
      </c>
      <c r="I151" s="370">
        <f>F151/G151</f>
        <v>3.625</v>
      </c>
      <c r="J151" s="589"/>
      <c r="K151" s="79">
        <f t="shared" si="2555"/>
        <v>0</v>
      </c>
      <c r="L151" s="82">
        <f t="shared" si="2555"/>
        <v>0</v>
      </c>
      <c r="M151" s="371">
        <f t="shared" si="2555"/>
        <v>0</v>
      </c>
      <c r="N151" s="369" t="e">
        <f>K151/L151</f>
        <v>#DIV/0!</v>
      </c>
      <c r="O151" s="370" t="e">
        <f>L151/M151</f>
        <v>#DIV/0!</v>
      </c>
      <c r="P151" s="589"/>
      <c r="Q151" s="79">
        <f t="shared" si="2556"/>
        <v>6150</v>
      </c>
      <c r="R151" s="82">
        <f t="shared" si="2556"/>
        <v>22.7</v>
      </c>
      <c r="S151" s="371">
        <f t="shared" si="2556"/>
        <v>5</v>
      </c>
      <c r="T151" s="369">
        <f>Q151/R151</f>
        <v>270.92511013215858</v>
      </c>
      <c r="U151" s="370">
        <f>R151/S151</f>
        <v>4.54</v>
      </c>
      <c r="V151" s="589"/>
      <c r="W151" s="79">
        <f t="shared" si="2557"/>
        <v>0</v>
      </c>
      <c r="X151" s="82">
        <f t="shared" si="2557"/>
        <v>0</v>
      </c>
      <c r="Y151" s="371">
        <f t="shared" si="2557"/>
        <v>0</v>
      </c>
      <c r="Z151" s="369" t="e">
        <f>W151/X151</f>
        <v>#DIV/0!</v>
      </c>
      <c r="AA151" s="370" t="e">
        <f>X151/Y151</f>
        <v>#DIV/0!</v>
      </c>
      <c r="AB151" s="589"/>
      <c r="AC151" s="79">
        <f t="shared" si="2558"/>
        <v>0</v>
      </c>
      <c r="AD151" s="82">
        <f t="shared" si="2558"/>
        <v>0</v>
      </c>
      <c r="AE151" s="371">
        <f t="shared" si="2558"/>
        <v>0</v>
      </c>
      <c r="AF151" s="369" t="e">
        <f>AC151/AD151</f>
        <v>#DIV/0!</v>
      </c>
      <c r="AG151" s="370" t="e">
        <f>AD151/AE151</f>
        <v>#DIV/0!</v>
      </c>
      <c r="AH151" s="589"/>
      <c r="AI151" s="79">
        <f t="shared" si="2559"/>
        <v>4000</v>
      </c>
      <c r="AJ151" s="82">
        <f t="shared" si="2559"/>
        <v>20</v>
      </c>
      <c r="AK151" s="371">
        <f t="shared" si="2559"/>
        <v>5</v>
      </c>
      <c r="AL151" s="369">
        <f>AI151/AJ151</f>
        <v>200</v>
      </c>
      <c r="AM151" s="370">
        <f>AJ151/AK151</f>
        <v>4</v>
      </c>
      <c r="AN151" s="589"/>
      <c r="AO151" s="79">
        <f t="shared" si="2560"/>
        <v>0</v>
      </c>
      <c r="AP151" s="82">
        <f t="shared" si="2560"/>
        <v>0</v>
      </c>
      <c r="AQ151" s="371">
        <f t="shared" si="2560"/>
        <v>0</v>
      </c>
      <c r="AR151" s="369" t="e">
        <f>AO151/AP151</f>
        <v>#DIV/0!</v>
      </c>
      <c r="AS151" s="370" t="e">
        <f>AP151/AQ151</f>
        <v>#DIV/0!</v>
      </c>
      <c r="AT151" s="589"/>
      <c r="AU151" s="79">
        <f t="shared" si="2561"/>
        <v>7920</v>
      </c>
      <c r="AV151" s="82">
        <f t="shared" si="2561"/>
        <v>39.6</v>
      </c>
      <c r="AW151" s="371">
        <f t="shared" si="2561"/>
        <v>5</v>
      </c>
      <c r="AX151" s="369">
        <f>AU151/AV151</f>
        <v>200</v>
      </c>
      <c r="AY151" s="370">
        <f>AV151/AW151</f>
        <v>7.92</v>
      </c>
      <c r="AZ151" s="370"/>
      <c r="BA151" s="79">
        <f t="shared" si="2562"/>
        <v>1500</v>
      </c>
      <c r="BB151" s="82">
        <f t="shared" si="2562"/>
        <v>6</v>
      </c>
      <c r="BC151" s="371">
        <f t="shared" si="2562"/>
        <v>1</v>
      </c>
      <c r="BD151" s="369">
        <f>BA151/BB151</f>
        <v>250</v>
      </c>
      <c r="BE151" s="370">
        <f>BB151/BC151</f>
        <v>6</v>
      </c>
      <c r="BF151" s="370"/>
      <c r="BG151" s="79">
        <f t="shared" si="2563"/>
        <v>0</v>
      </c>
      <c r="BH151" s="82">
        <f t="shared" si="2563"/>
        <v>0</v>
      </c>
      <c r="BI151" s="371">
        <f t="shared" si="2563"/>
        <v>0</v>
      </c>
      <c r="BJ151" s="369" t="e">
        <f>BG151/BH151</f>
        <v>#DIV/0!</v>
      </c>
      <c r="BK151" s="370" t="e">
        <f>BH151/BI151</f>
        <v>#DIV/0!</v>
      </c>
      <c r="BL151" s="370"/>
      <c r="BM151" s="79">
        <f t="shared" si="2564"/>
        <v>0</v>
      </c>
      <c r="BN151" s="82">
        <f t="shared" si="2564"/>
        <v>0</v>
      </c>
      <c r="BO151" s="371">
        <f t="shared" si="2564"/>
        <v>0</v>
      </c>
      <c r="BP151" s="369" t="e">
        <f>BM151/BN151</f>
        <v>#DIV/0!</v>
      </c>
      <c r="BQ151" s="370" t="e">
        <f>BN151/BO151</f>
        <v>#DIV/0!</v>
      </c>
      <c r="BR151" s="589"/>
      <c r="BS151" s="79">
        <f t="shared" si="2565"/>
        <v>0</v>
      </c>
      <c r="BT151" s="82">
        <f t="shared" si="2565"/>
        <v>0</v>
      </c>
      <c r="BU151" s="371">
        <f t="shared" si="2565"/>
        <v>0</v>
      </c>
      <c r="BV151" s="369" t="e">
        <f>BS151/BT151</f>
        <v>#DIV/0!</v>
      </c>
      <c r="BW151" s="370" t="e">
        <f>BT151/BU151</f>
        <v>#DIV/0!</v>
      </c>
      <c r="BX151" s="370"/>
      <c r="BY151" s="79">
        <f t="shared" si="2566"/>
        <v>7920</v>
      </c>
      <c r="BZ151" s="82">
        <f t="shared" si="2566"/>
        <v>39.6</v>
      </c>
      <c r="CA151" s="371">
        <f t="shared" si="2566"/>
        <v>5</v>
      </c>
      <c r="CB151" s="369">
        <f>BY151/BZ151</f>
        <v>200</v>
      </c>
      <c r="CC151" s="370">
        <f>BZ151/CA151</f>
        <v>7.92</v>
      </c>
      <c r="CD151" s="370"/>
      <c r="CE151" s="79">
        <f t="shared" si="2567"/>
        <v>0</v>
      </c>
      <c r="CF151" s="82">
        <f t="shared" si="2567"/>
        <v>0</v>
      </c>
      <c r="CG151" s="371">
        <f t="shared" si="2567"/>
        <v>0</v>
      </c>
      <c r="CH151" s="369" t="e">
        <f>CE151/CF151</f>
        <v>#DIV/0!</v>
      </c>
      <c r="CI151" s="370" t="e">
        <f>CF151/CG151</f>
        <v>#DIV/0!</v>
      </c>
      <c r="CJ151" s="370"/>
      <c r="CK151" s="79">
        <f t="shared" si="2568"/>
        <v>4000</v>
      </c>
      <c r="CL151" s="82">
        <f t="shared" si="2568"/>
        <v>40</v>
      </c>
      <c r="CM151" s="371">
        <f t="shared" si="2568"/>
        <v>5</v>
      </c>
      <c r="CN151" s="369">
        <f>CK151/CL151</f>
        <v>100</v>
      </c>
      <c r="CO151" s="370">
        <f>CL151/CM151</f>
        <v>8</v>
      </c>
      <c r="CP151" s="370"/>
      <c r="CQ151" s="79">
        <f t="shared" si="2569"/>
        <v>0</v>
      </c>
      <c r="CR151" s="82">
        <f t="shared" si="2569"/>
        <v>0</v>
      </c>
      <c r="CS151" s="371">
        <f t="shared" si="2569"/>
        <v>0</v>
      </c>
      <c r="CT151" s="369" t="e">
        <f>CQ151/CR151</f>
        <v>#DIV/0!</v>
      </c>
      <c r="CU151" s="370" t="e">
        <f>CR151/CS151</f>
        <v>#DIV/0!</v>
      </c>
      <c r="CV151" s="370"/>
      <c r="CW151" s="79">
        <f t="shared" si="2570"/>
        <v>7920</v>
      </c>
      <c r="CX151" s="82">
        <f t="shared" si="2570"/>
        <v>39.6</v>
      </c>
      <c r="CY151" s="371">
        <f t="shared" si="2570"/>
        <v>5</v>
      </c>
      <c r="CZ151" s="369">
        <f>CW151/CX151</f>
        <v>200</v>
      </c>
      <c r="DA151" s="370">
        <f>CX151/CY151</f>
        <v>7.92</v>
      </c>
      <c r="DB151" s="370"/>
      <c r="DC151" s="79">
        <f t="shared" si="2571"/>
        <v>0</v>
      </c>
      <c r="DD151" s="82">
        <f t="shared" si="2571"/>
        <v>0</v>
      </c>
      <c r="DE151" s="371">
        <f t="shared" si="2571"/>
        <v>0</v>
      </c>
      <c r="DF151" s="369" t="e">
        <f>DC151/DD151</f>
        <v>#DIV/0!</v>
      </c>
      <c r="DG151" s="370" t="e">
        <f>DD151/DE151</f>
        <v>#DIV/0!</v>
      </c>
      <c r="DH151" s="370"/>
      <c r="DI151" s="79">
        <f t="shared" si="2572"/>
        <v>0</v>
      </c>
      <c r="DJ151" s="82">
        <f t="shared" si="2572"/>
        <v>0</v>
      </c>
      <c r="DK151" s="371">
        <f t="shared" si="2572"/>
        <v>0</v>
      </c>
      <c r="DL151" s="369" t="e">
        <f>DI151/DJ151</f>
        <v>#DIV/0!</v>
      </c>
      <c r="DM151" s="370" t="e">
        <f>DJ151/DK151</f>
        <v>#DIV/0!</v>
      </c>
      <c r="DN151" s="370"/>
      <c r="DO151" s="79">
        <f t="shared" si="2573"/>
        <v>6800</v>
      </c>
      <c r="DP151" s="82">
        <f t="shared" si="2573"/>
        <v>34.299999999999997</v>
      </c>
      <c r="DQ151" s="371">
        <f t="shared" si="2573"/>
        <v>5</v>
      </c>
      <c r="DR151" s="369">
        <f>DO151/DP151</f>
        <v>198.25072886297377</v>
      </c>
      <c r="DS151" s="370">
        <f>DP151/DQ151</f>
        <v>6.8599999999999994</v>
      </c>
      <c r="DT151" s="370"/>
      <c r="DU151" s="79">
        <f t="shared" si="2574"/>
        <v>0</v>
      </c>
      <c r="DV151" s="82">
        <f t="shared" si="2574"/>
        <v>0</v>
      </c>
      <c r="DW151" s="371">
        <f t="shared" si="2574"/>
        <v>0</v>
      </c>
      <c r="DX151" s="369" t="e">
        <f>DU151/DV151</f>
        <v>#DIV/0!</v>
      </c>
      <c r="DY151" s="370" t="e">
        <f>DV151/DW151</f>
        <v>#DIV/0!</v>
      </c>
      <c r="DZ151" s="370"/>
      <c r="EA151" s="79">
        <f t="shared" si="2575"/>
        <v>0</v>
      </c>
      <c r="EB151" s="82">
        <f t="shared" si="2575"/>
        <v>0</v>
      </c>
      <c r="EC151" s="371">
        <f t="shared" si="2575"/>
        <v>0</v>
      </c>
      <c r="ED151" s="369" t="e">
        <f>EA151/EB151</f>
        <v>#DIV/0!</v>
      </c>
      <c r="EE151" s="370" t="e">
        <f>EB151/EC151</f>
        <v>#DIV/0!</v>
      </c>
      <c r="EF151" s="370"/>
      <c r="EG151" s="79">
        <f t="shared" si="2576"/>
        <v>0</v>
      </c>
      <c r="EH151" s="82">
        <f t="shared" si="2576"/>
        <v>0</v>
      </c>
      <c r="EI151" s="371">
        <f t="shared" si="2576"/>
        <v>0</v>
      </c>
      <c r="EJ151" s="369" t="e">
        <f>EG151/EH151</f>
        <v>#DIV/0!</v>
      </c>
      <c r="EK151" s="370" t="e">
        <f>EH151/EI151</f>
        <v>#DIV/0!</v>
      </c>
      <c r="EL151" s="370"/>
      <c r="EM151" s="79">
        <f t="shared" si="2577"/>
        <v>0</v>
      </c>
      <c r="EN151" s="82">
        <f t="shared" si="2577"/>
        <v>0</v>
      </c>
      <c r="EO151" s="371">
        <f t="shared" si="2577"/>
        <v>0</v>
      </c>
      <c r="EP151" s="369" t="e">
        <f>EM151/EN151</f>
        <v>#DIV/0!</v>
      </c>
      <c r="EQ151" s="370" t="e">
        <f>EN151/EO151</f>
        <v>#DIV/0!</v>
      </c>
      <c r="ER151" s="589"/>
      <c r="ES151" s="79">
        <f t="shared" si="2578"/>
        <v>7920</v>
      </c>
      <c r="ET151" s="82">
        <f t="shared" si="2578"/>
        <v>39.6</v>
      </c>
      <c r="EU151" s="371">
        <f t="shared" si="2578"/>
        <v>5</v>
      </c>
      <c r="EV151" s="369">
        <f>ES151/ET151</f>
        <v>200</v>
      </c>
      <c r="EW151" s="370">
        <f>ET151/EU151</f>
        <v>7.92</v>
      </c>
      <c r="EY151" s="91">
        <f t="shared" si="2579"/>
        <v>4000</v>
      </c>
      <c r="EZ151" s="82">
        <f t="shared" si="2579"/>
        <v>20</v>
      </c>
      <c r="FA151" s="371">
        <f t="shared" si="2579"/>
        <v>5</v>
      </c>
      <c r="FB151" s="369">
        <f>EY151/EZ151</f>
        <v>200</v>
      </c>
      <c r="FC151" s="370">
        <f>EZ151/FA151</f>
        <v>4</v>
      </c>
      <c r="FD151" s="178"/>
      <c r="FE151" s="379">
        <f t="shared" si="2580"/>
        <v>6150</v>
      </c>
      <c r="FF151" s="369">
        <f t="shared" si="2580"/>
        <v>22.7</v>
      </c>
      <c r="FG151" s="371">
        <f t="shared" si="2580"/>
        <v>5</v>
      </c>
      <c r="FH151" s="369">
        <f>FE151/FF151</f>
        <v>270.92511013215858</v>
      </c>
      <c r="FI151" s="370">
        <f>FF151/FG151</f>
        <v>4.54</v>
      </c>
      <c r="FK151" s="91">
        <f t="shared" si="2581"/>
        <v>4130</v>
      </c>
      <c r="FL151" s="369">
        <f t="shared" si="2581"/>
        <v>25.8</v>
      </c>
      <c r="FM151" s="371">
        <f t="shared" si="2581"/>
        <v>5</v>
      </c>
      <c r="FN151" s="369">
        <f t="shared" ref="FN151:FO158" si="2620">FK151/FL151</f>
        <v>160.07751937984494</v>
      </c>
      <c r="FO151" s="370">
        <f t="shared" si="2620"/>
        <v>5.16</v>
      </c>
      <c r="FQ151" s="91">
        <f t="shared" si="2582"/>
        <v>0</v>
      </c>
      <c r="FR151" s="369">
        <f t="shared" si="2582"/>
        <v>0</v>
      </c>
      <c r="FS151" s="371">
        <f t="shared" si="2582"/>
        <v>0</v>
      </c>
      <c r="FT151" s="361" t="e">
        <f>FQ151/FR151</f>
        <v>#DIV/0!</v>
      </c>
      <c r="FU151" s="362" t="e">
        <f>FR151/FS151</f>
        <v>#DIV/0!</v>
      </c>
      <c r="FV151" s="178"/>
      <c r="FW151" s="91">
        <f t="shared" si="2583"/>
        <v>0</v>
      </c>
      <c r="FX151" s="369">
        <f t="shared" si="2583"/>
        <v>0</v>
      </c>
      <c r="FY151" s="371">
        <f t="shared" si="2583"/>
        <v>0</v>
      </c>
      <c r="FZ151" s="361" t="e">
        <f>FW151/FX151</f>
        <v>#DIV/0!</v>
      </c>
      <c r="GA151" s="362" t="e">
        <f>FX151/FY151</f>
        <v>#DIV/0!</v>
      </c>
      <c r="GC151" s="379">
        <f t="shared" si="2584"/>
        <v>2770</v>
      </c>
      <c r="GD151" s="369">
        <f t="shared" si="2584"/>
        <v>12.01</v>
      </c>
      <c r="GE151" s="371">
        <f t="shared" si="2584"/>
        <v>5</v>
      </c>
      <c r="GF151" s="369">
        <f>GC151/GD151</f>
        <v>230.64113238967528</v>
      </c>
      <c r="GG151" s="370">
        <f>GD151/GE151</f>
        <v>2.4020000000000001</v>
      </c>
      <c r="GI151" s="379">
        <f t="shared" si="2585"/>
        <v>0</v>
      </c>
      <c r="GJ151" s="369">
        <f t="shared" si="2585"/>
        <v>0</v>
      </c>
      <c r="GK151" s="371">
        <f t="shared" si="2585"/>
        <v>0</v>
      </c>
      <c r="GL151" s="361" t="e">
        <f>GI151/GJ151</f>
        <v>#DIV/0!</v>
      </c>
      <c r="GM151" s="362" t="e">
        <f>GJ151/GK151</f>
        <v>#DIV/0!</v>
      </c>
      <c r="GO151" s="379">
        <f t="shared" si="2586"/>
        <v>0</v>
      </c>
      <c r="GP151" s="369">
        <f t="shared" si="2586"/>
        <v>0</v>
      </c>
      <c r="GQ151" s="371">
        <f t="shared" si="2586"/>
        <v>0</v>
      </c>
      <c r="GR151" s="361" t="e">
        <f>GO151/GP151</f>
        <v>#DIV/0!</v>
      </c>
      <c r="GS151" s="362" t="e">
        <f>GP151/GQ151</f>
        <v>#DIV/0!</v>
      </c>
      <c r="GU151" s="379">
        <f t="shared" si="2587"/>
        <v>8200</v>
      </c>
      <c r="GV151" s="369">
        <f t="shared" si="2587"/>
        <v>22.839999999999996</v>
      </c>
      <c r="GW151" s="371">
        <f t="shared" si="2587"/>
        <v>5</v>
      </c>
      <c r="GX151" s="369">
        <f>GU151/GV151</f>
        <v>359.01926444833629</v>
      </c>
      <c r="GY151" s="370">
        <f>GV151/GW151</f>
        <v>4.5679999999999996</v>
      </c>
      <c r="HA151" s="91">
        <f t="shared" si="2588"/>
        <v>7350</v>
      </c>
      <c r="HB151" s="82">
        <f t="shared" si="2588"/>
        <v>25.6</v>
      </c>
      <c r="HC151" s="371">
        <f t="shared" si="2588"/>
        <v>5</v>
      </c>
      <c r="HD151" s="369">
        <f>HA151/HB151</f>
        <v>287.109375</v>
      </c>
      <c r="HE151" s="370">
        <f>HB151/HC151</f>
        <v>5.12</v>
      </c>
      <c r="HG151" s="91">
        <f t="shared" si="2589"/>
        <v>6800</v>
      </c>
      <c r="HH151" s="82">
        <f t="shared" si="2589"/>
        <v>34.299999999999997</v>
      </c>
      <c r="HI151" s="79">
        <f t="shared" si="2589"/>
        <v>5</v>
      </c>
      <c r="HJ151" s="82">
        <f>HG151/HH151</f>
        <v>198.25072886297377</v>
      </c>
      <c r="HK151" s="84">
        <f>HH151/HI151</f>
        <v>6.8599999999999994</v>
      </c>
      <c r="HM151" s="91">
        <f t="shared" si="2590"/>
        <v>1300</v>
      </c>
      <c r="HN151" s="82">
        <f t="shared" si="2590"/>
        <v>7.25</v>
      </c>
      <c r="HO151" s="371">
        <f t="shared" si="2590"/>
        <v>2</v>
      </c>
      <c r="HP151" s="369">
        <f t="shared" ref="HP151:HQ158" si="2621">HM151/HN151</f>
        <v>179.31034482758622</v>
      </c>
      <c r="HQ151" s="370">
        <f t="shared" si="2621"/>
        <v>3.625</v>
      </c>
      <c r="HS151" s="91">
        <f t="shared" si="2591"/>
        <v>0</v>
      </c>
      <c r="HT151" s="82">
        <f t="shared" si="2591"/>
        <v>0</v>
      </c>
      <c r="HU151" s="371">
        <f t="shared" si="2591"/>
        <v>0</v>
      </c>
      <c r="HV151" s="361" t="e">
        <f t="shared" ref="HV151:HW158" si="2622">HS151/HT151</f>
        <v>#DIV/0!</v>
      </c>
      <c r="HW151" s="362" t="e">
        <f t="shared" si="2622"/>
        <v>#DIV/0!</v>
      </c>
      <c r="HX151" s="178"/>
      <c r="HY151" s="91">
        <f t="shared" si="2592"/>
        <v>0</v>
      </c>
      <c r="HZ151" s="82">
        <f t="shared" si="2592"/>
        <v>0</v>
      </c>
      <c r="IA151" s="371">
        <f t="shared" si="2592"/>
        <v>0</v>
      </c>
      <c r="IB151" s="361" t="e">
        <f t="shared" ref="IB151:IC158" si="2623">HY151/HZ151</f>
        <v>#DIV/0!</v>
      </c>
      <c r="IC151" s="362" t="e">
        <f t="shared" si="2623"/>
        <v>#DIV/0!</v>
      </c>
      <c r="IE151" s="91">
        <f t="shared" si="2593"/>
        <v>7060</v>
      </c>
      <c r="IF151" s="82">
        <f t="shared" si="2593"/>
        <v>35.299999999999997</v>
      </c>
      <c r="IG151" s="79">
        <f t="shared" si="2593"/>
        <v>5</v>
      </c>
      <c r="IH151" s="82">
        <f>IE151/IF151</f>
        <v>200.00000000000003</v>
      </c>
      <c r="II151" s="84">
        <f>IF151/IG151</f>
        <v>7.06</v>
      </c>
      <c r="IK151" s="91">
        <f t="shared" si="2594"/>
        <v>0</v>
      </c>
      <c r="IL151" s="82">
        <f t="shared" si="2594"/>
        <v>0</v>
      </c>
      <c r="IM151" s="79">
        <f t="shared" si="2594"/>
        <v>0</v>
      </c>
      <c r="IN151" s="82" t="e">
        <f>IK151/IL151</f>
        <v>#DIV/0!</v>
      </c>
      <c r="IO151" s="84" t="e">
        <f>IL151/IM151</f>
        <v>#DIV/0!</v>
      </c>
      <c r="IQ151" s="91">
        <f t="shared" si="2595"/>
        <v>5200</v>
      </c>
      <c r="IR151" s="82">
        <f t="shared" si="2595"/>
        <v>0</v>
      </c>
      <c r="IS151" s="79">
        <f t="shared" si="2595"/>
        <v>0</v>
      </c>
      <c r="IT151" s="82" t="e">
        <f>IQ151/IR151</f>
        <v>#DIV/0!</v>
      </c>
      <c r="IU151" s="84" t="e">
        <f>IR151/IS151</f>
        <v>#DIV/0!</v>
      </c>
      <c r="IW151" s="91">
        <f t="shared" si="2596"/>
        <v>0</v>
      </c>
      <c r="IX151" s="82">
        <f t="shared" si="2596"/>
        <v>0</v>
      </c>
      <c r="IY151" s="79">
        <f t="shared" si="2596"/>
        <v>0</v>
      </c>
      <c r="IZ151" s="82" t="e">
        <f>IW151/IX151</f>
        <v>#DIV/0!</v>
      </c>
      <c r="JA151" s="84" t="e">
        <f>IX151/IY151</f>
        <v>#DIV/0!</v>
      </c>
      <c r="JC151" s="91">
        <f t="shared" si="2597"/>
        <v>8900</v>
      </c>
      <c r="JD151" s="82">
        <f t="shared" si="2597"/>
        <v>44.5</v>
      </c>
      <c r="JE151" s="79">
        <f t="shared" si="2597"/>
        <v>5</v>
      </c>
      <c r="JF151" s="82">
        <f>JC151/JD151</f>
        <v>200</v>
      </c>
      <c r="JG151" s="84">
        <f>JD151/JE151</f>
        <v>8.9</v>
      </c>
      <c r="JI151" s="91">
        <f t="shared" si="2598"/>
        <v>8550</v>
      </c>
      <c r="JJ151" s="82">
        <f t="shared" si="2598"/>
        <v>29.6</v>
      </c>
      <c r="JK151" s="79">
        <f t="shared" si="2598"/>
        <v>5</v>
      </c>
      <c r="JL151" s="82">
        <f>JI151/JJ151</f>
        <v>288.85135135135135</v>
      </c>
      <c r="JM151" s="84">
        <f>JJ151/JK151</f>
        <v>5.92</v>
      </c>
      <c r="JO151" s="91">
        <f t="shared" si="2599"/>
        <v>0</v>
      </c>
      <c r="JP151" s="82">
        <f t="shared" si="2599"/>
        <v>0</v>
      </c>
      <c r="JQ151" s="79">
        <f t="shared" si="2599"/>
        <v>0</v>
      </c>
      <c r="JR151" s="82" t="e">
        <f>JO151/JP151</f>
        <v>#DIV/0!</v>
      </c>
      <c r="JS151" s="84" t="e">
        <f>JP151/JQ151</f>
        <v>#DIV/0!</v>
      </c>
      <c r="JU151" s="383">
        <f t="shared" si="2600"/>
        <v>5640</v>
      </c>
      <c r="JV151" s="82">
        <f t="shared" si="2600"/>
        <v>28.2</v>
      </c>
      <c r="JW151" s="748">
        <f t="shared" si="2600"/>
        <v>5</v>
      </c>
      <c r="JX151" s="369">
        <f>JU151/JV151</f>
        <v>200</v>
      </c>
      <c r="JY151" s="84">
        <f>JV151/JW151</f>
        <v>5.64</v>
      </c>
      <c r="KA151" s="383">
        <f t="shared" si="2601"/>
        <v>4400</v>
      </c>
      <c r="KB151" s="82">
        <f t="shared" si="2601"/>
        <v>22</v>
      </c>
      <c r="KC151" s="748">
        <f t="shared" si="2601"/>
        <v>5</v>
      </c>
      <c r="KD151" s="369">
        <f>KA151/KB151</f>
        <v>200</v>
      </c>
      <c r="KE151" s="84">
        <f>KB151/KC151</f>
        <v>4.4000000000000004</v>
      </c>
      <c r="KG151" s="383">
        <f t="shared" ref="KG151:KI151" si="2624">SUM(KG113)</f>
        <v>7590</v>
      </c>
      <c r="KH151" s="82">
        <f t="shared" si="2624"/>
        <v>36.5</v>
      </c>
      <c r="KI151" s="748">
        <f t="shared" si="2624"/>
        <v>5</v>
      </c>
      <c r="KJ151" s="369">
        <f>KG151/KH151</f>
        <v>207.94520547945206</v>
      </c>
      <c r="KK151" s="84">
        <f>KH151/KI151</f>
        <v>7.3</v>
      </c>
      <c r="KM151" s="383">
        <f t="shared" ref="KM151:KO151" si="2625">SUM(KM113)</f>
        <v>5740</v>
      </c>
      <c r="KN151" s="82">
        <f t="shared" si="2625"/>
        <v>25.799999999999997</v>
      </c>
      <c r="KO151" s="748">
        <f t="shared" si="2625"/>
        <v>5</v>
      </c>
      <c r="KP151" s="369">
        <f>KM151/KN151</f>
        <v>222.48062015503879</v>
      </c>
      <c r="KQ151" s="84">
        <f>KN151/KO151</f>
        <v>5.1599999999999993</v>
      </c>
      <c r="KS151" s="383">
        <f t="shared" ref="KS151:KU151" si="2626">SUM(KS113)</f>
        <v>9800</v>
      </c>
      <c r="KT151" s="82">
        <f t="shared" si="2626"/>
        <v>33.200000000000003</v>
      </c>
      <c r="KU151" s="748">
        <f t="shared" si="2626"/>
        <v>5</v>
      </c>
      <c r="KV151" s="369">
        <f>KS151/KT151</f>
        <v>295.18072289156623</v>
      </c>
      <c r="KW151" s="84">
        <f>KT151/KU151</f>
        <v>6.6400000000000006</v>
      </c>
      <c r="KY151" s="383">
        <f t="shared" ref="KY151:LA151" si="2627">SUM(KY113)</f>
        <v>0</v>
      </c>
      <c r="KZ151" s="82">
        <f t="shared" si="2627"/>
        <v>0</v>
      </c>
      <c r="LA151" s="748">
        <f t="shared" si="2627"/>
        <v>0</v>
      </c>
      <c r="LB151" s="369" t="e">
        <f>KY151/KZ151</f>
        <v>#DIV/0!</v>
      </c>
      <c r="LC151" s="84" t="e">
        <f>KZ151/LA151</f>
        <v>#DIV/0!</v>
      </c>
      <c r="LE151" s="383">
        <f t="shared" ref="LE151:LG151" si="2628">SUM(LE113)</f>
        <v>7000</v>
      </c>
      <c r="LF151" s="82">
        <f t="shared" si="2628"/>
        <v>35</v>
      </c>
      <c r="LG151" s="748">
        <f t="shared" si="2628"/>
        <v>5</v>
      </c>
      <c r="LH151" s="369">
        <f>LE151/LF151</f>
        <v>200</v>
      </c>
      <c r="LI151" s="84">
        <f>LF151/LG151</f>
        <v>7</v>
      </c>
      <c r="LK151" s="383">
        <f t="shared" ref="LK151:LM151" si="2629">SUM(LK113)</f>
        <v>0</v>
      </c>
      <c r="LL151" s="82">
        <f t="shared" si="2629"/>
        <v>0</v>
      </c>
      <c r="LM151" s="748">
        <f t="shared" si="2629"/>
        <v>0</v>
      </c>
      <c r="LN151" s="369" t="e">
        <f>LK151/LL151</f>
        <v>#DIV/0!</v>
      </c>
      <c r="LO151" s="84" t="e">
        <f>LL151/LM151</f>
        <v>#DIV/0!</v>
      </c>
      <c r="LQ151" s="383">
        <f t="shared" ref="LQ151:LS151" si="2630">SUM(LQ113)</f>
        <v>0</v>
      </c>
      <c r="LR151" s="82">
        <f t="shared" si="2630"/>
        <v>0</v>
      </c>
      <c r="LS151" s="748">
        <f t="shared" si="2630"/>
        <v>0</v>
      </c>
      <c r="LT151" s="369" t="e">
        <f>LQ151/LR151</f>
        <v>#DIV/0!</v>
      </c>
      <c r="LU151" s="84" t="e">
        <f>LR151/LS151</f>
        <v>#DIV/0!</v>
      </c>
      <c r="LW151" s="383">
        <f t="shared" ref="LW151:LY151" si="2631">SUM(LW113)</f>
        <v>0</v>
      </c>
      <c r="LX151" s="82">
        <f t="shared" si="2631"/>
        <v>0</v>
      </c>
      <c r="LY151" s="748">
        <f t="shared" si="2631"/>
        <v>0</v>
      </c>
      <c r="LZ151" s="369" t="e">
        <f>LW151/LX151</f>
        <v>#DIV/0!</v>
      </c>
      <c r="MA151" s="84" t="e">
        <f>LX151/LY151</f>
        <v>#DIV/0!</v>
      </c>
      <c r="MC151" s="383">
        <f t="shared" ref="MC151:ME151" si="2632">SUM(MC113)</f>
        <v>0</v>
      </c>
      <c r="MD151" s="82">
        <f t="shared" si="2632"/>
        <v>0</v>
      </c>
      <c r="ME151" s="748">
        <f t="shared" si="2632"/>
        <v>0</v>
      </c>
      <c r="MF151" s="369" t="e">
        <f>MC151/MD151</f>
        <v>#DIV/0!</v>
      </c>
      <c r="MG151" s="84" t="e">
        <f>MD151/ME151</f>
        <v>#DIV/0!</v>
      </c>
      <c r="MI151" s="383">
        <f t="shared" ref="MI151:MK151" si="2633">SUM(MI113)</f>
        <v>8380</v>
      </c>
      <c r="MJ151" s="82">
        <f t="shared" si="2633"/>
        <v>33.299999999999997</v>
      </c>
      <c r="MK151" s="748">
        <f t="shared" si="2633"/>
        <v>5</v>
      </c>
      <c r="ML151" s="369">
        <f>MI151/MJ151</f>
        <v>251.65165165165166</v>
      </c>
      <c r="MM151" s="84">
        <f>MJ151/MK151</f>
        <v>6.6599999999999993</v>
      </c>
      <c r="MO151" s="383">
        <f t="shared" ref="MO151:MQ151" si="2634">SUM(MO113)</f>
        <v>0</v>
      </c>
      <c r="MP151" s="82">
        <f t="shared" si="2634"/>
        <v>0</v>
      </c>
      <c r="MQ151" s="748">
        <f t="shared" si="2634"/>
        <v>0</v>
      </c>
      <c r="MR151" s="369" t="e">
        <f>MO151/MP151</f>
        <v>#DIV/0!</v>
      </c>
      <c r="MS151" s="84" t="e">
        <f>MP151/MQ151</f>
        <v>#DIV/0!</v>
      </c>
      <c r="MU151" s="383">
        <f t="shared" ref="MU151:MW151" si="2635">SUM(MU113)</f>
        <v>0</v>
      </c>
      <c r="MV151" s="82">
        <f t="shared" si="2635"/>
        <v>0</v>
      </c>
      <c r="MW151" s="748">
        <f t="shared" si="2635"/>
        <v>0</v>
      </c>
      <c r="MX151" s="369" t="e">
        <f>MU151/MV151</f>
        <v>#DIV/0!</v>
      </c>
      <c r="MY151" s="84" t="e">
        <f>MV151/MW151</f>
        <v>#DIV/0!</v>
      </c>
      <c r="NA151" s="383">
        <f t="shared" ref="NA151:NC151" si="2636">SUM(NA113)</f>
        <v>5680</v>
      </c>
      <c r="NB151" s="748">
        <f t="shared" si="2636"/>
        <v>28.4</v>
      </c>
      <c r="NC151" s="748">
        <f t="shared" si="2636"/>
        <v>5</v>
      </c>
      <c r="ND151" s="369">
        <f>NA151/NB151</f>
        <v>200</v>
      </c>
      <c r="NE151" s="84">
        <f>NB151/NC151</f>
        <v>5.68</v>
      </c>
      <c r="NG151" s="383">
        <f t="shared" ref="NG151:NI151" si="2637">SUM(NG113)</f>
        <v>4200</v>
      </c>
      <c r="NH151" s="82">
        <f t="shared" si="2637"/>
        <v>21</v>
      </c>
      <c r="NI151" s="748">
        <f t="shared" si="2637"/>
        <v>5</v>
      </c>
      <c r="NJ151" s="369">
        <f>NG151/NH151</f>
        <v>200</v>
      </c>
      <c r="NK151" s="84">
        <f>NH151/NI151</f>
        <v>4.2</v>
      </c>
      <c r="NM151" s="383">
        <f t="shared" ref="NM151:NO151" si="2638">SUM(NM113)</f>
        <v>0</v>
      </c>
      <c r="NN151" s="82">
        <f t="shared" si="2638"/>
        <v>0</v>
      </c>
      <c r="NO151" s="748">
        <f t="shared" si="2638"/>
        <v>0</v>
      </c>
      <c r="NP151" s="369" t="e">
        <f>NM151/NN151</f>
        <v>#DIV/0!</v>
      </c>
      <c r="NQ151" s="84" t="e">
        <f>NN151/NO151</f>
        <v>#DIV/0!</v>
      </c>
      <c r="NS151" s="383">
        <f t="shared" ref="NS151:NU151" si="2639">SUM(NS113)</f>
        <v>0</v>
      </c>
      <c r="NT151" s="82">
        <f t="shared" si="2639"/>
        <v>0</v>
      </c>
      <c r="NU151" s="748">
        <f t="shared" si="2639"/>
        <v>0</v>
      </c>
      <c r="NV151" s="369" t="e">
        <f>NS151/NT151</f>
        <v>#DIV/0!</v>
      </c>
      <c r="NW151" s="84" t="e">
        <f>NT151/NU151</f>
        <v>#DIV/0!</v>
      </c>
      <c r="NY151" s="383">
        <f t="shared" ref="NY151:OA151" si="2640">SUM(NY113)</f>
        <v>0</v>
      </c>
      <c r="NZ151" s="82">
        <f t="shared" si="2640"/>
        <v>0</v>
      </c>
      <c r="OA151" s="748">
        <f t="shared" si="2640"/>
        <v>0</v>
      </c>
      <c r="OB151" s="369" t="e">
        <f>NY151/NZ151</f>
        <v>#DIV/0!</v>
      </c>
      <c r="OC151" s="84" t="e">
        <f>NZ151/OA151</f>
        <v>#DIV/0!</v>
      </c>
      <c r="OE151" s="383">
        <f t="shared" ref="OE151:OG151" si="2641">SUM(OE113)</f>
        <v>0</v>
      </c>
      <c r="OF151" s="82">
        <f t="shared" si="2641"/>
        <v>0</v>
      </c>
      <c r="OG151" s="748">
        <f t="shared" si="2641"/>
        <v>0</v>
      </c>
      <c r="OH151" s="369" t="e">
        <f>OE151/OF151</f>
        <v>#DIV/0!</v>
      </c>
      <c r="OI151" s="84" t="e">
        <f>OF151/OG151</f>
        <v>#DIV/0!</v>
      </c>
    </row>
    <row r="152" spans="1:399">
      <c r="A152" s="715" t="s">
        <v>376</v>
      </c>
      <c r="B152" s="720" t="s">
        <v>372</v>
      </c>
      <c r="C152" s="725"/>
      <c r="D152" s="723" t="s">
        <v>14</v>
      </c>
      <c r="E152" s="79"/>
      <c r="F152" s="82"/>
      <c r="G152" s="371"/>
      <c r="H152" s="369"/>
      <c r="I152" s="370"/>
      <c r="J152" s="589"/>
      <c r="K152" s="79"/>
      <c r="L152" s="82"/>
      <c r="M152" s="371"/>
      <c r="N152" s="369"/>
      <c r="O152" s="370"/>
      <c r="P152" s="589"/>
      <c r="Q152" s="79"/>
      <c r="R152" s="82"/>
      <c r="S152" s="371"/>
      <c r="T152" s="369"/>
      <c r="U152" s="370"/>
      <c r="V152" s="589"/>
      <c r="W152" s="79"/>
      <c r="X152" s="82"/>
      <c r="Y152" s="371"/>
      <c r="Z152" s="369"/>
      <c r="AA152" s="370"/>
      <c r="AB152" s="589"/>
      <c r="AC152" s="79"/>
      <c r="AD152" s="82"/>
      <c r="AE152" s="371"/>
      <c r="AF152" s="369"/>
      <c r="AG152" s="370"/>
      <c r="AH152" s="589"/>
      <c r="AI152" s="79"/>
      <c r="AJ152" s="82"/>
      <c r="AK152" s="371"/>
      <c r="AL152" s="369"/>
      <c r="AM152" s="370"/>
      <c r="AN152" s="589"/>
      <c r="AO152" s="79"/>
      <c r="AP152" s="82"/>
      <c r="AQ152" s="371"/>
      <c r="AR152" s="369"/>
      <c r="AS152" s="370"/>
      <c r="AT152" s="589"/>
      <c r="AU152" s="79"/>
      <c r="AV152" s="82"/>
      <c r="AW152" s="371"/>
      <c r="AX152" s="369"/>
      <c r="AY152" s="370"/>
      <c r="AZ152" s="370"/>
      <c r="BA152" s="79"/>
      <c r="BB152" s="82"/>
      <c r="BC152" s="371"/>
      <c r="BD152" s="369"/>
      <c r="BE152" s="370"/>
      <c r="BF152" s="370"/>
      <c r="BG152" s="79"/>
      <c r="BH152" s="82"/>
      <c r="BI152" s="371"/>
      <c r="BJ152" s="369"/>
      <c r="BK152" s="370"/>
      <c r="BL152" s="370"/>
      <c r="BM152" s="79"/>
      <c r="BN152" s="82"/>
      <c r="BO152" s="371"/>
      <c r="BP152" s="369"/>
      <c r="BQ152" s="370"/>
      <c r="BR152" s="589"/>
      <c r="BS152" s="79"/>
      <c r="BT152" s="82"/>
      <c r="BU152" s="371"/>
      <c r="BV152" s="369"/>
      <c r="BW152" s="370"/>
      <c r="BX152" s="370"/>
      <c r="BY152" s="79"/>
      <c r="BZ152" s="82"/>
      <c r="CA152" s="371"/>
      <c r="CB152" s="369"/>
      <c r="CC152" s="370"/>
      <c r="CD152" s="370"/>
      <c r="CE152" s="79"/>
      <c r="CF152" s="82"/>
      <c r="CG152" s="371"/>
      <c r="CH152" s="369"/>
      <c r="CI152" s="370"/>
      <c r="CJ152" s="370"/>
      <c r="CK152" s="79"/>
      <c r="CL152" s="82"/>
      <c r="CM152" s="371"/>
      <c r="CN152" s="369"/>
      <c r="CO152" s="370"/>
      <c r="CP152" s="370"/>
      <c r="CQ152" s="79"/>
      <c r="CR152" s="82"/>
      <c r="CS152" s="371"/>
      <c r="CT152" s="369"/>
      <c r="CU152" s="370"/>
      <c r="CV152" s="370"/>
      <c r="CW152" s="79"/>
      <c r="CX152" s="82"/>
      <c r="CY152" s="371"/>
      <c r="CZ152" s="369"/>
      <c r="DA152" s="370"/>
      <c r="DB152" s="370"/>
      <c r="DC152" s="79"/>
      <c r="DD152" s="82"/>
      <c r="DE152" s="371"/>
      <c r="DF152" s="369"/>
      <c r="DG152" s="370"/>
      <c r="DH152" s="370"/>
      <c r="DI152" s="79"/>
      <c r="DJ152" s="82"/>
      <c r="DK152" s="371"/>
      <c r="DL152" s="369"/>
      <c r="DM152" s="370"/>
      <c r="DN152" s="370"/>
      <c r="DO152" s="79"/>
      <c r="DP152" s="82"/>
      <c r="DQ152" s="371"/>
      <c r="DR152" s="369"/>
      <c r="DS152" s="370"/>
      <c r="DT152" s="370"/>
      <c r="DU152" s="79"/>
      <c r="DV152" s="82"/>
      <c r="DW152" s="371"/>
      <c r="DX152" s="369"/>
      <c r="DY152" s="370"/>
      <c r="DZ152" s="370"/>
      <c r="EA152" s="79"/>
      <c r="EB152" s="82"/>
      <c r="EC152" s="371"/>
      <c r="ED152" s="369"/>
      <c r="EE152" s="370"/>
      <c r="EF152" s="370"/>
      <c r="EG152" s="79"/>
      <c r="EH152" s="82"/>
      <c r="EI152" s="371"/>
      <c r="EJ152" s="369"/>
      <c r="EK152" s="370"/>
      <c r="EL152" s="370"/>
      <c r="EM152" s="79"/>
      <c r="EN152" s="82"/>
      <c r="EO152" s="371"/>
      <c r="EP152" s="369"/>
      <c r="EQ152" s="370"/>
      <c r="ER152" s="589"/>
      <c r="ES152" s="79"/>
      <c r="ET152" s="82"/>
      <c r="EU152" s="371"/>
      <c r="EV152" s="369"/>
      <c r="EW152" s="370"/>
      <c r="EY152" s="91"/>
      <c r="EZ152" s="82"/>
      <c r="FA152" s="371"/>
      <c r="FB152" s="369"/>
      <c r="FC152" s="370"/>
      <c r="FD152" s="178"/>
      <c r="FE152" s="379"/>
      <c r="FF152" s="369"/>
      <c r="FG152" s="371"/>
      <c r="FH152" s="369"/>
      <c r="FI152" s="370"/>
      <c r="FK152" s="91"/>
      <c r="FL152" s="369"/>
      <c r="FM152" s="371"/>
      <c r="FN152" s="369"/>
      <c r="FO152" s="370"/>
      <c r="FQ152" s="91"/>
      <c r="FR152" s="369"/>
      <c r="FS152" s="371"/>
      <c r="FT152" s="361"/>
      <c r="FU152" s="362"/>
      <c r="FV152" s="178"/>
      <c r="FW152" s="91"/>
      <c r="FX152" s="369"/>
      <c r="FY152" s="371"/>
      <c r="FZ152" s="361"/>
      <c r="GA152" s="362"/>
      <c r="GC152" s="379"/>
      <c r="GD152" s="369"/>
      <c r="GE152" s="371"/>
      <c r="GF152" s="369"/>
      <c r="GG152" s="370"/>
      <c r="GI152" s="379"/>
      <c r="GJ152" s="369"/>
      <c r="GK152" s="371"/>
      <c r="GL152" s="361"/>
      <c r="GM152" s="362"/>
      <c r="GO152" s="379"/>
      <c r="GP152" s="369"/>
      <c r="GQ152" s="371"/>
      <c r="GR152" s="361"/>
      <c r="GS152" s="362"/>
      <c r="GU152" s="379"/>
      <c r="GV152" s="369"/>
      <c r="GW152" s="371"/>
      <c r="GX152" s="369"/>
      <c r="GY152" s="370"/>
      <c r="HA152" s="91"/>
      <c r="HB152" s="82"/>
      <c r="HC152" s="371"/>
      <c r="HD152" s="369"/>
      <c r="HE152" s="370"/>
      <c r="HG152" s="91"/>
      <c r="HH152" s="82"/>
      <c r="HI152" s="79"/>
      <c r="HJ152" s="82"/>
      <c r="HK152" s="84"/>
      <c r="HM152" s="91"/>
      <c r="HN152" s="82"/>
      <c r="HO152" s="371"/>
      <c r="HP152" s="369"/>
      <c r="HQ152" s="370"/>
      <c r="HS152" s="91"/>
      <c r="HT152" s="82"/>
      <c r="HU152" s="371"/>
      <c r="HV152" s="361"/>
      <c r="HW152" s="362"/>
      <c r="HX152" s="178"/>
      <c r="HY152" s="91"/>
      <c r="HZ152" s="82"/>
      <c r="IA152" s="371"/>
      <c r="IB152" s="361"/>
      <c r="IC152" s="362"/>
      <c r="IE152" s="91"/>
      <c r="IF152" s="82"/>
      <c r="IG152" s="79"/>
      <c r="IH152" s="82"/>
      <c r="II152" s="84"/>
      <c r="IK152" s="91"/>
      <c r="IL152" s="82"/>
      <c r="IM152" s="79"/>
      <c r="IN152" s="82"/>
      <c r="IO152" s="84"/>
      <c r="IQ152" s="91"/>
      <c r="IR152" s="82"/>
      <c r="IS152" s="79"/>
      <c r="IT152" s="82"/>
      <c r="IU152" s="84"/>
      <c r="IW152" s="91"/>
      <c r="IX152" s="82"/>
      <c r="IY152" s="79"/>
      <c r="IZ152" s="82"/>
      <c r="JA152" s="84"/>
      <c r="JC152" s="91"/>
      <c r="JD152" s="82"/>
      <c r="JE152" s="79"/>
      <c r="JF152" s="82"/>
      <c r="JG152" s="84"/>
      <c r="JI152" s="91"/>
      <c r="JJ152" s="82"/>
      <c r="JK152" s="79"/>
      <c r="JL152" s="82"/>
      <c r="JM152" s="84"/>
      <c r="JO152" s="739">
        <f t="shared" ref="JO152:JQ155" si="2642">JO114</f>
        <v>0</v>
      </c>
      <c r="JP152" s="737">
        <f t="shared" si="2642"/>
        <v>0</v>
      </c>
      <c r="JQ152" s="740">
        <f t="shared" si="2642"/>
        <v>0</v>
      </c>
      <c r="JR152" s="737" t="e">
        <f t="shared" ref="JR152:JR155" si="2643">JO152/JP152</f>
        <v>#DIV/0!</v>
      </c>
      <c r="JS152" s="738" t="e">
        <f t="shared" ref="JS152:JS155" si="2644">JP152/JQ152</f>
        <v>#DIV/0!</v>
      </c>
      <c r="JU152" s="743">
        <f t="shared" si="2600"/>
        <v>1400</v>
      </c>
      <c r="JV152" s="737">
        <f t="shared" si="2600"/>
        <v>10.02</v>
      </c>
      <c r="JW152" s="744">
        <f t="shared" si="2600"/>
        <v>5</v>
      </c>
      <c r="JX152" s="737">
        <f t="shared" ref="JX152:JX156" si="2645">JU152/JV152</f>
        <v>139.72055888223554</v>
      </c>
      <c r="JY152" s="738">
        <f t="shared" ref="JY152:JY156" si="2646">JV152/JW152</f>
        <v>2.004</v>
      </c>
      <c r="KA152" s="743">
        <f t="shared" si="2601"/>
        <v>700</v>
      </c>
      <c r="KB152" s="737">
        <f t="shared" si="2601"/>
        <v>4.59</v>
      </c>
      <c r="KC152" s="744">
        <f t="shared" si="2601"/>
        <v>5</v>
      </c>
      <c r="KD152" s="737">
        <f t="shared" ref="KD152:KD156" si="2647">KA152/KB152</f>
        <v>152.50544662309369</v>
      </c>
      <c r="KE152" s="738">
        <f t="shared" ref="KE152:KE156" si="2648">KB152/KC152</f>
        <v>0.91799999999999993</v>
      </c>
      <c r="KG152" s="743">
        <f t="shared" ref="KG152:KI152" si="2649">SUM(KG114)</f>
        <v>1100</v>
      </c>
      <c r="KH152" s="737">
        <f t="shared" si="2649"/>
        <v>5.83</v>
      </c>
      <c r="KI152" s="744">
        <f t="shared" si="2649"/>
        <v>5</v>
      </c>
      <c r="KJ152" s="737">
        <f t="shared" ref="KJ152:KJ156" si="2650">KG152/KH152</f>
        <v>188.67924528301887</v>
      </c>
      <c r="KK152" s="738">
        <f t="shared" ref="KK152:KK156" si="2651">KH152/KI152</f>
        <v>1.1659999999999999</v>
      </c>
      <c r="KM152" s="743">
        <f t="shared" ref="KM152:KO152" si="2652">SUM(KM114)</f>
        <v>1400</v>
      </c>
      <c r="KN152" s="737">
        <f t="shared" si="2652"/>
        <v>8.4599999999999991</v>
      </c>
      <c r="KO152" s="744">
        <f t="shared" si="2652"/>
        <v>5</v>
      </c>
      <c r="KP152" s="737">
        <f t="shared" ref="KP152:KP156" si="2653">KM152/KN152</f>
        <v>165.48463356973997</v>
      </c>
      <c r="KQ152" s="738">
        <f t="shared" ref="KQ152:KQ156" si="2654">KN152/KO152</f>
        <v>1.6919999999999997</v>
      </c>
      <c r="KS152" s="743">
        <f t="shared" ref="KS152:KU152" si="2655">SUM(KS114)</f>
        <v>900</v>
      </c>
      <c r="KT152" s="737">
        <f t="shared" si="2655"/>
        <v>3.3200000000000003</v>
      </c>
      <c r="KU152" s="744">
        <f t="shared" si="2655"/>
        <v>5</v>
      </c>
      <c r="KV152" s="737">
        <f t="shared" ref="KV152:KV156" si="2656">KS152/KT152</f>
        <v>271.08433734939757</v>
      </c>
      <c r="KW152" s="738">
        <f t="shared" ref="KW152:KW156" si="2657">KT152/KU152</f>
        <v>0.66400000000000003</v>
      </c>
      <c r="KY152" s="743">
        <f t="shared" ref="KY152:LA152" si="2658">SUM(KY114)</f>
        <v>0</v>
      </c>
      <c r="KZ152" s="737">
        <f t="shared" si="2658"/>
        <v>0</v>
      </c>
      <c r="LA152" s="744">
        <f t="shared" si="2658"/>
        <v>0</v>
      </c>
      <c r="LB152" s="737" t="e">
        <f t="shared" ref="LB152:LB156" si="2659">KY152/KZ152</f>
        <v>#DIV/0!</v>
      </c>
      <c r="LC152" s="738" t="e">
        <f t="shared" ref="LC152:LC156" si="2660">KZ152/LA152</f>
        <v>#DIV/0!</v>
      </c>
      <c r="LE152" s="743">
        <f t="shared" ref="LE152:LG152" si="2661">SUM(LE114)</f>
        <v>1200</v>
      </c>
      <c r="LF152" s="737">
        <f t="shared" si="2661"/>
        <v>9.620000000000001</v>
      </c>
      <c r="LG152" s="744">
        <f t="shared" si="2661"/>
        <v>5</v>
      </c>
      <c r="LH152" s="737">
        <f t="shared" ref="LH152:LH156" si="2662">LE152/LF152</f>
        <v>124.74012474012473</v>
      </c>
      <c r="LI152" s="738">
        <f t="shared" ref="LI152:LI156" si="2663">LF152/LG152</f>
        <v>1.9240000000000002</v>
      </c>
      <c r="LK152" s="743">
        <f t="shared" ref="LK152:LM152" si="2664">SUM(LK114)</f>
        <v>0</v>
      </c>
      <c r="LL152" s="737">
        <f t="shared" si="2664"/>
        <v>0</v>
      </c>
      <c r="LM152" s="744">
        <f t="shared" si="2664"/>
        <v>0</v>
      </c>
      <c r="LN152" s="737" t="e">
        <f t="shared" ref="LN152:LN156" si="2665">LK152/LL152</f>
        <v>#DIV/0!</v>
      </c>
      <c r="LO152" s="738" t="e">
        <f t="shared" ref="LO152:LO156" si="2666">LL152/LM152</f>
        <v>#DIV/0!</v>
      </c>
      <c r="LQ152" s="743">
        <f t="shared" ref="LQ152:LS152" si="2667">SUM(LQ114)</f>
        <v>1400</v>
      </c>
      <c r="LR152" s="737">
        <f t="shared" si="2667"/>
        <v>5.44</v>
      </c>
      <c r="LS152" s="744">
        <f t="shared" si="2667"/>
        <v>5</v>
      </c>
      <c r="LT152" s="737">
        <f t="shared" ref="LT152:LT156" si="2668">LQ152/LR152</f>
        <v>257.35294117647055</v>
      </c>
      <c r="LU152" s="738">
        <f t="shared" ref="LU152:LU156" si="2669">LR152/LS152</f>
        <v>1.0880000000000001</v>
      </c>
      <c r="LW152" s="743">
        <f t="shared" ref="LW152:LY152" si="2670">SUM(LW114)</f>
        <v>2600</v>
      </c>
      <c r="LX152" s="737">
        <f t="shared" si="2670"/>
        <v>5.78</v>
      </c>
      <c r="LY152" s="744">
        <f t="shared" si="2670"/>
        <v>5</v>
      </c>
      <c r="LZ152" s="737">
        <f t="shared" ref="LZ152:LZ156" si="2671">LW152/LX152</f>
        <v>449.82698961937712</v>
      </c>
      <c r="MA152" s="738">
        <f t="shared" ref="MA152:MA156" si="2672">LX152/LY152</f>
        <v>1.1560000000000001</v>
      </c>
      <c r="MC152" s="743">
        <f t="shared" ref="MC152:ME152" si="2673">SUM(MC114)</f>
        <v>0</v>
      </c>
      <c r="MD152" s="737">
        <f t="shared" si="2673"/>
        <v>0</v>
      </c>
      <c r="ME152" s="744">
        <f t="shared" si="2673"/>
        <v>0</v>
      </c>
      <c r="MF152" s="737" t="e">
        <f t="shared" ref="MF152:MF156" si="2674">MC152/MD152</f>
        <v>#DIV/0!</v>
      </c>
      <c r="MG152" s="738" t="e">
        <f t="shared" ref="MG152:MG156" si="2675">MD152/ME152</f>
        <v>#DIV/0!</v>
      </c>
      <c r="MI152" s="743">
        <f t="shared" ref="MI152:MK152" si="2676">SUM(MI114)</f>
        <v>1600</v>
      </c>
      <c r="MJ152" s="737">
        <f t="shared" si="2676"/>
        <v>4.68</v>
      </c>
      <c r="MK152" s="744">
        <f t="shared" si="2676"/>
        <v>5</v>
      </c>
      <c r="ML152" s="737">
        <f t="shared" ref="ML152:ML156" si="2677">MI152/MJ152</f>
        <v>341.88034188034192</v>
      </c>
      <c r="MM152" s="738">
        <f t="shared" ref="MM152:MM156" si="2678">MJ152/MK152</f>
        <v>0.93599999999999994</v>
      </c>
      <c r="MO152" s="743">
        <f t="shared" ref="MO152:MQ152" si="2679">SUM(MO114)</f>
        <v>0</v>
      </c>
      <c r="MP152" s="737">
        <f t="shared" si="2679"/>
        <v>0</v>
      </c>
      <c r="MQ152" s="744">
        <f t="shared" si="2679"/>
        <v>0</v>
      </c>
      <c r="MR152" s="737" t="e">
        <f t="shared" ref="MR152:MR156" si="2680">MO152/MP152</f>
        <v>#DIV/0!</v>
      </c>
      <c r="MS152" s="738" t="e">
        <f t="shared" ref="MS152:MS156" si="2681">MP152/MQ152</f>
        <v>#DIV/0!</v>
      </c>
      <c r="MU152" s="743">
        <f t="shared" ref="MU152:MW152" si="2682">SUM(MU114)</f>
        <v>0</v>
      </c>
      <c r="MV152" s="737">
        <f t="shared" si="2682"/>
        <v>0</v>
      </c>
      <c r="MW152" s="744">
        <f t="shared" si="2682"/>
        <v>0</v>
      </c>
      <c r="MX152" s="737" t="e">
        <f t="shared" ref="MX152:MX156" si="2683">MU152/MV152</f>
        <v>#DIV/0!</v>
      </c>
      <c r="MY152" s="738" t="e">
        <f t="shared" ref="MY152:MY156" si="2684">MV152/MW152</f>
        <v>#DIV/0!</v>
      </c>
      <c r="NA152" s="743">
        <f t="shared" ref="NA152:NC152" si="2685">SUM(NA114)</f>
        <v>430</v>
      </c>
      <c r="NB152" s="744">
        <f t="shared" si="2685"/>
        <v>4.76</v>
      </c>
      <c r="NC152" s="744">
        <f t="shared" si="2685"/>
        <v>5</v>
      </c>
      <c r="ND152" s="737">
        <f t="shared" ref="ND152:ND156" si="2686">NA152/NB152</f>
        <v>90.336134453781511</v>
      </c>
      <c r="NE152" s="738">
        <f t="shared" ref="NE152:NE156" si="2687">NB152/NC152</f>
        <v>0.95199999999999996</v>
      </c>
      <c r="NG152" s="743">
        <f t="shared" ref="NG152:NI152" si="2688">SUM(NG114)</f>
        <v>1800</v>
      </c>
      <c r="NH152" s="737">
        <f t="shared" si="2688"/>
        <v>6.6</v>
      </c>
      <c r="NI152" s="744">
        <f t="shared" si="2688"/>
        <v>5</v>
      </c>
      <c r="NJ152" s="737">
        <f t="shared" ref="NJ152:NJ156" si="2689">NG152/NH152</f>
        <v>272.72727272727275</v>
      </c>
      <c r="NK152" s="738">
        <f t="shared" ref="NK152:NK156" si="2690">NH152/NI152</f>
        <v>1.3199999999999998</v>
      </c>
      <c r="NM152" s="743">
        <f t="shared" ref="NM152:NO152" si="2691">SUM(NM114)</f>
        <v>1200</v>
      </c>
      <c r="NN152" s="737">
        <f t="shared" si="2691"/>
        <v>5.79</v>
      </c>
      <c r="NO152" s="744">
        <f t="shared" si="2691"/>
        <v>5</v>
      </c>
      <c r="NP152" s="737">
        <f t="shared" ref="NP152:NP156" si="2692">NM152/NN152</f>
        <v>207.25388601036269</v>
      </c>
      <c r="NQ152" s="738">
        <f t="shared" ref="NQ152:NQ156" si="2693">NN152/NO152</f>
        <v>1.1579999999999999</v>
      </c>
      <c r="NS152" s="743">
        <f t="shared" ref="NS152:NU152" si="2694">SUM(NS114)</f>
        <v>2200</v>
      </c>
      <c r="NT152" s="737">
        <f t="shared" si="2694"/>
        <v>6.58</v>
      </c>
      <c r="NU152" s="744">
        <f t="shared" si="2694"/>
        <v>5</v>
      </c>
      <c r="NV152" s="737">
        <f t="shared" ref="NV152:NV156" si="2695">NS152/NT152</f>
        <v>334.3465045592705</v>
      </c>
      <c r="NW152" s="738">
        <f t="shared" ref="NW152:NW156" si="2696">NT152/NU152</f>
        <v>1.3160000000000001</v>
      </c>
      <c r="NY152" s="743">
        <f t="shared" ref="NY152:OA152" si="2697">SUM(NY114)</f>
        <v>950</v>
      </c>
      <c r="NZ152" s="737">
        <f t="shared" si="2697"/>
        <v>7.41</v>
      </c>
      <c r="OA152" s="744">
        <f t="shared" si="2697"/>
        <v>5</v>
      </c>
      <c r="OB152" s="737">
        <f t="shared" ref="OB152:OB156" si="2698">NY152/NZ152</f>
        <v>128.2051282051282</v>
      </c>
      <c r="OC152" s="738">
        <f t="shared" ref="OC152:OC156" si="2699">NZ152/OA152</f>
        <v>1.482</v>
      </c>
      <c r="OE152" s="743">
        <f t="shared" ref="OE152:OG152" si="2700">SUM(OE114)</f>
        <v>850</v>
      </c>
      <c r="OF152" s="737">
        <f t="shared" si="2700"/>
        <v>10.32</v>
      </c>
      <c r="OG152" s="744">
        <f t="shared" si="2700"/>
        <v>5</v>
      </c>
      <c r="OH152" s="737">
        <f t="shared" ref="OH152:OH156" si="2701">OE152/OF152</f>
        <v>82.36434108527132</v>
      </c>
      <c r="OI152" s="738">
        <f t="shared" ref="OI152:OI156" si="2702">OF152/OG152</f>
        <v>2.0640000000000001</v>
      </c>
    </row>
    <row r="153" spans="1:399">
      <c r="A153" s="715" t="s">
        <v>376</v>
      </c>
      <c r="B153" s="720" t="s">
        <v>373</v>
      </c>
      <c r="C153" s="725"/>
      <c r="D153" s="723" t="s">
        <v>14</v>
      </c>
      <c r="E153" s="79"/>
      <c r="F153" s="82"/>
      <c r="G153" s="371"/>
      <c r="H153" s="369"/>
      <c r="I153" s="370"/>
      <c r="J153" s="589"/>
      <c r="K153" s="79"/>
      <c r="L153" s="82"/>
      <c r="M153" s="371"/>
      <c r="N153" s="369"/>
      <c r="O153" s="370"/>
      <c r="P153" s="589"/>
      <c r="Q153" s="79"/>
      <c r="R153" s="82"/>
      <c r="S153" s="371"/>
      <c r="T153" s="369"/>
      <c r="U153" s="370"/>
      <c r="V153" s="589"/>
      <c r="W153" s="79"/>
      <c r="X153" s="82"/>
      <c r="Y153" s="371"/>
      <c r="Z153" s="369"/>
      <c r="AA153" s="370"/>
      <c r="AB153" s="589"/>
      <c r="AC153" s="79"/>
      <c r="AD153" s="82"/>
      <c r="AE153" s="371"/>
      <c r="AF153" s="369"/>
      <c r="AG153" s="370"/>
      <c r="AH153" s="589"/>
      <c r="AI153" s="79"/>
      <c r="AJ153" s="82"/>
      <c r="AK153" s="371"/>
      <c r="AL153" s="369"/>
      <c r="AM153" s="370"/>
      <c r="AN153" s="589"/>
      <c r="AO153" s="79"/>
      <c r="AP153" s="82"/>
      <c r="AQ153" s="371"/>
      <c r="AR153" s="369"/>
      <c r="AS153" s="370"/>
      <c r="AT153" s="589"/>
      <c r="AU153" s="79"/>
      <c r="AV153" s="82"/>
      <c r="AW153" s="371"/>
      <c r="AX153" s="369"/>
      <c r="AY153" s="370"/>
      <c r="AZ153" s="370"/>
      <c r="BA153" s="79"/>
      <c r="BB153" s="82"/>
      <c r="BC153" s="371"/>
      <c r="BD153" s="369"/>
      <c r="BE153" s="370"/>
      <c r="BF153" s="370"/>
      <c r="BG153" s="79"/>
      <c r="BH153" s="82"/>
      <c r="BI153" s="371"/>
      <c r="BJ153" s="369"/>
      <c r="BK153" s="370"/>
      <c r="BL153" s="370"/>
      <c r="BM153" s="79"/>
      <c r="BN153" s="82"/>
      <c r="BO153" s="371"/>
      <c r="BP153" s="369"/>
      <c r="BQ153" s="370"/>
      <c r="BR153" s="589"/>
      <c r="BS153" s="79"/>
      <c r="BT153" s="82"/>
      <c r="BU153" s="371"/>
      <c r="BV153" s="369"/>
      <c r="BW153" s="370"/>
      <c r="BX153" s="370"/>
      <c r="BY153" s="79"/>
      <c r="BZ153" s="82"/>
      <c r="CA153" s="371"/>
      <c r="CB153" s="369"/>
      <c r="CC153" s="370"/>
      <c r="CD153" s="370"/>
      <c r="CE153" s="79"/>
      <c r="CF153" s="82"/>
      <c r="CG153" s="371"/>
      <c r="CH153" s="369"/>
      <c r="CI153" s="370"/>
      <c r="CJ153" s="370"/>
      <c r="CK153" s="79"/>
      <c r="CL153" s="82"/>
      <c r="CM153" s="371"/>
      <c r="CN153" s="369"/>
      <c r="CO153" s="370"/>
      <c r="CP153" s="370"/>
      <c r="CQ153" s="79"/>
      <c r="CR153" s="82"/>
      <c r="CS153" s="371"/>
      <c r="CT153" s="369"/>
      <c r="CU153" s="370"/>
      <c r="CV153" s="370"/>
      <c r="CW153" s="79"/>
      <c r="CX153" s="82"/>
      <c r="CY153" s="371"/>
      <c r="CZ153" s="369"/>
      <c r="DA153" s="370"/>
      <c r="DB153" s="370"/>
      <c r="DC153" s="79"/>
      <c r="DD153" s="82"/>
      <c r="DE153" s="371"/>
      <c r="DF153" s="369"/>
      <c r="DG153" s="370"/>
      <c r="DH153" s="370"/>
      <c r="DI153" s="79"/>
      <c r="DJ153" s="82"/>
      <c r="DK153" s="371"/>
      <c r="DL153" s="369"/>
      <c r="DM153" s="370"/>
      <c r="DN153" s="370"/>
      <c r="DO153" s="79"/>
      <c r="DP153" s="82"/>
      <c r="DQ153" s="371"/>
      <c r="DR153" s="369"/>
      <c r="DS153" s="370"/>
      <c r="DT153" s="370"/>
      <c r="DU153" s="79"/>
      <c r="DV153" s="82"/>
      <c r="DW153" s="371"/>
      <c r="DX153" s="369"/>
      <c r="DY153" s="370"/>
      <c r="DZ153" s="370"/>
      <c r="EA153" s="79"/>
      <c r="EB153" s="82"/>
      <c r="EC153" s="371"/>
      <c r="ED153" s="369"/>
      <c r="EE153" s="370"/>
      <c r="EF153" s="370"/>
      <c r="EG153" s="79"/>
      <c r="EH153" s="82"/>
      <c r="EI153" s="371"/>
      <c r="EJ153" s="369"/>
      <c r="EK153" s="370"/>
      <c r="EL153" s="370"/>
      <c r="EM153" s="79"/>
      <c r="EN153" s="82"/>
      <c r="EO153" s="371"/>
      <c r="EP153" s="369"/>
      <c r="EQ153" s="370"/>
      <c r="ER153" s="589"/>
      <c r="ES153" s="79"/>
      <c r="ET153" s="82"/>
      <c r="EU153" s="371"/>
      <c r="EV153" s="369"/>
      <c r="EW153" s="370"/>
      <c r="EY153" s="91"/>
      <c r="EZ153" s="82"/>
      <c r="FA153" s="371"/>
      <c r="FB153" s="369"/>
      <c r="FC153" s="370"/>
      <c r="FD153" s="178"/>
      <c r="FE153" s="379"/>
      <c r="FF153" s="369"/>
      <c r="FG153" s="371"/>
      <c r="FH153" s="369"/>
      <c r="FI153" s="370"/>
      <c r="FK153" s="91"/>
      <c r="FL153" s="369"/>
      <c r="FM153" s="371"/>
      <c r="FN153" s="369"/>
      <c r="FO153" s="370"/>
      <c r="FQ153" s="91"/>
      <c r="FR153" s="369"/>
      <c r="FS153" s="371"/>
      <c r="FT153" s="361"/>
      <c r="FU153" s="362"/>
      <c r="FV153" s="178"/>
      <c r="FW153" s="91"/>
      <c r="FX153" s="369"/>
      <c r="FY153" s="371"/>
      <c r="FZ153" s="361"/>
      <c r="GA153" s="362"/>
      <c r="GC153" s="379"/>
      <c r="GD153" s="369"/>
      <c r="GE153" s="371"/>
      <c r="GF153" s="369"/>
      <c r="GG153" s="370"/>
      <c r="GI153" s="379"/>
      <c r="GJ153" s="369"/>
      <c r="GK153" s="371"/>
      <c r="GL153" s="361"/>
      <c r="GM153" s="362"/>
      <c r="GO153" s="379"/>
      <c r="GP153" s="369"/>
      <c r="GQ153" s="371"/>
      <c r="GR153" s="361"/>
      <c r="GS153" s="362"/>
      <c r="GU153" s="379"/>
      <c r="GV153" s="369"/>
      <c r="GW153" s="371"/>
      <c r="GX153" s="369"/>
      <c r="GY153" s="370"/>
      <c r="HA153" s="91"/>
      <c r="HB153" s="82"/>
      <c r="HC153" s="371"/>
      <c r="HD153" s="369"/>
      <c r="HE153" s="370"/>
      <c r="HG153" s="91"/>
      <c r="HH153" s="82"/>
      <c r="HI153" s="79"/>
      <c r="HJ153" s="82"/>
      <c r="HK153" s="84"/>
      <c r="HM153" s="91"/>
      <c r="HN153" s="82"/>
      <c r="HO153" s="371"/>
      <c r="HP153" s="369"/>
      <c r="HQ153" s="370"/>
      <c r="HS153" s="91"/>
      <c r="HT153" s="82"/>
      <c r="HU153" s="371"/>
      <c r="HV153" s="361"/>
      <c r="HW153" s="362"/>
      <c r="HX153" s="178"/>
      <c r="HY153" s="91"/>
      <c r="HZ153" s="82"/>
      <c r="IA153" s="371"/>
      <c r="IB153" s="361"/>
      <c r="IC153" s="362"/>
      <c r="IE153" s="91"/>
      <c r="IF153" s="82"/>
      <c r="IG153" s="79"/>
      <c r="IH153" s="82"/>
      <c r="II153" s="84"/>
      <c r="IK153" s="91"/>
      <c r="IL153" s="82"/>
      <c r="IM153" s="79"/>
      <c r="IN153" s="82"/>
      <c r="IO153" s="84"/>
      <c r="IQ153" s="91"/>
      <c r="IR153" s="82"/>
      <c r="IS153" s="79"/>
      <c r="IT153" s="82"/>
      <c r="IU153" s="84"/>
      <c r="IW153" s="91"/>
      <c r="IX153" s="82"/>
      <c r="IY153" s="79"/>
      <c r="IZ153" s="82"/>
      <c r="JA153" s="84"/>
      <c r="JC153" s="91"/>
      <c r="JD153" s="82"/>
      <c r="JE153" s="79"/>
      <c r="JF153" s="82"/>
      <c r="JG153" s="84"/>
      <c r="JI153" s="91"/>
      <c r="JJ153" s="82"/>
      <c r="JK153" s="79"/>
      <c r="JL153" s="82"/>
      <c r="JM153" s="84"/>
      <c r="JO153" s="739">
        <f t="shared" si="2642"/>
        <v>0</v>
      </c>
      <c r="JP153" s="737">
        <f t="shared" si="2642"/>
        <v>0</v>
      </c>
      <c r="JQ153" s="740">
        <f t="shared" si="2642"/>
        <v>0</v>
      </c>
      <c r="JR153" s="737" t="e">
        <f t="shared" si="2643"/>
        <v>#DIV/0!</v>
      </c>
      <c r="JS153" s="738" t="e">
        <f t="shared" si="2644"/>
        <v>#DIV/0!</v>
      </c>
      <c r="JU153" s="743">
        <f t="shared" si="2600"/>
        <v>1250</v>
      </c>
      <c r="JV153" s="737">
        <f t="shared" si="2600"/>
        <v>4.2799999999999994</v>
      </c>
      <c r="JW153" s="744">
        <f t="shared" si="2600"/>
        <v>5</v>
      </c>
      <c r="JX153" s="737">
        <f t="shared" si="2645"/>
        <v>292.05607476635521</v>
      </c>
      <c r="JY153" s="738">
        <f t="shared" si="2646"/>
        <v>0.85599999999999987</v>
      </c>
      <c r="KA153" s="743">
        <f t="shared" si="2601"/>
        <v>1000</v>
      </c>
      <c r="KB153" s="737">
        <f t="shared" si="2601"/>
        <v>4.59</v>
      </c>
      <c r="KC153" s="744">
        <f t="shared" si="2601"/>
        <v>5</v>
      </c>
      <c r="KD153" s="737">
        <f t="shared" si="2647"/>
        <v>217.86492374727669</v>
      </c>
      <c r="KE153" s="738">
        <f t="shared" si="2648"/>
        <v>0.91799999999999993</v>
      </c>
      <c r="KG153" s="743">
        <f t="shared" ref="KG153:KI153" si="2703">SUM(KG115)</f>
        <v>1000</v>
      </c>
      <c r="KH153" s="737">
        <f t="shared" si="2703"/>
        <v>6.0699999999999994</v>
      </c>
      <c r="KI153" s="744">
        <f t="shared" si="2703"/>
        <v>5</v>
      </c>
      <c r="KJ153" s="737">
        <f t="shared" si="2650"/>
        <v>164.74464579901155</v>
      </c>
      <c r="KK153" s="738">
        <f t="shared" si="2651"/>
        <v>1.214</v>
      </c>
      <c r="KM153" s="743">
        <f t="shared" ref="KM153:KO153" si="2704">SUM(KM115)</f>
        <v>1000</v>
      </c>
      <c r="KN153" s="737">
        <f t="shared" si="2704"/>
        <v>3.0900000000000003</v>
      </c>
      <c r="KO153" s="744">
        <f t="shared" si="2704"/>
        <v>5</v>
      </c>
      <c r="KP153" s="737">
        <f t="shared" si="2653"/>
        <v>323.62459546925561</v>
      </c>
      <c r="KQ153" s="738">
        <f t="shared" si="2654"/>
        <v>0.6180000000000001</v>
      </c>
      <c r="KS153" s="743">
        <f t="shared" ref="KS153:KU153" si="2705">SUM(KS115)</f>
        <v>900</v>
      </c>
      <c r="KT153" s="737">
        <f t="shared" si="2705"/>
        <v>5.71</v>
      </c>
      <c r="KU153" s="744">
        <f t="shared" si="2705"/>
        <v>5</v>
      </c>
      <c r="KV153" s="737">
        <f t="shared" si="2656"/>
        <v>157.61821366024517</v>
      </c>
      <c r="KW153" s="738">
        <f t="shared" si="2657"/>
        <v>1.1419999999999999</v>
      </c>
      <c r="KY153" s="743">
        <f t="shared" ref="KY153:LA153" si="2706">SUM(KY115)</f>
        <v>0</v>
      </c>
      <c r="KZ153" s="737">
        <f t="shared" si="2706"/>
        <v>0</v>
      </c>
      <c r="LA153" s="744">
        <f t="shared" si="2706"/>
        <v>0</v>
      </c>
      <c r="LB153" s="737" t="e">
        <f t="shared" si="2659"/>
        <v>#DIV/0!</v>
      </c>
      <c r="LC153" s="738" t="e">
        <f t="shared" si="2660"/>
        <v>#DIV/0!</v>
      </c>
      <c r="LE153" s="743">
        <f t="shared" ref="LE153:LG153" si="2707">SUM(LE115)</f>
        <v>1000</v>
      </c>
      <c r="LF153" s="737">
        <f t="shared" si="2707"/>
        <v>2.1399999999999997</v>
      </c>
      <c r="LG153" s="744">
        <f t="shared" si="2707"/>
        <v>5</v>
      </c>
      <c r="LH153" s="737">
        <f t="shared" si="2662"/>
        <v>467.28971962616828</v>
      </c>
      <c r="LI153" s="738">
        <f t="shared" si="2663"/>
        <v>0.42799999999999994</v>
      </c>
      <c r="LK153" s="743">
        <f t="shared" ref="LK153:LM153" si="2708">SUM(LK115)</f>
        <v>0</v>
      </c>
      <c r="LL153" s="737">
        <f t="shared" si="2708"/>
        <v>0</v>
      </c>
      <c r="LM153" s="744">
        <f t="shared" si="2708"/>
        <v>0</v>
      </c>
      <c r="LN153" s="737" t="e">
        <f t="shared" si="2665"/>
        <v>#DIV/0!</v>
      </c>
      <c r="LO153" s="738" t="e">
        <f t="shared" si="2666"/>
        <v>#DIV/0!</v>
      </c>
      <c r="LQ153" s="743">
        <f t="shared" ref="LQ153:LS153" si="2709">SUM(LQ115)</f>
        <v>300</v>
      </c>
      <c r="LR153" s="737">
        <f t="shared" si="2709"/>
        <v>1.94</v>
      </c>
      <c r="LS153" s="744">
        <f t="shared" si="2709"/>
        <v>3</v>
      </c>
      <c r="LT153" s="737">
        <f t="shared" si="2668"/>
        <v>154.63917525773195</v>
      </c>
      <c r="LU153" s="738">
        <f t="shared" si="2669"/>
        <v>0.64666666666666661</v>
      </c>
      <c r="LW153" s="743">
        <f t="shared" ref="LW153:LY153" si="2710">SUM(LW115)</f>
        <v>0</v>
      </c>
      <c r="LX153" s="737">
        <f t="shared" si="2710"/>
        <v>0</v>
      </c>
      <c r="LY153" s="744">
        <f t="shared" si="2710"/>
        <v>0</v>
      </c>
      <c r="LZ153" s="737" t="e">
        <f t="shared" si="2671"/>
        <v>#DIV/0!</v>
      </c>
      <c r="MA153" s="738" t="e">
        <f t="shared" si="2672"/>
        <v>#DIV/0!</v>
      </c>
      <c r="MC153" s="743">
        <f t="shared" ref="MC153:ME153" si="2711">SUM(MC115)</f>
        <v>0</v>
      </c>
      <c r="MD153" s="737">
        <f t="shared" si="2711"/>
        <v>0</v>
      </c>
      <c r="ME153" s="744">
        <f t="shared" si="2711"/>
        <v>0</v>
      </c>
      <c r="MF153" s="737" t="e">
        <f t="shared" si="2674"/>
        <v>#DIV/0!</v>
      </c>
      <c r="MG153" s="738" t="e">
        <f t="shared" si="2675"/>
        <v>#DIV/0!</v>
      </c>
      <c r="MI153" s="743">
        <f t="shared" ref="MI153:MK153" si="2712">SUM(MI115)</f>
        <v>1000</v>
      </c>
      <c r="MJ153" s="737">
        <f t="shared" si="2712"/>
        <v>7.02</v>
      </c>
      <c r="MK153" s="744">
        <f t="shared" si="2712"/>
        <v>5</v>
      </c>
      <c r="ML153" s="737">
        <f t="shared" si="2677"/>
        <v>142.45014245014247</v>
      </c>
      <c r="MM153" s="738">
        <f t="shared" si="2678"/>
        <v>1.4039999999999999</v>
      </c>
      <c r="MO153" s="743">
        <f t="shared" ref="MO153:MQ153" si="2713">SUM(MO115)</f>
        <v>0</v>
      </c>
      <c r="MP153" s="737">
        <f t="shared" si="2713"/>
        <v>0</v>
      </c>
      <c r="MQ153" s="744">
        <f t="shared" si="2713"/>
        <v>0</v>
      </c>
      <c r="MR153" s="737" t="e">
        <f t="shared" si="2680"/>
        <v>#DIV/0!</v>
      </c>
      <c r="MS153" s="738" t="e">
        <f t="shared" si="2681"/>
        <v>#DIV/0!</v>
      </c>
      <c r="MU153" s="743">
        <f t="shared" ref="MU153:MW153" si="2714">SUM(MU115)</f>
        <v>0</v>
      </c>
      <c r="MV153" s="737">
        <f t="shared" si="2714"/>
        <v>0</v>
      </c>
      <c r="MW153" s="744">
        <f t="shared" si="2714"/>
        <v>0</v>
      </c>
      <c r="MX153" s="737" t="e">
        <f t="shared" si="2683"/>
        <v>#DIV/0!</v>
      </c>
      <c r="MY153" s="738" t="e">
        <f t="shared" si="2684"/>
        <v>#DIV/0!</v>
      </c>
      <c r="NA153" s="743">
        <f t="shared" ref="NA153:NC153" si="2715">SUM(NA115)</f>
        <v>0</v>
      </c>
      <c r="NB153" s="744">
        <f t="shared" si="2715"/>
        <v>0</v>
      </c>
      <c r="NC153" s="744">
        <f t="shared" si="2715"/>
        <v>0</v>
      </c>
      <c r="ND153" s="737" t="e">
        <f t="shared" si="2686"/>
        <v>#DIV/0!</v>
      </c>
      <c r="NE153" s="738" t="e">
        <f t="shared" si="2687"/>
        <v>#DIV/0!</v>
      </c>
      <c r="NG153" s="743">
        <f t="shared" ref="NG153:NI153" si="2716">SUM(NG115)</f>
        <v>500</v>
      </c>
      <c r="NH153" s="737">
        <f t="shared" si="2716"/>
        <v>5</v>
      </c>
      <c r="NI153" s="744">
        <f t="shared" si="2716"/>
        <v>5</v>
      </c>
      <c r="NJ153" s="737">
        <f t="shared" si="2689"/>
        <v>100</v>
      </c>
      <c r="NK153" s="738">
        <f t="shared" si="2690"/>
        <v>1</v>
      </c>
      <c r="NM153" s="743">
        <f t="shared" ref="NM153:NO153" si="2717">SUM(NM115)</f>
        <v>1000</v>
      </c>
      <c r="NN153" s="737">
        <f t="shared" si="2717"/>
        <v>15.16</v>
      </c>
      <c r="NO153" s="744">
        <f t="shared" si="2717"/>
        <v>5</v>
      </c>
      <c r="NP153" s="737">
        <f t="shared" si="2692"/>
        <v>65.963060686015837</v>
      </c>
      <c r="NQ153" s="738">
        <f t="shared" si="2693"/>
        <v>3.032</v>
      </c>
      <c r="NS153" s="743">
        <f t="shared" ref="NS153:NU153" si="2718">SUM(NS115)</f>
        <v>1000</v>
      </c>
      <c r="NT153" s="737">
        <f t="shared" si="2718"/>
        <v>5.29</v>
      </c>
      <c r="NU153" s="744">
        <f t="shared" si="2718"/>
        <v>5</v>
      </c>
      <c r="NV153" s="737">
        <f t="shared" si="2695"/>
        <v>189.03591682419659</v>
      </c>
      <c r="NW153" s="738">
        <f t="shared" si="2696"/>
        <v>1.0580000000000001</v>
      </c>
      <c r="NY153" s="743">
        <f t="shared" ref="NY153:OA153" si="2719">SUM(NY115)</f>
        <v>1000</v>
      </c>
      <c r="NZ153" s="737">
        <f t="shared" si="2719"/>
        <v>2.74</v>
      </c>
      <c r="OA153" s="744">
        <f t="shared" si="2719"/>
        <v>5</v>
      </c>
      <c r="OB153" s="737">
        <f t="shared" si="2698"/>
        <v>364.96350364963502</v>
      </c>
      <c r="OC153" s="738">
        <f t="shared" si="2699"/>
        <v>0.54800000000000004</v>
      </c>
      <c r="OE153" s="743">
        <f t="shared" ref="OE153:OG153" si="2720">SUM(OE115)</f>
        <v>1000</v>
      </c>
      <c r="OF153" s="737">
        <f t="shared" si="2720"/>
        <v>4.3099999999999996</v>
      </c>
      <c r="OG153" s="744">
        <f t="shared" si="2720"/>
        <v>5</v>
      </c>
      <c r="OH153" s="737">
        <f t="shared" si="2701"/>
        <v>232.01856148491882</v>
      </c>
      <c r="OI153" s="738">
        <f t="shared" si="2702"/>
        <v>0.86199999999999988</v>
      </c>
    </row>
    <row r="154" spans="1:399">
      <c r="A154" s="715" t="s">
        <v>376</v>
      </c>
      <c r="B154" s="720" t="s">
        <v>374</v>
      </c>
      <c r="C154" s="725"/>
      <c r="D154" s="723" t="s">
        <v>14</v>
      </c>
      <c r="E154" s="79"/>
      <c r="F154" s="82"/>
      <c r="G154" s="371"/>
      <c r="H154" s="369"/>
      <c r="I154" s="370"/>
      <c r="J154" s="589"/>
      <c r="K154" s="79"/>
      <c r="L154" s="82"/>
      <c r="M154" s="371"/>
      <c r="N154" s="369"/>
      <c r="O154" s="370"/>
      <c r="P154" s="589"/>
      <c r="Q154" s="79"/>
      <c r="R154" s="82"/>
      <c r="S154" s="371"/>
      <c r="T154" s="369"/>
      <c r="U154" s="370"/>
      <c r="V154" s="589"/>
      <c r="W154" s="79"/>
      <c r="X154" s="82"/>
      <c r="Y154" s="371"/>
      <c r="Z154" s="369"/>
      <c r="AA154" s="370"/>
      <c r="AB154" s="589"/>
      <c r="AC154" s="79"/>
      <c r="AD154" s="82"/>
      <c r="AE154" s="371"/>
      <c r="AF154" s="369"/>
      <c r="AG154" s="370"/>
      <c r="AH154" s="589"/>
      <c r="AI154" s="79"/>
      <c r="AJ154" s="82"/>
      <c r="AK154" s="371"/>
      <c r="AL154" s="369"/>
      <c r="AM154" s="370"/>
      <c r="AN154" s="589"/>
      <c r="AO154" s="79"/>
      <c r="AP154" s="82"/>
      <c r="AQ154" s="371"/>
      <c r="AR154" s="369"/>
      <c r="AS154" s="370"/>
      <c r="AT154" s="589"/>
      <c r="AU154" s="79"/>
      <c r="AV154" s="82"/>
      <c r="AW154" s="371"/>
      <c r="AX154" s="369"/>
      <c r="AY154" s="370"/>
      <c r="AZ154" s="370"/>
      <c r="BA154" s="79"/>
      <c r="BB154" s="82"/>
      <c r="BC154" s="371"/>
      <c r="BD154" s="369"/>
      <c r="BE154" s="370"/>
      <c r="BF154" s="370"/>
      <c r="BG154" s="79"/>
      <c r="BH154" s="82"/>
      <c r="BI154" s="371"/>
      <c r="BJ154" s="369"/>
      <c r="BK154" s="370"/>
      <c r="BL154" s="370"/>
      <c r="BM154" s="79"/>
      <c r="BN154" s="82"/>
      <c r="BO154" s="371"/>
      <c r="BP154" s="369"/>
      <c r="BQ154" s="370"/>
      <c r="BR154" s="589"/>
      <c r="BS154" s="79"/>
      <c r="BT154" s="82"/>
      <c r="BU154" s="371"/>
      <c r="BV154" s="369"/>
      <c r="BW154" s="370"/>
      <c r="BX154" s="370"/>
      <c r="BY154" s="79"/>
      <c r="BZ154" s="82"/>
      <c r="CA154" s="371"/>
      <c r="CB154" s="369"/>
      <c r="CC154" s="370"/>
      <c r="CD154" s="370"/>
      <c r="CE154" s="79"/>
      <c r="CF154" s="82"/>
      <c r="CG154" s="371"/>
      <c r="CH154" s="369"/>
      <c r="CI154" s="370"/>
      <c r="CJ154" s="370"/>
      <c r="CK154" s="79"/>
      <c r="CL154" s="82"/>
      <c r="CM154" s="371"/>
      <c r="CN154" s="369"/>
      <c r="CO154" s="370"/>
      <c r="CP154" s="370"/>
      <c r="CQ154" s="79"/>
      <c r="CR154" s="82"/>
      <c r="CS154" s="371"/>
      <c r="CT154" s="369"/>
      <c r="CU154" s="370"/>
      <c r="CV154" s="370"/>
      <c r="CW154" s="79"/>
      <c r="CX154" s="82"/>
      <c r="CY154" s="371"/>
      <c r="CZ154" s="369"/>
      <c r="DA154" s="370"/>
      <c r="DB154" s="370"/>
      <c r="DC154" s="79"/>
      <c r="DD154" s="82"/>
      <c r="DE154" s="371"/>
      <c r="DF154" s="369"/>
      <c r="DG154" s="370"/>
      <c r="DH154" s="370"/>
      <c r="DI154" s="79"/>
      <c r="DJ154" s="82"/>
      <c r="DK154" s="371"/>
      <c r="DL154" s="369"/>
      <c r="DM154" s="370"/>
      <c r="DN154" s="370"/>
      <c r="DO154" s="79"/>
      <c r="DP154" s="82"/>
      <c r="DQ154" s="371"/>
      <c r="DR154" s="369"/>
      <c r="DS154" s="370"/>
      <c r="DT154" s="370"/>
      <c r="DU154" s="79"/>
      <c r="DV154" s="82"/>
      <c r="DW154" s="371"/>
      <c r="DX154" s="369"/>
      <c r="DY154" s="370"/>
      <c r="DZ154" s="370"/>
      <c r="EA154" s="79"/>
      <c r="EB154" s="82"/>
      <c r="EC154" s="371"/>
      <c r="ED154" s="369"/>
      <c r="EE154" s="370"/>
      <c r="EF154" s="370"/>
      <c r="EG154" s="79"/>
      <c r="EH154" s="82"/>
      <c r="EI154" s="371"/>
      <c r="EJ154" s="369"/>
      <c r="EK154" s="370"/>
      <c r="EL154" s="370"/>
      <c r="EM154" s="79"/>
      <c r="EN154" s="82"/>
      <c r="EO154" s="371"/>
      <c r="EP154" s="369"/>
      <c r="EQ154" s="370"/>
      <c r="ER154" s="589"/>
      <c r="ES154" s="79"/>
      <c r="ET154" s="82"/>
      <c r="EU154" s="371"/>
      <c r="EV154" s="369"/>
      <c r="EW154" s="370"/>
      <c r="EY154" s="91"/>
      <c r="EZ154" s="82"/>
      <c r="FA154" s="371"/>
      <c r="FB154" s="369"/>
      <c r="FC154" s="370"/>
      <c r="FD154" s="178"/>
      <c r="FE154" s="379"/>
      <c r="FF154" s="369"/>
      <c r="FG154" s="371"/>
      <c r="FH154" s="369"/>
      <c r="FI154" s="370"/>
      <c r="FK154" s="91"/>
      <c r="FL154" s="369"/>
      <c r="FM154" s="371"/>
      <c r="FN154" s="369"/>
      <c r="FO154" s="370"/>
      <c r="FQ154" s="91"/>
      <c r="FR154" s="369"/>
      <c r="FS154" s="371"/>
      <c r="FT154" s="361"/>
      <c r="FU154" s="362"/>
      <c r="FV154" s="178"/>
      <c r="FW154" s="91"/>
      <c r="FX154" s="369"/>
      <c r="FY154" s="371"/>
      <c r="FZ154" s="361"/>
      <c r="GA154" s="362"/>
      <c r="GC154" s="379"/>
      <c r="GD154" s="369"/>
      <c r="GE154" s="371"/>
      <c r="GF154" s="369"/>
      <c r="GG154" s="370"/>
      <c r="GI154" s="379"/>
      <c r="GJ154" s="369"/>
      <c r="GK154" s="371"/>
      <c r="GL154" s="361"/>
      <c r="GM154" s="362"/>
      <c r="GO154" s="379"/>
      <c r="GP154" s="369"/>
      <c r="GQ154" s="371"/>
      <c r="GR154" s="361"/>
      <c r="GS154" s="362"/>
      <c r="GU154" s="379"/>
      <c r="GV154" s="369"/>
      <c r="GW154" s="371"/>
      <c r="GX154" s="369"/>
      <c r="GY154" s="370"/>
      <c r="HA154" s="91"/>
      <c r="HB154" s="82"/>
      <c r="HC154" s="371"/>
      <c r="HD154" s="369"/>
      <c r="HE154" s="370"/>
      <c r="HG154" s="91"/>
      <c r="HH154" s="82"/>
      <c r="HI154" s="79"/>
      <c r="HJ154" s="82"/>
      <c r="HK154" s="84"/>
      <c r="HM154" s="91"/>
      <c r="HN154" s="82"/>
      <c r="HO154" s="371"/>
      <c r="HP154" s="369"/>
      <c r="HQ154" s="370"/>
      <c r="HS154" s="91"/>
      <c r="HT154" s="82"/>
      <c r="HU154" s="371"/>
      <c r="HV154" s="361"/>
      <c r="HW154" s="362"/>
      <c r="HX154" s="178"/>
      <c r="HY154" s="91"/>
      <c r="HZ154" s="82"/>
      <c r="IA154" s="371"/>
      <c r="IB154" s="361"/>
      <c r="IC154" s="362"/>
      <c r="IE154" s="91"/>
      <c r="IF154" s="82"/>
      <c r="IG154" s="79"/>
      <c r="IH154" s="82"/>
      <c r="II154" s="84"/>
      <c r="IK154" s="91"/>
      <c r="IL154" s="82"/>
      <c r="IM154" s="79"/>
      <c r="IN154" s="82"/>
      <c r="IO154" s="84"/>
      <c r="IQ154" s="91"/>
      <c r="IR154" s="82"/>
      <c r="IS154" s="79"/>
      <c r="IT154" s="82"/>
      <c r="IU154" s="84"/>
      <c r="IW154" s="91"/>
      <c r="IX154" s="82"/>
      <c r="IY154" s="79"/>
      <c r="IZ154" s="82"/>
      <c r="JA154" s="84"/>
      <c r="JC154" s="91"/>
      <c r="JD154" s="82"/>
      <c r="JE154" s="79"/>
      <c r="JF154" s="82"/>
      <c r="JG154" s="84"/>
      <c r="JI154" s="91"/>
      <c r="JJ154" s="82"/>
      <c r="JK154" s="79"/>
      <c r="JL154" s="82"/>
      <c r="JM154" s="84"/>
      <c r="JO154" s="739">
        <f t="shared" si="2642"/>
        <v>0</v>
      </c>
      <c r="JP154" s="737">
        <f t="shared" si="2642"/>
        <v>0</v>
      </c>
      <c r="JQ154" s="740">
        <f t="shared" si="2642"/>
        <v>0</v>
      </c>
      <c r="JR154" s="737" t="e">
        <f t="shared" si="2643"/>
        <v>#DIV/0!</v>
      </c>
      <c r="JS154" s="738" t="e">
        <f t="shared" si="2644"/>
        <v>#DIV/0!</v>
      </c>
      <c r="JU154" s="743">
        <f t="shared" si="2600"/>
        <v>0</v>
      </c>
      <c r="JV154" s="737">
        <f t="shared" si="2600"/>
        <v>0</v>
      </c>
      <c r="JW154" s="744">
        <f t="shared" si="2600"/>
        <v>0</v>
      </c>
      <c r="JX154" s="737" t="e">
        <f t="shared" si="2645"/>
        <v>#DIV/0!</v>
      </c>
      <c r="JY154" s="738" t="e">
        <f t="shared" si="2646"/>
        <v>#DIV/0!</v>
      </c>
      <c r="KA154" s="743">
        <f t="shared" si="2601"/>
        <v>0</v>
      </c>
      <c r="KB154" s="737">
        <f t="shared" si="2601"/>
        <v>0</v>
      </c>
      <c r="KC154" s="744">
        <f t="shared" si="2601"/>
        <v>0</v>
      </c>
      <c r="KD154" s="737" t="e">
        <f t="shared" si="2647"/>
        <v>#DIV/0!</v>
      </c>
      <c r="KE154" s="738" t="e">
        <f t="shared" si="2648"/>
        <v>#DIV/0!</v>
      </c>
      <c r="KG154" s="743">
        <f t="shared" ref="KG154:KI154" si="2721">SUM(KG116)</f>
        <v>0</v>
      </c>
      <c r="KH154" s="737">
        <f t="shared" si="2721"/>
        <v>0</v>
      </c>
      <c r="KI154" s="744">
        <f t="shared" si="2721"/>
        <v>0</v>
      </c>
      <c r="KJ154" s="737" t="e">
        <f t="shared" si="2650"/>
        <v>#DIV/0!</v>
      </c>
      <c r="KK154" s="738" t="e">
        <f t="shared" si="2651"/>
        <v>#DIV/0!</v>
      </c>
      <c r="KM154" s="743">
        <f t="shared" ref="KM154:KO154" si="2722">SUM(KM116)</f>
        <v>0</v>
      </c>
      <c r="KN154" s="737">
        <f t="shared" si="2722"/>
        <v>0</v>
      </c>
      <c r="KO154" s="744">
        <f t="shared" si="2722"/>
        <v>0</v>
      </c>
      <c r="KP154" s="737" t="e">
        <f t="shared" si="2653"/>
        <v>#DIV/0!</v>
      </c>
      <c r="KQ154" s="738" t="e">
        <f t="shared" si="2654"/>
        <v>#DIV/0!</v>
      </c>
      <c r="KS154" s="743">
        <f t="shared" ref="KS154:KU154" si="2723">SUM(KS116)</f>
        <v>0</v>
      </c>
      <c r="KT154" s="737">
        <f t="shared" si="2723"/>
        <v>0</v>
      </c>
      <c r="KU154" s="744">
        <f t="shared" si="2723"/>
        <v>0</v>
      </c>
      <c r="KV154" s="737" t="e">
        <f t="shared" si="2656"/>
        <v>#DIV/0!</v>
      </c>
      <c r="KW154" s="738" t="e">
        <f t="shared" si="2657"/>
        <v>#DIV/0!</v>
      </c>
      <c r="KY154" s="743">
        <f t="shared" ref="KY154:LA154" si="2724">SUM(KY116)</f>
        <v>0</v>
      </c>
      <c r="KZ154" s="737">
        <f t="shared" si="2724"/>
        <v>0</v>
      </c>
      <c r="LA154" s="744">
        <f t="shared" si="2724"/>
        <v>0</v>
      </c>
      <c r="LB154" s="737" t="e">
        <f t="shared" si="2659"/>
        <v>#DIV/0!</v>
      </c>
      <c r="LC154" s="738" t="e">
        <f t="shared" si="2660"/>
        <v>#DIV/0!</v>
      </c>
      <c r="LE154" s="743">
        <f t="shared" ref="LE154:LG154" si="2725">SUM(LE116)</f>
        <v>0</v>
      </c>
      <c r="LF154" s="737">
        <f t="shared" si="2725"/>
        <v>0</v>
      </c>
      <c r="LG154" s="744">
        <f t="shared" si="2725"/>
        <v>0</v>
      </c>
      <c r="LH154" s="737" t="e">
        <f t="shared" si="2662"/>
        <v>#DIV/0!</v>
      </c>
      <c r="LI154" s="738" t="e">
        <f t="shared" si="2663"/>
        <v>#DIV/0!</v>
      </c>
      <c r="LK154" s="743">
        <f t="shared" ref="LK154:LM154" si="2726">SUM(LK116)</f>
        <v>0</v>
      </c>
      <c r="LL154" s="737">
        <f t="shared" si="2726"/>
        <v>0</v>
      </c>
      <c r="LM154" s="744">
        <f t="shared" si="2726"/>
        <v>0</v>
      </c>
      <c r="LN154" s="737" t="e">
        <f t="shared" si="2665"/>
        <v>#DIV/0!</v>
      </c>
      <c r="LO154" s="738" t="e">
        <f t="shared" si="2666"/>
        <v>#DIV/0!</v>
      </c>
      <c r="LQ154" s="743">
        <f t="shared" ref="LQ154:LS154" si="2727">SUM(LQ116)</f>
        <v>0</v>
      </c>
      <c r="LR154" s="737">
        <f t="shared" si="2727"/>
        <v>0</v>
      </c>
      <c r="LS154" s="744">
        <f t="shared" si="2727"/>
        <v>0</v>
      </c>
      <c r="LT154" s="737" t="e">
        <f t="shared" si="2668"/>
        <v>#DIV/0!</v>
      </c>
      <c r="LU154" s="738" t="e">
        <f t="shared" si="2669"/>
        <v>#DIV/0!</v>
      </c>
      <c r="LW154" s="743">
        <f t="shared" ref="LW154:LY154" si="2728">SUM(LW116)</f>
        <v>0</v>
      </c>
      <c r="LX154" s="737">
        <f t="shared" si="2728"/>
        <v>0</v>
      </c>
      <c r="LY154" s="744">
        <f t="shared" si="2728"/>
        <v>0</v>
      </c>
      <c r="LZ154" s="737" t="e">
        <f t="shared" si="2671"/>
        <v>#DIV/0!</v>
      </c>
      <c r="MA154" s="738" t="e">
        <f t="shared" si="2672"/>
        <v>#DIV/0!</v>
      </c>
      <c r="MC154" s="743">
        <f t="shared" ref="MC154:ME154" si="2729">SUM(MC116)</f>
        <v>0</v>
      </c>
      <c r="MD154" s="737">
        <f t="shared" si="2729"/>
        <v>0</v>
      </c>
      <c r="ME154" s="744">
        <f t="shared" si="2729"/>
        <v>0</v>
      </c>
      <c r="MF154" s="737" t="e">
        <f t="shared" si="2674"/>
        <v>#DIV/0!</v>
      </c>
      <c r="MG154" s="738" t="e">
        <f t="shared" si="2675"/>
        <v>#DIV/0!</v>
      </c>
      <c r="MI154" s="743">
        <f t="shared" ref="MI154:MK154" si="2730">SUM(MI116)</f>
        <v>0</v>
      </c>
      <c r="MJ154" s="737">
        <f t="shared" si="2730"/>
        <v>0</v>
      </c>
      <c r="MK154" s="744">
        <f t="shared" si="2730"/>
        <v>0</v>
      </c>
      <c r="ML154" s="737" t="e">
        <f t="shared" si="2677"/>
        <v>#DIV/0!</v>
      </c>
      <c r="MM154" s="738" t="e">
        <f t="shared" si="2678"/>
        <v>#DIV/0!</v>
      </c>
      <c r="MO154" s="743">
        <f t="shared" ref="MO154:MQ154" si="2731">SUM(MO116)</f>
        <v>0</v>
      </c>
      <c r="MP154" s="737">
        <f t="shared" si="2731"/>
        <v>0</v>
      </c>
      <c r="MQ154" s="744">
        <f t="shared" si="2731"/>
        <v>0</v>
      </c>
      <c r="MR154" s="737" t="e">
        <f t="shared" si="2680"/>
        <v>#DIV/0!</v>
      </c>
      <c r="MS154" s="738" t="e">
        <f t="shared" si="2681"/>
        <v>#DIV/0!</v>
      </c>
      <c r="MU154" s="743">
        <f t="shared" ref="MU154:MW154" si="2732">SUM(MU116)</f>
        <v>0</v>
      </c>
      <c r="MV154" s="737">
        <f t="shared" si="2732"/>
        <v>0</v>
      </c>
      <c r="MW154" s="744">
        <f t="shared" si="2732"/>
        <v>0</v>
      </c>
      <c r="MX154" s="737" t="e">
        <f t="shared" si="2683"/>
        <v>#DIV/0!</v>
      </c>
      <c r="MY154" s="738" t="e">
        <f t="shared" si="2684"/>
        <v>#DIV/0!</v>
      </c>
      <c r="NA154" s="743">
        <f t="shared" ref="NA154:NC154" si="2733">SUM(NA116)</f>
        <v>0</v>
      </c>
      <c r="NB154" s="744">
        <f t="shared" si="2733"/>
        <v>0</v>
      </c>
      <c r="NC154" s="744">
        <f t="shared" si="2733"/>
        <v>0</v>
      </c>
      <c r="ND154" s="737" t="e">
        <f t="shared" si="2686"/>
        <v>#DIV/0!</v>
      </c>
      <c r="NE154" s="738" t="e">
        <f t="shared" si="2687"/>
        <v>#DIV/0!</v>
      </c>
      <c r="NG154" s="743">
        <f t="shared" ref="NG154:NI154" si="2734">SUM(NG116)</f>
        <v>0</v>
      </c>
      <c r="NH154" s="737">
        <f t="shared" si="2734"/>
        <v>0</v>
      </c>
      <c r="NI154" s="744">
        <f t="shared" si="2734"/>
        <v>0</v>
      </c>
      <c r="NJ154" s="737" t="e">
        <f t="shared" si="2689"/>
        <v>#DIV/0!</v>
      </c>
      <c r="NK154" s="738" t="e">
        <f t="shared" si="2690"/>
        <v>#DIV/0!</v>
      </c>
      <c r="NM154" s="743">
        <f t="shared" ref="NM154:NO154" si="2735">SUM(NM116)</f>
        <v>270</v>
      </c>
      <c r="NN154" s="737">
        <f t="shared" si="2735"/>
        <v>1.9300000000000002</v>
      </c>
      <c r="NO154" s="744">
        <f t="shared" si="2735"/>
        <v>5</v>
      </c>
      <c r="NP154" s="737">
        <f t="shared" si="2692"/>
        <v>139.8963730569948</v>
      </c>
      <c r="NQ154" s="738">
        <f t="shared" si="2693"/>
        <v>0.38600000000000001</v>
      </c>
      <c r="NS154" s="743">
        <f t="shared" ref="NS154:NU154" si="2736">SUM(NS116)</f>
        <v>400</v>
      </c>
      <c r="NT154" s="737">
        <f t="shared" si="2736"/>
        <v>0.99</v>
      </c>
      <c r="NU154" s="744">
        <f t="shared" si="2736"/>
        <v>5</v>
      </c>
      <c r="NV154" s="737">
        <f t="shared" si="2695"/>
        <v>404.04040404040404</v>
      </c>
      <c r="NW154" s="738">
        <f t="shared" si="2696"/>
        <v>0.19800000000000001</v>
      </c>
      <c r="NY154" s="743">
        <f t="shared" ref="NY154:OA154" si="2737">SUM(NY116)</f>
        <v>330</v>
      </c>
      <c r="NZ154" s="737">
        <f t="shared" si="2737"/>
        <v>1.3800000000000001</v>
      </c>
      <c r="OA154" s="744">
        <f t="shared" si="2737"/>
        <v>5</v>
      </c>
      <c r="OB154" s="737">
        <f t="shared" si="2698"/>
        <v>239.13043478260869</v>
      </c>
      <c r="OC154" s="738">
        <f t="shared" si="2699"/>
        <v>0.27600000000000002</v>
      </c>
      <c r="OE154" s="743">
        <f t="shared" ref="OE154:OG154" si="2738">SUM(OE116)</f>
        <v>0</v>
      </c>
      <c r="OF154" s="737">
        <f t="shared" si="2738"/>
        <v>0</v>
      </c>
      <c r="OG154" s="744">
        <f t="shared" si="2738"/>
        <v>0</v>
      </c>
      <c r="OH154" s="737" t="e">
        <f t="shared" si="2701"/>
        <v>#DIV/0!</v>
      </c>
      <c r="OI154" s="738" t="e">
        <f t="shared" si="2702"/>
        <v>#DIV/0!</v>
      </c>
    </row>
    <row r="155" spans="1:399" ht="15" thickBot="1">
      <c r="A155" s="715" t="s">
        <v>376</v>
      </c>
      <c r="B155" s="720" t="s">
        <v>375</v>
      </c>
      <c r="C155" s="728"/>
      <c r="D155" s="723" t="s">
        <v>14</v>
      </c>
      <c r="E155" s="79"/>
      <c r="F155" s="82"/>
      <c r="G155" s="371"/>
      <c r="H155" s="369"/>
      <c r="I155" s="370"/>
      <c r="J155" s="589"/>
      <c r="K155" s="79"/>
      <c r="L155" s="82"/>
      <c r="M155" s="371"/>
      <c r="N155" s="369"/>
      <c r="O155" s="370"/>
      <c r="P155" s="589"/>
      <c r="Q155" s="79"/>
      <c r="R155" s="82"/>
      <c r="S155" s="371"/>
      <c r="T155" s="369"/>
      <c r="U155" s="370"/>
      <c r="V155" s="589"/>
      <c r="W155" s="79"/>
      <c r="X155" s="82"/>
      <c r="Y155" s="371"/>
      <c r="Z155" s="369"/>
      <c r="AA155" s="370"/>
      <c r="AB155" s="589"/>
      <c r="AC155" s="79"/>
      <c r="AD155" s="82"/>
      <c r="AE155" s="371"/>
      <c r="AF155" s="369"/>
      <c r="AG155" s="370"/>
      <c r="AH155" s="589"/>
      <c r="AI155" s="79"/>
      <c r="AJ155" s="82"/>
      <c r="AK155" s="371"/>
      <c r="AL155" s="369"/>
      <c r="AM155" s="370"/>
      <c r="AN155" s="589"/>
      <c r="AO155" s="79"/>
      <c r="AP155" s="82"/>
      <c r="AQ155" s="371"/>
      <c r="AR155" s="369"/>
      <c r="AS155" s="370"/>
      <c r="AT155" s="589"/>
      <c r="AU155" s="79"/>
      <c r="AV155" s="82"/>
      <c r="AW155" s="371"/>
      <c r="AX155" s="369"/>
      <c r="AY155" s="370"/>
      <c r="AZ155" s="370"/>
      <c r="BA155" s="79"/>
      <c r="BB155" s="82"/>
      <c r="BC155" s="371"/>
      <c r="BD155" s="369"/>
      <c r="BE155" s="370"/>
      <c r="BF155" s="370"/>
      <c r="BG155" s="79"/>
      <c r="BH155" s="82"/>
      <c r="BI155" s="371"/>
      <c r="BJ155" s="369"/>
      <c r="BK155" s="370"/>
      <c r="BL155" s="370"/>
      <c r="BM155" s="79"/>
      <c r="BN155" s="82"/>
      <c r="BO155" s="371"/>
      <c r="BP155" s="369"/>
      <c r="BQ155" s="370"/>
      <c r="BR155" s="589"/>
      <c r="BS155" s="79"/>
      <c r="BT155" s="82"/>
      <c r="BU155" s="371"/>
      <c r="BV155" s="369"/>
      <c r="BW155" s="370"/>
      <c r="BX155" s="370"/>
      <c r="BY155" s="79"/>
      <c r="BZ155" s="82"/>
      <c r="CA155" s="371"/>
      <c r="CB155" s="369"/>
      <c r="CC155" s="370"/>
      <c r="CD155" s="370"/>
      <c r="CE155" s="79"/>
      <c r="CF155" s="82"/>
      <c r="CG155" s="371"/>
      <c r="CH155" s="369"/>
      <c r="CI155" s="370"/>
      <c r="CJ155" s="370"/>
      <c r="CK155" s="79"/>
      <c r="CL155" s="82"/>
      <c r="CM155" s="371"/>
      <c r="CN155" s="369"/>
      <c r="CO155" s="370"/>
      <c r="CP155" s="370"/>
      <c r="CQ155" s="79"/>
      <c r="CR155" s="82"/>
      <c r="CS155" s="371"/>
      <c r="CT155" s="369"/>
      <c r="CU155" s="370"/>
      <c r="CV155" s="370"/>
      <c r="CW155" s="79"/>
      <c r="CX155" s="82"/>
      <c r="CY155" s="371"/>
      <c r="CZ155" s="369"/>
      <c r="DA155" s="370"/>
      <c r="DB155" s="370"/>
      <c r="DC155" s="79"/>
      <c r="DD155" s="82"/>
      <c r="DE155" s="371"/>
      <c r="DF155" s="369"/>
      <c r="DG155" s="370"/>
      <c r="DH155" s="370"/>
      <c r="DI155" s="79"/>
      <c r="DJ155" s="82"/>
      <c r="DK155" s="371"/>
      <c r="DL155" s="369"/>
      <c r="DM155" s="370"/>
      <c r="DN155" s="370"/>
      <c r="DO155" s="79"/>
      <c r="DP155" s="82"/>
      <c r="DQ155" s="371"/>
      <c r="DR155" s="369"/>
      <c r="DS155" s="370"/>
      <c r="DT155" s="370"/>
      <c r="DU155" s="79"/>
      <c r="DV155" s="82"/>
      <c r="DW155" s="371"/>
      <c r="DX155" s="369"/>
      <c r="DY155" s="370"/>
      <c r="DZ155" s="370"/>
      <c r="EA155" s="79"/>
      <c r="EB155" s="82"/>
      <c r="EC155" s="371"/>
      <c r="ED155" s="369"/>
      <c r="EE155" s="370"/>
      <c r="EF155" s="370"/>
      <c r="EG155" s="79"/>
      <c r="EH155" s="82"/>
      <c r="EI155" s="371"/>
      <c r="EJ155" s="369"/>
      <c r="EK155" s="370"/>
      <c r="EL155" s="370"/>
      <c r="EM155" s="79"/>
      <c r="EN155" s="82"/>
      <c r="EO155" s="371"/>
      <c r="EP155" s="369"/>
      <c r="EQ155" s="370"/>
      <c r="ER155" s="589"/>
      <c r="ES155" s="79"/>
      <c r="ET155" s="82"/>
      <c r="EU155" s="371"/>
      <c r="EV155" s="369"/>
      <c r="EW155" s="370"/>
      <c r="EY155" s="91"/>
      <c r="EZ155" s="82"/>
      <c r="FA155" s="371"/>
      <c r="FB155" s="369"/>
      <c r="FC155" s="370"/>
      <c r="FD155" s="178"/>
      <c r="FE155" s="379"/>
      <c r="FF155" s="369"/>
      <c r="FG155" s="371"/>
      <c r="FH155" s="369"/>
      <c r="FI155" s="370"/>
      <c r="FK155" s="91"/>
      <c r="FL155" s="369"/>
      <c r="FM155" s="371"/>
      <c r="FN155" s="369"/>
      <c r="FO155" s="370"/>
      <c r="FQ155" s="91"/>
      <c r="FR155" s="369"/>
      <c r="FS155" s="371"/>
      <c r="FT155" s="361"/>
      <c r="FU155" s="362"/>
      <c r="FV155" s="178"/>
      <c r="FW155" s="91"/>
      <c r="FX155" s="369"/>
      <c r="FY155" s="371"/>
      <c r="FZ155" s="361"/>
      <c r="GA155" s="362"/>
      <c r="GC155" s="379"/>
      <c r="GD155" s="369"/>
      <c r="GE155" s="371"/>
      <c r="GF155" s="369"/>
      <c r="GG155" s="370"/>
      <c r="GI155" s="379"/>
      <c r="GJ155" s="369"/>
      <c r="GK155" s="371"/>
      <c r="GL155" s="361"/>
      <c r="GM155" s="362"/>
      <c r="GO155" s="379"/>
      <c r="GP155" s="369"/>
      <c r="GQ155" s="371"/>
      <c r="GR155" s="361"/>
      <c r="GS155" s="362"/>
      <c r="GU155" s="379"/>
      <c r="GV155" s="369"/>
      <c r="GW155" s="371"/>
      <c r="GX155" s="369"/>
      <c r="GY155" s="370"/>
      <c r="HA155" s="91"/>
      <c r="HB155" s="82"/>
      <c r="HC155" s="371"/>
      <c r="HD155" s="369"/>
      <c r="HE155" s="370"/>
      <c r="HG155" s="91"/>
      <c r="HH155" s="82"/>
      <c r="HI155" s="79"/>
      <c r="HJ155" s="82"/>
      <c r="HK155" s="84"/>
      <c r="HM155" s="91"/>
      <c r="HN155" s="82"/>
      <c r="HO155" s="371"/>
      <c r="HP155" s="369"/>
      <c r="HQ155" s="370"/>
      <c r="HS155" s="91"/>
      <c r="HT155" s="82"/>
      <c r="HU155" s="371"/>
      <c r="HV155" s="361"/>
      <c r="HW155" s="362"/>
      <c r="HX155" s="178"/>
      <c r="HY155" s="91"/>
      <c r="HZ155" s="82"/>
      <c r="IA155" s="371"/>
      <c r="IB155" s="361"/>
      <c r="IC155" s="362"/>
      <c r="IE155" s="91"/>
      <c r="IF155" s="82"/>
      <c r="IG155" s="79"/>
      <c r="IH155" s="82"/>
      <c r="II155" s="84"/>
      <c r="IK155" s="91"/>
      <c r="IL155" s="82"/>
      <c r="IM155" s="79"/>
      <c r="IN155" s="82"/>
      <c r="IO155" s="84"/>
      <c r="IQ155" s="91"/>
      <c r="IR155" s="82"/>
      <c r="IS155" s="79"/>
      <c r="IT155" s="82"/>
      <c r="IU155" s="84"/>
      <c r="IW155" s="91"/>
      <c r="IX155" s="82"/>
      <c r="IY155" s="79"/>
      <c r="IZ155" s="82"/>
      <c r="JA155" s="84"/>
      <c r="JC155" s="91"/>
      <c r="JD155" s="82"/>
      <c r="JE155" s="79"/>
      <c r="JF155" s="82"/>
      <c r="JG155" s="84"/>
      <c r="JI155" s="91"/>
      <c r="JJ155" s="82"/>
      <c r="JK155" s="79"/>
      <c r="JL155" s="82"/>
      <c r="JM155" s="84"/>
      <c r="JO155" s="739">
        <f t="shared" si="2642"/>
        <v>0</v>
      </c>
      <c r="JP155" s="737">
        <f t="shared" si="2642"/>
        <v>0</v>
      </c>
      <c r="JQ155" s="740">
        <f t="shared" si="2642"/>
        <v>0</v>
      </c>
      <c r="JR155" s="737" t="e">
        <f t="shared" si="2643"/>
        <v>#DIV/0!</v>
      </c>
      <c r="JS155" s="738" t="e">
        <f t="shared" si="2644"/>
        <v>#DIV/0!</v>
      </c>
      <c r="JU155" s="743">
        <f t="shared" si="2600"/>
        <v>0</v>
      </c>
      <c r="JV155" s="737">
        <f t="shared" si="2600"/>
        <v>0</v>
      </c>
      <c r="JW155" s="744">
        <f t="shared" si="2600"/>
        <v>0</v>
      </c>
      <c r="JX155" s="737" t="e">
        <f t="shared" si="2645"/>
        <v>#DIV/0!</v>
      </c>
      <c r="JY155" s="738" t="e">
        <f t="shared" si="2646"/>
        <v>#DIV/0!</v>
      </c>
      <c r="KA155" s="743">
        <f t="shared" si="2601"/>
        <v>0</v>
      </c>
      <c r="KB155" s="737">
        <f t="shared" si="2601"/>
        <v>0</v>
      </c>
      <c r="KC155" s="744">
        <f t="shared" si="2601"/>
        <v>0</v>
      </c>
      <c r="KD155" s="737" t="e">
        <f t="shared" si="2647"/>
        <v>#DIV/0!</v>
      </c>
      <c r="KE155" s="738" t="e">
        <f t="shared" si="2648"/>
        <v>#DIV/0!</v>
      </c>
      <c r="KG155" s="743">
        <f t="shared" ref="KG155:KI155" si="2739">SUM(KG117)</f>
        <v>0</v>
      </c>
      <c r="KH155" s="737">
        <f t="shared" si="2739"/>
        <v>0</v>
      </c>
      <c r="KI155" s="744">
        <f t="shared" si="2739"/>
        <v>0</v>
      </c>
      <c r="KJ155" s="737" t="e">
        <f t="shared" si="2650"/>
        <v>#DIV/0!</v>
      </c>
      <c r="KK155" s="738" t="e">
        <f t="shared" si="2651"/>
        <v>#DIV/0!</v>
      </c>
      <c r="KM155" s="743">
        <f t="shared" ref="KM155:KO155" si="2740">SUM(KM117)</f>
        <v>0</v>
      </c>
      <c r="KN155" s="737">
        <f t="shared" si="2740"/>
        <v>0</v>
      </c>
      <c r="KO155" s="744">
        <f t="shared" si="2740"/>
        <v>0</v>
      </c>
      <c r="KP155" s="737" t="e">
        <f t="shared" si="2653"/>
        <v>#DIV/0!</v>
      </c>
      <c r="KQ155" s="738" t="e">
        <f t="shared" si="2654"/>
        <v>#DIV/0!</v>
      </c>
      <c r="KS155" s="743">
        <f t="shared" ref="KS155:KU155" si="2741">SUM(KS117)</f>
        <v>0</v>
      </c>
      <c r="KT155" s="737">
        <f t="shared" si="2741"/>
        <v>0</v>
      </c>
      <c r="KU155" s="744">
        <f t="shared" si="2741"/>
        <v>0</v>
      </c>
      <c r="KV155" s="737" t="e">
        <f t="shared" si="2656"/>
        <v>#DIV/0!</v>
      </c>
      <c r="KW155" s="738" t="e">
        <f t="shared" si="2657"/>
        <v>#DIV/0!</v>
      </c>
      <c r="KY155" s="743">
        <f t="shared" ref="KY155:LA155" si="2742">SUM(KY117)</f>
        <v>0</v>
      </c>
      <c r="KZ155" s="737">
        <f t="shared" si="2742"/>
        <v>0</v>
      </c>
      <c r="LA155" s="744">
        <f t="shared" si="2742"/>
        <v>0</v>
      </c>
      <c r="LB155" s="737" t="e">
        <f t="shared" si="2659"/>
        <v>#DIV/0!</v>
      </c>
      <c r="LC155" s="738" t="e">
        <f t="shared" si="2660"/>
        <v>#DIV/0!</v>
      </c>
      <c r="LE155" s="743">
        <f t="shared" ref="LE155:LG155" si="2743">SUM(LE117)</f>
        <v>0</v>
      </c>
      <c r="LF155" s="737">
        <f t="shared" si="2743"/>
        <v>0</v>
      </c>
      <c r="LG155" s="744">
        <f t="shared" si="2743"/>
        <v>0</v>
      </c>
      <c r="LH155" s="737" t="e">
        <f t="shared" si="2662"/>
        <v>#DIV/0!</v>
      </c>
      <c r="LI155" s="738" t="e">
        <f t="shared" si="2663"/>
        <v>#DIV/0!</v>
      </c>
      <c r="LK155" s="743">
        <f t="shared" ref="LK155:LM155" si="2744">SUM(LK117)</f>
        <v>0</v>
      </c>
      <c r="LL155" s="737">
        <f t="shared" si="2744"/>
        <v>0</v>
      </c>
      <c r="LM155" s="744">
        <f t="shared" si="2744"/>
        <v>0</v>
      </c>
      <c r="LN155" s="737" t="e">
        <f t="shared" si="2665"/>
        <v>#DIV/0!</v>
      </c>
      <c r="LO155" s="738" t="e">
        <f t="shared" si="2666"/>
        <v>#DIV/0!</v>
      </c>
      <c r="LQ155" s="743">
        <f t="shared" ref="LQ155:LS155" si="2745">SUM(LQ117)</f>
        <v>0</v>
      </c>
      <c r="LR155" s="737">
        <f t="shared" si="2745"/>
        <v>0</v>
      </c>
      <c r="LS155" s="744">
        <f t="shared" si="2745"/>
        <v>0</v>
      </c>
      <c r="LT155" s="737" t="e">
        <f t="shared" si="2668"/>
        <v>#DIV/0!</v>
      </c>
      <c r="LU155" s="738" t="e">
        <f t="shared" si="2669"/>
        <v>#DIV/0!</v>
      </c>
      <c r="LW155" s="743">
        <f t="shared" ref="LW155:LY155" si="2746">SUM(LW117)</f>
        <v>0</v>
      </c>
      <c r="LX155" s="737">
        <f t="shared" si="2746"/>
        <v>0</v>
      </c>
      <c r="LY155" s="744">
        <f t="shared" si="2746"/>
        <v>0</v>
      </c>
      <c r="LZ155" s="737" t="e">
        <f t="shared" si="2671"/>
        <v>#DIV/0!</v>
      </c>
      <c r="MA155" s="738" t="e">
        <f t="shared" si="2672"/>
        <v>#DIV/0!</v>
      </c>
      <c r="MC155" s="743">
        <f t="shared" ref="MC155:ME155" si="2747">SUM(MC117)</f>
        <v>0</v>
      </c>
      <c r="MD155" s="737">
        <f t="shared" si="2747"/>
        <v>0</v>
      </c>
      <c r="ME155" s="744">
        <f t="shared" si="2747"/>
        <v>0</v>
      </c>
      <c r="MF155" s="737" t="e">
        <f t="shared" si="2674"/>
        <v>#DIV/0!</v>
      </c>
      <c r="MG155" s="738" t="e">
        <f t="shared" si="2675"/>
        <v>#DIV/0!</v>
      </c>
      <c r="MI155" s="743">
        <f t="shared" ref="MI155:MK155" si="2748">SUM(MI117)</f>
        <v>1100</v>
      </c>
      <c r="MJ155" s="737">
        <f t="shared" si="2748"/>
        <v>4.91</v>
      </c>
      <c r="MK155" s="744">
        <f t="shared" si="2748"/>
        <v>5</v>
      </c>
      <c r="ML155" s="737">
        <f t="shared" si="2677"/>
        <v>224.03258655804481</v>
      </c>
      <c r="MM155" s="738">
        <f t="shared" si="2678"/>
        <v>0.98199999999999998</v>
      </c>
      <c r="MO155" s="743">
        <f t="shared" ref="MO155:MQ155" si="2749">SUM(MO117)</f>
        <v>0</v>
      </c>
      <c r="MP155" s="737">
        <f t="shared" si="2749"/>
        <v>0</v>
      </c>
      <c r="MQ155" s="744">
        <f t="shared" si="2749"/>
        <v>0</v>
      </c>
      <c r="MR155" s="737" t="e">
        <f t="shared" si="2680"/>
        <v>#DIV/0!</v>
      </c>
      <c r="MS155" s="738" t="e">
        <f t="shared" si="2681"/>
        <v>#DIV/0!</v>
      </c>
      <c r="MU155" s="743">
        <f t="shared" ref="MU155:MW155" si="2750">SUM(MU117)</f>
        <v>0</v>
      </c>
      <c r="MV155" s="737">
        <f t="shared" si="2750"/>
        <v>0</v>
      </c>
      <c r="MW155" s="744">
        <f t="shared" si="2750"/>
        <v>0</v>
      </c>
      <c r="MX155" s="737" t="e">
        <f t="shared" si="2683"/>
        <v>#DIV/0!</v>
      </c>
      <c r="MY155" s="738" t="e">
        <f t="shared" si="2684"/>
        <v>#DIV/0!</v>
      </c>
      <c r="NA155" s="743">
        <f t="shared" ref="NA155:NC155" si="2751">SUM(NA117)</f>
        <v>0</v>
      </c>
      <c r="NB155" s="744">
        <f t="shared" si="2751"/>
        <v>0</v>
      </c>
      <c r="NC155" s="744">
        <f t="shared" si="2751"/>
        <v>0</v>
      </c>
      <c r="ND155" s="737" t="e">
        <f t="shared" si="2686"/>
        <v>#DIV/0!</v>
      </c>
      <c r="NE155" s="738" t="e">
        <f t="shared" si="2687"/>
        <v>#DIV/0!</v>
      </c>
      <c r="NG155" s="743">
        <f t="shared" ref="NG155:NI155" si="2752">SUM(NG117)</f>
        <v>0</v>
      </c>
      <c r="NH155" s="737">
        <f t="shared" si="2752"/>
        <v>0</v>
      </c>
      <c r="NI155" s="744">
        <f t="shared" si="2752"/>
        <v>0</v>
      </c>
      <c r="NJ155" s="737" t="e">
        <f t="shared" si="2689"/>
        <v>#DIV/0!</v>
      </c>
      <c r="NK155" s="738" t="e">
        <f t="shared" si="2690"/>
        <v>#DIV/0!</v>
      </c>
      <c r="NM155" s="743">
        <f t="shared" ref="NM155:NO155" si="2753">SUM(NM117)</f>
        <v>0</v>
      </c>
      <c r="NN155" s="737">
        <f t="shared" si="2753"/>
        <v>0</v>
      </c>
      <c r="NO155" s="744">
        <f t="shared" si="2753"/>
        <v>0</v>
      </c>
      <c r="NP155" s="737" t="e">
        <f t="shared" si="2692"/>
        <v>#DIV/0!</v>
      </c>
      <c r="NQ155" s="738" t="e">
        <f t="shared" si="2693"/>
        <v>#DIV/0!</v>
      </c>
      <c r="NS155" s="743">
        <f t="shared" ref="NS155:NU155" si="2754">SUM(NS117)</f>
        <v>0</v>
      </c>
      <c r="NT155" s="737">
        <f t="shared" si="2754"/>
        <v>0</v>
      </c>
      <c r="NU155" s="744">
        <f t="shared" si="2754"/>
        <v>0</v>
      </c>
      <c r="NV155" s="737" t="e">
        <f t="shared" si="2695"/>
        <v>#DIV/0!</v>
      </c>
      <c r="NW155" s="738" t="e">
        <f t="shared" si="2696"/>
        <v>#DIV/0!</v>
      </c>
      <c r="NY155" s="743">
        <f t="shared" ref="NY155:OA155" si="2755">SUM(NY117)</f>
        <v>0</v>
      </c>
      <c r="NZ155" s="737">
        <f t="shared" si="2755"/>
        <v>0</v>
      </c>
      <c r="OA155" s="744">
        <f t="shared" si="2755"/>
        <v>0</v>
      </c>
      <c r="OB155" s="737" t="e">
        <f t="shared" si="2698"/>
        <v>#DIV/0!</v>
      </c>
      <c r="OC155" s="738" t="e">
        <f t="shared" si="2699"/>
        <v>#DIV/0!</v>
      </c>
      <c r="OE155" s="743">
        <f t="shared" ref="OE155:OG155" si="2756">SUM(OE117)</f>
        <v>0</v>
      </c>
      <c r="OF155" s="737">
        <f t="shared" si="2756"/>
        <v>0</v>
      </c>
      <c r="OG155" s="744">
        <f t="shared" si="2756"/>
        <v>0</v>
      </c>
      <c r="OH155" s="737" t="e">
        <f t="shared" si="2701"/>
        <v>#DIV/0!</v>
      </c>
      <c r="OI155" s="738" t="e">
        <f t="shared" si="2702"/>
        <v>#DIV/0!</v>
      </c>
    </row>
    <row r="156" spans="1:399">
      <c r="A156" s="66" t="s">
        <v>219</v>
      </c>
      <c r="B156" s="67" t="s">
        <v>33</v>
      </c>
      <c r="C156" s="68"/>
      <c r="D156" s="61" t="s">
        <v>14</v>
      </c>
      <c r="E156" s="79">
        <f t="shared" ref="E156:G162" si="2757">E118</f>
        <v>0</v>
      </c>
      <c r="F156" s="82">
        <f t="shared" si="2757"/>
        <v>0</v>
      </c>
      <c r="G156" s="371">
        <f t="shared" si="2757"/>
        <v>0</v>
      </c>
      <c r="H156" s="369" t="e">
        <f t="shared" ref="H156" si="2758">E156/F156</f>
        <v>#DIV/0!</v>
      </c>
      <c r="I156" s="370" t="e">
        <f t="shared" ref="I156" si="2759">F156/G156</f>
        <v>#DIV/0!</v>
      </c>
      <c r="J156" s="589"/>
      <c r="K156" s="79">
        <f t="shared" ref="K156:M162" si="2760">K118</f>
        <v>0</v>
      </c>
      <c r="L156" s="82">
        <f t="shared" si="2760"/>
        <v>0</v>
      </c>
      <c r="M156" s="371">
        <f t="shared" si="2760"/>
        <v>0</v>
      </c>
      <c r="N156" s="369" t="e">
        <f t="shared" ref="N156" si="2761">K156/L156</f>
        <v>#DIV/0!</v>
      </c>
      <c r="O156" s="370" t="e">
        <f t="shared" ref="O156" si="2762">L156/M156</f>
        <v>#DIV/0!</v>
      </c>
      <c r="P156" s="589"/>
      <c r="Q156" s="79">
        <f t="shared" ref="Q156:S162" si="2763">Q118</f>
        <v>1050</v>
      </c>
      <c r="R156" s="82">
        <f t="shared" si="2763"/>
        <v>5.3000000000000007</v>
      </c>
      <c r="S156" s="371">
        <f t="shared" si="2763"/>
        <v>5</v>
      </c>
      <c r="T156" s="369">
        <f t="shared" ref="T156" si="2764">Q156/R156</f>
        <v>198.11320754716979</v>
      </c>
      <c r="U156" s="370">
        <f t="shared" ref="U156" si="2765">R156/S156</f>
        <v>1.06</v>
      </c>
      <c r="V156" s="589"/>
      <c r="W156" s="79">
        <f t="shared" ref="W156:Y162" si="2766">W118</f>
        <v>0</v>
      </c>
      <c r="X156" s="82">
        <f t="shared" si="2766"/>
        <v>0</v>
      </c>
      <c r="Y156" s="371">
        <f t="shared" si="2766"/>
        <v>0</v>
      </c>
      <c r="Z156" s="369" t="e">
        <f t="shared" ref="Z156" si="2767">W156/X156</f>
        <v>#DIV/0!</v>
      </c>
      <c r="AA156" s="370" t="e">
        <f t="shared" ref="AA156" si="2768">X156/Y156</f>
        <v>#DIV/0!</v>
      </c>
      <c r="AB156" s="589"/>
      <c r="AC156" s="79">
        <f t="shared" ref="AC156:AE162" si="2769">AC118</f>
        <v>0</v>
      </c>
      <c r="AD156" s="82">
        <f t="shared" si="2769"/>
        <v>0</v>
      </c>
      <c r="AE156" s="371">
        <f t="shared" si="2769"/>
        <v>0</v>
      </c>
      <c r="AF156" s="369" t="e">
        <f t="shared" ref="AF156" si="2770">AC156/AD156</f>
        <v>#DIV/0!</v>
      </c>
      <c r="AG156" s="370" t="e">
        <f t="shared" ref="AG156" si="2771">AD156/AE156</f>
        <v>#DIV/0!</v>
      </c>
      <c r="AH156" s="589"/>
      <c r="AI156" s="79">
        <f t="shared" ref="AI156:AK162" si="2772">AI118</f>
        <v>2300</v>
      </c>
      <c r="AJ156" s="82">
        <f t="shared" si="2772"/>
        <v>6.75</v>
      </c>
      <c r="AK156" s="371">
        <f t="shared" si="2772"/>
        <v>5</v>
      </c>
      <c r="AL156" s="369">
        <f t="shared" ref="AL156" si="2773">AI156/AJ156</f>
        <v>340.74074074074076</v>
      </c>
      <c r="AM156" s="370">
        <f t="shared" ref="AM156" si="2774">AJ156/AK156</f>
        <v>1.35</v>
      </c>
      <c r="AN156" s="589"/>
      <c r="AO156" s="79">
        <f t="shared" ref="AO156:AQ162" si="2775">AO118</f>
        <v>0</v>
      </c>
      <c r="AP156" s="82">
        <f t="shared" si="2775"/>
        <v>0</v>
      </c>
      <c r="AQ156" s="371">
        <f t="shared" si="2775"/>
        <v>0</v>
      </c>
      <c r="AR156" s="369" t="e">
        <f t="shared" ref="AR156" si="2776">AO156/AP156</f>
        <v>#DIV/0!</v>
      </c>
      <c r="AS156" s="370" t="e">
        <f t="shared" ref="AS156" si="2777">AP156/AQ156</f>
        <v>#DIV/0!</v>
      </c>
      <c r="AT156" s="589"/>
      <c r="AU156" s="79">
        <f t="shared" ref="AU156:AW162" si="2778">AU118</f>
        <v>530</v>
      </c>
      <c r="AV156" s="82">
        <f t="shared" si="2778"/>
        <v>6.52</v>
      </c>
      <c r="AW156" s="371">
        <f t="shared" si="2778"/>
        <v>5</v>
      </c>
      <c r="AX156" s="369">
        <f t="shared" ref="AX156" si="2779">AU156/AV156</f>
        <v>81.288343558282207</v>
      </c>
      <c r="AY156" s="370">
        <f t="shared" ref="AY156" si="2780">AV156/AW156</f>
        <v>1.3039999999999998</v>
      </c>
      <c r="AZ156" s="370"/>
      <c r="BA156" s="79">
        <f t="shared" ref="BA156:BC162" si="2781">BA118</f>
        <v>0</v>
      </c>
      <c r="BB156" s="82">
        <f t="shared" si="2781"/>
        <v>0</v>
      </c>
      <c r="BC156" s="371">
        <f t="shared" si="2781"/>
        <v>0</v>
      </c>
      <c r="BD156" s="369" t="e">
        <f t="shared" ref="BD156" si="2782">BA156/BB156</f>
        <v>#DIV/0!</v>
      </c>
      <c r="BE156" s="370" t="e">
        <f t="shared" ref="BE156" si="2783">BB156/BC156</f>
        <v>#DIV/0!</v>
      </c>
      <c r="BF156" s="370"/>
      <c r="BG156" s="79">
        <f t="shared" ref="BG156:BI162" si="2784">BG118</f>
        <v>0</v>
      </c>
      <c r="BH156" s="82">
        <f t="shared" si="2784"/>
        <v>0</v>
      </c>
      <c r="BI156" s="371">
        <f t="shared" si="2784"/>
        <v>0</v>
      </c>
      <c r="BJ156" s="369" t="e">
        <f t="shared" ref="BJ156" si="2785">BG156/BH156</f>
        <v>#DIV/0!</v>
      </c>
      <c r="BK156" s="370" t="e">
        <f t="shared" ref="BK156" si="2786">BH156/BI156</f>
        <v>#DIV/0!</v>
      </c>
      <c r="BL156" s="370"/>
      <c r="BM156" s="79">
        <f t="shared" ref="BM156:BO162" si="2787">BM118</f>
        <v>0</v>
      </c>
      <c r="BN156" s="82">
        <f t="shared" si="2787"/>
        <v>0</v>
      </c>
      <c r="BO156" s="371">
        <f t="shared" si="2787"/>
        <v>0</v>
      </c>
      <c r="BP156" s="369" t="e">
        <f t="shared" ref="BP156" si="2788">BM156/BN156</f>
        <v>#DIV/0!</v>
      </c>
      <c r="BQ156" s="370" t="e">
        <f t="shared" ref="BQ156" si="2789">BN156/BO156</f>
        <v>#DIV/0!</v>
      </c>
      <c r="BR156" s="589"/>
      <c r="BS156" s="79">
        <f t="shared" ref="BS156:BU162" si="2790">BS118</f>
        <v>0</v>
      </c>
      <c r="BT156" s="82">
        <f t="shared" si="2790"/>
        <v>0</v>
      </c>
      <c r="BU156" s="371">
        <f t="shared" si="2790"/>
        <v>0</v>
      </c>
      <c r="BV156" s="369" t="e">
        <f t="shared" ref="BV156" si="2791">BS156/BT156</f>
        <v>#DIV/0!</v>
      </c>
      <c r="BW156" s="370" t="e">
        <f t="shared" ref="BW156" si="2792">BT156/BU156</f>
        <v>#DIV/0!</v>
      </c>
      <c r="BX156" s="370"/>
      <c r="BY156" s="79">
        <f t="shared" ref="BY156:CA162" si="2793">BY118</f>
        <v>530</v>
      </c>
      <c r="BZ156" s="82">
        <f t="shared" si="2793"/>
        <v>6.52</v>
      </c>
      <c r="CA156" s="371">
        <f t="shared" si="2793"/>
        <v>5</v>
      </c>
      <c r="CB156" s="369">
        <f t="shared" ref="CB156" si="2794">BY156/BZ156</f>
        <v>81.288343558282207</v>
      </c>
      <c r="CC156" s="370">
        <f t="shared" ref="CC156" si="2795">BZ156/CA156</f>
        <v>1.3039999999999998</v>
      </c>
      <c r="CD156" s="370"/>
      <c r="CE156" s="79">
        <f t="shared" ref="CE156:CG162" si="2796">CE118</f>
        <v>0</v>
      </c>
      <c r="CF156" s="82">
        <f t="shared" si="2796"/>
        <v>0</v>
      </c>
      <c r="CG156" s="371">
        <f t="shared" si="2796"/>
        <v>0</v>
      </c>
      <c r="CH156" s="369" t="e">
        <f t="shared" ref="CH156" si="2797">CE156/CF156</f>
        <v>#DIV/0!</v>
      </c>
      <c r="CI156" s="370" t="e">
        <f t="shared" ref="CI156" si="2798">CF156/CG156</f>
        <v>#DIV/0!</v>
      </c>
      <c r="CJ156" s="370"/>
      <c r="CK156" s="79">
        <f t="shared" ref="CK156:CM162" si="2799">CK118</f>
        <v>0</v>
      </c>
      <c r="CL156" s="82">
        <f t="shared" si="2799"/>
        <v>0</v>
      </c>
      <c r="CM156" s="371">
        <f t="shared" si="2799"/>
        <v>0</v>
      </c>
      <c r="CN156" s="369" t="e">
        <f t="shared" ref="CN156" si="2800">CK156/CL156</f>
        <v>#DIV/0!</v>
      </c>
      <c r="CO156" s="370" t="e">
        <f t="shared" ref="CO156" si="2801">CL156/CM156</f>
        <v>#DIV/0!</v>
      </c>
      <c r="CP156" s="370"/>
      <c r="CQ156" s="79">
        <f t="shared" ref="CQ156:CS162" si="2802">CQ118</f>
        <v>0</v>
      </c>
      <c r="CR156" s="82">
        <f t="shared" si="2802"/>
        <v>0</v>
      </c>
      <c r="CS156" s="371">
        <f t="shared" si="2802"/>
        <v>0</v>
      </c>
      <c r="CT156" s="369" t="e">
        <f t="shared" ref="CT156" si="2803">CQ156/CR156</f>
        <v>#DIV/0!</v>
      </c>
      <c r="CU156" s="370" t="e">
        <f t="shared" ref="CU156" si="2804">CR156/CS156</f>
        <v>#DIV/0!</v>
      </c>
      <c r="CV156" s="370"/>
      <c r="CW156" s="79">
        <f t="shared" ref="CW156:CY162" si="2805">CW118</f>
        <v>530</v>
      </c>
      <c r="CX156" s="82">
        <f t="shared" si="2805"/>
        <v>6.52</v>
      </c>
      <c r="CY156" s="371">
        <f t="shared" si="2805"/>
        <v>5</v>
      </c>
      <c r="CZ156" s="369">
        <f t="shared" ref="CZ156" si="2806">CW156/CX156</f>
        <v>81.288343558282207</v>
      </c>
      <c r="DA156" s="370">
        <f t="shared" ref="DA156" si="2807">CX156/CY156</f>
        <v>1.3039999999999998</v>
      </c>
      <c r="DB156" s="370"/>
      <c r="DC156" s="79">
        <f t="shared" ref="DC156:DE162" si="2808">DC118</f>
        <v>1600</v>
      </c>
      <c r="DD156" s="82">
        <f t="shared" si="2808"/>
        <v>5.9399999999999995</v>
      </c>
      <c r="DE156" s="371">
        <f t="shared" si="2808"/>
        <v>5</v>
      </c>
      <c r="DF156" s="369">
        <f t="shared" ref="DF156" si="2809">DC156/DD156</f>
        <v>269.3602693602694</v>
      </c>
      <c r="DG156" s="370">
        <f t="shared" ref="DG156" si="2810">DD156/DE156</f>
        <v>1.1879999999999999</v>
      </c>
      <c r="DH156" s="370"/>
      <c r="DI156" s="79">
        <f t="shared" ref="DI156:DK162" si="2811">DI118</f>
        <v>0</v>
      </c>
      <c r="DJ156" s="82">
        <f t="shared" si="2811"/>
        <v>0</v>
      </c>
      <c r="DK156" s="371">
        <f t="shared" si="2811"/>
        <v>0</v>
      </c>
      <c r="DL156" s="369" t="e">
        <f t="shared" ref="DL156" si="2812">DI156/DJ156</f>
        <v>#DIV/0!</v>
      </c>
      <c r="DM156" s="370" t="e">
        <f t="shared" ref="DM156" si="2813">DJ156/DK156</f>
        <v>#DIV/0!</v>
      </c>
      <c r="DN156" s="370"/>
      <c r="DO156" s="79">
        <f t="shared" ref="DO156:DQ162" si="2814">DO118</f>
        <v>1550</v>
      </c>
      <c r="DP156" s="82">
        <f t="shared" si="2814"/>
        <v>11.17</v>
      </c>
      <c r="DQ156" s="371">
        <f t="shared" si="2814"/>
        <v>5</v>
      </c>
      <c r="DR156" s="369">
        <f t="shared" ref="DR156" si="2815">DO156/DP156</f>
        <v>138.76454789615039</v>
      </c>
      <c r="DS156" s="370">
        <f t="shared" ref="DS156" si="2816">DP156/DQ156</f>
        <v>2.234</v>
      </c>
      <c r="DT156" s="370"/>
      <c r="DU156" s="79">
        <f t="shared" ref="DU156:DW162" si="2817">DU118</f>
        <v>0</v>
      </c>
      <c r="DV156" s="82">
        <f t="shared" si="2817"/>
        <v>0</v>
      </c>
      <c r="DW156" s="371">
        <f t="shared" si="2817"/>
        <v>0</v>
      </c>
      <c r="DX156" s="369" t="e">
        <f t="shared" ref="DX156" si="2818">DU156/DV156</f>
        <v>#DIV/0!</v>
      </c>
      <c r="DY156" s="370" t="e">
        <f t="shared" ref="DY156" si="2819">DV156/DW156</f>
        <v>#DIV/0!</v>
      </c>
      <c r="DZ156" s="370"/>
      <c r="EA156" s="79">
        <f t="shared" ref="EA156:EC162" si="2820">EA118</f>
        <v>0</v>
      </c>
      <c r="EB156" s="82">
        <f t="shared" si="2820"/>
        <v>0</v>
      </c>
      <c r="EC156" s="371">
        <f t="shared" si="2820"/>
        <v>0</v>
      </c>
      <c r="ED156" s="369" t="e">
        <f t="shared" ref="ED156" si="2821">EA156/EB156</f>
        <v>#DIV/0!</v>
      </c>
      <c r="EE156" s="370" t="e">
        <f t="shared" ref="EE156" si="2822">EB156/EC156</f>
        <v>#DIV/0!</v>
      </c>
      <c r="EF156" s="370"/>
      <c r="EG156" s="79">
        <f t="shared" ref="EG156:EI162" si="2823">EG118</f>
        <v>0</v>
      </c>
      <c r="EH156" s="82">
        <f t="shared" si="2823"/>
        <v>0</v>
      </c>
      <c r="EI156" s="371">
        <f t="shared" si="2823"/>
        <v>0</v>
      </c>
      <c r="EJ156" s="369" t="e">
        <f t="shared" ref="EJ156" si="2824">EG156/EH156</f>
        <v>#DIV/0!</v>
      </c>
      <c r="EK156" s="370" t="e">
        <f t="shared" ref="EK156" si="2825">EH156/EI156</f>
        <v>#DIV/0!</v>
      </c>
      <c r="EL156" s="370"/>
      <c r="EM156" s="79">
        <f t="shared" ref="EM156:EO162" si="2826">EM118</f>
        <v>0</v>
      </c>
      <c r="EN156" s="82">
        <f t="shared" si="2826"/>
        <v>0</v>
      </c>
      <c r="EO156" s="371">
        <f t="shared" si="2826"/>
        <v>0</v>
      </c>
      <c r="EP156" s="369" t="e">
        <f t="shared" ref="EP156" si="2827">EM156/EN156</f>
        <v>#DIV/0!</v>
      </c>
      <c r="EQ156" s="370" t="e">
        <f t="shared" ref="EQ156" si="2828">EN156/EO156</f>
        <v>#DIV/0!</v>
      </c>
      <c r="ER156" s="589"/>
      <c r="ES156" s="79">
        <f t="shared" ref="ES156:EU162" si="2829">ES118</f>
        <v>530</v>
      </c>
      <c r="ET156" s="82">
        <f t="shared" si="2829"/>
        <v>6.52</v>
      </c>
      <c r="EU156" s="371">
        <f t="shared" si="2829"/>
        <v>5</v>
      </c>
      <c r="EV156" s="369">
        <f t="shared" ref="EV156" si="2830">ES156/ET156</f>
        <v>81.288343558282207</v>
      </c>
      <c r="EW156" s="370">
        <f t="shared" ref="EW156" si="2831">ET156/EU156</f>
        <v>1.3039999999999998</v>
      </c>
      <c r="EY156" s="91">
        <f t="shared" ref="EY156:FA162" si="2832">EY118</f>
        <v>2300</v>
      </c>
      <c r="EZ156" s="82">
        <f t="shared" si="2832"/>
        <v>6.75</v>
      </c>
      <c r="FA156" s="371">
        <f t="shared" si="2832"/>
        <v>5</v>
      </c>
      <c r="FB156" s="369">
        <f t="shared" ref="FB156" si="2833">EY156/EZ156</f>
        <v>340.74074074074076</v>
      </c>
      <c r="FC156" s="370">
        <f t="shared" ref="FC156" si="2834">EZ156/FA156</f>
        <v>1.35</v>
      </c>
      <c r="FD156" s="178"/>
      <c r="FE156" s="379">
        <f t="shared" ref="FE156:FG162" si="2835">FE118</f>
        <v>0</v>
      </c>
      <c r="FF156" s="369">
        <f t="shared" si="2835"/>
        <v>0</v>
      </c>
      <c r="FG156" s="371">
        <f t="shared" si="2835"/>
        <v>0</v>
      </c>
      <c r="FH156" s="369" t="e">
        <f t="shared" ref="FH156" si="2836">FE156/FF156</f>
        <v>#DIV/0!</v>
      </c>
      <c r="FI156" s="370" t="e">
        <f t="shared" ref="FI156" si="2837">FF156/FG156</f>
        <v>#DIV/0!</v>
      </c>
      <c r="FK156" s="91">
        <f t="shared" ref="FK156:FM162" si="2838">FK118</f>
        <v>0</v>
      </c>
      <c r="FL156" s="369">
        <f t="shared" si="2838"/>
        <v>0</v>
      </c>
      <c r="FM156" s="384">
        <f t="shared" si="2838"/>
        <v>0</v>
      </c>
      <c r="FN156" s="361" t="e">
        <f t="shared" si="2620"/>
        <v>#DIV/0!</v>
      </c>
      <c r="FO156" s="362" t="e">
        <f t="shared" si="2620"/>
        <v>#DIV/0!</v>
      </c>
      <c r="FQ156" s="91">
        <f t="shared" ref="FQ156:FS162" si="2839">FQ118</f>
        <v>1600</v>
      </c>
      <c r="FR156" s="369">
        <f t="shared" si="2839"/>
        <v>5.8900000000000006</v>
      </c>
      <c r="FS156" s="371">
        <f t="shared" si="2839"/>
        <v>5</v>
      </c>
      <c r="FT156" s="369">
        <f t="shared" ref="FT156" si="2840">FQ156/FR156</f>
        <v>271.64685908319183</v>
      </c>
      <c r="FU156" s="370">
        <f t="shared" ref="FU156" si="2841">FR156/FS156</f>
        <v>1.1780000000000002</v>
      </c>
      <c r="FV156" s="178"/>
      <c r="FW156" s="91">
        <f t="shared" ref="FW156:FY162" si="2842">FW118</f>
        <v>1600</v>
      </c>
      <c r="FX156" s="369">
        <f t="shared" si="2842"/>
        <v>5.9399999999999995</v>
      </c>
      <c r="FY156" s="371">
        <f t="shared" si="2842"/>
        <v>5</v>
      </c>
      <c r="FZ156" s="369">
        <f t="shared" ref="FZ156" si="2843">FW156/FX156</f>
        <v>269.3602693602694</v>
      </c>
      <c r="GA156" s="370">
        <f t="shared" ref="GA156" si="2844">FX156/FY156</f>
        <v>1.1879999999999999</v>
      </c>
      <c r="GC156" s="379">
        <f t="shared" ref="GC156:GE162" si="2845">GC118</f>
        <v>1150</v>
      </c>
      <c r="GD156" s="369">
        <f t="shared" si="2845"/>
        <v>6.63</v>
      </c>
      <c r="GE156" s="371">
        <f t="shared" si="2845"/>
        <v>5</v>
      </c>
      <c r="GF156" s="369">
        <f t="shared" ref="GF156" si="2846">GC156/GD156</f>
        <v>173.45399698340876</v>
      </c>
      <c r="GG156" s="370">
        <f t="shared" ref="GG156" si="2847">GD156/GE156</f>
        <v>1.3260000000000001</v>
      </c>
      <c r="GI156" s="379">
        <f t="shared" ref="GI156:GK162" si="2848">GI118</f>
        <v>950</v>
      </c>
      <c r="GJ156" s="369">
        <f t="shared" si="2848"/>
        <v>7.96</v>
      </c>
      <c r="GK156" s="371">
        <f t="shared" si="2848"/>
        <v>5</v>
      </c>
      <c r="GL156" s="369">
        <f t="shared" ref="GL156" si="2849">GI156/GJ156</f>
        <v>119.34673366834171</v>
      </c>
      <c r="GM156" s="370">
        <f t="shared" ref="GM156" si="2850">GJ156/GK156</f>
        <v>1.5920000000000001</v>
      </c>
      <c r="GO156" s="379">
        <f t="shared" ref="GO156:GQ162" si="2851">GO118</f>
        <v>800</v>
      </c>
      <c r="GP156" s="369">
        <f t="shared" si="2851"/>
        <v>5</v>
      </c>
      <c r="GQ156" s="371">
        <f t="shared" si="2851"/>
        <v>5</v>
      </c>
      <c r="GR156" s="369">
        <f t="shared" ref="GR156" si="2852">GO156/GP156</f>
        <v>160</v>
      </c>
      <c r="GS156" s="370">
        <f t="shared" ref="GS156" si="2853">GP156/GQ156</f>
        <v>1</v>
      </c>
      <c r="GU156" s="379">
        <f t="shared" ref="GU156:GW162" si="2854">GU118</f>
        <v>530</v>
      </c>
      <c r="GV156" s="369">
        <f t="shared" si="2854"/>
        <v>5.3500000000000005</v>
      </c>
      <c r="GW156" s="371">
        <f t="shared" si="2854"/>
        <v>5</v>
      </c>
      <c r="GX156" s="369">
        <f t="shared" ref="GX156" si="2855">GU156/GV156</f>
        <v>99.065420560747654</v>
      </c>
      <c r="GY156" s="370">
        <f t="shared" ref="GY156" si="2856">GV156/GW156</f>
        <v>1.07</v>
      </c>
      <c r="HA156" s="91">
        <f t="shared" ref="HA156:HC162" si="2857">HA118</f>
        <v>530</v>
      </c>
      <c r="HB156" s="82">
        <f t="shared" si="2857"/>
        <v>10.019999999999998</v>
      </c>
      <c r="HC156" s="371">
        <f t="shared" si="2857"/>
        <v>5</v>
      </c>
      <c r="HD156" s="369">
        <f t="shared" ref="HD156" si="2858">HA156/HB156</f>
        <v>52.894211576846317</v>
      </c>
      <c r="HE156" s="370">
        <f t="shared" ref="HE156" si="2859">HB156/HC156</f>
        <v>2.0039999999999996</v>
      </c>
      <c r="HG156" s="91">
        <f t="shared" ref="HG156:HI162" si="2860">HG118</f>
        <v>1550</v>
      </c>
      <c r="HH156" s="82">
        <f t="shared" si="2860"/>
        <v>11.17</v>
      </c>
      <c r="HI156" s="79">
        <f t="shared" si="2860"/>
        <v>5</v>
      </c>
      <c r="HJ156" s="82">
        <f t="shared" ref="HJ156" si="2861">HG156/HH156</f>
        <v>138.76454789615039</v>
      </c>
      <c r="HK156" s="84">
        <f t="shared" ref="HK156" si="2862">HH156/HI156</f>
        <v>2.234</v>
      </c>
      <c r="HM156" s="91">
        <f t="shared" ref="HM156:HO162" si="2863">HM118</f>
        <v>1550</v>
      </c>
      <c r="HN156" s="82">
        <f t="shared" si="2863"/>
        <v>11.17</v>
      </c>
      <c r="HO156" s="371">
        <f t="shared" si="2863"/>
        <v>5</v>
      </c>
      <c r="HP156" s="361">
        <f t="shared" si="2621"/>
        <v>138.76454789615039</v>
      </c>
      <c r="HQ156" s="362">
        <f t="shared" si="2621"/>
        <v>2.234</v>
      </c>
      <c r="HS156" s="91">
        <f t="shared" ref="HS156:HU162" si="2864">HS118</f>
        <v>0</v>
      </c>
      <c r="HT156" s="82">
        <f t="shared" si="2864"/>
        <v>0</v>
      </c>
      <c r="HU156" s="371">
        <f t="shared" si="2864"/>
        <v>0</v>
      </c>
      <c r="HV156" s="361" t="e">
        <f t="shared" si="2622"/>
        <v>#DIV/0!</v>
      </c>
      <c r="HW156" s="362" t="e">
        <f t="shared" si="2622"/>
        <v>#DIV/0!</v>
      </c>
      <c r="HX156" s="178"/>
      <c r="HY156" s="91">
        <f t="shared" ref="HY156:IA162" si="2865">HY118</f>
        <v>0</v>
      </c>
      <c r="HZ156" s="82">
        <f t="shared" si="2865"/>
        <v>0</v>
      </c>
      <c r="IA156" s="371">
        <f t="shared" si="2865"/>
        <v>0</v>
      </c>
      <c r="IB156" s="361" t="e">
        <f t="shared" si="2623"/>
        <v>#DIV/0!</v>
      </c>
      <c r="IC156" s="362" t="e">
        <f t="shared" si="2623"/>
        <v>#DIV/0!</v>
      </c>
      <c r="IE156" s="91">
        <f t="shared" ref="IE156:IG162" si="2866">IE118</f>
        <v>400</v>
      </c>
      <c r="IF156" s="82">
        <f t="shared" si="2866"/>
        <v>0.66</v>
      </c>
      <c r="IG156" s="79">
        <f t="shared" si="2866"/>
        <v>2</v>
      </c>
      <c r="IH156" s="82">
        <f t="shared" ref="IH156" si="2867">IE156/IF156</f>
        <v>606.06060606060601</v>
      </c>
      <c r="II156" s="84">
        <f t="shared" ref="II156" si="2868">IF156/IG156</f>
        <v>0.33</v>
      </c>
      <c r="IK156" s="91">
        <f t="shared" ref="IK156:IM162" si="2869">IK118</f>
        <v>2500</v>
      </c>
      <c r="IL156" s="82">
        <f t="shared" si="2869"/>
        <v>5.3999999999999995</v>
      </c>
      <c r="IM156" s="79">
        <f t="shared" si="2869"/>
        <v>5</v>
      </c>
      <c r="IN156" s="82">
        <f t="shared" ref="IN156" si="2870">IK156/IL156</f>
        <v>462.96296296296299</v>
      </c>
      <c r="IO156" s="84">
        <f t="shared" ref="IO156" si="2871">IL156/IM156</f>
        <v>1.0799999999999998</v>
      </c>
      <c r="IQ156" s="91">
        <f t="shared" ref="IQ156:IS162" si="2872">IQ118</f>
        <v>1300</v>
      </c>
      <c r="IR156" s="82">
        <f t="shared" si="2872"/>
        <v>7.4300000000000006</v>
      </c>
      <c r="IS156" s="79">
        <f t="shared" si="2872"/>
        <v>5</v>
      </c>
      <c r="IT156" s="82">
        <f t="shared" ref="IT156" si="2873">IQ156/IR156</f>
        <v>174.96635262449527</v>
      </c>
      <c r="IU156" s="84">
        <f t="shared" ref="IU156" si="2874">IR156/IS156</f>
        <v>1.4860000000000002</v>
      </c>
      <c r="IW156" s="91">
        <f t="shared" ref="IW156:IY162" si="2875">IW118</f>
        <v>800</v>
      </c>
      <c r="IX156" s="82">
        <f t="shared" si="2875"/>
        <v>6.74</v>
      </c>
      <c r="IY156" s="79">
        <f t="shared" si="2875"/>
        <v>5</v>
      </c>
      <c r="IZ156" s="82">
        <f t="shared" ref="IZ156" si="2876">IW156/IX156</f>
        <v>118.69436201780415</v>
      </c>
      <c r="JA156" s="84">
        <f t="shared" ref="JA156" si="2877">IX156/IY156</f>
        <v>1.3480000000000001</v>
      </c>
      <c r="JC156" s="91">
        <f t="shared" ref="JC156:JE162" si="2878">JC118</f>
        <v>680</v>
      </c>
      <c r="JD156" s="82">
        <f t="shared" si="2878"/>
        <v>7.25</v>
      </c>
      <c r="JE156" s="79">
        <f t="shared" si="2878"/>
        <v>5</v>
      </c>
      <c r="JF156" s="82">
        <f t="shared" ref="JF156" si="2879">JC156/JD156</f>
        <v>93.793103448275858</v>
      </c>
      <c r="JG156" s="84">
        <f t="shared" ref="JG156" si="2880">JD156/JE156</f>
        <v>1.45</v>
      </c>
      <c r="JI156" s="91">
        <f t="shared" ref="JI156:JK162" si="2881">JI118</f>
        <v>850</v>
      </c>
      <c r="JJ156" s="82">
        <f t="shared" si="2881"/>
        <v>9.16</v>
      </c>
      <c r="JK156" s="79">
        <f t="shared" si="2881"/>
        <v>5</v>
      </c>
      <c r="JL156" s="82">
        <f t="shared" ref="JL156" si="2882">JI156/JJ156</f>
        <v>92.794759825327503</v>
      </c>
      <c r="JM156" s="84">
        <f t="shared" ref="JM156" si="2883">JJ156/JK156</f>
        <v>1.8320000000000001</v>
      </c>
      <c r="JO156" s="91">
        <f t="shared" ref="JO156:JQ162" si="2884">JO118</f>
        <v>570</v>
      </c>
      <c r="JP156" s="82">
        <f t="shared" si="2884"/>
        <v>8.34</v>
      </c>
      <c r="JQ156" s="79">
        <f t="shared" si="2884"/>
        <v>5</v>
      </c>
      <c r="JR156" s="82">
        <f t="shared" ref="JR156" si="2885">JO156/JP156</f>
        <v>68.345323741007192</v>
      </c>
      <c r="JS156" s="84">
        <f t="shared" ref="JS156" si="2886">JP156/JQ156</f>
        <v>1.6679999999999999</v>
      </c>
      <c r="JU156" s="383">
        <f t="shared" si="2600"/>
        <v>1250</v>
      </c>
      <c r="JV156" s="82">
        <f t="shared" si="2600"/>
        <v>10.27</v>
      </c>
      <c r="JW156" s="748">
        <f t="shared" si="2600"/>
        <v>5</v>
      </c>
      <c r="JX156" s="369">
        <f t="shared" si="2645"/>
        <v>121.71372930866602</v>
      </c>
      <c r="JY156" s="84">
        <f t="shared" si="2646"/>
        <v>2.0539999999999998</v>
      </c>
      <c r="KA156" s="383">
        <f t="shared" si="2601"/>
        <v>2050</v>
      </c>
      <c r="KB156" s="82">
        <f t="shared" si="2601"/>
        <v>1.9</v>
      </c>
      <c r="KC156" s="748">
        <f t="shared" si="2601"/>
        <v>5</v>
      </c>
      <c r="KD156" s="369">
        <f t="shared" si="2647"/>
        <v>1078.9473684210527</v>
      </c>
      <c r="KE156" s="84">
        <f t="shared" si="2648"/>
        <v>0.38</v>
      </c>
      <c r="KG156" s="383">
        <f t="shared" ref="KG156:KI156" si="2887">SUM(KG118)</f>
        <v>1300</v>
      </c>
      <c r="KH156" s="82">
        <f t="shared" si="2887"/>
        <v>9.33</v>
      </c>
      <c r="KI156" s="748">
        <f t="shared" si="2887"/>
        <v>5</v>
      </c>
      <c r="KJ156" s="369">
        <f t="shared" si="2650"/>
        <v>139.33547695605574</v>
      </c>
      <c r="KK156" s="84">
        <f t="shared" si="2651"/>
        <v>1.8660000000000001</v>
      </c>
      <c r="KM156" s="383">
        <f t="shared" ref="KM156:KO156" si="2888">SUM(KM118)</f>
        <v>0</v>
      </c>
      <c r="KN156" s="82">
        <f t="shared" si="2888"/>
        <v>0</v>
      </c>
      <c r="KO156" s="748">
        <f t="shared" si="2888"/>
        <v>0</v>
      </c>
      <c r="KP156" s="369" t="e">
        <f t="shared" si="2653"/>
        <v>#DIV/0!</v>
      </c>
      <c r="KQ156" s="84" t="e">
        <f t="shared" si="2654"/>
        <v>#DIV/0!</v>
      </c>
      <c r="KS156" s="383">
        <f t="shared" ref="KS156:KU156" si="2889">SUM(KS118)</f>
        <v>0</v>
      </c>
      <c r="KT156" s="82">
        <f t="shared" si="2889"/>
        <v>0</v>
      </c>
      <c r="KU156" s="748">
        <f t="shared" si="2889"/>
        <v>0</v>
      </c>
      <c r="KV156" s="369" t="e">
        <f t="shared" si="2656"/>
        <v>#DIV/0!</v>
      </c>
      <c r="KW156" s="84" t="e">
        <f t="shared" si="2657"/>
        <v>#DIV/0!</v>
      </c>
      <c r="KY156" s="383">
        <f t="shared" ref="KY156:LA156" si="2890">SUM(KY118)</f>
        <v>0</v>
      </c>
      <c r="KZ156" s="82">
        <f t="shared" si="2890"/>
        <v>0</v>
      </c>
      <c r="LA156" s="748">
        <f t="shared" si="2890"/>
        <v>0</v>
      </c>
      <c r="LB156" s="369" t="e">
        <f t="shared" si="2659"/>
        <v>#DIV/0!</v>
      </c>
      <c r="LC156" s="84" t="e">
        <f t="shared" si="2660"/>
        <v>#DIV/0!</v>
      </c>
      <c r="LE156" s="383">
        <f t="shared" ref="LE156:LG156" si="2891">SUM(LE118)</f>
        <v>1100</v>
      </c>
      <c r="LF156" s="82">
        <f t="shared" si="2891"/>
        <v>3.72</v>
      </c>
      <c r="LG156" s="748">
        <f t="shared" si="2891"/>
        <v>5</v>
      </c>
      <c r="LH156" s="369">
        <f t="shared" si="2662"/>
        <v>295.69892473118279</v>
      </c>
      <c r="LI156" s="84">
        <f t="shared" si="2663"/>
        <v>0.74399999999999999</v>
      </c>
      <c r="LK156" s="383">
        <f t="shared" ref="LK156:LM156" si="2892">SUM(LK118)</f>
        <v>2200</v>
      </c>
      <c r="LL156" s="82">
        <f t="shared" si="2892"/>
        <v>9.43</v>
      </c>
      <c r="LM156" s="748">
        <f t="shared" si="2892"/>
        <v>5</v>
      </c>
      <c r="LN156" s="369">
        <f t="shared" si="2665"/>
        <v>233.29798515376459</v>
      </c>
      <c r="LO156" s="84">
        <f t="shared" si="2666"/>
        <v>1.8859999999999999</v>
      </c>
      <c r="LQ156" s="383">
        <f t="shared" ref="LQ156:LS156" si="2893">SUM(LQ118)</f>
        <v>1050</v>
      </c>
      <c r="LR156" s="82">
        <f t="shared" si="2893"/>
        <v>6.4</v>
      </c>
      <c r="LS156" s="748">
        <f t="shared" si="2893"/>
        <v>5</v>
      </c>
      <c r="LT156" s="369">
        <f t="shared" si="2668"/>
        <v>164.0625</v>
      </c>
      <c r="LU156" s="84">
        <f t="shared" si="2669"/>
        <v>1.28</v>
      </c>
      <c r="LW156" s="383">
        <f t="shared" ref="LW156:LY156" si="2894">SUM(LW118)</f>
        <v>600</v>
      </c>
      <c r="LX156" s="82">
        <f t="shared" si="2894"/>
        <v>7.1</v>
      </c>
      <c r="LY156" s="748">
        <f t="shared" si="2894"/>
        <v>5</v>
      </c>
      <c r="LZ156" s="369">
        <f t="shared" si="2671"/>
        <v>84.507042253521135</v>
      </c>
      <c r="MA156" s="84">
        <f t="shared" si="2672"/>
        <v>1.42</v>
      </c>
      <c r="MC156" s="383">
        <f t="shared" ref="MC156:ME156" si="2895">SUM(MC118)</f>
        <v>1350</v>
      </c>
      <c r="MD156" s="82">
        <f t="shared" si="2895"/>
        <v>28.84</v>
      </c>
      <c r="ME156" s="748">
        <f t="shared" si="2895"/>
        <v>5</v>
      </c>
      <c r="MF156" s="369">
        <f t="shared" si="2674"/>
        <v>46.809986130374483</v>
      </c>
      <c r="MG156" s="84">
        <f t="shared" si="2675"/>
        <v>5.7679999999999998</v>
      </c>
      <c r="MI156" s="383">
        <f t="shared" ref="MI156:MK156" si="2896">SUM(MI118)</f>
        <v>500</v>
      </c>
      <c r="MJ156" s="82">
        <f t="shared" si="2896"/>
        <v>4.01</v>
      </c>
      <c r="MK156" s="748">
        <f t="shared" si="2896"/>
        <v>5</v>
      </c>
      <c r="ML156" s="369">
        <f t="shared" si="2677"/>
        <v>124.68827930174564</v>
      </c>
      <c r="MM156" s="84">
        <f t="shared" si="2678"/>
        <v>0.80199999999999994</v>
      </c>
      <c r="MO156" s="383">
        <f t="shared" ref="MO156:MQ156" si="2897">SUM(MO118)</f>
        <v>0</v>
      </c>
      <c r="MP156" s="82">
        <f t="shared" si="2897"/>
        <v>0</v>
      </c>
      <c r="MQ156" s="748">
        <f t="shared" si="2897"/>
        <v>0</v>
      </c>
      <c r="MR156" s="369" t="e">
        <f t="shared" si="2680"/>
        <v>#DIV/0!</v>
      </c>
      <c r="MS156" s="84" t="e">
        <f t="shared" si="2681"/>
        <v>#DIV/0!</v>
      </c>
      <c r="MU156" s="383">
        <f t="shared" ref="MU156:MW156" si="2898">SUM(MU118)</f>
        <v>0</v>
      </c>
      <c r="MV156" s="82">
        <f t="shared" si="2898"/>
        <v>0</v>
      </c>
      <c r="MW156" s="748">
        <f t="shared" si="2898"/>
        <v>0</v>
      </c>
      <c r="MX156" s="369" t="e">
        <f t="shared" si="2683"/>
        <v>#DIV/0!</v>
      </c>
      <c r="MY156" s="84" t="e">
        <f t="shared" si="2684"/>
        <v>#DIV/0!</v>
      </c>
      <c r="NA156" s="383">
        <f t="shared" ref="NA156:NC156" si="2899">SUM(NA118)</f>
        <v>0</v>
      </c>
      <c r="NB156" s="748">
        <f t="shared" si="2899"/>
        <v>0</v>
      </c>
      <c r="NC156" s="748">
        <f t="shared" si="2899"/>
        <v>0</v>
      </c>
      <c r="ND156" s="369" t="e">
        <f t="shared" si="2686"/>
        <v>#DIV/0!</v>
      </c>
      <c r="NE156" s="84" t="e">
        <f t="shared" si="2687"/>
        <v>#DIV/0!</v>
      </c>
      <c r="NG156" s="383">
        <f t="shared" ref="NG156:NI156" si="2900">SUM(NG118)</f>
        <v>0</v>
      </c>
      <c r="NH156" s="82">
        <f t="shared" si="2900"/>
        <v>0</v>
      </c>
      <c r="NI156" s="748">
        <f t="shared" si="2900"/>
        <v>0</v>
      </c>
      <c r="NJ156" s="369" t="e">
        <f t="shared" si="2689"/>
        <v>#DIV/0!</v>
      </c>
      <c r="NK156" s="84" t="e">
        <f t="shared" si="2690"/>
        <v>#DIV/0!</v>
      </c>
      <c r="NM156" s="383">
        <f t="shared" ref="NM156:NO156" si="2901">SUM(NM118)</f>
        <v>0</v>
      </c>
      <c r="NN156" s="82">
        <f t="shared" si="2901"/>
        <v>0</v>
      </c>
      <c r="NO156" s="748">
        <f t="shared" si="2901"/>
        <v>0</v>
      </c>
      <c r="NP156" s="369" t="e">
        <f t="shared" si="2692"/>
        <v>#DIV/0!</v>
      </c>
      <c r="NQ156" s="84" t="e">
        <f t="shared" si="2693"/>
        <v>#DIV/0!</v>
      </c>
      <c r="NS156" s="383">
        <f t="shared" ref="NS156:NU156" si="2902">SUM(NS118)</f>
        <v>0</v>
      </c>
      <c r="NT156" s="82">
        <f t="shared" si="2902"/>
        <v>0</v>
      </c>
      <c r="NU156" s="748">
        <f t="shared" si="2902"/>
        <v>0</v>
      </c>
      <c r="NV156" s="369" t="e">
        <f t="shared" si="2695"/>
        <v>#DIV/0!</v>
      </c>
      <c r="NW156" s="84" t="e">
        <f t="shared" si="2696"/>
        <v>#DIV/0!</v>
      </c>
      <c r="NY156" s="383">
        <f t="shared" ref="NY156:OA156" si="2903">SUM(NY118)</f>
        <v>2100</v>
      </c>
      <c r="NZ156" s="82">
        <f t="shared" si="2903"/>
        <v>4.49</v>
      </c>
      <c r="OA156" s="748">
        <f t="shared" si="2903"/>
        <v>5</v>
      </c>
      <c r="OB156" s="369">
        <f t="shared" si="2698"/>
        <v>467.70601336302894</v>
      </c>
      <c r="OC156" s="84">
        <f t="shared" si="2699"/>
        <v>0.89800000000000002</v>
      </c>
      <c r="OE156" s="383">
        <f t="shared" ref="OE156:OG156" si="2904">SUM(OE118)</f>
        <v>1900</v>
      </c>
      <c r="OF156" s="82">
        <f t="shared" si="2904"/>
        <v>7.0600000000000005</v>
      </c>
      <c r="OG156" s="748">
        <f t="shared" si="2904"/>
        <v>5</v>
      </c>
      <c r="OH156" s="369">
        <f t="shared" si="2701"/>
        <v>269.12181303116148</v>
      </c>
      <c r="OI156" s="84">
        <f t="shared" si="2702"/>
        <v>1.4120000000000001</v>
      </c>
    </row>
    <row r="157" spans="1:399">
      <c r="A157" s="69"/>
      <c r="B157" s="70" t="s">
        <v>34</v>
      </c>
      <c r="C157" s="57"/>
      <c r="D157" s="58" t="s">
        <v>14</v>
      </c>
      <c r="E157" s="79">
        <f t="shared" si="2757"/>
        <v>0</v>
      </c>
      <c r="F157" s="82">
        <f t="shared" si="2757"/>
        <v>0</v>
      </c>
      <c r="G157" s="79">
        <f t="shared" si="2757"/>
        <v>0</v>
      </c>
      <c r="H157" s="82" t="e">
        <f>E157/F157</f>
        <v>#DIV/0!</v>
      </c>
      <c r="I157" s="84" t="e">
        <f>F157/G157</f>
        <v>#DIV/0!</v>
      </c>
      <c r="J157" s="589"/>
      <c r="K157" s="79">
        <f t="shared" si="2760"/>
        <v>0</v>
      </c>
      <c r="L157" s="82">
        <f t="shared" si="2760"/>
        <v>0</v>
      </c>
      <c r="M157" s="79">
        <f t="shared" si="2760"/>
        <v>0</v>
      </c>
      <c r="N157" s="82" t="e">
        <f>K157/L157</f>
        <v>#DIV/0!</v>
      </c>
      <c r="O157" s="84" t="e">
        <f>L157/M157</f>
        <v>#DIV/0!</v>
      </c>
      <c r="P157" s="589"/>
      <c r="Q157" s="79">
        <f t="shared" si="2763"/>
        <v>900</v>
      </c>
      <c r="R157" s="82">
        <f t="shared" si="2763"/>
        <v>2.8</v>
      </c>
      <c r="S157" s="79">
        <f t="shared" si="2763"/>
        <v>5</v>
      </c>
      <c r="T157" s="82">
        <f>Q157/R157</f>
        <v>321.42857142857144</v>
      </c>
      <c r="U157" s="84">
        <f>R157/S157</f>
        <v>0.55999999999999994</v>
      </c>
      <c r="V157" s="589"/>
      <c r="W157" s="79">
        <f t="shared" si="2766"/>
        <v>0</v>
      </c>
      <c r="X157" s="82">
        <f t="shared" si="2766"/>
        <v>0</v>
      </c>
      <c r="Y157" s="79">
        <f t="shared" si="2766"/>
        <v>0</v>
      </c>
      <c r="Z157" s="82" t="e">
        <f>W157/X157</f>
        <v>#DIV/0!</v>
      </c>
      <c r="AA157" s="84" t="e">
        <f>X157/Y157</f>
        <v>#DIV/0!</v>
      </c>
      <c r="AB157" s="589"/>
      <c r="AC157" s="79">
        <f t="shared" si="2769"/>
        <v>0</v>
      </c>
      <c r="AD157" s="82">
        <f t="shared" si="2769"/>
        <v>0</v>
      </c>
      <c r="AE157" s="79">
        <f t="shared" si="2769"/>
        <v>0</v>
      </c>
      <c r="AF157" s="82" t="e">
        <f>AC157/AD157</f>
        <v>#DIV/0!</v>
      </c>
      <c r="AG157" s="84" t="e">
        <f>AD157/AE157</f>
        <v>#DIV/0!</v>
      </c>
      <c r="AH157" s="589"/>
      <c r="AI157" s="79">
        <f t="shared" si="2772"/>
        <v>0</v>
      </c>
      <c r="AJ157" s="82">
        <f t="shared" si="2772"/>
        <v>0</v>
      </c>
      <c r="AK157" s="79">
        <f t="shared" si="2772"/>
        <v>0</v>
      </c>
      <c r="AL157" s="82" t="e">
        <f>AI157/AJ157</f>
        <v>#DIV/0!</v>
      </c>
      <c r="AM157" s="84" t="e">
        <f>AJ157/AK157</f>
        <v>#DIV/0!</v>
      </c>
      <c r="AN157" s="589"/>
      <c r="AO157" s="79">
        <f t="shared" si="2775"/>
        <v>0</v>
      </c>
      <c r="AP157" s="82">
        <f t="shared" si="2775"/>
        <v>0</v>
      </c>
      <c r="AQ157" s="79">
        <f t="shared" si="2775"/>
        <v>0</v>
      </c>
      <c r="AR157" s="82" t="e">
        <f>AO157/AP157</f>
        <v>#DIV/0!</v>
      </c>
      <c r="AS157" s="84" t="e">
        <f>AP157/AQ157</f>
        <v>#DIV/0!</v>
      </c>
      <c r="AT157" s="589"/>
      <c r="AU157" s="79">
        <f t="shared" si="2778"/>
        <v>1100</v>
      </c>
      <c r="AV157" s="82">
        <f t="shared" si="2778"/>
        <v>3.75</v>
      </c>
      <c r="AW157" s="79">
        <f t="shared" si="2778"/>
        <v>5</v>
      </c>
      <c r="AX157" s="82">
        <f>AU157/AV157</f>
        <v>293.33333333333331</v>
      </c>
      <c r="AY157" s="84">
        <f>AV157/AW157</f>
        <v>0.75</v>
      </c>
      <c r="AZ157" s="84"/>
      <c r="BA157" s="79">
        <f t="shared" si="2781"/>
        <v>0</v>
      </c>
      <c r="BB157" s="82">
        <f t="shared" si="2781"/>
        <v>0</v>
      </c>
      <c r="BC157" s="79">
        <f t="shared" si="2781"/>
        <v>0</v>
      </c>
      <c r="BD157" s="82" t="e">
        <f>BA157/BB157</f>
        <v>#DIV/0!</v>
      </c>
      <c r="BE157" s="84" t="e">
        <f>BB157/BC157</f>
        <v>#DIV/0!</v>
      </c>
      <c r="BF157" s="84"/>
      <c r="BG157" s="79">
        <f t="shared" si="2784"/>
        <v>0</v>
      </c>
      <c r="BH157" s="82">
        <f t="shared" si="2784"/>
        <v>0</v>
      </c>
      <c r="BI157" s="79">
        <f t="shared" si="2784"/>
        <v>0</v>
      </c>
      <c r="BJ157" s="82" t="e">
        <f>BG157/BH157</f>
        <v>#DIV/0!</v>
      </c>
      <c r="BK157" s="84" t="e">
        <f>BH157/BI157</f>
        <v>#DIV/0!</v>
      </c>
      <c r="BL157" s="84"/>
      <c r="BM157" s="79">
        <f t="shared" si="2787"/>
        <v>0</v>
      </c>
      <c r="BN157" s="82">
        <f t="shared" si="2787"/>
        <v>0</v>
      </c>
      <c r="BO157" s="79">
        <f t="shared" si="2787"/>
        <v>0</v>
      </c>
      <c r="BP157" s="82" t="e">
        <f>BM157/BN157</f>
        <v>#DIV/0!</v>
      </c>
      <c r="BQ157" s="84" t="e">
        <f>BN157/BO157</f>
        <v>#DIV/0!</v>
      </c>
      <c r="BR157" s="589"/>
      <c r="BS157" s="79">
        <f t="shared" si="2790"/>
        <v>0</v>
      </c>
      <c r="BT157" s="82">
        <f t="shared" si="2790"/>
        <v>0</v>
      </c>
      <c r="BU157" s="79">
        <f t="shared" si="2790"/>
        <v>0</v>
      </c>
      <c r="BV157" s="82" t="e">
        <f>BS157/BT157</f>
        <v>#DIV/0!</v>
      </c>
      <c r="BW157" s="84" t="e">
        <f>BT157/BU157</f>
        <v>#DIV/0!</v>
      </c>
      <c r="BX157" s="84"/>
      <c r="BY157" s="79">
        <f t="shared" si="2793"/>
        <v>1100</v>
      </c>
      <c r="BZ157" s="82">
        <f t="shared" si="2793"/>
        <v>3.75</v>
      </c>
      <c r="CA157" s="79">
        <f t="shared" si="2793"/>
        <v>5</v>
      </c>
      <c r="CB157" s="82">
        <f>BY157/BZ157</f>
        <v>293.33333333333331</v>
      </c>
      <c r="CC157" s="84">
        <f>BZ157/CA157</f>
        <v>0.75</v>
      </c>
      <c r="CD157" s="84"/>
      <c r="CE157" s="79">
        <f t="shared" si="2796"/>
        <v>0</v>
      </c>
      <c r="CF157" s="82">
        <f t="shared" si="2796"/>
        <v>0</v>
      </c>
      <c r="CG157" s="79">
        <f t="shared" si="2796"/>
        <v>0</v>
      </c>
      <c r="CH157" s="82" t="e">
        <f>CE157/CF157</f>
        <v>#DIV/0!</v>
      </c>
      <c r="CI157" s="84" t="e">
        <f>CF157/CG157</f>
        <v>#DIV/0!</v>
      </c>
      <c r="CJ157" s="84"/>
      <c r="CK157" s="79">
        <f t="shared" si="2799"/>
        <v>0</v>
      </c>
      <c r="CL157" s="82">
        <f t="shared" si="2799"/>
        <v>0</v>
      </c>
      <c r="CM157" s="79">
        <f t="shared" si="2799"/>
        <v>0</v>
      </c>
      <c r="CN157" s="82" t="e">
        <f>CK157/CL157</f>
        <v>#DIV/0!</v>
      </c>
      <c r="CO157" s="84" t="e">
        <f>CL157/CM157</f>
        <v>#DIV/0!</v>
      </c>
      <c r="CP157" s="84"/>
      <c r="CQ157" s="79">
        <f t="shared" si="2802"/>
        <v>0</v>
      </c>
      <c r="CR157" s="82">
        <f t="shared" si="2802"/>
        <v>0</v>
      </c>
      <c r="CS157" s="79">
        <f t="shared" si="2802"/>
        <v>0</v>
      </c>
      <c r="CT157" s="82" t="e">
        <f>CQ157/CR157</f>
        <v>#DIV/0!</v>
      </c>
      <c r="CU157" s="84" t="e">
        <f>CR157/CS157</f>
        <v>#DIV/0!</v>
      </c>
      <c r="CV157" s="84"/>
      <c r="CW157" s="79">
        <f t="shared" si="2805"/>
        <v>1100</v>
      </c>
      <c r="CX157" s="82">
        <f t="shared" si="2805"/>
        <v>3.75</v>
      </c>
      <c r="CY157" s="79">
        <f t="shared" si="2805"/>
        <v>5</v>
      </c>
      <c r="CZ157" s="82">
        <f>CW157/CX157</f>
        <v>293.33333333333331</v>
      </c>
      <c r="DA157" s="84">
        <f>CX157/CY157</f>
        <v>0.75</v>
      </c>
      <c r="DB157" s="84"/>
      <c r="DC157" s="79">
        <f t="shared" si="2808"/>
        <v>0</v>
      </c>
      <c r="DD157" s="82">
        <f t="shared" si="2808"/>
        <v>0</v>
      </c>
      <c r="DE157" s="79">
        <f t="shared" si="2808"/>
        <v>0</v>
      </c>
      <c r="DF157" s="82" t="e">
        <f>DC157/DD157</f>
        <v>#DIV/0!</v>
      </c>
      <c r="DG157" s="84" t="e">
        <f>DD157/DE157</f>
        <v>#DIV/0!</v>
      </c>
      <c r="DH157" s="84"/>
      <c r="DI157" s="79">
        <f t="shared" si="2811"/>
        <v>0</v>
      </c>
      <c r="DJ157" s="82">
        <f t="shared" si="2811"/>
        <v>0</v>
      </c>
      <c r="DK157" s="79">
        <f t="shared" si="2811"/>
        <v>0</v>
      </c>
      <c r="DL157" s="82" t="e">
        <f>DI157/DJ157</f>
        <v>#DIV/0!</v>
      </c>
      <c r="DM157" s="84" t="e">
        <f>DJ157/DK157</f>
        <v>#DIV/0!</v>
      </c>
      <c r="DN157" s="84"/>
      <c r="DO157" s="79">
        <f t="shared" si="2814"/>
        <v>950</v>
      </c>
      <c r="DP157" s="82">
        <f t="shared" si="2814"/>
        <v>5.72</v>
      </c>
      <c r="DQ157" s="79">
        <f t="shared" si="2814"/>
        <v>5</v>
      </c>
      <c r="DR157" s="82">
        <f>DO157/DP157</f>
        <v>166.08391608391608</v>
      </c>
      <c r="DS157" s="84">
        <f>DP157/DQ157</f>
        <v>1.1439999999999999</v>
      </c>
      <c r="DT157" s="84"/>
      <c r="DU157" s="79">
        <f t="shared" si="2817"/>
        <v>0</v>
      </c>
      <c r="DV157" s="82">
        <f t="shared" si="2817"/>
        <v>0</v>
      </c>
      <c r="DW157" s="79">
        <f t="shared" si="2817"/>
        <v>0</v>
      </c>
      <c r="DX157" s="82" t="e">
        <f>DU157/DV157</f>
        <v>#DIV/0!</v>
      </c>
      <c r="DY157" s="84" t="e">
        <f>DV157/DW157</f>
        <v>#DIV/0!</v>
      </c>
      <c r="DZ157" s="84"/>
      <c r="EA157" s="79">
        <f t="shared" si="2820"/>
        <v>0</v>
      </c>
      <c r="EB157" s="82">
        <f t="shared" si="2820"/>
        <v>0</v>
      </c>
      <c r="EC157" s="79">
        <f t="shared" si="2820"/>
        <v>0</v>
      </c>
      <c r="ED157" s="82" t="e">
        <f>EA157/EB157</f>
        <v>#DIV/0!</v>
      </c>
      <c r="EE157" s="84" t="e">
        <f>EB157/EC157</f>
        <v>#DIV/0!</v>
      </c>
      <c r="EF157" s="84"/>
      <c r="EG157" s="79">
        <f t="shared" si="2823"/>
        <v>0</v>
      </c>
      <c r="EH157" s="82">
        <f t="shared" si="2823"/>
        <v>0</v>
      </c>
      <c r="EI157" s="79">
        <f t="shared" si="2823"/>
        <v>0</v>
      </c>
      <c r="EJ157" s="82" t="e">
        <f>EG157/EH157</f>
        <v>#DIV/0!</v>
      </c>
      <c r="EK157" s="84" t="e">
        <f>EH157/EI157</f>
        <v>#DIV/0!</v>
      </c>
      <c r="EL157" s="84"/>
      <c r="EM157" s="79">
        <f t="shared" si="2826"/>
        <v>0</v>
      </c>
      <c r="EN157" s="82">
        <f t="shared" si="2826"/>
        <v>0</v>
      </c>
      <c r="EO157" s="79">
        <f t="shared" si="2826"/>
        <v>0</v>
      </c>
      <c r="EP157" s="82" t="e">
        <f>EM157/EN157</f>
        <v>#DIV/0!</v>
      </c>
      <c r="EQ157" s="84" t="e">
        <f>EN157/EO157</f>
        <v>#DIV/0!</v>
      </c>
      <c r="ER157" s="589"/>
      <c r="ES157" s="79">
        <f t="shared" si="2829"/>
        <v>1100</v>
      </c>
      <c r="ET157" s="82">
        <f t="shared" si="2829"/>
        <v>3.75</v>
      </c>
      <c r="EU157" s="79">
        <f t="shared" si="2829"/>
        <v>5</v>
      </c>
      <c r="EV157" s="82">
        <f>ES157/ET157</f>
        <v>293.33333333333331</v>
      </c>
      <c r="EW157" s="84">
        <f>ET157/EU157</f>
        <v>0.75</v>
      </c>
      <c r="EY157" s="91">
        <f t="shared" si="2832"/>
        <v>0</v>
      </c>
      <c r="EZ157" s="82">
        <f t="shared" si="2832"/>
        <v>0</v>
      </c>
      <c r="FA157" s="371">
        <f t="shared" si="2832"/>
        <v>0</v>
      </c>
      <c r="FB157" s="361" t="e">
        <f>EY157/EZ157</f>
        <v>#DIV/0!</v>
      </c>
      <c r="FC157" s="362" t="e">
        <f>EZ157/FA157</f>
        <v>#DIV/0!</v>
      </c>
      <c r="FD157" s="178"/>
      <c r="FE157" s="379">
        <f t="shared" si="2835"/>
        <v>0</v>
      </c>
      <c r="FF157" s="369">
        <f t="shared" si="2835"/>
        <v>0</v>
      </c>
      <c r="FG157" s="371">
        <f t="shared" si="2835"/>
        <v>0</v>
      </c>
      <c r="FH157" s="369" t="e">
        <f>FE157/FF157</f>
        <v>#DIV/0!</v>
      </c>
      <c r="FI157" s="370" t="e">
        <f>FF157/FG157</f>
        <v>#DIV/0!</v>
      </c>
      <c r="FK157" s="91">
        <f t="shared" si="2838"/>
        <v>0</v>
      </c>
      <c r="FL157" s="369">
        <f t="shared" si="2838"/>
        <v>0</v>
      </c>
      <c r="FM157" s="371">
        <f t="shared" si="2838"/>
        <v>0</v>
      </c>
      <c r="FN157" s="361" t="e">
        <f t="shared" si="2620"/>
        <v>#DIV/0!</v>
      </c>
      <c r="FO157" s="362" t="e">
        <f t="shared" si="2620"/>
        <v>#DIV/0!</v>
      </c>
      <c r="FQ157" s="91">
        <f t="shared" si="2839"/>
        <v>0</v>
      </c>
      <c r="FR157" s="369">
        <f t="shared" si="2839"/>
        <v>0</v>
      </c>
      <c r="FS157" s="371">
        <f t="shared" si="2839"/>
        <v>0</v>
      </c>
      <c r="FT157" s="361" t="e">
        <f>FQ157/FR157</f>
        <v>#DIV/0!</v>
      </c>
      <c r="FU157" s="362" t="e">
        <f>FR157/FS157</f>
        <v>#DIV/0!</v>
      </c>
      <c r="FV157" s="178"/>
      <c r="FW157" s="91">
        <f t="shared" si="2842"/>
        <v>0</v>
      </c>
      <c r="FX157" s="369">
        <f t="shared" si="2842"/>
        <v>0</v>
      </c>
      <c r="FY157" s="371">
        <f t="shared" si="2842"/>
        <v>0</v>
      </c>
      <c r="FZ157" s="361" t="e">
        <f>FW157/FX157</f>
        <v>#DIV/0!</v>
      </c>
      <c r="GA157" s="362" t="e">
        <f>FX157/FY157</f>
        <v>#DIV/0!</v>
      </c>
      <c r="GC157" s="379">
        <f t="shared" si="2845"/>
        <v>0</v>
      </c>
      <c r="GD157" s="369">
        <f t="shared" si="2845"/>
        <v>0</v>
      </c>
      <c r="GE157" s="371">
        <f t="shared" si="2845"/>
        <v>0</v>
      </c>
      <c r="GF157" s="361" t="e">
        <f>GC157/GD157</f>
        <v>#DIV/0!</v>
      </c>
      <c r="GG157" s="362" t="e">
        <f>GD157/GE157</f>
        <v>#DIV/0!</v>
      </c>
      <c r="GI157" s="379">
        <f t="shared" si="2848"/>
        <v>1150</v>
      </c>
      <c r="GJ157" s="369">
        <f t="shared" si="2848"/>
        <v>3.58</v>
      </c>
      <c r="GK157" s="371">
        <f t="shared" si="2848"/>
        <v>5</v>
      </c>
      <c r="GL157" s="369">
        <f>GI157/GJ157</f>
        <v>321.22905027932961</v>
      </c>
      <c r="GM157" s="370">
        <f>GJ157/GK157</f>
        <v>0.71599999999999997</v>
      </c>
      <c r="GO157" s="379">
        <f t="shared" si="2851"/>
        <v>1200</v>
      </c>
      <c r="GP157" s="369">
        <f t="shared" si="2851"/>
        <v>3.57</v>
      </c>
      <c r="GQ157" s="371">
        <f t="shared" si="2851"/>
        <v>5</v>
      </c>
      <c r="GR157" s="369">
        <f>GO157/GP157</f>
        <v>336.1344537815126</v>
      </c>
      <c r="GS157" s="370">
        <f>GP157/GQ157</f>
        <v>0.71399999999999997</v>
      </c>
      <c r="GU157" s="379">
        <f t="shared" si="2854"/>
        <v>1100</v>
      </c>
      <c r="GV157" s="369">
        <f t="shared" si="2854"/>
        <v>4.78</v>
      </c>
      <c r="GW157" s="371">
        <f t="shared" si="2854"/>
        <v>5</v>
      </c>
      <c r="GX157" s="369">
        <f>GU157/GV157</f>
        <v>230.12552301255229</v>
      </c>
      <c r="GY157" s="370">
        <f>GV157/GW157</f>
        <v>0.95600000000000007</v>
      </c>
      <c r="HA157" s="91">
        <f t="shared" si="2857"/>
        <v>530</v>
      </c>
      <c r="HB157" s="82">
        <f t="shared" si="2857"/>
        <v>4.09</v>
      </c>
      <c r="HC157" s="371">
        <f t="shared" si="2857"/>
        <v>5</v>
      </c>
      <c r="HD157" s="369">
        <f>HA157/HB157</f>
        <v>129.58435207823962</v>
      </c>
      <c r="HE157" s="370">
        <f>HB157/HC157</f>
        <v>0.81799999999999995</v>
      </c>
      <c r="HG157" s="91">
        <f t="shared" si="2860"/>
        <v>950</v>
      </c>
      <c r="HH157" s="82">
        <f t="shared" si="2860"/>
        <v>5.72</v>
      </c>
      <c r="HI157" s="79">
        <f t="shared" si="2860"/>
        <v>5</v>
      </c>
      <c r="HJ157" s="82">
        <f>HG157/HH157</f>
        <v>166.08391608391608</v>
      </c>
      <c r="HK157" s="84">
        <f>HH157/HI157</f>
        <v>1.1439999999999999</v>
      </c>
      <c r="HM157" s="91">
        <f t="shared" si="2863"/>
        <v>950</v>
      </c>
      <c r="HN157" s="82">
        <f t="shared" si="2863"/>
        <v>5.72</v>
      </c>
      <c r="HO157" s="371">
        <f t="shared" si="2863"/>
        <v>5</v>
      </c>
      <c r="HP157" s="361">
        <f t="shared" si="2621"/>
        <v>166.08391608391608</v>
      </c>
      <c r="HQ157" s="362">
        <f t="shared" si="2621"/>
        <v>1.1439999999999999</v>
      </c>
      <c r="HS157" s="91">
        <f t="shared" si="2864"/>
        <v>0</v>
      </c>
      <c r="HT157" s="82">
        <f t="shared" si="2864"/>
        <v>0</v>
      </c>
      <c r="HU157" s="371">
        <f t="shared" si="2864"/>
        <v>0</v>
      </c>
      <c r="HV157" s="361" t="e">
        <f t="shared" si="2622"/>
        <v>#DIV/0!</v>
      </c>
      <c r="HW157" s="362" t="e">
        <f t="shared" si="2622"/>
        <v>#DIV/0!</v>
      </c>
      <c r="HX157" s="178"/>
      <c r="HY157" s="91">
        <f t="shared" si="2865"/>
        <v>0</v>
      </c>
      <c r="HZ157" s="82">
        <f t="shared" si="2865"/>
        <v>0</v>
      </c>
      <c r="IA157" s="371">
        <f t="shared" si="2865"/>
        <v>0</v>
      </c>
      <c r="IB157" s="361" t="e">
        <f t="shared" si="2623"/>
        <v>#DIV/0!</v>
      </c>
      <c r="IC157" s="362" t="e">
        <f t="shared" si="2623"/>
        <v>#DIV/0!</v>
      </c>
      <c r="IE157" s="91">
        <f t="shared" si="2866"/>
        <v>0</v>
      </c>
      <c r="IF157" s="82">
        <f t="shared" si="2866"/>
        <v>0</v>
      </c>
      <c r="IG157" s="79">
        <f t="shared" si="2866"/>
        <v>0</v>
      </c>
      <c r="IH157" s="361" t="e">
        <f>IE157/IF157</f>
        <v>#DIV/0!</v>
      </c>
      <c r="II157" s="362" t="e">
        <f>IF157/IG157</f>
        <v>#DIV/0!</v>
      </c>
      <c r="IK157" s="91">
        <f t="shared" si="2869"/>
        <v>0</v>
      </c>
      <c r="IL157" s="82">
        <f t="shared" si="2869"/>
        <v>0</v>
      </c>
      <c r="IM157" s="79">
        <f t="shared" si="2869"/>
        <v>0</v>
      </c>
      <c r="IN157" s="361" t="e">
        <f>IK157/IL157</f>
        <v>#DIV/0!</v>
      </c>
      <c r="IO157" s="362" t="e">
        <f>IL157/IM157</f>
        <v>#DIV/0!</v>
      </c>
      <c r="IQ157" s="91">
        <f t="shared" si="2872"/>
        <v>0</v>
      </c>
      <c r="IR157" s="82">
        <f t="shared" si="2872"/>
        <v>0</v>
      </c>
      <c r="IS157" s="79">
        <f t="shared" si="2872"/>
        <v>0</v>
      </c>
      <c r="IT157" s="361" t="e">
        <f>IQ157/IR157</f>
        <v>#DIV/0!</v>
      </c>
      <c r="IU157" s="362" t="e">
        <f>IR157/IS157</f>
        <v>#DIV/0!</v>
      </c>
      <c r="IW157" s="91">
        <f t="shared" si="2875"/>
        <v>1400</v>
      </c>
      <c r="IX157" s="82">
        <f t="shared" si="2875"/>
        <v>3.25</v>
      </c>
      <c r="IY157" s="79">
        <f t="shared" si="2875"/>
        <v>3</v>
      </c>
      <c r="IZ157" s="361">
        <f>IW157/IX157</f>
        <v>430.76923076923077</v>
      </c>
      <c r="JA157" s="362">
        <f>IX157/IY157</f>
        <v>1.0833333333333333</v>
      </c>
      <c r="JC157" s="91">
        <f t="shared" si="2878"/>
        <v>1200</v>
      </c>
      <c r="JD157" s="82">
        <f t="shared" si="2878"/>
        <v>3.17</v>
      </c>
      <c r="JE157" s="79">
        <f t="shared" si="2878"/>
        <v>5</v>
      </c>
      <c r="JF157" s="361">
        <f>JC157/JD157</f>
        <v>378.54889589905366</v>
      </c>
      <c r="JG157" s="362">
        <f>JD157/JE157</f>
        <v>0.63400000000000001</v>
      </c>
      <c r="JI157" s="91">
        <f t="shared" si="2881"/>
        <v>1900</v>
      </c>
      <c r="JJ157" s="82">
        <f t="shared" si="2881"/>
        <v>3.62</v>
      </c>
      <c r="JK157" s="79">
        <f t="shared" si="2881"/>
        <v>5</v>
      </c>
      <c r="JL157" s="361">
        <f>JI157/JJ157</f>
        <v>524.86187845303868</v>
      </c>
      <c r="JM157" s="362">
        <f>JJ157/JK157</f>
        <v>0.72399999999999998</v>
      </c>
      <c r="JO157" s="91">
        <f t="shared" si="2884"/>
        <v>1100</v>
      </c>
      <c r="JP157" s="82">
        <f t="shared" si="2884"/>
        <v>5.9700000000000006</v>
      </c>
      <c r="JQ157" s="79">
        <f t="shared" si="2884"/>
        <v>5</v>
      </c>
      <c r="JR157" s="361">
        <f>JO157/JP157</f>
        <v>184.25460636515911</v>
      </c>
      <c r="JS157" s="362">
        <f>JP157/JQ157</f>
        <v>1.1940000000000002</v>
      </c>
      <c r="JU157" s="383">
        <f t="shared" si="2600"/>
        <v>2000</v>
      </c>
      <c r="JV157" s="82">
        <f t="shared" si="2600"/>
        <v>7.38</v>
      </c>
      <c r="JW157" s="748">
        <f t="shared" si="2600"/>
        <v>5</v>
      </c>
      <c r="JX157" s="361">
        <f>JU157/JV157</f>
        <v>271.00271002710025</v>
      </c>
      <c r="JY157" s="362">
        <f>JV157/JW157</f>
        <v>1.476</v>
      </c>
      <c r="KA157" s="383">
        <f t="shared" si="2601"/>
        <v>0</v>
      </c>
      <c r="KB157" s="82">
        <f t="shared" si="2601"/>
        <v>0</v>
      </c>
      <c r="KC157" s="748">
        <f t="shared" si="2601"/>
        <v>0</v>
      </c>
      <c r="KD157" s="361" t="e">
        <f>KA157/KB157</f>
        <v>#DIV/0!</v>
      </c>
      <c r="KE157" s="362" t="e">
        <f>KB157/KC157</f>
        <v>#DIV/0!</v>
      </c>
      <c r="KG157" s="383">
        <f t="shared" ref="KG157:KI157" si="2905">SUM(KG119)</f>
        <v>0</v>
      </c>
      <c r="KH157" s="82">
        <f t="shared" si="2905"/>
        <v>0</v>
      </c>
      <c r="KI157" s="748">
        <f t="shared" si="2905"/>
        <v>0</v>
      </c>
      <c r="KJ157" s="361" t="e">
        <f>KG157/KH157</f>
        <v>#DIV/0!</v>
      </c>
      <c r="KK157" s="362" t="e">
        <f>KH157/KI157</f>
        <v>#DIV/0!</v>
      </c>
      <c r="KM157" s="383">
        <f t="shared" ref="KM157:KO157" si="2906">SUM(KM119)</f>
        <v>0</v>
      </c>
      <c r="KN157" s="82">
        <f t="shared" si="2906"/>
        <v>0</v>
      </c>
      <c r="KO157" s="748">
        <f t="shared" si="2906"/>
        <v>0</v>
      </c>
      <c r="KP157" s="361" t="e">
        <f>KM157/KN157</f>
        <v>#DIV/0!</v>
      </c>
      <c r="KQ157" s="362" t="e">
        <f>KN157/KO157</f>
        <v>#DIV/0!</v>
      </c>
      <c r="KS157" s="383">
        <f t="shared" ref="KS157:KU157" si="2907">SUM(KS119)</f>
        <v>0</v>
      </c>
      <c r="KT157" s="82">
        <f t="shared" si="2907"/>
        <v>0</v>
      </c>
      <c r="KU157" s="748">
        <f t="shared" si="2907"/>
        <v>0</v>
      </c>
      <c r="KV157" s="361" t="e">
        <f>KS157/KT157</f>
        <v>#DIV/0!</v>
      </c>
      <c r="KW157" s="362" t="e">
        <f>KT157/KU157</f>
        <v>#DIV/0!</v>
      </c>
      <c r="KY157" s="383">
        <f t="shared" ref="KY157:LA157" si="2908">SUM(KY119)</f>
        <v>0</v>
      </c>
      <c r="KZ157" s="82">
        <f t="shared" si="2908"/>
        <v>0</v>
      </c>
      <c r="LA157" s="748">
        <f t="shared" si="2908"/>
        <v>0</v>
      </c>
      <c r="LB157" s="361" t="e">
        <f>KY157/KZ157</f>
        <v>#DIV/0!</v>
      </c>
      <c r="LC157" s="362" t="e">
        <f>KZ157/LA157</f>
        <v>#DIV/0!</v>
      </c>
      <c r="LE157" s="383">
        <f t="shared" ref="LE157:LG157" si="2909">SUM(LE119)</f>
        <v>0</v>
      </c>
      <c r="LF157" s="82">
        <f t="shared" si="2909"/>
        <v>0</v>
      </c>
      <c r="LG157" s="748">
        <f t="shared" si="2909"/>
        <v>0</v>
      </c>
      <c r="LH157" s="361" t="e">
        <f>LE157/LF157</f>
        <v>#DIV/0!</v>
      </c>
      <c r="LI157" s="362" t="e">
        <f>LF157/LG157</f>
        <v>#DIV/0!</v>
      </c>
      <c r="LK157" s="383">
        <f t="shared" ref="LK157:LM157" si="2910">SUM(LK119)</f>
        <v>0</v>
      </c>
      <c r="LL157" s="82">
        <f t="shared" si="2910"/>
        <v>0</v>
      </c>
      <c r="LM157" s="748">
        <f t="shared" si="2910"/>
        <v>0</v>
      </c>
      <c r="LN157" s="361" t="e">
        <f>LK157/LL157</f>
        <v>#DIV/0!</v>
      </c>
      <c r="LO157" s="362" t="e">
        <f>LL157/LM157</f>
        <v>#DIV/0!</v>
      </c>
      <c r="LQ157" s="383">
        <f t="shared" ref="LQ157:LS157" si="2911">SUM(LQ119)</f>
        <v>0</v>
      </c>
      <c r="LR157" s="82">
        <f t="shared" si="2911"/>
        <v>0</v>
      </c>
      <c r="LS157" s="748">
        <f t="shared" si="2911"/>
        <v>0</v>
      </c>
      <c r="LT157" s="361" t="e">
        <f>LQ157/LR157</f>
        <v>#DIV/0!</v>
      </c>
      <c r="LU157" s="362" t="e">
        <f>LR157/LS157</f>
        <v>#DIV/0!</v>
      </c>
      <c r="LW157" s="383">
        <f t="shared" ref="LW157:LY157" si="2912">SUM(LW119)</f>
        <v>1000</v>
      </c>
      <c r="LX157" s="82">
        <f t="shared" si="2912"/>
        <v>4.07</v>
      </c>
      <c r="LY157" s="748">
        <f t="shared" si="2912"/>
        <v>5</v>
      </c>
      <c r="LZ157" s="361">
        <f>LW157/LX157</f>
        <v>245.70024570024569</v>
      </c>
      <c r="MA157" s="362">
        <f>LX157/LY157</f>
        <v>0.81400000000000006</v>
      </c>
      <c r="MC157" s="383">
        <f t="shared" ref="MC157:ME157" si="2913">SUM(MC119)</f>
        <v>1100</v>
      </c>
      <c r="MD157" s="82">
        <f t="shared" si="2913"/>
        <v>4.84</v>
      </c>
      <c r="ME157" s="748">
        <f t="shared" si="2913"/>
        <v>5</v>
      </c>
      <c r="MF157" s="361">
        <f>MC157/MD157</f>
        <v>227.27272727272728</v>
      </c>
      <c r="MG157" s="362">
        <f>MD157/ME157</f>
        <v>0.96799999999999997</v>
      </c>
      <c r="MI157" s="383">
        <f t="shared" ref="MI157:MK157" si="2914">SUM(MI119)</f>
        <v>500</v>
      </c>
      <c r="MJ157" s="82">
        <f t="shared" si="2914"/>
        <v>2.5</v>
      </c>
      <c r="MK157" s="748">
        <f t="shared" si="2914"/>
        <v>5</v>
      </c>
      <c r="ML157" s="361">
        <f>MI157/MJ157</f>
        <v>200</v>
      </c>
      <c r="MM157" s="362">
        <f>MJ157/MK157</f>
        <v>0.5</v>
      </c>
      <c r="MO157" s="383">
        <f t="shared" ref="MO157:MQ157" si="2915">SUM(MO119)</f>
        <v>0</v>
      </c>
      <c r="MP157" s="82">
        <f t="shared" si="2915"/>
        <v>0</v>
      </c>
      <c r="MQ157" s="748">
        <f t="shared" si="2915"/>
        <v>0</v>
      </c>
      <c r="MR157" s="361" t="e">
        <f>MO157/MP157</f>
        <v>#DIV/0!</v>
      </c>
      <c r="MS157" s="362" t="e">
        <f>MP157/MQ157</f>
        <v>#DIV/0!</v>
      </c>
      <c r="MU157" s="383">
        <f t="shared" ref="MU157:MW157" si="2916">SUM(MU119)</f>
        <v>0</v>
      </c>
      <c r="MV157" s="82">
        <f t="shared" si="2916"/>
        <v>0</v>
      </c>
      <c r="MW157" s="748">
        <f t="shared" si="2916"/>
        <v>0</v>
      </c>
      <c r="MX157" s="361" t="e">
        <f>MU157/MV157</f>
        <v>#DIV/0!</v>
      </c>
      <c r="MY157" s="362" t="e">
        <f>MV157/MW157</f>
        <v>#DIV/0!</v>
      </c>
      <c r="NA157" s="383">
        <f t="shared" ref="NA157:NC157" si="2917">SUM(NA119)</f>
        <v>0</v>
      </c>
      <c r="NB157" s="748">
        <f t="shared" si="2917"/>
        <v>0</v>
      </c>
      <c r="NC157" s="748">
        <f t="shared" si="2917"/>
        <v>0</v>
      </c>
      <c r="ND157" s="361" t="e">
        <f>NA157/NB157</f>
        <v>#DIV/0!</v>
      </c>
      <c r="NE157" s="362" t="e">
        <f>NB157/NC157</f>
        <v>#DIV/0!</v>
      </c>
      <c r="NG157" s="383">
        <f t="shared" ref="NG157:NI157" si="2918">SUM(NG119)</f>
        <v>0</v>
      </c>
      <c r="NH157" s="82">
        <f t="shared" si="2918"/>
        <v>0</v>
      </c>
      <c r="NI157" s="748">
        <f t="shared" si="2918"/>
        <v>0</v>
      </c>
      <c r="NJ157" s="361" t="e">
        <f>NG157/NH157</f>
        <v>#DIV/0!</v>
      </c>
      <c r="NK157" s="362" t="e">
        <f>NH157/NI157</f>
        <v>#DIV/0!</v>
      </c>
      <c r="NM157" s="383">
        <f t="shared" ref="NM157:NO157" si="2919">SUM(NM119)</f>
        <v>0</v>
      </c>
      <c r="NN157" s="82">
        <f t="shared" si="2919"/>
        <v>0</v>
      </c>
      <c r="NO157" s="748">
        <f t="shared" si="2919"/>
        <v>0</v>
      </c>
      <c r="NP157" s="361" t="e">
        <f>NM157/NN157</f>
        <v>#DIV/0!</v>
      </c>
      <c r="NQ157" s="362" t="e">
        <f>NN157/NO157</f>
        <v>#DIV/0!</v>
      </c>
      <c r="NS157" s="383">
        <f t="shared" ref="NS157:NU157" si="2920">SUM(NS119)</f>
        <v>0</v>
      </c>
      <c r="NT157" s="82">
        <f t="shared" si="2920"/>
        <v>0</v>
      </c>
      <c r="NU157" s="748">
        <f t="shared" si="2920"/>
        <v>0</v>
      </c>
      <c r="NV157" s="361" t="e">
        <f>NS157/NT157</f>
        <v>#DIV/0!</v>
      </c>
      <c r="NW157" s="362" t="e">
        <f>NT157/NU157</f>
        <v>#DIV/0!</v>
      </c>
      <c r="NY157" s="383">
        <f t="shared" ref="NY157:OA157" si="2921">SUM(NY119)</f>
        <v>0</v>
      </c>
      <c r="NZ157" s="82">
        <f t="shared" si="2921"/>
        <v>0</v>
      </c>
      <c r="OA157" s="748">
        <f t="shared" si="2921"/>
        <v>0</v>
      </c>
      <c r="OB157" s="361" t="e">
        <f>NY157/NZ157</f>
        <v>#DIV/0!</v>
      </c>
      <c r="OC157" s="362" t="e">
        <f>NZ157/OA157</f>
        <v>#DIV/0!</v>
      </c>
      <c r="OE157" s="383">
        <f t="shared" ref="OE157:OG157" si="2922">SUM(OE119)</f>
        <v>0</v>
      </c>
      <c r="OF157" s="82">
        <f t="shared" si="2922"/>
        <v>0</v>
      </c>
      <c r="OG157" s="748">
        <f t="shared" si="2922"/>
        <v>0</v>
      </c>
      <c r="OH157" s="361" t="e">
        <f>OE157/OF157</f>
        <v>#DIV/0!</v>
      </c>
      <c r="OI157" s="362" t="e">
        <f>OF157/OG157</f>
        <v>#DIV/0!</v>
      </c>
    </row>
    <row r="158" spans="1:399">
      <c r="A158" s="69"/>
      <c r="B158" s="70" t="s">
        <v>35</v>
      </c>
      <c r="C158" s="57"/>
      <c r="D158" s="58" t="s">
        <v>36</v>
      </c>
      <c r="E158" s="79">
        <f t="shared" si="2757"/>
        <v>600</v>
      </c>
      <c r="F158" s="82">
        <f t="shared" si="2757"/>
        <v>2.27</v>
      </c>
      <c r="G158" s="79">
        <f t="shared" si="2757"/>
        <v>3</v>
      </c>
      <c r="H158" s="82">
        <f t="shared" ref="H158:H173" si="2923">E158/F158</f>
        <v>264.31718061674007</v>
      </c>
      <c r="I158" s="84">
        <f t="shared" ref="I158:I173" si="2924">F158/G158</f>
        <v>0.75666666666666671</v>
      </c>
      <c r="J158" s="589"/>
      <c r="K158" s="79">
        <f t="shared" si="2760"/>
        <v>0</v>
      </c>
      <c r="L158" s="82">
        <f t="shared" si="2760"/>
        <v>0</v>
      </c>
      <c r="M158" s="79">
        <f t="shared" si="2760"/>
        <v>0</v>
      </c>
      <c r="N158" s="82" t="e">
        <f t="shared" ref="N158:N173" si="2925">K158/L158</f>
        <v>#DIV/0!</v>
      </c>
      <c r="O158" s="84" t="e">
        <f t="shared" ref="O158:O173" si="2926">L158/M158</f>
        <v>#DIV/0!</v>
      </c>
      <c r="P158" s="589"/>
      <c r="Q158" s="79">
        <f t="shared" si="2763"/>
        <v>0</v>
      </c>
      <c r="R158" s="82">
        <f t="shared" si="2763"/>
        <v>0</v>
      </c>
      <c r="S158" s="79">
        <f t="shared" si="2763"/>
        <v>0</v>
      </c>
      <c r="T158" s="82" t="e">
        <f t="shared" ref="T158:T173" si="2927">Q158/R158</f>
        <v>#DIV/0!</v>
      </c>
      <c r="U158" s="84" t="e">
        <f t="shared" ref="U158:U173" si="2928">R158/S158</f>
        <v>#DIV/0!</v>
      </c>
      <c r="V158" s="589"/>
      <c r="W158" s="79">
        <f t="shared" si="2766"/>
        <v>0</v>
      </c>
      <c r="X158" s="82">
        <f t="shared" si="2766"/>
        <v>0</v>
      </c>
      <c r="Y158" s="79">
        <f t="shared" si="2766"/>
        <v>0</v>
      </c>
      <c r="Z158" s="82" t="e">
        <f t="shared" ref="Z158:Z173" si="2929">W158/X158</f>
        <v>#DIV/0!</v>
      </c>
      <c r="AA158" s="84" t="e">
        <f t="shared" ref="AA158:AA173" si="2930">X158/Y158</f>
        <v>#DIV/0!</v>
      </c>
      <c r="AB158" s="589"/>
      <c r="AC158" s="79">
        <f t="shared" si="2769"/>
        <v>0</v>
      </c>
      <c r="AD158" s="82">
        <f t="shared" si="2769"/>
        <v>0</v>
      </c>
      <c r="AE158" s="79">
        <f t="shared" si="2769"/>
        <v>0</v>
      </c>
      <c r="AF158" s="82" t="e">
        <f t="shared" ref="AF158:AF173" si="2931">AC158/AD158</f>
        <v>#DIV/0!</v>
      </c>
      <c r="AG158" s="84" t="e">
        <f t="shared" ref="AG158:AG173" si="2932">AD158/AE158</f>
        <v>#DIV/0!</v>
      </c>
      <c r="AH158" s="589"/>
      <c r="AI158" s="79">
        <f t="shared" si="2772"/>
        <v>0</v>
      </c>
      <c r="AJ158" s="82">
        <f t="shared" si="2772"/>
        <v>0</v>
      </c>
      <c r="AK158" s="79">
        <f t="shared" si="2772"/>
        <v>0</v>
      </c>
      <c r="AL158" s="82" t="e">
        <f t="shared" ref="AL158:AL173" si="2933">AI158/AJ158</f>
        <v>#DIV/0!</v>
      </c>
      <c r="AM158" s="84" t="e">
        <f t="shared" ref="AM158:AM173" si="2934">AJ158/AK158</f>
        <v>#DIV/0!</v>
      </c>
      <c r="AN158" s="589"/>
      <c r="AO158" s="79">
        <f t="shared" si="2775"/>
        <v>0</v>
      </c>
      <c r="AP158" s="82">
        <f t="shared" si="2775"/>
        <v>0</v>
      </c>
      <c r="AQ158" s="79">
        <f t="shared" si="2775"/>
        <v>0</v>
      </c>
      <c r="AR158" s="82" t="e">
        <f t="shared" ref="AR158:AR173" si="2935">AO158/AP158</f>
        <v>#DIV/0!</v>
      </c>
      <c r="AS158" s="84" t="e">
        <f t="shared" ref="AS158:AS173" si="2936">AP158/AQ158</f>
        <v>#DIV/0!</v>
      </c>
      <c r="AT158" s="589"/>
      <c r="AU158" s="79">
        <f t="shared" si="2778"/>
        <v>900</v>
      </c>
      <c r="AV158" s="82">
        <f t="shared" si="2778"/>
        <v>4.6999999999999993</v>
      </c>
      <c r="AW158" s="79">
        <f t="shared" si="2778"/>
        <v>5</v>
      </c>
      <c r="AX158" s="82">
        <f t="shared" ref="AX158:AX173" si="2937">AU158/AV158</f>
        <v>191.4893617021277</v>
      </c>
      <c r="AY158" s="84">
        <f t="shared" ref="AY158:AY173" si="2938">AV158/AW158</f>
        <v>0.93999999999999984</v>
      </c>
      <c r="AZ158" s="84"/>
      <c r="BA158" s="79">
        <f t="shared" si="2781"/>
        <v>0</v>
      </c>
      <c r="BB158" s="82">
        <f t="shared" si="2781"/>
        <v>0</v>
      </c>
      <c r="BC158" s="79">
        <f t="shared" si="2781"/>
        <v>0</v>
      </c>
      <c r="BD158" s="82" t="e">
        <f t="shared" ref="BD158:BD173" si="2939">BA158/BB158</f>
        <v>#DIV/0!</v>
      </c>
      <c r="BE158" s="84" t="e">
        <f t="shared" ref="BE158:BE173" si="2940">BB158/BC158</f>
        <v>#DIV/0!</v>
      </c>
      <c r="BF158" s="84"/>
      <c r="BG158" s="79">
        <f t="shared" si="2784"/>
        <v>0</v>
      </c>
      <c r="BH158" s="82">
        <f t="shared" si="2784"/>
        <v>0</v>
      </c>
      <c r="BI158" s="79">
        <f t="shared" si="2784"/>
        <v>0</v>
      </c>
      <c r="BJ158" s="82" t="e">
        <f t="shared" ref="BJ158:BJ173" si="2941">BG158/BH158</f>
        <v>#DIV/0!</v>
      </c>
      <c r="BK158" s="84" t="e">
        <f t="shared" ref="BK158:BK173" si="2942">BH158/BI158</f>
        <v>#DIV/0!</v>
      </c>
      <c r="BL158" s="84"/>
      <c r="BM158" s="79">
        <f t="shared" si="2787"/>
        <v>0</v>
      </c>
      <c r="BN158" s="82">
        <f t="shared" si="2787"/>
        <v>0</v>
      </c>
      <c r="BO158" s="79">
        <f t="shared" si="2787"/>
        <v>0</v>
      </c>
      <c r="BP158" s="82" t="e">
        <f t="shared" ref="BP158:BP173" si="2943">BM158/BN158</f>
        <v>#DIV/0!</v>
      </c>
      <c r="BQ158" s="84" t="e">
        <f t="shared" ref="BQ158:BQ173" si="2944">BN158/BO158</f>
        <v>#DIV/0!</v>
      </c>
      <c r="BR158" s="589"/>
      <c r="BS158" s="79">
        <f t="shared" si="2790"/>
        <v>0</v>
      </c>
      <c r="BT158" s="82">
        <f t="shared" si="2790"/>
        <v>0</v>
      </c>
      <c r="BU158" s="79">
        <f t="shared" si="2790"/>
        <v>0</v>
      </c>
      <c r="BV158" s="82" t="e">
        <f t="shared" ref="BV158:BV173" si="2945">BS158/BT158</f>
        <v>#DIV/0!</v>
      </c>
      <c r="BW158" s="84" t="e">
        <f t="shared" ref="BW158:BW173" si="2946">BT158/BU158</f>
        <v>#DIV/0!</v>
      </c>
      <c r="BX158" s="84"/>
      <c r="BY158" s="79">
        <f t="shared" si="2793"/>
        <v>900</v>
      </c>
      <c r="BZ158" s="82">
        <f t="shared" si="2793"/>
        <v>4.6999999999999993</v>
      </c>
      <c r="CA158" s="79">
        <f t="shared" si="2793"/>
        <v>5</v>
      </c>
      <c r="CB158" s="82">
        <f t="shared" ref="CB158:CB173" si="2947">BY158/BZ158</f>
        <v>191.4893617021277</v>
      </c>
      <c r="CC158" s="84">
        <f t="shared" ref="CC158:CC173" si="2948">BZ158/CA158</f>
        <v>0.93999999999999984</v>
      </c>
      <c r="CD158" s="84"/>
      <c r="CE158" s="79">
        <f t="shared" si="2796"/>
        <v>0</v>
      </c>
      <c r="CF158" s="82">
        <f t="shared" si="2796"/>
        <v>0</v>
      </c>
      <c r="CG158" s="79">
        <f t="shared" si="2796"/>
        <v>0</v>
      </c>
      <c r="CH158" s="82" t="e">
        <f t="shared" ref="CH158:CH173" si="2949">CE158/CF158</f>
        <v>#DIV/0!</v>
      </c>
      <c r="CI158" s="84" t="e">
        <f t="shared" ref="CI158:CI173" si="2950">CF158/CG158</f>
        <v>#DIV/0!</v>
      </c>
      <c r="CJ158" s="84"/>
      <c r="CK158" s="79">
        <f t="shared" si="2799"/>
        <v>0</v>
      </c>
      <c r="CL158" s="82">
        <f t="shared" si="2799"/>
        <v>0</v>
      </c>
      <c r="CM158" s="79">
        <f t="shared" si="2799"/>
        <v>0</v>
      </c>
      <c r="CN158" s="82" t="e">
        <f t="shared" ref="CN158:CN173" si="2951">CK158/CL158</f>
        <v>#DIV/0!</v>
      </c>
      <c r="CO158" s="84" t="e">
        <f t="shared" ref="CO158:CO173" si="2952">CL158/CM158</f>
        <v>#DIV/0!</v>
      </c>
      <c r="CP158" s="84"/>
      <c r="CQ158" s="79">
        <f t="shared" si="2802"/>
        <v>0</v>
      </c>
      <c r="CR158" s="82">
        <f t="shared" si="2802"/>
        <v>0</v>
      </c>
      <c r="CS158" s="79">
        <f t="shared" si="2802"/>
        <v>0</v>
      </c>
      <c r="CT158" s="82" t="e">
        <f t="shared" ref="CT158:CT173" si="2953">CQ158/CR158</f>
        <v>#DIV/0!</v>
      </c>
      <c r="CU158" s="84" t="e">
        <f t="shared" ref="CU158:CU173" si="2954">CR158/CS158</f>
        <v>#DIV/0!</v>
      </c>
      <c r="CV158" s="84"/>
      <c r="CW158" s="79">
        <f t="shared" si="2805"/>
        <v>900</v>
      </c>
      <c r="CX158" s="82">
        <f t="shared" si="2805"/>
        <v>4.6999999999999993</v>
      </c>
      <c r="CY158" s="79">
        <f t="shared" si="2805"/>
        <v>5</v>
      </c>
      <c r="CZ158" s="82">
        <f t="shared" ref="CZ158:CZ173" si="2955">CW158/CX158</f>
        <v>191.4893617021277</v>
      </c>
      <c r="DA158" s="84">
        <f t="shared" ref="DA158:DA173" si="2956">CX158/CY158</f>
        <v>0.93999999999999984</v>
      </c>
      <c r="DB158" s="84"/>
      <c r="DC158" s="79">
        <f t="shared" si="2808"/>
        <v>400</v>
      </c>
      <c r="DD158" s="82">
        <f t="shared" si="2808"/>
        <v>1.3599999999999999</v>
      </c>
      <c r="DE158" s="79">
        <f t="shared" si="2808"/>
        <v>2</v>
      </c>
      <c r="DF158" s="82">
        <f t="shared" ref="DF158:DF173" si="2957">DC158/DD158</f>
        <v>294.11764705882354</v>
      </c>
      <c r="DG158" s="84">
        <f t="shared" ref="DG158:DG173" si="2958">DD158/DE158</f>
        <v>0.67999999999999994</v>
      </c>
      <c r="DH158" s="84"/>
      <c r="DI158" s="79">
        <f t="shared" si="2811"/>
        <v>1000</v>
      </c>
      <c r="DJ158" s="82">
        <f t="shared" si="2811"/>
        <v>7.5</v>
      </c>
      <c r="DK158" s="79">
        <f t="shared" si="2811"/>
        <v>5</v>
      </c>
      <c r="DL158" s="82">
        <f t="shared" ref="DL158:DL173" si="2959">DI158/DJ158</f>
        <v>133.33333333333334</v>
      </c>
      <c r="DM158" s="84">
        <f t="shared" ref="DM158:DM173" si="2960">DJ158/DK158</f>
        <v>1.5</v>
      </c>
      <c r="DN158" s="84"/>
      <c r="DO158" s="79">
        <f t="shared" si="2814"/>
        <v>750</v>
      </c>
      <c r="DP158" s="82">
        <f t="shared" si="2814"/>
        <v>4.08</v>
      </c>
      <c r="DQ158" s="79">
        <f t="shared" si="2814"/>
        <v>5</v>
      </c>
      <c r="DR158" s="82">
        <f t="shared" ref="DR158:DR173" si="2961">DO158/DP158</f>
        <v>183.8235294117647</v>
      </c>
      <c r="DS158" s="84">
        <f t="shared" ref="DS158:DS173" si="2962">DP158/DQ158</f>
        <v>0.81600000000000006</v>
      </c>
      <c r="DT158" s="84"/>
      <c r="DU158" s="79">
        <f t="shared" si="2817"/>
        <v>0</v>
      </c>
      <c r="DV158" s="82">
        <f t="shared" si="2817"/>
        <v>0</v>
      </c>
      <c r="DW158" s="79">
        <f t="shared" si="2817"/>
        <v>0</v>
      </c>
      <c r="DX158" s="82" t="e">
        <f t="shared" ref="DX158:DX173" si="2963">DU158/DV158</f>
        <v>#DIV/0!</v>
      </c>
      <c r="DY158" s="84" t="e">
        <f t="shared" ref="DY158:DY173" si="2964">DV158/DW158</f>
        <v>#DIV/0!</v>
      </c>
      <c r="DZ158" s="84"/>
      <c r="EA158" s="79">
        <f t="shared" si="2820"/>
        <v>0</v>
      </c>
      <c r="EB158" s="82">
        <f t="shared" si="2820"/>
        <v>0</v>
      </c>
      <c r="EC158" s="79">
        <f t="shared" si="2820"/>
        <v>0</v>
      </c>
      <c r="ED158" s="82" t="e">
        <f t="shared" ref="ED158:ED173" si="2965">EA158/EB158</f>
        <v>#DIV/0!</v>
      </c>
      <c r="EE158" s="84" t="e">
        <f t="shared" ref="EE158:EE173" si="2966">EB158/EC158</f>
        <v>#DIV/0!</v>
      </c>
      <c r="EF158" s="84"/>
      <c r="EG158" s="79">
        <f t="shared" si="2823"/>
        <v>0</v>
      </c>
      <c r="EH158" s="82">
        <f t="shared" si="2823"/>
        <v>0</v>
      </c>
      <c r="EI158" s="79">
        <f t="shared" si="2823"/>
        <v>0</v>
      </c>
      <c r="EJ158" s="82" t="e">
        <f t="shared" ref="EJ158:EJ173" si="2967">EG158/EH158</f>
        <v>#DIV/0!</v>
      </c>
      <c r="EK158" s="84" t="e">
        <f t="shared" ref="EK158:EK173" si="2968">EH158/EI158</f>
        <v>#DIV/0!</v>
      </c>
      <c r="EL158" s="84"/>
      <c r="EM158" s="79">
        <f t="shared" si="2826"/>
        <v>0</v>
      </c>
      <c r="EN158" s="82">
        <f t="shared" si="2826"/>
        <v>0</v>
      </c>
      <c r="EO158" s="79">
        <f t="shared" si="2826"/>
        <v>0</v>
      </c>
      <c r="EP158" s="82" t="e">
        <f t="shared" ref="EP158:EP173" si="2969">EM158/EN158</f>
        <v>#DIV/0!</v>
      </c>
      <c r="EQ158" s="84" t="e">
        <f t="shared" ref="EQ158:EQ173" si="2970">EN158/EO158</f>
        <v>#DIV/0!</v>
      </c>
      <c r="ER158" s="589"/>
      <c r="ES158" s="79">
        <f t="shared" si="2829"/>
        <v>900</v>
      </c>
      <c r="ET158" s="82">
        <f t="shared" si="2829"/>
        <v>4.6999999999999993</v>
      </c>
      <c r="EU158" s="79">
        <f t="shared" si="2829"/>
        <v>5</v>
      </c>
      <c r="EV158" s="82">
        <f t="shared" ref="EV158:EV173" si="2971">ES158/ET158</f>
        <v>191.4893617021277</v>
      </c>
      <c r="EW158" s="84">
        <f t="shared" ref="EW158:EW173" si="2972">ET158/EU158</f>
        <v>0.93999999999999984</v>
      </c>
      <c r="EY158" s="91">
        <f t="shared" si="2832"/>
        <v>0</v>
      </c>
      <c r="EZ158" s="82">
        <f t="shared" si="2832"/>
        <v>0</v>
      </c>
      <c r="FA158" s="371">
        <f t="shared" si="2832"/>
        <v>0</v>
      </c>
      <c r="FB158" s="361" t="e">
        <f>EY158/EZ158</f>
        <v>#DIV/0!</v>
      </c>
      <c r="FC158" s="362" t="e">
        <f>EZ158/FA158</f>
        <v>#DIV/0!</v>
      </c>
      <c r="FD158" s="178"/>
      <c r="FE158" s="379">
        <f t="shared" si="2835"/>
        <v>0</v>
      </c>
      <c r="FF158" s="369">
        <f t="shared" si="2835"/>
        <v>0</v>
      </c>
      <c r="FG158" s="371">
        <f t="shared" si="2835"/>
        <v>0</v>
      </c>
      <c r="FH158" s="361" t="e">
        <f>FE158/FF158</f>
        <v>#DIV/0!</v>
      </c>
      <c r="FI158" s="362" t="e">
        <f>FF158/FG158</f>
        <v>#DIV/0!</v>
      </c>
      <c r="FK158" s="91">
        <f t="shared" si="2838"/>
        <v>0</v>
      </c>
      <c r="FL158" s="369">
        <f t="shared" si="2838"/>
        <v>0</v>
      </c>
      <c r="FM158" s="371">
        <f t="shared" si="2838"/>
        <v>0</v>
      </c>
      <c r="FN158" s="361" t="e">
        <f t="shared" si="2620"/>
        <v>#DIV/0!</v>
      </c>
      <c r="FO158" s="362" t="e">
        <f t="shared" si="2620"/>
        <v>#DIV/0!</v>
      </c>
      <c r="FQ158" s="91">
        <f t="shared" si="2839"/>
        <v>0</v>
      </c>
      <c r="FR158" s="369">
        <f t="shared" si="2839"/>
        <v>0</v>
      </c>
      <c r="FS158" s="371">
        <f t="shared" si="2839"/>
        <v>0</v>
      </c>
      <c r="FT158" s="361" t="e">
        <f>FQ158/FR158</f>
        <v>#DIV/0!</v>
      </c>
      <c r="FU158" s="362" t="e">
        <f>FR158/FS158</f>
        <v>#DIV/0!</v>
      </c>
      <c r="FV158" s="178"/>
      <c r="FW158" s="91">
        <f t="shared" si="2842"/>
        <v>400</v>
      </c>
      <c r="FX158" s="369">
        <f t="shared" si="2842"/>
        <v>1.3599999999999999</v>
      </c>
      <c r="FY158" s="371">
        <f t="shared" si="2842"/>
        <v>2</v>
      </c>
      <c r="FZ158" s="369">
        <f>FW158/FX158</f>
        <v>294.11764705882354</v>
      </c>
      <c r="GA158" s="370">
        <f>FX158/FY158</f>
        <v>0.67999999999999994</v>
      </c>
      <c r="GC158" s="379">
        <f t="shared" si="2845"/>
        <v>800</v>
      </c>
      <c r="GD158" s="369">
        <f t="shared" si="2845"/>
        <v>2.63</v>
      </c>
      <c r="GE158" s="371">
        <f t="shared" si="2845"/>
        <v>5</v>
      </c>
      <c r="GF158" s="369">
        <f>GC158/GD158</f>
        <v>304.18250950570342</v>
      </c>
      <c r="GG158" s="370">
        <f>GD158/GE158</f>
        <v>0.52600000000000002</v>
      </c>
      <c r="GI158" s="379">
        <f t="shared" si="2848"/>
        <v>860</v>
      </c>
      <c r="GJ158" s="369">
        <f t="shared" si="2848"/>
        <v>2.5</v>
      </c>
      <c r="GK158" s="371">
        <f t="shared" si="2848"/>
        <v>5</v>
      </c>
      <c r="GL158" s="369">
        <f>GI158/GJ158</f>
        <v>344</v>
      </c>
      <c r="GM158" s="370">
        <f>GJ158/GK158</f>
        <v>0.5</v>
      </c>
      <c r="GO158" s="379">
        <f t="shared" si="2851"/>
        <v>1000</v>
      </c>
      <c r="GP158" s="369">
        <f t="shared" si="2851"/>
        <v>2.5</v>
      </c>
      <c r="GQ158" s="371">
        <f t="shared" si="2851"/>
        <v>5</v>
      </c>
      <c r="GR158" s="369">
        <f>GO158/GP158</f>
        <v>400</v>
      </c>
      <c r="GS158" s="370">
        <f>GP158/GQ158</f>
        <v>0.5</v>
      </c>
      <c r="GU158" s="379">
        <f t="shared" si="2854"/>
        <v>500</v>
      </c>
      <c r="GV158" s="369">
        <f t="shared" si="2854"/>
        <v>2.75</v>
      </c>
      <c r="GW158" s="371">
        <f t="shared" si="2854"/>
        <v>5</v>
      </c>
      <c r="GX158" s="369">
        <f>GU158/GV158</f>
        <v>181.81818181818181</v>
      </c>
      <c r="GY158" s="370">
        <f>GV158/GW158</f>
        <v>0.55000000000000004</v>
      </c>
      <c r="HA158" s="91">
        <f t="shared" si="2857"/>
        <v>650</v>
      </c>
      <c r="HB158" s="82">
        <f t="shared" si="2857"/>
        <v>2.19</v>
      </c>
      <c r="HC158" s="371">
        <f t="shared" si="2857"/>
        <v>5</v>
      </c>
      <c r="HD158" s="369">
        <f>HA158/HB158</f>
        <v>296.80365296803654</v>
      </c>
      <c r="HE158" s="370">
        <f>HB158/HC158</f>
        <v>0.438</v>
      </c>
      <c r="HG158" s="91">
        <f t="shared" si="2860"/>
        <v>750</v>
      </c>
      <c r="HH158" s="82">
        <f t="shared" si="2860"/>
        <v>4.08</v>
      </c>
      <c r="HI158" s="79">
        <f t="shared" si="2860"/>
        <v>5</v>
      </c>
      <c r="HJ158" s="82">
        <f>HG158/HH158</f>
        <v>183.8235294117647</v>
      </c>
      <c r="HK158" s="84">
        <f>HH158/HI158</f>
        <v>0.81600000000000006</v>
      </c>
      <c r="HM158" s="91">
        <f t="shared" si="2863"/>
        <v>600</v>
      </c>
      <c r="HN158" s="82">
        <f t="shared" si="2863"/>
        <v>2.27</v>
      </c>
      <c r="HO158" s="371">
        <f t="shared" si="2863"/>
        <v>3</v>
      </c>
      <c r="HP158" s="369">
        <f t="shared" si="2621"/>
        <v>264.31718061674007</v>
      </c>
      <c r="HQ158" s="370">
        <f t="shared" si="2621"/>
        <v>0.75666666666666671</v>
      </c>
      <c r="HS158" s="91">
        <f t="shared" si="2864"/>
        <v>0</v>
      </c>
      <c r="HT158" s="82">
        <f t="shared" si="2864"/>
        <v>0</v>
      </c>
      <c r="HU158" s="371">
        <f t="shared" si="2864"/>
        <v>0</v>
      </c>
      <c r="HV158" s="361" t="e">
        <f t="shared" si="2622"/>
        <v>#DIV/0!</v>
      </c>
      <c r="HW158" s="362" t="e">
        <f t="shared" si="2622"/>
        <v>#DIV/0!</v>
      </c>
      <c r="HX158" s="178"/>
      <c r="HY158" s="91">
        <f t="shared" si="2865"/>
        <v>0</v>
      </c>
      <c r="HZ158" s="82">
        <f t="shared" si="2865"/>
        <v>0</v>
      </c>
      <c r="IA158" s="371">
        <f t="shared" si="2865"/>
        <v>0</v>
      </c>
      <c r="IB158" s="361" t="e">
        <f t="shared" si="2623"/>
        <v>#DIV/0!</v>
      </c>
      <c r="IC158" s="362" t="e">
        <f t="shared" si="2623"/>
        <v>#DIV/0!</v>
      </c>
      <c r="IE158" s="91">
        <f t="shared" si="2866"/>
        <v>0</v>
      </c>
      <c r="IF158" s="82">
        <f t="shared" si="2866"/>
        <v>0</v>
      </c>
      <c r="IG158" s="79">
        <f t="shared" si="2866"/>
        <v>0</v>
      </c>
      <c r="IH158" s="361" t="e">
        <f>IE158/IF158</f>
        <v>#DIV/0!</v>
      </c>
      <c r="II158" s="362" t="e">
        <f>IF158/IG158</f>
        <v>#DIV/0!</v>
      </c>
      <c r="IK158" s="91">
        <f t="shared" si="2869"/>
        <v>0</v>
      </c>
      <c r="IL158" s="82">
        <f t="shared" si="2869"/>
        <v>0</v>
      </c>
      <c r="IM158" s="79">
        <f t="shared" si="2869"/>
        <v>0</v>
      </c>
      <c r="IN158" s="361" t="e">
        <f>IK158/IL158</f>
        <v>#DIV/0!</v>
      </c>
      <c r="IO158" s="362" t="e">
        <f>IL158/IM158</f>
        <v>#DIV/0!</v>
      </c>
      <c r="IQ158" s="91">
        <f t="shared" si="2872"/>
        <v>750</v>
      </c>
      <c r="IR158" s="82">
        <f t="shared" si="2872"/>
        <v>3.29</v>
      </c>
      <c r="IS158" s="79">
        <f t="shared" si="2872"/>
        <v>5</v>
      </c>
      <c r="IT158" s="361">
        <f>IQ158/IR158</f>
        <v>227.96352583586625</v>
      </c>
      <c r="IU158" s="362">
        <f>IR158/IS158</f>
        <v>0.65800000000000003</v>
      </c>
      <c r="IW158" s="91">
        <f t="shared" si="2875"/>
        <v>1000</v>
      </c>
      <c r="IX158" s="82">
        <f t="shared" si="2875"/>
        <v>2.5300000000000002</v>
      </c>
      <c r="IY158" s="79">
        <f t="shared" si="2875"/>
        <v>5</v>
      </c>
      <c r="IZ158" s="361">
        <f>IW158/IX158</f>
        <v>395.25691699604738</v>
      </c>
      <c r="JA158" s="362">
        <f>IX158/IY158</f>
        <v>0.50600000000000001</v>
      </c>
      <c r="JC158" s="91">
        <f t="shared" si="2878"/>
        <v>0</v>
      </c>
      <c r="JD158" s="82">
        <f t="shared" si="2878"/>
        <v>0</v>
      </c>
      <c r="JE158" s="79">
        <f t="shared" si="2878"/>
        <v>0</v>
      </c>
      <c r="JF158" s="361" t="e">
        <f>JC158/JD158</f>
        <v>#DIV/0!</v>
      </c>
      <c r="JG158" s="362" t="e">
        <f>JD158/JE158</f>
        <v>#DIV/0!</v>
      </c>
      <c r="JI158" s="91">
        <f t="shared" si="2881"/>
        <v>0</v>
      </c>
      <c r="JJ158" s="82">
        <f t="shared" si="2881"/>
        <v>0</v>
      </c>
      <c r="JK158" s="79">
        <f t="shared" si="2881"/>
        <v>0</v>
      </c>
      <c r="JL158" s="361" t="e">
        <f>JI158/JJ158</f>
        <v>#DIV/0!</v>
      </c>
      <c r="JM158" s="362" t="e">
        <f>JJ158/JK158</f>
        <v>#DIV/0!</v>
      </c>
      <c r="JO158" s="91">
        <f t="shared" si="2884"/>
        <v>1000</v>
      </c>
      <c r="JP158" s="82">
        <f t="shared" si="2884"/>
        <v>6.42</v>
      </c>
      <c r="JQ158" s="79">
        <f t="shared" si="2884"/>
        <v>5</v>
      </c>
      <c r="JR158" s="361">
        <f>JO158/JP158</f>
        <v>155.76323987538942</v>
      </c>
      <c r="JS158" s="362">
        <f>JP158/JQ158</f>
        <v>1.284</v>
      </c>
      <c r="JU158" s="383">
        <f t="shared" si="2600"/>
        <v>1000</v>
      </c>
      <c r="JV158" s="82">
        <f t="shared" si="2600"/>
        <v>4.03</v>
      </c>
      <c r="JW158" s="748">
        <f t="shared" si="2600"/>
        <v>5</v>
      </c>
      <c r="JX158" s="361">
        <f>JU158/JV158</f>
        <v>248.13895781637714</v>
      </c>
      <c r="JY158" s="362">
        <f>JV158/JW158</f>
        <v>0.80600000000000005</v>
      </c>
      <c r="KA158" s="383">
        <f t="shared" si="2601"/>
        <v>1000</v>
      </c>
      <c r="KB158" s="82">
        <f t="shared" si="2601"/>
        <v>1.78</v>
      </c>
      <c r="KC158" s="748">
        <f t="shared" si="2601"/>
        <v>5</v>
      </c>
      <c r="KD158" s="361">
        <f>KA158/KB158</f>
        <v>561.79775280898878</v>
      </c>
      <c r="KE158" s="362">
        <f>KB158/KC158</f>
        <v>0.35599999999999998</v>
      </c>
      <c r="KG158" s="383">
        <f t="shared" ref="KG158:KI158" si="2973">SUM(KG120)</f>
        <v>550</v>
      </c>
      <c r="KH158" s="82">
        <f t="shared" si="2973"/>
        <v>1.8699999999999999</v>
      </c>
      <c r="KI158" s="748">
        <f t="shared" si="2973"/>
        <v>5</v>
      </c>
      <c r="KJ158" s="361">
        <f>KG158/KH158</f>
        <v>294.11764705882354</v>
      </c>
      <c r="KK158" s="362">
        <f>KH158/KI158</f>
        <v>0.374</v>
      </c>
      <c r="KM158" s="383">
        <f t="shared" ref="KM158:KO158" si="2974">SUM(KM120)</f>
        <v>0</v>
      </c>
      <c r="KN158" s="82">
        <f t="shared" si="2974"/>
        <v>0</v>
      </c>
      <c r="KO158" s="748">
        <f t="shared" si="2974"/>
        <v>0</v>
      </c>
      <c r="KP158" s="361" t="e">
        <f>KM158/KN158</f>
        <v>#DIV/0!</v>
      </c>
      <c r="KQ158" s="362" t="e">
        <f>KN158/KO158</f>
        <v>#DIV/0!</v>
      </c>
      <c r="KS158" s="383">
        <f t="shared" ref="KS158:KU158" si="2975">SUM(KS120)</f>
        <v>0</v>
      </c>
      <c r="KT158" s="82">
        <f t="shared" si="2975"/>
        <v>0</v>
      </c>
      <c r="KU158" s="748">
        <f t="shared" si="2975"/>
        <v>0</v>
      </c>
      <c r="KV158" s="361" t="e">
        <f>KS158/KT158</f>
        <v>#DIV/0!</v>
      </c>
      <c r="KW158" s="362" t="e">
        <f>KT158/KU158</f>
        <v>#DIV/0!</v>
      </c>
      <c r="KY158" s="383">
        <f t="shared" ref="KY158:LA158" si="2976">SUM(KY120)</f>
        <v>0</v>
      </c>
      <c r="KZ158" s="82">
        <f t="shared" si="2976"/>
        <v>0</v>
      </c>
      <c r="LA158" s="748">
        <f t="shared" si="2976"/>
        <v>0</v>
      </c>
      <c r="LB158" s="361" t="e">
        <f>KY158/KZ158</f>
        <v>#DIV/0!</v>
      </c>
      <c r="LC158" s="362" t="e">
        <f>KZ158/LA158</f>
        <v>#DIV/0!</v>
      </c>
      <c r="LE158" s="383">
        <f t="shared" ref="LE158:LG158" si="2977">SUM(LE120)</f>
        <v>1000</v>
      </c>
      <c r="LF158" s="82">
        <f t="shared" si="2977"/>
        <v>3.2199999999999998</v>
      </c>
      <c r="LG158" s="748">
        <f t="shared" si="2977"/>
        <v>5</v>
      </c>
      <c r="LH158" s="361">
        <f>LE158/LF158</f>
        <v>310.55900621118013</v>
      </c>
      <c r="LI158" s="362">
        <f>LF158/LG158</f>
        <v>0.64399999999999991</v>
      </c>
      <c r="LK158" s="383">
        <f t="shared" ref="LK158:LM158" si="2978">SUM(LK120)</f>
        <v>0</v>
      </c>
      <c r="LL158" s="82">
        <f t="shared" si="2978"/>
        <v>0</v>
      </c>
      <c r="LM158" s="748">
        <f t="shared" si="2978"/>
        <v>0</v>
      </c>
      <c r="LN158" s="361" t="e">
        <f>LK158/LL158</f>
        <v>#DIV/0!</v>
      </c>
      <c r="LO158" s="362" t="e">
        <f>LL158/LM158</f>
        <v>#DIV/0!</v>
      </c>
      <c r="LQ158" s="383">
        <f t="shared" ref="LQ158:LS158" si="2979">SUM(LQ120)</f>
        <v>0</v>
      </c>
      <c r="LR158" s="82">
        <f t="shared" si="2979"/>
        <v>0</v>
      </c>
      <c r="LS158" s="748">
        <f t="shared" si="2979"/>
        <v>0</v>
      </c>
      <c r="LT158" s="361" t="e">
        <f>LQ158/LR158</f>
        <v>#DIV/0!</v>
      </c>
      <c r="LU158" s="362" t="e">
        <f>LR158/LS158</f>
        <v>#DIV/0!</v>
      </c>
      <c r="LW158" s="383">
        <f t="shared" ref="LW158:LY158" si="2980">SUM(LW120)</f>
        <v>1000</v>
      </c>
      <c r="LX158" s="82">
        <f t="shared" si="2980"/>
        <v>1.81</v>
      </c>
      <c r="LY158" s="748">
        <f t="shared" si="2980"/>
        <v>5</v>
      </c>
      <c r="LZ158" s="361">
        <f>LW158/LX158</f>
        <v>552.4861878453039</v>
      </c>
      <c r="MA158" s="362">
        <f>LX158/LY158</f>
        <v>0.36199999999999999</v>
      </c>
      <c r="MC158" s="383">
        <f t="shared" ref="MC158:ME158" si="2981">SUM(MC120)</f>
        <v>450</v>
      </c>
      <c r="MD158" s="82">
        <f t="shared" si="2981"/>
        <v>1.6600000000000001</v>
      </c>
      <c r="ME158" s="748">
        <f t="shared" si="2981"/>
        <v>3</v>
      </c>
      <c r="MF158" s="361">
        <f>MC158/MD158</f>
        <v>271.08433734939757</v>
      </c>
      <c r="MG158" s="362">
        <f>MD158/ME158</f>
        <v>0.55333333333333334</v>
      </c>
      <c r="MI158" s="383">
        <f t="shared" ref="MI158:MK158" si="2982">SUM(MI120)</f>
        <v>800</v>
      </c>
      <c r="MJ158" s="82">
        <f t="shared" si="2982"/>
        <v>3.48</v>
      </c>
      <c r="MK158" s="748">
        <f t="shared" si="2982"/>
        <v>5</v>
      </c>
      <c r="ML158" s="361">
        <f>MI158/MJ158</f>
        <v>229.88505747126436</v>
      </c>
      <c r="MM158" s="362">
        <f>MJ158/MK158</f>
        <v>0.69599999999999995</v>
      </c>
      <c r="MO158" s="383">
        <f t="shared" ref="MO158:MQ158" si="2983">SUM(MO120)</f>
        <v>0</v>
      </c>
      <c r="MP158" s="82">
        <f t="shared" si="2983"/>
        <v>0</v>
      </c>
      <c r="MQ158" s="748">
        <f t="shared" si="2983"/>
        <v>0</v>
      </c>
      <c r="MR158" s="361" t="e">
        <f>MO158/MP158</f>
        <v>#DIV/0!</v>
      </c>
      <c r="MS158" s="362" t="e">
        <f>MP158/MQ158</f>
        <v>#DIV/0!</v>
      </c>
      <c r="MU158" s="383">
        <f t="shared" ref="MU158:MW158" si="2984">SUM(MU120)</f>
        <v>0</v>
      </c>
      <c r="MV158" s="82">
        <f t="shared" si="2984"/>
        <v>0</v>
      </c>
      <c r="MW158" s="748">
        <f t="shared" si="2984"/>
        <v>0</v>
      </c>
      <c r="MX158" s="361" t="e">
        <f>MU158/MV158</f>
        <v>#DIV/0!</v>
      </c>
      <c r="MY158" s="362" t="e">
        <f>MV158/MW158</f>
        <v>#DIV/0!</v>
      </c>
      <c r="NA158" s="383">
        <f t="shared" ref="NA158:NC158" si="2985">SUM(NA120)</f>
        <v>0</v>
      </c>
      <c r="NB158" s="748">
        <f t="shared" si="2985"/>
        <v>0</v>
      </c>
      <c r="NC158" s="748">
        <f t="shared" si="2985"/>
        <v>0</v>
      </c>
      <c r="ND158" s="361" t="e">
        <f>NA158/NB158</f>
        <v>#DIV/0!</v>
      </c>
      <c r="NE158" s="362" t="e">
        <f>NB158/NC158</f>
        <v>#DIV/0!</v>
      </c>
      <c r="NG158" s="383">
        <f t="shared" ref="NG158:NI158" si="2986">SUM(NG120)</f>
        <v>0</v>
      </c>
      <c r="NH158" s="82">
        <f t="shared" si="2986"/>
        <v>0</v>
      </c>
      <c r="NI158" s="748">
        <f t="shared" si="2986"/>
        <v>0</v>
      </c>
      <c r="NJ158" s="361" t="e">
        <f>NG158/NH158</f>
        <v>#DIV/0!</v>
      </c>
      <c r="NK158" s="362" t="e">
        <f>NH158/NI158</f>
        <v>#DIV/0!</v>
      </c>
      <c r="NM158" s="383">
        <f t="shared" ref="NM158:NO158" si="2987">SUM(NM120)</f>
        <v>0</v>
      </c>
      <c r="NN158" s="82">
        <f t="shared" si="2987"/>
        <v>0</v>
      </c>
      <c r="NO158" s="748">
        <f t="shared" si="2987"/>
        <v>0</v>
      </c>
      <c r="NP158" s="361" t="e">
        <f>NM158/NN158</f>
        <v>#DIV/0!</v>
      </c>
      <c r="NQ158" s="362" t="e">
        <f>NN158/NO158</f>
        <v>#DIV/0!</v>
      </c>
      <c r="NS158" s="383">
        <f t="shared" ref="NS158:NU158" si="2988">SUM(NS120)</f>
        <v>0</v>
      </c>
      <c r="NT158" s="82">
        <f t="shared" si="2988"/>
        <v>0</v>
      </c>
      <c r="NU158" s="748">
        <f t="shared" si="2988"/>
        <v>0</v>
      </c>
      <c r="NV158" s="361" t="e">
        <f>NS158/NT158</f>
        <v>#DIV/0!</v>
      </c>
      <c r="NW158" s="362" t="e">
        <f>NT158/NU158</f>
        <v>#DIV/0!</v>
      </c>
      <c r="NY158" s="383">
        <f t="shared" ref="NY158:OA158" si="2989">SUM(NY120)</f>
        <v>0</v>
      </c>
      <c r="NZ158" s="82">
        <f t="shared" si="2989"/>
        <v>0</v>
      </c>
      <c r="OA158" s="748">
        <f t="shared" si="2989"/>
        <v>0</v>
      </c>
      <c r="OB158" s="361" t="e">
        <f>NY158/NZ158</f>
        <v>#DIV/0!</v>
      </c>
      <c r="OC158" s="362" t="e">
        <f>NZ158/OA158</f>
        <v>#DIV/0!</v>
      </c>
      <c r="OE158" s="383">
        <f t="shared" ref="OE158:OG158" si="2990">SUM(OE120)</f>
        <v>0</v>
      </c>
      <c r="OF158" s="82">
        <f t="shared" si="2990"/>
        <v>0</v>
      </c>
      <c r="OG158" s="748">
        <f t="shared" si="2990"/>
        <v>0</v>
      </c>
      <c r="OH158" s="361" t="e">
        <f>OE158/OF158</f>
        <v>#DIV/0!</v>
      </c>
      <c r="OI158" s="362" t="e">
        <f>OF158/OG158</f>
        <v>#DIV/0!</v>
      </c>
    </row>
    <row r="159" spans="1:399">
      <c r="A159" s="69"/>
      <c r="B159" s="70" t="s">
        <v>37</v>
      </c>
      <c r="C159" s="57"/>
      <c r="D159" s="58" t="s">
        <v>36</v>
      </c>
      <c r="E159" s="79">
        <f t="shared" si="2757"/>
        <v>150</v>
      </c>
      <c r="F159" s="82">
        <f t="shared" si="2757"/>
        <v>1.7200000000000002</v>
      </c>
      <c r="G159" s="79">
        <f t="shared" si="2757"/>
        <v>2</v>
      </c>
      <c r="H159" s="82">
        <f t="shared" si="2923"/>
        <v>87.20930232558139</v>
      </c>
      <c r="I159" s="84">
        <f t="shared" si="2924"/>
        <v>0.8600000000000001</v>
      </c>
      <c r="J159" s="589"/>
      <c r="K159" s="79">
        <f t="shared" si="2760"/>
        <v>250</v>
      </c>
      <c r="L159" s="82">
        <f t="shared" si="2760"/>
        <v>0.73</v>
      </c>
      <c r="M159" s="79">
        <f t="shared" si="2760"/>
        <v>1</v>
      </c>
      <c r="N159" s="82">
        <f t="shared" si="2925"/>
        <v>342.46575342465752</v>
      </c>
      <c r="O159" s="84">
        <f t="shared" si="2926"/>
        <v>0.73</v>
      </c>
      <c r="P159" s="589"/>
      <c r="Q159" s="79">
        <f t="shared" si="2763"/>
        <v>1000</v>
      </c>
      <c r="R159" s="82">
        <f t="shared" si="2763"/>
        <v>10.050000000000001</v>
      </c>
      <c r="S159" s="79">
        <f t="shared" si="2763"/>
        <v>5</v>
      </c>
      <c r="T159" s="82">
        <f t="shared" si="2927"/>
        <v>99.502487562189046</v>
      </c>
      <c r="U159" s="84">
        <f t="shared" si="2928"/>
        <v>2.0100000000000002</v>
      </c>
      <c r="V159" s="589"/>
      <c r="W159" s="79">
        <f t="shared" si="2766"/>
        <v>1200</v>
      </c>
      <c r="X159" s="82">
        <f t="shared" si="2766"/>
        <v>3.13</v>
      </c>
      <c r="Y159" s="79">
        <f t="shared" si="2766"/>
        <v>5</v>
      </c>
      <c r="Z159" s="82">
        <f t="shared" si="2929"/>
        <v>383.38658146964855</v>
      </c>
      <c r="AA159" s="84">
        <f t="shared" si="2930"/>
        <v>0.626</v>
      </c>
      <c r="AB159" s="589"/>
      <c r="AC159" s="79">
        <f t="shared" si="2769"/>
        <v>1000</v>
      </c>
      <c r="AD159" s="82">
        <f t="shared" si="2769"/>
        <v>7.5</v>
      </c>
      <c r="AE159" s="79">
        <f t="shared" si="2769"/>
        <v>5</v>
      </c>
      <c r="AF159" s="82">
        <f t="shared" si="2931"/>
        <v>133.33333333333334</v>
      </c>
      <c r="AG159" s="84">
        <f t="shared" si="2932"/>
        <v>1.5</v>
      </c>
      <c r="AH159" s="589"/>
      <c r="AI159" s="79">
        <f t="shared" si="2772"/>
        <v>900</v>
      </c>
      <c r="AJ159" s="82">
        <f t="shared" si="2772"/>
        <v>8.26</v>
      </c>
      <c r="AK159" s="79">
        <f t="shared" si="2772"/>
        <v>5</v>
      </c>
      <c r="AL159" s="82">
        <f t="shared" si="2933"/>
        <v>108.9588377723971</v>
      </c>
      <c r="AM159" s="84">
        <f t="shared" si="2934"/>
        <v>1.6519999999999999</v>
      </c>
      <c r="AN159" s="589"/>
      <c r="AO159" s="79">
        <f t="shared" si="2775"/>
        <v>0</v>
      </c>
      <c r="AP159" s="82">
        <f t="shared" si="2775"/>
        <v>0</v>
      </c>
      <c r="AQ159" s="79">
        <f t="shared" si="2775"/>
        <v>0</v>
      </c>
      <c r="AR159" s="82" t="e">
        <f t="shared" si="2935"/>
        <v>#DIV/0!</v>
      </c>
      <c r="AS159" s="84" t="e">
        <f t="shared" si="2936"/>
        <v>#DIV/0!</v>
      </c>
      <c r="AT159" s="589"/>
      <c r="AU159" s="79">
        <f t="shared" si="2778"/>
        <v>400</v>
      </c>
      <c r="AV159" s="82">
        <f t="shared" si="2778"/>
        <v>8.2600000000000016</v>
      </c>
      <c r="AW159" s="79">
        <f t="shared" si="2778"/>
        <v>5</v>
      </c>
      <c r="AX159" s="82">
        <f t="shared" si="2937"/>
        <v>48.426150121065369</v>
      </c>
      <c r="AY159" s="84">
        <f t="shared" si="2938"/>
        <v>1.6520000000000004</v>
      </c>
      <c r="AZ159" s="84"/>
      <c r="BA159" s="79">
        <f t="shared" si="2781"/>
        <v>0</v>
      </c>
      <c r="BB159" s="82">
        <f t="shared" si="2781"/>
        <v>0</v>
      </c>
      <c r="BC159" s="79">
        <f t="shared" si="2781"/>
        <v>0</v>
      </c>
      <c r="BD159" s="82" t="e">
        <f t="shared" si="2939"/>
        <v>#DIV/0!</v>
      </c>
      <c r="BE159" s="84" t="e">
        <f t="shared" si="2940"/>
        <v>#DIV/0!</v>
      </c>
      <c r="BF159" s="84"/>
      <c r="BG159" s="79">
        <f t="shared" si="2784"/>
        <v>0</v>
      </c>
      <c r="BH159" s="82">
        <f t="shared" si="2784"/>
        <v>0</v>
      </c>
      <c r="BI159" s="79">
        <f t="shared" si="2784"/>
        <v>0</v>
      </c>
      <c r="BJ159" s="82" t="e">
        <f t="shared" si="2941"/>
        <v>#DIV/0!</v>
      </c>
      <c r="BK159" s="84" t="e">
        <f t="shared" si="2942"/>
        <v>#DIV/0!</v>
      </c>
      <c r="BL159" s="84"/>
      <c r="BM159" s="79">
        <f t="shared" si="2787"/>
        <v>0</v>
      </c>
      <c r="BN159" s="82">
        <f t="shared" si="2787"/>
        <v>0</v>
      </c>
      <c r="BO159" s="79">
        <f t="shared" si="2787"/>
        <v>0</v>
      </c>
      <c r="BP159" s="82" t="e">
        <f t="shared" si="2943"/>
        <v>#DIV/0!</v>
      </c>
      <c r="BQ159" s="84" t="e">
        <f t="shared" si="2944"/>
        <v>#DIV/0!</v>
      </c>
      <c r="BR159" s="589"/>
      <c r="BS159" s="79">
        <f t="shared" si="2790"/>
        <v>0</v>
      </c>
      <c r="BT159" s="82">
        <f t="shared" si="2790"/>
        <v>0</v>
      </c>
      <c r="BU159" s="79">
        <f t="shared" si="2790"/>
        <v>0</v>
      </c>
      <c r="BV159" s="82" t="e">
        <f t="shared" si="2945"/>
        <v>#DIV/0!</v>
      </c>
      <c r="BW159" s="84" t="e">
        <f t="shared" si="2946"/>
        <v>#DIV/0!</v>
      </c>
      <c r="BX159" s="84"/>
      <c r="BY159" s="79">
        <f t="shared" si="2793"/>
        <v>1000</v>
      </c>
      <c r="BZ159" s="82">
        <f t="shared" si="2793"/>
        <v>8.2600000000000016</v>
      </c>
      <c r="CA159" s="79">
        <f t="shared" si="2793"/>
        <v>5</v>
      </c>
      <c r="CB159" s="82">
        <f t="shared" si="2947"/>
        <v>121.06537530266341</v>
      </c>
      <c r="CC159" s="84">
        <f t="shared" si="2948"/>
        <v>1.6520000000000004</v>
      </c>
      <c r="CD159" s="84"/>
      <c r="CE159" s="79">
        <f t="shared" si="2796"/>
        <v>0</v>
      </c>
      <c r="CF159" s="82">
        <f t="shared" si="2796"/>
        <v>0</v>
      </c>
      <c r="CG159" s="79">
        <f t="shared" si="2796"/>
        <v>0</v>
      </c>
      <c r="CH159" s="82" t="e">
        <f t="shared" si="2949"/>
        <v>#DIV/0!</v>
      </c>
      <c r="CI159" s="84" t="e">
        <f t="shared" si="2950"/>
        <v>#DIV/0!</v>
      </c>
      <c r="CJ159" s="84"/>
      <c r="CK159" s="79">
        <f t="shared" si="2799"/>
        <v>1000</v>
      </c>
      <c r="CL159" s="82">
        <f t="shared" si="2799"/>
        <v>4.84</v>
      </c>
      <c r="CM159" s="79">
        <f t="shared" si="2799"/>
        <v>5</v>
      </c>
      <c r="CN159" s="82">
        <f t="shared" si="2951"/>
        <v>206.61157024793388</v>
      </c>
      <c r="CO159" s="84">
        <f t="shared" si="2952"/>
        <v>0.96799999999999997</v>
      </c>
      <c r="CP159" s="84"/>
      <c r="CQ159" s="79">
        <f t="shared" si="2802"/>
        <v>900</v>
      </c>
      <c r="CR159" s="82">
        <f t="shared" si="2802"/>
        <v>3.01</v>
      </c>
      <c r="CS159" s="79">
        <f t="shared" si="2802"/>
        <v>5</v>
      </c>
      <c r="CT159" s="82">
        <f t="shared" si="2953"/>
        <v>299.00332225913621</v>
      </c>
      <c r="CU159" s="84">
        <f t="shared" si="2954"/>
        <v>0.60199999999999998</v>
      </c>
      <c r="CV159" s="84"/>
      <c r="CW159" s="79">
        <f t="shared" si="2805"/>
        <v>1000</v>
      </c>
      <c r="CX159" s="82">
        <f t="shared" si="2805"/>
        <v>8.2600000000000016</v>
      </c>
      <c r="CY159" s="79">
        <f t="shared" si="2805"/>
        <v>5</v>
      </c>
      <c r="CZ159" s="82">
        <f t="shared" si="2955"/>
        <v>121.06537530266341</v>
      </c>
      <c r="DA159" s="84">
        <f t="shared" si="2956"/>
        <v>1.6520000000000004</v>
      </c>
      <c r="DB159" s="84"/>
      <c r="DC159" s="79">
        <f t="shared" si="2808"/>
        <v>500</v>
      </c>
      <c r="DD159" s="82">
        <f t="shared" si="2808"/>
        <v>5.74</v>
      </c>
      <c r="DE159" s="79">
        <f t="shared" si="2808"/>
        <v>5</v>
      </c>
      <c r="DF159" s="82">
        <f t="shared" si="2957"/>
        <v>87.108013937282223</v>
      </c>
      <c r="DG159" s="84">
        <f t="shared" si="2958"/>
        <v>1.1480000000000001</v>
      </c>
      <c r="DH159" s="84"/>
      <c r="DI159" s="79">
        <f t="shared" si="2811"/>
        <v>850</v>
      </c>
      <c r="DJ159" s="82">
        <f t="shared" si="2811"/>
        <v>3.1</v>
      </c>
      <c r="DK159" s="79">
        <f t="shared" si="2811"/>
        <v>5</v>
      </c>
      <c r="DL159" s="82">
        <f t="shared" si="2959"/>
        <v>274.19354838709677</v>
      </c>
      <c r="DM159" s="84">
        <f t="shared" si="2960"/>
        <v>0.62</v>
      </c>
      <c r="DN159" s="84"/>
      <c r="DO159" s="79">
        <f t="shared" si="2814"/>
        <v>650</v>
      </c>
      <c r="DP159" s="82">
        <f t="shared" si="2814"/>
        <v>6.12</v>
      </c>
      <c r="DQ159" s="79">
        <f t="shared" si="2814"/>
        <v>5</v>
      </c>
      <c r="DR159" s="82">
        <f t="shared" si="2961"/>
        <v>106.20915032679738</v>
      </c>
      <c r="DS159" s="84">
        <f t="shared" si="2962"/>
        <v>1.224</v>
      </c>
      <c r="DT159" s="84"/>
      <c r="DU159" s="79">
        <f t="shared" si="2817"/>
        <v>0</v>
      </c>
      <c r="DV159" s="82">
        <f t="shared" si="2817"/>
        <v>0</v>
      </c>
      <c r="DW159" s="79">
        <f t="shared" si="2817"/>
        <v>0</v>
      </c>
      <c r="DX159" s="82" t="e">
        <f t="shared" si="2963"/>
        <v>#DIV/0!</v>
      </c>
      <c r="DY159" s="84" t="e">
        <f t="shared" si="2964"/>
        <v>#DIV/0!</v>
      </c>
      <c r="DZ159" s="84"/>
      <c r="EA159" s="79">
        <f t="shared" si="2820"/>
        <v>0</v>
      </c>
      <c r="EB159" s="82">
        <f t="shared" si="2820"/>
        <v>0</v>
      </c>
      <c r="EC159" s="79">
        <f t="shared" si="2820"/>
        <v>0</v>
      </c>
      <c r="ED159" s="82" t="e">
        <f t="shared" si="2965"/>
        <v>#DIV/0!</v>
      </c>
      <c r="EE159" s="84" t="e">
        <f t="shared" si="2966"/>
        <v>#DIV/0!</v>
      </c>
      <c r="EF159" s="84"/>
      <c r="EG159" s="79">
        <f t="shared" si="2823"/>
        <v>0</v>
      </c>
      <c r="EH159" s="82">
        <f t="shared" si="2823"/>
        <v>0</v>
      </c>
      <c r="EI159" s="79">
        <f t="shared" si="2823"/>
        <v>0</v>
      </c>
      <c r="EJ159" s="82" t="e">
        <f t="shared" si="2967"/>
        <v>#DIV/0!</v>
      </c>
      <c r="EK159" s="84" t="e">
        <f t="shared" si="2968"/>
        <v>#DIV/0!</v>
      </c>
      <c r="EL159" s="84"/>
      <c r="EM159" s="79">
        <f t="shared" si="2826"/>
        <v>0</v>
      </c>
      <c r="EN159" s="82">
        <f t="shared" si="2826"/>
        <v>0</v>
      </c>
      <c r="EO159" s="79">
        <f t="shared" si="2826"/>
        <v>0</v>
      </c>
      <c r="EP159" s="82" t="e">
        <f t="shared" si="2969"/>
        <v>#DIV/0!</v>
      </c>
      <c r="EQ159" s="84" t="e">
        <f t="shared" si="2970"/>
        <v>#DIV/0!</v>
      </c>
      <c r="ER159" s="589"/>
      <c r="ES159" s="79">
        <f t="shared" si="2829"/>
        <v>1000</v>
      </c>
      <c r="ET159" s="82">
        <f t="shared" si="2829"/>
        <v>8.2600000000000016</v>
      </c>
      <c r="EU159" s="79">
        <f t="shared" si="2829"/>
        <v>5</v>
      </c>
      <c r="EV159" s="82">
        <f t="shared" si="2971"/>
        <v>121.06537530266341</v>
      </c>
      <c r="EW159" s="84">
        <f t="shared" si="2972"/>
        <v>1.6520000000000004</v>
      </c>
      <c r="EY159" s="91">
        <f t="shared" si="2832"/>
        <v>900</v>
      </c>
      <c r="EZ159" s="82">
        <f t="shared" si="2832"/>
        <v>8.26</v>
      </c>
      <c r="FA159" s="371">
        <f t="shared" si="2832"/>
        <v>5</v>
      </c>
      <c r="FB159" s="369">
        <f t="shared" ref="FB159:FB173" si="2991">EY159/EZ159</f>
        <v>108.9588377723971</v>
      </c>
      <c r="FC159" s="370">
        <f t="shared" ref="FC159:FC173" si="2992">EZ159/FA159</f>
        <v>1.6519999999999999</v>
      </c>
      <c r="FD159" s="178"/>
      <c r="FE159" s="379">
        <f t="shared" si="2835"/>
        <v>1000</v>
      </c>
      <c r="FF159" s="369">
        <f t="shared" si="2835"/>
        <v>10.050000000000001</v>
      </c>
      <c r="FG159" s="371">
        <f t="shared" si="2835"/>
        <v>5</v>
      </c>
      <c r="FH159" s="369">
        <f t="shared" ref="FH159:FH173" si="2993">FE159/FF159</f>
        <v>99.502487562189046</v>
      </c>
      <c r="FI159" s="370">
        <f t="shared" ref="FI159:FI173" si="2994">FF159/FG159</f>
        <v>2.0100000000000002</v>
      </c>
      <c r="FK159" s="91">
        <f t="shared" si="2838"/>
        <v>1000</v>
      </c>
      <c r="FL159" s="369">
        <f t="shared" si="2838"/>
        <v>7.8699999999999992</v>
      </c>
      <c r="FM159" s="371">
        <f t="shared" si="2838"/>
        <v>5</v>
      </c>
      <c r="FN159" s="369">
        <f t="shared" ref="FN159:FN173" si="2995">FK159/FL159</f>
        <v>127.06480304955528</v>
      </c>
      <c r="FO159" s="370">
        <f t="shared" ref="FO159:FO173" si="2996">FL159/FM159</f>
        <v>1.5739999999999998</v>
      </c>
      <c r="FQ159" s="91">
        <f t="shared" si="2839"/>
        <v>650</v>
      </c>
      <c r="FR159" s="369">
        <f t="shared" si="2839"/>
        <v>4.08</v>
      </c>
      <c r="FS159" s="371">
        <f t="shared" si="2839"/>
        <v>5</v>
      </c>
      <c r="FT159" s="369">
        <f t="shared" ref="FT159:FT173" si="2997">FQ159/FR159</f>
        <v>159.31372549019608</v>
      </c>
      <c r="FU159" s="370">
        <f t="shared" ref="FU159:FU173" si="2998">FR159/FS159</f>
        <v>0.81600000000000006</v>
      </c>
      <c r="FV159" s="178"/>
      <c r="FW159" s="91">
        <f t="shared" si="2842"/>
        <v>500</v>
      </c>
      <c r="FX159" s="369">
        <f t="shared" si="2842"/>
        <v>5.74</v>
      </c>
      <c r="FY159" s="371">
        <f t="shared" si="2842"/>
        <v>5</v>
      </c>
      <c r="FZ159" s="369">
        <f t="shared" ref="FZ159:FZ173" si="2999">FW159/FX159</f>
        <v>87.108013937282223</v>
      </c>
      <c r="GA159" s="370">
        <f t="shared" ref="GA159:GA173" si="3000">FX159/FY159</f>
        <v>1.1480000000000001</v>
      </c>
      <c r="GC159" s="379">
        <f t="shared" si="2845"/>
        <v>500</v>
      </c>
      <c r="GD159" s="369">
        <f t="shared" si="2845"/>
        <v>3.59</v>
      </c>
      <c r="GE159" s="371">
        <f t="shared" si="2845"/>
        <v>5</v>
      </c>
      <c r="GF159" s="369">
        <f t="shared" ref="GF159:GF173" si="3001">GC159/GD159</f>
        <v>139.27576601671311</v>
      </c>
      <c r="GG159" s="370">
        <f t="shared" ref="GG159:GG173" si="3002">GD159/GE159</f>
        <v>0.71799999999999997</v>
      </c>
      <c r="GI159" s="379">
        <f t="shared" si="2848"/>
        <v>1000</v>
      </c>
      <c r="GJ159" s="369">
        <f t="shared" si="2848"/>
        <v>2.98</v>
      </c>
      <c r="GK159" s="371">
        <f t="shared" si="2848"/>
        <v>5</v>
      </c>
      <c r="GL159" s="369">
        <f t="shared" ref="GL159:GL173" si="3003">GI159/GJ159</f>
        <v>335.57046979865771</v>
      </c>
      <c r="GM159" s="370">
        <f t="shared" ref="GM159:GM173" si="3004">GJ159/GK159</f>
        <v>0.59599999999999997</v>
      </c>
      <c r="GO159" s="379">
        <f t="shared" si="2851"/>
        <v>500</v>
      </c>
      <c r="GP159" s="369">
        <f t="shared" si="2851"/>
        <v>3.89</v>
      </c>
      <c r="GQ159" s="371">
        <f t="shared" si="2851"/>
        <v>5</v>
      </c>
      <c r="GR159" s="369">
        <f t="shared" ref="GR159:GR173" si="3005">GO159/GP159</f>
        <v>128.53470437017995</v>
      </c>
      <c r="GS159" s="370">
        <f t="shared" ref="GS159:GS173" si="3006">GP159/GQ159</f>
        <v>0.77800000000000002</v>
      </c>
      <c r="GU159" s="379">
        <f t="shared" si="2854"/>
        <v>1200</v>
      </c>
      <c r="GV159" s="369">
        <f t="shared" si="2854"/>
        <v>3.3600000000000003</v>
      </c>
      <c r="GW159" s="371">
        <f t="shared" si="2854"/>
        <v>5</v>
      </c>
      <c r="GX159" s="369">
        <f t="shared" ref="GX159:GX173" si="3007">GU159/GV159</f>
        <v>357.14285714285711</v>
      </c>
      <c r="GY159" s="370">
        <f t="shared" ref="GY159:GY173" si="3008">GV159/GW159</f>
        <v>0.67200000000000004</v>
      </c>
      <c r="HA159" s="91">
        <f t="shared" si="2857"/>
        <v>900</v>
      </c>
      <c r="HB159" s="82">
        <f t="shared" si="2857"/>
        <v>6.61</v>
      </c>
      <c r="HC159" s="371">
        <f t="shared" si="2857"/>
        <v>5</v>
      </c>
      <c r="HD159" s="369">
        <f t="shared" ref="HD159:HD173" si="3009">HA159/HB159</f>
        <v>136.15733736762479</v>
      </c>
      <c r="HE159" s="370">
        <f t="shared" ref="HE159:HE173" si="3010">HB159/HC159</f>
        <v>1.3220000000000001</v>
      </c>
      <c r="HG159" s="91">
        <f t="shared" si="2860"/>
        <v>650</v>
      </c>
      <c r="HH159" s="82">
        <f t="shared" si="2860"/>
        <v>6.12</v>
      </c>
      <c r="HI159" s="79">
        <f t="shared" si="2860"/>
        <v>5</v>
      </c>
      <c r="HJ159" s="82">
        <f t="shared" ref="HJ159:HJ173" si="3011">HG159/HH159</f>
        <v>106.20915032679738</v>
      </c>
      <c r="HK159" s="84">
        <f t="shared" ref="HK159:HK173" si="3012">HH159/HI159</f>
        <v>1.224</v>
      </c>
      <c r="HM159" s="91">
        <f t="shared" si="2863"/>
        <v>950</v>
      </c>
      <c r="HN159" s="82">
        <f t="shared" si="2863"/>
        <v>2.83</v>
      </c>
      <c r="HO159" s="371">
        <f t="shared" si="2863"/>
        <v>5</v>
      </c>
      <c r="HP159" s="369">
        <f t="shared" ref="HP159:HP173" si="3013">HM159/HN159</f>
        <v>335.68904593639576</v>
      </c>
      <c r="HQ159" s="370">
        <f t="shared" ref="HQ159:HQ173" si="3014">HN159/HO159</f>
        <v>0.56600000000000006</v>
      </c>
      <c r="HS159" s="91">
        <f t="shared" si="2864"/>
        <v>250</v>
      </c>
      <c r="HT159" s="82">
        <f t="shared" si="2864"/>
        <v>0.73</v>
      </c>
      <c r="HU159" s="371">
        <f t="shared" si="2864"/>
        <v>1</v>
      </c>
      <c r="HV159" s="369">
        <f t="shared" ref="HV159:HV173" si="3015">HS159/HT159</f>
        <v>342.46575342465752</v>
      </c>
      <c r="HW159" s="370">
        <f t="shared" ref="HW159:HW173" si="3016">HT159/HU159</f>
        <v>0.73</v>
      </c>
      <c r="HX159" s="178"/>
      <c r="HY159" s="91">
        <f t="shared" si="2865"/>
        <v>1000</v>
      </c>
      <c r="HZ159" s="82">
        <f t="shared" si="2865"/>
        <v>3.54</v>
      </c>
      <c r="IA159" s="371">
        <f t="shared" si="2865"/>
        <v>5</v>
      </c>
      <c r="IB159" s="369">
        <f t="shared" ref="IB159:IB172" si="3017">HY159/HZ159</f>
        <v>282.4858757062147</v>
      </c>
      <c r="IC159" s="370">
        <f t="shared" ref="IC159:IC172" si="3018">HZ159/IA159</f>
        <v>0.70799999999999996</v>
      </c>
      <c r="IE159" s="91">
        <f t="shared" si="2866"/>
        <v>800</v>
      </c>
      <c r="IF159" s="82">
        <f t="shared" si="2866"/>
        <v>5.67</v>
      </c>
      <c r="IG159" s="79">
        <f t="shared" si="2866"/>
        <v>4</v>
      </c>
      <c r="IH159" s="82">
        <f t="shared" ref="IH159:IH173" si="3019">IE159/IF159</f>
        <v>141.09347442680777</v>
      </c>
      <c r="II159" s="84">
        <f t="shared" ref="II159:II173" si="3020">IF159/IG159</f>
        <v>1.4175</v>
      </c>
      <c r="IK159" s="91">
        <f t="shared" si="2869"/>
        <v>1000</v>
      </c>
      <c r="IL159" s="82">
        <f t="shared" si="2869"/>
        <v>3.37</v>
      </c>
      <c r="IM159" s="79">
        <f t="shared" si="2869"/>
        <v>5</v>
      </c>
      <c r="IN159" s="82">
        <f t="shared" ref="IN159:IN162" si="3021">IK159/IL159</f>
        <v>296.73590504451039</v>
      </c>
      <c r="IO159" s="84">
        <f t="shared" ref="IO159:IO173" si="3022">IL159/IM159</f>
        <v>0.67400000000000004</v>
      </c>
      <c r="IQ159" s="91">
        <f t="shared" si="2872"/>
        <v>790</v>
      </c>
      <c r="IR159" s="82">
        <f t="shared" si="2872"/>
        <v>6.0299999999999994</v>
      </c>
      <c r="IS159" s="79">
        <f t="shared" si="2872"/>
        <v>5</v>
      </c>
      <c r="IT159" s="82">
        <f t="shared" ref="IT159:IT162" si="3023">IQ159/IR159</f>
        <v>131.01160862354894</v>
      </c>
      <c r="IU159" s="84">
        <f t="shared" ref="IU159:IU173" si="3024">IR159/IS159</f>
        <v>1.206</v>
      </c>
      <c r="IW159" s="91">
        <f t="shared" si="2875"/>
        <v>850</v>
      </c>
      <c r="IX159" s="82">
        <f t="shared" si="2875"/>
        <v>6.5100000000000007</v>
      </c>
      <c r="IY159" s="79">
        <f t="shared" si="2875"/>
        <v>5</v>
      </c>
      <c r="IZ159" s="82">
        <f t="shared" ref="IZ159:IZ162" si="3025">IW159/IX159</f>
        <v>130.56835637480796</v>
      </c>
      <c r="JA159" s="84">
        <f t="shared" ref="JA159:JA173" si="3026">IX159/IY159</f>
        <v>1.302</v>
      </c>
      <c r="JC159" s="91">
        <f t="shared" si="2878"/>
        <v>1000</v>
      </c>
      <c r="JD159" s="82">
        <f t="shared" si="2878"/>
        <v>6.6800000000000006</v>
      </c>
      <c r="JE159" s="79">
        <f t="shared" si="2878"/>
        <v>5</v>
      </c>
      <c r="JF159" s="82">
        <f t="shared" ref="JF159:JF162" si="3027">JC159/JD159</f>
        <v>149.70059880239521</v>
      </c>
      <c r="JG159" s="84">
        <f t="shared" ref="JG159:JG173" si="3028">JD159/JE159</f>
        <v>1.3360000000000001</v>
      </c>
      <c r="JI159" s="91">
        <f t="shared" si="2881"/>
        <v>1000</v>
      </c>
      <c r="JJ159" s="82">
        <f t="shared" si="2881"/>
        <v>6.9500000000000011</v>
      </c>
      <c r="JK159" s="79">
        <f t="shared" si="2881"/>
        <v>5</v>
      </c>
      <c r="JL159" s="82">
        <f t="shared" ref="JL159:JL162" si="3029">JI159/JJ159</f>
        <v>143.88489208633092</v>
      </c>
      <c r="JM159" s="84">
        <f t="shared" ref="JM159:JM173" si="3030">JJ159/JK159</f>
        <v>1.3900000000000001</v>
      </c>
      <c r="JO159" s="91">
        <f t="shared" si="2884"/>
        <v>1000</v>
      </c>
      <c r="JP159" s="82">
        <f t="shared" si="2884"/>
        <v>6.6999999999999993</v>
      </c>
      <c r="JQ159" s="79">
        <f t="shared" si="2884"/>
        <v>5</v>
      </c>
      <c r="JR159" s="82">
        <f t="shared" ref="JR159:JR162" si="3031">JO159/JP159</f>
        <v>149.25373134328359</v>
      </c>
      <c r="JS159" s="84">
        <f t="shared" ref="JS159:JS173" si="3032">JP159/JQ159</f>
        <v>1.3399999999999999</v>
      </c>
      <c r="JU159" s="383">
        <f t="shared" si="2600"/>
        <v>1000</v>
      </c>
      <c r="JV159" s="82">
        <f t="shared" si="2600"/>
        <v>5.1100000000000003</v>
      </c>
      <c r="JW159" s="748">
        <f t="shared" si="2600"/>
        <v>5</v>
      </c>
      <c r="JX159" s="369">
        <f t="shared" ref="JX159:JX162" si="3033">JU159/JV159</f>
        <v>195.69471624266143</v>
      </c>
      <c r="JY159" s="84">
        <f t="shared" ref="JY159:JY173" si="3034">JV159/JW159</f>
        <v>1.022</v>
      </c>
      <c r="KA159" s="383">
        <f t="shared" si="2601"/>
        <v>700</v>
      </c>
      <c r="KB159" s="82">
        <f t="shared" si="2601"/>
        <v>1.6400000000000001</v>
      </c>
      <c r="KC159" s="748">
        <f t="shared" si="2601"/>
        <v>2</v>
      </c>
      <c r="KD159" s="369">
        <f t="shared" ref="KD159:KD162" si="3035">KA159/KB159</f>
        <v>426.82926829268291</v>
      </c>
      <c r="KE159" s="84">
        <f t="shared" ref="KE159:KE173" si="3036">KB159/KC159</f>
        <v>0.82000000000000006</v>
      </c>
      <c r="KG159" s="383">
        <f t="shared" ref="KG159:KI159" si="3037">SUM(KG121)</f>
        <v>0</v>
      </c>
      <c r="KH159" s="82">
        <f t="shared" si="3037"/>
        <v>0</v>
      </c>
      <c r="KI159" s="748">
        <f t="shared" si="3037"/>
        <v>0</v>
      </c>
      <c r="KJ159" s="369" t="e">
        <f t="shared" ref="KJ159:KJ162" si="3038">KG159/KH159</f>
        <v>#DIV/0!</v>
      </c>
      <c r="KK159" s="84" t="e">
        <f t="shared" ref="KK159:KK173" si="3039">KH159/KI159</f>
        <v>#DIV/0!</v>
      </c>
      <c r="KM159" s="383">
        <f t="shared" ref="KM159:KO159" si="3040">SUM(KM121)</f>
        <v>0</v>
      </c>
      <c r="KN159" s="82">
        <f t="shared" si="3040"/>
        <v>0</v>
      </c>
      <c r="KO159" s="748">
        <f t="shared" si="3040"/>
        <v>0</v>
      </c>
      <c r="KP159" s="369" t="e">
        <f t="shared" ref="KP159:KP162" si="3041">KM159/KN159</f>
        <v>#DIV/0!</v>
      </c>
      <c r="KQ159" s="84" t="e">
        <f t="shared" ref="KQ159:KQ173" si="3042">KN159/KO159</f>
        <v>#DIV/0!</v>
      </c>
      <c r="KS159" s="383">
        <f t="shared" ref="KS159:KU159" si="3043">SUM(KS121)</f>
        <v>0</v>
      </c>
      <c r="KT159" s="82">
        <f t="shared" si="3043"/>
        <v>0</v>
      </c>
      <c r="KU159" s="748">
        <f t="shared" si="3043"/>
        <v>0</v>
      </c>
      <c r="KV159" s="369" t="e">
        <f t="shared" ref="KV159:KV162" si="3044">KS159/KT159</f>
        <v>#DIV/0!</v>
      </c>
      <c r="KW159" s="84" t="e">
        <f t="shared" ref="KW159:KW173" si="3045">KT159/KU159</f>
        <v>#DIV/0!</v>
      </c>
      <c r="KY159" s="383">
        <f t="shared" ref="KY159:LA159" si="3046">SUM(KY121)</f>
        <v>0</v>
      </c>
      <c r="KZ159" s="82">
        <f t="shared" si="3046"/>
        <v>0</v>
      </c>
      <c r="LA159" s="748">
        <f t="shared" si="3046"/>
        <v>0</v>
      </c>
      <c r="LB159" s="369" t="e">
        <f t="shared" ref="LB159:LB162" si="3047">KY159/KZ159</f>
        <v>#DIV/0!</v>
      </c>
      <c r="LC159" s="84" t="e">
        <f t="shared" ref="LC159:LC173" si="3048">KZ159/LA159</f>
        <v>#DIV/0!</v>
      </c>
      <c r="LE159" s="383">
        <f t="shared" ref="LE159:LG159" si="3049">SUM(LE121)</f>
        <v>1500</v>
      </c>
      <c r="LF159" s="82">
        <f t="shared" si="3049"/>
        <v>56.58</v>
      </c>
      <c r="LG159" s="748">
        <f t="shared" si="3049"/>
        <v>5</v>
      </c>
      <c r="LH159" s="369">
        <f t="shared" ref="LH159:LH162" si="3050">LE159/LF159</f>
        <v>26.511134676564158</v>
      </c>
      <c r="LI159" s="84">
        <f t="shared" ref="LI159:LI173" si="3051">LF159/LG159</f>
        <v>11.315999999999999</v>
      </c>
      <c r="LK159" s="383">
        <f t="shared" ref="LK159:LM159" si="3052">SUM(LK121)</f>
        <v>1000</v>
      </c>
      <c r="LL159" s="82">
        <f t="shared" si="3052"/>
        <v>7.9499999999999993</v>
      </c>
      <c r="LM159" s="748">
        <f t="shared" si="3052"/>
        <v>5</v>
      </c>
      <c r="LN159" s="369">
        <f t="shared" ref="LN159:LN162" si="3053">LK159/LL159</f>
        <v>125.78616352201259</v>
      </c>
      <c r="LO159" s="84">
        <f t="shared" ref="LO159:LO173" si="3054">LL159/LM159</f>
        <v>1.5899999999999999</v>
      </c>
      <c r="LQ159" s="383">
        <f t="shared" ref="LQ159:LS159" si="3055">SUM(LQ121)</f>
        <v>500</v>
      </c>
      <c r="LR159" s="82">
        <f t="shared" si="3055"/>
        <v>7.0600000000000005</v>
      </c>
      <c r="LS159" s="748">
        <f t="shared" si="3055"/>
        <v>5</v>
      </c>
      <c r="LT159" s="369">
        <f t="shared" ref="LT159:LT162" si="3056">LQ159/LR159</f>
        <v>70.821529745042483</v>
      </c>
      <c r="LU159" s="84">
        <f t="shared" ref="LU159:LU173" si="3057">LR159/LS159</f>
        <v>1.4120000000000001</v>
      </c>
      <c r="LW159" s="383">
        <f t="shared" ref="LW159:LY159" si="3058">SUM(LW121)</f>
        <v>900</v>
      </c>
      <c r="LX159" s="82">
        <f t="shared" si="3058"/>
        <v>6.7999999999999989</v>
      </c>
      <c r="LY159" s="748">
        <f t="shared" si="3058"/>
        <v>5</v>
      </c>
      <c r="LZ159" s="369">
        <f t="shared" ref="LZ159:LZ162" si="3059">LW159/LX159</f>
        <v>132.35294117647061</v>
      </c>
      <c r="MA159" s="84">
        <f t="shared" ref="MA159:MA173" si="3060">LX159/LY159</f>
        <v>1.3599999999999999</v>
      </c>
      <c r="MC159" s="383">
        <f t="shared" ref="MC159:ME159" si="3061">SUM(MC121)</f>
        <v>1000</v>
      </c>
      <c r="MD159" s="82">
        <f t="shared" si="3061"/>
        <v>5.52</v>
      </c>
      <c r="ME159" s="748">
        <f t="shared" si="3061"/>
        <v>5</v>
      </c>
      <c r="MF159" s="369">
        <f t="shared" ref="MF159:MF162" si="3062">MC159/MD159</f>
        <v>181.15942028985509</v>
      </c>
      <c r="MG159" s="84">
        <f t="shared" ref="MG159:MG173" si="3063">MD159/ME159</f>
        <v>1.1039999999999999</v>
      </c>
      <c r="MI159" s="383">
        <f t="shared" ref="MI159:MK159" si="3064">SUM(MI121)</f>
        <v>900</v>
      </c>
      <c r="MJ159" s="82">
        <f t="shared" si="3064"/>
        <v>4.07</v>
      </c>
      <c r="MK159" s="748">
        <f t="shared" si="3064"/>
        <v>5</v>
      </c>
      <c r="ML159" s="369">
        <f t="shared" ref="ML159:ML162" si="3065">MI159/MJ159</f>
        <v>221.13022113022112</v>
      </c>
      <c r="MM159" s="84">
        <f t="shared" ref="MM159:MM173" si="3066">MJ159/MK159</f>
        <v>0.81400000000000006</v>
      </c>
      <c r="MO159" s="383">
        <f t="shared" ref="MO159:MQ159" si="3067">SUM(MO121)</f>
        <v>0</v>
      </c>
      <c r="MP159" s="82">
        <f t="shared" si="3067"/>
        <v>0</v>
      </c>
      <c r="MQ159" s="748">
        <f t="shared" si="3067"/>
        <v>0</v>
      </c>
      <c r="MR159" s="369" t="e">
        <f t="shared" ref="MR159:MR162" si="3068">MO159/MP159</f>
        <v>#DIV/0!</v>
      </c>
      <c r="MS159" s="84" t="e">
        <f t="shared" ref="MS159:MS173" si="3069">MP159/MQ159</f>
        <v>#DIV/0!</v>
      </c>
      <c r="MU159" s="383">
        <f t="shared" ref="MU159:MW159" si="3070">SUM(MU121)</f>
        <v>0</v>
      </c>
      <c r="MV159" s="82">
        <f t="shared" si="3070"/>
        <v>0</v>
      </c>
      <c r="MW159" s="748">
        <f t="shared" si="3070"/>
        <v>0</v>
      </c>
      <c r="MX159" s="369" t="e">
        <f t="shared" ref="MX159:MX162" si="3071">MU159/MV159</f>
        <v>#DIV/0!</v>
      </c>
      <c r="MY159" s="84" t="e">
        <f t="shared" ref="MY159:MY173" si="3072">MV159/MW159</f>
        <v>#DIV/0!</v>
      </c>
      <c r="NA159" s="383">
        <f t="shared" ref="NA159:NC159" si="3073">SUM(NA121)</f>
        <v>0</v>
      </c>
      <c r="NB159" s="748">
        <f t="shared" si="3073"/>
        <v>0</v>
      </c>
      <c r="NC159" s="748">
        <f t="shared" si="3073"/>
        <v>0</v>
      </c>
      <c r="ND159" s="369" t="e">
        <f t="shared" ref="ND159:ND162" si="3074">NA159/NB159</f>
        <v>#DIV/0!</v>
      </c>
      <c r="NE159" s="84" t="e">
        <f t="shared" ref="NE159:NE173" si="3075">NB159/NC159</f>
        <v>#DIV/0!</v>
      </c>
      <c r="NG159" s="383">
        <f t="shared" ref="NG159:NI159" si="3076">SUM(NG121)</f>
        <v>600</v>
      </c>
      <c r="NH159" s="82">
        <f t="shared" si="3076"/>
        <v>1.1600000000000001</v>
      </c>
      <c r="NI159" s="748">
        <f t="shared" si="3076"/>
        <v>2</v>
      </c>
      <c r="NJ159" s="369">
        <f t="shared" ref="NJ159:NJ162" si="3077">NG159/NH159</f>
        <v>517.24137931034477</v>
      </c>
      <c r="NK159" s="84">
        <f t="shared" ref="NK159:NK173" si="3078">NH159/NI159</f>
        <v>0.58000000000000007</v>
      </c>
      <c r="NM159" s="383">
        <f t="shared" ref="NM159:NO159" si="3079">SUM(NM121)</f>
        <v>1500</v>
      </c>
      <c r="NN159" s="82">
        <f t="shared" si="3079"/>
        <v>4.93</v>
      </c>
      <c r="NO159" s="748">
        <f t="shared" si="3079"/>
        <v>5</v>
      </c>
      <c r="NP159" s="369">
        <f t="shared" ref="NP159:NP162" si="3080">NM159/NN159</f>
        <v>304.25963488843814</v>
      </c>
      <c r="NQ159" s="84">
        <f t="shared" ref="NQ159:NQ173" si="3081">NN159/NO159</f>
        <v>0.98599999999999999</v>
      </c>
      <c r="NS159" s="383">
        <f t="shared" ref="NS159:NU159" si="3082">SUM(NS121)</f>
        <v>1000</v>
      </c>
      <c r="NT159" s="82">
        <f t="shared" si="3082"/>
        <v>5.03</v>
      </c>
      <c r="NU159" s="748">
        <f t="shared" si="3082"/>
        <v>5</v>
      </c>
      <c r="NV159" s="369">
        <f t="shared" ref="NV159:NV162" si="3083">NS159/NT159</f>
        <v>198.80715705765405</v>
      </c>
      <c r="NW159" s="84">
        <f t="shared" ref="NW159:NW173" si="3084">NT159/NU159</f>
        <v>1.006</v>
      </c>
      <c r="NY159" s="383">
        <f t="shared" ref="NY159:OA159" si="3085">SUM(NY121)</f>
        <v>750</v>
      </c>
      <c r="NZ159" s="82">
        <f t="shared" si="3085"/>
        <v>5.65</v>
      </c>
      <c r="OA159" s="748">
        <f t="shared" si="3085"/>
        <v>5</v>
      </c>
      <c r="OB159" s="369">
        <f t="shared" ref="OB159:OB162" si="3086">NY159/NZ159</f>
        <v>132.74336283185841</v>
      </c>
      <c r="OC159" s="84">
        <f t="shared" ref="OC159:OC173" si="3087">NZ159/OA159</f>
        <v>1.1300000000000001</v>
      </c>
      <c r="OE159" s="383">
        <f t="shared" ref="OE159:OG159" si="3088">SUM(OE121)</f>
        <v>1000</v>
      </c>
      <c r="OF159" s="82">
        <f t="shared" si="3088"/>
        <v>7.1999999999999993</v>
      </c>
      <c r="OG159" s="748">
        <f t="shared" si="3088"/>
        <v>5</v>
      </c>
      <c r="OH159" s="369">
        <f t="shared" ref="OH159:OH162" si="3089">OE159/OF159</f>
        <v>138.88888888888891</v>
      </c>
      <c r="OI159" s="84">
        <f t="shared" ref="OI159:OI173" si="3090">OF159/OG159</f>
        <v>1.44</v>
      </c>
    </row>
    <row r="160" spans="1:399">
      <c r="A160" s="69"/>
      <c r="B160" s="70" t="s">
        <v>38</v>
      </c>
      <c r="C160" s="57"/>
      <c r="D160" s="58" t="s">
        <v>14</v>
      </c>
      <c r="E160" s="79">
        <f t="shared" si="2757"/>
        <v>430</v>
      </c>
      <c r="F160" s="82">
        <f t="shared" si="2757"/>
        <v>2.1100000000000003</v>
      </c>
      <c r="G160" s="79">
        <f t="shared" si="2757"/>
        <v>5</v>
      </c>
      <c r="H160" s="82">
        <f t="shared" si="2923"/>
        <v>203.79146919431275</v>
      </c>
      <c r="I160" s="84">
        <f t="shared" si="2924"/>
        <v>0.42200000000000004</v>
      </c>
      <c r="J160" s="589"/>
      <c r="K160" s="79">
        <f t="shared" si="2760"/>
        <v>500</v>
      </c>
      <c r="L160" s="82">
        <f t="shared" si="2760"/>
        <v>2.14</v>
      </c>
      <c r="M160" s="79">
        <f t="shared" si="2760"/>
        <v>4</v>
      </c>
      <c r="N160" s="82">
        <f t="shared" si="2925"/>
        <v>233.64485981308411</v>
      </c>
      <c r="O160" s="84">
        <f t="shared" si="2926"/>
        <v>0.53500000000000003</v>
      </c>
      <c r="P160" s="589"/>
      <c r="Q160" s="79">
        <f t="shared" si="2763"/>
        <v>530</v>
      </c>
      <c r="R160" s="82">
        <f t="shared" si="2763"/>
        <v>3.95</v>
      </c>
      <c r="S160" s="79">
        <f t="shared" si="2763"/>
        <v>5</v>
      </c>
      <c r="T160" s="82">
        <f t="shared" si="2927"/>
        <v>134.17721518987341</v>
      </c>
      <c r="U160" s="84">
        <f t="shared" si="2928"/>
        <v>0.79</v>
      </c>
      <c r="V160" s="589"/>
      <c r="W160" s="79">
        <f t="shared" si="2766"/>
        <v>150</v>
      </c>
      <c r="X160" s="82">
        <f t="shared" si="2766"/>
        <v>0.37</v>
      </c>
      <c r="Y160" s="79">
        <f t="shared" si="2766"/>
        <v>1</v>
      </c>
      <c r="Z160" s="82">
        <f t="shared" si="2929"/>
        <v>405.40540540540542</v>
      </c>
      <c r="AA160" s="84">
        <f t="shared" si="2930"/>
        <v>0.37</v>
      </c>
      <c r="AB160" s="589"/>
      <c r="AC160" s="79">
        <f t="shared" si="2769"/>
        <v>850</v>
      </c>
      <c r="AD160" s="82">
        <f t="shared" si="2769"/>
        <v>3.1</v>
      </c>
      <c r="AE160" s="79">
        <f t="shared" si="2769"/>
        <v>5</v>
      </c>
      <c r="AF160" s="82">
        <f t="shared" si="2931"/>
        <v>274.19354838709677</v>
      </c>
      <c r="AG160" s="84">
        <f t="shared" si="2932"/>
        <v>0.62</v>
      </c>
      <c r="AH160" s="589"/>
      <c r="AI160" s="79">
        <f t="shared" si="2772"/>
        <v>480</v>
      </c>
      <c r="AJ160" s="82">
        <f t="shared" si="2772"/>
        <v>2.9699999999999998</v>
      </c>
      <c r="AK160" s="79">
        <f t="shared" si="2772"/>
        <v>5</v>
      </c>
      <c r="AL160" s="82">
        <f t="shared" si="2933"/>
        <v>161.61616161616163</v>
      </c>
      <c r="AM160" s="84">
        <f t="shared" si="2934"/>
        <v>0.59399999999999997</v>
      </c>
      <c r="AN160" s="589"/>
      <c r="AO160" s="79">
        <f t="shared" si="2775"/>
        <v>0</v>
      </c>
      <c r="AP160" s="82">
        <f t="shared" si="2775"/>
        <v>0</v>
      </c>
      <c r="AQ160" s="79">
        <f t="shared" si="2775"/>
        <v>0</v>
      </c>
      <c r="AR160" s="82" t="e">
        <f t="shared" si="2935"/>
        <v>#DIV/0!</v>
      </c>
      <c r="AS160" s="84" t="e">
        <f t="shared" si="2936"/>
        <v>#DIV/0!</v>
      </c>
      <c r="AT160" s="589"/>
      <c r="AU160" s="79">
        <f t="shared" si="2778"/>
        <v>600</v>
      </c>
      <c r="AV160" s="82">
        <f t="shared" si="2778"/>
        <v>2.58</v>
      </c>
      <c r="AW160" s="79">
        <f t="shared" si="2778"/>
        <v>5</v>
      </c>
      <c r="AX160" s="82">
        <f t="shared" si="2937"/>
        <v>232.55813953488371</v>
      </c>
      <c r="AY160" s="84">
        <f t="shared" si="2938"/>
        <v>0.51600000000000001</v>
      </c>
      <c r="AZ160" s="84"/>
      <c r="BA160" s="79">
        <f t="shared" si="2781"/>
        <v>700</v>
      </c>
      <c r="BB160" s="82">
        <f t="shared" si="2781"/>
        <v>2.39</v>
      </c>
      <c r="BC160" s="79">
        <f t="shared" si="2781"/>
        <v>5</v>
      </c>
      <c r="BD160" s="82">
        <f t="shared" si="2939"/>
        <v>292.88702928870293</v>
      </c>
      <c r="BE160" s="84">
        <f t="shared" si="2940"/>
        <v>0.47800000000000004</v>
      </c>
      <c r="BF160" s="84"/>
      <c r="BG160" s="79">
        <f t="shared" si="2784"/>
        <v>0</v>
      </c>
      <c r="BH160" s="82">
        <f t="shared" si="2784"/>
        <v>0</v>
      </c>
      <c r="BI160" s="79">
        <f t="shared" si="2784"/>
        <v>0</v>
      </c>
      <c r="BJ160" s="82" t="e">
        <f t="shared" si="2941"/>
        <v>#DIV/0!</v>
      </c>
      <c r="BK160" s="84" t="e">
        <f t="shared" si="2942"/>
        <v>#DIV/0!</v>
      </c>
      <c r="BL160" s="84"/>
      <c r="BM160" s="79">
        <f t="shared" si="2787"/>
        <v>0</v>
      </c>
      <c r="BN160" s="82">
        <f t="shared" si="2787"/>
        <v>0</v>
      </c>
      <c r="BO160" s="79">
        <f t="shared" si="2787"/>
        <v>0</v>
      </c>
      <c r="BP160" s="82" t="e">
        <f t="shared" si="2943"/>
        <v>#DIV/0!</v>
      </c>
      <c r="BQ160" s="84" t="e">
        <f t="shared" si="2944"/>
        <v>#DIV/0!</v>
      </c>
      <c r="BR160" s="589"/>
      <c r="BS160" s="79">
        <f t="shared" si="2790"/>
        <v>0</v>
      </c>
      <c r="BT160" s="82">
        <f t="shared" si="2790"/>
        <v>0</v>
      </c>
      <c r="BU160" s="79">
        <f t="shared" si="2790"/>
        <v>0</v>
      </c>
      <c r="BV160" s="82" t="e">
        <f t="shared" si="2945"/>
        <v>#DIV/0!</v>
      </c>
      <c r="BW160" s="84" t="e">
        <f t="shared" si="2946"/>
        <v>#DIV/0!</v>
      </c>
      <c r="BX160" s="84"/>
      <c r="BY160" s="79">
        <f t="shared" si="2793"/>
        <v>550</v>
      </c>
      <c r="BZ160" s="82">
        <f t="shared" si="2793"/>
        <v>2.67</v>
      </c>
      <c r="CA160" s="79">
        <f t="shared" si="2793"/>
        <v>5</v>
      </c>
      <c r="CB160" s="82">
        <f t="shared" si="2947"/>
        <v>205.99250936329588</v>
      </c>
      <c r="CC160" s="84">
        <f t="shared" si="2948"/>
        <v>0.53400000000000003</v>
      </c>
      <c r="CD160" s="84"/>
      <c r="CE160" s="79">
        <f t="shared" si="2796"/>
        <v>0</v>
      </c>
      <c r="CF160" s="82">
        <f t="shared" si="2796"/>
        <v>0</v>
      </c>
      <c r="CG160" s="79">
        <f t="shared" si="2796"/>
        <v>0</v>
      </c>
      <c r="CH160" s="82" t="e">
        <f t="shared" si="2949"/>
        <v>#DIV/0!</v>
      </c>
      <c r="CI160" s="84" t="e">
        <f t="shared" si="2950"/>
        <v>#DIV/0!</v>
      </c>
      <c r="CJ160" s="84"/>
      <c r="CK160" s="79">
        <f t="shared" si="2799"/>
        <v>600</v>
      </c>
      <c r="CL160" s="82">
        <f t="shared" si="2799"/>
        <v>1.77</v>
      </c>
      <c r="CM160" s="79">
        <f t="shared" si="2799"/>
        <v>5</v>
      </c>
      <c r="CN160" s="82">
        <f t="shared" si="2951"/>
        <v>338.9830508474576</v>
      </c>
      <c r="CO160" s="84">
        <f t="shared" si="2952"/>
        <v>0.35399999999999998</v>
      </c>
      <c r="CP160" s="84"/>
      <c r="CQ160" s="79">
        <f t="shared" si="2802"/>
        <v>800</v>
      </c>
      <c r="CR160" s="82">
        <f t="shared" si="2802"/>
        <v>2.1399999999999997</v>
      </c>
      <c r="CS160" s="79">
        <f t="shared" si="2802"/>
        <v>5</v>
      </c>
      <c r="CT160" s="82">
        <f t="shared" si="2953"/>
        <v>373.83177570093466</v>
      </c>
      <c r="CU160" s="84">
        <f t="shared" si="2954"/>
        <v>0.42799999999999994</v>
      </c>
      <c r="CV160" s="84"/>
      <c r="CW160" s="79">
        <f t="shared" si="2805"/>
        <v>550</v>
      </c>
      <c r="CX160" s="82">
        <f t="shared" si="2805"/>
        <v>2.67</v>
      </c>
      <c r="CY160" s="79">
        <f t="shared" si="2805"/>
        <v>5</v>
      </c>
      <c r="CZ160" s="82">
        <f t="shared" si="2955"/>
        <v>205.99250936329588</v>
      </c>
      <c r="DA160" s="84">
        <f t="shared" si="2956"/>
        <v>0.53400000000000003</v>
      </c>
      <c r="DB160" s="84"/>
      <c r="DC160" s="79">
        <f t="shared" si="2808"/>
        <v>830</v>
      </c>
      <c r="DD160" s="82">
        <f t="shared" si="2808"/>
        <v>4.03</v>
      </c>
      <c r="DE160" s="79">
        <f t="shared" si="2808"/>
        <v>5</v>
      </c>
      <c r="DF160" s="82">
        <f t="shared" si="2957"/>
        <v>205.95533498759303</v>
      </c>
      <c r="DG160" s="84">
        <f t="shared" si="2958"/>
        <v>0.80600000000000005</v>
      </c>
      <c r="DH160" s="84"/>
      <c r="DI160" s="79">
        <f t="shared" si="2811"/>
        <v>2050</v>
      </c>
      <c r="DJ160" s="82">
        <f t="shared" si="2811"/>
        <v>12.399999999999999</v>
      </c>
      <c r="DK160" s="79">
        <f t="shared" si="2811"/>
        <v>5</v>
      </c>
      <c r="DL160" s="82">
        <f t="shared" si="2959"/>
        <v>165.32258064516131</v>
      </c>
      <c r="DM160" s="84">
        <f t="shared" si="2960"/>
        <v>2.4799999999999995</v>
      </c>
      <c r="DN160" s="84"/>
      <c r="DO160" s="79">
        <f t="shared" si="2814"/>
        <v>550</v>
      </c>
      <c r="DP160" s="82">
        <f t="shared" si="2814"/>
        <v>1.78</v>
      </c>
      <c r="DQ160" s="79">
        <f t="shared" si="2814"/>
        <v>5</v>
      </c>
      <c r="DR160" s="82">
        <f t="shared" si="2961"/>
        <v>308.98876404494382</v>
      </c>
      <c r="DS160" s="84">
        <f t="shared" si="2962"/>
        <v>0.35599999999999998</v>
      </c>
      <c r="DT160" s="84"/>
      <c r="DU160" s="79">
        <f t="shared" si="2817"/>
        <v>0</v>
      </c>
      <c r="DV160" s="82">
        <f t="shared" si="2817"/>
        <v>0</v>
      </c>
      <c r="DW160" s="79">
        <f t="shared" si="2817"/>
        <v>0</v>
      </c>
      <c r="DX160" s="82" t="e">
        <f t="shared" si="2963"/>
        <v>#DIV/0!</v>
      </c>
      <c r="DY160" s="84" t="e">
        <f t="shared" si="2964"/>
        <v>#DIV/0!</v>
      </c>
      <c r="DZ160" s="84"/>
      <c r="EA160" s="79">
        <f t="shared" si="2820"/>
        <v>0</v>
      </c>
      <c r="EB160" s="82">
        <f t="shared" si="2820"/>
        <v>0</v>
      </c>
      <c r="EC160" s="79">
        <f t="shared" si="2820"/>
        <v>0</v>
      </c>
      <c r="ED160" s="82" t="e">
        <f t="shared" si="2965"/>
        <v>#DIV/0!</v>
      </c>
      <c r="EE160" s="84" t="e">
        <f t="shared" si="2966"/>
        <v>#DIV/0!</v>
      </c>
      <c r="EF160" s="84"/>
      <c r="EG160" s="79">
        <f t="shared" si="2823"/>
        <v>0</v>
      </c>
      <c r="EH160" s="82">
        <f t="shared" si="2823"/>
        <v>0</v>
      </c>
      <c r="EI160" s="79">
        <f t="shared" si="2823"/>
        <v>0</v>
      </c>
      <c r="EJ160" s="82" t="e">
        <f t="shared" si="2967"/>
        <v>#DIV/0!</v>
      </c>
      <c r="EK160" s="84" t="e">
        <f t="shared" si="2968"/>
        <v>#DIV/0!</v>
      </c>
      <c r="EL160" s="84"/>
      <c r="EM160" s="79">
        <f t="shared" si="2826"/>
        <v>0</v>
      </c>
      <c r="EN160" s="82">
        <f t="shared" si="2826"/>
        <v>0</v>
      </c>
      <c r="EO160" s="79">
        <f t="shared" si="2826"/>
        <v>0</v>
      </c>
      <c r="EP160" s="82" t="e">
        <f t="shared" si="2969"/>
        <v>#DIV/0!</v>
      </c>
      <c r="EQ160" s="84" t="e">
        <f t="shared" si="2970"/>
        <v>#DIV/0!</v>
      </c>
      <c r="ER160" s="589"/>
      <c r="ES160" s="79">
        <f t="shared" si="2829"/>
        <v>550</v>
      </c>
      <c r="ET160" s="82">
        <f t="shared" si="2829"/>
        <v>2.67</v>
      </c>
      <c r="EU160" s="79">
        <f t="shared" si="2829"/>
        <v>5</v>
      </c>
      <c r="EV160" s="82">
        <f t="shared" si="2971"/>
        <v>205.99250936329588</v>
      </c>
      <c r="EW160" s="84">
        <f t="shared" si="2972"/>
        <v>0.53400000000000003</v>
      </c>
      <c r="EY160" s="91">
        <f t="shared" si="2832"/>
        <v>480</v>
      </c>
      <c r="EZ160" s="82">
        <f t="shared" si="2832"/>
        <v>2.9699999999999998</v>
      </c>
      <c r="FA160" s="371">
        <f t="shared" si="2832"/>
        <v>5</v>
      </c>
      <c r="FB160" s="369">
        <f t="shared" si="2991"/>
        <v>161.61616161616163</v>
      </c>
      <c r="FC160" s="370">
        <f t="shared" si="2992"/>
        <v>0.59399999999999997</v>
      </c>
      <c r="FD160" s="178"/>
      <c r="FE160" s="379">
        <f t="shared" si="2835"/>
        <v>530</v>
      </c>
      <c r="FF160" s="369">
        <f t="shared" si="2835"/>
        <v>3.95</v>
      </c>
      <c r="FG160" s="371">
        <f t="shared" si="2835"/>
        <v>5</v>
      </c>
      <c r="FH160" s="369">
        <f t="shared" si="2993"/>
        <v>134.17721518987341</v>
      </c>
      <c r="FI160" s="370">
        <f t="shared" si="2994"/>
        <v>0.79</v>
      </c>
      <c r="FK160" s="91">
        <f t="shared" si="2838"/>
        <v>650</v>
      </c>
      <c r="FL160" s="369">
        <f t="shared" si="2838"/>
        <v>2.23</v>
      </c>
      <c r="FM160" s="371">
        <f t="shared" si="2838"/>
        <v>5</v>
      </c>
      <c r="FN160" s="369">
        <f t="shared" si="2995"/>
        <v>291.47982062780267</v>
      </c>
      <c r="FO160" s="370">
        <f t="shared" si="2996"/>
        <v>0.44600000000000001</v>
      </c>
      <c r="FQ160" s="91">
        <f t="shared" si="2839"/>
        <v>900</v>
      </c>
      <c r="FR160" s="369">
        <f t="shared" si="2839"/>
        <v>2.0499999999999998</v>
      </c>
      <c r="FS160" s="371">
        <f t="shared" si="2839"/>
        <v>5</v>
      </c>
      <c r="FT160" s="369">
        <f t="shared" si="2997"/>
        <v>439.02439024390247</v>
      </c>
      <c r="FU160" s="370">
        <f t="shared" si="2998"/>
        <v>0.41</v>
      </c>
      <c r="FV160" s="178"/>
      <c r="FW160" s="91">
        <f t="shared" si="2842"/>
        <v>830</v>
      </c>
      <c r="FX160" s="369">
        <f t="shared" si="2842"/>
        <v>4.03</v>
      </c>
      <c r="FY160" s="371">
        <f t="shared" si="2842"/>
        <v>5</v>
      </c>
      <c r="FZ160" s="369">
        <f t="shared" si="2999"/>
        <v>205.95533498759303</v>
      </c>
      <c r="GA160" s="370">
        <f t="shared" si="3000"/>
        <v>0.80600000000000005</v>
      </c>
      <c r="GC160" s="379">
        <f t="shared" si="2845"/>
        <v>700</v>
      </c>
      <c r="GD160" s="369">
        <f t="shared" si="2845"/>
        <v>7.4500000000000011</v>
      </c>
      <c r="GE160" s="371">
        <f t="shared" si="2845"/>
        <v>5</v>
      </c>
      <c r="GF160" s="361">
        <f>GC160/GD160</f>
        <v>93.959731543624144</v>
      </c>
      <c r="GG160" s="362">
        <f>GD160/GE160</f>
        <v>1.4900000000000002</v>
      </c>
      <c r="GI160" s="379">
        <f t="shared" si="2848"/>
        <v>558</v>
      </c>
      <c r="GJ160" s="369">
        <f t="shared" si="2848"/>
        <v>8.7799999999999994</v>
      </c>
      <c r="GK160" s="371">
        <f t="shared" si="2848"/>
        <v>5</v>
      </c>
      <c r="GL160" s="369">
        <f t="shared" si="3003"/>
        <v>63.553530751708436</v>
      </c>
      <c r="GM160" s="370">
        <f t="shared" si="3004"/>
        <v>1.7559999999999998</v>
      </c>
      <c r="GO160" s="379">
        <f t="shared" si="2851"/>
        <v>800</v>
      </c>
      <c r="GP160" s="369">
        <f t="shared" si="2851"/>
        <v>9.84</v>
      </c>
      <c r="GQ160" s="371">
        <f t="shared" si="2851"/>
        <v>5</v>
      </c>
      <c r="GR160" s="369">
        <f t="shared" si="3005"/>
        <v>81.300813008130078</v>
      </c>
      <c r="GS160" s="370">
        <f t="shared" si="3006"/>
        <v>1.968</v>
      </c>
      <c r="GU160" s="379">
        <f t="shared" si="2854"/>
        <v>580</v>
      </c>
      <c r="GV160" s="369">
        <f t="shared" si="2854"/>
        <v>1.65</v>
      </c>
      <c r="GW160" s="371">
        <f t="shared" si="2854"/>
        <v>5</v>
      </c>
      <c r="GX160" s="369">
        <f t="shared" si="3007"/>
        <v>351.51515151515156</v>
      </c>
      <c r="GY160" s="370">
        <f t="shared" si="3008"/>
        <v>0.32999999999999996</v>
      </c>
      <c r="HA160" s="91">
        <f t="shared" si="2857"/>
        <v>520</v>
      </c>
      <c r="HB160" s="82">
        <f t="shared" si="2857"/>
        <v>2.57</v>
      </c>
      <c r="HC160" s="371">
        <f t="shared" si="2857"/>
        <v>5</v>
      </c>
      <c r="HD160" s="369">
        <f t="shared" si="3009"/>
        <v>202.33463035019457</v>
      </c>
      <c r="HE160" s="370">
        <f t="shared" si="3010"/>
        <v>0.51400000000000001</v>
      </c>
      <c r="HG160" s="91">
        <f t="shared" si="2860"/>
        <v>550</v>
      </c>
      <c r="HH160" s="82">
        <f t="shared" si="2860"/>
        <v>1.78</v>
      </c>
      <c r="HI160" s="79">
        <f t="shared" si="2860"/>
        <v>5</v>
      </c>
      <c r="HJ160" s="82">
        <f t="shared" si="3011"/>
        <v>308.98876404494382</v>
      </c>
      <c r="HK160" s="84">
        <f t="shared" si="3012"/>
        <v>0.35599999999999998</v>
      </c>
      <c r="HM160" s="91">
        <f t="shared" si="2863"/>
        <v>430</v>
      </c>
      <c r="HN160" s="82">
        <f t="shared" si="2863"/>
        <v>2.1100000000000003</v>
      </c>
      <c r="HO160" s="371">
        <f t="shared" si="2863"/>
        <v>5</v>
      </c>
      <c r="HP160" s="369">
        <f t="shared" si="3013"/>
        <v>203.79146919431275</v>
      </c>
      <c r="HQ160" s="370">
        <f t="shared" si="3014"/>
        <v>0.42200000000000004</v>
      </c>
      <c r="HS160" s="91">
        <f t="shared" si="2864"/>
        <v>500</v>
      </c>
      <c r="HT160" s="82">
        <f t="shared" si="2864"/>
        <v>2.14</v>
      </c>
      <c r="HU160" s="371">
        <f t="shared" si="2864"/>
        <v>4</v>
      </c>
      <c r="HV160" s="369">
        <f t="shared" si="3015"/>
        <v>233.64485981308411</v>
      </c>
      <c r="HW160" s="370">
        <f t="shared" si="3016"/>
        <v>0.53500000000000003</v>
      </c>
      <c r="HX160" s="178"/>
      <c r="HY160" s="91">
        <f t="shared" si="2865"/>
        <v>500</v>
      </c>
      <c r="HZ160" s="82">
        <f t="shared" si="2865"/>
        <v>9.8000000000000007</v>
      </c>
      <c r="IA160" s="371">
        <f t="shared" si="2865"/>
        <v>5</v>
      </c>
      <c r="IB160" s="369">
        <f t="shared" si="3017"/>
        <v>51.020408163265301</v>
      </c>
      <c r="IC160" s="370">
        <f t="shared" si="3018"/>
        <v>1.9600000000000002</v>
      </c>
      <c r="IE160" s="91">
        <f t="shared" si="2866"/>
        <v>500</v>
      </c>
      <c r="IF160" s="82">
        <f t="shared" si="2866"/>
        <v>1.62</v>
      </c>
      <c r="IG160" s="79">
        <f t="shared" si="2866"/>
        <v>5</v>
      </c>
      <c r="IH160" s="82">
        <f t="shared" si="3019"/>
        <v>308.64197530864197</v>
      </c>
      <c r="II160" s="84">
        <f t="shared" si="3020"/>
        <v>0.32400000000000001</v>
      </c>
      <c r="IK160" s="91">
        <f t="shared" si="2869"/>
        <v>500</v>
      </c>
      <c r="IL160" s="82">
        <f t="shared" si="2869"/>
        <v>12.25</v>
      </c>
      <c r="IM160" s="79">
        <f t="shared" si="2869"/>
        <v>5</v>
      </c>
      <c r="IN160" s="82">
        <f t="shared" si="3021"/>
        <v>40.816326530612244</v>
      </c>
      <c r="IO160" s="84">
        <f t="shared" si="3022"/>
        <v>2.4500000000000002</v>
      </c>
      <c r="IQ160" s="91">
        <f t="shared" si="2872"/>
        <v>500</v>
      </c>
      <c r="IR160" s="82">
        <f t="shared" si="2872"/>
        <v>2.71</v>
      </c>
      <c r="IS160" s="79">
        <f t="shared" si="2872"/>
        <v>5</v>
      </c>
      <c r="IT160" s="82">
        <f t="shared" si="3023"/>
        <v>184.50184501845018</v>
      </c>
      <c r="IU160" s="84">
        <f t="shared" si="3024"/>
        <v>0.54200000000000004</v>
      </c>
      <c r="IW160" s="91">
        <f t="shared" si="2875"/>
        <v>500</v>
      </c>
      <c r="IX160" s="82">
        <f t="shared" si="2875"/>
        <v>2.12</v>
      </c>
      <c r="IY160" s="79">
        <f t="shared" si="2875"/>
        <v>5</v>
      </c>
      <c r="IZ160" s="82">
        <f t="shared" si="3025"/>
        <v>235.84905660377356</v>
      </c>
      <c r="JA160" s="84">
        <f t="shared" si="3026"/>
        <v>0.42400000000000004</v>
      </c>
      <c r="JC160" s="91">
        <f t="shared" si="2878"/>
        <v>300</v>
      </c>
      <c r="JD160" s="82">
        <f t="shared" si="2878"/>
        <v>2.2500000000000004</v>
      </c>
      <c r="JE160" s="79">
        <f t="shared" si="2878"/>
        <v>5</v>
      </c>
      <c r="JF160" s="82">
        <f t="shared" si="3027"/>
        <v>133.33333333333331</v>
      </c>
      <c r="JG160" s="84">
        <f t="shared" si="3028"/>
        <v>0.45000000000000007</v>
      </c>
      <c r="JI160" s="91">
        <f t="shared" si="2881"/>
        <v>500</v>
      </c>
      <c r="JJ160" s="82">
        <f t="shared" si="2881"/>
        <v>1.47</v>
      </c>
      <c r="JK160" s="79">
        <f t="shared" si="2881"/>
        <v>5</v>
      </c>
      <c r="JL160" s="82">
        <f t="shared" si="3029"/>
        <v>340.13605442176873</v>
      </c>
      <c r="JM160" s="84">
        <f t="shared" si="3030"/>
        <v>0.29399999999999998</v>
      </c>
      <c r="JO160" s="91">
        <f t="shared" si="2884"/>
        <v>350</v>
      </c>
      <c r="JP160" s="82">
        <f t="shared" si="2884"/>
        <v>2.9800000000000004</v>
      </c>
      <c r="JQ160" s="79">
        <f t="shared" si="2884"/>
        <v>5</v>
      </c>
      <c r="JR160" s="82">
        <f t="shared" si="3031"/>
        <v>117.44966442953019</v>
      </c>
      <c r="JS160" s="84">
        <f t="shared" si="3032"/>
        <v>0.59600000000000009</v>
      </c>
      <c r="JU160" s="383">
        <f t="shared" si="2600"/>
        <v>350</v>
      </c>
      <c r="JV160" s="82">
        <f t="shared" si="2600"/>
        <v>2.4</v>
      </c>
      <c r="JW160" s="748">
        <f t="shared" si="2600"/>
        <v>5</v>
      </c>
      <c r="JX160" s="369">
        <f t="shared" si="3033"/>
        <v>145.83333333333334</v>
      </c>
      <c r="JY160" s="84">
        <f t="shared" si="3034"/>
        <v>0.48</v>
      </c>
      <c r="KA160" s="383">
        <f t="shared" si="2601"/>
        <v>750</v>
      </c>
      <c r="KB160" s="82">
        <f t="shared" si="2601"/>
        <v>1.94</v>
      </c>
      <c r="KC160" s="748">
        <f t="shared" si="2601"/>
        <v>5</v>
      </c>
      <c r="KD160" s="369">
        <f t="shared" si="3035"/>
        <v>386.59793814432993</v>
      </c>
      <c r="KE160" s="84">
        <f t="shared" si="3036"/>
        <v>0.38800000000000001</v>
      </c>
      <c r="KG160" s="383">
        <f t="shared" ref="KG160:KI160" si="3091">SUM(KG122)</f>
        <v>1300</v>
      </c>
      <c r="KH160" s="82">
        <f t="shared" si="3091"/>
        <v>4.9800000000000004</v>
      </c>
      <c r="KI160" s="748">
        <f t="shared" si="3091"/>
        <v>5</v>
      </c>
      <c r="KJ160" s="369">
        <f t="shared" si="3038"/>
        <v>261.04417670682727</v>
      </c>
      <c r="KK160" s="84">
        <f t="shared" si="3039"/>
        <v>0.99600000000000011</v>
      </c>
      <c r="KM160" s="383">
        <f t="shared" ref="KM160:KO160" si="3092">SUM(KM122)</f>
        <v>750</v>
      </c>
      <c r="KN160" s="82">
        <f t="shared" si="3092"/>
        <v>2.3099999999999996</v>
      </c>
      <c r="KO160" s="748">
        <f t="shared" si="3092"/>
        <v>5</v>
      </c>
      <c r="KP160" s="369">
        <f t="shared" si="3041"/>
        <v>324.6753246753247</v>
      </c>
      <c r="KQ160" s="84">
        <f t="shared" si="3042"/>
        <v>0.46199999999999991</v>
      </c>
      <c r="KS160" s="383">
        <f t="shared" ref="KS160:KU160" si="3093">SUM(KS122)</f>
        <v>330</v>
      </c>
      <c r="KT160" s="82">
        <f t="shared" si="3093"/>
        <v>1.64</v>
      </c>
      <c r="KU160" s="748">
        <f t="shared" si="3093"/>
        <v>5</v>
      </c>
      <c r="KV160" s="369">
        <f t="shared" si="3044"/>
        <v>201.21951219512195</v>
      </c>
      <c r="KW160" s="84">
        <f t="shared" si="3045"/>
        <v>0.32799999999999996</v>
      </c>
      <c r="KY160" s="383">
        <f t="shared" ref="KY160:LA160" si="3094">SUM(KY122)</f>
        <v>0</v>
      </c>
      <c r="KZ160" s="82">
        <f t="shared" si="3094"/>
        <v>0</v>
      </c>
      <c r="LA160" s="748">
        <f t="shared" si="3094"/>
        <v>0</v>
      </c>
      <c r="LB160" s="369" t="e">
        <f t="shared" si="3047"/>
        <v>#DIV/0!</v>
      </c>
      <c r="LC160" s="84" t="e">
        <f t="shared" si="3048"/>
        <v>#DIV/0!</v>
      </c>
      <c r="LE160" s="383">
        <f t="shared" ref="LE160:LG160" si="3095">SUM(LE122)</f>
        <v>850</v>
      </c>
      <c r="LF160" s="82">
        <f t="shared" si="3095"/>
        <v>1.08</v>
      </c>
      <c r="LG160" s="748">
        <f t="shared" si="3095"/>
        <v>4</v>
      </c>
      <c r="LH160" s="369">
        <f t="shared" si="3050"/>
        <v>787.03703703703695</v>
      </c>
      <c r="LI160" s="84">
        <f t="shared" si="3051"/>
        <v>0.27</v>
      </c>
      <c r="LK160" s="383">
        <f t="shared" ref="LK160:LM160" si="3096">SUM(LK122)</f>
        <v>500</v>
      </c>
      <c r="LL160" s="82">
        <f t="shared" si="3096"/>
        <v>1.87</v>
      </c>
      <c r="LM160" s="748">
        <f t="shared" si="3096"/>
        <v>5</v>
      </c>
      <c r="LN160" s="369">
        <f t="shared" si="3053"/>
        <v>267.37967914438502</v>
      </c>
      <c r="LO160" s="84">
        <f t="shared" si="3054"/>
        <v>0.374</v>
      </c>
      <c r="LQ160" s="383">
        <f t="shared" ref="LQ160:LS160" si="3097">SUM(LQ122)</f>
        <v>330</v>
      </c>
      <c r="LR160" s="82">
        <f t="shared" si="3097"/>
        <v>5.0100000000000007</v>
      </c>
      <c r="LS160" s="748">
        <f t="shared" si="3097"/>
        <v>5</v>
      </c>
      <c r="LT160" s="369">
        <f t="shared" si="3056"/>
        <v>65.868263473053887</v>
      </c>
      <c r="LU160" s="84">
        <f t="shared" si="3057"/>
        <v>1.0020000000000002</v>
      </c>
      <c r="LW160" s="383">
        <f t="shared" ref="LW160:LY160" si="3098">SUM(LW122)</f>
        <v>700</v>
      </c>
      <c r="LX160" s="82">
        <f t="shared" si="3098"/>
        <v>7.35</v>
      </c>
      <c r="LY160" s="748">
        <f t="shared" si="3098"/>
        <v>5</v>
      </c>
      <c r="LZ160" s="369">
        <f t="shared" si="3059"/>
        <v>95.238095238095241</v>
      </c>
      <c r="MA160" s="84">
        <f t="shared" si="3060"/>
        <v>1.47</v>
      </c>
      <c r="MC160" s="383">
        <f t="shared" ref="MC160:ME160" si="3099">SUM(MC122)</f>
        <v>290</v>
      </c>
      <c r="MD160" s="82">
        <f t="shared" si="3099"/>
        <v>2.4</v>
      </c>
      <c r="ME160" s="748">
        <f t="shared" si="3099"/>
        <v>5</v>
      </c>
      <c r="MF160" s="369">
        <f t="shared" si="3062"/>
        <v>120.83333333333334</v>
      </c>
      <c r="MG160" s="84">
        <f t="shared" si="3063"/>
        <v>0.48</v>
      </c>
      <c r="MI160" s="383">
        <f t="shared" ref="MI160:MK160" si="3100">SUM(MI122)</f>
        <v>500</v>
      </c>
      <c r="MJ160" s="82">
        <f t="shared" si="3100"/>
        <v>2.36</v>
      </c>
      <c r="MK160" s="748">
        <f t="shared" si="3100"/>
        <v>5</v>
      </c>
      <c r="ML160" s="369">
        <f t="shared" si="3065"/>
        <v>211.86440677966104</v>
      </c>
      <c r="MM160" s="84">
        <f t="shared" si="3066"/>
        <v>0.47199999999999998</v>
      </c>
      <c r="MO160" s="383">
        <f t="shared" ref="MO160:MQ160" si="3101">SUM(MO122)</f>
        <v>0</v>
      </c>
      <c r="MP160" s="82">
        <f t="shared" si="3101"/>
        <v>0</v>
      </c>
      <c r="MQ160" s="748">
        <f t="shared" si="3101"/>
        <v>0</v>
      </c>
      <c r="MR160" s="369" t="e">
        <f t="shared" si="3068"/>
        <v>#DIV/0!</v>
      </c>
      <c r="MS160" s="84" t="e">
        <f t="shared" si="3069"/>
        <v>#DIV/0!</v>
      </c>
      <c r="MU160" s="383">
        <f t="shared" ref="MU160:MW160" si="3102">SUM(MU122)</f>
        <v>0</v>
      </c>
      <c r="MV160" s="82">
        <f t="shared" si="3102"/>
        <v>0</v>
      </c>
      <c r="MW160" s="748">
        <f t="shared" si="3102"/>
        <v>0</v>
      </c>
      <c r="MX160" s="369" t="e">
        <f t="shared" si="3071"/>
        <v>#DIV/0!</v>
      </c>
      <c r="MY160" s="84" t="e">
        <f t="shared" si="3072"/>
        <v>#DIV/0!</v>
      </c>
      <c r="NA160" s="383">
        <f t="shared" ref="NA160:NC160" si="3103">SUM(NA122)</f>
        <v>650</v>
      </c>
      <c r="NB160" s="748">
        <f t="shared" si="3103"/>
        <v>2.2999999999999998</v>
      </c>
      <c r="NC160" s="748">
        <f t="shared" si="3103"/>
        <v>5</v>
      </c>
      <c r="ND160" s="369">
        <f t="shared" si="3074"/>
        <v>282.60869565217394</v>
      </c>
      <c r="NE160" s="84">
        <f t="shared" si="3075"/>
        <v>0.45999999999999996</v>
      </c>
      <c r="NG160" s="383">
        <f t="shared" ref="NG160:NI160" si="3104">SUM(NG122)</f>
        <v>700</v>
      </c>
      <c r="NH160" s="82">
        <f t="shared" si="3104"/>
        <v>2.5300000000000002</v>
      </c>
      <c r="NI160" s="748">
        <f t="shared" si="3104"/>
        <v>5</v>
      </c>
      <c r="NJ160" s="369">
        <f t="shared" si="3077"/>
        <v>276.67984189723319</v>
      </c>
      <c r="NK160" s="84">
        <f t="shared" si="3078"/>
        <v>0.50600000000000001</v>
      </c>
      <c r="NM160" s="383">
        <f t="shared" ref="NM160:NO160" si="3105">SUM(NM122)</f>
        <v>700</v>
      </c>
      <c r="NN160" s="82">
        <f t="shared" si="3105"/>
        <v>1.2800000000000002</v>
      </c>
      <c r="NO160" s="748">
        <f t="shared" si="3105"/>
        <v>5</v>
      </c>
      <c r="NP160" s="369">
        <f t="shared" si="3080"/>
        <v>546.87499999999989</v>
      </c>
      <c r="NQ160" s="84">
        <f t="shared" si="3081"/>
        <v>0.25600000000000006</v>
      </c>
      <c r="NS160" s="383">
        <f t="shared" ref="NS160:NU160" si="3106">SUM(NS122)</f>
        <v>170</v>
      </c>
      <c r="NT160" s="82">
        <f t="shared" si="3106"/>
        <v>0.78</v>
      </c>
      <c r="NU160" s="748">
        <f t="shared" si="3106"/>
        <v>5</v>
      </c>
      <c r="NV160" s="369">
        <f t="shared" si="3083"/>
        <v>217.94871794871793</v>
      </c>
      <c r="NW160" s="84">
        <f t="shared" si="3084"/>
        <v>0.156</v>
      </c>
      <c r="NY160" s="383">
        <f t="shared" ref="NY160:OA160" si="3107">SUM(NY122)</f>
        <v>550</v>
      </c>
      <c r="NZ160" s="82">
        <f t="shared" si="3107"/>
        <v>2.2800000000000002</v>
      </c>
      <c r="OA160" s="748">
        <f t="shared" si="3107"/>
        <v>5</v>
      </c>
      <c r="OB160" s="369">
        <f t="shared" si="3086"/>
        <v>241.22807017543857</v>
      </c>
      <c r="OC160" s="84">
        <f t="shared" si="3087"/>
        <v>0.45600000000000007</v>
      </c>
      <c r="OE160" s="383">
        <f t="shared" ref="OE160:OG160" si="3108">SUM(OE122)</f>
        <v>300</v>
      </c>
      <c r="OF160" s="82">
        <f t="shared" si="3108"/>
        <v>1.6400000000000001</v>
      </c>
      <c r="OG160" s="748">
        <f t="shared" si="3108"/>
        <v>5</v>
      </c>
      <c r="OH160" s="369">
        <f t="shared" si="3089"/>
        <v>182.92682926829266</v>
      </c>
      <c r="OI160" s="84">
        <f t="shared" si="3090"/>
        <v>0.32800000000000001</v>
      </c>
    </row>
    <row r="161" spans="1:399">
      <c r="A161" s="69"/>
      <c r="B161" s="71" t="s">
        <v>39</v>
      </c>
      <c r="C161" s="60"/>
      <c r="D161" s="58" t="s">
        <v>14</v>
      </c>
      <c r="E161" s="79">
        <f t="shared" si="2757"/>
        <v>1950</v>
      </c>
      <c r="F161" s="82">
        <f t="shared" si="2757"/>
        <v>9.36</v>
      </c>
      <c r="G161" s="79">
        <f t="shared" si="2757"/>
        <v>5</v>
      </c>
      <c r="H161" s="82">
        <f t="shared" si="2923"/>
        <v>208.33333333333334</v>
      </c>
      <c r="I161" s="84">
        <f t="shared" si="2924"/>
        <v>1.8719999999999999</v>
      </c>
      <c r="J161" s="589"/>
      <c r="K161" s="79">
        <f t="shared" si="2760"/>
        <v>0</v>
      </c>
      <c r="L161" s="82">
        <f t="shared" si="2760"/>
        <v>0</v>
      </c>
      <c r="M161" s="79">
        <f t="shared" si="2760"/>
        <v>0</v>
      </c>
      <c r="N161" s="82" t="e">
        <f t="shared" si="2925"/>
        <v>#DIV/0!</v>
      </c>
      <c r="O161" s="84" t="e">
        <f t="shared" si="2926"/>
        <v>#DIV/0!</v>
      </c>
      <c r="P161" s="589"/>
      <c r="Q161" s="79">
        <f t="shared" si="2763"/>
        <v>1900</v>
      </c>
      <c r="R161" s="82">
        <f t="shared" si="2763"/>
        <v>23.55</v>
      </c>
      <c r="S161" s="79">
        <f t="shared" si="2763"/>
        <v>5</v>
      </c>
      <c r="T161" s="82">
        <f t="shared" si="2927"/>
        <v>80.679405520169851</v>
      </c>
      <c r="U161" s="84">
        <f t="shared" si="2928"/>
        <v>4.71</v>
      </c>
      <c r="V161" s="589"/>
      <c r="W161" s="79">
        <f t="shared" si="2766"/>
        <v>0</v>
      </c>
      <c r="X161" s="82">
        <f t="shared" si="2766"/>
        <v>0</v>
      </c>
      <c r="Y161" s="79">
        <f t="shared" si="2766"/>
        <v>0</v>
      </c>
      <c r="Z161" s="82" t="e">
        <f t="shared" si="2929"/>
        <v>#DIV/0!</v>
      </c>
      <c r="AA161" s="84" t="e">
        <f t="shared" si="2930"/>
        <v>#DIV/0!</v>
      </c>
      <c r="AB161" s="589"/>
      <c r="AC161" s="79">
        <f t="shared" si="2769"/>
        <v>2050</v>
      </c>
      <c r="AD161" s="82">
        <f t="shared" si="2769"/>
        <v>12.399999999999999</v>
      </c>
      <c r="AE161" s="79">
        <f t="shared" si="2769"/>
        <v>5</v>
      </c>
      <c r="AF161" s="82">
        <f t="shared" si="2931"/>
        <v>165.32258064516131</v>
      </c>
      <c r="AG161" s="84">
        <f t="shared" si="2932"/>
        <v>2.4799999999999995</v>
      </c>
      <c r="AH161" s="589"/>
      <c r="AI161" s="79">
        <f t="shared" si="2772"/>
        <v>2000</v>
      </c>
      <c r="AJ161" s="82">
        <f t="shared" si="2772"/>
        <v>12.34</v>
      </c>
      <c r="AK161" s="79">
        <f t="shared" si="2772"/>
        <v>5</v>
      </c>
      <c r="AL161" s="82">
        <f t="shared" si="2933"/>
        <v>162.07455429497568</v>
      </c>
      <c r="AM161" s="84">
        <f t="shared" si="2934"/>
        <v>2.468</v>
      </c>
      <c r="AN161" s="589"/>
      <c r="AO161" s="79">
        <f t="shared" si="2775"/>
        <v>0</v>
      </c>
      <c r="AP161" s="82">
        <f t="shared" si="2775"/>
        <v>0</v>
      </c>
      <c r="AQ161" s="79">
        <f t="shared" si="2775"/>
        <v>0</v>
      </c>
      <c r="AR161" s="82" t="e">
        <f t="shared" si="2935"/>
        <v>#DIV/0!</v>
      </c>
      <c r="AS161" s="84" t="e">
        <f t="shared" si="2936"/>
        <v>#DIV/0!</v>
      </c>
      <c r="AT161" s="589"/>
      <c r="AU161" s="79">
        <f t="shared" si="2778"/>
        <v>1600</v>
      </c>
      <c r="AV161" s="82">
        <f t="shared" si="2778"/>
        <v>18.25</v>
      </c>
      <c r="AW161" s="79">
        <f t="shared" si="2778"/>
        <v>5</v>
      </c>
      <c r="AX161" s="82">
        <f t="shared" si="2937"/>
        <v>87.671232876712324</v>
      </c>
      <c r="AY161" s="84">
        <f t="shared" si="2938"/>
        <v>3.65</v>
      </c>
      <c r="AZ161" s="84"/>
      <c r="BA161" s="79">
        <f t="shared" si="2781"/>
        <v>1700</v>
      </c>
      <c r="BB161" s="82">
        <f t="shared" si="2781"/>
        <v>9.4499999999999993</v>
      </c>
      <c r="BC161" s="79">
        <f t="shared" si="2781"/>
        <v>4</v>
      </c>
      <c r="BD161" s="82">
        <f t="shared" si="2939"/>
        <v>179.8941798941799</v>
      </c>
      <c r="BE161" s="84">
        <f t="shared" si="2940"/>
        <v>2.3624999999999998</v>
      </c>
      <c r="BF161" s="84"/>
      <c r="BG161" s="79">
        <f t="shared" si="2784"/>
        <v>0</v>
      </c>
      <c r="BH161" s="82">
        <f t="shared" si="2784"/>
        <v>0</v>
      </c>
      <c r="BI161" s="79">
        <f t="shared" si="2784"/>
        <v>0</v>
      </c>
      <c r="BJ161" s="82" t="e">
        <f t="shared" si="2941"/>
        <v>#DIV/0!</v>
      </c>
      <c r="BK161" s="84" t="e">
        <f t="shared" si="2942"/>
        <v>#DIV/0!</v>
      </c>
      <c r="BL161" s="84"/>
      <c r="BM161" s="79">
        <f t="shared" si="2787"/>
        <v>0</v>
      </c>
      <c r="BN161" s="82">
        <f t="shared" si="2787"/>
        <v>0</v>
      </c>
      <c r="BO161" s="79">
        <f t="shared" si="2787"/>
        <v>0</v>
      </c>
      <c r="BP161" s="82" t="e">
        <f t="shared" si="2943"/>
        <v>#DIV/0!</v>
      </c>
      <c r="BQ161" s="84" t="e">
        <f t="shared" si="2944"/>
        <v>#DIV/0!</v>
      </c>
      <c r="BR161" s="589"/>
      <c r="BS161" s="79">
        <f t="shared" si="2790"/>
        <v>0</v>
      </c>
      <c r="BT161" s="82">
        <f t="shared" si="2790"/>
        <v>0</v>
      </c>
      <c r="BU161" s="79">
        <f t="shared" si="2790"/>
        <v>0</v>
      </c>
      <c r="BV161" s="82" t="e">
        <f t="shared" si="2945"/>
        <v>#DIV/0!</v>
      </c>
      <c r="BW161" s="84" t="e">
        <f t="shared" si="2946"/>
        <v>#DIV/0!</v>
      </c>
      <c r="BX161" s="84"/>
      <c r="BY161" s="79">
        <f t="shared" si="2793"/>
        <v>1600</v>
      </c>
      <c r="BZ161" s="82">
        <f t="shared" si="2793"/>
        <v>18.25</v>
      </c>
      <c r="CA161" s="79">
        <f t="shared" si="2793"/>
        <v>5</v>
      </c>
      <c r="CB161" s="82">
        <f t="shared" si="2947"/>
        <v>87.671232876712324</v>
      </c>
      <c r="CC161" s="84">
        <f t="shared" si="2948"/>
        <v>3.65</v>
      </c>
      <c r="CD161" s="84"/>
      <c r="CE161" s="79">
        <f t="shared" si="2796"/>
        <v>0</v>
      </c>
      <c r="CF161" s="82">
        <f t="shared" si="2796"/>
        <v>0</v>
      </c>
      <c r="CG161" s="79">
        <f t="shared" si="2796"/>
        <v>0</v>
      </c>
      <c r="CH161" s="82" t="e">
        <f t="shared" si="2949"/>
        <v>#DIV/0!</v>
      </c>
      <c r="CI161" s="84" t="e">
        <f t="shared" si="2950"/>
        <v>#DIV/0!</v>
      </c>
      <c r="CJ161" s="84"/>
      <c r="CK161" s="79">
        <f t="shared" si="2799"/>
        <v>2300</v>
      </c>
      <c r="CL161" s="82">
        <f t="shared" si="2799"/>
        <v>13.669999999999998</v>
      </c>
      <c r="CM161" s="79">
        <f t="shared" si="2799"/>
        <v>5</v>
      </c>
      <c r="CN161" s="82">
        <f t="shared" si="2951"/>
        <v>168.25164594001464</v>
      </c>
      <c r="CO161" s="84">
        <f t="shared" si="2952"/>
        <v>2.7339999999999995</v>
      </c>
      <c r="CP161" s="84"/>
      <c r="CQ161" s="79">
        <f t="shared" si="2802"/>
        <v>1300</v>
      </c>
      <c r="CR161" s="82">
        <f t="shared" si="2802"/>
        <v>10.530000000000001</v>
      </c>
      <c r="CS161" s="79">
        <f t="shared" si="2802"/>
        <v>5</v>
      </c>
      <c r="CT161" s="82">
        <f t="shared" si="2953"/>
        <v>123.45679012345677</v>
      </c>
      <c r="CU161" s="84">
        <f t="shared" si="2954"/>
        <v>2.1060000000000003</v>
      </c>
      <c r="CV161" s="84"/>
      <c r="CW161" s="79">
        <f t="shared" si="2805"/>
        <v>1600</v>
      </c>
      <c r="CX161" s="82">
        <f t="shared" si="2805"/>
        <v>18.25</v>
      </c>
      <c r="CY161" s="79">
        <f t="shared" si="2805"/>
        <v>5</v>
      </c>
      <c r="CZ161" s="82">
        <f t="shared" si="2955"/>
        <v>87.671232876712324</v>
      </c>
      <c r="DA161" s="84">
        <f t="shared" si="2956"/>
        <v>3.65</v>
      </c>
      <c r="DB161" s="84"/>
      <c r="DC161" s="79">
        <f t="shared" si="2808"/>
        <v>0</v>
      </c>
      <c r="DD161" s="82">
        <f t="shared" si="2808"/>
        <v>0</v>
      </c>
      <c r="DE161" s="79">
        <f t="shared" si="2808"/>
        <v>0</v>
      </c>
      <c r="DF161" s="82" t="e">
        <f t="shared" si="2957"/>
        <v>#DIV/0!</v>
      </c>
      <c r="DG161" s="84" t="e">
        <f t="shared" si="2958"/>
        <v>#DIV/0!</v>
      </c>
      <c r="DH161" s="84"/>
      <c r="DI161" s="79">
        <f t="shared" si="2811"/>
        <v>1000</v>
      </c>
      <c r="DJ161" s="82">
        <f t="shared" si="2811"/>
        <v>4.3000000000000007</v>
      </c>
      <c r="DK161" s="79">
        <f t="shared" si="2811"/>
        <v>5</v>
      </c>
      <c r="DL161" s="82">
        <f t="shared" si="2959"/>
        <v>232.55813953488368</v>
      </c>
      <c r="DM161" s="84">
        <f t="shared" si="2960"/>
        <v>0.8600000000000001</v>
      </c>
      <c r="DN161" s="84"/>
      <c r="DO161" s="79">
        <f t="shared" si="2814"/>
        <v>1050</v>
      </c>
      <c r="DP161" s="82">
        <f t="shared" si="2814"/>
        <v>12.86</v>
      </c>
      <c r="DQ161" s="79">
        <f t="shared" si="2814"/>
        <v>5</v>
      </c>
      <c r="DR161" s="82">
        <f t="shared" si="2961"/>
        <v>81.648522550544328</v>
      </c>
      <c r="DS161" s="84">
        <f t="shared" si="2962"/>
        <v>2.5720000000000001</v>
      </c>
      <c r="DT161" s="84"/>
      <c r="DU161" s="79">
        <f t="shared" si="2817"/>
        <v>0</v>
      </c>
      <c r="DV161" s="82">
        <f t="shared" si="2817"/>
        <v>0</v>
      </c>
      <c r="DW161" s="79">
        <f t="shared" si="2817"/>
        <v>0</v>
      </c>
      <c r="DX161" s="82" t="e">
        <f t="shared" si="2963"/>
        <v>#DIV/0!</v>
      </c>
      <c r="DY161" s="84" t="e">
        <f t="shared" si="2964"/>
        <v>#DIV/0!</v>
      </c>
      <c r="DZ161" s="84"/>
      <c r="EA161" s="79">
        <f t="shared" si="2820"/>
        <v>0</v>
      </c>
      <c r="EB161" s="82">
        <f t="shared" si="2820"/>
        <v>0</v>
      </c>
      <c r="EC161" s="79">
        <f t="shared" si="2820"/>
        <v>0</v>
      </c>
      <c r="ED161" s="82" t="e">
        <f t="shared" si="2965"/>
        <v>#DIV/0!</v>
      </c>
      <c r="EE161" s="84" t="e">
        <f t="shared" si="2966"/>
        <v>#DIV/0!</v>
      </c>
      <c r="EF161" s="84"/>
      <c r="EG161" s="79">
        <f t="shared" si="2823"/>
        <v>0</v>
      </c>
      <c r="EH161" s="82">
        <f t="shared" si="2823"/>
        <v>0</v>
      </c>
      <c r="EI161" s="79">
        <f t="shared" si="2823"/>
        <v>0</v>
      </c>
      <c r="EJ161" s="82" t="e">
        <f t="shared" si="2967"/>
        <v>#DIV/0!</v>
      </c>
      <c r="EK161" s="84" t="e">
        <f t="shared" si="2968"/>
        <v>#DIV/0!</v>
      </c>
      <c r="EL161" s="84"/>
      <c r="EM161" s="79">
        <f t="shared" si="2826"/>
        <v>0</v>
      </c>
      <c r="EN161" s="82">
        <f t="shared" si="2826"/>
        <v>0</v>
      </c>
      <c r="EO161" s="79">
        <f t="shared" si="2826"/>
        <v>0</v>
      </c>
      <c r="EP161" s="82" t="e">
        <f t="shared" si="2969"/>
        <v>#DIV/0!</v>
      </c>
      <c r="EQ161" s="84" t="e">
        <f t="shared" si="2970"/>
        <v>#DIV/0!</v>
      </c>
      <c r="ER161" s="589"/>
      <c r="ES161" s="79">
        <f t="shared" si="2829"/>
        <v>1600</v>
      </c>
      <c r="ET161" s="82">
        <f t="shared" si="2829"/>
        <v>18.25</v>
      </c>
      <c r="EU161" s="79">
        <f t="shared" si="2829"/>
        <v>5</v>
      </c>
      <c r="EV161" s="82">
        <f t="shared" si="2971"/>
        <v>87.671232876712324</v>
      </c>
      <c r="EW161" s="84">
        <f t="shared" si="2972"/>
        <v>3.65</v>
      </c>
      <c r="EY161" s="91">
        <f t="shared" si="2832"/>
        <v>2000</v>
      </c>
      <c r="EZ161" s="82">
        <f t="shared" si="2832"/>
        <v>12.34</v>
      </c>
      <c r="FA161" s="371">
        <f t="shared" si="2832"/>
        <v>5</v>
      </c>
      <c r="FB161" s="369">
        <f t="shared" si="2991"/>
        <v>162.07455429497568</v>
      </c>
      <c r="FC161" s="370">
        <f t="shared" si="2992"/>
        <v>2.468</v>
      </c>
      <c r="FD161" s="178"/>
      <c r="FE161" s="379">
        <f t="shared" si="2835"/>
        <v>1900</v>
      </c>
      <c r="FF161" s="369">
        <f t="shared" si="2835"/>
        <v>23.55</v>
      </c>
      <c r="FG161" s="371">
        <f t="shared" si="2835"/>
        <v>5</v>
      </c>
      <c r="FH161" s="369">
        <f t="shared" si="2993"/>
        <v>80.679405520169851</v>
      </c>
      <c r="FI161" s="370">
        <f t="shared" si="2994"/>
        <v>4.71</v>
      </c>
      <c r="FK161" s="91">
        <f t="shared" si="2838"/>
        <v>1700</v>
      </c>
      <c r="FL161" s="369">
        <f t="shared" si="2838"/>
        <v>8.0399999999999991</v>
      </c>
      <c r="FM161" s="371">
        <f t="shared" si="2838"/>
        <v>4</v>
      </c>
      <c r="FN161" s="369">
        <f t="shared" si="2995"/>
        <v>211.44278606965176</v>
      </c>
      <c r="FO161" s="370">
        <f t="shared" si="2996"/>
        <v>2.0099999999999998</v>
      </c>
      <c r="FQ161" s="91">
        <f t="shared" si="2839"/>
        <v>1700</v>
      </c>
      <c r="FR161" s="369">
        <f t="shared" si="2839"/>
        <v>11.22</v>
      </c>
      <c r="FS161" s="371">
        <f t="shared" si="2839"/>
        <v>5</v>
      </c>
      <c r="FT161" s="369">
        <f t="shared" si="2997"/>
        <v>151.5151515151515</v>
      </c>
      <c r="FU161" s="370">
        <f t="shared" si="2998"/>
        <v>2.2440000000000002</v>
      </c>
      <c r="FV161" s="178"/>
      <c r="FW161" s="91">
        <f t="shared" si="2842"/>
        <v>0</v>
      </c>
      <c r="FX161" s="369">
        <f t="shared" si="2842"/>
        <v>0</v>
      </c>
      <c r="FY161" s="371">
        <f t="shared" si="2842"/>
        <v>0</v>
      </c>
      <c r="FZ161" s="369" t="e">
        <f>FW161/FX161</f>
        <v>#DIV/0!</v>
      </c>
      <c r="GA161" s="370" t="e">
        <f>FX161/FY161</f>
        <v>#DIV/0!</v>
      </c>
      <c r="GC161" s="379">
        <f t="shared" si="2845"/>
        <v>2200</v>
      </c>
      <c r="GD161" s="369">
        <f t="shared" si="2845"/>
        <v>27.199999999999996</v>
      </c>
      <c r="GE161" s="371">
        <f t="shared" si="2845"/>
        <v>5</v>
      </c>
      <c r="GF161" s="369">
        <f t="shared" si="3001"/>
        <v>80.882352941176478</v>
      </c>
      <c r="GG161" s="370">
        <f t="shared" si="3002"/>
        <v>5.4399999999999995</v>
      </c>
      <c r="GI161" s="379">
        <f t="shared" si="2848"/>
        <v>1500</v>
      </c>
      <c r="GJ161" s="369">
        <f t="shared" si="2848"/>
        <v>14.24</v>
      </c>
      <c r="GK161" s="371">
        <f t="shared" si="2848"/>
        <v>5</v>
      </c>
      <c r="GL161" s="369">
        <f t="shared" si="3003"/>
        <v>105.33707865168539</v>
      </c>
      <c r="GM161" s="370">
        <f t="shared" si="3004"/>
        <v>2.8479999999999999</v>
      </c>
      <c r="GO161" s="379">
        <f t="shared" si="2851"/>
        <v>2400</v>
      </c>
      <c r="GP161" s="369">
        <f t="shared" si="2851"/>
        <v>17.66</v>
      </c>
      <c r="GQ161" s="371">
        <f t="shared" si="2851"/>
        <v>5</v>
      </c>
      <c r="GR161" s="369">
        <f t="shared" si="3005"/>
        <v>135.90033975084938</v>
      </c>
      <c r="GS161" s="370">
        <f t="shared" si="3006"/>
        <v>3.532</v>
      </c>
      <c r="GU161" s="379">
        <f t="shared" si="2854"/>
        <v>1200</v>
      </c>
      <c r="GV161" s="369">
        <f t="shared" si="2854"/>
        <v>14.43</v>
      </c>
      <c r="GW161" s="371">
        <f t="shared" si="2854"/>
        <v>5</v>
      </c>
      <c r="GX161" s="369">
        <f t="shared" si="3007"/>
        <v>83.160083160083161</v>
      </c>
      <c r="GY161" s="370">
        <f t="shared" si="3008"/>
        <v>2.8860000000000001</v>
      </c>
      <c r="HA161" s="91">
        <f t="shared" si="2857"/>
        <v>1550</v>
      </c>
      <c r="HB161" s="82">
        <f t="shared" si="2857"/>
        <v>17.78</v>
      </c>
      <c r="HC161" s="371">
        <f t="shared" si="2857"/>
        <v>5</v>
      </c>
      <c r="HD161" s="369">
        <f t="shared" si="3009"/>
        <v>87.176602924634409</v>
      </c>
      <c r="HE161" s="370">
        <f t="shared" si="3010"/>
        <v>3.556</v>
      </c>
      <c r="HG161" s="91">
        <f t="shared" si="2860"/>
        <v>1050</v>
      </c>
      <c r="HH161" s="82">
        <f t="shared" si="2860"/>
        <v>12.86</v>
      </c>
      <c r="HI161" s="79">
        <f t="shared" si="2860"/>
        <v>5</v>
      </c>
      <c r="HJ161" s="82">
        <f t="shared" si="3011"/>
        <v>81.648522550544328</v>
      </c>
      <c r="HK161" s="84">
        <f t="shared" si="3012"/>
        <v>2.5720000000000001</v>
      </c>
      <c r="HM161" s="91">
        <f t="shared" si="2863"/>
        <v>1050</v>
      </c>
      <c r="HN161" s="82">
        <f t="shared" si="2863"/>
        <v>9.36</v>
      </c>
      <c r="HO161" s="371">
        <f t="shared" si="2863"/>
        <v>5</v>
      </c>
      <c r="HP161" s="369">
        <f t="shared" si="3013"/>
        <v>112.17948717948718</v>
      </c>
      <c r="HQ161" s="370">
        <f t="shared" si="3014"/>
        <v>1.8719999999999999</v>
      </c>
      <c r="HS161" s="91">
        <f t="shared" si="2864"/>
        <v>0</v>
      </c>
      <c r="HT161" s="82">
        <f t="shared" si="2864"/>
        <v>0</v>
      </c>
      <c r="HU161" s="371">
        <f t="shared" si="2864"/>
        <v>0</v>
      </c>
      <c r="HV161" s="361" t="e">
        <f>HS161/HT161</f>
        <v>#DIV/0!</v>
      </c>
      <c r="HW161" s="362" t="e">
        <f>HT161/HU161</f>
        <v>#DIV/0!</v>
      </c>
      <c r="HX161" s="178"/>
      <c r="HY161" s="91">
        <f t="shared" si="2865"/>
        <v>0</v>
      </c>
      <c r="HZ161" s="82">
        <f t="shared" si="2865"/>
        <v>0</v>
      </c>
      <c r="IA161" s="371">
        <f t="shared" si="2865"/>
        <v>0</v>
      </c>
      <c r="IB161" s="361" t="e">
        <f>HY161/HZ161</f>
        <v>#DIV/0!</v>
      </c>
      <c r="IC161" s="362" t="e">
        <f>HZ161/IA161</f>
        <v>#DIV/0!</v>
      </c>
      <c r="IE161" s="91">
        <f t="shared" si="2866"/>
        <v>2500</v>
      </c>
      <c r="IF161" s="82">
        <f t="shared" si="2866"/>
        <v>17.41</v>
      </c>
      <c r="IG161" s="79">
        <f t="shared" si="2866"/>
        <v>5</v>
      </c>
      <c r="IH161" s="82">
        <f t="shared" si="3019"/>
        <v>143.59563469270535</v>
      </c>
      <c r="II161" s="84">
        <f t="shared" si="3020"/>
        <v>3.4820000000000002</v>
      </c>
      <c r="IK161" s="91">
        <f t="shared" si="2869"/>
        <v>2500</v>
      </c>
      <c r="IL161" s="82">
        <f t="shared" si="2869"/>
        <v>8.31</v>
      </c>
      <c r="IM161" s="79">
        <f t="shared" si="2869"/>
        <v>5</v>
      </c>
      <c r="IN161" s="82">
        <f t="shared" si="3021"/>
        <v>300.84235860409143</v>
      </c>
      <c r="IO161" s="84">
        <f t="shared" si="3022"/>
        <v>1.6620000000000001</v>
      </c>
      <c r="IQ161" s="91">
        <f t="shared" si="2872"/>
        <v>900</v>
      </c>
      <c r="IR161" s="82">
        <f t="shared" si="2872"/>
        <v>7.73</v>
      </c>
      <c r="IS161" s="79">
        <f t="shared" si="2872"/>
        <v>4</v>
      </c>
      <c r="IT161" s="82">
        <f t="shared" si="3023"/>
        <v>116.42949547218628</v>
      </c>
      <c r="IU161" s="84">
        <f t="shared" si="3024"/>
        <v>1.9325000000000001</v>
      </c>
      <c r="IW161" s="91">
        <f t="shared" si="2875"/>
        <v>1000</v>
      </c>
      <c r="IX161" s="82">
        <f t="shared" si="2875"/>
        <v>7.9399999999999995</v>
      </c>
      <c r="IY161" s="79">
        <f t="shared" si="2875"/>
        <v>5</v>
      </c>
      <c r="IZ161" s="82">
        <f t="shared" si="3025"/>
        <v>125.94458438287154</v>
      </c>
      <c r="JA161" s="84">
        <f t="shared" si="3026"/>
        <v>1.5879999999999999</v>
      </c>
      <c r="JC161" s="91">
        <f t="shared" si="2878"/>
        <v>1700</v>
      </c>
      <c r="JD161" s="82">
        <f t="shared" si="2878"/>
        <v>16.689999999999998</v>
      </c>
      <c r="JE161" s="79">
        <f t="shared" si="2878"/>
        <v>5</v>
      </c>
      <c r="JF161" s="82">
        <f t="shared" si="3027"/>
        <v>101.8573996405033</v>
      </c>
      <c r="JG161" s="84">
        <f t="shared" si="3028"/>
        <v>3.3379999999999996</v>
      </c>
      <c r="JI161" s="91">
        <f t="shared" si="2881"/>
        <v>1550</v>
      </c>
      <c r="JJ161" s="82">
        <f t="shared" si="2881"/>
        <v>18.45</v>
      </c>
      <c r="JK161" s="79">
        <f t="shared" si="2881"/>
        <v>5</v>
      </c>
      <c r="JL161" s="82">
        <f t="shared" si="3029"/>
        <v>84.010840108401084</v>
      </c>
      <c r="JM161" s="84">
        <f t="shared" si="3030"/>
        <v>3.69</v>
      </c>
      <c r="JO161" s="91">
        <f t="shared" si="2884"/>
        <v>1250</v>
      </c>
      <c r="JP161" s="82">
        <f t="shared" si="2884"/>
        <v>9.6800000000000015</v>
      </c>
      <c r="JQ161" s="79">
        <f t="shared" si="2884"/>
        <v>5</v>
      </c>
      <c r="JR161" s="82">
        <f t="shared" si="3031"/>
        <v>129.13223140495865</v>
      </c>
      <c r="JS161" s="84">
        <f t="shared" si="3032"/>
        <v>1.9360000000000004</v>
      </c>
      <c r="JU161" s="383">
        <f t="shared" si="2600"/>
        <v>0</v>
      </c>
      <c r="JV161" s="82">
        <f t="shared" si="2600"/>
        <v>0</v>
      </c>
      <c r="JW161" s="748">
        <f t="shared" si="2600"/>
        <v>0</v>
      </c>
      <c r="JX161" s="369" t="e">
        <f t="shared" si="3033"/>
        <v>#DIV/0!</v>
      </c>
      <c r="JY161" s="84" t="e">
        <f t="shared" si="3034"/>
        <v>#DIV/0!</v>
      </c>
      <c r="KA161" s="383">
        <f t="shared" si="2601"/>
        <v>1000</v>
      </c>
      <c r="KB161" s="82">
        <f t="shared" si="2601"/>
        <v>3.6399999999999997</v>
      </c>
      <c r="KC161" s="748">
        <f t="shared" si="2601"/>
        <v>5</v>
      </c>
      <c r="KD161" s="369">
        <f t="shared" si="3035"/>
        <v>274.72527472527474</v>
      </c>
      <c r="KE161" s="84">
        <f t="shared" si="3036"/>
        <v>0.72799999999999998</v>
      </c>
      <c r="KG161" s="383">
        <f t="shared" ref="KG161:KI161" si="3109">SUM(KG123)</f>
        <v>2600</v>
      </c>
      <c r="KH161" s="82">
        <f t="shared" si="3109"/>
        <v>16.649999999999999</v>
      </c>
      <c r="KI161" s="748">
        <f t="shared" si="3109"/>
        <v>5</v>
      </c>
      <c r="KJ161" s="369">
        <f t="shared" si="3038"/>
        <v>156.15615615615616</v>
      </c>
      <c r="KK161" s="84">
        <f t="shared" si="3039"/>
        <v>3.3299999999999996</v>
      </c>
      <c r="KM161" s="383">
        <f t="shared" ref="KM161:KO161" si="3110">SUM(KM123)</f>
        <v>0</v>
      </c>
      <c r="KN161" s="82">
        <f t="shared" si="3110"/>
        <v>0</v>
      </c>
      <c r="KO161" s="748">
        <f t="shared" si="3110"/>
        <v>0</v>
      </c>
      <c r="KP161" s="369" t="e">
        <f t="shared" si="3041"/>
        <v>#DIV/0!</v>
      </c>
      <c r="KQ161" s="84" t="e">
        <f t="shared" si="3042"/>
        <v>#DIV/0!</v>
      </c>
      <c r="KS161" s="383">
        <f t="shared" ref="KS161:KU161" si="3111">SUM(KS123)</f>
        <v>0</v>
      </c>
      <c r="KT161" s="82">
        <f t="shared" si="3111"/>
        <v>0</v>
      </c>
      <c r="KU161" s="748">
        <f t="shared" si="3111"/>
        <v>0</v>
      </c>
      <c r="KV161" s="369" t="e">
        <f t="shared" si="3044"/>
        <v>#DIV/0!</v>
      </c>
      <c r="KW161" s="84" t="e">
        <f t="shared" si="3045"/>
        <v>#DIV/0!</v>
      </c>
      <c r="KY161" s="383">
        <f t="shared" ref="KY161:LA161" si="3112">SUM(KY123)</f>
        <v>0</v>
      </c>
      <c r="KZ161" s="82">
        <f t="shared" si="3112"/>
        <v>0</v>
      </c>
      <c r="LA161" s="748">
        <f t="shared" si="3112"/>
        <v>0</v>
      </c>
      <c r="LB161" s="369" t="e">
        <f t="shared" si="3047"/>
        <v>#DIV/0!</v>
      </c>
      <c r="LC161" s="84" t="e">
        <f t="shared" si="3048"/>
        <v>#DIV/0!</v>
      </c>
      <c r="LE161" s="383">
        <f t="shared" ref="LE161:LG161" si="3113">SUM(LE123)</f>
        <v>1050</v>
      </c>
      <c r="LF161" s="82">
        <f t="shared" si="3113"/>
        <v>7.49</v>
      </c>
      <c r="LG161" s="748">
        <f t="shared" si="3113"/>
        <v>5</v>
      </c>
      <c r="LH161" s="369">
        <f t="shared" si="3050"/>
        <v>140.18691588785046</v>
      </c>
      <c r="LI161" s="84">
        <f t="shared" si="3051"/>
        <v>1.498</v>
      </c>
      <c r="LK161" s="383">
        <f t="shared" ref="LK161:LM161" si="3114">SUM(LK123)</f>
        <v>0</v>
      </c>
      <c r="LL161" s="82">
        <f t="shared" si="3114"/>
        <v>0</v>
      </c>
      <c r="LM161" s="748">
        <f t="shared" si="3114"/>
        <v>0</v>
      </c>
      <c r="LN161" s="369" t="e">
        <f t="shared" si="3053"/>
        <v>#DIV/0!</v>
      </c>
      <c r="LO161" s="84" t="e">
        <f t="shared" si="3054"/>
        <v>#DIV/0!</v>
      </c>
      <c r="LQ161" s="383">
        <f t="shared" ref="LQ161:LS161" si="3115">SUM(LQ123)</f>
        <v>1400</v>
      </c>
      <c r="LR161" s="82">
        <f t="shared" si="3115"/>
        <v>13.959999999999999</v>
      </c>
      <c r="LS161" s="748">
        <f t="shared" si="3115"/>
        <v>5</v>
      </c>
      <c r="LT161" s="369">
        <f t="shared" si="3056"/>
        <v>100.2865329512894</v>
      </c>
      <c r="LU161" s="84">
        <f t="shared" si="3057"/>
        <v>2.7919999999999998</v>
      </c>
      <c r="LW161" s="383">
        <f t="shared" ref="LW161:LY161" si="3116">SUM(LW123)</f>
        <v>1800</v>
      </c>
      <c r="LX161" s="82">
        <f t="shared" si="3116"/>
        <v>15.929999999999998</v>
      </c>
      <c r="LY161" s="748">
        <f t="shared" si="3116"/>
        <v>5</v>
      </c>
      <c r="LZ161" s="369">
        <f t="shared" si="3059"/>
        <v>112.9943502824859</v>
      </c>
      <c r="MA161" s="84">
        <f t="shared" si="3060"/>
        <v>3.1859999999999995</v>
      </c>
      <c r="MC161" s="383">
        <f t="shared" ref="MC161:ME161" si="3117">SUM(MC123)</f>
        <v>1100</v>
      </c>
      <c r="MD161" s="82">
        <f t="shared" si="3117"/>
        <v>25.67</v>
      </c>
      <c r="ME161" s="748">
        <f t="shared" si="3117"/>
        <v>5</v>
      </c>
      <c r="MF161" s="369">
        <f t="shared" si="3062"/>
        <v>42.851577717179588</v>
      </c>
      <c r="MG161" s="84">
        <f t="shared" si="3063"/>
        <v>5.1340000000000003</v>
      </c>
      <c r="MI161" s="383">
        <f t="shared" ref="MI161:MK161" si="3118">SUM(MI123)</f>
        <v>1150</v>
      </c>
      <c r="MJ161" s="82">
        <f t="shared" si="3118"/>
        <v>17.149999999999999</v>
      </c>
      <c r="MK161" s="748">
        <f t="shared" si="3118"/>
        <v>5</v>
      </c>
      <c r="ML161" s="369">
        <f t="shared" si="3065"/>
        <v>67.055393586005835</v>
      </c>
      <c r="MM161" s="84">
        <f t="shared" si="3066"/>
        <v>3.4299999999999997</v>
      </c>
      <c r="MO161" s="383">
        <f t="shared" ref="MO161:MQ161" si="3119">SUM(MO123)</f>
        <v>0</v>
      </c>
      <c r="MP161" s="82">
        <f t="shared" si="3119"/>
        <v>0</v>
      </c>
      <c r="MQ161" s="748">
        <f t="shared" si="3119"/>
        <v>0</v>
      </c>
      <c r="MR161" s="369" t="e">
        <f t="shared" si="3068"/>
        <v>#DIV/0!</v>
      </c>
      <c r="MS161" s="84" t="e">
        <f t="shared" si="3069"/>
        <v>#DIV/0!</v>
      </c>
      <c r="MU161" s="383">
        <f t="shared" ref="MU161:MW161" si="3120">SUM(MU123)</f>
        <v>0</v>
      </c>
      <c r="MV161" s="82">
        <f t="shared" si="3120"/>
        <v>0</v>
      </c>
      <c r="MW161" s="748">
        <f t="shared" si="3120"/>
        <v>0</v>
      </c>
      <c r="MX161" s="369" t="e">
        <f t="shared" si="3071"/>
        <v>#DIV/0!</v>
      </c>
      <c r="MY161" s="84" t="e">
        <f t="shared" si="3072"/>
        <v>#DIV/0!</v>
      </c>
      <c r="NA161" s="383">
        <f t="shared" ref="NA161:NC161" si="3121">SUM(NA123)</f>
        <v>1100</v>
      </c>
      <c r="NB161" s="748">
        <f t="shared" si="3121"/>
        <v>8.81</v>
      </c>
      <c r="NC161" s="748">
        <f t="shared" si="3121"/>
        <v>5</v>
      </c>
      <c r="ND161" s="369">
        <f t="shared" si="3074"/>
        <v>124.85811577752553</v>
      </c>
      <c r="NE161" s="84">
        <f t="shared" si="3075"/>
        <v>1.762</v>
      </c>
      <c r="NG161" s="383">
        <f t="shared" ref="NG161:NI161" si="3122">SUM(NG123)</f>
        <v>0</v>
      </c>
      <c r="NH161" s="82">
        <f t="shared" si="3122"/>
        <v>0</v>
      </c>
      <c r="NI161" s="748">
        <f t="shared" si="3122"/>
        <v>0</v>
      </c>
      <c r="NJ161" s="369" t="e">
        <f t="shared" si="3077"/>
        <v>#DIV/0!</v>
      </c>
      <c r="NK161" s="84" t="e">
        <f t="shared" si="3078"/>
        <v>#DIV/0!</v>
      </c>
      <c r="NM161" s="383">
        <f t="shared" ref="NM161:NO161" si="3123">SUM(NM123)</f>
        <v>0</v>
      </c>
      <c r="NN161" s="82">
        <f t="shared" si="3123"/>
        <v>0</v>
      </c>
      <c r="NO161" s="748">
        <f t="shared" si="3123"/>
        <v>0</v>
      </c>
      <c r="NP161" s="369" t="e">
        <f t="shared" si="3080"/>
        <v>#DIV/0!</v>
      </c>
      <c r="NQ161" s="84" t="e">
        <f t="shared" si="3081"/>
        <v>#DIV/0!</v>
      </c>
      <c r="NS161" s="383">
        <f t="shared" ref="NS161:NU161" si="3124">SUM(NS123)</f>
        <v>2000</v>
      </c>
      <c r="NT161" s="82">
        <f t="shared" si="3124"/>
        <v>10.09</v>
      </c>
      <c r="NU161" s="748">
        <f t="shared" si="3124"/>
        <v>5</v>
      </c>
      <c r="NV161" s="369">
        <f t="shared" si="3083"/>
        <v>198.21605550049554</v>
      </c>
      <c r="NW161" s="84">
        <f t="shared" si="3084"/>
        <v>2.0179999999999998</v>
      </c>
      <c r="NY161" s="383">
        <f t="shared" ref="NY161:OA161" si="3125">SUM(NY123)</f>
        <v>0</v>
      </c>
      <c r="NZ161" s="82">
        <f t="shared" si="3125"/>
        <v>0</v>
      </c>
      <c r="OA161" s="748">
        <f t="shared" si="3125"/>
        <v>0</v>
      </c>
      <c r="OB161" s="369" t="e">
        <f t="shared" si="3086"/>
        <v>#DIV/0!</v>
      </c>
      <c r="OC161" s="84" t="e">
        <f t="shared" si="3087"/>
        <v>#DIV/0!</v>
      </c>
      <c r="OE161" s="383">
        <f t="shared" ref="OE161:OG161" si="3126">SUM(OE123)</f>
        <v>0</v>
      </c>
      <c r="OF161" s="82">
        <f t="shared" si="3126"/>
        <v>0</v>
      </c>
      <c r="OG161" s="748">
        <f t="shared" si="3126"/>
        <v>0</v>
      </c>
      <c r="OH161" s="369" t="e">
        <f t="shared" si="3089"/>
        <v>#DIV/0!</v>
      </c>
      <c r="OI161" s="84" t="e">
        <f t="shared" si="3090"/>
        <v>#DIV/0!</v>
      </c>
    </row>
    <row r="162" spans="1:399">
      <c r="A162" s="69"/>
      <c r="B162" s="71" t="s">
        <v>40</v>
      </c>
      <c r="C162" s="60"/>
      <c r="D162" s="58" t="s">
        <v>36</v>
      </c>
      <c r="E162" s="79">
        <f t="shared" si="2757"/>
        <v>900</v>
      </c>
      <c r="F162" s="82">
        <f t="shared" si="2757"/>
        <v>3.67</v>
      </c>
      <c r="G162" s="79">
        <f t="shared" si="2757"/>
        <v>5</v>
      </c>
      <c r="H162" s="82">
        <f t="shared" si="2923"/>
        <v>245.2316076294278</v>
      </c>
      <c r="I162" s="84">
        <f t="shared" si="2924"/>
        <v>0.73399999999999999</v>
      </c>
      <c r="J162" s="589"/>
      <c r="K162" s="79">
        <f t="shared" si="2760"/>
        <v>1250</v>
      </c>
      <c r="L162" s="82">
        <f t="shared" si="2760"/>
        <v>2.58</v>
      </c>
      <c r="M162" s="79">
        <f t="shared" si="2760"/>
        <v>5</v>
      </c>
      <c r="N162" s="82">
        <f t="shared" si="2925"/>
        <v>484.49612403100775</v>
      </c>
      <c r="O162" s="84">
        <f t="shared" si="2926"/>
        <v>0.51600000000000001</v>
      </c>
      <c r="P162" s="589"/>
      <c r="Q162" s="79">
        <f t="shared" si="2763"/>
        <v>0</v>
      </c>
      <c r="R162" s="82">
        <f t="shared" si="2763"/>
        <v>0</v>
      </c>
      <c r="S162" s="79">
        <f t="shared" si="2763"/>
        <v>0</v>
      </c>
      <c r="T162" s="82" t="e">
        <f t="shared" si="2927"/>
        <v>#DIV/0!</v>
      </c>
      <c r="U162" s="84" t="e">
        <f t="shared" si="2928"/>
        <v>#DIV/0!</v>
      </c>
      <c r="V162" s="589"/>
      <c r="W162" s="79">
        <f t="shared" si="2766"/>
        <v>1150</v>
      </c>
      <c r="X162" s="82">
        <f t="shared" si="2766"/>
        <v>3.37</v>
      </c>
      <c r="Y162" s="79">
        <f t="shared" si="2766"/>
        <v>5</v>
      </c>
      <c r="Z162" s="82">
        <f t="shared" si="2929"/>
        <v>341.24629080118694</v>
      </c>
      <c r="AA162" s="84">
        <f t="shared" si="2930"/>
        <v>0.67400000000000004</v>
      </c>
      <c r="AB162" s="589"/>
      <c r="AC162" s="79">
        <f t="shared" si="2769"/>
        <v>1000</v>
      </c>
      <c r="AD162" s="82">
        <f t="shared" si="2769"/>
        <v>4.3000000000000007</v>
      </c>
      <c r="AE162" s="79">
        <f t="shared" si="2769"/>
        <v>5</v>
      </c>
      <c r="AF162" s="82">
        <f t="shared" si="2931"/>
        <v>232.55813953488368</v>
      </c>
      <c r="AG162" s="84">
        <f t="shared" si="2932"/>
        <v>0.8600000000000001</v>
      </c>
      <c r="AH162" s="589"/>
      <c r="AI162" s="79">
        <f t="shared" si="2772"/>
        <v>1100</v>
      </c>
      <c r="AJ162" s="82">
        <f t="shared" si="2772"/>
        <v>3.68</v>
      </c>
      <c r="AK162" s="79">
        <f t="shared" si="2772"/>
        <v>5</v>
      </c>
      <c r="AL162" s="82">
        <f t="shared" si="2933"/>
        <v>298.91304347826087</v>
      </c>
      <c r="AM162" s="84">
        <f t="shared" si="2934"/>
        <v>0.73599999999999999</v>
      </c>
      <c r="AN162" s="589"/>
      <c r="AO162" s="79">
        <f t="shared" si="2775"/>
        <v>0</v>
      </c>
      <c r="AP162" s="82">
        <f t="shared" si="2775"/>
        <v>0</v>
      </c>
      <c r="AQ162" s="79">
        <f t="shared" si="2775"/>
        <v>0</v>
      </c>
      <c r="AR162" s="82" t="e">
        <f t="shared" si="2935"/>
        <v>#DIV/0!</v>
      </c>
      <c r="AS162" s="84" t="e">
        <f t="shared" si="2936"/>
        <v>#DIV/0!</v>
      </c>
      <c r="AT162" s="589"/>
      <c r="AU162" s="79">
        <f t="shared" si="2778"/>
        <v>1000</v>
      </c>
      <c r="AV162" s="82">
        <f t="shared" si="2778"/>
        <v>4.01</v>
      </c>
      <c r="AW162" s="79">
        <f t="shared" si="2778"/>
        <v>5</v>
      </c>
      <c r="AX162" s="82">
        <f t="shared" si="2937"/>
        <v>249.37655860349128</v>
      </c>
      <c r="AY162" s="84">
        <f t="shared" si="2938"/>
        <v>0.80199999999999994</v>
      </c>
      <c r="AZ162" s="84"/>
      <c r="BA162" s="79">
        <f t="shared" si="2781"/>
        <v>1100</v>
      </c>
      <c r="BB162" s="82">
        <f t="shared" si="2781"/>
        <v>3.1399999999999997</v>
      </c>
      <c r="BC162" s="79">
        <f t="shared" si="2781"/>
        <v>5</v>
      </c>
      <c r="BD162" s="82">
        <f t="shared" si="2939"/>
        <v>350.31847133757964</v>
      </c>
      <c r="BE162" s="84">
        <f t="shared" si="2940"/>
        <v>0.62799999999999989</v>
      </c>
      <c r="BF162" s="84"/>
      <c r="BG162" s="79">
        <f t="shared" si="2784"/>
        <v>0</v>
      </c>
      <c r="BH162" s="82">
        <f t="shared" si="2784"/>
        <v>0</v>
      </c>
      <c r="BI162" s="79">
        <f t="shared" si="2784"/>
        <v>0</v>
      </c>
      <c r="BJ162" s="82" t="e">
        <f t="shared" si="2941"/>
        <v>#DIV/0!</v>
      </c>
      <c r="BK162" s="84" t="e">
        <f t="shared" si="2942"/>
        <v>#DIV/0!</v>
      </c>
      <c r="BL162" s="84"/>
      <c r="BM162" s="79">
        <f t="shared" si="2787"/>
        <v>0</v>
      </c>
      <c r="BN162" s="82">
        <f t="shared" si="2787"/>
        <v>0</v>
      </c>
      <c r="BO162" s="79">
        <f t="shared" si="2787"/>
        <v>0</v>
      </c>
      <c r="BP162" s="82" t="e">
        <f t="shared" si="2943"/>
        <v>#DIV/0!</v>
      </c>
      <c r="BQ162" s="84" t="e">
        <f t="shared" si="2944"/>
        <v>#DIV/0!</v>
      </c>
      <c r="BR162" s="589"/>
      <c r="BS162" s="79">
        <f t="shared" si="2790"/>
        <v>0</v>
      </c>
      <c r="BT162" s="82">
        <f t="shared" si="2790"/>
        <v>0</v>
      </c>
      <c r="BU162" s="79">
        <f t="shared" si="2790"/>
        <v>0</v>
      </c>
      <c r="BV162" s="82" t="e">
        <f t="shared" si="2945"/>
        <v>#DIV/0!</v>
      </c>
      <c r="BW162" s="84" t="e">
        <f t="shared" si="2946"/>
        <v>#DIV/0!</v>
      </c>
      <c r="BX162" s="84"/>
      <c r="BY162" s="79">
        <f t="shared" si="2793"/>
        <v>1000</v>
      </c>
      <c r="BZ162" s="82">
        <f t="shared" si="2793"/>
        <v>5</v>
      </c>
      <c r="CA162" s="79">
        <f t="shared" si="2793"/>
        <v>5</v>
      </c>
      <c r="CB162" s="82">
        <f t="shared" si="2947"/>
        <v>200</v>
      </c>
      <c r="CC162" s="84">
        <f t="shared" si="2948"/>
        <v>1</v>
      </c>
      <c r="CD162" s="84"/>
      <c r="CE162" s="79">
        <f t="shared" si="2796"/>
        <v>0</v>
      </c>
      <c r="CF162" s="82">
        <f t="shared" si="2796"/>
        <v>0</v>
      </c>
      <c r="CG162" s="79">
        <f t="shared" si="2796"/>
        <v>0</v>
      </c>
      <c r="CH162" s="82" t="e">
        <f t="shared" si="2949"/>
        <v>#DIV/0!</v>
      </c>
      <c r="CI162" s="84" t="e">
        <f t="shared" si="2950"/>
        <v>#DIV/0!</v>
      </c>
      <c r="CJ162" s="84"/>
      <c r="CK162" s="79">
        <f t="shared" si="2799"/>
        <v>350</v>
      </c>
      <c r="CL162" s="82">
        <f t="shared" si="2799"/>
        <v>7.59</v>
      </c>
      <c r="CM162" s="79">
        <f t="shared" si="2799"/>
        <v>5</v>
      </c>
      <c r="CN162" s="82">
        <f t="shared" si="2951"/>
        <v>46.113306982872203</v>
      </c>
      <c r="CO162" s="84">
        <f t="shared" si="2952"/>
        <v>1.518</v>
      </c>
      <c r="CP162" s="84"/>
      <c r="CQ162" s="79">
        <f t="shared" si="2802"/>
        <v>500</v>
      </c>
      <c r="CR162" s="82">
        <f t="shared" si="2802"/>
        <v>4.38</v>
      </c>
      <c r="CS162" s="79">
        <f t="shared" si="2802"/>
        <v>5</v>
      </c>
      <c r="CT162" s="82">
        <f t="shared" si="2953"/>
        <v>114.15525114155251</v>
      </c>
      <c r="CU162" s="84">
        <f t="shared" si="2954"/>
        <v>0.876</v>
      </c>
      <c r="CV162" s="84"/>
      <c r="CW162" s="79">
        <f t="shared" si="2805"/>
        <v>1000</v>
      </c>
      <c r="CX162" s="82">
        <f t="shared" si="2805"/>
        <v>5</v>
      </c>
      <c r="CY162" s="79">
        <f t="shared" si="2805"/>
        <v>5</v>
      </c>
      <c r="CZ162" s="82">
        <f t="shared" si="2955"/>
        <v>200</v>
      </c>
      <c r="DA162" s="84">
        <f t="shared" si="2956"/>
        <v>1</v>
      </c>
      <c r="DB162" s="84"/>
      <c r="DC162" s="79">
        <f t="shared" si="2808"/>
        <v>1000</v>
      </c>
      <c r="DD162" s="82">
        <f t="shared" si="2808"/>
        <v>7.38</v>
      </c>
      <c r="DE162" s="79">
        <f t="shared" si="2808"/>
        <v>5</v>
      </c>
      <c r="DF162" s="82">
        <f t="shared" si="2957"/>
        <v>135.50135501355012</v>
      </c>
      <c r="DG162" s="84">
        <f t="shared" si="2958"/>
        <v>1.476</v>
      </c>
      <c r="DH162" s="84"/>
      <c r="DI162" s="79">
        <f t="shared" si="2811"/>
        <v>700</v>
      </c>
      <c r="DJ162" s="82">
        <f t="shared" si="2811"/>
        <v>1.3</v>
      </c>
      <c r="DK162" s="79">
        <f t="shared" si="2811"/>
        <v>5</v>
      </c>
      <c r="DL162" s="82">
        <f t="shared" si="2959"/>
        <v>538.46153846153845</v>
      </c>
      <c r="DM162" s="84">
        <f t="shared" si="2960"/>
        <v>0.26</v>
      </c>
      <c r="DN162" s="84"/>
      <c r="DO162" s="79">
        <f t="shared" si="2814"/>
        <v>800</v>
      </c>
      <c r="DP162" s="82">
        <f t="shared" si="2814"/>
        <v>3.22</v>
      </c>
      <c r="DQ162" s="79">
        <f t="shared" si="2814"/>
        <v>5</v>
      </c>
      <c r="DR162" s="82">
        <f t="shared" si="2961"/>
        <v>248.44720496894408</v>
      </c>
      <c r="DS162" s="84">
        <f t="shared" si="2962"/>
        <v>0.64400000000000002</v>
      </c>
      <c r="DT162" s="84"/>
      <c r="DU162" s="79">
        <f t="shared" si="2817"/>
        <v>0</v>
      </c>
      <c r="DV162" s="82">
        <f t="shared" si="2817"/>
        <v>0</v>
      </c>
      <c r="DW162" s="79">
        <f t="shared" si="2817"/>
        <v>0</v>
      </c>
      <c r="DX162" s="82" t="e">
        <f t="shared" si="2963"/>
        <v>#DIV/0!</v>
      </c>
      <c r="DY162" s="84" t="e">
        <f t="shared" si="2964"/>
        <v>#DIV/0!</v>
      </c>
      <c r="DZ162" s="84"/>
      <c r="EA162" s="79">
        <f t="shared" si="2820"/>
        <v>0</v>
      </c>
      <c r="EB162" s="82">
        <f t="shared" si="2820"/>
        <v>0</v>
      </c>
      <c r="EC162" s="79">
        <f t="shared" si="2820"/>
        <v>0</v>
      </c>
      <c r="ED162" s="82" t="e">
        <f t="shared" si="2965"/>
        <v>#DIV/0!</v>
      </c>
      <c r="EE162" s="84" t="e">
        <f t="shared" si="2966"/>
        <v>#DIV/0!</v>
      </c>
      <c r="EF162" s="84"/>
      <c r="EG162" s="79">
        <f t="shared" si="2823"/>
        <v>0</v>
      </c>
      <c r="EH162" s="82">
        <f t="shared" si="2823"/>
        <v>0</v>
      </c>
      <c r="EI162" s="79">
        <f t="shared" si="2823"/>
        <v>0</v>
      </c>
      <c r="EJ162" s="82" t="e">
        <f t="shared" si="2967"/>
        <v>#DIV/0!</v>
      </c>
      <c r="EK162" s="84" t="e">
        <f t="shared" si="2968"/>
        <v>#DIV/0!</v>
      </c>
      <c r="EL162" s="84"/>
      <c r="EM162" s="79">
        <f t="shared" si="2826"/>
        <v>0</v>
      </c>
      <c r="EN162" s="82">
        <f t="shared" si="2826"/>
        <v>0</v>
      </c>
      <c r="EO162" s="79">
        <f t="shared" si="2826"/>
        <v>0</v>
      </c>
      <c r="EP162" s="82" t="e">
        <f t="shared" si="2969"/>
        <v>#DIV/0!</v>
      </c>
      <c r="EQ162" s="84" t="e">
        <f t="shared" si="2970"/>
        <v>#DIV/0!</v>
      </c>
      <c r="ER162" s="589"/>
      <c r="ES162" s="79">
        <f t="shared" si="2829"/>
        <v>1000</v>
      </c>
      <c r="ET162" s="82">
        <f t="shared" si="2829"/>
        <v>5</v>
      </c>
      <c r="EU162" s="79">
        <f t="shared" si="2829"/>
        <v>5</v>
      </c>
      <c r="EV162" s="82">
        <f t="shared" si="2971"/>
        <v>200</v>
      </c>
      <c r="EW162" s="84">
        <f t="shared" si="2972"/>
        <v>1</v>
      </c>
      <c r="EY162" s="91">
        <f t="shared" si="2832"/>
        <v>1100</v>
      </c>
      <c r="EZ162" s="82">
        <f t="shared" si="2832"/>
        <v>3.68</v>
      </c>
      <c r="FA162" s="371">
        <f t="shared" si="2832"/>
        <v>5</v>
      </c>
      <c r="FB162" s="369">
        <f t="shared" si="2991"/>
        <v>298.91304347826087</v>
      </c>
      <c r="FC162" s="370">
        <f t="shared" si="2992"/>
        <v>0.73599999999999999</v>
      </c>
      <c r="FD162" s="178"/>
      <c r="FE162" s="379">
        <f t="shared" si="2835"/>
        <v>900</v>
      </c>
      <c r="FF162" s="369">
        <f t="shared" si="2835"/>
        <v>5.2</v>
      </c>
      <c r="FG162" s="371">
        <f t="shared" si="2835"/>
        <v>5</v>
      </c>
      <c r="FH162" s="361">
        <f>IFERROR(FE162/FF162,"0")</f>
        <v>173.07692307692307</v>
      </c>
      <c r="FI162" s="362">
        <f>IFERROR(FF162/FG162,"0")</f>
        <v>1.04</v>
      </c>
      <c r="FK162" s="91">
        <f t="shared" si="2838"/>
        <v>400</v>
      </c>
      <c r="FL162" s="369">
        <f t="shared" si="2838"/>
        <v>7.67</v>
      </c>
      <c r="FM162" s="371">
        <f t="shared" si="2838"/>
        <v>5</v>
      </c>
      <c r="FN162" s="369">
        <f t="shared" si="2995"/>
        <v>52.15123859191656</v>
      </c>
      <c r="FO162" s="370">
        <f t="shared" si="2996"/>
        <v>1.534</v>
      </c>
      <c r="FQ162" s="91">
        <f t="shared" si="2839"/>
        <v>500</v>
      </c>
      <c r="FR162" s="369">
        <f t="shared" si="2839"/>
        <v>5.1100000000000003</v>
      </c>
      <c r="FS162" s="371">
        <f t="shared" si="2839"/>
        <v>5</v>
      </c>
      <c r="FT162" s="369">
        <f t="shared" si="2997"/>
        <v>97.847358121330714</v>
      </c>
      <c r="FU162" s="370">
        <f t="shared" si="2998"/>
        <v>1.022</v>
      </c>
      <c r="FV162" s="178"/>
      <c r="FW162" s="91">
        <f t="shared" si="2842"/>
        <v>1000</v>
      </c>
      <c r="FX162" s="369">
        <f t="shared" si="2842"/>
        <v>7.38</v>
      </c>
      <c r="FY162" s="371">
        <f t="shared" si="2842"/>
        <v>5</v>
      </c>
      <c r="FZ162" s="369">
        <f t="shared" si="2999"/>
        <v>135.50135501355012</v>
      </c>
      <c r="GA162" s="370">
        <f t="shared" si="3000"/>
        <v>1.476</v>
      </c>
      <c r="GC162" s="379">
        <f t="shared" si="2845"/>
        <v>1000</v>
      </c>
      <c r="GD162" s="369">
        <f t="shared" si="2845"/>
        <v>6.3599999999999994</v>
      </c>
      <c r="GE162" s="371">
        <f t="shared" si="2845"/>
        <v>5</v>
      </c>
      <c r="GF162" s="369">
        <f t="shared" si="3001"/>
        <v>157.23270440251574</v>
      </c>
      <c r="GG162" s="370">
        <f t="shared" si="3002"/>
        <v>1.2719999999999998</v>
      </c>
      <c r="GI162" s="379">
        <f t="shared" si="2848"/>
        <v>1050</v>
      </c>
      <c r="GJ162" s="369">
        <f t="shared" si="2848"/>
        <v>4.08</v>
      </c>
      <c r="GK162" s="371">
        <f t="shared" si="2848"/>
        <v>5</v>
      </c>
      <c r="GL162" s="369">
        <f t="shared" si="3003"/>
        <v>257.35294117647061</v>
      </c>
      <c r="GM162" s="370">
        <f t="shared" si="3004"/>
        <v>0.81600000000000006</v>
      </c>
      <c r="GO162" s="379">
        <f t="shared" si="2851"/>
        <v>1000</v>
      </c>
      <c r="GP162" s="369">
        <f t="shared" si="2851"/>
        <v>5.6400000000000006</v>
      </c>
      <c r="GQ162" s="371">
        <f t="shared" si="2851"/>
        <v>5</v>
      </c>
      <c r="GR162" s="369">
        <f t="shared" si="3005"/>
        <v>177.30496453900707</v>
      </c>
      <c r="GS162" s="370">
        <f t="shared" si="3006"/>
        <v>1.1280000000000001</v>
      </c>
      <c r="GU162" s="379">
        <f t="shared" si="2854"/>
        <v>600</v>
      </c>
      <c r="GV162" s="369">
        <f t="shared" si="2854"/>
        <v>0.95</v>
      </c>
      <c r="GW162" s="371">
        <f t="shared" si="2854"/>
        <v>2</v>
      </c>
      <c r="GX162" s="369">
        <f t="shared" si="3007"/>
        <v>631.57894736842104</v>
      </c>
      <c r="GY162" s="370">
        <f t="shared" si="3008"/>
        <v>0.47499999999999998</v>
      </c>
      <c r="HA162" s="91">
        <f t="shared" si="2857"/>
        <v>1000</v>
      </c>
      <c r="HB162" s="82">
        <f t="shared" si="2857"/>
        <v>3.08</v>
      </c>
      <c r="HC162" s="371">
        <f t="shared" si="2857"/>
        <v>5</v>
      </c>
      <c r="HD162" s="369">
        <f t="shared" si="3009"/>
        <v>324.67532467532465</v>
      </c>
      <c r="HE162" s="370">
        <f t="shared" si="3010"/>
        <v>0.61599999999999999</v>
      </c>
      <c r="HG162" s="91">
        <f t="shared" si="2860"/>
        <v>800</v>
      </c>
      <c r="HH162" s="82">
        <f t="shared" si="2860"/>
        <v>3.22</v>
      </c>
      <c r="HI162" s="79">
        <f t="shared" si="2860"/>
        <v>5</v>
      </c>
      <c r="HJ162" s="82">
        <f t="shared" si="3011"/>
        <v>248.44720496894408</v>
      </c>
      <c r="HK162" s="84">
        <f t="shared" si="3012"/>
        <v>0.64400000000000002</v>
      </c>
      <c r="HM162" s="91">
        <f t="shared" si="2863"/>
        <v>900</v>
      </c>
      <c r="HN162" s="82">
        <f t="shared" si="2863"/>
        <v>3.67</v>
      </c>
      <c r="HO162" s="371">
        <f t="shared" si="2863"/>
        <v>5</v>
      </c>
      <c r="HP162" s="369">
        <f t="shared" si="3013"/>
        <v>245.2316076294278</v>
      </c>
      <c r="HQ162" s="370">
        <f t="shared" si="3014"/>
        <v>0.73399999999999999</v>
      </c>
      <c r="HS162" s="91">
        <f t="shared" si="2864"/>
        <v>1250</v>
      </c>
      <c r="HT162" s="82">
        <f t="shared" si="2864"/>
        <v>2.58</v>
      </c>
      <c r="HU162" s="371">
        <f t="shared" si="2864"/>
        <v>5</v>
      </c>
      <c r="HV162" s="369">
        <f t="shared" si="3015"/>
        <v>484.49612403100775</v>
      </c>
      <c r="HW162" s="370">
        <f t="shared" si="3016"/>
        <v>0.51600000000000001</v>
      </c>
      <c r="HX162" s="178"/>
      <c r="HY162" s="91">
        <f t="shared" si="2865"/>
        <v>500</v>
      </c>
      <c r="HZ162" s="82">
        <f t="shared" si="2865"/>
        <v>6.5</v>
      </c>
      <c r="IA162" s="371">
        <f t="shared" si="2865"/>
        <v>5</v>
      </c>
      <c r="IB162" s="369">
        <f t="shared" si="3017"/>
        <v>76.92307692307692</v>
      </c>
      <c r="IC162" s="370">
        <f t="shared" si="3018"/>
        <v>1.3</v>
      </c>
      <c r="IE162" s="91">
        <f t="shared" si="2866"/>
        <v>400</v>
      </c>
      <c r="IF162" s="82">
        <f t="shared" si="2866"/>
        <v>7.1499999999999995</v>
      </c>
      <c r="IG162" s="79">
        <f t="shared" si="2866"/>
        <v>5</v>
      </c>
      <c r="IH162" s="82">
        <f t="shared" si="3019"/>
        <v>55.944055944055947</v>
      </c>
      <c r="II162" s="84">
        <f t="shared" si="3020"/>
        <v>1.43</v>
      </c>
      <c r="IK162" s="91">
        <f t="shared" si="2869"/>
        <v>1000</v>
      </c>
      <c r="IL162" s="82">
        <f t="shared" si="2869"/>
        <v>7.03</v>
      </c>
      <c r="IM162" s="79">
        <f t="shared" si="2869"/>
        <v>5</v>
      </c>
      <c r="IN162" s="82">
        <f t="shared" si="3021"/>
        <v>142.24751066856331</v>
      </c>
      <c r="IO162" s="84">
        <f t="shared" si="3022"/>
        <v>1.4060000000000001</v>
      </c>
      <c r="IQ162" s="91">
        <f t="shared" si="2872"/>
        <v>1000</v>
      </c>
      <c r="IR162" s="82">
        <f t="shared" si="2872"/>
        <v>4.9300000000000006</v>
      </c>
      <c r="IS162" s="79">
        <f t="shared" si="2872"/>
        <v>5</v>
      </c>
      <c r="IT162" s="82">
        <f t="shared" si="3023"/>
        <v>202.83975659229208</v>
      </c>
      <c r="IU162" s="84">
        <f t="shared" si="3024"/>
        <v>0.9860000000000001</v>
      </c>
      <c r="IW162" s="91">
        <f t="shared" si="2875"/>
        <v>1000</v>
      </c>
      <c r="IX162" s="82">
        <f t="shared" si="2875"/>
        <v>3.6700000000000004</v>
      </c>
      <c r="IY162" s="79">
        <f t="shared" si="2875"/>
        <v>5</v>
      </c>
      <c r="IZ162" s="82">
        <f t="shared" si="3025"/>
        <v>272.47956403269751</v>
      </c>
      <c r="JA162" s="84">
        <f t="shared" si="3026"/>
        <v>0.7340000000000001</v>
      </c>
      <c r="JC162" s="91">
        <f t="shared" si="2878"/>
        <v>1000</v>
      </c>
      <c r="JD162" s="82">
        <f t="shared" si="2878"/>
        <v>4.13</v>
      </c>
      <c r="JE162" s="79">
        <f t="shared" si="2878"/>
        <v>5</v>
      </c>
      <c r="JF162" s="82">
        <f t="shared" si="3027"/>
        <v>242.13075060532688</v>
      </c>
      <c r="JG162" s="84">
        <f t="shared" si="3028"/>
        <v>0.82599999999999996</v>
      </c>
      <c r="JI162" s="91">
        <f t="shared" si="2881"/>
        <v>1000</v>
      </c>
      <c r="JJ162" s="82">
        <f t="shared" si="2881"/>
        <v>4.8100000000000005</v>
      </c>
      <c r="JK162" s="79">
        <f t="shared" si="2881"/>
        <v>5</v>
      </c>
      <c r="JL162" s="82">
        <f t="shared" si="3029"/>
        <v>207.90020790020787</v>
      </c>
      <c r="JM162" s="84">
        <f t="shared" si="3030"/>
        <v>0.96200000000000008</v>
      </c>
      <c r="JO162" s="91">
        <f t="shared" si="2884"/>
        <v>1000</v>
      </c>
      <c r="JP162" s="82">
        <f t="shared" si="2884"/>
        <v>5.0600000000000005</v>
      </c>
      <c r="JQ162" s="79">
        <f t="shared" si="2884"/>
        <v>5</v>
      </c>
      <c r="JR162" s="82">
        <f t="shared" si="3031"/>
        <v>197.62845849802369</v>
      </c>
      <c r="JS162" s="84">
        <f t="shared" si="3032"/>
        <v>1.012</v>
      </c>
      <c r="JU162" s="383">
        <f t="shared" si="2600"/>
        <v>1000</v>
      </c>
      <c r="JV162" s="82">
        <f t="shared" si="2600"/>
        <v>5.05</v>
      </c>
      <c r="JW162" s="748">
        <f t="shared" si="2600"/>
        <v>5</v>
      </c>
      <c r="JX162" s="369">
        <f t="shared" si="3033"/>
        <v>198.01980198019803</v>
      </c>
      <c r="JY162" s="84">
        <f t="shared" si="3034"/>
        <v>1.01</v>
      </c>
      <c r="KA162" s="383">
        <f t="shared" si="2601"/>
        <v>1000</v>
      </c>
      <c r="KB162" s="82">
        <f t="shared" si="2601"/>
        <v>2.17</v>
      </c>
      <c r="KC162" s="748">
        <f t="shared" si="2601"/>
        <v>5</v>
      </c>
      <c r="KD162" s="369">
        <f t="shared" si="3035"/>
        <v>460.82949308755764</v>
      </c>
      <c r="KE162" s="84">
        <f t="shared" si="3036"/>
        <v>0.434</v>
      </c>
      <c r="KG162" s="383">
        <f t="shared" ref="KG162:KI162" si="3127">SUM(KG124)</f>
        <v>900</v>
      </c>
      <c r="KH162" s="82">
        <f t="shared" si="3127"/>
        <v>5.71</v>
      </c>
      <c r="KI162" s="748">
        <f t="shared" si="3127"/>
        <v>5</v>
      </c>
      <c r="KJ162" s="369">
        <f t="shared" si="3038"/>
        <v>157.61821366024517</v>
      </c>
      <c r="KK162" s="84">
        <f t="shared" si="3039"/>
        <v>1.1419999999999999</v>
      </c>
      <c r="KM162" s="383">
        <f t="shared" ref="KM162:KO162" si="3128">SUM(KM124)</f>
        <v>1000</v>
      </c>
      <c r="KN162" s="82">
        <f t="shared" si="3128"/>
        <v>6.1499999999999995</v>
      </c>
      <c r="KO162" s="748">
        <f t="shared" si="3128"/>
        <v>5</v>
      </c>
      <c r="KP162" s="369">
        <f t="shared" si="3041"/>
        <v>162.60162601626018</v>
      </c>
      <c r="KQ162" s="84">
        <f t="shared" si="3042"/>
        <v>1.23</v>
      </c>
      <c r="KS162" s="383">
        <f t="shared" ref="KS162:KU162" si="3129">SUM(KS124)</f>
        <v>350</v>
      </c>
      <c r="KT162" s="82">
        <f t="shared" si="3129"/>
        <v>3.8899999999999997</v>
      </c>
      <c r="KU162" s="748">
        <f t="shared" si="3129"/>
        <v>5</v>
      </c>
      <c r="KV162" s="369">
        <f t="shared" si="3044"/>
        <v>89.974293059125969</v>
      </c>
      <c r="KW162" s="84">
        <f t="shared" si="3045"/>
        <v>0.77799999999999991</v>
      </c>
      <c r="KY162" s="383">
        <f t="shared" ref="KY162:LA162" si="3130">SUM(KY124)</f>
        <v>0</v>
      </c>
      <c r="KZ162" s="82">
        <f t="shared" si="3130"/>
        <v>0</v>
      </c>
      <c r="LA162" s="748">
        <f t="shared" si="3130"/>
        <v>0</v>
      </c>
      <c r="LB162" s="369" t="e">
        <f t="shared" si="3047"/>
        <v>#DIV/0!</v>
      </c>
      <c r="LC162" s="84" t="e">
        <f t="shared" si="3048"/>
        <v>#DIV/0!</v>
      </c>
      <c r="LE162" s="383">
        <f t="shared" ref="LE162:LG162" si="3131">SUM(LE124)</f>
        <v>1000</v>
      </c>
      <c r="LF162" s="82">
        <f t="shared" si="3131"/>
        <v>3.3899999999999997</v>
      </c>
      <c r="LG162" s="748">
        <f t="shared" si="3131"/>
        <v>5</v>
      </c>
      <c r="LH162" s="369">
        <f t="shared" si="3050"/>
        <v>294.98525073746316</v>
      </c>
      <c r="LI162" s="84">
        <f t="shared" si="3051"/>
        <v>0.67799999999999994</v>
      </c>
      <c r="LK162" s="383">
        <f t="shared" ref="LK162:LM162" si="3132">SUM(LK124)</f>
        <v>1000</v>
      </c>
      <c r="LL162" s="82">
        <f t="shared" si="3132"/>
        <v>6.3100000000000005</v>
      </c>
      <c r="LM162" s="748">
        <f t="shared" si="3132"/>
        <v>5</v>
      </c>
      <c r="LN162" s="369">
        <f t="shared" si="3053"/>
        <v>158.47860538827257</v>
      </c>
      <c r="LO162" s="84">
        <f t="shared" si="3054"/>
        <v>1.262</v>
      </c>
      <c r="LQ162" s="383">
        <f t="shared" ref="LQ162:LS162" si="3133">SUM(LQ124)</f>
        <v>1000</v>
      </c>
      <c r="LR162" s="82">
        <f t="shared" si="3133"/>
        <v>4.7399999999999993</v>
      </c>
      <c r="LS162" s="748">
        <f t="shared" si="3133"/>
        <v>5</v>
      </c>
      <c r="LT162" s="369">
        <f t="shared" si="3056"/>
        <v>210.97046413502113</v>
      </c>
      <c r="LU162" s="84">
        <f t="shared" si="3057"/>
        <v>0.94799999999999984</v>
      </c>
      <c r="LW162" s="383">
        <f t="shared" ref="LW162:LY162" si="3134">SUM(LW124)</f>
        <v>700</v>
      </c>
      <c r="LX162" s="82">
        <f t="shared" si="3134"/>
        <v>6.9899999999999993</v>
      </c>
      <c r="LY162" s="748">
        <f t="shared" si="3134"/>
        <v>5</v>
      </c>
      <c r="LZ162" s="369">
        <f t="shared" si="3059"/>
        <v>100.14306151645208</v>
      </c>
      <c r="MA162" s="84">
        <f t="shared" si="3060"/>
        <v>1.3979999999999999</v>
      </c>
      <c r="MC162" s="383">
        <f t="shared" ref="MC162:ME162" si="3135">SUM(MC124)</f>
        <v>800</v>
      </c>
      <c r="MD162" s="82">
        <f t="shared" si="3135"/>
        <v>3.6000000000000005</v>
      </c>
      <c r="ME162" s="748">
        <f t="shared" si="3135"/>
        <v>4</v>
      </c>
      <c r="MF162" s="369">
        <f t="shared" si="3062"/>
        <v>222.2222222222222</v>
      </c>
      <c r="MG162" s="84">
        <f t="shared" si="3063"/>
        <v>0.90000000000000013</v>
      </c>
      <c r="MI162" s="383">
        <f t="shared" ref="MI162:MK162" si="3136">SUM(MI124)</f>
        <v>700</v>
      </c>
      <c r="MJ162" s="82">
        <f t="shared" si="3136"/>
        <v>4.96</v>
      </c>
      <c r="MK162" s="748">
        <f t="shared" si="3136"/>
        <v>5</v>
      </c>
      <c r="ML162" s="369">
        <f t="shared" si="3065"/>
        <v>141.12903225806451</v>
      </c>
      <c r="MM162" s="84">
        <f t="shared" si="3066"/>
        <v>0.99199999999999999</v>
      </c>
      <c r="MO162" s="383">
        <f t="shared" ref="MO162:MQ162" si="3137">SUM(MO124)</f>
        <v>0</v>
      </c>
      <c r="MP162" s="82">
        <f t="shared" si="3137"/>
        <v>0</v>
      </c>
      <c r="MQ162" s="748">
        <f t="shared" si="3137"/>
        <v>0</v>
      </c>
      <c r="MR162" s="369" t="e">
        <f t="shared" si="3068"/>
        <v>#DIV/0!</v>
      </c>
      <c r="MS162" s="84" t="e">
        <f t="shared" si="3069"/>
        <v>#DIV/0!</v>
      </c>
      <c r="MU162" s="383">
        <f t="shared" ref="MU162:MW162" si="3138">SUM(MU124)</f>
        <v>0</v>
      </c>
      <c r="MV162" s="82">
        <f t="shared" si="3138"/>
        <v>0</v>
      </c>
      <c r="MW162" s="748">
        <f t="shared" si="3138"/>
        <v>0</v>
      </c>
      <c r="MX162" s="369" t="e">
        <f t="shared" si="3071"/>
        <v>#DIV/0!</v>
      </c>
      <c r="MY162" s="84" t="e">
        <f t="shared" si="3072"/>
        <v>#DIV/0!</v>
      </c>
      <c r="NA162" s="383">
        <f t="shared" ref="NA162:NC162" si="3139">SUM(NA124)</f>
        <v>700</v>
      </c>
      <c r="NB162" s="748">
        <f t="shared" si="3139"/>
        <v>7.6300000000000008</v>
      </c>
      <c r="NC162" s="748">
        <f t="shared" si="3139"/>
        <v>5</v>
      </c>
      <c r="ND162" s="369">
        <f t="shared" si="3074"/>
        <v>91.743119266055032</v>
      </c>
      <c r="NE162" s="84">
        <f t="shared" si="3075"/>
        <v>1.5260000000000002</v>
      </c>
      <c r="NG162" s="383">
        <f t="shared" ref="NG162:NI162" si="3140">SUM(NG124)</f>
        <v>1000</v>
      </c>
      <c r="NH162" s="82">
        <f t="shared" si="3140"/>
        <v>6.3500000000000005</v>
      </c>
      <c r="NI162" s="748">
        <f t="shared" si="3140"/>
        <v>5</v>
      </c>
      <c r="NJ162" s="369">
        <f t="shared" si="3077"/>
        <v>157.4803149606299</v>
      </c>
      <c r="NK162" s="84">
        <f t="shared" si="3078"/>
        <v>1.27</v>
      </c>
      <c r="NM162" s="383">
        <f t="shared" ref="NM162:NO162" si="3141">SUM(NM124)</f>
        <v>1000</v>
      </c>
      <c r="NN162" s="82">
        <f t="shared" si="3141"/>
        <v>6.21</v>
      </c>
      <c r="NO162" s="748">
        <f t="shared" si="3141"/>
        <v>5</v>
      </c>
      <c r="NP162" s="369">
        <f t="shared" si="3080"/>
        <v>161.03059581320451</v>
      </c>
      <c r="NQ162" s="84">
        <f t="shared" si="3081"/>
        <v>1.242</v>
      </c>
      <c r="NS162" s="383">
        <f t="shared" ref="NS162:NU162" si="3142">SUM(NS124)</f>
        <v>1000</v>
      </c>
      <c r="NT162" s="82">
        <f t="shared" si="3142"/>
        <v>8.0400000000000009</v>
      </c>
      <c r="NU162" s="748">
        <f t="shared" si="3142"/>
        <v>5</v>
      </c>
      <c r="NV162" s="369">
        <f t="shared" si="3083"/>
        <v>124.37810945273631</v>
      </c>
      <c r="NW162" s="84">
        <f t="shared" si="3084"/>
        <v>1.6080000000000001</v>
      </c>
      <c r="NY162" s="383">
        <f t="shared" ref="NY162:OA162" si="3143">SUM(NY124)</f>
        <v>1000</v>
      </c>
      <c r="NZ162" s="82">
        <f t="shared" si="3143"/>
        <v>5.45</v>
      </c>
      <c r="OA162" s="748">
        <f t="shared" si="3143"/>
        <v>5</v>
      </c>
      <c r="OB162" s="369">
        <f t="shared" si="3086"/>
        <v>183.48623853211009</v>
      </c>
      <c r="OC162" s="84">
        <f t="shared" si="3087"/>
        <v>1.0900000000000001</v>
      </c>
      <c r="OE162" s="383">
        <f t="shared" ref="OE162:OG162" si="3144">SUM(OE124)</f>
        <v>1000</v>
      </c>
      <c r="OF162" s="82">
        <f t="shared" si="3144"/>
        <v>6.52</v>
      </c>
      <c r="OG162" s="748">
        <f t="shared" si="3144"/>
        <v>5</v>
      </c>
      <c r="OH162" s="369">
        <f t="shared" si="3089"/>
        <v>153.37423312883436</v>
      </c>
      <c r="OI162" s="84">
        <f t="shared" si="3090"/>
        <v>1.3039999999999998</v>
      </c>
    </row>
    <row r="163" spans="1:399">
      <c r="A163" s="69"/>
      <c r="B163" s="71" t="s">
        <v>41</v>
      </c>
      <c r="C163" s="60"/>
      <c r="D163" s="58" t="s">
        <v>14</v>
      </c>
      <c r="E163" s="79">
        <f>SUM(E125:E126)</f>
        <v>1000</v>
      </c>
      <c r="F163" s="82">
        <f>SUM(F125:F126)</f>
        <v>1.37</v>
      </c>
      <c r="G163" s="79">
        <f>SUM(G125:G126)</f>
        <v>2</v>
      </c>
      <c r="H163" s="82">
        <f t="shared" si="2923"/>
        <v>729.92700729927003</v>
      </c>
      <c r="I163" s="84">
        <f t="shared" si="2924"/>
        <v>0.68500000000000005</v>
      </c>
      <c r="J163" s="589"/>
      <c r="K163" s="79">
        <f>SUM(K125:K126)</f>
        <v>0</v>
      </c>
      <c r="L163" s="82">
        <f>SUM(L125:L126)</f>
        <v>0</v>
      </c>
      <c r="M163" s="79">
        <f>SUM(M125:M126)</f>
        <v>0</v>
      </c>
      <c r="N163" s="82" t="e">
        <f t="shared" si="2925"/>
        <v>#DIV/0!</v>
      </c>
      <c r="O163" s="84" t="e">
        <f t="shared" si="2926"/>
        <v>#DIV/0!</v>
      </c>
      <c r="P163" s="589"/>
      <c r="Q163" s="79">
        <f>SUM(Q125:Q126)</f>
        <v>1780</v>
      </c>
      <c r="R163" s="82">
        <f>SUM(R125:R126)</f>
        <v>6.8</v>
      </c>
      <c r="S163" s="79">
        <f>SUM(S125:S126)</f>
        <v>10</v>
      </c>
      <c r="T163" s="82">
        <f t="shared" si="2927"/>
        <v>261.76470588235293</v>
      </c>
      <c r="U163" s="84">
        <f t="shared" si="2928"/>
        <v>0.67999999999999994</v>
      </c>
      <c r="V163" s="589"/>
      <c r="W163" s="79">
        <f>SUM(W125:W126)</f>
        <v>2500</v>
      </c>
      <c r="X163" s="82">
        <f>SUM(X125:X126)</f>
        <v>2.04</v>
      </c>
      <c r="Y163" s="79">
        <f>SUM(Y125:Y126)</f>
        <v>5</v>
      </c>
      <c r="Z163" s="82">
        <f t="shared" si="2929"/>
        <v>1225.4901960784314</v>
      </c>
      <c r="AA163" s="84">
        <f t="shared" si="2930"/>
        <v>0.40800000000000003</v>
      </c>
      <c r="AB163" s="589"/>
      <c r="AC163" s="79">
        <f>SUM(AC125:AC126)</f>
        <v>2700</v>
      </c>
      <c r="AD163" s="82">
        <f>SUM(AD125:AD126)</f>
        <v>5.6999999999999993</v>
      </c>
      <c r="AE163" s="79">
        <f>SUM(AE125:AE126)</f>
        <v>10</v>
      </c>
      <c r="AF163" s="82">
        <f t="shared" si="2931"/>
        <v>473.68421052631584</v>
      </c>
      <c r="AG163" s="84">
        <f t="shared" si="2932"/>
        <v>0.56999999999999995</v>
      </c>
      <c r="AH163" s="589"/>
      <c r="AI163" s="79">
        <f>SUM(AI125:AI126)</f>
        <v>2500</v>
      </c>
      <c r="AJ163" s="82">
        <f>SUM(AJ125:AJ126)</f>
        <v>6.8099999999999987</v>
      </c>
      <c r="AK163" s="79">
        <f>SUM(AK125:AK126)</f>
        <v>5</v>
      </c>
      <c r="AL163" s="82">
        <f t="shared" si="2933"/>
        <v>367.10719530102796</v>
      </c>
      <c r="AM163" s="84">
        <f t="shared" si="2934"/>
        <v>1.3619999999999997</v>
      </c>
      <c r="AN163" s="589"/>
      <c r="AO163" s="79">
        <f>SUM(AO125:AO126)</f>
        <v>0</v>
      </c>
      <c r="AP163" s="82">
        <f>SUM(AP125:AP126)</f>
        <v>0</v>
      </c>
      <c r="AQ163" s="79">
        <f>SUM(AQ125:AQ126)</f>
        <v>0</v>
      </c>
      <c r="AR163" s="82" t="e">
        <f t="shared" si="2935"/>
        <v>#DIV/0!</v>
      </c>
      <c r="AS163" s="84" t="e">
        <f t="shared" si="2936"/>
        <v>#DIV/0!</v>
      </c>
      <c r="AT163" s="589"/>
      <c r="AU163" s="79">
        <f>SUM(AU125:AU126)</f>
        <v>2050</v>
      </c>
      <c r="AV163" s="82">
        <f>SUM(AV125:AV126)</f>
        <v>6.2000000000000011</v>
      </c>
      <c r="AW163" s="79">
        <f>SUM(AW125:AW126)</f>
        <v>10</v>
      </c>
      <c r="AX163" s="82">
        <f t="shared" si="2937"/>
        <v>330.64516129032251</v>
      </c>
      <c r="AY163" s="84">
        <f t="shared" si="2938"/>
        <v>0.62000000000000011</v>
      </c>
      <c r="AZ163" s="84"/>
      <c r="BA163" s="79">
        <f>SUM(BA125:BA126)</f>
        <v>500</v>
      </c>
      <c r="BB163" s="82">
        <f>SUM(BB125:BB126)</f>
        <v>0.31</v>
      </c>
      <c r="BC163" s="79">
        <f>SUM(BC125:BC126)</f>
        <v>1</v>
      </c>
      <c r="BD163" s="82">
        <f t="shared" si="2939"/>
        <v>1612.9032258064517</v>
      </c>
      <c r="BE163" s="84">
        <f t="shared" si="2940"/>
        <v>0.31</v>
      </c>
      <c r="BF163" s="84"/>
      <c r="BG163" s="79">
        <f>SUM(BG125:BG126)</f>
        <v>0</v>
      </c>
      <c r="BH163" s="82">
        <f>SUM(BH125:BH126)</f>
        <v>0</v>
      </c>
      <c r="BI163" s="79">
        <f>SUM(BI125:BI126)</f>
        <v>0</v>
      </c>
      <c r="BJ163" s="82" t="e">
        <f t="shared" si="2941"/>
        <v>#DIV/0!</v>
      </c>
      <c r="BK163" s="84" t="e">
        <f t="shared" si="2942"/>
        <v>#DIV/0!</v>
      </c>
      <c r="BL163" s="84"/>
      <c r="BM163" s="79">
        <f>SUM(BM125:BM126)</f>
        <v>0</v>
      </c>
      <c r="BN163" s="82">
        <f>SUM(BN125:BN126)</f>
        <v>0</v>
      </c>
      <c r="BO163" s="79">
        <f>SUM(BO125:BO126)</f>
        <v>0</v>
      </c>
      <c r="BP163" s="82" t="e">
        <f t="shared" si="2943"/>
        <v>#DIV/0!</v>
      </c>
      <c r="BQ163" s="84" t="e">
        <f t="shared" si="2944"/>
        <v>#DIV/0!</v>
      </c>
      <c r="BR163" s="589"/>
      <c r="BS163" s="79">
        <f>SUM(BS125:BS126)</f>
        <v>0</v>
      </c>
      <c r="BT163" s="82">
        <f>SUM(BT125:BT126)</f>
        <v>0</v>
      </c>
      <c r="BU163" s="79">
        <f>SUM(BU125:BU126)</f>
        <v>0</v>
      </c>
      <c r="BV163" s="82" t="e">
        <f t="shared" si="2945"/>
        <v>#DIV/0!</v>
      </c>
      <c r="BW163" s="84" t="e">
        <f t="shared" si="2946"/>
        <v>#DIV/0!</v>
      </c>
      <c r="BX163" s="84"/>
      <c r="BY163" s="79">
        <f>SUM(BY125:BY126)</f>
        <v>2050</v>
      </c>
      <c r="BZ163" s="82">
        <f>SUM(BZ125:BZ126)</f>
        <v>6.2000000000000011</v>
      </c>
      <c r="CA163" s="79">
        <f>SUM(CA125:CA126)</f>
        <v>10</v>
      </c>
      <c r="CB163" s="82">
        <f t="shared" si="2947"/>
        <v>330.64516129032251</v>
      </c>
      <c r="CC163" s="84">
        <f t="shared" si="2948"/>
        <v>0.62000000000000011</v>
      </c>
      <c r="CD163" s="84"/>
      <c r="CE163" s="79">
        <f>SUM(CE125:CE126)</f>
        <v>0</v>
      </c>
      <c r="CF163" s="82">
        <f>SUM(CF125:CF126)</f>
        <v>0</v>
      </c>
      <c r="CG163" s="79">
        <f>SUM(CG125:CG126)</f>
        <v>0</v>
      </c>
      <c r="CH163" s="82" t="e">
        <f t="shared" si="2949"/>
        <v>#DIV/0!</v>
      </c>
      <c r="CI163" s="84" t="e">
        <f t="shared" si="2950"/>
        <v>#DIV/0!</v>
      </c>
      <c r="CJ163" s="84"/>
      <c r="CK163" s="79">
        <f>SUM(CK125:CK126)</f>
        <v>0</v>
      </c>
      <c r="CL163" s="82">
        <f>SUM(CL125:CL126)</f>
        <v>0</v>
      </c>
      <c r="CM163" s="79">
        <f>SUM(CM125:CM126)</f>
        <v>0</v>
      </c>
      <c r="CN163" s="82" t="e">
        <f t="shared" si="2951"/>
        <v>#DIV/0!</v>
      </c>
      <c r="CO163" s="84" t="e">
        <f t="shared" si="2952"/>
        <v>#DIV/0!</v>
      </c>
      <c r="CP163" s="84"/>
      <c r="CQ163" s="79">
        <f>SUM(CQ125:CQ126)</f>
        <v>0</v>
      </c>
      <c r="CR163" s="82">
        <f>SUM(CR125:CR126)</f>
        <v>0</v>
      </c>
      <c r="CS163" s="79">
        <f>SUM(CS125:CS126)</f>
        <v>0</v>
      </c>
      <c r="CT163" s="82" t="e">
        <f t="shared" si="2953"/>
        <v>#DIV/0!</v>
      </c>
      <c r="CU163" s="84" t="e">
        <f t="shared" si="2954"/>
        <v>#DIV/0!</v>
      </c>
      <c r="CV163" s="84"/>
      <c r="CW163" s="79">
        <f>SUM(CW125:CW126)</f>
        <v>2050</v>
      </c>
      <c r="CX163" s="82">
        <f>SUM(CX125:CX126)</f>
        <v>6.2000000000000011</v>
      </c>
      <c r="CY163" s="79">
        <f>SUM(CY125:CY126)</f>
        <v>10</v>
      </c>
      <c r="CZ163" s="82">
        <f t="shared" si="2955"/>
        <v>330.64516129032251</v>
      </c>
      <c r="DA163" s="84">
        <f t="shared" si="2956"/>
        <v>0.62000000000000011</v>
      </c>
      <c r="DB163" s="84"/>
      <c r="DC163" s="79">
        <f>SUM(DC125:DC126)</f>
        <v>2250</v>
      </c>
      <c r="DD163" s="82">
        <f>SUM(DD125:DD126)</f>
        <v>5.81</v>
      </c>
      <c r="DE163" s="79">
        <f>SUM(DE125:DE126)</f>
        <v>10</v>
      </c>
      <c r="DF163" s="82">
        <f t="shared" si="2957"/>
        <v>387.26333907056801</v>
      </c>
      <c r="DG163" s="84">
        <f t="shared" si="2958"/>
        <v>0.58099999999999996</v>
      </c>
      <c r="DH163" s="84"/>
      <c r="DI163" s="79">
        <f>SUM(DI125:DI126)</f>
        <v>2000</v>
      </c>
      <c r="DJ163" s="82">
        <f>SUM(DJ125:DJ126)</f>
        <v>4.3999999999999995</v>
      </c>
      <c r="DK163" s="79">
        <f>SUM(DK125:DK126)</f>
        <v>5</v>
      </c>
      <c r="DL163" s="82">
        <f t="shared" si="2959"/>
        <v>454.54545454545462</v>
      </c>
      <c r="DM163" s="84">
        <f t="shared" si="2960"/>
        <v>0.87999999999999989</v>
      </c>
      <c r="DN163" s="84"/>
      <c r="DO163" s="79">
        <f>SUM(DO125:DO126)</f>
        <v>1500</v>
      </c>
      <c r="DP163" s="82">
        <f>SUM(DP125:DP126)</f>
        <v>9.18</v>
      </c>
      <c r="DQ163" s="79">
        <f>SUM(DQ125:DQ126)</f>
        <v>10</v>
      </c>
      <c r="DR163" s="82">
        <f t="shared" si="2961"/>
        <v>163.39869281045753</v>
      </c>
      <c r="DS163" s="84">
        <f t="shared" si="2962"/>
        <v>0.91799999999999993</v>
      </c>
      <c r="DT163" s="84"/>
      <c r="DU163" s="79">
        <f>SUM(DU125:DU126)</f>
        <v>0</v>
      </c>
      <c r="DV163" s="82">
        <f>SUM(DV125:DV126)</f>
        <v>0</v>
      </c>
      <c r="DW163" s="79">
        <f>SUM(DW125:DW126)</f>
        <v>0</v>
      </c>
      <c r="DX163" s="82" t="e">
        <f t="shared" si="2963"/>
        <v>#DIV/0!</v>
      </c>
      <c r="DY163" s="84" t="e">
        <f t="shared" si="2964"/>
        <v>#DIV/0!</v>
      </c>
      <c r="DZ163" s="84"/>
      <c r="EA163" s="79">
        <f>SUM(EA125:EA126)</f>
        <v>0</v>
      </c>
      <c r="EB163" s="82">
        <f>SUM(EB125:EB126)</f>
        <v>0</v>
      </c>
      <c r="EC163" s="79">
        <f>SUM(EC125:EC126)</f>
        <v>0</v>
      </c>
      <c r="ED163" s="82" t="e">
        <f t="shared" si="2965"/>
        <v>#DIV/0!</v>
      </c>
      <c r="EE163" s="84" t="e">
        <f t="shared" si="2966"/>
        <v>#DIV/0!</v>
      </c>
      <c r="EF163" s="84"/>
      <c r="EG163" s="79">
        <f>SUM(EG125:EG126)</f>
        <v>0</v>
      </c>
      <c r="EH163" s="82">
        <f>SUM(EH125:EH126)</f>
        <v>0</v>
      </c>
      <c r="EI163" s="79">
        <f>SUM(EI125:EI126)</f>
        <v>0</v>
      </c>
      <c r="EJ163" s="82" t="e">
        <f t="shared" si="2967"/>
        <v>#DIV/0!</v>
      </c>
      <c r="EK163" s="84" t="e">
        <f t="shared" si="2968"/>
        <v>#DIV/0!</v>
      </c>
      <c r="EL163" s="84"/>
      <c r="EM163" s="79">
        <f>SUM(EM125:EM126)</f>
        <v>0</v>
      </c>
      <c r="EN163" s="82">
        <f>SUM(EN125:EN126)</f>
        <v>0</v>
      </c>
      <c r="EO163" s="79">
        <f>SUM(EO125:EO126)</f>
        <v>0</v>
      </c>
      <c r="EP163" s="82" t="e">
        <f t="shared" si="2969"/>
        <v>#DIV/0!</v>
      </c>
      <c r="EQ163" s="84" t="e">
        <f t="shared" si="2970"/>
        <v>#DIV/0!</v>
      </c>
      <c r="ER163" s="589"/>
      <c r="ES163" s="79">
        <f>SUM(ES125:ES126)</f>
        <v>2050</v>
      </c>
      <c r="ET163" s="82">
        <f>SUM(ET125:ET126)</f>
        <v>6.2000000000000011</v>
      </c>
      <c r="EU163" s="79">
        <f>SUM(EU125:EU126)</f>
        <v>10</v>
      </c>
      <c r="EV163" s="82">
        <f t="shared" si="2971"/>
        <v>330.64516129032251</v>
      </c>
      <c r="EW163" s="84">
        <f t="shared" si="2972"/>
        <v>0.62000000000000011</v>
      </c>
      <c r="EY163" s="91">
        <f>SUM(EY125:EY126)</f>
        <v>2500</v>
      </c>
      <c r="EZ163" s="82">
        <f>SUM(EZ125:EZ126)</f>
        <v>6.8099999999999987</v>
      </c>
      <c r="FA163" s="371">
        <f>SUM(FA125:FA126)</f>
        <v>5</v>
      </c>
      <c r="FB163" s="369">
        <f t="shared" si="2991"/>
        <v>367.10719530102796</v>
      </c>
      <c r="FC163" s="370">
        <f t="shared" si="2992"/>
        <v>1.3619999999999997</v>
      </c>
      <c r="FD163" s="178"/>
      <c r="FE163" s="379">
        <f>SUM(FE125:FE126)</f>
        <v>1780</v>
      </c>
      <c r="FF163" s="369">
        <f>SUM(FF125:FF126)</f>
        <v>6.8</v>
      </c>
      <c r="FG163" s="371">
        <f>SUM(FG125:FG126)</f>
        <v>10</v>
      </c>
      <c r="FH163" s="369">
        <f t="shared" si="2993"/>
        <v>261.76470588235293</v>
      </c>
      <c r="FI163" s="370">
        <f t="shared" si="2994"/>
        <v>0.67999999999999994</v>
      </c>
      <c r="FK163" s="91">
        <f>SUM(FK125:FK126)</f>
        <v>300</v>
      </c>
      <c r="FL163" s="369">
        <f>SUM(FL125:FL126)</f>
        <v>0.36</v>
      </c>
      <c r="FM163" s="371">
        <f>SUM(FM125:FM126)</f>
        <v>1</v>
      </c>
      <c r="FN163" s="369">
        <f t="shared" si="2995"/>
        <v>833.33333333333337</v>
      </c>
      <c r="FO163" s="370">
        <f t="shared" si="2996"/>
        <v>0.36</v>
      </c>
      <c r="FQ163" s="91">
        <f>SUM(FQ125:FQ126)</f>
        <v>1650</v>
      </c>
      <c r="FR163" s="369">
        <f>SUM(FR125:FR126)</f>
        <v>3.61</v>
      </c>
      <c r="FS163" s="371">
        <f>SUM(FS125:FS126)</f>
        <v>5</v>
      </c>
      <c r="FT163" s="369">
        <f t="shared" si="2997"/>
        <v>457.06371191135736</v>
      </c>
      <c r="FU163" s="370">
        <f t="shared" si="2998"/>
        <v>0.72199999999999998</v>
      </c>
      <c r="FV163" s="178"/>
      <c r="FW163" s="91">
        <f>SUM(FW125:FW126)</f>
        <v>3000</v>
      </c>
      <c r="FX163" s="369">
        <f>SUM(FX125:FX126)</f>
        <v>5.46</v>
      </c>
      <c r="FY163" s="371">
        <f>SUM(FY125:FY126)</f>
        <v>10</v>
      </c>
      <c r="FZ163" s="369">
        <f t="shared" si="2999"/>
        <v>549.45054945054949</v>
      </c>
      <c r="GA163" s="370">
        <f t="shared" si="3000"/>
        <v>0.54600000000000004</v>
      </c>
      <c r="GC163" s="379">
        <f>SUM(GC125:GC126)</f>
        <v>700</v>
      </c>
      <c r="GD163" s="369">
        <f>SUM(GD125:GD126)</f>
        <v>2.02</v>
      </c>
      <c r="GE163" s="371">
        <f>SUM(GE125:GE126)</f>
        <v>2</v>
      </c>
      <c r="GF163" s="369">
        <f t="shared" si="3001"/>
        <v>346.53465346534654</v>
      </c>
      <c r="GG163" s="370">
        <f t="shared" si="3002"/>
        <v>1.01</v>
      </c>
      <c r="GI163" s="379">
        <f>SUM(GI125:GI126)</f>
        <v>1450</v>
      </c>
      <c r="GJ163" s="369">
        <f>SUM(GJ125:GJ126)</f>
        <v>2.9899999999999998</v>
      </c>
      <c r="GK163" s="371">
        <f>SUM(GK125:GK126)</f>
        <v>10</v>
      </c>
      <c r="GL163" s="369">
        <f t="shared" si="3003"/>
        <v>484.94983277591979</v>
      </c>
      <c r="GM163" s="370">
        <f t="shared" si="3004"/>
        <v>0.29899999999999999</v>
      </c>
      <c r="GO163" s="379">
        <f>SUM(GO125:GO126)</f>
        <v>2500</v>
      </c>
      <c r="GP163" s="369">
        <f>SUM(GP125:GP126)</f>
        <v>5.13</v>
      </c>
      <c r="GQ163" s="371">
        <f>SUM(GQ125:GQ126)</f>
        <v>10</v>
      </c>
      <c r="GR163" s="369">
        <f t="shared" si="3005"/>
        <v>487.32943469785579</v>
      </c>
      <c r="GS163" s="370">
        <f t="shared" si="3006"/>
        <v>0.51300000000000001</v>
      </c>
      <c r="GU163" s="379">
        <f>SUM(GU125:GU126)</f>
        <v>2050</v>
      </c>
      <c r="GV163" s="369">
        <f>SUM(GV125:GV126)</f>
        <v>6.97</v>
      </c>
      <c r="GW163" s="371">
        <f>SUM(GW125:GW126)</f>
        <v>10</v>
      </c>
      <c r="GX163" s="369">
        <f t="shared" si="3007"/>
        <v>294.11764705882354</v>
      </c>
      <c r="GY163" s="370">
        <f t="shared" si="3008"/>
        <v>0.69699999999999995</v>
      </c>
      <c r="HA163" s="91">
        <f>SUM(HA125:HA126)</f>
        <v>1220</v>
      </c>
      <c r="HB163" s="82">
        <f>SUM(HB125:HB126)</f>
        <v>8.9600000000000009</v>
      </c>
      <c r="HC163" s="371">
        <f>SUM(HC125:HC126)</f>
        <v>10</v>
      </c>
      <c r="HD163" s="369">
        <f t="shared" si="3009"/>
        <v>136.16071428571428</v>
      </c>
      <c r="HE163" s="370">
        <f t="shared" si="3010"/>
        <v>0.89600000000000013</v>
      </c>
      <c r="HG163" s="91">
        <f>SUM(HG125:HG126)</f>
        <v>1500</v>
      </c>
      <c r="HH163" s="82">
        <f>SUM(HH125:HH126)</f>
        <v>9.18</v>
      </c>
      <c r="HI163" s="79">
        <f>SUM(HI125:HI126)</f>
        <v>10</v>
      </c>
      <c r="HJ163" s="82">
        <f t="shared" si="3011"/>
        <v>163.39869281045753</v>
      </c>
      <c r="HK163" s="84">
        <f t="shared" si="3012"/>
        <v>0.91799999999999993</v>
      </c>
      <c r="HM163" s="91">
        <f>SUM(HM125:HM126)</f>
        <v>1000</v>
      </c>
      <c r="HN163" s="82">
        <f>SUM(HN125:HN126)</f>
        <v>1.37</v>
      </c>
      <c r="HO163" s="371">
        <f>SUM(HO125:HO126)</f>
        <v>2</v>
      </c>
      <c r="HP163" s="369">
        <f t="shared" si="3013"/>
        <v>729.92700729927003</v>
      </c>
      <c r="HQ163" s="370">
        <f t="shared" si="3014"/>
        <v>0.68500000000000005</v>
      </c>
      <c r="HS163" s="91">
        <f>SUM(HS125:HS126)</f>
        <v>0</v>
      </c>
      <c r="HT163" s="82">
        <f>SUM(HT125:HT126)</f>
        <v>0</v>
      </c>
      <c r="HU163" s="371">
        <f>SUM(HU125:HU126)</f>
        <v>0</v>
      </c>
      <c r="HV163" s="361" t="e">
        <f>HS163/HT163</f>
        <v>#DIV/0!</v>
      </c>
      <c r="HW163" s="362" t="e">
        <f>HT163/HU163</f>
        <v>#DIV/0!</v>
      </c>
      <c r="HX163" s="178"/>
      <c r="HY163" s="91">
        <f>SUM(HY125:HY126)</f>
        <v>1800</v>
      </c>
      <c r="HZ163" s="82">
        <f>SUM(HZ125:HZ126)</f>
        <v>1.88</v>
      </c>
      <c r="IA163" s="371">
        <f>SUM(IA125:IA126)</f>
        <v>5</v>
      </c>
      <c r="IB163" s="369">
        <f t="shared" si="3017"/>
        <v>957.44680851063833</v>
      </c>
      <c r="IC163" s="370">
        <f t="shared" si="3018"/>
        <v>0.376</v>
      </c>
      <c r="IE163" s="383">
        <f>SUM(IE125:IE126)</f>
        <v>200</v>
      </c>
      <c r="IF163" s="82">
        <f>SUM(IF125:IF126)</f>
        <v>0.48</v>
      </c>
      <c r="IG163" s="79">
        <f>SUM(IG125:IG126)</f>
        <v>1</v>
      </c>
      <c r="IH163" s="82">
        <f>IE163/IF163</f>
        <v>416.66666666666669</v>
      </c>
      <c r="II163" s="84">
        <f t="shared" si="3020"/>
        <v>0.48</v>
      </c>
      <c r="IK163" s="383">
        <f>SUM(IK125:IK126)</f>
        <v>2500</v>
      </c>
      <c r="IL163" s="82">
        <f>SUM(IL125:IL126)</f>
        <v>5.69</v>
      </c>
      <c r="IM163" s="79">
        <f>SUM(IM125:IM126)</f>
        <v>7</v>
      </c>
      <c r="IN163" s="82">
        <f>IK163/IL163</f>
        <v>439.36731107205622</v>
      </c>
      <c r="IO163" s="84">
        <f t="shared" si="3022"/>
        <v>0.81285714285714294</v>
      </c>
      <c r="IQ163" s="383">
        <f>SUM(IQ125:IQ126)</f>
        <v>1000</v>
      </c>
      <c r="IR163" s="82">
        <f>SUM(IR125:IR126)</f>
        <v>3.59</v>
      </c>
      <c r="IS163" s="79">
        <f>SUM(IS125:IS126)</f>
        <v>3</v>
      </c>
      <c r="IT163" s="82">
        <f>IQ163/IR163</f>
        <v>278.55153203342621</v>
      </c>
      <c r="IU163" s="84">
        <f t="shared" si="3024"/>
        <v>1.1966666666666665</v>
      </c>
      <c r="IW163" s="383">
        <f>SUM(IW125:IW126)</f>
        <v>1300</v>
      </c>
      <c r="IX163" s="82">
        <f>SUM(IX125:IX126)</f>
        <v>3.1399999999999997</v>
      </c>
      <c r="IY163" s="79">
        <f>SUM(IY125:IY126)</f>
        <v>5</v>
      </c>
      <c r="IZ163" s="82">
        <f>IW163/IX163</f>
        <v>414.01273885350321</v>
      </c>
      <c r="JA163" s="84">
        <f t="shared" si="3026"/>
        <v>0.62799999999999989</v>
      </c>
      <c r="JC163" s="383">
        <f>SUM(JC125:JC126)</f>
        <v>1800</v>
      </c>
      <c r="JD163" s="82">
        <f>SUM(JD125:JD126)</f>
        <v>7.47</v>
      </c>
      <c r="JE163" s="79">
        <f>SUM(JE125:JE126)</f>
        <v>9</v>
      </c>
      <c r="JF163" s="82">
        <f>JC163/JD163</f>
        <v>240.96385542168676</v>
      </c>
      <c r="JG163" s="84">
        <f t="shared" si="3028"/>
        <v>0.83</v>
      </c>
      <c r="JI163" s="383">
        <f>SUM(JI125:JI126)</f>
        <v>850</v>
      </c>
      <c r="JJ163" s="82">
        <f>SUM(JJ125:JJ126)</f>
        <v>6.1899999999999995</v>
      </c>
      <c r="JK163" s="79">
        <f>SUM(JK125:JK126)</f>
        <v>5</v>
      </c>
      <c r="JL163" s="82">
        <f>JI163/JJ163</f>
        <v>137.31825525040389</v>
      </c>
      <c r="JM163" s="84">
        <f t="shared" si="3030"/>
        <v>1.238</v>
      </c>
      <c r="JO163" s="383">
        <f>SUM(JO125:JO126)</f>
        <v>1000</v>
      </c>
      <c r="JP163" s="82">
        <f>SUM(JP125:JP126)</f>
        <v>5.93</v>
      </c>
      <c r="JQ163" s="79">
        <f>SUM(JQ125:JQ126)</f>
        <v>5</v>
      </c>
      <c r="JR163" s="82">
        <f>JO163/JP163</f>
        <v>168.63406408094437</v>
      </c>
      <c r="JS163" s="84">
        <f t="shared" si="3032"/>
        <v>1.1859999999999999</v>
      </c>
      <c r="JU163" s="383">
        <f>SUM(JU125:JU126)</f>
        <v>2500</v>
      </c>
      <c r="JV163" s="82">
        <f>SUM(JV125:JV126)</f>
        <v>4.1999999999999993</v>
      </c>
      <c r="JW163" s="748">
        <f>SUM(JW125:JW126)</f>
        <v>5</v>
      </c>
      <c r="JX163" s="369">
        <f>JU163/JV163</f>
        <v>595.2380952380953</v>
      </c>
      <c r="JY163" s="84">
        <f t="shared" si="3034"/>
        <v>0.83999999999999986</v>
      </c>
      <c r="KA163" s="383">
        <f>SUM(KA125:KA126)</f>
        <v>0</v>
      </c>
      <c r="KB163" s="82">
        <f>SUM(KB125:KB126)</f>
        <v>0</v>
      </c>
      <c r="KC163" s="748">
        <f>SUM(KC125:KC126)</f>
        <v>0</v>
      </c>
      <c r="KD163" s="369" t="e">
        <f>KA163/KB163</f>
        <v>#DIV/0!</v>
      </c>
      <c r="KE163" s="84" t="e">
        <f t="shared" si="3036"/>
        <v>#DIV/0!</v>
      </c>
      <c r="KG163" s="383">
        <f>SUM(KG125:KG126)</f>
        <v>0</v>
      </c>
      <c r="KH163" s="82">
        <f>SUM(KH125:KH126)</f>
        <v>0</v>
      </c>
      <c r="KI163" s="748">
        <f>SUM(KI125:KI126)</f>
        <v>0</v>
      </c>
      <c r="KJ163" s="369" t="e">
        <f>KG163/KH163</f>
        <v>#DIV/0!</v>
      </c>
      <c r="KK163" s="84" t="e">
        <f t="shared" si="3039"/>
        <v>#DIV/0!</v>
      </c>
      <c r="KM163" s="383">
        <f>SUM(KM125:KM126)</f>
        <v>0</v>
      </c>
      <c r="KN163" s="82">
        <f>SUM(KN125:KN126)</f>
        <v>0</v>
      </c>
      <c r="KO163" s="748">
        <f>SUM(KO125:KO126)</f>
        <v>0</v>
      </c>
      <c r="KP163" s="369" t="e">
        <f>KM163/KN163</f>
        <v>#DIV/0!</v>
      </c>
      <c r="KQ163" s="84" t="e">
        <f t="shared" si="3042"/>
        <v>#DIV/0!</v>
      </c>
      <c r="KS163" s="383">
        <f>SUM(KS125:KS126)</f>
        <v>0</v>
      </c>
      <c r="KT163" s="82">
        <f>SUM(KT125:KT126)</f>
        <v>0</v>
      </c>
      <c r="KU163" s="748">
        <f>SUM(KU125:KU126)</f>
        <v>0</v>
      </c>
      <c r="KV163" s="369" t="e">
        <f>KS163/KT163</f>
        <v>#DIV/0!</v>
      </c>
      <c r="KW163" s="84" t="e">
        <f t="shared" si="3045"/>
        <v>#DIV/0!</v>
      </c>
      <c r="KY163" s="383">
        <f>SUM(KY125:KY126)</f>
        <v>0</v>
      </c>
      <c r="KZ163" s="82">
        <f>SUM(KZ125:KZ126)</f>
        <v>0</v>
      </c>
      <c r="LA163" s="748">
        <f>SUM(LA125:LA126)</f>
        <v>0</v>
      </c>
      <c r="LB163" s="369" t="e">
        <f>KY163/KZ163</f>
        <v>#DIV/0!</v>
      </c>
      <c r="LC163" s="84" t="e">
        <f t="shared" si="3048"/>
        <v>#DIV/0!</v>
      </c>
      <c r="LE163" s="383">
        <f>SUM(LE125:LE126)</f>
        <v>0</v>
      </c>
      <c r="LF163" s="82">
        <f>SUM(LF125:LF126)</f>
        <v>0</v>
      </c>
      <c r="LG163" s="748">
        <f>SUM(LG125:LG126)</f>
        <v>0</v>
      </c>
      <c r="LH163" s="369" t="e">
        <f>LE163/LF163</f>
        <v>#DIV/0!</v>
      </c>
      <c r="LI163" s="84" t="e">
        <f t="shared" si="3051"/>
        <v>#DIV/0!</v>
      </c>
      <c r="LK163" s="383">
        <f>SUM(LK125:LK126)</f>
        <v>2000</v>
      </c>
      <c r="LL163" s="82">
        <f>SUM(LL125:LL126)</f>
        <v>95.800000000000011</v>
      </c>
      <c r="LM163" s="748">
        <f>SUM(LM125:LM126)</f>
        <v>4</v>
      </c>
      <c r="LN163" s="369">
        <f>LK163/LL163</f>
        <v>20.876826722338201</v>
      </c>
      <c r="LO163" s="84">
        <f t="shared" si="3054"/>
        <v>23.950000000000003</v>
      </c>
      <c r="LQ163" s="383">
        <f>SUM(LQ125:LQ126)</f>
        <v>2100</v>
      </c>
      <c r="LR163" s="82">
        <f>SUM(LR125:LR126)</f>
        <v>9.4699999999999989</v>
      </c>
      <c r="LS163" s="748">
        <f>SUM(LS125:LS126)</f>
        <v>10</v>
      </c>
      <c r="LT163" s="369">
        <f>LQ163/LR163</f>
        <v>221.75290390707499</v>
      </c>
      <c r="LU163" s="84">
        <f t="shared" si="3057"/>
        <v>0.94699999999999984</v>
      </c>
      <c r="LW163" s="383">
        <f>SUM(LW125:LW126)</f>
        <v>1500</v>
      </c>
      <c r="LX163" s="82">
        <f>SUM(LX125:LX126)</f>
        <v>7.25</v>
      </c>
      <c r="LY163" s="748">
        <f>SUM(LY125:LY126)</f>
        <v>10</v>
      </c>
      <c r="LZ163" s="369">
        <f>LW163/LX163</f>
        <v>206.89655172413794</v>
      </c>
      <c r="MA163" s="84">
        <f t="shared" si="3060"/>
        <v>0.72499999999999998</v>
      </c>
      <c r="MC163" s="383">
        <f>SUM(MC125:MC126)</f>
        <v>1680</v>
      </c>
      <c r="MD163" s="82">
        <f>SUM(MD125:MD126)</f>
        <v>6.66</v>
      </c>
      <c r="ME163" s="748">
        <f>SUM(ME125:ME126)</f>
        <v>10</v>
      </c>
      <c r="MF163" s="369">
        <f>MC163/MD163</f>
        <v>252.25225225225225</v>
      </c>
      <c r="MG163" s="84">
        <f t="shared" si="3063"/>
        <v>0.66600000000000004</v>
      </c>
      <c r="MI163" s="383">
        <f>SUM(MI125:MI126)</f>
        <v>1000</v>
      </c>
      <c r="MJ163" s="82">
        <f>SUM(MJ125:MJ126)</f>
        <v>5.37</v>
      </c>
      <c r="MK163" s="748">
        <f>SUM(MK125:MK126)</f>
        <v>5</v>
      </c>
      <c r="ML163" s="369">
        <f>MI163/MJ163</f>
        <v>186.21973929236498</v>
      </c>
      <c r="MM163" s="84">
        <f t="shared" si="3066"/>
        <v>1.0740000000000001</v>
      </c>
      <c r="MO163" s="383">
        <f>SUM(MO125:MO126)</f>
        <v>0</v>
      </c>
      <c r="MP163" s="82">
        <f>SUM(MP125:MP126)</f>
        <v>0</v>
      </c>
      <c r="MQ163" s="748">
        <f>SUM(MQ125:MQ126)</f>
        <v>0</v>
      </c>
      <c r="MR163" s="369" t="e">
        <f>MO163/MP163</f>
        <v>#DIV/0!</v>
      </c>
      <c r="MS163" s="84" t="e">
        <f t="shared" si="3069"/>
        <v>#DIV/0!</v>
      </c>
      <c r="MU163" s="383">
        <f>SUM(MU125:MU126)</f>
        <v>0</v>
      </c>
      <c r="MV163" s="82">
        <f>SUM(MV125:MV126)</f>
        <v>0</v>
      </c>
      <c r="MW163" s="748">
        <f>SUM(MW125:MW126)</f>
        <v>0</v>
      </c>
      <c r="MX163" s="369" t="e">
        <f>MU163/MV163</f>
        <v>#DIV/0!</v>
      </c>
      <c r="MY163" s="84" t="e">
        <f t="shared" si="3072"/>
        <v>#DIV/0!</v>
      </c>
      <c r="NA163" s="383">
        <f>SUM(NA125:NA126)</f>
        <v>1000</v>
      </c>
      <c r="NB163" s="748">
        <f>SUM(NB125:NB126)</f>
        <v>1.25</v>
      </c>
      <c r="NC163" s="748">
        <f>SUM(NC125:NC126)</f>
        <v>5</v>
      </c>
      <c r="ND163" s="369">
        <f>NA163/NB163</f>
        <v>800</v>
      </c>
      <c r="NE163" s="84">
        <f t="shared" si="3075"/>
        <v>0.25</v>
      </c>
      <c r="NG163" s="383">
        <f>SUM(NG125:NG126)</f>
        <v>0</v>
      </c>
      <c r="NH163" s="82">
        <f>SUM(NH125:NH126)</f>
        <v>0</v>
      </c>
      <c r="NI163" s="748">
        <f>SUM(NI125:NI126)</f>
        <v>0</v>
      </c>
      <c r="NJ163" s="369" t="e">
        <f>NG163/NH163</f>
        <v>#DIV/0!</v>
      </c>
      <c r="NK163" s="84" t="e">
        <f t="shared" si="3078"/>
        <v>#DIV/0!</v>
      </c>
      <c r="NM163" s="383">
        <f>SUM(NM125:NM126)</f>
        <v>0</v>
      </c>
      <c r="NN163" s="82">
        <f>SUM(NN125:NN126)</f>
        <v>0</v>
      </c>
      <c r="NO163" s="748">
        <f>SUM(NO125:NO126)</f>
        <v>0</v>
      </c>
      <c r="NP163" s="369" t="e">
        <f>NM163/NN163</f>
        <v>#DIV/0!</v>
      </c>
      <c r="NQ163" s="84" t="e">
        <f t="shared" si="3081"/>
        <v>#DIV/0!</v>
      </c>
      <c r="NS163" s="383">
        <f>SUM(NS125:NS126)</f>
        <v>2500</v>
      </c>
      <c r="NT163" s="82">
        <f>SUM(NT125:NT126)</f>
        <v>2.63</v>
      </c>
      <c r="NU163" s="748">
        <f>SUM(NU125:NU126)</f>
        <v>5</v>
      </c>
      <c r="NV163" s="369">
        <f>NS163/NT163</f>
        <v>950.57034220532319</v>
      </c>
      <c r="NW163" s="84">
        <f t="shared" si="3084"/>
        <v>0.52600000000000002</v>
      </c>
      <c r="NY163" s="383">
        <f>SUM(NY125:NY126)</f>
        <v>2500</v>
      </c>
      <c r="NZ163" s="82">
        <f>SUM(NZ125:NZ126)</f>
        <v>4.1899999999999995</v>
      </c>
      <c r="OA163" s="748">
        <f>SUM(OA125:OA126)</f>
        <v>5</v>
      </c>
      <c r="OB163" s="369">
        <f>NY163/NZ163</f>
        <v>596.65871121718385</v>
      </c>
      <c r="OC163" s="84">
        <f t="shared" si="3087"/>
        <v>0.83799999999999986</v>
      </c>
      <c r="OE163" s="383">
        <f>SUM(OE125:OE126)</f>
        <v>3000</v>
      </c>
      <c r="OF163" s="82">
        <f>SUM(OF125:OF126)</f>
        <v>5.92</v>
      </c>
      <c r="OG163" s="748">
        <f>SUM(OG125:OG126)</f>
        <v>10</v>
      </c>
      <c r="OH163" s="369">
        <f>OE163/OF163</f>
        <v>506.75675675675677</v>
      </c>
      <c r="OI163" s="84">
        <f t="shared" si="3090"/>
        <v>0.59199999999999997</v>
      </c>
    </row>
    <row r="164" spans="1:399">
      <c r="A164" s="69"/>
      <c r="B164" s="71" t="s">
        <v>43</v>
      </c>
      <c r="C164" s="60"/>
      <c r="D164" s="58" t="s">
        <v>44</v>
      </c>
      <c r="E164" s="79">
        <f>SUM(E127:E129)</f>
        <v>0</v>
      </c>
      <c r="F164" s="82">
        <f>SUM(F127:F129)</f>
        <v>0</v>
      </c>
      <c r="G164" s="79">
        <f>SUM(G127:G129)</f>
        <v>0</v>
      </c>
      <c r="H164" s="82" t="e">
        <f t="shared" si="2923"/>
        <v>#DIV/0!</v>
      </c>
      <c r="I164" s="84" t="e">
        <f t="shared" si="2924"/>
        <v>#DIV/0!</v>
      </c>
      <c r="J164" s="589"/>
      <c r="K164" s="79">
        <f>SUM(K127:K129)</f>
        <v>1200</v>
      </c>
      <c r="L164" s="82">
        <f>SUM(L127:L129)</f>
        <v>6.11</v>
      </c>
      <c r="M164" s="79">
        <f>SUM(M127:M129)</f>
        <v>7</v>
      </c>
      <c r="N164" s="82">
        <f t="shared" si="2925"/>
        <v>196.39934533551553</v>
      </c>
      <c r="O164" s="84">
        <f t="shared" si="2926"/>
        <v>0.87285714285714289</v>
      </c>
      <c r="P164" s="589"/>
      <c r="Q164" s="79">
        <f>SUM(Q127:Q129)</f>
        <v>2900</v>
      </c>
      <c r="R164" s="82">
        <f>SUM(R127:R129)</f>
        <v>9.4499999999999993</v>
      </c>
      <c r="S164" s="79">
        <f>SUM(S127:S129)</f>
        <v>15</v>
      </c>
      <c r="T164" s="82">
        <f t="shared" si="2927"/>
        <v>306.87830687830689</v>
      </c>
      <c r="U164" s="84">
        <f t="shared" si="2928"/>
        <v>0.63</v>
      </c>
      <c r="V164" s="589"/>
      <c r="W164" s="79">
        <f>SUM(W127:W129)</f>
        <v>0</v>
      </c>
      <c r="X164" s="82">
        <f>SUM(X127:X129)</f>
        <v>0</v>
      </c>
      <c r="Y164" s="79">
        <f>SUM(Y127:Y129)</f>
        <v>0</v>
      </c>
      <c r="Z164" s="82" t="e">
        <f t="shared" si="2929"/>
        <v>#DIV/0!</v>
      </c>
      <c r="AA164" s="84" t="e">
        <f t="shared" si="2930"/>
        <v>#DIV/0!</v>
      </c>
      <c r="AB164" s="589"/>
      <c r="AC164" s="79">
        <f>SUM(AC127:AC129)</f>
        <v>1350</v>
      </c>
      <c r="AD164" s="82">
        <f>SUM(AD127:AD129)</f>
        <v>3.7</v>
      </c>
      <c r="AE164" s="79">
        <f>SUM(AE127:AE129)</f>
        <v>5</v>
      </c>
      <c r="AF164" s="82">
        <f t="shared" si="2931"/>
        <v>364.86486486486484</v>
      </c>
      <c r="AG164" s="84">
        <f t="shared" si="2932"/>
        <v>0.74</v>
      </c>
      <c r="AH164" s="589"/>
      <c r="AI164" s="79">
        <f>SUM(AI127:AI129)</f>
        <v>1600</v>
      </c>
      <c r="AJ164" s="82">
        <f>SUM(AJ127:AJ129)</f>
        <v>3.53</v>
      </c>
      <c r="AK164" s="79">
        <f>SUM(AK127:AK129)</f>
        <v>5</v>
      </c>
      <c r="AL164" s="82">
        <f t="shared" si="2933"/>
        <v>453.25779036827197</v>
      </c>
      <c r="AM164" s="84">
        <f t="shared" si="2934"/>
        <v>0.70599999999999996</v>
      </c>
      <c r="AN164" s="589"/>
      <c r="AO164" s="79">
        <f>SUM(AO127:AO129)</f>
        <v>0</v>
      </c>
      <c r="AP164" s="82">
        <f>SUM(AP127:AP129)</f>
        <v>0</v>
      </c>
      <c r="AQ164" s="79">
        <f>SUM(AQ127:AQ129)</f>
        <v>0</v>
      </c>
      <c r="AR164" s="82" t="e">
        <f t="shared" si="2935"/>
        <v>#DIV/0!</v>
      </c>
      <c r="AS164" s="84" t="e">
        <f t="shared" si="2936"/>
        <v>#DIV/0!</v>
      </c>
      <c r="AT164" s="589"/>
      <c r="AU164" s="79">
        <f>SUM(AU127:AU129)</f>
        <v>2850</v>
      </c>
      <c r="AV164" s="82">
        <f>SUM(AV127:AV129)</f>
        <v>10.54</v>
      </c>
      <c r="AW164" s="79">
        <f>SUM(AW127:AW129)</f>
        <v>15</v>
      </c>
      <c r="AX164" s="82">
        <f t="shared" si="2937"/>
        <v>270.39848197343457</v>
      </c>
      <c r="AY164" s="84">
        <f t="shared" si="2938"/>
        <v>0.70266666666666666</v>
      </c>
      <c r="AZ164" s="84"/>
      <c r="BA164" s="79">
        <f>SUM(BA127:BA129)</f>
        <v>1000</v>
      </c>
      <c r="BB164" s="82">
        <f>SUM(BB127:BB129)</f>
        <v>2.75</v>
      </c>
      <c r="BC164" s="79">
        <f>SUM(BC127:BC129)</f>
        <v>5</v>
      </c>
      <c r="BD164" s="82">
        <f t="shared" si="2939"/>
        <v>363.63636363636363</v>
      </c>
      <c r="BE164" s="84">
        <f t="shared" si="2940"/>
        <v>0.55000000000000004</v>
      </c>
      <c r="BF164" s="84"/>
      <c r="BG164" s="79">
        <f>SUM(BG127:BG129)</f>
        <v>0</v>
      </c>
      <c r="BH164" s="82">
        <f>SUM(BH127:BH129)</f>
        <v>0</v>
      </c>
      <c r="BI164" s="79">
        <f>SUM(BI127:BI129)</f>
        <v>0</v>
      </c>
      <c r="BJ164" s="82" t="e">
        <f t="shared" si="2941"/>
        <v>#DIV/0!</v>
      </c>
      <c r="BK164" s="84" t="e">
        <f t="shared" si="2942"/>
        <v>#DIV/0!</v>
      </c>
      <c r="BL164" s="84"/>
      <c r="BM164" s="79">
        <f>SUM(BM127:BM129)</f>
        <v>0</v>
      </c>
      <c r="BN164" s="82">
        <f>SUM(BN127:BN129)</f>
        <v>0</v>
      </c>
      <c r="BO164" s="79">
        <f>SUM(BO127:BO129)</f>
        <v>0</v>
      </c>
      <c r="BP164" s="82" t="e">
        <f t="shared" si="2943"/>
        <v>#DIV/0!</v>
      </c>
      <c r="BQ164" s="84" t="e">
        <f t="shared" si="2944"/>
        <v>#DIV/0!</v>
      </c>
      <c r="BR164" s="589"/>
      <c r="BS164" s="79">
        <f>SUM(BS127:BS129)</f>
        <v>0</v>
      </c>
      <c r="BT164" s="82">
        <f>SUM(BT127:BT129)</f>
        <v>0</v>
      </c>
      <c r="BU164" s="79">
        <f>SUM(BU127:BU129)</f>
        <v>0</v>
      </c>
      <c r="BV164" s="82" t="e">
        <f t="shared" si="2945"/>
        <v>#DIV/0!</v>
      </c>
      <c r="BW164" s="84" t="e">
        <f t="shared" si="2946"/>
        <v>#DIV/0!</v>
      </c>
      <c r="BX164" s="84"/>
      <c r="BY164" s="79">
        <f>SUM(BY127:BY129)</f>
        <v>1350</v>
      </c>
      <c r="BZ164" s="82">
        <f>SUM(BZ127:BZ129)</f>
        <v>4.9399999999999995</v>
      </c>
      <c r="CA164" s="79">
        <f>SUM(CA127:CA129)</f>
        <v>10</v>
      </c>
      <c r="CB164" s="82">
        <f t="shared" si="2947"/>
        <v>273.27935222672068</v>
      </c>
      <c r="CC164" s="84">
        <f t="shared" si="2948"/>
        <v>0.49399999999999994</v>
      </c>
      <c r="CD164" s="84"/>
      <c r="CE164" s="79">
        <f>SUM(CE127:CE129)</f>
        <v>0</v>
      </c>
      <c r="CF164" s="82">
        <f>SUM(CF127:CF129)</f>
        <v>0</v>
      </c>
      <c r="CG164" s="79">
        <f>SUM(CG127:CG129)</f>
        <v>0</v>
      </c>
      <c r="CH164" s="82" t="e">
        <f t="shared" si="2949"/>
        <v>#DIV/0!</v>
      </c>
      <c r="CI164" s="84" t="e">
        <f t="shared" si="2950"/>
        <v>#DIV/0!</v>
      </c>
      <c r="CJ164" s="84"/>
      <c r="CK164" s="79">
        <f>SUM(CK127:CK129)</f>
        <v>0</v>
      </c>
      <c r="CL164" s="82">
        <f>SUM(CL127:CL129)</f>
        <v>0</v>
      </c>
      <c r="CM164" s="79">
        <f>SUM(CM127:CM129)</f>
        <v>0</v>
      </c>
      <c r="CN164" s="82" t="e">
        <f t="shared" si="2951"/>
        <v>#DIV/0!</v>
      </c>
      <c r="CO164" s="84" t="e">
        <f t="shared" si="2952"/>
        <v>#DIV/0!</v>
      </c>
      <c r="CP164" s="84"/>
      <c r="CQ164" s="79">
        <f>SUM(CQ127:CQ129)</f>
        <v>0</v>
      </c>
      <c r="CR164" s="82">
        <f>SUM(CR127:CR129)</f>
        <v>0</v>
      </c>
      <c r="CS164" s="79">
        <f>SUM(CS127:CS129)</f>
        <v>0</v>
      </c>
      <c r="CT164" s="82" t="e">
        <f t="shared" si="2953"/>
        <v>#DIV/0!</v>
      </c>
      <c r="CU164" s="84" t="e">
        <f t="shared" si="2954"/>
        <v>#DIV/0!</v>
      </c>
      <c r="CV164" s="84"/>
      <c r="CW164" s="79">
        <f>SUM(CW127:CW129)</f>
        <v>1350</v>
      </c>
      <c r="CX164" s="82">
        <f>SUM(CX127:CX129)</f>
        <v>4.9399999999999995</v>
      </c>
      <c r="CY164" s="79">
        <f>SUM(CY127:CY129)</f>
        <v>10</v>
      </c>
      <c r="CZ164" s="82">
        <f t="shared" si="2955"/>
        <v>273.27935222672068</v>
      </c>
      <c r="DA164" s="84">
        <f t="shared" si="2956"/>
        <v>0.49399999999999994</v>
      </c>
      <c r="DB164" s="84"/>
      <c r="DC164" s="79">
        <f>SUM(DC127:DC129)</f>
        <v>0</v>
      </c>
      <c r="DD164" s="82">
        <f>SUM(DD127:DD129)</f>
        <v>0</v>
      </c>
      <c r="DE164" s="79">
        <f>SUM(DE127:DE129)</f>
        <v>0</v>
      </c>
      <c r="DF164" s="82" t="e">
        <f t="shared" si="2957"/>
        <v>#DIV/0!</v>
      </c>
      <c r="DG164" s="84" t="e">
        <f t="shared" si="2958"/>
        <v>#DIV/0!</v>
      </c>
      <c r="DH164" s="84"/>
      <c r="DI164" s="79">
        <f>SUM(DI127:DI129)</f>
        <v>2350</v>
      </c>
      <c r="DJ164" s="82">
        <f>SUM(DJ127:DJ129)</f>
        <v>7.16</v>
      </c>
      <c r="DK164" s="79">
        <f>SUM(DK127:DK129)</f>
        <v>10</v>
      </c>
      <c r="DL164" s="82">
        <f t="shared" si="2959"/>
        <v>328.21229050279328</v>
      </c>
      <c r="DM164" s="84">
        <f t="shared" si="2960"/>
        <v>0.71599999999999997</v>
      </c>
      <c r="DN164" s="84"/>
      <c r="DO164" s="79">
        <f>SUM(DO127:DO129)</f>
        <v>2750</v>
      </c>
      <c r="DP164" s="82">
        <f>SUM(DP127:DP129)</f>
        <v>8.93</v>
      </c>
      <c r="DQ164" s="79">
        <f>SUM(DQ127:DQ129)</f>
        <v>13</v>
      </c>
      <c r="DR164" s="82">
        <f t="shared" si="2961"/>
        <v>307.95072788353866</v>
      </c>
      <c r="DS164" s="84">
        <f t="shared" si="2962"/>
        <v>0.68692307692307686</v>
      </c>
      <c r="DT164" s="84"/>
      <c r="DU164" s="79">
        <f>SUM(DU127:DU129)</f>
        <v>0</v>
      </c>
      <c r="DV164" s="82">
        <f>SUM(DV127:DV129)</f>
        <v>0</v>
      </c>
      <c r="DW164" s="79">
        <f>SUM(DW127:DW129)</f>
        <v>0</v>
      </c>
      <c r="DX164" s="82" t="e">
        <f t="shared" si="2963"/>
        <v>#DIV/0!</v>
      </c>
      <c r="DY164" s="84" t="e">
        <f t="shared" si="2964"/>
        <v>#DIV/0!</v>
      </c>
      <c r="DZ164" s="84"/>
      <c r="EA164" s="79">
        <f>SUM(EA127:EA129)</f>
        <v>0</v>
      </c>
      <c r="EB164" s="82">
        <f>SUM(EB127:EB129)</f>
        <v>0</v>
      </c>
      <c r="EC164" s="79">
        <f>SUM(EC127:EC129)</f>
        <v>0</v>
      </c>
      <c r="ED164" s="82" t="e">
        <f t="shared" si="2965"/>
        <v>#DIV/0!</v>
      </c>
      <c r="EE164" s="84" t="e">
        <f t="shared" si="2966"/>
        <v>#DIV/0!</v>
      </c>
      <c r="EF164" s="84"/>
      <c r="EG164" s="79">
        <f>SUM(EG127:EG129)</f>
        <v>0</v>
      </c>
      <c r="EH164" s="82">
        <f>SUM(EH127:EH129)</f>
        <v>0</v>
      </c>
      <c r="EI164" s="79">
        <f>SUM(EI127:EI129)</f>
        <v>0</v>
      </c>
      <c r="EJ164" s="82" t="e">
        <f t="shared" si="2967"/>
        <v>#DIV/0!</v>
      </c>
      <c r="EK164" s="84" t="e">
        <f t="shared" si="2968"/>
        <v>#DIV/0!</v>
      </c>
      <c r="EL164" s="84"/>
      <c r="EM164" s="79">
        <f>SUM(EM127:EM129)</f>
        <v>0</v>
      </c>
      <c r="EN164" s="82">
        <f>SUM(EN127:EN129)</f>
        <v>0</v>
      </c>
      <c r="EO164" s="79">
        <f>SUM(EO127:EO129)</f>
        <v>0</v>
      </c>
      <c r="EP164" s="82" t="e">
        <f t="shared" si="2969"/>
        <v>#DIV/0!</v>
      </c>
      <c r="EQ164" s="84" t="e">
        <f t="shared" si="2970"/>
        <v>#DIV/0!</v>
      </c>
      <c r="ER164" s="589"/>
      <c r="ES164" s="79">
        <f>SUM(ES127:ES129)</f>
        <v>1350</v>
      </c>
      <c r="ET164" s="82">
        <f>SUM(ET127:ET129)</f>
        <v>4.9399999999999995</v>
      </c>
      <c r="EU164" s="79">
        <f>SUM(EU127:EU129)</f>
        <v>10</v>
      </c>
      <c r="EV164" s="82">
        <f t="shared" si="2971"/>
        <v>273.27935222672068</v>
      </c>
      <c r="EW164" s="84">
        <f t="shared" si="2972"/>
        <v>0.49399999999999994</v>
      </c>
      <c r="EY164" s="91">
        <f>SUM(EY127:EY129)</f>
        <v>1600</v>
      </c>
      <c r="EZ164" s="82">
        <f>SUM(EZ127:EZ129)</f>
        <v>3.53</v>
      </c>
      <c r="FA164" s="79">
        <f>SUM(FA127:FA129)</f>
        <v>5</v>
      </c>
      <c r="FB164" s="82">
        <f t="shared" si="2991"/>
        <v>453.25779036827197</v>
      </c>
      <c r="FC164" s="84">
        <f t="shared" si="2992"/>
        <v>0.70599999999999996</v>
      </c>
      <c r="FE164" s="91">
        <f>SUM(FE127:FE129)</f>
        <v>0</v>
      </c>
      <c r="FF164" s="82">
        <f>SUM(FF127:FF129)</f>
        <v>0</v>
      </c>
      <c r="FG164" s="79">
        <f>SUM(FG127:FG129)</f>
        <v>0</v>
      </c>
      <c r="FH164" s="82" t="e">
        <f t="shared" si="2993"/>
        <v>#DIV/0!</v>
      </c>
      <c r="FI164" s="84" t="e">
        <f t="shared" si="2994"/>
        <v>#DIV/0!</v>
      </c>
      <c r="FK164" s="91">
        <f>SUM(FK127:FK129)</f>
        <v>2500</v>
      </c>
      <c r="FL164" s="82">
        <f>SUM(FL127:FL129)</f>
        <v>2.06</v>
      </c>
      <c r="FM164" s="79">
        <f>SUM(FM127:FM129)</f>
        <v>5</v>
      </c>
      <c r="FN164" s="82">
        <f t="shared" si="2995"/>
        <v>1213.5922330097087</v>
      </c>
      <c r="FO164" s="84">
        <f t="shared" si="2996"/>
        <v>0.41200000000000003</v>
      </c>
      <c r="FQ164" s="91">
        <f>SUM(FQ127:FQ129)</f>
        <v>1500</v>
      </c>
      <c r="FR164" s="369">
        <f>SUM(FR127:FR129)</f>
        <v>2.85</v>
      </c>
      <c r="FS164" s="371">
        <f>SUM(FS127:FS129)</f>
        <v>3</v>
      </c>
      <c r="FT164" s="369">
        <f t="shared" si="2997"/>
        <v>526.31578947368416</v>
      </c>
      <c r="FU164" s="370">
        <f t="shared" si="2998"/>
        <v>0.95000000000000007</v>
      </c>
      <c r="FV164" s="178"/>
      <c r="FW164" s="91">
        <f>SUM(FW127:FW129)</f>
        <v>0</v>
      </c>
      <c r="FX164" s="369">
        <f>SUM(FX127:FX129)</f>
        <v>0</v>
      </c>
      <c r="FY164" s="371">
        <f>SUM(FY127:FY129)</f>
        <v>0</v>
      </c>
      <c r="FZ164" s="361" t="e">
        <f>FW164/FX164</f>
        <v>#DIV/0!</v>
      </c>
      <c r="GA164" s="362" t="e">
        <f>FX164/FY164</f>
        <v>#DIV/0!</v>
      </c>
      <c r="GC164" s="379">
        <f>SUM(GC127:GC129)</f>
        <v>1500</v>
      </c>
      <c r="GD164" s="369">
        <f>SUM(GD127:GD129)</f>
        <v>2.62</v>
      </c>
      <c r="GE164" s="371">
        <f>SUM(GE127:GE129)</f>
        <v>5</v>
      </c>
      <c r="GF164" s="369">
        <f t="shared" si="3001"/>
        <v>572.51908396946567</v>
      </c>
      <c r="GG164" s="370">
        <f t="shared" si="3002"/>
        <v>0.52400000000000002</v>
      </c>
      <c r="GI164" s="379">
        <f>SUM(GI127:GI129)</f>
        <v>2000</v>
      </c>
      <c r="GJ164" s="369">
        <f>SUM(GJ127:GJ129)</f>
        <v>8.11</v>
      </c>
      <c r="GK164" s="371">
        <f>SUM(GK127:GK129)</f>
        <v>10</v>
      </c>
      <c r="GL164" s="369">
        <f t="shared" si="3003"/>
        <v>246.6091245376079</v>
      </c>
      <c r="GM164" s="370">
        <f t="shared" si="3004"/>
        <v>0.81099999999999994</v>
      </c>
      <c r="GO164" s="379">
        <f>SUM(GO127:GO129)</f>
        <v>2500</v>
      </c>
      <c r="GP164" s="369">
        <f>SUM(GP127:GP129)</f>
        <v>8.76</v>
      </c>
      <c r="GQ164" s="371">
        <f>SUM(GQ127:GQ129)</f>
        <v>10</v>
      </c>
      <c r="GR164" s="369">
        <f t="shared" si="3005"/>
        <v>285.38812785388126</v>
      </c>
      <c r="GS164" s="370">
        <f t="shared" si="3006"/>
        <v>0.876</v>
      </c>
      <c r="GU164" s="379">
        <f>SUM(GU127:GU129)</f>
        <v>1320</v>
      </c>
      <c r="GV164" s="369">
        <f>SUM(GV127:GV129)</f>
        <v>11.88</v>
      </c>
      <c r="GW164" s="371">
        <f>SUM(GW127:GW129)</f>
        <v>15</v>
      </c>
      <c r="GX164" s="369">
        <f t="shared" si="3007"/>
        <v>111.1111111111111</v>
      </c>
      <c r="GY164" s="370">
        <f t="shared" si="3008"/>
        <v>0.79200000000000004</v>
      </c>
      <c r="HA164" s="91">
        <f>SUM(HA127:HA129)</f>
        <v>1450</v>
      </c>
      <c r="HB164" s="82">
        <f>SUM(HB127:HB129)</f>
        <v>10.31</v>
      </c>
      <c r="HC164" s="371">
        <f>SUM(HC127:HC129)</f>
        <v>15</v>
      </c>
      <c r="HD164" s="369">
        <f t="shared" si="3009"/>
        <v>140.64015518913675</v>
      </c>
      <c r="HE164" s="370">
        <f t="shared" si="3010"/>
        <v>0.68733333333333335</v>
      </c>
      <c r="HG164" s="91">
        <f>SUM(HG127:HG129)</f>
        <v>2750</v>
      </c>
      <c r="HH164" s="82">
        <f>SUM(HH127:HH129)</f>
        <v>8.93</v>
      </c>
      <c r="HI164" s="79">
        <f>SUM(HI127:HI129)</f>
        <v>13</v>
      </c>
      <c r="HJ164" s="82">
        <f t="shared" si="3011"/>
        <v>307.95072788353866</v>
      </c>
      <c r="HK164" s="84">
        <f t="shared" si="3012"/>
        <v>0.68692307692307686</v>
      </c>
      <c r="HM164" s="91">
        <f>SUM(HM127:HM129)</f>
        <v>2550</v>
      </c>
      <c r="HN164" s="82">
        <f>SUM(HN127:HN129)</f>
        <v>7.8999999999999995</v>
      </c>
      <c r="HO164" s="371">
        <f>SUM(HO127:HO129)</f>
        <v>10</v>
      </c>
      <c r="HP164" s="361">
        <f>HM164/HN164</f>
        <v>322.78481012658227</v>
      </c>
      <c r="HQ164" s="362">
        <f>HN164/HO164</f>
        <v>0.78999999999999992</v>
      </c>
      <c r="HS164" s="91">
        <f>SUM(HS127:HS129)</f>
        <v>1200</v>
      </c>
      <c r="HT164" s="82">
        <f>SUM(HT127:HT129)</f>
        <v>6.11</v>
      </c>
      <c r="HU164" s="371">
        <f>SUM(HU127:HU129)</f>
        <v>7</v>
      </c>
      <c r="HV164" s="369">
        <f t="shared" si="3015"/>
        <v>196.39934533551553</v>
      </c>
      <c r="HW164" s="370">
        <f t="shared" si="3016"/>
        <v>0.87285714285714289</v>
      </c>
      <c r="HX164" s="178"/>
      <c r="HY164" s="91">
        <f>SUM(HY127:HY129)</f>
        <v>0</v>
      </c>
      <c r="HZ164" s="82">
        <f>SUM(HZ127:HZ129)</f>
        <v>0</v>
      </c>
      <c r="IA164" s="371">
        <f>SUM(IA127:IA129)</f>
        <v>0</v>
      </c>
      <c r="IB164" s="361" t="e">
        <f>HY164/HZ164</f>
        <v>#DIV/0!</v>
      </c>
      <c r="IC164" s="362" t="e">
        <f>HZ164/IA164</f>
        <v>#DIV/0!</v>
      </c>
      <c r="IE164" s="91">
        <f>SUM(IE127:IE129)</f>
        <v>2500</v>
      </c>
      <c r="IF164" s="82">
        <f>SUM(IF127:IF129)</f>
        <v>2.63</v>
      </c>
      <c r="IG164" s="79">
        <f>SUM(IG127:IG129)</f>
        <v>5</v>
      </c>
      <c r="IH164" s="82">
        <f t="shared" si="3019"/>
        <v>950.57034220532319</v>
      </c>
      <c r="II164" s="84">
        <f t="shared" si="3020"/>
        <v>0.52600000000000002</v>
      </c>
      <c r="IK164" s="383">
        <f>SUM(IK127:IK129)</f>
        <v>2000</v>
      </c>
      <c r="IL164" s="82">
        <f>SUM(IL127:IL129)</f>
        <v>2.25</v>
      </c>
      <c r="IM164" s="79">
        <f>SUM(IM127:IM129)</f>
        <v>5</v>
      </c>
      <c r="IN164" s="82">
        <f t="shared" ref="IN164:IN173" si="3145">IK164/IL164</f>
        <v>888.88888888888891</v>
      </c>
      <c r="IO164" s="84">
        <f t="shared" si="3022"/>
        <v>0.45</v>
      </c>
      <c r="IQ164" s="91">
        <f>SUM(IQ127:IQ129)</f>
        <v>1500</v>
      </c>
      <c r="IR164" s="82">
        <f>SUM(IR127:IR129)</f>
        <v>2.79</v>
      </c>
      <c r="IS164" s="79">
        <f>SUM(IS127:IS129)</f>
        <v>5</v>
      </c>
      <c r="IT164" s="82">
        <f t="shared" ref="IT164:IT173" si="3146">IQ164/IR164</f>
        <v>537.63440860215053</v>
      </c>
      <c r="IU164" s="84">
        <f t="shared" si="3024"/>
        <v>0.55800000000000005</v>
      </c>
      <c r="IW164" s="91">
        <f>SUM(IW127:IW129)</f>
        <v>4200</v>
      </c>
      <c r="IX164" s="82">
        <f>SUM(IX127:IX129)</f>
        <v>8.6900000000000013</v>
      </c>
      <c r="IY164" s="79">
        <f>SUM(IY127:IY129)</f>
        <v>15</v>
      </c>
      <c r="IZ164" s="82">
        <f t="shared" ref="IZ164:IZ173" si="3147">IW164/IX164</f>
        <v>483.31415420023006</v>
      </c>
      <c r="JA164" s="84">
        <f t="shared" si="3026"/>
        <v>0.57933333333333337</v>
      </c>
      <c r="JC164" s="91">
        <f>SUM(JC127:JC129)</f>
        <v>1910</v>
      </c>
      <c r="JD164" s="82">
        <f>SUM(JD127:JD129)</f>
        <v>10.48</v>
      </c>
      <c r="JE164" s="79">
        <f>SUM(JE127:JE129)</f>
        <v>15</v>
      </c>
      <c r="JF164" s="82">
        <f t="shared" ref="JF164:JF173" si="3148">JC164/JD164</f>
        <v>182.25190839694656</v>
      </c>
      <c r="JG164" s="84">
        <f t="shared" si="3028"/>
        <v>0.69866666666666666</v>
      </c>
      <c r="JI164" s="91">
        <f>SUM(JI127:JI129)</f>
        <v>2500</v>
      </c>
      <c r="JJ164" s="82">
        <f>SUM(JJ127:JJ129)</f>
        <v>9.41</v>
      </c>
      <c r="JK164" s="79">
        <f>SUM(JK127:JK129)</f>
        <v>10</v>
      </c>
      <c r="JL164" s="82">
        <f t="shared" ref="JL164:JL173" si="3149">JI164/JJ164</f>
        <v>265.67481402763019</v>
      </c>
      <c r="JM164" s="84">
        <f t="shared" si="3030"/>
        <v>0.94100000000000006</v>
      </c>
      <c r="JO164" s="91">
        <f>SUM(JO127:JO129)</f>
        <v>1400</v>
      </c>
      <c r="JP164" s="82">
        <f>SUM(JP127:JP129)</f>
        <v>11.76</v>
      </c>
      <c r="JQ164" s="79">
        <f>SUM(JQ127:JQ129)</f>
        <v>15</v>
      </c>
      <c r="JR164" s="82">
        <f t="shared" ref="JR164:JR173" si="3150">JO164/JP164</f>
        <v>119.04761904761905</v>
      </c>
      <c r="JS164" s="84">
        <f t="shared" si="3032"/>
        <v>0.78400000000000003</v>
      </c>
      <c r="JU164" s="383">
        <f>SUM(JU127:JU129)</f>
        <v>750</v>
      </c>
      <c r="JV164" s="82">
        <f>SUM(JV127:JV129)</f>
        <v>4.2699999999999996</v>
      </c>
      <c r="JW164" s="748">
        <f>SUM(JW127:JW129)</f>
        <v>5</v>
      </c>
      <c r="JX164" s="369">
        <f t="shared" ref="JX164:JX173" si="3151">JU164/JV164</f>
        <v>175.64402810304452</v>
      </c>
      <c r="JY164" s="84">
        <f t="shared" si="3034"/>
        <v>0.85399999999999987</v>
      </c>
      <c r="KA164" s="383">
        <f>SUM(KA127:KA129)</f>
        <v>1000</v>
      </c>
      <c r="KB164" s="82">
        <f>SUM(KB127:KB129)</f>
        <v>5.7999999999999989</v>
      </c>
      <c r="KC164" s="748">
        <f>SUM(KC127:KC129)</f>
        <v>5</v>
      </c>
      <c r="KD164" s="369">
        <f t="shared" ref="KD164:KD173" si="3152">KA164/KB164</f>
        <v>172.41379310344831</v>
      </c>
      <c r="KE164" s="84">
        <f t="shared" si="3036"/>
        <v>1.1599999999999997</v>
      </c>
      <c r="KG164" s="383">
        <f>SUM(KG127:KG129)</f>
        <v>1000</v>
      </c>
      <c r="KH164" s="82">
        <f>SUM(KH127:KH129)</f>
        <v>3.72</v>
      </c>
      <c r="KI164" s="748">
        <f>SUM(KI127:KI129)</f>
        <v>5</v>
      </c>
      <c r="KJ164" s="369">
        <f t="shared" ref="KJ164:KJ173" si="3153">KG164/KH164</f>
        <v>268.81720430107526</v>
      </c>
      <c r="KK164" s="84">
        <f t="shared" si="3039"/>
        <v>0.74399999999999999</v>
      </c>
      <c r="KM164" s="383">
        <f>SUM(KM127:KM129)</f>
        <v>2500</v>
      </c>
      <c r="KN164" s="82">
        <f>SUM(KN127:KN129)</f>
        <v>5.8199999999999994</v>
      </c>
      <c r="KO164" s="748">
        <f>SUM(KO127:KO129)</f>
        <v>5</v>
      </c>
      <c r="KP164" s="369">
        <f t="shared" ref="KP164:KP173" si="3154">KM164/KN164</f>
        <v>429.55326460481103</v>
      </c>
      <c r="KQ164" s="84">
        <f t="shared" si="3042"/>
        <v>1.1639999999999999</v>
      </c>
      <c r="KS164" s="383">
        <f>SUM(KS127:KS129)</f>
        <v>1100</v>
      </c>
      <c r="KT164" s="82">
        <f>SUM(KT127:KT129)</f>
        <v>2.7600000000000002</v>
      </c>
      <c r="KU164" s="748">
        <f>SUM(KU127:KU129)</f>
        <v>4</v>
      </c>
      <c r="KV164" s="369">
        <f t="shared" ref="KV164:KV173" si="3155">KS164/KT164</f>
        <v>398.55072463768113</v>
      </c>
      <c r="KW164" s="84">
        <f t="shared" si="3045"/>
        <v>0.69000000000000006</v>
      </c>
      <c r="KY164" s="383">
        <f>SUM(KY127:KY129)</f>
        <v>0</v>
      </c>
      <c r="KZ164" s="82">
        <f>SUM(KZ127:KZ129)</f>
        <v>0</v>
      </c>
      <c r="LA164" s="748">
        <f>SUM(LA127:LA129)</f>
        <v>0</v>
      </c>
      <c r="LB164" s="369" t="e">
        <f t="shared" ref="LB164:LB173" si="3156">KY164/KZ164</f>
        <v>#DIV/0!</v>
      </c>
      <c r="LC164" s="84" t="e">
        <f t="shared" si="3048"/>
        <v>#DIV/0!</v>
      </c>
      <c r="LE164" s="383">
        <f>SUM(LE127:LE129)</f>
        <v>0</v>
      </c>
      <c r="LF164" s="82">
        <f>SUM(LF127:LF129)</f>
        <v>0</v>
      </c>
      <c r="LG164" s="748">
        <f>SUM(LG127:LG129)</f>
        <v>0</v>
      </c>
      <c r="LH164" s="369" t="e">
        <f t="shared" ref="LH164:LH173" si="3157">LE164/LF164</f>
        <v>#DIV/0!</v>
      </c>
      <c r="LI164" s="84" t="e">
        <f t="shared" si="3051"/>
        <v>#DIV/0!</v>
      </c>
      <c r="LK164" s="383">
        <f>SUM(LK127:LK129)</f>
        <v>0</v>
      </c>
      <c r="LL164" s="82">
        <f>SUM(LL127:LL129)</f>
        <v>0</v>
      </c>
      <c r="LM164" s="748">
        <f>SUM(LM127:LM129)</f>
        <v>0</v>
      </c>
      <c r="LN164" s="369" t="e">
        <f t="shared" ref="LN164:LN173" si="3158">LK164/LL164</f>
        <v>#DIV/0!</v>
      </c>
      <c r="LO164" s="84" t="e">
        <f t="shared" si="3054"/>
        <v>#DIV/0!</v>
      </c>
      <c r="LQ164" s="383">
        <f>SUM(LQ127:LQ129)</f>
        <v>1000</v>
      </c>
      <c r="LR164" s="82">
        <f>SUM(LR127:LR129)</f>
        <v>2.89</v>
      </c>
      <c r="LS164" s="748">
        <f>SUM(LS127:LS129)</f>
        <v>5</v>
      </c>
      <c r="LT164" s="369">
        <f t="shared" ref="LT164:LT173" si="3159">LQ164/LR164</f>
        <v>346.02076124567475</v>
      </c>
      <c r="LU164" s="84">
        <f t="shared" si="3057"/>
        <v>0.57800000000000007</v>
      </c>
      <c r="LW164" s="383">
        <f>SUM(LW127:LW129)</f>
        <v>2300</v>
      </c>
      <c r="LX164" s="82">
        <f>SUM(LX127:LX129)</f>
        <v>11.39</v>
      </c>
      <c r="LY164" s="748">
        <f>SUM(LY127:LY129)</f>
        <v>15</v>
      </c>
      <c r="LZ164" s="369">
        <f t="shared" ref="LZ164:LZ173" si="3160">LW164/LX164</f>
        <v>201.93151887620718</v>
      </c>
      <c r="MA164" s="84">
        <f t="shared" si="3060"/>
        <v>0.75933333333333342</v>
      </c>
      <c r="MC164" s="383">
        <f>SUM(MC127:MC129)</f>
        <v>2750</v>
      </c>
      <c r="MD164" s="82">
        <f>SUM(MD127:MD129)</f>
        <v>11.43</v>
      </c>
      <c r="ME164" s="748">
        <f>SUM(ME127:ME129)</f>
        <v>15</v>
      </c>
      <c r="MF164" s="369">
        <f t="shared" ref="MF164:MF173" si="3161">MC164/MD164</f>
        <v>240.59492563429572</v>
      </c>
      <c r="MG164" s="84">
        <f t="shared" si="3063"/>
        <v>0.76200000000000001</v>
      </c>
      <c r="MI164" s="383">
        <f>SUM(MI127:MI129)</f>
        <v>500</v>
      </c>
      <c r="MJ164" s="82">
        <f>SUM(MJ127:MJ129)</f>
        <v>2.59</v>
      </c>
      <c r="MK164" s="748">
        <f>SUM(MK127:MK129)</f>
        <v>5</v>
      </c>
      <c r="ML164" s="369">
        <f t="shared" ref="ML164:ML173" si="3162">MI164/MJ164</f>
        <v>193.05019305019306</v>
      </c>
      <c r="MM164" s="84">
        <f t="shared" si="3066"/>
        <v>0.51800000000000002</v>
      </c>
      <c r="MO164" s="383">
        <f>SUM(MO127:MO129)</f>
        <v>0</v>
      </c>
      <c r="MP164" s="82">
        <f>SUM(MP127:MP129)</f>
        <v>0</v>
      </c>
      <c r="MQ164" s="748">
        <f>SUM(MQ127:MQ129)</f>
        <v>0</v>
      </c>
      <c r="MR164" s="369" t="e">
        <f t="shared" ref="MR164:MR173" si="3163">MO164/MP164</f>
        <v>#DIV/0!</v>
      </c>
      <c r="MS164" s="84" t="e">
        <f t="shared" si="3069"/>
        <v>#DIV/0!</v>
      </c>
      <c r="MU164" s="383">
        <f>SUM(MU127:MU129)</f>
        <v>0</v>
      </c>
      <c r="MV164" s="82">
        <f>SUM(MV127:MV129)</f>
        <v>0</v>
      </c>
      <c r="MW164" s="748">
        <f>SUM(MW127:MW129)</f>
        <v>0</v>
      </c>
      <c r="MX164" s="369" t="e">
        <f t="shared" ref="MX164:MX173" si="3164">MU164/MV164</f>
        <v>#DIV/0!</v>
      </c>
      <c r="MY164" s="84" t="e">
        <f t="shared" si="3072"/>
        <v>#DIV/0!</v>
      </c>
      <c r="NA164" s="383">
        <f>SUM(NA127:NA129)</f>
        <v>1500</v>
      </c>
      <c r="NB164" s="748">
        <f>SUM(NB127:NB129)</f>
        <v>2.2599999999999998</v>
      </c>
      <c r="NC164" s="748">
        <f>SUM(NC127:NC129)</f>
        <v>3</v>
      </c>
      <c r="ND164" s="369">
        <f t="shared" ref="ND164:ND173" si="3165">NA164/NB164</f>
        <v>663.71681415929208</v>
      </c>
      <c r="NE164" s="84">
        <f t="shared" si="3075"/>
        <v>0.7533333333333333</v>
      </c>
      <c r="NG164" s="383">
        <f>SUM(NG127:NG129)</f>
        <v>0</v>
      </c>
      <c r="NH164" s="82">
        <f>SUM(NH127:NH129)</f>
        <v>0</v>
      </c>
      <c r="NI164" s="748">
        <f>SUM(NI127:NI129)</f>
        <v>0</v>
      </c>
      <c r="NJ164" s="369" t="e">
        <f t="shared" ref="NJ164:NJ173" si="3166">NG164/NH164</f>
        <v>#DIV/0!</v>
      </c>
      <c r="NK164" s="84" t="e">
        <f t="shared" si="3078"/>
        <v>#DIV/0!</v>
      </c>
      <c r="NM164" s="383">
        <f>SUM(NM127:NM129)</f>
        <v>2500</v>
      </c>
      <c r="NN164" s="82">
        <f>SUM(NN127:NN129)</f>
        <v>2.2199999999999998</v>
      </c>
      <c r="NO164" s="748">
        <f>SUM(NO127:NO129)</f>
        <v>5</v>
      </c>
      <c r="NP164" s="369">
        <f t="shared" ref="NP164:NP173" si="3167">NM164/NN164</f>
        <v>1126.1261261261263</v>
      </c>
      <c r="NQ164" s="84">
        <f t="shared" si="3081"/>
        <v>0.44399999999999995</v>
      </c>
      <c r="NS164" s="383">
        <f>SUM(NS127:NS129)</f>
        <v>0</v>
      </c>
      <c r="NT164" s="82">
        <f>SUM(NT127:NT129)</f>
        <v>0</v>
      </c>
      <c r="NU164" s="748">
        <f>SUM(NU127:NU129)</f>
        <v>0</v>
      </c>
      <c r="NV164" s="369" t="e">
        <f t="shared" ref="NV164:NV173" si="3168">NS164/NT164</f>
        <v>#DIV/0!</v>
      </c>
      <c r="NW164" s="84" t="e">
        <f t="shared" si="3084"/>
        <v>#DIV/0!</v>
      </c>
      <c r="NY164" s="383">
        <f>SUM(NY127:NY129)</f>
        <v>2500</v>
      </c>
      <c r="NZ164" s="82">
        <f>SUM(NZ127:NZ129)</f>
        <v>4.5</v>
      </c>
      <c r="OA164" s="748">
        <f>SUM(OA127:OA129)</f>
        <v>5</v>
      </c>
      <c r="OB164" s="369">
        <f t="shared" ref="OB164:OB173" si="3169">NY164/NZ164</f>
        <v>555.55555555555554</v>
      </c>
      <c r="OC164" s="84">
        <f t="shared" si="3087"/>
        <v>0.9</v>
      </c>
      <c r="OE164" s="383">
        <f>SUM(OE127:OE129)</f>
        <v>2000</v>
      </c>
      <c r="OF164" s="82">
        <f>SUM(OF127:OF129)</f>
        <v>5.09</v>
      </c>
      <c r="OG164" s="748">
        <f>SUM(OG127:OG129)</f>
        <v>5</v>
      </c>
      <c r="OH164" s="369">
        <f t="shared" ref="OH164:OH173" si="3170">OE164/OF164</f>
        <v>392.92730844793715</v>
      </c>
      <c r="OI164" s="84">
        <f t="shared" si="3090"/>
        <v>1.018</v>
      </c>
    </row>
    <row r="165" spans="1:399">
      <c r="A165" s="715" t="s">
        <v>376</v>
      </c>
      <c r="B165" s="731" t="s">
        <v>377</v>
      </c>
      <c r="C165" s="725"/>
      <c r="D165" s="723" t="s">
        <v>11</v>
      </c>
      <c r="E165" s="79"/>
      <c r="F165" s="82"/>
      <c r="G165" s="79"/>
      <c r="H165" s="82"/>
      <c r="I165" s="84"/>
      <c r="J165" s="589"/>
      <c r="K165" s="79"/>
      <c r="L165" s="82"/>
      <c r="M165" s="79"/>
      <c r="N165" s="82"/>
      <c r="O165" s="84"/>
      <c r="P165" s="589"/>
      <c r="Q165" s="79"/>
      <c r="R165" s="82"/>
      <c r="S165" s="79"/>
      <c r="T165" s="82"/>
      <c r="U165" s="84"/>
      <c r="V165" s="589"/>
      <c r="W165" s="79"/>
      <c r="X165" s="82"/>
      <c r="Y165" s="79"/>
      <c r="Z165" s="82"/>
      <c r="AA165" s="84"/>
      <c r="AB165" s="589"/>
      <c r="AC165" s="79"/>
      <c r="AD165" s="82"/>
      <c r="AE165" s="79"/>
      <c r="AF165" s="82"/>
      <c r="AG165" s="84"/>
      <c r="AH165" s="589"/>
      <c r="AI165" s="79"/>
      <c r="AJ165" s="82"/>
      <c r="AK165" s="79"/>
      <c r="AL165" s="82"/>
      <c r="AM165" s="84"/>
      <c r="AN165" s="589"/>
      <c r="AO165" s="79"/>
      <c r="AP165" s="82"/>
      <c r="AQ165" s="79"/>
      <c r="AR165" s="82"/>
      <c r="AS165" s="84"/>
      <c r="AT165" s="589"/>
      <c r="AU165" s="79"/>
      <c r="AV165" s="82"/>
      <c r="AW165" s="79"/>
      <c r="AX165" s="82"/>
      <c r="AY165" s="84"/>
      <c r="AZ165" s="84"/>
      <c r="BA165" s="79"/>
      <c r="BB165" s="82"/>
      <c r="BC165" s="79"/>
      <c r="BD165" s="82"/>
      <c r="BE165" s="84"/>
      <c r="BF165" s="84"/>
      <c r="BG165" s="79"/>
      <c r="BH165" s="82"/>
      <c r="BI165" s="79"/>
      <c r="BJ165" s="82"/>
      <c r="BK165" s="84"/>
      <c r="BL165" s="84"/>
      <c r="BM165" s="79"/>
      <c r="BN165" s="82"/>
      <c r="BO165" s="79"/>
      <c r="BP165" s="82"/>
      <c r="BQ165" s="84"/>
      <c r="BR165" s="589"/>
      <c r="BS165" s="79"/>
      <c r="BT165" s="82"/>
      <c r="BU165" s="79"/>
      <c r="BV165" s="82"/>
      <c r="BW165" s="84"/>
      <c r="BX165" s="84"/>
      <c r="BY165" s="79"/>
      <c r="BZ165" s="82"/>
      <c r="CA165" s="79"/>
      <c r="CB165" s="82"/>
      <c r="CC165" s="84"/>
      <c r="CD165" s="84"/>
      <c r="CE165" s="79"/>
      <c r="CF165" s="82"/>
      <c r="CG165" s="79"/>
      <c r="CH165" s="82"/>
      <c r="CI165" s="84"/>
      <c r="CJ165" s="84"/>
      <c r="CK165" s="79"/>
      <c r="CL165" s="82"/>
      <c r="CM165" s="79"/>
      <c r="CN165" s="82"/>
      <c r="CO165" s="84"/>
      <c r="CP165" s="84"/>
      <c r="CQ165" s="79"/>
      <c r="CR165" s="82"/>
      <c r="CS165" s="79"/>
      <c r="CT165" s="82"/>
      <c r="CU165" s="84"/>
      <c r="CV165" s="84"/>
      <c r="CW165" s="79"/>
      <c r="CX165" s="82"/>
      <c r="CY165" s="79"/>
      <c r="CZ165" s="82"/>
      <c r="DA165" s="84"/>
      <c r="DB165" s="84"/>
      <c r="DC165" s="79"/>
      <c r="DD165" s="82"/>
      <c r="DE165" s="79"/>
      <c r="DF165" s="82"/>
      <c r="DG165" s="84"/>
      <c r="DH165" s="84"/>
      <c r="DI165" s="79"/>
      <c r="DJ165" s="82"/>
      <c r="DK165" s="79"/>
      <c r="DL165" s="82"/>
      <c r="DM165" s="84"/>
      <c r="DN165" s="84"/>
      <c r="DO165" s="79"/>
      <c r="DP165" s="82"/>
      <c r="DQ165" s="79"/>
      <c r="DR165" s="82"/>
      <c r="DS165" s="84"/>
      <c r="DT165" s="84"/>
      <c r="DU165" s="79"/>
      <c r="DV165" s="82"/>
      <c r="DW165" s="79"/>
      <c r="DX165" s="82"/>
      <c r="DY165" s="84"/>
      <c r="DZ165" s="84"/>
      <c r="EA165" s="79"/>
      <c r="EB165" s="82"/>
      <c r="EC165" s="79"/>
      <c r="ED165" s="82"/>
      <c r="EE165" s="84"/>
      <c r="EF165" s="84"/>
      <c r="EG165" s="79"/>
      <c r="EH165" s="82"/>
      <c r="EI165" s="79"/>
      <c r="EJ165" s="82"/>
      <c r="EK165" s="84"/>
      <c r="EL165" s="84"/>
      <c r="EM165" s="79"/>
      <c r="EN165" s="82"/>
      <c r="EO165" s="79"/>
      <c r="EP165" s="82"/>
      <c r="EQ165" s="84"/>
      <c r="ER165" s="589"/>
      <c r="ES165" s="79"/>
      <c r="ET165" s="82"/>
      <c r="EU165" s="79"/>
      <c r="EV165" s="82"/>
      <c r="EW165" s="84"/>
      <c r="EY165" s="91"/>
      <c r="EZ165" s="82"/>
      <c r="FA165" s="79"/>
      <c r="FB165" s="82"/>
      <c r="FC165" s="84"/>
      <c r="FE165" s="91"/>
      <c r="FF165" s="82"/>
      <c r="FG165" s="79"/>
      <c r="FH165" s="82"/>
      <c r="FI165" s="84"/>
      <c r="FK165" s="91"/>
      <c r="FL165" s="82"/>
      <c r="FM165" s="79"/>
      <c r="FN165" s="82"/>
      <c r="FO165" s="84"/>
      <c r="FQ165" s="91"/>
      <c r="FR165" s="369"/>
      <c r="FS165" s="371"/>
      <c r="FT165" s="369"/>
      <c r="FU165" s="370"/>
      <c r="FV165" s="178"/>
      <c r="FW165" s="91"/>
      <c r="FX165" s="369"/>
      <c r="FY165" s="371"/>
      <c r="FZ165" s="361"/>
      <c r="GA165" s="362"/>
      <c r="GC165" s="379"/>
      <c r="GD165" s="369"/>
      <c r="GE165" s="371"/>
      <c r="GF165" s="369"/>
      <c r="GG165" s="370"/>
      <c r="GI165" s="379"/>
      <c r="GJ165" s="369"/>
      <c r="GK165" s="371"/>
      <c r="GL165" s="369"/>
      <c r="GM165" s="370"/>
      <c r="GO165" s="379"/>
      <c r="GP165" s="369"/>
      <c r="GQ165" s="371"/>
      <c r="GR165" s="369"/>
      <c r="GS165" s="370"/>
      <c r="GU165" s="379"/>
      <c r="GV165" s="369"/>
      <c r="GW165" s="371"/>
      <c r="GX165" s="369"/>
      <c r="GY165" s="370"/>
      <c r="HA165" s="91"/>
      <c r="HB165" s="82"/>
      <c r="HC165" s="371"/>
      <c r="HD165" s="369"/>
      <c r="HE165" s="370"/>
      <c r="HG165" s="91"/>
      <c r="HH165" s="82"/>
      <c r="HI165" s="79"/>
      <c r="HJ165" s="82"/>
      <c r="HK165" s="84"/>
      <c r="HM165" s="91"/>
      <c r="HN165" s="82"/>
      <c r="HO165" s="371"/>
      <c r="HP165" s="361"/>
      <c r="HQ165" s="362"/>
      <c r="HS165" s="91"/>
      <c r="HT165" s="82"/>
      <c r="HU165" s="371"/>
      <c r="HV165" s="369"/>
      <c r="HW165" s="370"/>
      <c r="HX165" s="178"/>
      <c r="HY165" s="91"/>
      <c r="HZ165" s="82"/>
      <c r="IA165" s="371"/>
      <c r="IB165" s="361"/>
      <c r="IC165" s="362"/>
      <c r="IE165" s="91"/>
      <c r="IF165" s="82"/>
      <c r="IG165" s="79"/>
      <c r="IH165" s="82"/>
      <c r="II165" s="84"/>
      <c r="IK165" s="383"/>
      <c r="IL165" s="82"/>
      <c r="IM165" s="79"/>
      <c r="IN165" s="82"/>
      <c r="IO165" s="84"/>
      <c r="IQ165" s="91"/>
      <c r="IR165" s="82"/>
      <c r="IS165" s="79"/>
      <c r="IT165" s="82"/>
      <c r="IU165" s="84"/>
      <c r="IW165" s="91"/>
      <c r="IX165" s="82"/>
      <c r="IY165" s="79"/>
      <c r="IZ165" s="82"/>
      <c r="JA165" s="84"/>
      <c r="JC165" s="91"/>
      <c r="JD165" s="82"/>
      <c r="JE165" s="79"/>
      <c r="JF165" s="82"/>
      <c r="JG165" s="84"/>
      <c r="JI165" s="91"/>
      <c r="JJ165" s="82"/>
      <c r="JK165" s="79"/>
      <c r="JL165" s="82"/>
      <c r="JM165" s="84"/>
      <c r="JO165" s="743">
        <f>JO130</f>
        <v>0</v>
      </c>
      <c r="JP165" s="737">
        <f>JP130</f>
        <v>0</v>
      </c>
      <c r="JQ165" s="744">
        <f>JQ130</f>
        <v>0</v>
      </c>
      <c r="JR165" s="737" t="e">
        <f t="shared" si="3150"/>
        <v>#DIV/0!</v>
      </c>
      <c r="JS165" s="738" t="e">
        <f t="shared" si="3032"/>
        <v>#DIV/0!</v>
      </c>
      <c r="JU165" s="743">
        <f t="shared" ref="JU165:JW173" si="3171">SUM(JU130)</f>
        <v>0</v>
      </c>
      <c r="JV165" s="737">
        <f t="shared" si="3171"/>
        <v>0</v>
      </c>
      <c r="JW165" s="744">
        <f t="shared" si="3171"/>
        <v>0</v>
      </c>
      <c r="JX165" s="737" t="e">
        <f t="shared" si="3151"/>
        <v>#DIV/0!</v>
      </c>
      <c r="JY165" s="738" t="e">
        <f t="shared" si="3034"/>
        <v>#DIV/0!</v>
      </c>
      <c r="KA165" s="743">
        <f t="shared" ref="KA165:KC173" si="3172">SUM(KA130)</f>
        <v>0</v>
      </c>
      <c r="KB165" s="737">
        <f t="shared" si="3172"/>
        <v>0</v>
      </c>
      <c r="KC165" s="744">
        <f t="shared" si="3172"/>
        <v>0</v>
      </c>
      <c r="KD165" s="737" t="e">
        <f t="shared" si="3152"/>
        <v>#DIV/0!</v>
      </c>
      <c r="KE165" s="738" t="e">
        <f t="shared" si="3036"/>
        <v>#DIV/0!</v>
      </c>
      <c r="KG165" s="743">
        <f t="shared" ref="KG165:KI165" si="3173">SUM(KG130)</f>
        <v>0</v>
      </c>
      <c r="KH165" s="737">
        <f t="shared" si="3173"/>
        <v>0</v>
      </c>
      <c r="KI165" s="744">
        <f t="shared" si="3173"/>
        <v>0</v>
      </c>
      <c r="KJ165" s="737" t="e">
        <f t="shared" si="3153"/>
        <v>#DIV/0!</v>
      </c>
      <c r="KK165" s="738" t="e">
        <f t="shared" si="3039"/>
        <v>#DIV/0!</v>
      </c>
      <c r="KM165" s="743">
        <f t="shared" ref="KM165:KO165" si="3174">SUM(KM130)</f>
        <v>0</v>
      </c>
      <c r="KN165" s="737">
        <f t="shared" si="3174"/>
        <v>0</v>
      </c>
      <c r="KO165" s="744">
        <f t="shared" si="3174"/>
        <v>0</v>
      </c>
      <c r="KP165" s="737" t="e">
        <f t="shared" si="3154"/>
        <v>#DIV/0!</v>
      </c>
      <c r="KQ165" s="738" t="e">
        <f t="shared" si="3042"/>
        <v>#DIV/0!</v>
      </c>
      <c r="KS165" s="743">
        <f t="shared" ref="KS165:KU165" si="3175">SUM(KS130)</f>
        <v>0</v>
      </c>
      <c r="KT165" s="737">
        <f t="shared" si="3175"/>
        <v>0</v>
      </c>
      <c r="KU165" s="744">
        <f t="shared" si="3175"/>
        <v>0</v>
      </c>
      <c r="KV165" s="737" t="e">
        <f t="shared" si="3155"/>
        <v>#DIV/0!</v>
      </c>
      <c r="KW165" s="738" t="e">
        <f t="shared" si="3045"/>
        <v>#DIV/0!</v>
      </c>
      <c r="KY165" s="743">
        <f t="shared" ref="KY165:LA165" si="3176">SUM(KY130)</f>
        <v>0</v>
      </c>
      <c r="KZ165" s="737">
        <f t="shared" si="3176"/>
        <v>0</v>
      </c>
      <c r="LA165" s="744">
        <f t="shared" si="3176"/>
        <v>0</v>
      </c>
      <c r="LB165" s="737" t="e">
        <f t="shared" si="3156"/>
        <v>#DIV/0!</v>
      </c>
      <c r="LC165" s="738" t="e">
        <f t="shared" si="3048"/>
        <v>#DIV/0!</v>
      </c>
      <c r="LE165" s="743">
        <f t="shared" ref="LE165:LG165" si="3177">SUM(LE130)</f>
        <v>0</v>
      </c>
      <c r="LF165" s="737">
        <f t="shared" si="3177"/>
        <v>0</v>
      </c>
      <c r="LG165" s="744">
        <f t="shared" si="3177"/>
        <v>0</v>
      </c>
      <c r="LH165" s="737" t="e">
        <f t="shared" si="3157"/>
        <v>#DIV/0!</v>
      </c>
      <c r="LI165" s="738" t="e">
        <f t="shared" si="3051"/>
        <v>#DIV/0!</v>
      </c>
      <c r="LK165" s="743">
        <f t="shared" ref="LK165:LM165" si="3178">SUM(LK130)</f>
        <v>0</v>
      </c>
      <c r="LL165" s="737">
        <f t="shared" si="3178"/>
        <v>0</v>
      </c>
      <c r="LM165" s="744">
        <f t="shared" si="3178"/>
        <v>0</v>
      </c>
      <c r="LN165" s="737" t="e">
        <f t="shared" si="3158"/>
        <v>#DIV/0!</v>
      </c>
      <c r="LO165" s="738" t="e">
        <f t="shared" si="3054"/>
        <v>#DIV/0!</v>
      </c>
      <c r="LQ165" s="743">
        <f t="shared" ref="LQ165:LS165" si="3179">SUM(LQ130)</f>
        <v>0</v>
      </c>
      <c r="LR165" s="737">
        <f t="shared" si="3179"/>
        <v>0</v>
      </c>
      <c r="LS165" s="744">
        <f t="shared" si="3179"/>
        <v>0</v>
      </c>
      <c r="LT165" s="737" t="e">
        <f t="shared" si="3159"/>
        <v>#DIV/0!</v>
      </c>
      <c r="LU165" s="738" t="e">
        <f t="shared" si="3057"/>
        <v>#DIV/0!</v>
      </c>
      <c r="LW165" s="743">
        <f t="shared" ref="LW165:LY165" si="3180">SUM(LW130)</f>
        <v>0</v>
      </c>
      <c r="LX165" s="737">
        <f t="shared" si="3180"/>
        <v>0</v>
      </c>
      <c r="LY165" s="744">
        <f t="shared" si="3180"/>
        <v>0</v>
      </c>
      <c r="LZ165" s="737" t="e">
        <f t="shared" si="3160"/>
        <v>#DIV/0!</v>
      </c>
      <c r="MA165" s="738" t="e">
        <f t="shared" si="3060"/>
        <v>#DIV/0!</v>
      </c>
      <c r="MC165" s="743">
        <f t="shared" ref="MC165:ME165" si="3181">SUM(MC130)</f>
        <v>0</v>
      </c>
      <c r="MD165" s="737">
        <f t="shared" si="3181"/>
        <v>0</v>
      </c>
      <c r="ME165" s="744">
        <f t="shared" si="3181"/>
        <v>0</v>
      </c>
      <c r="MF165" s="737" t="e">
        <f t="shared" si="3161"/>
        <v>#DIV/0!</v>
      </c>
      <c r="MG165" s="738" t="e">
        <f t="shared" si="3063"/>
        <v>#DIV/0!</v>
      </c>
      <c r="MI165" s="743">
        <f t="shared" ref="MI165:MK165" si="3182">SUM(MI130)</f>
        <v>2500</v>
      </c>
      <c r="MJ165" s="737">
        <f t="shared" si="3182"/>
        <v>12.28</v>
      </c>
      <c r="MK165" s="744">
        <f t="shared" si="3182"/>
        <v>5</v>
      </c>
      <c r="ML165" s="737">
        <f t="shared" si="3162"/>
        <v>203.58306188925081</v>
      </c>
      <c r="MM165" s="738">
        <f t="shared" si="3066"/>
        <v>2.456</v>
      </c>
      <c r="MO165" s="743">
        <f t="shared" ref="MO165:MQ165" si="3183">SUM(MO130)</f>
        <v>0</v>
      </c>
      <c r="MP165" s="737">
        <f t="shared" si="3183"/>
        <v>0</v>
      </c>
      <c r="MQ165" s="744">
        <f t="shared" si="3183"/>
        <v>0</v>
      </c>
      <c r="MR165" s="737" t="e">
        <f t="shared" si="3163"/>
        <v>#DIV/0!</v>
      </c>
      <c r="MS165" s="738" t="e">
        <f t="shared" si="3069"/>
        <v>#DIV/0!</v>
      </c>
      <c r="MU165" s="743">
        <f t="shared" ref="MU165:MW165" si="3184">SUM(MU130)</f>
        <v>0</v>
      </c>
      <c r="MV165" s="737">
        <f t="shared" si="3184"/>
        <v>0</v>
      </c>
      <c r="MW165" s="744">
        <f t="shared" si="3184"/>
        <v>0</v>
      </c>
      <c r="MX165" s="737" t="e">
        <f t="shared" si="3164"/>
        <v>#DIV/0!</v>
      </c>
      <c r="MY165" s="738" t="e">
        <f t="shared" si="3072"/>
        <v>#DIV/0!</v>
      </c>
      <c r="NA165" s="743">
        <f t="shared" ref="NA165:NC165" si="3185">SUM(NA130)</f>
        <v>0</v>
      </c>
      <c r="NB165" s="744">
        <f t="shared" si="3185"/>
        <v>0</v>
      </c>
      <c r="NC165" s="744">
        <f t="shared" si="3185"/>
        <v>0</v>
      </c>
      <c r="ND165" s="737" t="e">
        <f t="shared" si="3165"/>
        <v>#DIV/0!</v>
      </c>
      <c r="NE165" s="738" t="e">
        <f t="shared" si="3075"/>
        <v>#DIV/0!</v>
      </c>
      <c r="NG165" s="743">
        <f t="shared" ref="NG165:NI165" si="3186">SUM(NG130)</f>
        <v>0</v>
      </c>
      <c r="NH165" s="737">
        <f t="shared" si="3186"/>
        <v>0</v>
      </c>
      <c r="NI165" s="744">
        <f t="shared" si="3186"/>
        <v>0</v>
      </c>
      <c r="NJ165" s="737" t="e">
        <f t="shared" si="3166"/>
        <v>#DIV/0!</v>
      </c>
      <c r="NK165" s="738" t="e">
        <f t="shared" si="3078"/>
        <v>#DIV/0!</v>
      </c>
      <c r="NM165" s="743">
        <f t="shared" ref="NM165:NO165" si="3187">SUM(NM130)</f>
        <v>0</v>
      </c>
      <c r="NN165" s="737">
        <f t="shared" si="3187"/>
        <v>0</v>
      </c>
      <c r="NO165" s="744">
        <f t="shared" si="3187"/>
        <v>0</v>
      </c>
      <c r="NP165" s="737" t="e">
        <f t="shared" si="3167"/>
        <v>#DIV/0!</v>
      </c>
      <c r="NQ165" s="738" t="e">
        <f t="shared" si="3081"/>
        <v>#DIV/0!</v>
      </c>
      <c r="NS165" s="743">
        <f t="shared" ref="NS165:NU165" si="3188">SUM(NS130)</f>
        <v>0</v>
      </c>
      <c r="NT165" s="737">
        <f t="shared" si="3188"/>
        <v>0</v>
      </c>
      <c r="NU165" s="744">
        <f t="shared" si="3188"/>
        <v>0</v>
      </c>
      <c r="NV165" s="737" t="e">
        <f t="shared" si="3168"/>
        <v>#DIV/0!</v>
      </c>
      <c r="NW165" s="738" t="e">
        <f t="shared" si="3084"/>
        <v>#DIV/0!</v>
      </c>
      <c r="NY165" s="743">
        <f t="shared" ref="NY165:OA165" si="3189">SUM(NY130)</f>
        <v>0</v>
      </c>
      <c r="NZ165" s="737">
        <f t="shared" si="3189"/>
        <v>0</v>
      </c>
      <c r="OA165" s="744">
        <f t="shared" si="3189"/>
        <v>0</v>
      </c>
      <c r="OB165" s="737" t="e">
        <f t="shared" si="3169"/>
        <v>#DIV/0!</v>
      </c>
      <c r="OC165" s="738" t="e">
        <f t="shared" si="3087"/>
        <v>#DIV/0!</v>
      </c>
      <c r="OE165" s="743">
        <f t="shared" ref="OE165:OG165" si="3190">SUM(OE130)</f>
        <v>0</v>
      </c>
      <c r="OF165" s="737">
        <f t="shared" si="3190"/>
        <v>0</v>
      </c>
      <c r="OG165" s="744">
        <f t="shared" si="3190"/>
        <v>0</v>
      </c>
      <c r="OH165" s="737" t="e">
        <f t="shared" si="3170"/>
        <v>#DIV/0!</v>
      </c>
      <c r="OI165" s="738" t="e">
        <f t="shared" si="3090"/>
        <v>#DIV/0!</v>
      </c>
    </row>
    <row r="166" spans="1:399">
      <c r="A166" s="715" t="s">
        <v>376</v>
      </c>
      <c r="B166" s="731" t="s">
        <v>378</v>
      </c>
      <c r="C166" s="725"/>
      <c r="D166" s="723" t="s">
        <v>11</v>
      </c>
      <c r="E166" s="79"/>
      <c r="F166" s="82"/>
      <c r="G166" s="79"/>
      <c r="H166" s="82"/>
      <c r="I166" s="84"/>
      <c r="J166" s="589"/>
      <c r="K166" s="79"/>
      <c r="L166" s="82"/>
      <c r="M166" s="79"/>
      <c r="N166" s="82"/>
      <c r="O166" s="84"/>
      <c r="P166" s="589"/>
      <c r="Q166" s="79"/>
      <c r="R166" s="82"/>
      <c r="S166" s="79"/>
      <c r="T166" s="82"/>
      <c r="U166" s="84"/>
      <c r="V166" s="589"/>
      <c r="W166" s="79"/>
      <c r="X166" s="82"/>
      <c r="Y166" s="79"/>
      <c r="Z166" s="82"/>
      <c r="AA166" s="84"/>
      <c r="AB166" s="589"/>
      <c r="AC166" s="79"/>
      <c r="AD166" s="82"/>
      <c r="AE166" s="79"/>
      <c r="AF166" s="82"/>
      <c r="AG166" s="84"/>
      <c r="AH166" s="589"/>
      <c r="AI166" s="79"/>
      <c r="AJ166" s="82"/>
      <c r="AK166" s="79"/>
      <c r="AL166" s="82"/>
      <c r="AM166" s="84"/>
      <c r="AN166" s="589"/>
      <c r="AO166" s="79"/>
      <c r="AP166" s="82"/>
      <c r="AQ166" s="79"/>
      <c r="AR166" s="82"/>
      <c r="AS166" s="84"/>
      <c r="AT166" s="589"/>
      <c r="AU166" s="79"/>
      <c r="AV166" s="82"/>
      <c r="AW166" s="79"/>
      <c r="AX166" s="82"/>
      <c r="AY166" s="84"/>
      <c r="AZ166" s="84"/>
      <c r="BA166" s="79"/>
      <c r="BB166" s="82"/>
      <c r="BC166" s="79"/>
      <c r="BD166" s="82"/>
      <c r="BE166" s="84"/>
      <c r="BF166" s="84"/>
      <c r="BG166" s="79"/>
      <c r="BH166" s="82"/>
      <c r="BI166" s="79"/>
      <c r="BJ166" s="82"/>
      <c r="BK166" s="84"/>
      <c r="BL166" s="84"/>
      <c r="BM166" s="79"/>
      <c r="BN166" s="82"/>
      <c r="BO166" s="79"/>
      <c r="BP166" s="82"/>
      <c r="BQ166" s="84"/>
      <c r="BR166" s="589"/>
      <c r="BS166" s="79"/>
      <c r="BT166" s="82"/>
      <c r="BU166" s="79"/>
      <c r="BV166" s="82"/>
      <c r="BW166" s="84"/>
      <c r="BX166" s="84"/>
      <c r="BY166" s="79"/>
      <c r="BZ166" s="82"/>
      <c r="CA166" s="79"/>
      <c r="CB166" s="82"/>
      <c r="CC166" s="84"/>
      <c r="CD166" s="84"/>
      <c r="CE166" s="79"/>
      <c r="CF166" s="82"/>
      <c r="CG166" s="79"/>
      <c r="CH166" s="82"/>
      <c r="CI166" s="84"/>
      <c r="CJ166" s="84"/>
      <c r="CK166" s="79"/>
      <c r="CL166" s="82"/>
      <c r="CM166" s="79"/>
      <c r="CN166" s="82"/>
      <c r="CO166" s="84"/>
      <c r="CP166" s="84"/>
      <c r="CQ166" s="79"/>
      <c r="CR166" s="82"/>
      <c r="CS166" s="79"/>
      <c r="CT166" s="82"/>
      <c r="CU166" s="84"/>
      <c r="CV166" s="84"/>
      <c r="CW166" s="79"/>
      <c r="CX166" s="82"/>
      <c r="CY166" s="79"/>
      <c r="CZ166" s="82"/>
      <c r="DA166" s="84"/>
      <c r="DB166" s="84"/>
      <c r="DC166" s="79"/>
      <c r="DD166" s="82"/>
      <c r="DE166" s="79"/>
      <c r="DF166" s="82"/>
      <c r="DG166" s="84"/>
      <c r="DH166" s="84"/>
      <c r="DI166" s="79"/>
      <c r="DJ166" s="82"/>
      <c r="DK166" s="79"/>
      <c r="DL166" s="82"/>
      <c r="DM166" s="84"/>
      <c r="DN166" s="84"/>
      <c r="DO166" s="79"/>
      <c r="DP166" s="82"/>
      <c r="DQ166" s="79"/>
      <c r="DR166" s="82"/>
      <c r="DS166" s="84"/>
      <c r="DT166" s="84"/>
      <c r="DU166" s="79"/>
      <c r="DV166" s="82"/>
      <c r="DW166" s="79"/>
      <c r="DX166" s="82"/>
      <c r="DY166" s="84"/>
      <c r="DZ166" s="84"/>
      <c r="EA166" s="79"/>
      <c r="EB166" s="82"/>
      <c r="EC166" s="79"/>
      <c r="ED166" s="82"/>
      <c r="EE166" s="84"/>
      <c r="EF166" s="84"/>
      <c r="EG166" s="79"/>
      <c r="EH166" s="82"/>
      <c r="EI166" s="79"/>
      <c r="EJ166" s="82"/>
      <c r="EK166" s="84"/>
      <c r="EL166" s="84"/>
      <c r="EM166" s="79"/>
      <c r="EN166" s="82"/>
      <c r="EO166" s="79"/>
      <c r="EP166" s="82"/>
      <c r="EQ166" s="84"/>
      <c r="ER166" s="589"/>
      <c r="ES166" s="79"/>
      <c r="ET166" s="82"/>
      <c r="EU166" s="79"/>
      <c r="EV166" s="82"/>
      <c r="EW166" s="84"/>
      <c r="EY166" s="91"/>
      <c r="EZ166" s="82"/>
      <c r="FA166" s="79"/>
      <c r="FB166" s="82"/>
      <c r="FC166" s="84"/>
      <c r="FE166" s="91"/>
      <c r="FF166" s="82"/>
      <c r="FG166" s="79"/>
      <c r="FH166" s="82"/>
      <c r="FI166" s="84"/>
      <c r="FK166" s="91"/>
      <c r="FL166" s="82"/>
      <c r="FM166" s="79"/>
      <c r="FN166" s="82"/>
      <c r="FO166" s="84"/>
      <c r="FQ166" s="91"/>
      <c r="FR166" s="369"/>
      <c r="FS166" s="371"/>
      <c r="FT166" s="369"/>
      <c r="FU166" s="370"/>
      <c r="FV166" s="178"/>
      <c r="FW166" s="91"/>
      <c r="FX166" s="369"/>
      <c r="FY166" s="371"/>
      <c r="FZ166" s="361"/>
      <c r="GA166" s="362"/>
      <c r="GC166" s="379"/>
      <c r="GD166" s="369"/>
      <c r="GE166" s="371"/>
      <c r="GF166" s="369"/>
      <c r="GG166" s="370"/>
      <c r="GI166" s="379"/>
      <c r="GJ166" s="369"/>
      <c r="GK166" s="371"/>
      <c r="GL166" s="369"/>
      <c r="GM166" s="370"/>
      <c r="GO166" s="379"/>
      <c r="GP166" s="369"/>
      <c r="GQ166" s="371"/>
      <c r="GR166" s="369"/>
      <c r="GS166" s="370"/>
      <c r="GU166" s="379"/>
      <c r="GV166" s="369"/>
      <c r="GW166" s="371"/>
      <c r="GX166" s="369"/>
      <c r="GY166" s="370"/>
      <c r="HA166" s="91"/>
      <c r="HB166" s="82"/>
      <c r="HC166" s="371"/>
      <c r="HD166" s="369"/>
      <c r="HE166" s="370"/>
      <c r="HG166" s="91"/>
      <c r="HH166" s="82"/>
      <c r="HI166" s="79"/>
      <c r="HJ166" s="82"/>
      <c r="HK166" s="84"/>
      <c r="HM166" s="91"/>
      <c r="HN166" s="82"/>
      <c r="HO166" s="371"/>
      <c r="HP166" s="361"/>
      <c r="HQ166" s="362"/>
      <c r="HS166" s="91"/>
      <c r="HT166" s="82"/>
      <c r="HU166" s="371"/>
      <c r="HV166" s="369"/>
      <c r="HW166" s="370"/>
      <c r="HX166" s="178"/>
      <c r="HY166" s="91"/>
      <c r="HZ166" s="82"/>
      <c r="IA166" s="371"/>
      <c r="IB166" s="361"/>
      <c r="IC166" s="362"/>
      <c r="IE166" s="91"/>
      <c r="IF166" s="82"/>
      <c r="IG166" s="79"/>
      <c r="IH166" s="82"/>
      <c r="II166" s="84"/>
      <c r="IK166" s="383"/>
      <c r="IL166" s="82"/>
      <c r="IM166" s="79"/>
      <c r="IN166" s="82"/>
      <c r="IO166" s="84"/>
      <c r="IQ166" s="91"/>
      <c r="IR166" s="82"/>
      <c r="IS166" s="79"/>
      <c r="IT166" s="82"/>
      <c r="IU166" s="84"/>
      <c r="IW166" s="91"/>
      <c r="IX166" s="82"/>
      <c r="IY166" s="79"/>
      <c r="IZ166" s="82"/>
      <c r="JA166" s="84"/>
      <c r="JC166" s="91"/>
      <c r="JD166" s="82"/>
      <c r="JE166" s="79"/>
      <c r="JF166" s="82"/>
      <c r="JG166" s="84"/>
      <c r="JI166" s="91"/>
      <c r="JJ166" s="82"/>
      <c r="JK166" s="79"/>
      <c r="JL166" s="82"/>
      <c r="JM166" s="84"/>
      <c r="JO166" s="743">
        <f t="shared" ref="JO166:JQ171" si="3191">JO131</f>
        <v>0</v>
      </c>
      <c r="JP166" s="737">
        <f t="shared" si="3191"/>
        <v>0</v>
      </c>
      <c r="JQ166" s="744">
        <f t="shared" si="3191"/>
        <v>0</v>
      </c>
      <c r="JR166" s="737" t="e">
        <f t="shared" si="3150"/>
        <v>#DIV/0!</v>
      </c>
      <c r="JS166" s="738" t="e">
        <f t="shared" si="3032"/>
        <v>#DIV/0!</v>
      </c>
      <c r="JU166" s="743">
        <f t="shared" si="3171"/>
        <v>0</v>
      </c>
      <c r="JV166" s="737">
        <f t="shared" si="3171"/>
        <v>0</v>
      </c>
      <c r="JW166" s="744">
        <f t="shared" si="3171"/>
        <v>0</v>
      </c>
      <c r="JX166" s="737" t="e">
        <f t="shared" si="3151"/>
        <v>#DIV/0!</v>
      </c>
      <c r="JY166" s="738" t="e">
        <f t="shared" si="3034"/>
        <v>#DIV/0!</v>
      </c>
      <c r="KA166" s="743">
        <f t="shared" si="3172"/>
        <v>0</v>
      </c>
      <c r="KB166" s="737">
        <f t="shared" si="3172"/>
        <v>0</v>
      </c>
      <c r="KC166" s="744">
        <f t="shared" si="3172"/>
        <v>0</v>
      </c>
      <c r="KD166" s="737" t="e">
        <f t="shared" si="3152"/>
        <v>#DIV/0!</v>
      </c>
      <c r="KE166" s="738" t="e">
        <f t="shared" si="3036"/>
        <v>#DIV/0!</v>
      </c>
      <c r="KG166" s="743">
        <f t="shared" ref="KG166:KI166" si="3192">SUM(KG131)</f>
        <v>0</v>
      </c>
      <c r="KH166" s="737">
        <f t="shared" si="3192"/>
        <v>0</v>
      </c>
      <c r="KI166" s="744">
        <f t="shared" si="3192"/>
        <v>0</v>
      </c>
      <c r="KJ166" s="737" t="e">
        <f t="shared" si="3153"/>
        <v>#DIV/0!</v>
      </c>
      <c r="KK166" s="738" t="e">
        <f t="shared" si="3039"/>
        <v>#DIV/0!</v>
      </c>
      <c r="KM166" s="743">
        <f t="shared" ref="KM166:KO166" si="3193">SUM(KM131)</f>
        <v>0</v>
      </c>
      <c r="KN166" s="737">
        <f t="shared" si="3193"/>
        <v>0</v>
      </c>
      <c r="KO166" s="744">
        <f t="shared" si="3193"/>
        <v>0</v>
      </c>
      <c r="KP166" s="737" t="e">
        <f t="shared" si="3154"/>
        <v>#DIV/0!</v>
      </c>
      <c r="KQ166" s="738" t="e">
        <f t="shared" si="3042"/>
        <v>#DIV/0!</v>
      </c>
      <c r="KS166" s="743">
        <f t="shared" ref="KS166:KU166" si="3194">SUM(KS131)</f>
        <v>1000</v>
      </c>
      <c r="KT166" s="737">
        <f t="shared" si="3194"/>
        <v>1.31</v>
      </c>
      <c r="KU166" s="744">
        <f t="shared" si="3194"/>
        <v>5</v>
      </c>
      <c r="KV166" s="737">
        <f t="shared" si="3155"/>
        <v>763.35877862595419</v>
      </c>
      <c r="KW166" s="738">
        <f t="shared" si="3045"/>
        <v>0.26200000000000001</v>
      </c>
      <c r="KY166" s="743">
        <f t="shared" ref="KY166:LA166" si="3195">SUM(KY131)</f>
        <v>0</v>
      </c>
      <c r="KZ166" s="737">
        <f t="shared" si="3195"/>
        <v>0</v>
      </c>
      <c r="LA166" s="744">
        <f t="shared" si="3195"/>
        <v>0</v>
      </c>
      <c r="LB166" s="737" t="e">
        <f t="shared" si="3156"/>
        <v>#DIV/0!</v>
      </c>
      <c r="LC166" s="738" t="e">
        <f t="shared" si="3048"/>
        <v>#DIV/0!</v>
      </c>
      <c r="LE166" s="743">
        <f t="shared" ref="LE166:LG166" si="3196">SUM(LE131)</f>
        <v>0</v>
      </c>
      <c r="LF166" s="737">
        <f t="shared" si="3196"/>
        <v>0</v>
      </c>
      <c r="LG166" s="744">
        <f t="shared" si="3196"/>
        <v>0</v>
      </c>
      <c r="LH166" s="737" t="e">
        <f t="shared" si="3157"/>
        <v>#DIV/0!</v>
      </c>
      <c r="LI166" s="738" t="e">
        <f t="shared" si="3051"/>
        <v>#DIV/0!</v>
      </c>
      <c r="LK166" s="743">
        <f t="shared" ref="LK166:LM166" si="3197">SUM(LK131)</f>
        <v>0</v>
      </c>
      <c r="LL166" s="737">
        <f t="shared" si="3197"/>
        <v>0</v>
      </c>
      <c r="LM166" s="744">
        <f t="shared" si="3197"/>
        <v>0</v>
      </c>
      <c r="LN166" s="737" t="e">
        <f t="shared" si="3158"/>
        <v>#DIV/0!</v>
      </c>
      <c r="LO166" s="738" t="e">
        <f t="shared" si="3054"/>
        <v>#DIV/0!</v>
      </c>
      <c r="LQ166" s="743">
        <f t="shared" ref="LQ166:LS166" si="3198">SUM(LQ131)</f>
        <v>1000</v>
      </c>
      <c r="LR166" s="737">
        <f t="shared" si="3198"/>
        <v>1.36</v>
      </c>
      <c r="LS166" s="744">
        <f t="shared" si="3198"/>
        <v>5</v>
      </c>
      <c r="LT166" s="737">
        <f t="shared" si="3159"/>
        <v>735.29411764705878</v>
      </c>
      <c r="LU166" s="738">
        <f t="shared" si="3057"/>
        <v>0.27200000000000002</v>
      </c>
      <c r="LW166" s="743">
        <f t="shared" ref="LW166:LY166" si="3199">SUM(LW131)</f>
        <v>0</v>
      </c>
      <c r="LX166" s="737">
        <f t="shared" si="3199"/>
        <v>0</v>
      </c>
      <c r="LY166" s="744">
        <f t="shared" si="3199"/>
        <v>0</v>
      </c>
      <c r="LZ166" s="737" t="e">
        <f t="shared" si="3160"/>
        <v>#DIV/0!</v>
      </c>
      <c r="MA166" s="738" t="e">
        <f t="shared" si="3060"/>
        <v>#DIV/0!</v>
      </c>
      <c r="MC166" s="743">
        <f t="shared" ref="MC166:ME166" si="3200">SUM(MC131)</f>
        <v>0</v>
      </c>
      <c r="MD166" s="737">
        <f t="shared" si="3200"/>
        <v>0</v>
      </c>
      <c r="ME166" s="744">
        <f t="shared" si="3200"/>
        <v>0</v>
      </c>
      <c r="MF166" s="737" t="e">
        <f t="shared" si="3161"/>
        <v>#DIV/0!</v>
      </c>
      <c r="MG166" s="738" t="e">
        <f t="shared" si="3063"/>
        <v>#DIV/0!</v>
      </c>
      <c r="MI166" s="743">
        <f t="shared" ref="MI166:MK166" si="3201">SUM(MI131)</f>
        <v>1000</v>
      </c>
      <c r="MJ166" s="737">
        <f t="shared" si="3201"/>
        <v>1.4300000000000002</v>
      </c>
      <c r="MK166" s="744">
        <f t="shared" si="3201"/>
        <v>5</v>
      </c>
      <c r="ML166" s="737">
        <f t="shared" si="3162"/>
        <v>699.30069930069919</v>
      </c>
      <c r="MM166" s="738">
        <f t="shared" si="3066"/>
        <v>0.28600000000000003</v>
      </c>
      <c r="MO166" s="743">
        <f t="shared" ref="MO166:MQ166" si="3202">SUM(MO131)</f>
        <v>0</v>
      </c>
      <c r="MP166" s="737">
        <f t="shared" si="3202"/>
        <v>0</v>
      </c>
      <c r="MQ166" s="744">
        <f t="shared" si="3202"/>
        <v>0</v>
      </c>
      <c r="MR166" s="737" t="e">
        <f t="shared" si="3163"/>
        <v>#DIV/0!</v>
      </c>
      <c r="MS166" s="738" t="e">
        <f t="shared" si="3069"/>
        <v>#DIV/0!</v>
      </c>
      <c r="MU166" s="743">
        <f t="shared" ref="MU166:MW166" si="3203">SUM(MU131)</f>
        <v>0</v>
      </c>
      <c r="MV166" s="737">
        <f t="shared" si="3203"/>
        <v>0</v>
      </c>
      <c r="MW166" s="744">
        <f t="shared" si="3203"/>
        <v>0</v>
      </c>
      <c r="MX166" s="737" t="e">
        <f t="shared" si="3164"/>
        <v>#DIV/0!</v>
      </c>
      <c r="MY166" s="738" t="e">
        <f t="shared" si="3072"/>
        <v>#DIV/0!</v>
      </c>
      <c r="NA166" s="743">
        <f t="shared" ref="NA166:NC166" si="3204">SUM(NA131)</f>
        <v>0</v>
      </c>
      <c r="NB166" s="744">
        <f t="shared" si="3204"/>
        <v>0</v>
      </c>
      <c r="NC166" s="744">
        <f t="shared" si="3204"/>
        <v>0</v>
      </c>
      <c r="ND166" s="737" t="e">
        <f t="shared" si="3165"/>
        <v>#DIV/0!</v>
      </c>
      <c r="NE166" s="738" t="e">
        <f t="shared" si="3075"/>
        <v>#DIV/0!</v>
      </c>
      <c r="NG166" s="743">
        <f t="shared" ref="NG166:NI166" si="3205">SUM(NG131)</f>
        <v>0</v>
      </c>
      <c r="NH166" s="737">
        <f t="shared" si="3205"/>
        <v>0</v>
      </c>
      <c r="NI166" s="744">
        <f t="shared" si="3205"/>
        <v>0</v>
      </c>
      <c r="NJ166" s="737" t="e">
        <f t="shared" si="3166"/>
        <v>#DIV/0!</v>
      </c>
      <c r="NK166" s="738" t="e">
        <f t="shared" si="3078"/>
        <v>#DIV/0!</v>
      </c>
      <c r="NM166" s="743">
        <f t="shared" ref="NM166:NO166" si="3206">SUM(NM131)</f>
        <v>0</v>
      </c>
      <c r="NN166" s="737">
        <f t="shared" si="3206"/>
        <v>0</v>
      </c>
      <c r="NO166" s="744">
        <f t="shared" si="3206"/>
        <v>0</v>
      </c>
      <c r="NP166" s="737" t="e">
        <f t="shared" si="3167"/>
        <v>#DIV/0!</v>
      </c>
      <c r="NQ166" s="738" t="e">
        <f t="shared" si="3081"/>
        <v>#DIV/0!</v>
      </c>
      <c r="NS166" s="743">
        <f t="shared" ref="NS166:NU166" si="3207">SUM(NS131)</f>
        <v>0</v>
      </c>
      <c r="NT166" s="737">
        <f t="shared" si="3207"/>
        <v>0</v>
      </c>
      <c r="NU166" s="744">
        <f t="shared" si="3207"/>
        <v>0</v>
      </c>
      <c r="NV166" s="737" t="e">
        <f t="shared" si="3168"/>
        <v>#DIV/0!</v>
      </c>
      <c r="NW166" s="738" t="e">
        <f t="shared" si="3084"/>
        <v>#DIV/0!</v>
      </c>
      <c r="NY166" s="743">
        <f t="shared" ref="NY166:OA166" si="3208">SUM(NY131)</f>
        <v>0</v>
      </c>
      <c r="NZ166" s="737">
        <f t="shared" si="3208"/>
        <v>0</v>
      </c>
      <c r="OA166" s="744">
        <f t="shared" si="3208"/>
        <v>0</v>
      </c>
      <c r="OB166" s="737" t="e">
        <f t="shared" si="3169"/>
        <v>#DIV/0!</v>
      </c>
      <c r="OC166" s="738" t="e">
        <f t="shared" si="3087"/>
        <v>#DIV/0!</v>
      </c>
      <c r="OE166" s="743">
        <f t="shared" ref="OE166:OG166" si="3209">SUM(OE131)</f>
        <v>0</v>
      </c>
      <c r="OF166" s="737">
        <f t="shared" si="3209"/>
        <v>0</v>
      </c>
      <c r="OG166" s="744">
        <f t="shared" si="3209"/>
        <v>0</v>
      </c>
      <c r="OH166" s="737" t="e">
        <f t="shared" si="3170"/>
        <v>#DIV/0!</v>
      </c>
      <c r="OI166" s="738" t="e">
        <f t="shared" si="3090"/>
        <v>#DIV/0!</v>
      </c>
    </row>
    <row r="167" spans="1:399">
      <c r="A167" s="715" t="s">
        <v>376</v>
      </c>
      <c r="B167" s="731" t="s">
        <v>379</v>
      </c>
      <c r="C167" s="725"/>
      <c r="D167" s="723" t="s">
        <v>11</v>
      </c>
      <c r="E167" s="79"/>
      <c r="F167" s="82"/>
      <c r="G167" s="79"/>
      <c r="H167" s="82"/>
      <c r="I167" s="84"/>
      <c r="J167" s="589"/>
      <c r="K167" s="79"/>
      <c r="L167" s="82"/>
      <c r="M167" s="79"/>
      <c r="N167" s="82"/>
      <c r="O167" s="84"/>
      <c r="P167" s="589"/>
      <c r="Q167" s="79"/>
      <c r="R167" s="82"/>
      <c r="S167" s="79"/>
      <c r="T167" s="82"/>
      <c r="U167" s="84"/>
      <c r="V167" s="589"/>
      <c r="W167" s="79"/>
      <c r="X167" s="82"/>
      <c r="Y167" s="79"/>
      <c r="Z167" s="82"/>
      <c r="AA167" s="84"/>
      <c r="AB167" s="589"/>
      <c r="AC167" s="79"/>
      <c r="AD167" s="82"/>
      <c r="AE167" s="79"/>
      <c r="AF167" s="82"/>
      <c r="AG167" s="84"/>
      <c r="AH167" s="589"/>
      <c r="AI167" s="79"/>
      <c r="AJ167" s="82"/>
      <c r="AK167" s="79"/>
      <c r="AL167" s="82"/>
      <c r="AM167" s="84"/>
      <c r="AN167" s="589"/>
      <c r="AO167" s="79"/>
      <c r="AP167" s="82"/>
      <c r="AQ167" s="79"/>
      <c r="AR167" s="82"/>
      <c r="AS167" s="84"/>
      <c r="AT167" s="589"/>
      <c r="AU167" s="79"/>
      <c r="AV167" s="82"/>
      <c r="AW167" s="79"/>
      <c r="AX167" s="82"/>
      <c r="AY167" s="84"/>
      <c r="AZ167" s="84"/>
      <c r="BA167" s="79"/>
      <c r="BB167" s="82"/>
      <c r="BC167" s="79"/>
      <c r="BD167" s="82"/>
      <c r="BE167" s="84"/>
      <c r="BF167" s="84"/>
      <c r="BG167" s="79"/>
      <c r="BH167" s="82"/>
      <c r="BI167" s="79"/>
      <c r="BJ167" s="82"/>
      <c r="BK167" s="84"/>
      <c r="BL167" s="84"/>
      <c r="BM167" s="79"/>
      <c r="BN167" s="82"/>
      <c r="BO167" s="79"/>
      <c r="BP167" s="82"/>
      <c r="BQ167" s="84"/>
      <c r="BR167" s="589"/>
      <c r="BS167" s="79"/>
      <c r="BT167" s="82"/>
      <c r="BU167" s="79"/>
      <c r="BV167" s="82"/>
      <c r="BW167" s="84"/>
      <c r="BX167" s="84"/>
      <c r="BY167" s="79"/>
      <c r="BZ167" s="82"/>
      <c r="CA167" s="79"/>
      <c r="CB167" s="82"/>
      <c r="CC167" s="84"/>
      <c r="CD167" s="84"/>
      <c r="CE167" s="79"/>
      <c r="CF167" s="82"/>
      <c r="CG167" s="79"/>
      <c r="CH167" s="82"/>
      <c r="CI167" s="84"/>
      <c r="CJ167" s="84"/>
      <c r="CK167" s="79"/>
      <c r="CL167" s="82"/>
      <c r="CM167" s="79"/>
      <c r="CN167" s="82"/>
      <c r="CO167" s="84"/>
      <c r="CP167" s="84"/>
      <c r="CQ167" s="79"/>
      <c r="CR167" s="82"/>
      <c r="CS167" s="79"/>
      <c r="CT167" s="82"/>
      <c r="CU167" s="84"/>
      <c r="CV167" s="84"/>
      <c r="CW167" s="79"/>
      <c r="CX167" s="82"/>
      <c r="CY167" s="79"/>
      <c r="CZ167" s="82"/>
      <c r="DA167" s="84"/>
      <c r="DB167" s="84"/>
      <c r="DC167" s="79"/>
      <c r="DD167" s="82"/>
      <c r="DE167" s="79"/>
      <c r="DF167" s="82"/>
      <c r="DG167" s="84"/>
      <c r="DH167" s="84"/>
      <c r="DI167" s="79"/>
      <c r="DJ167" s="82"/>
      <c r="DK167" s="79"/>
      <c r="DL167" s="82"/>
      <c r="DM167" s="84"/>
      <c r="DN167" s="84"/>
      <c r="DO167" s="79"/>
      <c r="DP167" s="82"/>
      <c r="DQ167" s="79"/>
      <c r="DR167" s="82"/>
      <c r="DS167" s="84"/>
      <c r="DT167" s="84"/>
      <c r="DU167" s="79"/>
      <c r="DV167" s="82"/>
      <c r="DW167" s="79"/>
      <c r="DX167" s="82"/>
      <c r="DY167" s="84"/>
      <c r="DZ167" s="84"/>
      <c r="EA167" s="79"/>
      <c r="EB167" s="82"/>
      <c r="EC167" s="79"/>
      <c r="ED167" s="82"/>
      <c r="EE167" s="84"/>
      <c r="EF167" s="84"/>
      <c r="EG167" s="79"/>
      <c r="EH167" s="82"/>
      <c r="EI167" s="79"/>
      <c r="EJ167" s="82"/>
      <c r="EK167" s="84"/>
      <c r="EL167" s="84"/>
      <c r="EM167" s="79"/>
      <c r="EN167" s="82"/>
      <c r="EO167" s="79"/>
      <c r="EP167" s="82"/>
      <c r="EQ167" s="84"/>
      <c r="ER167" s="589"/>
      <c r="ES167" s="79"/>
      <c r="ET167" s="82"/>
      <c r="EU167" s="79"/>
      <c r="EV167" s="82"/>
      <c r="EW167" s="84"/>
      <c r="EY167" s="91"/>
      <c r="EZ167" s="82"/>
      <c r="FA167" s="79"/>
      <c r="FB167" s="82"/>
      <c r="FC167" s="84"/>
      <c r="FE167" s="91"/>
      <c r="FF167" s="82"/>
      <c r="FG167" s="79"/>
      <c r="FH167" s="82"/>
      <c r="FI167" s="84"/>
      <c r="FK167" s="91"/>
      <c r="FL167" s="82"/>
      <c r="FM167" s="79"/>
      <c r="FN167" s="82"/>
      <c r="FO167" s="84"/>
      <c r="FQ167" s="91"/>
      <c r="FR167" s="369"/>
      <c r="FS167" s="371"/>
      <c r="FT167" s="369"/>
      <c r="FU167" s="370"/>
      <c r="FV167" s="178"/>
      <c r="FW167" s="91"/>
      <c r="FX167" s="369"/>
      <c r="FY167" s="371"/>
      <c r="FZ167" s="361"/>
      <c r="GA167" s="362"/>
      <c r="GC167" s="379"/>
      <c r="GD167" s="369"/>
      <c r="GE167" s="371"/>
      <c r="GF167" s="369"/>
      <c r="GG167" s="370"/>
      <c r="GI167" s="379"/>
      <c r="GJ167" s="369"/>
      <c r="GK167" s="371"/>
      <c r="GL167" s="369"/>
      <c r="GM167" s="370"/>
      <c r="GO167" s="379"/>
      <c r="GP167" s="369"/>
      <c r="GQ167" s="371"/>
      <c r="GR167" s="369"/>
      <c r="GS167" s="370"/>
      <c r="GU167" s="379"/>
      <c r="GV167" s="369"/>
      <c r="GW167" s="371"/>
      <c r="GX167" s="369"/>
      <c r="GY167" s="370"/>
      <c r="HA167" s="91"/>
      <c r="HB167" s="82"/>
      <c r="HC167" s="371"/>
      <c r="HD167" s="369"/>
      <c r="HE167" s="370"/>
      <c r="HG167" s="91"/>
      <c r="HH167" s="82"/>
      <c r="HI167" s="79"/>
      <c r="HJ167" s="82"/>
      <c r="HK167" s="84"/>
      <c r="HM167" s="91"/>
      <c r="HN167" s="82"/>
      <c r="HO167" s="371"/>
      <c r="HP167" s="361"/>
      <c r="HQ167" s="362"/>
      <c r="HS167" s="91"/>
      <c r="HT167" s="82"/>
      <c r="HU167" s="371"/>
      <c r="HV167" s="369"/>
      <c r="HW167" s="370"/>
      <c r="HX167" s="178"/>
      <c r="HY167" s="91"/>
      <c r="HZ167" s="82"/>
      <c r="IA167" s="371"/>
      <c r="IB167" s="361"/>
      <c r="IC167" s="362"/>
      <c r="IE167" s="91"/>
      <c r="IF167" s="82"/>
      <c r="IG167" s="79"/>
      <c r="IH167" s="82"/>
      <c r="II167" s="84"/>
      <c r="IK167" s="383"/>
      <c r="IL167" s="82"/>
      <c r="IM167" s="79"/>
      <c r="IN167" s="82"/>
      <c r="IO167" s="84"/>
      <c r="IQ167" s="91"/>
      <c r="IR167" s="82"/>
      <c r="IS167" s="79"/>
      <c r="IT167" s="82"/>
      <c r="IU167" s="84"/>
      <c r="IW167" s="91"/>
      <c r="IX167" s="82"/>
      <c r="IY167" s="79"/>
      <c r="IZ167" s="82"/>
      <c r="JA167" s="84"/>
      <c r="JC167" s="91"/>
      <c r="JD167" s="82"/>
      <c r="JE167" s="79"/>
      <c r="JF167" s="82"/>
      <c r="JG167" s="84"/>
      <c r="JI167" s="91"/>
      <c r="JJ167" s="82"/>
      <c r="JK167" s="79"/>
      <c r="JL167" s="82"/>
      <c r="JM167" s="84"/>
      <c r="JO167" s="743">
        <f t="shared" si="3191"/>
        <v>750</v>
      </c>
      <c r="JP167" s="737">
        <f t="shared" si="3191"/>
        <v>3.33</v>
      </c>
      <c r="JQ167" s="744">
        <f t="shared" si="3191"/>
        <v>5</v>
      </c>
      <c r="JR167" s="737">
        <f t="shared" si="3150"/>
        <v>225.22522522522522</v>
      </c>
      <c r="JS167" s="738">
        <f t="shared" si="3032"/>
        <v>0.66600000000000004</v>
      </c>
      <c r="JU167" s="743">
        <f t="shared" si="3171"/>
        <v>1000</v>
      </c>
      <c r="JV167" s="737">
        <f t="shared" si="3171"/>
        <v>3.8900000000000006</v>
      </c>
      <c r="JW167" s="744">
        <f t="shared" si="3171"/>
        <v>5</v>
      </c>
      <c r="JX167" s="737">
        <f t="shared" si="3151"/>
        <v>257.06940874035985</v>
      </c>
      <c r="JY167" s="738">
        <f t="shared" si="3034"/>
        <v>0.77800000000000014</v>
      </c>
      <c r="KA167" s="743">
        <f t="shared" si="3172"/>
        <v>800</v>
      </c>
      <c r="KB167" s="737">
        <f t="shared" si="3172"/>
        <v>5.14</v>
      </c>
      <c r="KC167" s="744">
        <f t="shared" si="3172"/>
        <v>4</v>
      </c>
      <c r="KD167" s="737">
        <f t="shared" si="3152"/>
        <v>155.64202334630352</v>
      </c>
      <c r="KE167" s="738">
        <f t="shared" si="3036"/>
        <v>1.2849999999999999</v>
      </c>
      <c r="KG167" s="743">
        <f t="shared" ref="KG167:KI167" si="3210">SUM(KG132)</f>
        <v>1000</v>
      </c>
      <c r="KH167" s="737">
        <f t="shared" si="3210"/>
        <v>5.3</v>
      </c>
      <c r="KI167" s="744">
        <f t="shared" si="3210"/>
        <v>5</v>
      </c>
      <c r="KJ167" s="737">
        <f t="shared" si="3153"/>
        <v>188.67924528301887</v>
      </c>
      <c r="KK167" s="738">
        <f t="shared" si="3039"/>
        <v>1.06</v>
      </c>
      <c r="KM167" s="743">
        <f t="shared" ref="KM167:KO167" si="3211">SUM(KM132)</f>
        <v>0</v>
      </c>
      <c r="KN167" s="737">
        <f t="shared" si="3211"/>
        <v>0</v>
      </c>
      <c r="KO167" s="744">
        <f t="shared" si="3211"/>
        <v>0</v>
      </c>
      <c r="KP167" s="737" t="e">
        <f t="shared" si="3154"/>
        <v>#DIV/0!</v>
      </c>
      <c r="KQ167" s="738" t="e">
        <f t="shared" si="3042"/>
        <v>#DIV/0!</v>
      </c>
      <c r="KS167" s="743">
        <f t="shared" ref="KS167:KU167" si="3212">SUM(KS132)</f>
        <v>1000</v>
      </c>
      <c r="KT167" s="737">
        <f t="shared" si="3212"/>
        <v>2.86</v>
      </c>
      <c r="KU167" s="744">
        <f t="shared" si="3212"/>
        <v>5</v>
      </c>
      <c r="KV167" s="737">
        <f t="shared" si="3155"/>
        <v>349.65034965034965</v>
      </c>
      <c r="KW167" s="738">
        <f t="shared" si="3045"/>
        <v>0.57199999999999995</v>
      </c>
      <c r="KY167" s="743">
        <f t="shared" ref="KY167:LA167" si="3213">SUM(KY132)</f>
        <v>0</v>
      </c>
      <c r="KZ167" s="737">
        <f t="shared" si="3213"/>
        <v>0</v>
      </c>
      <c r="LA167" s="744">
        <f t="shared" si="3213"/>
        <v>0</v>
      </c>
      <c r="LB167" s="737" t="e">
        <f t="shared" si="3156"/>
        <v>#DIV/0!</v>
      </c>
      <c r="LC167" s="738" t="e">
        <f t="shared" si="3048"/>
        <v>#DIV/0!</v>
      </c>
      <c r="LE167" s="743">
        <f t="shared" ref="LE167:LG167" si="3214">SUM(LE132)</f>
        <v>500</v>
      </c>
      <c r="LF167" s="737">
        <f t="shared" si="3214"/>
        <v>3.24</v>
      </c>
      <c r="LG167" s="744">
        <f t="shared" si="3214"/>
        <v>5</v>
      </c>
      <c r="LH167" s="737">
        <f t="shared" si="3157"/>
        <v>154.32098765432099</v>
      </c>
      <c r="LI167" s="738">
        <f t="shared" si="3051"/>
        <v>0.64800000000000002</v>
      </c>
      <c r="LK167" s="743">
        <f t="shared" ref="LK167:LM167" si="3215">SUM(LK132)</f>
        <v>0</v>
      </c>
      <c r="LL167" s="737">
        <f t="shared" si="3215"/>
        <v>0</v>
      </c>
      <c r="LM167" s="744">
        <f t="shared" si="3215"/>
        <v>0</v>
      </c>
      <c r="LN167" s="737" t="e">
        <f t="shared" si="3158"/>
        <v>#DIV/0!</v>
      </c>
      <c r="LO167" s="738" t="e">
        <f t="shared" si="3054"/>
        <v>#DIV/0!</v>
      </c>
      <c r="LQ167" s="743">
        <f t="shared" ref="LQ167:LS167" si="3216">SUM(LQ132)</f>
        <v>0</v>
      </c>
      <c r="LR167" s="737">
        <f t="shared" si="3216"/>
        <v>0</v>
      </c>
      <c r="LS167" s="744">
        <f t="shared" si="3216"/>
        <v>0</v>
      </c>
      <c r="LT167" s="737" t="e">
        <f t="shared" si="3159"/>
        <v>#DIV/0!</v>
      </c>
      <c r="LU167" s="738" t="e">
        <f t="shared" si="3057"/>
        <v>#DIV/0!</v>
      </c>
      <c r="LW167" s="743">
        <f t="shared" ref="LW167:LY167" si="3217">SUM(LW132)</f>
        <v>800</v>
      </c>
      <c r="LX167" s="737">
        <f t="shared" si="3217"/>
        <v>2</v>
      </c>
      <c r="LY167" s="744">
        <f t="shared" si="3217"/>
        <v>4</v>
      </c>
      <c r="LZ167" s="737">
        <f t="shared" si="3160"/>
        <v>400</v>
      </c>
      <c r="MA167" s="738">
        <f t="shared" si="3060"/>
        <v>0.5</v>
      </c>
      <c r="MC167" s="743">
        <f t="shared" ref="MC167:ME167" si="3218">SUM(MC132)</f>
        <v>0</v>
      </c>
      <c r="MD167" s="737">
        <f t="shared" si="3218"/>
        <v>0</v>
      </c>
      <c r="ME167" s="744">
        <f t="shared" si="3218"/>
        <v>0</v>
      </c>
      <c r="MF167" s="737" t="e">
        <f t="shared" si="3161"/>
        <v>#DIV/0!</v>
      </c>
      <c r="MG167" s="738" t="e">
        <f t="shared" si="3063"/>
        <v>#DIV/0!</v>
      </c>
      <c r="MI167" s="743">
        <f t="shared" ref="MI167:MK167" si="3219">SUM(MI132)</f>
        <v>800</v>
      </c>
      <c r="MJ167" s="737">
        <f t="shared" si="3219"/>
        <v>1.03</v>
      </c>
      <c r="MK167" s="744">
        <f t="shared" si="3219"/>
        <v>4</v>
      </c>
      <c r="ML167" s="737">
        <f t="shared" si="3162"/>
        <v>776.69902912621353</v>
      </c>
      <c r="MM167" s="738">
        <f t="shared" si="3066"/>
        <v>0.25750000000000001</v>
      </c>
      <c r="MO167" s="743">
        <f t="shared" ref="MO167:MQ167" si="3220">SUM(MO132)</f>
        <v>0</v>
      </c>
      <c r="MP167" s="737">
        <f t="shared" si="3220"/>
        <v>0</v>
      </c>
      <c r="MQ167" s="744">
        <f t="shared" si="3220"/>
        <v>0</v>
      </c>
      <c r="MR167" s="737" t="e">
        <f t="shared" si="3163"/>
        <v>#DIV/0!</v>
      </c>
      <c r="MS167" s="738" t="e">
        <f t="shared" si="3069"/>
        <v>#DIV/0!</v>
      </c>
      <c r="MU167" s="743">
        <f t="shared" ref="MU167:MW167" si="3221">SUM(MU132)</f>
        <v>0</v>
      </c>
      <c r="MV167" s="737">
        <f t="shared" si="3221"/>
        <v>0</v>
      </c>
      <c r="MW167" s="744">
        <f t="shared" si="3221"/>
        <v>0</v>
      </c>
      <c r="MX167" s="737" t="e">
        <f t="shared" si="3164"/>
        <v>#DIV/0!</v>
      </c>
      <c r="MY167" s="738" t="e">
        <f t="shared" si="3072"/>
        <v>#DIV/0!</v>
      </c>
      <c r="NA167" s="743">
        <f t="shared" ref="NA167:NC167" si="3222">SUM(NA132)</f>
        <v>1000</v>
      </c>
      <c r="NB167" s="744">
        <f t="shared" si="3222"/>
        <v>3.57</v>
      </c>
      <c r="NC167" s="744">
        <f t="shared" si="3222"/>
        <v>5</v>
      </c>
      <c r="ND167" s="737">
        <f t="shared" si="3165"/>
        <v>280.1120448179272</v>
      </c>
      <c r="NE167" s="738">
        <f t="shared" si="3075"/>
        <v>0.71399999999999997</v>
      </c>
      <c r="NG167" s="743">
        <f t="shared" ref="NG167:NI167" si="3223">SUM(NG132)</f>
        <v>1000</v>
      </c>
      <c r="NH167" s="737">
        <f t="shared" si="3223"/>
        <v>2.12</v>
      </c>
      <c r="NI167" s="744">
        <f t="shared" si="3223"/>
        <v>5</v>
      </c>
      <c r="NJ167" s="737">
        <f t="shared" si="3166"/>
        <v>471.69811320754712</v>
      </c>
      <c r="NK167" s="738">
        <f t="shared" si="3078"/>
        <v>0.42400000000000004</v>
      </c>
      <c r="NM167" s="743">
        <f t="shared" ref="NM167:NO167" si="3224">SUM(NM132)</f>
        <v>1000</v>
      </c>
      <c r="NN167" s="737">
        <f t="shared" si="3224"/>
        <v>3.2800000000000002</v>
      </c>
      <c r="NO167" s="744">
        <f t="shared" si="3224"/>
        <v>5</v>
      </c>
      <c r="NP167" s="737">
        <f t="shared" si="3167"/>
        <v>304.8780487804878</v>
      </c>
      <c r="NQ167" s="738">
        <f t="shared" si="3081"/>
        <v>0.65600000000000003</v>
      </c>
      <c r="NS167" s="743">
        <f t="shared" ref="NS167:NU167" si="3225">SUM(NS132)</f>
        <v>900</v>
      </c>
      <c r="NT167" s="737">
        <f t="shared" si="3225"/>
        <v>2.75</v>
      </c>
      <c r="NU167" s="744">
        <f t="shared" si="3225"/>
        <v>5</v>
      </c>
      <c r="NV167" s="737">
        <f t="shared" si="3168"/>
        <v>327.27272727272725</v>
      </c>
      <c r="NW167" s="738">
        <f t="shared" si="3084"/>
        <v>0.55000000000000004</v>
      </c>
      <c r="NY167" s="743">
        <f t="shared" ref="NY167:OA167" si="3226">SUM(NY132)</f>
        <v>1000</v>
      </c>
      <c r="NZ167" s="737">
        <f t="shared" si="3226"/>
        <v>2.3899999999999997</v>
      </c>
      <c r="OA167" s="744">
        <f t="shared" si="3226"/>
        <v>5</v>
      </c>
      <c r="OB167" s="737">
        <f t="shared" si="3169"/>
        <v>418.41004184100422</v>
      </c>
      <c r="OC167" s="738">
        <f t="shared" si="3087"/>
        <v>0.47799999999999992</v>
      </c>
      <c r="OE167" s="743">
        <f t="shared" ref="OE167:OG167" si="3227">SUM(OE132)</f>
        <v>1500</v>
      </c>
      <c r="OF167" s="737">
        <f t="shared" si="3227"/>
        <v>2.08</v>
      </c>
      <c r="OG167" s="744">
        <f t="shared" si="3227"/>
        <v>5</v>
      </c>
      <c r="OH167" s="737">
        <f t="shared" si="3170"/>
        <v>721.15384615384608</v>
      </c>
      <c r="OI167" s="738">
        <f t="shared" si="3090"/>
        <v>0.41600000000000004</v>
      </c>
    </row>
    <row r="168" spans="1:399">
      <c r="A168" s="715" t="s">
        <v>376</v>
      </c>
      <c r="B168" s="731" t="s">
        <v>380</v>
      </c>
      <c r="C168" s="725"/>
      <c r="D168" s="723" t="s">
        <v>11</v>
      </c>
      <c r="E168" s="79"/>
      <c r="F168" s="82"/>
      <c r="G168" s="79"/>
      <c r="H168" s="82"/>
      <c r="I168" s="84"/>
      <c r="J168" s="589"/>
      <c r="K168" s="79"/>
      <c r="L168" s="82"/>
      <c r="M168" s="79"/>
      <c r="N168" s="82"/>
      <c r="O168" s="84"/>
      <c r="P168" s="589"/>
      <c r="Q168" s="79"/>
      <c r="R168" s="82"/>
      <c r="S168" s="79"/>
      <c r="T168" s="82"/>
      <c r="U168" s="84"/>
      <c r="V168" s="589"/>
      <c r="W168" s="79"/>
      <c r="X168" s="82"/>
      <c r="Y168" s="79"/>
      <c r="Z168" s="82"/>
      <c r="AA168" s="84"/>
      <c r="AB168" s="589"/>
      <c r="AC168" s="79"/>
      <c r="AD168" s="82"/>
      <c r="AE168" s="79"/>
      <c r="AF168" s="82"/>
      <c r="AG168" s="84"/>
      <c r="AH168" s="589"/>
      <c r="AI168" s="79"/>
      <c r="AJ168" s="82"/>
      <c r="AK168" s="79"/>
      <c r="AL168" s="82"/>
      <c r="AM168" s="84"/>
      <c r="AN168" s="589"/>
      <c r="AO168" s="79"/>
      <c r="AP168" s="82"/>
      <c r="AQ168" s="79"/>
      <c r="AR168" s="82"/>
      <c r="AS168" s="84"/>
      <c r="AT168" s="589"/>
      <c r="AU168" s="79"/>
      <c r="AV168" s="82"/>
      <c r="AW168" s="79"/>
      <c r="AX168" s="82"/>
      <c r="AY168" s="84"/>
      <c r="AZ168" s="84"/>
      <c r="BA168" s="79"/>
      <c r="BB168" s="82"/>
      <c r="BC168" s="79"/>
      <c r="BD168" s="82"/>
      <c r="BE168" s="84"/>
      <c r="BF168" s="84"/>
      <c r="BG168" s="79"/>
      <c r="BH168" s="82"/>
      <c r="BI168" s="79"/>
      <c r="BJ168" s="82"/>
      <c r="BK168" s="84"/>
      <c r="BL168" s="84"/>
      <c r="BM168" s="79"/>
      <c r="BN168" s="82"/>
      <c r="BO168" s="79"/>
      <c r="BP168" s="82"/>
      <c r="BQ168" s="84"/>
      <c r="BR168" s="589"/>
      <c r="BS168" s="79"/>
      <c r="BT168" s="82"/>
      <c r="BU168" s="79"/>
      <c r="BV168" s="82"/>
      <c r="BW168" s="84"/>
      <c r="BX168" s="84"/>
      <c r="BY168" s="79"/>
      <c r="BZ168" s="82"/>
      <c r="CA168" s="79"/>
      <c r="CB168" s="82"/>
      <c r="CC168" s="84"/>
      <c r="CD168" s="84"/>
      <c r="CE168" s="79"/>
      <c r="CF168" s="82"/>
      <c r="CG168" s="79"/>
      <c r="CH168" s="82"/>
      <c r="CI168" s="84"/>
      <c r="CJ168" s="84"/>
      <c r="CK168" s="79"/>
      <c r="CL168" s="82"/>
      <c r="CM168" s="79"/>
      <c r="CN168" s="82"/>
      <c r="CO168" s="84"/>
      <c r="CP168" s="84"/>
      <c r="CQ168" s="79"/>
      <c r="CR168" s="82"/>
      <c r="CS168" s="79"/>
      <c r="CT168" s="82"/>
      <c r="CU168" s="84"/>
      <c r="CV168" s="84"/>
      <c r="CW168" s="79"/>
      <c r="CX168" s="82"/>
      <c r="CY168" s="79"/>
      <c r="CZ168" s="82"/>
      <c r="DA168" s="84"/>
      <c r="DB168" s="84"/>
      <c r="DC168" s="79"/>
      <c r="DD168" s="82"/>
      <c r="DE168" s="79"/>
      <c r="DF168" s="82"/>
      <c r="DG168" s="84"/>
      <c r="DH168" s="84"/>
      <c r="DI168" s="79"/>
      <c r="DJ168" s="82"/>
      <c r="DK168" s="79"/>
      <c r="DL168" s="82"/>
      <c r="DM168" s="84"/>
      <c r="DN168" s="84"/>
      <c r="DO168" s="79"/>
      <c r="DP168" s="82"/>
      <c r="DQ168" s="79"/>
      <c r="DR168" s="82"/>
      <c r="DS168" s="84"/>
      <c r="DT168" s="84"/>
      <c r="DU168" s="79"/>
      <c r="DV168" s="82"/>
      <c r="DW168" s="79"/>
      <c r="DX168" s="82"/>
      <c r="DY168" s="84"/>
      <c r="DZ168" s="84"/>
      <c r="EA168" s="79"/>
      <c r="EB168" s="82"/>
      <c r="EC168" s="79"/>
      <c r="ED168" s="82"/>
      <c r="EE168" s="84"/>
      <c r="EF168" s="84"/>
      <c r="EG168" s="79"/>
      <c r="EH168" s="82"/>
      <c r="EI168" s="79"/>
      <c r="EJ168" s="82"/>
      <c r="EK168" s="84"/>
      <c r="EL168" s="84"/>
      <c r="EM168" s="79"/>
      <c r="EN168" s="82"/>
      <c r="EO168" s="79"/>
      <c r="EP168" s="82"/>
      <c r="EQ168" s="84"/>
      <c r="ER168" s="589"/>
      <c r="ES168" s="79"/>
      <c r="ET168" s="82"/>
      <c r="EU168" s="79"/>
      <c r="EV168" s="82"/>
      <c r="EW168" s="84"/>
      <c r="EY168" s="91"/>
      <c r="EZ168" s="82"/>
      <c r="FA168" s="79"/>
      <c r="FB168" s="82"/>
      <c r="FC168" s="84"/>
      <c r="FE168" s="91"/>
      <c r="FF168" s="82"/>
      <c r="FG168" s="79"/>
      <c r="FH168" s="82"/>
      <c r="FI168" s="84"/>
      <c r="FK168" s="91"/>
      <c r="FL168" s="82"/>
      <c r="FM168" s="79"/>
      <c r="FN168" s="82"/>
      <c r="FO168" s="84"/>
      <c r="FQ168" s="91"/>
      <c r="FR168" s="369"/>
      <c r="FS168" s="371"/>
      <c r="FT168" s="369"/>
      <c r="FU168" s="370"/>
      <c r="FV168" s="178"/>
      <c r="FW168" s="91"/>
      <c r="FX168" s="369"/>
      <c r="FY168" s="371"/>
      <c r="FZ168" s="361"/>
      <c r="GA168" s="362"/>
      <c r="GC168" s="379"/>
      <c r="GD168" s="369"/>
      <c r="GE168" s="371"/>
      <c r="GF168" s="369"/>
      <c r="GG168" s="370"/>
      <c r="GI168" s="379"/>
      <c r="GJ168" s="369"/>
      <c r="GK168" s="371"/>
      <c r="GL168" s="369"/>
      <c r="GM168" s="370"/>
      <c r="GO168" s="379"/>
      <c r="GP168" s="369"/>
      <c r="GQ168" s="371"/>
      <c r="GR168" s="369"/>
      <c r="GS168" s="370"/>
      <c r="GU168" s="379"/>
      <c r="GV168" s="369"/>
      <c r="GW168" s="371"/>
      <c r="GX168" s="369"/>
      <c r="GY168" s="370"/>
      <c r="HA168" s="91"/>
      <c r="HB168" s="82"/>
      <c r="HC168" s="371"/>
      <c r="HD168" s="369"/>
      <c r="HE168" s="370"/>
      <c r="HG168" s="91"/>
      <c r="HH168" s="82"/>
      <c r="HI168" s="79"/>
      <c r="HJ168" s="82"/>
      <c r="HK168" s="84"/>
      <c r="HM168" s="91"/>
      <c r="HN168" s="82"/>
      <c r="HO168" s="371"/>
      <c r="HP168" s="361"/>
      <c r="HQ168" s="362"/>
      <c r="HS168" s="91"/>
      <c r="HT168" s="82"/>
      <c r="HU168" s="371"/>
      <c r="HV168" s="369"/>
      <c r="HW168" s="370"/>
      <c r="HX168" s="178"/>
      <c r="HY168" s="91"/>
      <c r="HZ168" s="82"/>
      <c r="IA168" s="371"/>
      <c r="IB168" s="361"/>
      <c r="IC168" s="362"/>
      <c r="IE168" s="91"/>
      <c r="IF168" s="82"/>
      <c r="IG168" s="79"/>
      <c r="IH168" s="82"/>
      <c r="II168" s="84"/>
      <c r="IK168" s="383"/>
      <c r="IL168" s="82"/>
      <c r="IM168" s="79"/>
      <c r="IN168" s="82"/>
      <c r="IO168" s="84"/>
      <c r="IQ168" s="91"/>
      <c r="IR168" s="82"/>
      <c r="IS168" s="79"/>
      <c r="IT168" s="82"/>
      <c r="IU168" s="84"/>
      <c r="IW168" s="91"/>
      <c r="IX168" s="82"/>
      <c r="IY168" s="79"/>
      <c r="IZ168" s="82"/>
      <c r="JA168" s="84"/>
      <c r="JC168" s="91"/>
      <c r="JD168" s="82"/>
      <c r="JE168" s="79"/>
      <c r="JF168" s="82"/>
      <c r="JG168" s="84"/>
      <c r="JI168" s="91"/>
      <c r="JJ168" s="82"/>
      <c r="JK168" s="79"/>
      <c r="JL168" s="82"/>
      <c r="JM168" s="84"/>
      <c r="JO168" s="743">
        <f t="shared" si="3191"/>
        <v>1000</v>
      </c>
      <c r="JP168" s="737">
        <f t="shared" si="3191"/>
        <v>3.25</v>
      </c>
      <c r="JQ168" s="744">
        <f t="shared" si="3191"/>
        <v>5</v>
      </c>
      <c r="JR168" s="737">
        <f t="shared" si="3150"/>
        <v>307.69230769230768</v>
      </c>
      <c r="JS168" s="738">
        <f t="shared" si="3032"/>
        <v>0.65</v>
      </c>
      <c r="JU168" s="743">
        <f t="shared" si="3171"/>
        <v>1000</v>
      </c>
      <c r="JV168" s="737">
        <f t="shared" si="3171"/>
        <v>2.88</v>
      </c>
      <c r="JW168" s="744">
        <f t="shared" si="3171"/>
        <v>5</v>
      </c>
      <c r="JX168" s="737">
        <f t="shared" si="3151"/>
        <v>347.22222222222223</v>
      </c>
      <c r="JY168" s="738">
        <f t="shared" si="3034"/>
        <v>0.57599999999999996</v>
      </c>
      <c r="KA168" s="743">
        <f t="shared" si="3172"/>
        <v>1000</v>
      </c>
      <c r="KB168" s="737">
        <f t="shared" si="3172"/>
        <v>2.3899999999999997</v>
      </c>
      <c r="KC168" s="744">
        <f t="shared" si="3172"/>
        <v>5</v>
      </c>
      <c r="KD168" s="737">
        <f t="shared" si="3152"/>
        <v>418.41004184100422</v>
      </c>
      <c r="KE168" s="738">
        <f t="shared" si="3036"/>
        <v>0.47799999999999992</v>
      </c>
      <c r="KG168" s="743">
        <f t="shared" ref="KG168:KI168" si="3228">SUM(KG133)</f>
        <v>1000</v>
      </c>
      <c r="KH168" s="737">
        <f t="shared" si="3228"/>
        <v>4.43</v>
      </c>
      <c r="KI168" s="744">
        <f t="shared" si="3228"/>
        <v>5</v>
      </c>
      <c r="KJ168" s="737">
        <f t="shared" si="3153"/>
        <v>225.73363431151242</v>
      </c>
      <c r="KK168" s="738">
        <f t="shared" si="3039"/>
        <v>0.8859999999999999</v>
      </c>
      <c r="KM168" s="743">
        <f t="shared" ref="KM168:KO168" si="3229">SUM(KM133)</f>
        <v>0</v>
      </c>
      <c r="KN168" s="737">
        <f t="shared" si="3229"/>
        <v>0</v>
      </c>
      <c r="KO168" s="744">
        <f t="shared" si="3229"/>
        <v>0</v>
      </c>
      <c r="KP168" s="737" t="e">
        <f t="shared" si="3154"/>
        <v>#DIV/0!</v>
      </c>
      <c r="KQ168" s="738" t="e">
        <f t="shared" si="3042"/>
        <v>#DIV/0!</v>
      </c>
      <c r="KS168" s="743">
        <f t="shared" ref="KS168:KU168" si="3230">SUM(KS133)</f>
        <v>1000</v>
      </c>
      <c r="KT168" s="737">
        <f t="shared" si="3230"/>
        <v>2.36</v>
      </c>
      <c r="KU168" s="744">
        <f t="shared" si="3230"/>
        <v>5</v>
      </c>
      <c r="KV168" s="737">
        <f t="shared" si="3155"/>
        <v>423.72881355932208</v>
      </c>
      <c r="KW168" s="738">
        <f t="shared" si="3045"/>
        <v>0.47199999999999998</v>
      </c>
      <c r="KY168" s="743">
        <f t="shared" ref="KY168:LA168" si="3231">SUM(KY133)</f>
        <v>0</v>
      </c>
      <c r="KZ168" s="737">
        <f t="shared" si="3231"/>
        <v>0</v>
      </c>
      <c r="LA168" s="744">
        <f t="shared" si="3231"/>
        <v>0</v>
      </c>
      <c r="LB168" s="737" t="e">
        <f t="shared" si="3156"/>
        <v>#DIV/0!</v>
      </c>
      <c r="LC168" s="738" t="e">
        <f t="shared" si="3048"/>
        <v>#DIV/0!</v>
      </c>
      <c r="LE168" s="743">
        <f t="shared" ref="LE168:LG168" si="3232">SUM(LE133)</f>
        <v>1150</v>
      </c>
      <c r="LF168" s="737">
        <f t="shared" si="3232"/>
        <v>2.83</v>
      </c>
      <c r="LG168" s="744">
        <f t="shared" si="3232"/>
        <v>5</v>
      </c>
      <c r="LH168" s="737">
        <f t="shared" si="3157"/>
        <v>406.36042402826854</v>
      </c>
      <c r="LI168" s="738">
        <f t="shared" si="3051"/>
        <v>0.56600000000000006</v>
      </c>
      <c r="LK168" s="743">
        <f t="shared" ref="LK168:LM168" si="3233">SUM(LK133)</f>
        <v>0</v>
      </c>
      <c r="LL168" s="737">
        <f t="shared" si="3233"/>
        <v>0</v>
      </c>
      <c r="LM168" s="744">
        <f t="shared" si="3233"/>
        <v>0</v>
      </c>
      <c r="LN168" s="737" t="e">
        <f t="shared" si="3158"/>
        <v>#DIV/0!</v>
      </c>
      <c r="LO168" s="738" t="e">
        <f t="shared" si="3054"/>
        <v>#DIV/0!</v>
      </c>
      <c r="LQ168" s="743">
        <f t="shared" ref="LQ168:LS168" si="3234">SUM(LQ133)</f>
        <v>400</v>
      </c>
      <c r="LR168" s="737">
        <f t="shared" si="3234"/>
        <v>1.6500000000000004</v>
      </c>
      <c r="LS168" s="744">
        <f t="shared" si="3234"/>
        <v>5</v>
      </c>
      <c r="LT168" s="737">
        <f t="shared" si="3159"/>
        <v>242.42424242424238</v>
      </c>
      <c r="LU168" s="738">
        <f t="shared" si="3057"/>
        <v>0.33000000000000007</v>
      </c>
      <c r="LW168" s="743">
        <f t="shared" ref="LW168:LY168" si="3235">SUM(LW133)</f>
        <v>1000</v>
      </c>
      <c r="LX168" s="737">
        <f t="shared" si="3235"/>
        <v>2.1999999999999997</v>
      </c>
      <c r="LY168" s="744">
        <f t="shared" si="3235"/>
        <v>5</v>
      </c>
      <c r="LZ168" s="737">
        <f t="shared" si="3160"/>
        <v>454.54545454545462</v>
      </c>
      <c r="MA168" s="738">
        <f t="shared" si="3060"/>
        <v>0.43999999999999995</v>
      </c>
      <c r="MC168" s="743">
        <f t="shared" ref="MC168:ME168" si="3236">SUM(MC133)</f>
        <v>0</v>
      </c>
      <c r="MD168" s="737">
        <f t="shared" si="3236"/>
        <v>0</v>
      </c>
      <c r="ME168" s="744">
        <f t="shared" si="3236"/>
        <v>0</v>
      </c>
      <c r="MF168" s="737" t="e">
        <f t="shared" si="3161"/>
        <v>#DIV/0!</v>
      </c>
      <c r="MG168" s="738" t="e">
        <f t="shared" si="3063"/>
        <v>#DIV/0!</v>
      </c>
      <c r="MI168" s="743">
        <f t="shared" ref="MI168:MK168" si="3237">SUM(MI133)</f>
        <v>800</v>
      </c>
      <c r="MJ168" s="737">
        <f t="shared" si="3237"/>
        <v>1</v>
      </c>
      <c r="MK168" s="744">
        <f t="shared" si="3237"/>
        <v>5</v>
      </c>
      <c r="ML168" s="737">
        <f t="shared" si="3162"/>
        <v>800</v>
      </c>
      <c r="MM168" s="738">
        <f t="shared" si="3066"/>
        <v>0.2</v>
      </c>
      <c r="MO168" s="743">
        <f t="shared" ref="MO168:MQ168" si="3238">SUM(MO133)</f>
        <v>0</v>
      </c>
      <c r="MP168" s="737">
        <f t="shared" si="3238"/>
        <v>0</v>
      </c>
      <c r="MQ168" s="744">
        <f t="shared" si="3238"/>
        <v>0</v>
      </c>
      <c r="MR168" s="737" t="e">
        <f t="shared" si="3163"/>
        <v>#DIV/0!</v>
      </c>
      <c r="MS168" s="738" t="e">
        <f t="shared" si="3069"/>
        <v>#DIV/0!</v>
      </c>
      <c r="MU168" s="743">
        <f t="shared" ref="MU168:MW168" si="3239">SUM(MU133)</f>
        <v>0</v>
      </c>
      <c r="MV168" s="737">
        <f t="shared" si="3239"/>
        <v>0</v>
      </c>
      <c r="MW168" s="744">
        <f t="shared" si="3239"/>
        <v>0</v>
      </c>
      <c r="MX168" s="737" t="e">
        <f t="shared" si="3164"/>
        <v>#DIV/0!</v>
      </c>
      <c r="MY168" s="738" t="e">
        <f t="shared" si="3072"/>
        <v>#DIV/0!</v>
      </c>
      <c r="NA168" s="743">
        <f t="shared" ref="NA168:NC168" si="3240">SUM(NA133)</f>
        <v>400</v>
      </c>
      <c r="NB168" s="744">
        <f t="shared" si="3240"/>
        <v>1.8599999999999999</v>
      </c>
      <c r="NC168" s="744">
        <f t="shared" si="3240"/>
        <v>2</v>
      </c>
      <c r="ND168" s="737">
        <f t="shared" si="3165"/>
        <v>215.05376344086022</v>
      </c>
      <c r="NE168" s="738">
        <f t="shared" si="3075"/>
        <v>0.92999999999999994</v>
      </c>
      <c r="NG168" s="743">
        <f t="shared" ref="NG168:NI168" si="3241">SUM(NG133)</f>
        <v>1000</v>
      </c>
      <c r="NH168" s="737">
        <f t="shared" si="3241"/>
        <v>1.58</v>
      </c>
      <c r="NI168" s="744">
        <f t="shared" si="3241"/>
        <v>5</v>
      </c>
      <c r="NJ168" s="737">
        <f t="shared" si="3166"/>
        <v>632.91139240506322</v>
      </c>
      <c r="NK168" s="738">
        <f t="shared" si="3078"/>
        <v>0.316</v>
      </c>
      <c r="NM168" s="743">
        <f t="shared" ref="NM168:NO168" si="3242">SUM(NM133)</f>
        <v>1000</v>
      </c>
      <c r="NN168" s="737">
        <f t="shared" si="3242"/>
        <v>2.33</v>
      </c>
      <c r="NO168" s="744">
        <f t="shared" si="3242"/>
        <v>5</v>
      </c>
      <c r="NP168" s="737">
        <f t="shared" si="3167"/>
        <v>429.18454935622316</v>
      </c>
      <c r="NQ168" s="738">
        <f t="shared" si="3081"/>
        <v>0.46600000000000003</v>
      </c>
      <c r="NS168" s="743">
        <f t="shared" ref="NS168:NU168" si="3243">SUM(NS133)</f>
        <v>750</v>
      </c>
      <c r="NT168" s="737">
        <f t="shared" si="3243"/>
        <v>2.84</v>
      </c>
      <c r="NU168" s="744">
        <f t="shared" si="3243"/>
        <v>5</v>
      </c>
      <c r="NV168" s="737">
        <f t="shared" si="3168"/>
        <v>264.08450704225356</v>
      </c>
      <c r="NW168" s="738">
        <f t="shared" si="3084"/>
        <v>0.56799999999999995</v>
      </c>
      <c r="NY168" s="743">
        <f t="shared" ref="NY168:OA168" si="3244">SUM(NY133)</f>
        <v>1100</v>
      </c>
      <c r="NZ168" s="737">
        <f t="shared" si="3244"/>
        <v>3.8200000000000003</v>
      </c>
      <c r="OA168" s="744">
        <f t="shared" si="3244"/>
        <v>5</v>
      </c>
      <c r="OB168" s="737">
        <f t="shared" si="3169"/>
        <v>287.95811518324604</v>
      </c>
      <c r="OC168" s="738">
        <f t="shared" si="3087"/>
        <v>0.76400000000000001</v>
      </c>
      <c r="OE168" s="743">
        <f t="shared" ref="OE168:OG168" si="3245">SUM(OE133)</f>
        <v>1000</v>
      </c>
      <c r="OF168" s="737">
        <f t="shared" si="3245"/>
        <v>2.44</v>
      </c>
      <c r="OG168" s="744">
        <f t="shared" si="3245"/>
        <v>5</v>
      </c>
      <c r="OH168" s="737">
        <f t="shared" si="3170"/>
        <v>409.8360655737705</v>
      </c>
      <c r="OI168" s="738">
        <f t="shared" si="3090"/>
        <v>0.48799999999999999</v>
      </c>
    </row>
    <row r="169" spans="1:399">
      <c r="A169" s="715" t="s">
        <v>376</v>
      </c>
      <c r="B169" s="731" t="s">
        <v>381</v>
      </c>
      <c r="C169" s="725"/>
      <c r="D169" s="723" t="s">
        <v>384</v>
      </c>
      <c r="E169" s="79"/>
      <c r="F169" s="82"/>
      <c r="G169" s="79"/>
      <c r="H169" s="82"/>
      <c r="I169" s="84"/>
      <c r="J169" s="589"/>
      <c r="K169" s="79"/>
      <c r="L169" s="82"/>
      <c r="M169" s="79"/>
      <c r="N169" s="82"/>
      <c r="O169" s="84"/>
      <c r="P169" s="589"/>
      <c r="Q169" s="79"/>
      <c r="R169" s="82"/>
      <c r="S169" s="79"/>
      <c r="T169" s="82"/>
      <c r="U169" s="84"/>
      <c r="V169" s="589"/>
      <c r="W169" s="79"/>
      <c r="X169" s="82"/>
      <c r="Y169" s="79"/>
      <c r="Z169" s="82"/>
      <c r="AA169" s="84"/>
      <c r="AB169" s="589"/>
      <c r="AC169" s="79"/>
      <c r="AD169" s="82"/>
      <c r="AE169" s="79"/>
      <c r="AF169" s="82"/>
      <c r="AG169" s="84"/>
      <c r="AH169" s="589"/>
      <c r="AI169" s="79"/>
      <c r="AJ169" s="82"/>
      <c r="AK169" s="79"/>
      <c r="AL169" s="82"/>
      <c r="AM169" s="84"/>
      <c r="AN169" s="589"/>
      <c r="AO169" s="79"/>
      <c r="AP169" s="82"/>
      <c r="AQ169" s="79"/>
      <c r="AR169" s="82"/>
      <c r="AS169" s="84"/>
      <c r="AT169" s="589"/>
      <c r="AU169" s="79"/>
      <c r="AV169" s="82"/>
      <c r="AW169" s="79"/>
      <c r="AX169" s="82"/>
      <c r="AY169" s="84"/>
      <c r="AZ169" s="84"/>
      <c r="BA169" s="79"/>
      <c r="BB169" s="82"/>
      <c r="BC169" s="79"/>
      <c r="BD169" s="82"/>
      <c r="BE169" s="84"/>
      <c r="BF169" s="84"/>
      <c r="BG169" s="79"/>
      <c r="BH169" s="82"/>
      <c r="BI169" s="79"/>
      <c r="BJ169" s="82"/>
      <c r="BK169" s="84"/>
      <c r="BL169" s="84"/>
      <c r="BM169" s="79"/>
      <c r="BN169" s="82"/>
      <c r="BO169" s="79"/>
      <c r="BP169" s="82"/>
      <c r="BQ169" s="84"/>
      <c r="BR169" s="589"/>
      <c r="BS169" s="79"/>
      <c r="BT169" s="82"/>
      <c r="BU169" s="79"/>
      <c r="BV169" s="82"/>
      <c r="BW169" s="84"/>
      <c r="BX169" s="84"/>
      <c r="BY169" s="79"/>
      <c r="BZ169" s="82"/>
      <c r="CA169" s="79"/>
      <c r="CB169" s="82"/>
      <c r="CC169" s="84"/>
      <c r="CD169" s="84"/>
      <c r="CE169" s="79"/>
      <c r="CF169" s="82"/>
      <c r="CG169" s="79"/>
      <c r="CH169" s="82"/>
      <c r="CI169" s="84"/>
      <c r="CJ169" s="84"/>
      <c r="CK169" s="79"/>
      <c r="CL169" s="82"/>
      <c r="CM169" s="79"/>
      <c r="CN169" s="82"/>
      <c r="CO169" s="84"/>
      <c r="CP169" s="84"/>
      <c r="CQ169" s="79"/>
      <c r="CR169" s="82"/>
      <c r="CS169" s="79"/>
      <c r="CT169" s="82"/>
      <c r="CU169" s="84"/>
      <c r="CV169" s="84"/>
      <c r="CW169" s="79"/>
      <c r="CX169" s="82"/>
      <c r="CY169" s="79"/>
      <c r="CZ169" s="82"/>
      <c r="DA169" s="84"/>
      <c r="DB169" s="84"/>
      <c r="DC169" s="79"/>
      <c r="DD169" s="82"/>
      <c r="DE169" s="79"/>
      <c r="DF169" s="82"/>
      <c r="DG169" s="84"/>
      <c r="DH169" s="84"/>
      <c r="DI169" s="79"/>
      <c r="DJ169" s="82"/>
      <c r="DK169" s="79"/>
      <c r="DL169" s="82"/>
      <c r="DM169" s="84"/>
      <c r="DN169" s="84"/>
      <c r="DO169" s="79"/>
      <c r="DP169" s="82"/>
      <c r="DQ169" s="79"/>
      <c r="DR169" s="82"/>
      <c r="DS169" s="84"/>
      <c r="DT169" s="84"/>
      <c r="DU169" s="79"/>
      <c r="DV169" s="82"/>
      <c r="DW169" s="79"/>
      <c r="DX169" s="82"/>
      <c r="DY169" s="84"/>
      <c r="DZ169" s="84"/>
      <c r="EA169" s="79"/>
      <c r="EB169" s="82"/>
      <c r="EC169" s="79"/>
      <c r="ED169" s="82"/>
      <c r="EE169" s="84"/>
      <c r="EF169" s="84"/>
      <c r="EG169" s="79"/>
      <c r="EH169" s="82"/>
      <c r="EI169" s="79"/>
      <c r="EJ169" s="82"/>
      <c r="EK169" s="84"/>
      <c r="EL169" s="84"/>
      <c r="EM169" s="79"/>
      <c r="EN169" s="82"/>
      <c r="EO169" s="79"/>
      <c r="EP169" s="82"/>
      <c r="EQ169" s="84"/>
      <c r="ER169" s="589"/>
      <c r="ES169" s="79"/>
      <c r="ET169" s="82"/>
      <c r="EU169" s="79"/>
      <c r="EV169" s="82"/>
      <c r="EW169" s="84"/>
      <c r="EY169" s="91"/>
      <c r="EZ169" s="82"/>
      <c r="FA169" s="79"/>
      <c r="FB169" s="82"/>
      <c r="FC169" s="84"/>
      <c r="FE169" s="91"/>
      <c r="FF169" s="82"/>
      <c r="FG169" s="79"/>
      <c r="FH169" s="82"/>
      <c r="FI169" s="84"/>
      <c r="FK169" s="91"/>
      <c r="FL169" s="82"/>
      <c r="FM169" s="79"/>
      <c r="FN169" s="82"/>
      <c r="FO169" s="84"/>
      <c r="FQ169" s="91"/>
      <c r="FR169" s="369"/>
      <c r="FS169" s="371"/>
      <c r="FT169" s="369"/>
      <c r="FU169" s="370"/>
      <c r="FV169" s="178"/>
      <c r="FW169" s="91"/>
      <c r="FX169" s="369"/>
      <c r="FY169" s="371"/>
      <c r="FZ169" s="361"/>
      <c r="GA169" s="362"/>
      <c r="GC169" s="379"/>
      <c r="GD169" s="369"/>
      <c r="GE169" s="371"/>
      <c r="GF169" s="369"/>
      <c r="GG169" s="370"/>
      <c r="GI169" s="379"/>
      <c r="GJ169" s="369"/>
      <c r="GK169" s="371"/>
      <c r="GL169" s="369"/>
      <c r="GM169" s="370"/>
      <c r="GO169" s="379"/>
      <c r="GP169" s="369"/>
      <c r="GQ169" s="371"/>
      <c r="GR169" s="369"/>
      <c r="GS169" s="370"/>
      <c r="GU169" s="379"/>
      <c r="GV169" s="369"/>
      <c r="GW169" s="371"/>
      <c r="GX169" s="369"/>
      <c r="GY169" s="370"/>
      <c r="HA169" s="91"/>
      <c r="HB169" s="82"/>
      <c r="HC169" s="371"/>
      <c r="HD169" s="369"/>
      <c r="HE169" s="370"/>
      <c r="HG169" s="91"/>
      <c r="HH169" s="82"/>
      <c r="HI169" s="79"/>
      <c r="HJ169" s="82"/>
      <c r="HK169" s="84"/>
      <c r="HM169" s="91"/>
      <c r="HN169" s="82"/>
      <c r="HO169" s="371"/>
      <c r="HP169" s="361"/>
      <c r="HQ169" s="362"/>
      <c r="HS169" s="91"/>
      <c r="HT169" s="82"/>
      <c r="HU169" s="371"/>
      <c r="HV169" s="369"/>
      <c r="HW169" s="370"/>
      <c r="HX169" s="178"/>
      <c r="HY169" s="91"/>
      <c r="HZ169" s="82"/>
      <c r="IA169" s="371"/>
      <c r="IB169" s="361"/>
      <c r="IC169" s="362"/>
      <c r="IE169" s="91"/>
      <c r="IF169" s="82"/>
      <c r="IG169" s="79"/>
      <c r="IH169" s="82"/>
      <c r="II169" s="84"/>
      <c r="IK169" s="383"/>
      <c r="IL169" s="82"/>
      <c r="IM169" s="79"/>
      <c r="IN169" s="82"/>
      <c r="IO169" s="84"/>
      <c r="IQ169" s="91"/>
      <c r="IR169" s="82"/>
      <c r="IS169" s="79"/>
      <c r="IT169" s="82"/>
      <c r="IU169" s="84"/>
      <c r="IW169" s="91"/>
      <c r="IX169" s="82"/>
      <c r="IY169" s="79"/>
      <c r="IZ169" s="82"/>
      <c r="JA169" s="84"/>
      <c r="JC169" s="91"/>
      <c r="JD169" s="82"/>
      <c r="JE169" s="79"/>
      <c r="JF169" s="82"/>
      <c r="JG169" s="84"/>
      <c r="JI169" s="91"/>
      <c r="JJ169" s="82"/>
      <c r="JK169" s="79"/>
      <c r="JL169" s="82"/>
      <c r="JM169" s="84"/>
      <c r="JO169" s="743">
        <f t="shared" si="3191"/>
        <v>500</v>
      </c>
      <c r="JP169" s="737">
        <f t="shared" si="3191"/>
        <v>0.77</v>
      </c>
      <c r="JQ169" s="744">
        <f t="shared" si="3191"/>
        <v>5</v>
      </c>
      <c r="JR169" s="737">
        <f t="shared" si="3150"/>
        <v>649.35064935064929</v>
      </c>
      <c r="JS169" s="738">
        <f t="shared" si="3032"/>
        <v>0.154</v>
      </c>
      <c r="JU169" s="743">
        <f t="shared" si="3171"/>
        <v>500</v>
      </c>
      <c r="JV169" s="737">
        <f t="shared" si="3171"/>
        <v>0.93</v>
      </c>
      <c r="JW169" s="744">
        <f t="shared" si="3171"/>
        <v>5</v>
      </c>
      <c r="JX169" s="737">
        <f t="shared" si="3151"/>
        <v>537.63440860215053</v>
      </c>
      <c r="JY169" s="738">
        <f t="shared" si="3034"/>
        <v>0.186</v>
      </c>
      <c r="KA169" s="743">
        <f t="shared" si="3172"/>
        <v>0</v>
      </c>
      <c r="KB169" s="737">
        <f t="shared" si="3172"/>
        <v>0</v>
      </c>
      <c r="KC169" s="744">
        <f t="shared" si="3172"/>
        <v>0</v>
      </c>
      <c r="KD169" s="737" t="e">
        <f t="shared" si="3152"/>
        <v>#DIV/0!</v>
      </c>
      <c r="KE169" s="738" t="e">
        <f t="shared" si="3036"/>
        <v>#DIV/0!</v>
      </c>
      <c r="KG169" s="743">
        <f t="shared" ref="KG169:KI169" si="3246">SUM(KG134)</f>
        <v>600</v>
      </c>
      <c r="KH169" s="737">
        <f t="shared" si="3246"/>
        <v>0.53</v>
      </c>
      <c r="KI169" s="744">
        <f t="shared" si="3246"/>
        <v>5</v>
      </c>
      <c r="KJ169" s="737">
        <f t="shared" si="3153"/>
        <v>1132.0754716981132</v>
      </c>
      <c r="KK169" s="738">
        <f t="shared" si="3039"/>
        <v>0.10600000000000001</v>
      </c>
      <c r="KM169" s="743">
        <f t="shared" ref="KM169:KO169" si="3247">SUM(KM134)</f>
        <v>500</v>
      </c>
      <c r="KN169" s="737">
        <f t="shared" si="3247"/>
        <v>3.9299999999999997</v>
      </c>
      <c r="KO169" s="744">
        <f t="shared" si="3247"/>
        <v>5</v>
      </c>
      <c r="KP169" s="737">
        <f t="shared" si="3154"/>
        <v>127.2264631043257</v>
      </c>
      <c r="KQ169" s="738">
        <f t="shared" si="3042"/>
        <v>0.78599999999999992</v>
      </c>
      <c r="KS169" s="743">
        <f t="shared" ref="KS169:KU169" si="3248">SUM(KS134)</f>
        <v>760</v>
      </c>
      <c r="KT169" s="737">
        <f t="shared" si="3248"/>
        <v>3.09</v>
      </c>
      <c r="KU169" s="744">
        <f t="shared" si="3248"/>
        <v>5</v>
      </c>
      <c r="KV169" s="737">
        <f t="shared" si="3155"/>
        <v>245.95469255663431</v>
      </c>
      <c r="KW169" s="738">
        <f t="shared" si="3045"/>
        <v>0.61799999999999999</v>
      </c>
      <c r="KY169" s="743">
        <f t="shared" ref="KY169:LA169" si="3249">SUM(KY134)</f>
        <v>0</v>
      </c>
      <c r="KZ169" s="737">
        <f t="shared" si="3249"/>
        <v>0</v>
      </c>
      <c r="LA169" s="744">
        <f t="shared" si="3249"/>
        <v>0</v>
      </c>
      <c r="LB169" s="737" t="e">
        <f t="shared" si="3156"/>
        <v>#DIV/0!</v>
      </c>
      <c r="LC169" s="738" t="e">
        <f t="shared" si="3048"/>
        <v>#DIV/0!</v>
      </c>
      <c r="LE169" s="743">
        <f t="shared" ref="LE169:LG169" si="3250">SUM(LE134)</f>
        <v>800</v>
      </c>
      <c r="LF169" s="737">
        <f t="shared" si="3250"/>
        <v>1.9400000000000002</v>
      </c>
      <c r="LG169" s="744">
        <f t="shared" si="3250"/>
        <v>4</v>
      </c>
      <c r="LH169" s="737">
        <f t="shared" si="3157"/>
        <v>412.37113402061851</v>
      </c>
      <c r="LI169" s="738">
        <f t="shared" si="3051"/>
        <v>0.48500000000000004</v>
      </c>
      <c r="LK169" s="743">
        <f t="shared" ref="LK169:LM169" si="3251">SUM(LK134)</f>
        <v>0</v>
      </c>
      <c r="LL169" s="737">
        <f t="shared" si="3251"/>
        <v>0</v>
      </c>
      <c r="LM169" s="744">
        <f t="shared" si="3251"/>
        <v>0</v>
      </c>
      <c r="LN169" s="737" t="e">
        <f t="shared" si="3158"/>
        <v>#DIV/0!</v>
      </c>
      <c r="LO169" s="738" t="e">
        <f t="shared" si="3054"/>
        <v>#DIV/0!</v>
      </c>
      <c r="LQ169" s="743">
        <f t="shared" ref="LQ169:LS169" si="3252">SUM(LQ134)</f>
        <v>600</v>
      </c>
      <c r="LR169" s="737">
        <f t="shared" si="3252"/>
        <v>1.08</v>
      </c>
      <c r="LS169" s="744">
        <f t="shared" si="3252"/>
        <v>3</v>
      </c>
      <c r="LT169" s="737">
        <f t="shared" si="3159"/>
        <v>555.55555555555554</v>
      </c>
      <c r="LU169" s="738">
        <f t="shared" si="3057"/>
        <v>0.36000000000000004</v>
      </c>
      <c r="LW169" s="743">
        <f t="shared" ref="LW169:LY169" si="3253">SUM(LW134)</f>
        <v>1000</v>
      </c>
      <c r="LX169" s="737">
        <f t="shared" si="3253"/>
        <v>2.72</v>
      </c>
      <c r="LY169" s="744">
        <f t="shared" si="3253"/>
        <v>5</v>
      </c>
      <c r="LZ169" s="737">
        <f t="shared" si="3160"/>
        <v>367.64705882352939</v>
      </c>
      <c r="MA169" s="738">
        <f t="shared" si="3060"/>
        <v>0.54400000000000004</v>
      </c>
      <c r="MC169" s="743">
        <f t="shared" ref="MC169:ME169" si="3254">SUM(MC134)</f>
        <v>0</v>
      </c>
      <c r="MD169" s="737">
        <f t="shared" si="3254"/>
        <v>0</v>
      </c>
      <c r="ME169" s="744">
        <f t="shared" si="3254"/>
        <v>0</v>
      </c>
      <c r="MF169" s="737" t="e">
        <f t="shared" si="3161"/>
        <v>#DIV/0!</v>
      </c>
      <c r="MG169" s="738" t="e">
        <f t="shared" si="3063"/>
        <v>#DIV/0!</v>
      </c>
      <c r="MI169" s="743">
        <f t="shared" ref="MI169:MK169" si="3255">SUM(MI134)</f>
        <v>700</v>
      </c>
      <c r="MJ169" s="737">
        <f t="shared" si="3255"/>
        <v>1.48</v>
      </c>
      <c r="MK169" s="744">
        <f t="shared" si="3255"/>
        <v>5</v>
      </c>
      <c r="ML169" s="737">
        <f t="shared" si="3162"/>
        <v>472.97297297297297</v>
      </c>
      <c r="MM169" s="738">
        <f t="shared" si="3066"/>
        <v>0.29599999999999999</v>
      </c>
      <c r="MO169" s="743">
        <f t="shared" ref="MO169:MQ169" si="3256">SUM(MO134)</f>
        <v>0</v>
      </c>
      <c r="MP169" s="737">
        <f t="shared" si="3256"/>
        <v>0</v>
      </c>
      <c r="MQ169" s="744">
        <f t="shared" si="3256"/>
        <v>0</v>
      </c>
      <c r="MR169" s="737" t="e">
        <f t="shared" si="3163"/>
        <v>#DIV/0!</v>
      </c>
      <c r="MS169" s="738" t="e">
        <f t="shared" si="3069"/>
        <v>#DIV/0!</v>
      </c>
      <c r="MU169" s="743">
        <f t="shared" ref="MU169:MW169" si="3257">SUM(MU134)</f>
        <v>0</v>
      </c>
      <c r="MV169" s="737">
        <f t="shared" si="3257"/>
        <v>0</v>
      </c>
      <c r="MW169" s="744">
        <f t="shared" si="3257"/>
        <v>0</v>
      </c>
      <c r="MX169" s="737" t="e">
        <f t="shared" si="3164"/>
        <v>#DIV/0!</v>
      </c>
      <c r="MY169" s="738" t="e">
        <f t="shared" si="3072"/>
        <v>#DIV/0!</v>
      </c>
      <c r="NA169" s="743">
        <f t="shared" ref="NA169:NC169" si="3258">SUM(NA134)</f>
        <v>500</v>
      </c>
      <c r="NB169" s="744">
        <f t="shared" si="3258"/>
        <v>2.6700000000000004</v>
      </c>
      <c r="NC169" s="744">
        <f t="shared" si="3258"/>
        <v>5</v>
      </c>
      <c r="ND169" s="737">
        <f t="shared" si="3165"/>
        <v>187.26591760299624</v>
      </c>
      <c r="NE169" s="738">
        <f t="shared" si="3075"/>
        <v>0.53400000000000003</v>
      </c>
      <c r="NG169" s="743">
        <f t="shared" ref="NG169:NI169" si="3259">SUM(NG134)</f>
        <v>0</v>
      </c>
      <c r="NH169" s="737">
        <f t="shared" si="3259"/>
        <v>0</v>
      </c>
      <c r="NI169" s="744">
        <f t="shared" si="3259"/>
        <v>0</v>
      </c>
      <c r="NJ169" s="737" t="e">
        <f t="shared" si="3166"/>
        <v>#DIV/0!</v>
      </c>
      <c r="NK169" s="738" t="e">
        <f t="shared" si="3078"/>
        <v>#DIV/0!</v>
      </c>
      <c r="NM169" s="743">
        <f t="shared" ref="NM169:NO169" si="3260">SUM(NM134)</f>
        <v>1000</v>
      </c>
      <c r="NN169" s="737">
        <f t="shared" si="3260"/>
        <v>2.13</v>
      </c>
      <c r="NO169" s="744">
        <f t="shared" si="3260"/>
        <v>5</v>
      </c>
      <c r="NP169" s="737">
        <f t="shared" si="3167"/>
        <v>469.48356807511738</v>
      </c>
      <c r="NQ169" s="738">
        <f t="shared" si="3081"/>
        <v>0.42599999999999999</v>
      </c>
      <c r="NS169" s="743">
        <f t="shared" ref="NS169:NU169" si="3261">SUM(NS134)</f>
        <v>1000</v>
      </c>
      <c r="NT169" s="737">
        <f t="shared" si="3261"/>
        <v>1.68</v>
      </c>
      <c r="NU169" s="744">
        <f t="shared" si="3261"/>
        <v>5</v>
      </c>
      <c r="NV169" s="737">
        <f t="shared" si="3168"/>
        <v>595.2380952380953</v>
      </c>
      <c r="NW169" s="738">
        <f t="shared" si="3084"/>
        <v>0.33599999999999997</v>
      </c>
      <c r="NY169" s="743">
        <f t="shared" ref="NY169:OA169" si="3262">SUM(NY134)</f>
        <v>500</v>
      </c>
      <c r="NZ169" s="737">
        <f t="shared" si="3262"/>
        <v>0.43000000000000005</v>
      </c>
      <c r="OA169" s="744">
        <f t="shared" si="3262"/>
        <v>5</v>
      </c>
      <c r="OB169" s="737">
        <f t="shared" si="3169"/>
        <v>1162.7906976744184</v>
      </c>
      <c r="OC169" s="738">
        <f t="shared" si="3087"/>
        <v>8.6000000000000007E-2</v>
      </c>
      <c r="OE169" s="743">
        <f t="shared" ref="OE169:OG169" si="3263">SUM(OE134)</f>
        <v>0</v>
      </c>
      <c r="OF169" s="737">
        <f t="shared" si="3263"/>
        <v>0</v>
      </c>
      <c r="OG169" s="744">
        <f t="shared" si="3263"/>
        <v>0</v>
      </c>
      <c r="OH169" s="737" t="e">
        <f t="shared" si="3170"/>
        <v>#DIV/0!</v>
      </c>
      <c r="OI169" s="738" t="e">
        <f t="shared" si="3090"/>
        <v>#DIV/0!</v>
      </c>
    </row>
    <row r="170" spans="1:399">
      <c r="A170" s="715" t="s">
        <v>376</v>
      </c>
      <c r="B170" s="731" t="s">
        <v>382</v>
      </c>
      <c r="C170" s="725"/>
      <c r="D170" s="723" t="s">
        <v>36</v>
      </c>
      <c r="E170" s="79"/>
      <c r="F170" s="82"/>
      <c r="G170" s="79"/>
      <c r="H170" s="82"/>
      <c r="I170" s="84"/>
      <c r="J170" s="589"/>
      <c r="K170" s="79"/>
      <c r="L170" s="82"/>
      <c r="M170" s="79"/>
      <c r="N170" s="82"/>
      <c r="O170" s="84"/>
      <c r="P170" s="589"/>
      <c r="Q170" s="79"/>
      <c r="R170" s="82"/>
      <c r="S170" s="79"/>
      <c r="T170" s="82"/>
      <c r="U170" s="84"/>
      <c r="V170" s="589"/>
      <c r="W170" s="79"/>
      <c r="X170" s="82"/>
      <c r="Y170" s="79"/>
      <c r="Z170" s="82"/>
      <c r="AA170" s="84"/>
      <c r="AB170" s="589"/>
      <c r="AC170" s="79"/>
      <c r="AD170" s="82"/>
      <c r="AE170" s="79"/>
      <c r="AF170" s="82"/>
      <c r="AG170" s="84"/>
      <c r="AH170" s="589"/>
      <c r="AI170" s="79"/>
      <c r="AJ170" s="82"/>
      <c r="AK170" s="79"/>
      <c r="AL170" s="82"/>
      <c r="AM170" s="84"/>
      <c r="AN170" s="589"/>
      <c r="AO170" s="79"/>
      <c r="AP170" s="82"/>
      <c r="AQ170" s="79"/>
      <c r="AR170" s="82"/>
      <c r="AS170" s="84"/>
      <c r="AT170" s="589"/>
      <c r="AU170" s="79"/>
      <c r="AV170" s="82"/>
      <c r="AW170" s="79"/>
      <c r="AX170" s="82"/>
      <c r="AY170" s="84"/>
      <c r="AZ170" s="84"/>
      <c r="BA170" s="79"/>
      <c r="BB170" s="82"/>
      <c r="BC170" s="79"/>
      <c r="BD170" s="82"/>
      <c r="BE170" s="84"/>
      <c r="BF170" s="84"/>
      <c r="BG170" s="79"/>
      <c r="BH170" s="82"/>
      <c r="BI170" s="79"/>
      <c r="BJ170" s="82"/>
      <c r="BK170" s="84"/>
      <c r="BL170" s="84"/>
      <c r="BM170" s="79"/>
      <c r="BN170" s="82"/>
      <c r="BO170" s="79"/>
      <c r="BP170" s="82"/>
      <c r="BQ170" s="84"/>
      <c r="BR170" s="589"/>
      <c r="BS170" s="79"/>
      <c r="BT170" s="82"/>
      <c r="BU170" s="79"/>
      <c r="BV170" s="82"/>
      <c r="BW170" s="84"/>
      <c r="BX170" s="84"/>
      <c r="BY170" s="79"/>
      <c r="BZ170" s="82"/>
      <c r="CA170" s="79"/>
      <c r="CB170" s="82"/>
      <c r="CC170" s="84"/>
      <c r="CD170" s="84"/>
      <c r="CE170" s="79"/>
      <c r="CF170" s="82"/>
      <c r="CG170" s="79"/>
      <c r="CH170" s="82"/>
      <c r="CI170" s="84"/>
      <c r="CJ170" s="84"/>
      <c r="CK170" s="79"/>
      <c r="CL170" s="82"/>
      <c r="CM170" s="79"/>
      <c r="CN170" s="82"/>
      <c r="CO170" s="84"/>
      <c r="CP170" s="84"/>
      <c r="CQ170" s="79"/>
      <c r="CR170" s="82"/>
      <c r="CS170" s="79"/>
      <c r="CT170" s="82"/>
      <c r="CU170" s="84"/>
      <c r="CV170" s="84"/>
      <c r="CW170" s="79"/>
      <c r="CX170" s="82"/>
      <c r="CY170" s="79"/>
      <c r="CZ170" s="82"/>
      <c r="DA170" s="84"/>
      <c r="DB170" s="84"/>
      <c r="DC170" s="79"/>
      <c r="DD170" s="82"/>
      <c r="DE170" s="79"/>
      <c r="DF170" s="82"/>
      <c r="DG170" s="84"/>
      <c r="DH170" s="84"/>
      <c r="DI170" s="79"/>
      <c r="DJ170" s="82"/>
      <c r="DK170" s="79"/>
      <c r="DL170" s="82"/>
      <c r="DM170" s="84"/>
      <c r="DN170" s="84"/>
      <c r="DO170" s="79"/>
      <c r="DP170" s="82"/>
      <c r="DQ170" s="79"/>
      <c r="DR170" s="82"/>
      <c r="DS170" s="84"/>
      <c r="DT170" s="84"/>
      <c r="DU170" s="79"/>
      <c r="DV170" s="82"/>
      <c r="DW170" s="79"/>
      <c r="DX170" s="82"/>
      <c r="DY170" s="84"/>
      <c r="DZ170" s="84"/>
      <c r="EA170" s="79"/>
      <c r="EB170" s="82"/>
      <c r="EC170" s="79"/>
      <c r="ED170" s="82"/>
      <c r="EE170" s="84"/>
      <c r="EF170" s="84"/>
      <c r="EG170" s="79"/>
      <c r="EH170" s="82"/>
      <c r="EI170" s="79"/>
      <c r="EJ170" s="82"/>
      <c r="EK170" s="84"/>
      <c r="EL170" s="84"/>
      <c r="EM170" s="79"/>
      <c r="EN170" s="82"/>
      <c r="EO170" s="79"/>
      <c r="EP170" s="82"/>
      <c r="EQ170" s="84"/>
      <c r="ER170" s="589"/>
      <c r="ES170" s="79"/>
      <c r="ET170" s="82"/>
      <c r="EU170" s="79"/>
      <c r="EV170" s="82"/>
      <c r="EW170" s="84"/>
      <c r="EY170" s="91"/>
      <c r="EZ170" s="82"/>
      <c r="FA170" s="79"/>
      <c r="FB170" s="82"/>
      <c r="FC170" s="84"/>
      <c r="FE170" s="91"/>
      <c r="FF170" s="82"/>
      <c r="FG170" s="79"/>
      <c r="FH170" s="82"/>
      <c r="FI170" s="84"/>
      <c r="FK170" s="91"/>
      <c r="FL170" s="82"/>
      <c r="FM170" s="79"/>
      <c r="FN170" s="82"/>
      <c r="FO170" s="84"/>
      <c r="FQ170" s="91"/>
      <c r="FR170" s="369"/>
      <c r="FS170" s="371"/>
      <c r="FT170" s="369"/>
      <c r="FU170" s="370"/>
      <c r="FV170" s="178"/>
      <c r="FW170" s="91"/>
      <c r="FX170" s="369"/>
      <c r="FY170" s="371"/>
      <c r="FZ170" s="361"/>
      <c r="GA170" s="362"/>
      <c r="GC170" s="379"/>
      <c r="GD170" s="369"/>
      <c r="GE170" s="371"/>
      <c r="GF170" s="369"/>
      <c r="GG170" s="370"/>
      <c r="GI170" s="379"/>
      <c r="GJ170" s="369"/>
      <c r="GK170" s="371"/>
      <c r="GL170" s="369"/>
      <c r="GM170" s="370"/>
      <c r="GO170" s="379"/>
      <c r="GP170" s="369"/>
      <c r="GQ170" s="371"/>
      <c r="GR170" s="369"/>
      <c r="GS170" s="370"/>
      <c r="GU170" s="379"/>
      <c r="GV170" s="369"/>
      <c r="GW170" s="371"/>
      <c r="GX170" s="369"/>
      <c r="GY170" s="370"/>
      <c r="HA170" s="91"/>
      <c r="HB170" s="82"/>
      <c r="HC170" s="371"/>
      <c r="HD170" s="369"/>
      <c r="HE170" s="370"/>
      <c r="HG170" s="91"/>
      <c r="HH170" s="82"/>
      <c r="HI170" s="79"/>
      <c r="HJ170" s="82"/>
      <c r="HK170" s="84"/>
      <c r="HM170" s="91"/>
      <c r="HN170" s="82"/>
      <c r="HO170" s="371"/>
      <c r="HP170" s="361"/>
      <c r="HQ170" s="362"/>
      <c r="HS170" s="91"/>
      <c r="HT170" s="82"/>
      <c r="HU170" s="371"/>
      <c r="HV170" s="369"/>
      <c r="HW170" s="370"/>
      <c r="HX170" s="178"/>
      <c r="HY170" s="91"/>
      <c r="HZ170" s="82"/>
      <c r="IA170" s="371"/>
      <c r="IB170" s="361"/>
      <c r="IC170" s="362"/>
      <c r="IE170" s="91"/>
      <c r="IF170" s="82"/>
      <c r="IG170" s="79"/>
      <c r="IH170" s="82"/>
      <c r="II170" s="84"/>
      <c r="IK170" s="383"/>
      <c r="IL170" s="82"/>
      <c r="IM170" s="79"/>
      <c r="IN170" s="82"/>
      <c r="IO170" s="84"/>
      <c r="IQ170" s="91"/>
      <c r="IR170" s="82"/>
      <c r="IS170" s="79"/>
      <c r="IT170" s="82"/>
      <c r="IU170" s="84"/>
      <c r="IW170" s="91"/>
      <c r="IX170" s="82"/>
      <c r="IY170" s="79"/>
      <c r="IZ170" s="82"/>
      <c r="JA170" s="84"/>
      <c r="JC170" s="91"/>
      <c r="JD170" s="82"/>
      <c r="JE170" s="79"/>
      <c r="JF170" s="82"/>
      <c r="JG170" s="84"/>
      <c r="JI170" s="91"/>
      <c r="JJ170" s="82"/>
      <c r="JK170" s="79"/>
      <c r="JL170" s="82"/>
      <c r="JM170" s="84"/>
      <c r="JO170" s="743">
        <f t="shared" si="3191"/>
        <v>0</v>
      </c>
      <c r="JP170" s="737">
        <f t="shared" si="3191"/>
        <v>0</v>
      </c>
      <c r="JQ170" s="744">
        <f t="shared" si="3191"/>
        <v>0</v>
      </c>
      <c r="JR170" s="737" t="e">
        <f t="shared" si="3150"/>
        <v>#DIV/0!</v>
      </c>
      <c r="JS170" s="738" t="e">
        <f t="shared" si="3032"/>
        <v>#DIV/0!</v>
      </c>
      <c r="JU170" s="743">
        <f t="shared" si="3171"/>
        <v>0</v>
      </c>
      <c r="JV170" s="737">
        <f t="shared" si="3171"/>
        <v>0</v>
      </c>
      <c r="JW170" s="744">
        <f t="shared" si="3171"/>
        <v>0</v>
      </c>
      <c r="JX170" s="737" t="e">
        <f t="shared" si="3151"/>
        <v>#DIV/0!</v>
      </c>
      <c r="JY170" s="738" t="e">
        <f t="shared" si="3034"/>
        <v>#DIV/0!</v>
      </c>
      <c r="KA170" s="743">
        <f t="shared" si="3172"/>
        <v>0</v>
      </c>
      <c r="KB170" s="737">
        <f t="shared" si="3172"/>
        <v>0</v>
      </c>
      <c r="KC170" s="744">
        <f t="shared" si="3172"/>
        <v>0</v>
      </c>
      <c r="KD170" s="737" t="e">
        <f t="shared" si="3152"/>
        <v>#DIV/0!</v>
      </c>
      <c r="KE170" s="738" t="e">
        <f t="shared" si="3036"/>
        <v>#DIV/0!</v>
      </c>
      <c r="KG170" s="743">
        <f t="shared" ref="KG170:KI170" si="3264">SUM(KG135)</f>
        <v>0</v>
      </c>
      <c r="KH170" s="737">
        <f t="shared" si="3264"/>
        <v>0</v>
      </c>
      <c r="KI170" s="744">
        <f t="shared" si="3264"/>
        <v>0</v>
      </c>
      <c r="KJ170" s="737" t="e">
        <f t="shared" si="3153"/>
        <v>#DIV/0!</v>
      </c>
      <c r="KK170" s="738" t="e">
        <f t="shared" si="3039"/>
        <v>#DIV/0!</v>
      </c>
      <c r="KM170" s="743">
        <f t="shared" ref="KM170:KO170" si="3265">SUM(KM135)</f>
        <v>1300</v>
      </c>
      <c r="KN170" s="737">
        <f t="shared" si="3265"/>
        <v>6</v>
      </c>
      <c r="KO170" s="744">
        <f t="shared" si="3265"/>
        <v>5</v>
      </c>
      <c r="KP170" s="737">
        <f t="shared" si="3154"/>
        <v>216.66666666666666</v>
      </c>
      <c r="KQ170" s="738">
        <f t="shared" si="3042"/>
        <v>1.2</v>
      </c>
      <c r="KS170" s="743">
        <f t="shared" ref="KS170:KU170" si="3266">SUM(KS135)</f>
        <v>1000</v>
      </c>
      <c r="KT170" s="737">
        <f t="shared" si="3266"/>
        <v>12.82</v>
      </c>
      <c r="KU170" s="744">
        <f t="shared" si="3266"/>
        <v>5</v>
      </c>
      <c r="KV170" s="737">
        <f t="shared" si="3155"/>
        <v>78.003120124804994</v>
      </c>
      <c r="KW170" s="738">
        <f t="shared" si="3045"/>
        <v>2.5640000000000001</v>
      </c>
      <c r="KY170" s="743">
        <f t="shared" ref="KY170:LA170" si="3267">SUM(KY135)</f>
        <v>0</v>
      </c>
      <c r="KZ170" s="737">
        <f t="shared" si="3267"/>
        <v>0</v>
      </c>
      <c r="LA170" s="744">
        <f t="shared" si="3267"/>
        <v>0</v>
      </c>
      <c r="LB170" s="737" t="e">
        <f t="shared" si="3156"/>
        <v>#DIV/0!</v>
      </c>
      <c r="LC170" s="738" t="e">
        <f t="shared" si="3048"/>
        <v>#DIV/0!</v>
      </c>
      <c r="LE170" s="743">
        <f t="shared" ref="LE170:LG170" si="3268">SUM(LE135)</f>
        <v>1000</v>
      </c>
      <c r="LF170" s="737">
        <f t="shared" si="3268"/>
        <v>7.7</v>
      </c>
      <c r="LG170" s="744">
        <f t="shared" si="3268"/>
        <v>5</v>
      </c>
      <c r="LH170" s="737">
        <f t="shared" si="3157"/>
        <v>129.87012987012986</v>
      </c>
      <c r="LI170" s="738">
        <f t="shared" si="3051"/>
        <v>1.54</v>
      </c>
      <c r="LK170" s="743">
        <f t="shared" ref="LK170:LM170" si="3269">SUM(LK135)</f>
        <v>0</v>
      </c>
      <c r="LL170" s="737">
        <f t="shared" si="3269"/>
        <v>0</v>
      </c>
      <c r="LM170" s="744">
        <f t="shared" si="3269"/>
        <v>0</v>
      </c>
      <c r="LN170" s="737" t="e">
        <f t="shared" si="3158"/>
        <v>#DIV/0!</v>
      </c>
      <c r="LO170" s="738" t="e">
        <f t="shared" si="3054"/>
        <v>#DIV/0!</v>
      </c>
      <c r="LQ170" s="743">
        <f t="shared" ref="LQ170:LS170" si="3270">SUM(LQ135)</f>
        <v>1000</v>
      </c>
      <c r="LR170" s="737">
        <f t="shared" si="3270"/>
        <v>5.07</v>
      </c>
      <c r="LS170" s="744">
        <f t="shared" si="3270"/>
        <v>5</v>
      </c>
      <c r="LT170" s="737">
        <f t="shared" si="3159"/>
        <v>197.23865877712029</v>
      </c>
      <c r="LU170" s="738">
        <f t="shared" si="3057"/>
        <v>1.014</v>
      </c>
      <c r="LW170" s="743">
        <f t="shared" ref="LW170:LY170" si="3271">SUM(LW135)</f>
        <v>0</v>
      </c>
      <c r="LX170" s="737">
        <f t="shared" si="3271"/>
        <v>0</v>
      </c>
      <c r="LY170" s="744">
        <f t="shared" si="3271"/>
        <v>0</v>
      </c>
      <c r="LZ170" s="737" t="e">
        <f t="shared" si="3160"/>
        <v>#DIV/0!</v>
      </c>
      <c r="MA170" s="738" t="e">
        <f t="shared" si="3060"/>
        <v>#DIV/0!</v>
      </c>
      <c r="MC170" s="743">
        <f t="shared" ref="MC170:ME170" si="3272">SUM(MC135)</f>
        <v>0</v>
      </c>
      <c r="MD170" s="737">
        <f t="shared" si="3272"/>
        <v>0</v>
      </c>
      <c r="ME170" s="744">
        <f t="shared" si="3272"/>
        <v>0</v>
      </c>
      <c r="MF170" s="737" t="e">
        <f t="shared" si="3161"/>
        <v>#DIV/0!</v>
      </c>
      <c r="MG170" s="738" t="e">
        <f t="shared" si="3063"/>
        <v>#DIV/0!</v>
      </c>
      <c r="MI170" s="743">
        <f t="shared" ref="MI170:MK170" si="3273">SUM(MI135)</f>
        <v>1000</v>
      </c>
      <c r="MJ170" s="737">
        <f t="shared" si="3273"/>
        <v>10.36</v>
      </c>
      <c r="MK170" s="744">
        <f t="shared" si="3273"/>
        <v>5</v>
      </c>
      <c r="ML170" s="737">
        <f t="shared" si="3162"/>
        <v>96.525096525096529</v>
      </c>
      <c r="MM170" s="738">
        <f t="shared" si="3066"/>
        <v>2.0720000000000001</v>
      </c>
      <c r="MO170" s="743">
        <f t="shared" ref="MO170:MQ170" si="3274">SUM(MO135)</f>
        <v>0</v>
      </c>
      <c r="MP170" s="737">
        <f t="shared" si="3274"/>
        <v>0</v>
      </c>
      <c r="MQ170" s="744">
        <f t="shared" si="3274"/>
        <v>0</v>
      </c>
      <c r="MR170" s="737" t="e">
        <f t="shared" si="3163"/>
        <v>#DIV/0!</v>
      </c>
      <c r="MS170" s="738" t="e">
        <f t="shared" si="3069"/>
        <v>#DIV/0!</v>
      </c>
      <c r="MU170" s="743">
        <f t="shared" ref="MU170:MW170" si="3275">SUM(MU135)</f>
        <v>0</v>
      </c>
      <c r="MV170" s="737">
        <f t="shared" si="3275"/>
        <v>0</v>
      </c>
      <c r="MW170" s="744">
        <f t="shared" si="3275"/>
        <v>0</v>
      </c>
      <c r="MX170" s="737" t="e">
        <f t="shared" si="3164"/>
        <v>#DIV/0!</v>
      </c>
      <c r="MY170" s="738" t="e">
        <f t="shared" si="3072"/>
        <v>#DIV/0!</v>
      </c>
      <c r="NA170" s="743">
        <f t="shared" ref="NA170:NC170" si="3276">SUM(NA135)</f>
        <v>1000</v>
      </c>
      <c r="NB170" s="744">
        <f t="shared" si="3276"/>
        <v>7.83</v>
      </c>
      <c r="NC170" s="744">
        <f t="shared" si="3276"/>
        <v>5</v>
      </c>
      <c r="ND170" s="737">
        <f t="shared" si="3165"/>
        <v>127.71392081736909</v>
      </c>
      <c r="NE170" s="738">
        <f t="shared" si="3075"/>
        <v>1.5660000000000001</v>
      </c>
      <c r="NG170" s="743">
        <f t="shared" ref="NG170:NI170" si="3277">SUM(NG135)</f>
        <v>1000</v>
      </c>
      <c r="NH170" s="737">
        <f t="shared" si="3277"/>
        <v>10.259999999999998</v>
      </c>
      <c r="NI170" s="744">
        <f t="shared" si="3277"/>
        <v>5</v>
      </c>
      <c r="NJ170" s="737">
        <f t="shared" si="3166"/>
        <v>97.465886939571163</v>
      </c>
      <c r="NK170" s="738">
        <f t="shared" si="3078"/>
        <v>2.0519999999999996</v>
      </c>
      <c r="NM170" s="743">
        <f t="shared" ref="NM170:NO170" si="3278">SUM(NM135)</f>
        <v>0</v>
      </c>
      <c r="NN170" s="737">
        <f t="shared" si="3278"/>
        <v>0</v>
      </c>
      <c r="NO170" s="744">
        <f t="shared" si="3278"/>
        <v>0</v>
      </c>
      <c r="NP170" s="737" t="e">
        <f t="shared" si="3167"/>
        <v>#DIV/0!</v>
      </c>
      <c r="NQ170" s="738" t="e">
        <f t="shared" si="3081"/>
        <v>#DIV/0!</v>
      </c>
      <c r="NS170" s="743">
        <f t="shared" ref="NS170:NU170" si="3279">SUM(NS135)</f>
        <v>1000</v>
      </c>
      <c r="NT170" s="737">
        <f t="shared" si="3279"/>
        <v>5.7200000000000006</v>
      </c>
      <c r="NU170" s="744">
        <f t="shared" si="3279"/>
        <v>5</v>
      </c>
      <c r="NV170" s="737">
        <f t="shared" si="3168"/>
        <v>174.8251748251748</v>
      </c>
      <c r="NW170" s="738">
        <f t="shared" si="3084"/>
        <v>1.1440000000000001</v>
      </c>
      <c r="NY170" s="743">
        <f t="shared" ref="NY170:OA170" si="3280">SUM(NY135)</f>
        <v>0</v>
      </c>
      <c r="NZ170" s="737">
        <f t="shared" si="3280"/>
        <v>0</v>
      </c>
      <c r="OA170" s="744">
        <f t="shared" si="3280"/>
        <v>0</v>
      </c>
      <c r="OB170" s="737" t="e">
        <f t="shared" si="3169"/>
        <v>#DIV/0!</v>
      </c>
      <c r="OC170" s="738" t="e">
        <f t="shared" si="3087"/>
        <v>#DIV/0!</v>
      </c>
      <c r="OE170" s="743">
        <f t="shared" ref="OE170:OG170" si="3281">SUM(OE135)</f>
        <v>1000</v>
      </c>
      <c r="OF170" s="737">
        <f t="shared" si="3281"/>
        <v>6.2299999999999995</v>
      </c>
      <c r="OG170" s="744">
        <f t="shared" si="3281"/>
        <v>5</v>
      </c>
      <c r="OH170" s="737">
        <f t="shared" si="3170"/>
        <v>160.51364365971108</v>
      </c>
      <c r="OI170" s="738">
        <f t="shared" si="3090"/>
        <v>1.246</v>
      </c>
    </row>
    <row r="171" spans="1:399" ht="15" thickBot="1">
      <c r="A171" s="715" t="s">
        <v>376</v>
      </c>
      <c r="B171" s="732" t="s">
        <v>383</v>
      </c>
      <c r="C171" s="728"/>
      <c r="D171" s="724" t="s">
        <v>14</v>
      </c>
      <c r="E171" s="79"/>
      <c r="F171" s="82"/>
      <c r="G171" s="79"/>
      <c r="H171" s="82"/>
      <c r="I171" s="84"/>
      <c r="J171" s="589"/>
      <c r="K171" s="79"/>
      <c r="L171" s="82"/>
      <c r="M171" s="79"/>
      <c r="N171" s="82"/>
      <c r="O171" s="84"/>
      <c r="P171" s="589"/>
      <c r="Q171" s="79"/>
      <c r="R171" s="82"/>
      <c r="S171" s="79"/>
      <c r="T171" s="82"/>
      <c r="U171" s="84"/>
      <c r="V171" s="589"/>
      <c r="W171" s="79"/>
      <c r="X171" s="82"/>
      <c r="Y171" s="79"/>
      <c r="Z171" s="82"/>
      <c r="AA171" s="84"/>
      <c r="AB171" s="589"/>
      <c r="AC171" s="79"/>
      <c r="AD171" s="82"/>
      <c r="AE171" s="79"/>
      <c r="AF171" s="82"/>
      <c r="AG171" s="84"/>
      <c r="AH171" s="589"/>
      <c r="AI171" s="79"/>
      <c r="AJ171" s="82"/>
      <c r="AK171" s="79"/>
      <c r="AL171" s="82"/>
      <c r="AM171" s="84"/>
      <c r="AN171" s="589"/>
      <c r="AO171" s="79"/>
      <c r="AP171" s="82"/>
      <c r="AQ171" s="79"/>
      <c r="AR171" s="82"/>
      <c r="AS171" s="84"/>
      <c r="AT171" s="589"/>
      <c r="AU171" s="79"/>
      <c r="AV171" s="82"/>
      <c r="AW171" s="79"/>
      <c r="AX171" s="82"/>
      <c r="AY171" s="84"/>
      <c r="AZ171" s="84"/>
      <c r="BA171" s="79"/>
      <c r="BB171" s="82"/>
      <c r="BC171" s="79"/>
      <c r="BD171" s="82"/>
      <c r="BE171" s="84"/>
      <c r="BF171" s="84"/>
      <c r="BG171" s="79"/>
      <c r="BH171" s="82"/>
      <c r="BI171" s="79"/>
      <c r="BJ171" s="82"/>
      <c r="BK171" s="84"/>
      <c r="BL171" s="84"/>
      <c r="BM171" s="79"/>
      <c r="BN171" s="82"/>
      <c r="BO171" s="79"/>
      <c r="BP171" s="82"/>
      <c r="BQ171" s="84"/>
      <c r="BR171" s="589"/>
      <c r="BS171" s="79"/>
      <c r="BT171" s="82"/>
      <c r="BU171" s="79"/>
      <c r="BV171" s="82"/>
      <c r="BW171" s="84"/>
      <c r="BX171" s="84"/>
      <c r="BY171" s="79"/>
      <c r="BZ171" s="82"/>
      <c r="CA171" s="79"/>
      <c r="CB171" s="82"/>
      <c r="CC171" s="84"/>
      <c r="CD171" s="84"/>
      <c r="CE171" s="79"/>
      <c r="CF171" s="82"/>
      <c r="CG171" s="79"/>
      <c r="CH171" s="82"/>
      <c r="CI171" s="84"/>
      <c r="CJ171" s="84"/>
      <c r="CK171" s="79"/>
      <c r="CL171" s="82"/>
      <c r="CM171" s="79"/>
      <c r="CN171" s="82"/>
      <c r="CO171" s="84"/>
      <c r="CP171" s="84"/>
      <c r="CQ171" s="79"/>
      <c r="CR171" s="82"/>
      <c r="CS171" s="79"/>
      <c r="CT171" s="82"/>
      <c r="CU171" s="84"/>
      <c r="CV171" s="84"/>
      <c r="CW171" s="79"/>
      <c r="CX171" s="82"/>
      <c r="CY171" s="79"/>
      <c r="CZ171" s="82"/>
      <c r="DA171" s="84"/>
      <c r="DB171" s="84"/>
      <c r="DC171" s="79"/>
      <c r="DD171" s="82"/>
      <c r="DE171" s="79"/>
      <c r="DF171" s="82"/>
      <c r="DG171" s="84"/>
      <c r="DH171" s="84"/>
      <c r="DI171" s="79"/>
      <c r="DJ171" s="82"/>
      <c r="DK171" s="79"/>
      <c r="DL171" s="82"/>
      <c r="DM171" s="84"/>
      <c r="DN171" s="84"/>
      <c r="DO171" s="79"/>
      <c r="DP171" s="82"/>
      <c r="DQ171" s="79"/>
      <c r="DR171" s="82"/>
      <c r="DS171" s="84"/>
      <c r="DT171" s="84"/>
      <c r="DU171" s="79"/>
      <c r="DV171" s="82"/>
      <c r="DW171" s="79"/>
      <c r="DX171" s="82"/>
      <c r="DY171" s="84"/>
      <c r="DZ171" s="84"/>
      <c r="EA171" s="79"/>
      <c r="EB171" s="82"/>
      <c r="EC171" s="79"/>
      <c r="ED171" s="82"/>
      <c r="EE171" s="84"/>
      <c r="EF171" s="84"/>
      <c r="EG171" s="79"/>
      <c r="EH171" s="82"/>
      <c r="EI171" s="79"/>
      <c r="EJ171" s="82"/>
      <c r="EK171" s="84"/>
      <c r="EL171" s="84"/>
      <c r="EM171" s="79"/>
      <c r="EN171" s="82"/>
      <c r="EO171" s="79"/>
      <c r="EP171" s="82"/>
      <c r="EQ171" s="84"/>
      <c r="ER171" s="589"/>
      <c r="ES171" s="79"/>
      <c r="ET171" s="82"/>
      <c r="EU171" s="79"/>
      <c r="EV171" s="82"/>
      <c r="EW171" s="84"/>
      <c r="EY171" s="91"/>
      <c r="EZ171" s="82"/>
      <c r="FA171" s="79"/>
      <c r="FB171" s="82"/>
      <c r="FC171" s="84"/>
      <c r="FE171" s="91"/>
      <c r="FF171" s="82"/>
      <c r="FG171" s="79"/>
      <c r="FH171" s="82"/>
      <c r="FI171" s="84"/>
      <c r="FK171" s="91"/>
      <c r="FL171" s="82"/>
      <c r="FM171" s="79"/>
      <c r="FN171" s="82"/>
      <c r="FO171" s="84"/>
      <c r="FQ171" s="91"/>
      <c r="FR171" s="369"/>
      <c r="FS171" s="371"/>
      <c r="FT171" s="369"/>
      <c r="FU171" s="370"/>
      <c r="FV171" s="178"/>
      <c r="FW171" s="91"/>
      <c r="FX171" s="369"/>
      <c r="FY171" s="371"/>
      <c r="FZ171" s="361"/>
      <c r="GA171" s="362"/>
      <c r="GC171" s="379"/>
      <c r="GD171" s="369"/>
      <c r="GE171" s="371"/>
      <c r="GF171" s="369"/>
      <c r="GG171" s="370"/>
      <c r="GI171" s="379"/>
      <c r="GJ171" s="369"/>
      <c r="GK171" s="371"/>
      <c r="GL171" s="369"/>
      <c r="GM171" s="370"/>
      <c r="GO171" s="379"/>
      <c r="GP171" s="369"/>
      <c r="GQ171" s="371"/>
      <c r="GR171" s="369"/>
      <c r="GS171" s="370"/>
      <c r="GU171" s="379"/>
      <c r="GV171" s="369"/>
      <c r="GW171" s="371"/>
      <c r="GX171" s="369"/>
      <c r="GY171" s="370"/>
      <c r="HA171" s="91"/>
      <c r="HB171" s="82"/>
      <c r="HC171" s="371"/>
      <c r="HD171" s="369"/>
      <c r="HE171" s="370"/>
      <c r="HG171" s="91"/>
      <c r="HH171" s="82"/>
      <c r="HI171" s="79"/>
      <c r="HJ171" s="82"/>
      <c r="HK171" s="84"/>
      <c r="HM171" s="91"/>
      <c r="HN171" s="82"/>
      <c r="HO171" s="371"/>
      <c r="HP171" s="361"/>
      <c r="HQ171" s="362"/>
      <c r="HS171" s="91"/>
      <c r="HT171" s="82"/>
      <c r="HU171" s="371"/>
      <c r="HV171" s="369"/>
      <c r="HW171" s="370"/>
      <c r="HX171" s="178"/>
      <c r="HY171" s="91"/>
      <c r="HZ171" s="82"/>
      <c r="IA171" s="371"/>
      <c r="IB171" s="361"/>
      <c r="IC171" s="362"/>
      <c r="IE171" s="91"/>
      <c r="IF171" s="82"/>
      <c r="IG171" s="79"/>
      <c r="IH171" s="82"/>
      <c r="II171" s="84"/>
      <c r="IK171" s="383"/>
      <c r="IL171" s="82"/>
      <c r="IM171" s="79"/>
      <c r="IN171" s="82"/>
      <c r="IO171" s="84"/>
      <c r="IQ171" s="91"/>
      <c r="IR171" s="82"/>
      <c r="IS171" s="79"/>
      <c r="IT171" s="82"/>
      <c r="IU171" s="84"/>
      <c r="IW171" s="91"/>
      <c r="IX171" s="82"/>
      <c r="IY171" s="79"/>
      <c r="IZ171" s="82"/>
      <c r="JA171" s="84"/>
      <c r="JC171" s="91"/>
      <c r="JD171" s="82"/>
      <c r="JE171" s="79"/>
      <c r="JF171" s="82"/>
      <c r="JG171" s="84"/>
      <c r="JI171" s="91"/>
      <c r="JJ171" s="82"/>
      <c r="JK171" s="79"/>
      <c r="JL171" s="82"/>
      <c r="JM171" s="84"/>
      <c r="JO171" s="743">
        <f t="shared" si="3191"/>
        <v>0</v>
      </c>
      <c r="JP171" s="737">
        <f t="shared" si="3191"/>
        <v>0</v>
      </c>
      <c r="JQ171" s="744">
        <f t="shared" si="3191"/>
        <v>0</v>
      </c>
      <c r="JR171" s="737" t="e">
        <f t="shared" si="3150"/>
        <v>#DIV/0!</v>
      </c>
      <c r="JS171" s="738" t="e">
        <f t="shared" si="3032"/>
        <v>#DIV/0!</v>
      </c>
      <c r="JU171" s="743">
        <f t="shared" si="3171"/>
        <v>0</v>
      </c>
      <c r="JV171" s="737">
        <f t="shared" si="3171"/>
        <v>0</v>
      </c>
      <c r="JW171" s="744">
        <f t="shared" si="3171"/>
        <v>0</v>
      </c>
      <c r="JX171" s="737" t="e">
        <f t="shared" si="3151"/>
        <v>#DIV/0!</v>
      </c>
      <c r="JY171" s="738" t="e">
        <f t="shared" si="3034"/>
        <v>#DIV/0!</v>
      </c>
      <c r="KA171" s="743">
        <f t="shared" si="3172"/>
        <v>0</v>
      </c>
      <c r="KB171" s="737">
        <f t="shared" si="3172"/>
        <v>0</v>
      </c>
      <c r="KC171" s="744">
        <f t="shared" si="3172"/>
        <v>0</v>
      </c>
      <c r="KD171" s="737" t="e">
        <f t="shared" si="3152"/>
        <v>#DIV/0!</v>
      </c>
      <c r="KE171" s="738" t="e">
        <f t="shared" si="3036"/>
        <v>#DIV/0!</v>
      </c>
      <c r="KG171" s="743">
        <f t="shared" ref="KG171:KI171" si="3282">SUM(KG136)</f>
        <v>0</v>
      </c>
      <c r="KH171" s="737">
        <f t="shared" si="3282"/>
        <v>0</v>
      </c>
      <c r="KI171" s="744">
        <f t="shared" si="3282"/>
        <v>0</v>
      </c>
      <c r="KJ171" s="737" t="e">
        <f t="shared" si="3153"/>
        <v>#DIV/0!</v>
      </c>
      <c r="KK171" s="738" t="e">
        <f t="shared" si="3039"/>
        <v>#DIV/0!</v>
      </c>
      <c r="KM171" s="743">
        <f t="shared" ref="KM171:KO171" si="3283">SUM(KM136)</f>
        <v>0</v>
      </c>
      <c r="KN171" s="737">
        <f t="shared" si="3283"/>
        <v>0</v>
      </c>
      <c r="KO171" s="744">
        <f t="shared" si="3283"/>
        <v>0</v>
      </c>
      <c r="KP171" s="737" t="e">
        <f t="shared" si="3154"/>
        <v>#DIV/0!</v>
      </c>
      <c r="KQ171" s="738" t="e">
        <f t="shared" si="3042"/>
        <v>#DIV/0!</v>
      </c>
      <c r="KS171" s="743">
        <f t="shared" ref="KS171:KU171" si="3284">SUM(KS136)</f>
        <v>0</v>
      </c>
      <c r="KT171" s="737">
        <f t="shared" si="3284"/>
        <v>0</v>
      </c>
      <c r="KU171" s="744">
        <f t="shared" si="3284"/>
        <v>0</v>
      </c>
      <c r="KV171" s="737" t="e">
        <f t="shared" si="3155"/>
        <v>#DIV/0!</v>
      </c>
      <c r="KW171" s="738" t="e">
        <f t="shared" si="3045"/>
        <v>#DIV/0!</v>
      </c>
      <c r="KY171" s="743">
        <f t="shared" ref="KY171:LA171" si="3285">SUM(KY136)</f>
        <v>0</v>
      </c>
      <c r="KZ171" s="737">
        <f t="shared" si="3285"/>
        <v>0</v>
      </c>
      <c r="LA171" s="744">
        <f t="shared" si="3285"/>
        <v>0</v>
      </c>
      <c r="LB171" s="737" t="e">
        <f t="shared" si="3156"/>
        <v>#DIV/0!</v>
      </c>
      <c r="LC171" s="738" t="e">
        <f t="shared" si="3048"/>
        <v>#DIV/0!</v>
      </c>
      <c r="LE171" s="743">
        <f t="shared" ref="LE171:LG171" si="3286">SUM(LE136)</f>
        <v>0</v>
      </c>
      <c r="LF171" s="737">
        <f t="shared" si="3286"/>
        <v>0</v>
      </c>
      <c r="LG171" s="744">
        <f t="shared" si="3286"/>
        <v>0</v>
      </c>
      <c r="LH171" s="737" t="e">
        <f t="shared" si="3157"/>
        <v>#DIV/0!</v>
      </c>
      <c r="LI171" s="738" t="e">
        <f t="shared" si="3051"/>
        <v>#DIV/0!</v>
      </c>
      <c r="LK171" s="743">
        <f t="shared" ref="LK171:LM171" si="3287">SUM(LK136)</f>
        <v>0</v>
      </c>
      <c r="LL171" s="737">
        <f t="shared" si="3287"/>
        <v>0</v>
      </c>
      <c r="LM171" s="744">
        <f t="shared" si="3287"/>
        <v>0</v>
      </c>
      <c r="LN171" s="737" t="e">
        <f t="shared" si="3158"/>
        <v>#DIV/0!</v>
      </c>
      <c r="LO171" s="738" t="e">
        <f t="shared" si="3054"/>
        <v>#DIV/0!</v>
      </c>
      <c r="LQ171" s="743">
        <f t="shared" ref="LQ171:LS171" si="3288">SUM(LQ136)</f>
        <v>1900</v>
      </c>
      <c r="LR171" s="737">
        <f t="shared" si="3288"/>
        <v>4.0600000000000005</v>
      </c>
      <c r="LS171" s="744">
        <f t="shared" si="3288"/>
        <v>5</v>
      </c>
      <c r="LT171" s="737">
        <f t="shared" si="3159"/>
        <v>467.98029556650238</v>
      </c>
      <c r="LU171" s="738">
        <f t="shared" si="3057"/>
        <v>0.81200000000000006</v>
      </c>
      <c r="LW171" s="743">
        <f t="shared" ref="LW171:LY171" si="3289">SUM(LW136)</f>
        <v>550</v>
      </c>
      <c r="LX171" s="737">
        <f t="shared" si="3289"/>
        <v>1.34</v>
      </c>
      <c r="LY171" s="744">
        <f t="shared" si="3289"/>
        <v>5</v>
      </c>
      <c r="LZ171" s="737">
        <f t="shared" si="3160"/>
        <v>410.44776119402985</v>
      </c>
      <c r="MA171" s="738">
        <f t="shared" si="3060"/>
        <v>0.26800000000000002</v>
      </c>
      <c r="MC171" s="743">
        <f t="shared" ref="MC171:ME171" si="3290">SUM(MC136)</f>
        <v>0</v>
      </c>
      <c r="MD171" s="737">
        <f t="shared" si="3290"/>
        <v>0</v>
      </c>
      <c r="ME171" s="744">
        <f t="shared" si="3290"/>
        <v>0</v>
      </c>
      <c r="MF171" s="737" t="e">
        <f t="shared" si="3161"/>
        <v>#DIV/0!</v>
      </c>
      <c r="MG171" s="738" t="e">
        <f t="shared" si="3063"/>
        <v>#DIV/0!</v>
      </c>
      <c r="MI171" s="743">
        <f t="shared" ref="MI171:MK171" si="3291">SUM(MI136)</f>
        <v>1150</v>
      </c>
      <c r="MJ171" s="737">
        <f t="shared" si="3291"/>
        <v>2.25</v>
      </c>
      <c r="MK171" s="744">
        <f t="shared" si="3291"/>
        <v>5</v>
      </c>
      <c r="ML171" s="737">
        <f t="shared" si="3162"/>
        <v>511.11111111111109</v>
      </c>
      <c r="MM171" s="738">
        <f t="shared" si="3066"/>
        <v>0.45</v>
      </c>
      <c r="MO171" s="743">
        <f t="shared" ref="MO171:MQ171" si="3292">SUM(MO136)</f>
        <v>0</v>
      </c>
      <c r="MP171" s="737">
        <f t="shared" si="3292"/>
        <v>0</v>
      </c>
      <c r="MQ171" s="744">
        <f t="shared" si="3292"/>
        <v>0</v>
      </c>
      <c r="MR171" s="737" t="e">
        <f t="shared" si="3163"/>
        <v>#DIV/0!</v>
      </c>
      <c r="MS171" s="738" t="e">
        <f t="shared" si="3069"/>
        <v>#DIV/0!</v>
      </c>
      <c r="MU171" s="743">
        <f t="shared" ref="MU171:MW171" si="3293">SUM(MU136)</f>
        <v>0</v>
      </c>
      <c r="MV171" s="737">
        <f t="shared" si="3293"/>
        <v>0</v>
      </c>
      <c r="MW171" s="744">
        <f t="shared" si="3293"/>
        <v>0</v>
      </c>
      <c r="MX171" s="737" t="e">
        <f t="shared" si="3164"/>
        <v>#DIV/0!</v>
      </c>
      <c r="MY171" s="738" t="e">
        <f t="shared" si="3072"/>
        <v>#DIV/0!</v>
      </c>
      <c r="NA171" s="743">
        <f t="shared" ref="NA171:NC171" si="3294">SUM(NA136)</f>
        <v>0</v>
      </c>
      <c r="NB171" s="744">
        <f t="shared" si="3294"/>
        <v>0</v>
      </c>
      <c r="NC171" s="744">
        <f t="shared" si="3294"/>
        <v>0</v>
      </c>
      <c r="ND171" s="737" t="e">
        <f t="shared" si="3165"/>
        <v>#DIV/0!</v>
      </c>
      <c r="NE171" s="738" t="e">
        <f t="shared" si="3075"/>
        <v>#DIV/0!</v>
      </c>
      <c r="NG171" s="743">
        <f t="shared" ref="NG171:NI171" si="3295">SUM(NG136)</f>
        <v>0</v>
      </c>
      <c r="NH171" s="737">
        <f t="shared" si="3295"/>
        <v>0</v>
      </c>
      <c r="NI171" s="744">
        <f t="shared" si="3295"/>
        <v>0</v>
      </c>
      <c r="NJ171" s="737" t="e">
        <f t="shared" si="3166"/>
        <v>#DIV/0!</v>
      </c>
      <c r="NK171" s="738" t="e">
        <f t="shared" si="3078"/>
        <v>#DIV/0!</v>
      </c>
      <c r="NM171" s="743">
        <f t="shared" ref="NM171:NO171" si="3296">SUM(NM136)</f>
        <v>0</v>
      </c>
      <c r="NN171" s="737">
        <f t="shared" si="3296"/>
        <v>0</v>
      </c>
      <c r="NO171" s="744">
        <f t="shared" si="3296"/>
        <v>0</v>
      </c>
      <c r="NP171" s="737" t="e">
        <f t="shared" si="3167"/>
        <v>#DIV/0!</v>
      </c>
      <c r="NQ171" s="738" t="e">
        <f t="shared" si="3081"/>
        <v>#DIV/0!</v>
      </c>
      <c r="NS171" s="743">
        <f t="shared" ref="NS171:NU171" si="3297">SUM(NS136)</f>
        <v>0</v>
      </c>
      <c r="NT171" s="737">
        <f t="shared" si="3297"/>
        <v>0</v>
      </c>
      <c r="NU171" s="744">
        <f t="shared" si="3297"/>
        <v>0</v>
      </c>
      <c r="NV171" s="737" t="e">
        <f t="shared" si="3168"/>
        <v>#DIV/0!</v>
      </c>
      <c r="NW171" s="738" t="e">
        <f t="shared" si="3084"/>
        <v>#DIV/0!</v>
      </c>
      <c r="NY171" s="743">
        <f t="shared" ref="NY171:OA171" si="3298">SUM(NY136)</f>
        <v>1000</v>
      </c>
      <c r="NZ171" s="737">
        <f t="shared" si="3298"/>
        <v>12.68</v>
      </c>
      <c r="OA171" s="744">
        <f t="shared" si="3298"/>
        <v>5</v>
      </c>
      <c r="OB171" s="737">
        <f t="shared" si="3169"/>
        <v>78.864353312302839</v>
      </c>
      <c r="OC171" s="738">
        <f t="shared" si="3087"/>
        <v>2.536</v>
      </c>
      <c r="OE171" s="743">
        <f t="shared" ref="OE171:OG171" si="3299">SUM(OE136)</f>
        <v>0</v>
      </c>
      <c r="OF171" s="737">
        <f t="shared" si="3299"/>
        <v>0</v>
      </c>
      <c r="OG171" s="744">
        <f t="shared" si="3299"/>
        <v>0</v>
      </c>
      <c r="OH171" s="737" t="e">
        <f t="shared" si="3170"/>
        <v>#DIV/0!</v>
      </c>
      <c r="OI171" s="738" t="e">
        <f t="shared" si="3090"/>
        <v>#DIV/0!</v>
      </c>
    </row>
    <row r="172" spans="1:399">
      <c r="A172" s="72" t="s">
        <v>47</v>
      </c>
      <c r="B172" s="73" t="s">
        <v>48</v>
      </c>
      <c r="C172" s="74"/>
      <c r="D172" s="61" t="s">
        <v>36</v>
      </c>
      <c r="E172" s="79">
        <f t="shared" ref="E172:G172" si="3300">E137</f>
        <v>1500</v>
      </c>
      <c r="F172" s="82">
        <f t="shared" si="3300"/>
        <v>22.19</v>
      </c>
      <c r="G172" s="79">
        <f t="shared" si="3300"/>
        <v>5</v>
      </c>
      <c r="H172" s="82">
        <f t="shared" si="2923"/>
        <v>67.598017124831003</v>
      </c>
      <c r="I172" s="84">
        <f t="shared" si="2924"/>
        <v>4.4380000000000006</v>
      </c>
      <c r="J172" s="589"/>
      <c r="K172" s="79">
        <f t="shared" ref="K172:M172" si="3301">K137</f>
        <v>1000</v>
      </c>
      <c r="L172" s="82">
        <f t="shared" si="3301"/>
        <v>11.82</v>
      </c>
      <c r="M172" s="79">
        <f t="shared" si="3301"/>
        <v>3</v>
      </c>
      <c r="N172" s="82">
        <f t="shared" si="2925"/>
        <v>84.602368866328248</v>
      </c>
      <c r="O172" s="84">
        <f t="shared" si="2926"/>
        <v>3.94</v>
      </c>
      <c r="P172" s="589"/>
      <c r="Q172" s="79">
        <f t="shared" ref="Q172:S172" si="3302">Q137</f>
        <v>750</v>
      </c>
      <c r="R172" s="82">
        <f t="shared" si="3302"/>
        <v>28.800000000000004</v>
      </c>
      <c r="S172" s="79">
        <f t="shared" si="3302"/>
        <v>5</v>
      </c>
      <c r="T172" s="82">
        <f t="shared" si="2927"/>
        <v>26.041666666666664</v>
      </c>
      <c r="U172" s="84">
        <f t="shared" si="2928"/>
        <v>5.7600000000000007</v>
      </c>
      <c r="V172" s="589"/>
      <c r="W172" s="79">
        <f t="shared" ref="W172:Y172" si="3303">W137</f>
        <v>1500</v>
      </c>
      <c r="X172" s="82">
        <f t="shared" si="3303"/>
        <v>23.05</v>
      </c>
      <c r="Y172" s="79">
        <f t="shared" si="3303"/>
        <v>5</v>
      </c>
      <c r="Z172" s="82">
        <f t="shared" si="2929"/>
        <v>65.075921908893704</v>
      </c>
      <c r="AA172" s="84">
        <f t="shared" si="2930"/>
        <v>4.6100000000000003</v>
      </c>
      <c r="AB172" s="589"/>
      <c r="AC172" s="79">
        <f t="shared" ref="AC172:AE172" si="3304">AC137</f>
        <v>600</v>
      </c>
      <c r="AD172" s="82">
        <f t="shared" si="3304"/>
        <v>11.5</v>
      </c>
      <c r="AE172" s="79">
        <f t="shared" si="3304"/>
        <v>2</v>
      </c>
      <c r="AF172" s="82">
        <f t="shared" si="2931"/>
        <v>52.173913043478258</v>
      </c>
      <c r="AG172" s="84">
        <f t="shared" si="2932"/>
        <v>5.75</v>
      </c>
      <c r="AH172" s="589"/>
      <c r="AI172" s="79">
        <f t="shared" ref="AI172:AK172" si="3305">AI137</f>
        <v>1500</v>
      </c>
      <c r="AJ172" s="82">
        <f t="shared" si="3305"/>
        <v>24.619999999999997</v>
      </c>
      <c r="AK172" s="79">
        <f t="shared" si="3305"/>
        <v>5</v>
      </c>
      <c r="AL172" s="82">
        <f t="shared" si="2933"/>
        <v>60.92607636068238</v>
      </c>
      <c r="AM172" s="84">
        <f t="shared" si="2934"/>
        <v>4.9239999999999995</v>
      </c>
      <c r="AN172" s="589"/>
      <c r="AO172" s="79">
        <f t="shared" ref="AO172:AQ172" si="3306">AO137</f>
        <v>0</v>
      </c>
      <c r="AP172" s="82">
        <f t="shared" si="3306"/>
        <v>0</v>
      </c>
      <c r="AQ172" s="79">
        <f t="shared" si="3306"/>
        <v>0</v>
      </c>
      <c r="AR172" s="82" t="e">
        <f t="shared" si="2935"/>
        <v>#DIV/0!</v>
      </c>
      <c r="AS172" s="84" t="e">
        <f t="shared" si="2936"/>
        <v>#DIV/0!</v>
      </c>
      <c r="AT172" s="589"/>
      <c r="AU172" s="79">
        <f t="shared" ref="AU172:AW172" si="3307">AU137</f>
        <v>1500</v>
      </c>
      <c r="AV172" s="82">
        <f t="shared" si="3307"/>
        <v>17.060000000000002</v>
      </c>
      <c r="AW172" s="79">
        <f t="shared" si="3307"/>
        <v>5</v>
      </c>
      <c r="AX172" s="82">
        <f t="shared" si="2937"/>
        <v>87.924970691676421</v>
      </c>
      <c r="AY172" s="84">
        <f t="shared" si="2938"/>
        <v>3.4120000000000004</v>
      </c>
      <c r="AZ172" s="84"/>
      <c r="BA172" s="79">
        <f t="shared" ref="BA172:BC172" si="3308">BA137</f>
        <v>1800</v>
      </c>
      <c r="BB172" s="82">
        <f t="shared" si="3308"/>
        <v>25.470000000000002</v>
      </c>
      <c r="BC172" s="79">
        <f t="shared" si="3308"/>
        <v>6</v>
      </c>
      <c r="BD172" s="82">
        <f t="shared" si="2939"/>
        <v>70.671378091872782</v>
      </c>
      <c r="BE172" s="84">
        <f t="shared" si="2940"/>
        <v>4.2450000000000001</v>
      </c>
      <c r="BF172" s="84"/>
      <c r="BG172" s="79">
        <f t="shared" ref="BG172:BI172" si="3309">BG137</f>
        <v>0</v>
      </c>
      <c r="BH172" s="82">
        <f t="shared" si="3309"/>
        <v>0</v>
      </c>
      <c r="BI172" s="79">
        <f t="shared" si="3309"/>
        <v>0</v>
      </c>
      <c r="BJ172" s="82" t="e">
        <f t="shared" si="2941"/>
        <v>#DIV/0!</v>
      </c>
      <c r="BK172" s="84" t="e">
        <f t="shared" si="2942"/>
        <v>#DIV/0!</v>
      </c>
      <c r="BL172" s="84"/>
      <c r="BM172" s="79">
        <f t="shared" ref="BM172:BO172" si="3310">BM137</f>
        <v>0</v>
      </c>
      <c r="BN172" s="82">
        <f t="shared" si="3310"/>
        <v>0</v>
      </c>
      <c r="BO172" s="79">
        <f t="shared" si="3310"/>
        <v>0</v>
      </c>
      <c r="BP172" s="82" t="e">
        <f t="shared" si="2943"/>
        <v>#DIV/0!</v>
      </c>
      <c r="BQ172" s="84" t="e">
        <f t="shared" si="2944"/>
        <v>#DIV/0!</v>
      </c>
      <c r="BR172" s="589"/>
      <c r="BS172" s="79">
        <f t="shared" ref="BS172:BU172" si="3311">BS137</f>
        <v>0</v>
      </c>
      <c r="BT172" s="82">
        <f t="shared" si="3311"/>
        <v>0</v>
      </c>
      <c r="BU172" s="79">
        <f t="shared" si="3311"/>
        <v>0</v>
      </c>
      <c r="BV172" s="82" t="e">
        <f t="shared" si="2945"/>
        <v>#DIV/0!</v>
      </c>
      <c r="BW172" s="84" t="e">
        <f t="shared" si="2946"/>
        <v>#DIV/0!</v>
      </c>
      <c r="BX172" s="84"/>
      <c r="BY172" s="79">
        <f t="shared" ref="BY172:CA172" si="3312">BY137</f>
        <v>1850</v>
      </c>
      <c r="BZ172" s="82">
        <f t="shared" si="3312"/>
        <v>20.149999999999999</v>
      </c>
      <c r="CA172" s="79">
        <f t="shared" si="3312"/>
        <v>5</v>
      </c>
      <c r="CB172" s="82">
        <f t="shared" si="2947"/>
        <v>91.811414392059561</v>
      </c>
      <c r="CC172" s="84">
        <f t="shared" si="2948"/>
        <v>4.0299999999999994</v>
      </c>
      <c r="CD172" s="84"/>
      <c r="CE172" s="79">
        <f t="shared" ref="CE172:CG172" si="3313">CE137</f>
        <v>0</v>
      </c>
      <c r="CF172" s="82">
        <f t="shared" si="3313"/>
        <v>0</v>
      </c>
      <c r="CG172" s="79">
        <f t="shared" si="3313"/>
        <v>0</v>
      </c>
      <c r="CH172" s="82" t="e">
        <f t="shared" si="2949"/>
        <v>#DIV/0!</v>
      </c>
      <c r="CI172" s="84" t="e">
        <f t="shared" si="2950"/>
        <v>#DIV/0!</v>
      </c>
      <c r="CJ172" s="84"/>
      <c r="CK172" s="79">
        <f t="shared" ref="CK172:CM172" si="3314">CK137</f>
        <v>1400</v>
      </c>
      <c r="CL172" s="82">
        <f t="shared" si="3314"/>
        <v>25.82</v>
      </c>
      <c r="CM172" s="79">
        <f t="shared" si="3314"/>
        <v>5</v>
      </c>
      <c r="CN172" s="82">
        <f t="shared" si="2951"/>
        <v>54.221533694810226</v>
      </c>
      <c r="CO172" s="84">
        <f t="shared" si="2952"/>
        <v>5.1639999999999997</v>
      </c>
      <c r="CP172" s="84"/>
      <c r="CQ172" s="79">
        <f t="shared" ref="CQ172:CS172" si="3315">CQ137</f>
        <v>750</v>
      </c>
      <c r="CR172" s="82">
        <f t="shared" si="3315"/>
        <v>21</v>
      </c>
      <c r="CS172" s="79">
        <f t="shared" si="3315"/>
        <v>5</v>
      </c>
      <c r="CT172" s="82">
        <f t="shared" si="2953"/>
        <v>35.714285714285715</v>
      </c>
      <c r="CU172" s="84">
        <f t="shared" si="2954"/>
        <v>4.2</v>
      </c>
      <c r="CV172" s="84"/>
      <c r="CW172" s="79">
        <f t="shared" ref="CW172:CY172" si="3316">CW137</f>
        <v>1850</v>
      </c>
      <c r="CX172" s="82">
        <f t="shared" si="3316"/>
        <v>20.149999999999999</v>
      </c>
      <c r="CY172" s="79">
        <f t="shared" si="3316"/>
        <v>5</v>
      </c>
      <c r="CZ172" s="82">
        <f t="shared" si="2955"/>
        <v>91.811414392059561</v>
      </c>
      <c r="DA172" s="84">
        <f t="shared" si="2956"/>
        <v>4.0299999999999994</v>
      </c>
      <c r="DB172" s="84"/>
      <c r="DC172" s="79">
        <f t="shared" ref="DC172:DE172" si="3317">DC137</f>
        <v>1250</v>
      </c>
      <c r="DD172" s="82">
        <f t="shared" si="3317"/>
        <v>27.269999999999996</v>
      </c>
      <c r="DE172" s="79">
        <f t="shared" si="3317"/>
        <v>5</v>
      </c>
      <c r="DF172" s="82">
        <f t="shared" si="2957"/>
        <v>45.837917125045841</v>
      </c>
      <c r="DG172" s="84">
        <f t="shared" si="2958"/>
        <v>5.4539999999999988</v>
      </c>
      <c r="DH172" s="84"/>
      <c r="DI172" s="79">
        <f t="shared" ref="DI172:DK172" si="3318">DI137</f>
        <v>400</v>
      </c>
      <c r="DJ172" s="82">
        <f t="shared" si="3318"/>
        <v>11.7</v>
      </c>
      <c r="DK172" s="79">
        <f t="shared" si="3318"/>
        <v>2</v>
      </c>
      <c r="DL172" s="82">
        <f t="shared" si="2959"/>
        <v>34.188034188034187</v>
      </c>
      <c r="DM172" s="84">
        <f t="shared" si="2960"/>
        <v>5.85</v>
      </c>
      <c r="DN172" s="84"/>
      <c r="DO172" s="79">
        <f t="shared" ref="DO172:DQ172" si="3319">DO137</f>
        <v>1500</v>
      </c>
      <c r="DP172" s="82">
        <f t="shared" si="3319"/>
        <v>24.08</v>
      </c>
      <c r="DQ172" s="79">
        <f t="shared" si="3319"/>
        <v>5</v>
      </c>
      <c r="DR172" s="82">
        <f t="shared" si="2961"/>
        <v>62.292358803986716</v>
      </c>
      <c r="DS172" s="84">
        <f t="shared" si="2962"/>
        <v>4.8159999999999998</v>
      </c>
      <c r="DT172" s="84"/>
      <c r="DU172" s="79">
        <f t="shared" ref="DU172:DW172" si="3320">DU137</f>
        <v>0</v>
      </c>
      <c r="DV172" s="82">
        <f t="shared" si="3320"/>
        <v>0</v>
      </c>
      <c r="DW172" s="79">
        <f t="shared" si="3320"/>
        <v>0</v>
      </c>
      <c r="DX172" s="82" t="e">
        <f t="shared" si="2963"/>
        <v>#DIV/0!</v>
      </c>
      <c r="DY172" s="84" t="e">
        <f t="shared" si="2964"/>
        <v>#DIV/0!</v>
      </c>
      <c r="DZ172" s="84"/>
      <c r="EA172" s="79">
        <f t="shared" ref="EA172:EC172" si="3321">EA137</f>
        <v>0</v>
      </c>
      <c r="EB172" s="82">
        <f t="shared" si="3321"/>
        <v>0</v>
      </c>
      <c r="EC172" s="79">
        <f t="shared" si="3321"/>
        <v>0</v>
      </c>
      <c r="ED172" s="82" t="e">
        <f t="shared" si="2965"/>
        <v>#DIV/0!</v>
      </c>
      <c r="EE172" s="84" t="e">
        <f t="shared" si="2966"/>
        <v>#DIV/0!</v>
      </c>
      <c r="EF172" s="84"/>
      <c r="EG172" s="79">
        <f t="shared" ref="EG172:EI172" si="3322">EG137</f>
        <v>0</v>
      </c>
      <c r="EH172" s="82">
        <f t="shared" si="3322"/>
        <v>0</v>
      </c>
      <c r="EI172" s="79">
        <f t="shared" si="3322"/>
        <v>0</v>
      </c>
      <c r="EJ172" s="82" t="e">
        <f t="shared" si="2967"/>
        <v>#DIV/0!</v>
      </c>
      <c r="EK172" s="84" t="e">
        <f t="shared" si="2968"/>
        <v>#DIV/0!</v>
      </c>
      <c r="EL172" s="84"/>
      <c r="EM172" s="79">
        <f t="shared" ref="EM172:EO172" si="3323">EM137</f>
        <v>0</v>
      </c>
      <c r="EN172" s="82">
        <f t="shared" si="3323"/>
        <v>0</v>
      </c>
      <c r="EO172" s="79">
        <f t="shared" si="3323"/>
        <v>0</v>
      </c>
      <c r="EP172" s="82" t="e">
        <f t="shared" si="2969"/>
        <v>#DIV/0!</v>
      </c>
      <c r="EQ172" s="84" t="e">
        <f t="shared" si="2970"/>
        <v>#DIV/0!</v>
      </c>
      <c r="ER172" s="589"/>
      <c r="ES172" s="79">
        <f t="shared" ref="ES172:EU172" si="3324">ES137</f>
        <v>1850</v>
      </c>
      <c r="ET172" s="82">
        <f t="shared" si="3324"/>
        <v>20.149999999999999</v>
      </c>
      <c r="EU172" s="79">
        <f t="shared" si="3324"/>
        <v>5</v>
      </c>
      <c r="EV172" s="82">
        <f t="shared" si="2971"/>
        <v>91.811414392059561</v>
      </c>
      <c r="EW172" s="84">
        <f t="shared" si="2972"/>
        <v>4.0299999999999994</v>
      </c>
      <c r="EY172" s="91">
        <f t="shared" ref="EY172:FA172" si="3325">EY137</f>
        <v>1500</v>
      </c>
      <c r="EZ172" s="82">
        <f t="shared" si="3325"/>
        <v>24.619999999999997</v>
      </c>
      <c r="FA172" s="79">
        <f t="shared" si="3325"/>
        <v>5</v>
      </c>
      <c r="FB172" s="82">
        <f t="shared" si="2991"/>
        <v>60.92607636068238</v>
      </c>
      <c r="FC172" s="84">
        <f t="shared" si="2992"/>
        <v>4.9239999999999995</v>
      </c>
      <c r="FE172" s="91">
        <f t="shared" ref="FE172:FG172" si="3326">FE137</f>
        <v>750</v>
      </c>
      <c r="FF172" s="82">
        <f t="shared" si="3326"/>
        <v>28.800000000000004</v>
      </c>
      <c r="FG172" s="79">
        <f t="shared" si="3326"/>
        <v>5</v>
      </c>
      <c r="FH172" s="82">
        <f t="shared" si="2993"/>
        <v>26.041666666666664</v>
      </c>
      <c r="FI172" s="84">
        <f t="shared" si="2994"/>
        <v>5.7600000000000007</v>
      </c>
      <c r="FK172" s="91">
        <f t="shared" ref="FK172:FM172" si="3327">FK137</f>
        <v>1000</v>
      </c>
      <c r="FL172" s="82">
        <f t="shared" si="3327"/>
        <v>25.299999999999997</v>
      </c>
      <c r="FM172" s="79">
        <f t="shared" si="3327"/>
        <v>5</v>
      </c>
      <c r="FN172" s="82">
        <f t="shared" si="2995"/>
        <v>39.525691699604749</v>
      </c>
      <c r="FO172" s="84">
        <f t="shared" si="2996"/>
        <v>5.0599999999999996</v>
      </c>
      <c r="FQ172" s="91">
        <f t="shared" ref="FQ172:FS172" si="3328">FQ137</f>
        <v>700</v>
      </c>
      <c r="FR172" s="82">
        <f t="shared" si="3328"/>
        <v>23.79</v>
      </c>
      <c r="FS172" s="79">
        <f t="shared" si="3328"/>
        <v>5</v>
      </c>
      <c r="FT172" s="82">
        <f t="shared" si="2997"/>
        <v>29.424127784783522</v>
      </c>
      <c r="FU172" s="84">
        <f t="shared" si="2998"/>
        <v>4.758</v>
      </c>
      <c r="FW172" s="91">
        <f t="shared" ref="FW172:FY172" si="3329">FW137</f>
        <v>1250</v>
      </c>
      <c r="FX172" s="369">
        <f t="shared" si="3329"/>
        <v>27.269999999999996</v>
      </c>
      <c r="FY172" s="371">
        <f t="shared" si="3329"/>
        <v>5</v>
      </c>
      <c r="FZ172" s="369">
        <f t="shared" si="2999"/>
        <v>45.837917125045841</v>
      </c>
      <c r="GA172" s="370">
        <f t="shared" si="3000"/>
        <v>5.4539999999999988</v>
      </c>
      <c r="GC172" s="379">
        <f t="shared" ref="GC172:GE172" si="3330">GC137</f>
        <v>1150</v>
      </c>
      <c r="GD172" s="369">
        <f t="shared" si="3330"/>
        <v>25.38</v>
      </c>
      <c r="GE172" s="371">
        <f t="shared" si="3330"/>
        <v>5</v>
      </c>
      <c r="GF172" s="369">
        <f t="shared" si="3001"/>
        <v>45.311268715524037</v>
      </c>
      <c r="GG172" s="370">
        <f t="shared" si="3002"/>
        <v>5.0759999999999996</v>
      </c>
      <c r="GI172" s="379">
        <f t="shared" ref="GI172:GK172" si="3331">GI137</f>
        <v>1200</v>
      </c>
      <c r="GJ172" s="369">
        <f t="shared" si="3331"/>
        <v>32.979999999999997</v>
      </c>
      <c r="GK172" s="371">
        <f t="shared" si="3331"/>
        <v>5</v>
      </c>
      <c r="GL172" s="369">
        <f t="shared" si="3003"/>
        <v>36.385688295936937</v>
      </c>
      <c r="GM172" s="370">
        <f t="shared" si="3004"/>
        <v>6.5959999999999992</v>
      </c>
      <c r="GO172" s="379">
        <f t="shared" ref="GO172:GQ172" si="3332">GO137</f>
        <v>1500</v>
      </c>
      <c r="GP172" s="369">
        <f t="shared" si="3332"/>
        <v>65.72</v>
      </c>
      <c r="GQ172" s="371">
        <f t="shared" si="3332"/>
        <v>5</v>
      </c>
      <c r="GR172" s="369">
        <f t="shared" si="3005"/>
        <v>22.82410225197809</v>
      </c>
      <c r="GS172" s="370">
        <f t="shared" si="3006"/>
        <v>13.144</v>
      </c>
      <c r="GU172" s="379">
        <f t="shared" ref="GU172:GW172" si="3333">GU137</f>
        <v>1500</v>
      </c>
      <c r="GV172" s="369">
        <f t="shared" si="3333"/>
        <v>21.709999999999997</v>
      </c>
      <c r="GW172" s="371">
        <f t="shared" si="3333"/>
        <v>5</v>
      </c>
      <c r="GX172" s="369">
        <f t="shared" si="3007"/>
        <v>69.092584062643951</v>
      </c>
      <c r="GY172" s="370">
        <f t="shared" si="3008"/>
        <v>4.3419999999999996</v>
      </c>
      <c r="HA172" s="91">
        <f t="shared" ref="HA172:HC172" si="3334">HA137</f>
        <v>1200</v>
      </c>
      <c r="HB172" s="82">
        <f t="shared" si="3334"/>
        <v>23.54</v>
      </c>
      <c r="HC172" s="371">
        <f t="shared" si="3334"/>
        <v>5</v>
      </c>
      <c r="HD172" s="369">
        <f t="shared" si="3009"/>
        <v>50.977060322854719</v>
      </c>
      <c r="HE172" s="370">
        <f t="shared" si="3010"/>
        <v>4.7080000000000002</v>
      </c>
      <c r="HG172" s="91">
        <f t="shared" ref="HG172:HI172" si="3335">HG137</f>
        <v>1500</v>
      </c>
      <c r="HH172" s="82">
        <f t="shared" si="3335"/>
        <v>24.08</v>
      </c>
      <c r="HI172" s="79">
        <f t="shared" si="3335"/>
        <v>5</v>
      </c>
      <c r="HJ172" s="82">
        <f t="shared" si="3011"/>
        <v>62.292358803986716</v>
      </c>
      <c r="HK172" s="84">
        <f t="shared" si="3012"/>
        <v>4.8159999999999998</v>
      </c>
      <c r="HM172" s="91">
        <f t="shared" ref="HM172:HO172" si="3336">HM137</f>
        <v>1500</v>
      </c>
      <c r="HN172" s="82">
        <f t="shared" si="3336"/>
        <v>22.19</v>
      </c>
      <c r="HO172" s="371">
        <f t="shared" si="3336"/>
        <v>5</v>
      </c>
      <c r="HP172" s="369">
        <f t="shared" si="3013"/>
        <v>67.598017124831003</v>
      </c>
      <c r="HQ172" s="370">
        <f t="shared" si="3014"/>
        <v>4.4380000000000006</v>
      </c>
      <c r="HS172" s="91">
        <f t="shared" ref="HS172:HU172" si="3337">HS137</f>
        <v>1000</v>
      </c>
      <c r="HT172" s="82">
        <f t="shared" si="3337"/>
        <v>11.82</v>
      </c>
      <c r="HU172" s="371">
        <f t="shared" si="3337"/>
        <v>3</v>
      </c>
      <c r="HV172" s="369">
        <f t="shared" si="3015"/>
        <v>84.602368866328248</v>
      </c>
      <c r="HW172" s="370">
        <f t="shared" si="3016"/>
        <v>3.94</v>
      </c>
      <c r="HX172" s="178"/>
      <c r="HY172" s="91">
        <f t="shared" ref="HY172:IA172" si="3338">HY137</f>
        <v>1000</v>
      </c>
      <c r="HZ172" s="82">
        <f t="shared" si="3338"/>
        <v>33.25</v>
      </c>
      <c r="IA172" s="371">
        <f t="shared" si="3338"/>
        <v>5</v>
      </c>
      <c r="IB172" s="369">
        <f t="shared" si="3017"/>
        <v>30.075187969924812</v>
      </c>
      <c r="IC172" s="370">
        <f t="shared" si="3018"/>
        <v>6.65</v>
      </c>
      <c r="IE172" s="91">
        <f t="shared" ref="IE172:IG172" si="3339">IE137</f>
        <v>1130</v>
      </c>
      <c r="IF172" s="82">
        <f t="shared" si="3339"/>
        <v>33.26</v>
      </c>
      <c r="IG172" s="79">
        <f t="shared" si="3339"/>
        <v>5</v>
      </c>
      <c r="IH172" s="82">
        <f t="shared" si="3019"/>
        <v>33.974744437763079</v>
      </c>
      <c r="II172" s="84">
        <f t="shared" si="3020"/>
        <v>6.6519999999999992</v>
      </c>
      <c r="IK172" s="91">
        <f t="shared" ref="IK172:IM172" si="3340">IK137</f>
        <v>1500</v>
      </c>
      <c r="IL172" s="82">
        <f t="shared" si="3340"/>
        <v>29.16</v>
      </c>
      <c r="IM172" s="79">
        <f t="shared" si="3340"/>
        <v>5</v>
      </c>
      <c r="IN172" s="82">
        <f t="shared" si="3145"/>
        <v>51.440329218106996</v>
      </c>
      <c r="IO172" s="84">
        <f t="shared" si="3022"/>
        <v>5.8319999999999999</v>
      </c>
      <c r="IQ172" s="91">
        <f t="shared" ref="IQ172:IS172" si="3341">IQ137</f>
        <v>1400</v>
      </c>
      <c r="IR172" s="82">
        <f t="shared" si="3341"/>
        <v>30.81</v>
      </c>
      <c r="IS172" s="79">
        <f t="shared" si="3341"/>
        <v>5</v>
      </c>
      <c r="IT172" s="82">
        <f t="shared" si="3146"/>
        <v>45.439792275235313</v>
      </c>
      <c r="IU172" s="84">
        <f t="shared" si="3024"/>
        <v>6.1619999999999999</v>
      </c>
      <c r="IW172" s="91">
        <f t="shared" ref="IW172:IY172" si="3342">IW137</f>
        <v>900</v>
      </c>
      <c r="IX172" s="82">
        <f t="shared" si="3342"/>
        <v>16.12</v>
      </c>
      <c r="IY172" s="79">
        <f t="shared" si="3342"/>
        <v>3</v>
      </c>
      <c r="IZ172" s="82">
        <f t="shared" si="3147"/>
        <v>55.831265508684858</v>
      </c>
      <c r="JA172" s="84">
        <f t="shared" si="3026"/>
        <v>5.373333333333334</v>
      </c>
      <c r="JC172" s="91">
        <f t="shared" ref="JC172:JE172" si="3343">JC137</f>
        <v>1400</v>
      </c>
      <c r="JD172" s="82">
        <f t="shared" si="3343"/>
        <v>31.57</v>
      </c>
      <c r="JE172" s="79">
        <f t="shared" si="3343"/>
        <v>5</v>
      </c>
      <c r="JF172" s="82">
        <f t="shared" si="3148"/>
        <v>44.345898004434588</v>
      </c>
      <c r="JG172" s="84">
        <f t="shared" si="3028"/>
        <v>6.3140000000000001</v>
      </c>
      <c r="JI172" s="91">
        <f t="shared" ref="JI172:JK172" si="3344">JI137</f>
        <v>1550</v>
      </c>
      <c r="JJ172" s="82">
        <f t="shared" si="3344"/>
        <v>29.85</v>
      </c>
      <c r="JK172" s="79">
        <f t="shared" si="3344"/>
        <v>5</v>
      </c>
      <c r="JL172" s="82">
        <f t="shared" si="3149"/>
        <v>51.926298157453935</v>
      </c>
      <c r="JM172" s="84">
        <f t="shared" si="3030"/>
        <v>5.9700000000000006</v>
      </c>
      <c r="JO172" s="91">
        <f t="shared" ref="JO172:JQ172" si="3345">JO137</f>
        <v>1250</v>
      </c>
      <c r="JP172" s="82">
        <f t="shared" si="3345"/>
        <v>25.150000000000002</v>
      </c>
      <c r="JQ172" s="79">
        <f t="shared" si="3345"/>
        <v>5</v>
      </c>
      <c r="JR172" s="82">
        <f t="shared" si="3150"/>
        <v>49.701789264413513</v>
      </c>
      <c r="JS172" s="84">
        <f t="shared" si="3032"/>
        <v>5.03</v>
      </c>
      <c r="JU172" s="383">
        <f t="shared" si="3171"/>
        <v>1500</v>
      </c>
      <c r="JV172" s="82">
        <f t="shared" si="3171"/>
        <v>31.25</v>
      </c>
      <c r="JW172" s="748">
        <f t="shared" si="3171"/>
        <v>5</v>
      </c>
      <c r="JX172" s="369">
        <f t="shared" si="3151"/>
        <v>48</v>
      </c>
      <c r="JY172" s="84">
        <f t="shared" si="3034"/>
        <v>6.25</v>
      </c>
      <c r="KA172" s="383">
        <f t="shared" si="3172"/>
        <v>1200</v>
      </c>
      <c r="KB172" s="82">
        <f t="shared" si="3172"/>
        <v>26.78</v>
      </c>
      <c r="KC172" s="748">
        <f t="shared" si="3172"/>
        <v>5</v>
      </c>
      <c r="KD172" s="369">
        <f t="shared" si="3152"/>
        <v>44.809559372666165</v>
      </c>
      <c r="KE172" s="84">
        <f t="shared" si="3036"/>
        <v>5.3559999999999999</v>
      </c>
      <c r="KG172" s="383">
        <f t="shared" ref="KG172:KI172" si="3346">SUM(KG137)</f>
        <v>1000</v>
      </c>
      <c r="KH172" s="82">
        <f t="shared" si="3346"/>
        <v>26</v>
      </c>
      <c r="KI172" s="748">
        <f t="shared" si="3346"/>
        <v>5</v>
      </c>
      <c r="KJ172" s="369">
        <f t="shared" si="3153"/>
        <v>38.46153846153846</v>
      </c>
      <c r="KK172" s="84">
        <f t="shared" si="3039"/>
        <v>5.2</v>
      </c>
      <c r="KM172" s="383">
        <f t="shared" ref="KM172:KO172" si="3347">SUM(KM137)</f>
        <v>1500</v>
      </c>
      <c r="KN172" s="82">
        <f t="shared" si="3347"/>
        <v>23.12</v>
      </c>
      <c r="KO172" s="748">
        <f t="shared" si="3347"/>
        <v>5</v>
      </c>
      <c r="KP172" s="369">
        <f t="shared" si="3154"/>
        <v>64.878892733564015</v>
      </c>
      <c r="KQ172" s="84">
        <f t="shared" si="3042"/>
        <v>4.6240000000000006</v>
      </c>
      <c r="KS172" s="383">
        <f t="shared" ref="KS172:KU172" si="3348">SUM(KS137)</f>
        <v>1450</v>
      </c>
      <c r="KT172" s="82">
        <f t="shared" si="3348"/>
        <v>30.34</v>
      </c>
      <c r="KU172" s="748">
        <f t="shared" si="3348"/>
        <v>5</v>
      </c>
      <c r="KV172" s="369">
        <f t="shared" si="3155"/>
        <v>47.791694133157549</v>
      </c>
      <c r="KW172" s="84">
        <f t="shared" si="3045"/>
        <v>6.0679999999999996</v>
      </c>
      <c r="KY172" s="383">
        <f t="shared" ref="KY172:LA172" si="3349">SUM(KY137)</f>
        <v>0</v>
      </c>
      <c r="KZ172" s="82">
        <f t="shared" si="3349"/>
        <v>0</v>
      </c>
      <c r="LA172" s="748">
        <f t="shared" si="3349"/>
        <v>0</v>
      </c>
      <c r="LB172" s="369" t="e">
        <f t="shared" si="3156"/>
        <v>#DIV/0!</v>
      </c>
      <c r="LC172" s="84" t="e">
        <f t="shared" si="3048"/>
        <v>#DIV/0!</v>
      </c>
      <c r="LE172" s="383">
        <f t="shared" ref="LE172:LG172" si="3350">SUM(LE137)</f>
        <v>1550</v>
      </c>
      <c r="LF172" s="82">
        <f t="shared" si="3350"/>
        <v>23.39</v>
      </c>
      <c r="LG172" s="748">
        <f t="shared" si="3350"/>
        <v>5</v>
      </c>
      <c r="LH172" s="369">
        <f t="shared" si="3157"/>
        <v>66.267635741769979</v>
      </c>
      <c r="LI172" s="84">
        <f t="shared" si="3051"/>
        <v>4.6779999999999999</v>
      </c>
      <c r="LK172" s="383">
        <f t="shared" ref="LK172:LM172" si="3351">SUM(LK137)</f>
        <v>1500</v>
      </c>
      <c r="LL172" s="82">
        <f t="shared" si="3351"/>
        <v>6.97</v>
      </c>
      <c r="LM172" s="748">
        <f t="shared" si="3351"/>
        <v>5</v>
      </c>
      <c r="LN172" s="369">
        <f t="shared" si="3158"/>
        <v>215.20803443328552</v>
      </c>
      <c r="LO172" s="84">
        <f t="shared" si="3054"/>
        <v>1.3939999999999999</v>
      </c>
      <c r="LQ172" s="383">
        <f t="shared" ref="LQ172:LS172" si="3352">SUM(LQ137)</f>
        <v>1350</v>
      </c>
      <c r="LR172" s="82">
        <f t="shared" si="3352"/>
        <v>30.07</v>
      </c>
      <c r="LS172" s="748">
        <f t="shared" si="3352"/>
        <v>5</v>
      </c>
      <c r="LT172" s="369">
        <f t="shared" si="3159"/>
        <v>44.895244429664118</v>
      </c>
      <c r="LU172" s="84">
        <f t="shared" si="3057"/>
        <v>6.0140000000000002</v>
      </c>
      <c r="LW172" s="383">
        <f t="shared" ref="LW172:LY172" si="3353">SUM(LW137)</f>
        <v>1000</v>
      </c>
      <c r="LX172" s="82">
        <f t="shared" si="3353"/>
        <v>22.390000000000004</v>
      </c>
      <c r="LY172" s="748">
        <f t="shared" si="3353"/>
        <v>5</v>
      </c>
      <c r="LZ172" s="369">
        <f t="shared" si="3160"/>
        <v>44.662795891022768</v>
      </c>
      <c r="MA172" s="84">
        <f t="shared" si="3060"/>
        <v>4.4780000000000006</v>
      </c>
      <c r="MC172" s="383">
        <f t="shared" ref="MC172:ME172" si="3354">SUM(MC137)</f>
        <v>1400</v>
      </c>
      <c r="MD172" s="82">
        <f t="shared" si="3354"/>
        <v>16.46</v>
      </c>
      <c r="ME172" s="748">
        <f t="shared" si="3354"/>
        <v>5</v>
      </c>
      <c r="MF172" s="369">
        <f t="shared" si="3161"/>
        <v>85.054678007290391</v>
      </c>
      <c r="MG172" s="84">
        <f t="shared" si="3063"/>
        <v>3.2920000000000003</v>
      </c>
      <c r="MI172" s="383">
        <f t="shared" ref="MI172:MK172" si="3355">SUM(MI137)</f>
        <v>1500</v>
      </c>
      <c r="MJ172" s="82">
        <f t="shared" si="3355"/>
        <v>31.959999999999997</v>
      </c>
      <c r="MK172" s="748">
        <f t="shared" si="3355"/>
        <v>5</v>
      </c>
      <c r="ML172" s="369">
        <f t="shared" si="3162"/>
        <v>46.933667083854822</v>
      </c>
      <c r="MM172" s="84">
        <f t="shared" si="3066"/>
        <v>6.3919999999999995</v>
      </c>
      <c r="MO172" s="383">
        <f t="shared" ref="MO172:MQ172" si="3356">SUM(MO137)</f>
        <v>0</v>
      </c>
      <c r="MP172" s="82">
        <f t="shared" si="3356"/>
        <v>0</v>
      </c>
      <c r="MQ172" s="748">
        <f t="shared" si="3356"/>
        <v>0</v>
      </c>
      <c r="MR172" s="369" t="e">
        <f t="shared" si="3163"/>
        <v>#DIV/0!</v>
      </c>
      <c r="MS172" s="84" t="e">
        <f t="shared" si="3069"/>
        <v>#DIV/0!</v>
      </c>
      <c r="MU172" s="383">
        <f t="shared" ref="MU172:MW172" si="3357">SUM(MU137)</f>
        <v>0</v>
      </c>
      <c r="MV172" s="82">
        <f t="shared" si="3357"/>
        <v>0</v>
      </c>
      <c r="MW172" s="748">
        <f t="shared" si="3357"/>
        <v>0</v>
      </c>
      <c r="MX172" s="369" t="e">
        <f t="shared" si="3164"/>
        <v>#DIV/0!</v>
      </c>
      <c r="MY172" s="84" t="e">
        <f t="shared" si="3072"/>
        <v>#DIV/0!</v>
      </c>
      <c r="NA172" s="383">
        <f t="shared" ref="NA172:NC172" si="3358">SUM(NA137)</f>
        <v>1000</v>
      </c>
      <c r="NB172" s="748">
        <f t="shared" si="3358"/>
        <v>27.65</v>
      </c>
      <c r="NC172" s="748">
        <f t="shared" si="3358"/>
        <v>5</v>
      </c>
      <c r="ND172" s="369">
        <f t="shared" si="3165"/>
        <v>36.166365280289334</v>
      </c>
      <c r="NE172" s="84">
        <f t="shared" si="3075"/>
        <v>5.5299999999999994</v>
      </c>
      <c r="NG172" s="383">
        <f t="shared" ref="NG172:NI172" si="3359">SUM(NG137)</f>
        <v>1000</v>
      </c>
      <c r="NH172" s="82">
        <f t="shared" si="3359"/>
        <v>25.65</v>
      </c>
      <c r="NI172" s="748">
        <f t="shared" si="3359"/>
        <v>5</v>
      </c>
      <c r="NJ172" s="369">
        <f t="shared" si="3166"/>
        <v>38.98635477582846</v>
      </c>
      <c r="NK172" s="84">
        <f t="shared" si="3078"/>
        <v>5.13</v>
      </c>
      <c r="NM172" s="383">
        <f t="shared" ref="NM172:NO172" si="3360">SUM(NM137)</f>
        <v>1000</v>
      </c>
      <c r="NN172" s="82">
        <f t="shared" si="3360"/>
        <v>31.28</v>
      </c>
      <c r="NO172" s="748">
        <f t="shared" si="3360"/>
        <v>5</v>
      </c>
      <c r="NP172" s="369">
        <f t="shared" si="3167"/>
        <v>31.9693094629156</v>
      </c>
      <c r="NQ172" s="84">
        <f t="shared" si="3081"/>
        <v>6.2560000000000002</v>
      </c>
      <c r="NS172" s="383">
        <f t="shared" ref="NS172:NU172" si="3361">SUM(NS137)</f>
        <v>1150</v>
      </c>
      <c r="NT172" s="82">
        <f t="shared" si="3361"/>
        <v>64.5</v>
      </c>
      <c r="NU172" s="748">
        <f t="shared" si="3361"/>
        <v>5</v>
      </c>
      <c r="NV172" s="369">
        <f t="shared" si="3168"/>
        <v>17.829457364341085</v>
      </c>
      <c r="NW172" s="84">
        <f t="shared" si="3084"/>
        <v>12.9</v>
      </c>
      <c r="NY172" s="383">
        <f t="shared" ref="NY172:OA172" si="3362">SUM(NY137)</f>
        <v>750</v>
      </c>
      <c r="NZ172" s="82">
        <f t="shared" si="3362"/>
        <v>25.56</v>
      </c>
      <c r="OA172" s="748">
        <f t="shared" si="3362"/>
        <v>5</v>
      </c>
      <c r="OB172" s="369">
        <f t="shared" si="3169"/>
        <v>29.342723004694836</v>
      </c>
      <c r="OC172" s="84">
        <f t="shared" si="3087"/>
        <v>5.1120000000000001</v>
      </c>
      <c r="OE172" s="383">
        <f t="shared" ref="OE172:OG172" si="3363">SUM(OE137)</f>
        <v>1250</v>
      </c>
      <c r="OF172" s="82">
        <f t="shared" si="3363"/>
        <v>20.57</v>
      </c>
      <c r="OG172" s="748">
        <f t="shared" si="3363"/>
        <v>5</v>
      </c>
      <c r="OH172" s="369">
        <f t="shared" si="3170"/>
        <v>60.768108896451139</v>
      </c>
      <c r="OI172" s="84">
        <f t="shared" si="3090"/>
        <v>4.1139999999999999</v>
      </c>
    </row>
    <row r="173" spans="1:399">
      <c r="A173" s="75"/>
      <c r="B173" s="76" t="s">
        <v>49</v>
      </c>
      <c r="C173" s="77"/>
      <c r="D173" s="78" t="s">
        <v>14</v>
      </c>
      <c r="E173" s="85">
        <f t="shared" ref="E173:G173" si="3364">E138</f>
        <v>500</v>
      </c>
      <c r="F173" s="87">
        <f t="shared" si="3364"/>
        <v>4.04</v>
      </c>
      <c r="G173" s="86">
        <f t="shared" si="3364"/>
        <v>5</v>
      </c>
      <c r="H173" s="87">
        <f t="shared" si="2923"/>
        <v>123.76237623762376</v>
      </c>
      <c r="I173" s="88">
        <f t="shared" si="2924"/>
        <v>0.80800000000000005</v>
      </c>
      <c r="J173" s="589"/>
      <c r="K173" s="85">
        <f t="shared" ref="K173:M173" si="3365">K138</f>
        <v>450</v>
      </c>
      <c r="L173" s="87">
        <f t="shared" si="3365"/>
        <v>2.66</v>
      </c>
      <c r="M173" s="86">
        <f t="shared" si="3365"/>
        <v>3</v>
      </c>
      <c r="N173" s="87">
        <f t="shared" si="2925"/>
        <v>169.17293233082705</v>
      </c>
      <c r="O173" s="88">
        <f t="shared" si="2926"/>
        <v>0.88666666666666671</v>
      </c>
      <c r="P173" s="589"/>
      <c r="Q173" s="85">
        <f t="shared" ref="Q173:S173" si="3366">Q138</f>
        <v>650</v>
      </c>
      <c r="R173" s="87">
        <f t="shared" si="3366"/>
        <v>4.3</v>
      </c>
      <c r="S173" s="86">
        <f t="shared" si="3366"/>
        <v>5</v>
      </c>
      <c r="T173" s="87">
        <f t="shared" si="2927"/>
        <v>151.16279069767444</v>
      </c>
      <c r="U173" s="88">
        <f t="shared" si="2928"/>
        <v>0.86</v>
      </c>
      <c r="V173" s="589"/>
      <c r="W173" s="85">
        <f t="shared" ref="W173:Y173" si="3367">W138</f>
        <v>500</v>
      </c>
      <c r="X173" s="87">
        <f t="shared" si="3367"/>
        <v>3</v>
      </c>
      <c r="Y173" s="86">
        <f t="shared" si="3367"/>
        <v>5</v>
      </c>
      <c r="Z173" s="87">
        <f t="shared" si="2929"/>
        <v>166.66666666666666</v>
      </c>
      <c r="AA173" s="88">
        <f t="shared" si="2930"/>
        <v>0.6</v>
      </c>
      <c r="AB173" s="589"/>
      <c r="AC173" s="85">
        <f t="shared" ref="AC173:AE173" si="3368">AC138</f>
        <v>400</v>
      </c>
      <c r="AD173" s="87">
        <f t="shared" si="3368"/>
        <v>2.3000000000000003</v>
      </c>
      <c r="AE173" s="86">
        <f t="shared" si="3368"/>
        <v>3</v>
      </c>
      <c r="AF173" s="87">
        <f t="shared" si="2931"/>
        <v>173.91304347826085</v>
      </c>
      <c r="AG173" s="88">
        <f t="shared" si="2932"/>
        <v>0.76666666666666672</v>
      </c>
      <c r="AH173" s="589"/>
      <c r="AI173" s="85">
        <f t="shared" ref="AI173:AK173" si="3369">AI138</f>
        <v>600</v>
      </c>
      <c r="AJ173" s="87">
        <f t="shared" si="3369"/>
        <v>3.6399999999999997</v>
      </c>
      <c r="AK173" s="86">
        <f t="shared" si="3369"/>
        <v>5</v>
      </c>
      <c r="AL173" s="87">
        <f t="shared" si="2933"/>
        <v>164.83516483516485</v>
      </c>
      <c r="AM173" s="88">
        <f t="shared" si="2934"/>
        <v>0.72799999999999998</v>
      </c>
      <c r="AN173" s="589"/>
      <c r="AO173" s="85">
        <f t="shared" ref="AO173:AQ173" si="3370">AO138</f>
        <v>0</v>
      </c>
      <c r="AP173" s="87">
        <f t="shared" si="3370"/>
        <v>0</v>
      </c>
      <c r="AQ173" s="86">
        <f t="shared" si="3370"/>
        <v>0</v>
      </c>
      <c r="AR173" s="87" t="e">
        <f t="shared" si="2935"/>
        <v>#DIV/0!</v>
      </c>
      <c r="AS173" s="88" t="e">
        <f t="shared" si="2936"/>
        <v>#DIV/0!</v>
      </c>
      <c r="AT173" s="589"/>
      <c r="AU173" s="85">
        <f t="shared" ref="AU173:AW173" si="3371">AU138</f>
        <v>600</v>
      </c>
      <c r="AV173" s="87">
        <f t="shared" si="3371"/>
        <v>3.7</v>
      </c>
      <c r="AW173" s="86">
        <f t="shared" si="3371"/>
        <v>5</v>
      </c>
      <c r="AX173" s="87">
        <f t="shared" si="2937"/>
        <v>162.16216216216216</v>
      </c>
      <c r="AY173" s="88">
        <f t="shared" si="2938"/>
        <v>0.74</v>
      </c>
      <c r="AZ173" s="84"/>
      <c r="BA173" s="85">
        <f t="shared" ref="BA173:BC173" si="3372">BA138</f>
        <v>800</v>
      </c>
      <c r="BB173" s="87">
        <f t="shared" si="3372"/>
        <v>3.4899999999999998</v>
      </c>
      <c r="BC173" s="86">
        <f t="shared" si="3372"/>
        <v>4</v>
      </c>
      <c r="BD173" s="87">
        <f t="shared" si="2939"/>
        <v>229.22636103151865</v>
      </c>
      <c r="BE173" s="88">
        <f t="shared" si="2940"/>
        <v>0.87249999999999994</v>
      </c>
      <c r="BF173" s="84"/>
      <c r="BG173" s="85">
        <f t="shared" ref="BG173:BI173" si="3373">BG138</f>
        <v>0</v>
      </c>
      <c r="BH173" s="87">
        <f t="shared" si="3373"/>
        <v>0</v>
      </c>
      <c r="BI173" s="86">
        <f t="shared" si="3373"/>
        <v>0</v>
      </c>
      <c r="BJ173" s="87" t="e">
        <f t="shared" si="2941"/>
        <v>#DIV/0!</v>
      </c>
      <c r="BK173" s="88" t="e">
        <f t="shared" si="2942"/>
        <v>#DIV/0!</v>
      </c>
      <c r="BL173" s="84"/>
      <c r="BM173" s="85">
        <f t="shared" ref="BM173:BO173" si="3374">BM138</f>
        <v>0</v>
      </c>
      <c r="BN173" s="87">
        <f t="shared" si="3374"/>
        <v>0</v>
      </c>
      <c r="BO173" s="86">
        <f t="shared" si="3374"/>
        <v>0</v>
      </c>
      <c r="BP173" s="87" t="e">
        <f t="shared" si="2943"/>
        <v>#DIV/0!</v>
      </c>
      <c r="BQ173" s="88" t="e">
        <f t="shared" si="2944"/>
        <v>#DIV/0!</v>
      </c>
      <c r="BR173" s="589"/>
      <c r="BS173" s="85">
        <f t="shared" ref="BS173:BU173" si="3375">BS138</f>
        <v>0</v>
      </c>
      <c r="BT173" s="87">
        <f t="shared" si="3375"/>
        <v>0</v>
      </c>
      <c r="BU173" s="86">
        <f t="shared" si="3375"/>
        <v>0</v>
      </c>
      <c r="BV173" s="87" t="e">
        <f t="shared" si="2945"/>
        <v>#DIV/0!</v>
      </c>
      <c r="BW173" s="88" t="e">
        <f t="shared" si="2946"/>
        <v>#DIV/0!</v>
      </c>
      <c r="BX173" s="84"/>
      <c r="BY173" s="85">
        <f t="shared" ref="BY173:CA173" si="3376">BY138</f>
        <v>600</v>
      </c>
      <c r="BZ173" s="87">
        <f t="shared" si="3376"/>
        <v>4.05</v>
      </c>
      <c r="CA173" s="86">
        <f t="shared" si="3376"/>
        <v>5</v>
      </c>
      <c r="CB173" s="87">
        <f t="shared" si="2947"/>
        <v>148.14814814814815</v>
      </c>
      <c r="CC173" s="88">
        <f t="shared" si="2948"/>
        <v>0.80999999999999994</v>
      </c>
      <c r="CD173" s="84"/>
      <c r="CE173" s="85">
        <f t="shared" ref="CE173:CG173" si="3377">CE138</f>
        <v>0</v>
      </c>
      <c r="CF173" s="87">
        <f t="shared" si="3377"/>
        <v>0</v>
      </c>
      <c r="CG173" s="86">
        <f t="shared" si="3377"/>
        <v>0</v>
      </c>
      <c r="CH173" s="87" t="e">
        <f t="shared" si="2949"/>
        <v>#DIV/0!</v>
      </c>
      <c r="CI173" s="88" t="e">
        <f t="shared" si="2950"/>
        <v>#DIV/0!</v>
      </c>
      <c r="CJ173" s="84"/>
      <c r="CK173" s="85">
        <f t="shared" ref="CK173:CM173" si="3378">CK138</f>
        <v>550</v>
      </c>
      <c r="CL173" s="87">
        <f t="shared" si="3378"/>
        <v>4.3599999999999994</v>
      </c>
      <c r="CM173" s="86">
        <f t="shared" si="3378"/>
        <v>5</v>
      </c>
      <c r="CN173" s="87">
        <f t="shared" si="2951"/>
        <v>126.1467889908257</v>
      </c>
      <c r="CO173" s="88">
        <f t="shared" si="2952"/>
        <v>0.87199999999999989</v>
      </c>
      <c r="CP173" s="84"/>
      <c r="CQ173" s="85">
        <f t="shared" ref="CQ173:CS173" si="3379">CQ138</f>
        <v>600</v>
      </c>
      <c r="CR173" s="87">
        <f t="shared" si="3379"/>
        <v>4.37</v>
      </c>
      <c r="CS173" s="86">
        <f t="shared" si="3379"/>
        <v>5</v>
      </c>
      <c r="CT173" s="87">
        <f t="shared" si="2953"/>
        <v>137.29977116704805</v>
      </c>
      <c r="CU173" s="88">
        <f t="shared" si="2954"/>
        <v>0.874</v>
      </c>
      <c r="CV173" s="84"/>
      <c r="CW173" s="85">
        <f t="shared" ref="CW173:CY173" si="3380">CW138</f>
        <v>600</v>
      </c>
      <c r="CX173" s="87">
        <f t="shared" si="3380"/>
        <v>4.05</v>
      </c>
      <c r="CY173" s="86">
        <f t="shared" si="3380"/>
        <v>5</v>
      </c>
      <c r="CZ173" s="87">
        <f t="shared" si="2955"/>
        <v>148.14814814814815</v>
      </c>
      <c r="DA173" s="88">
        <f t="shared" si="2956"/>
        <v>0.80999999999999994</v>
      </c>
      <c r="DB173" s="84"/>
      <c r="DC173" s="85">
        <f t="shared" ref="DC173:DE173" si="3381">DC138</f>
        <v>500</v>
      </c>
      <c r="DD173" s="87">
        <f t="shared" si="3381"/>
        <v>4.9099999999999993</v>
      </c>
      <c r="DE173" s="86">
        <f t="shared" si="3381"/>
        <v>5</v>
      </c>
      <c r="DF173" s="87">
        <f t="shared" si="2957"/>
        <v>101.83299389002038</v>
      </c>
      <c r="DG173" s="88">
        <f t="shared" si="2958"/>
        <v>0.98199999999999987</v>
      </c>
      <c r="DH173" s="84"/>
      <c r="DI173" s="85">
        <f t="shared" ref="DI173:DK173" si="3382">DI138</f>
        <v>0</v>
      </c>
      <c r="DJ173" s="87">
        <f t="shared" si="3382"/>
        <v>0</v>
      </c>
      <c r="DK173" s="86">
        <f t="shared" si="3382"/>
        <v>0</v>
      </c>
      <c r="DL173" s="87" t="e">
        <f t="shared" si="2959"/>
        <v>#DIV/0!</v>
      </c>
      <c r="DM173" s="88" t="e">
        <f t="shared" si="2960"/>
        <v>#DIV/0!</v>
      </c>
      <c r="DN173" s="84"/>
      <c r="DO173" s="85">
        <f t="shared" ref="DO173:DQ173" si="3383">DO138</f>
        <v>330</v>
      </c>
      <c r="DP173" s="87">
        <f t="shared" si="3383"/>
        <v>3.88</v>
      </c>
      <c r="DQ173" s="86">
        <f t="shared" si="3383"/>
        <v>5</v>
      </c>
      <c r="DR173" s="87">
        <f t="shared" si="2961"/>
        <v>85.051546391752581</v>
      </c>
      <c r="DS173" s="88">
        <f t="shared" si="2962"/>
        <v>0.77600000000000002</v>
      </c>
      <c r="DT173" s="84"/>
      <c r="DU173" s="85">
        <f t="shared" ref="DU173:DW173" si="3384">DU138</f>
        <v>0</v>
      </c>
      <c r="DV173" s="87">
        <f t="shared" si="3384"/>
        <v>0</v>
      </c>
      <c r="DW173" s="86">
        <f t="shared" si="3384"/>
        <v>0</v>
      </c>
      <c r="DX173" s="87" t="e">
        <f t="shared" si="2963"/>
        <v>#DIV/0!</v>
      </c>
      <c r="DY173" s="88" t="e">
        <f t="shared" si="2964"/>
        <v>#DIV/0!</v>
      </c>
      <c r="DZ173" s="84"/>
      <c r="EA173" s="85">
        <f t="shared" ref="EA173:EC173" si="3385">EA138</f>
        <v>0</v>
      </c>
      <c r="EB173" s="87">
        <f t="shared" si="3385"/>
        <v>0</v>
      </c>
      <c r="EC173" s="86">
        <f t="shared" si="3385"/>
        <v>0</v>
      </c>
      <c r="ED173" s="87" t="e">
        <f t="shared" si="2965"/>
        <v>#DIV/0!</v>
      </c>
      <c r="EE173" s="88" t="e">
        <f t="shared" si="2966"/>
        <v>#DIV/0!</v>
      </c>
      <c r="EF173" s="84"/>
      <c r="EG173" s="85">
        <f t="shared" ref="EG173:EI173" si="3386">EG138</f>
        <v>0</v>
      </c>
      <c r="EH173" s="87">
        <f t="shared" si="3386"/>
        <v>0</v>
      </c>
      <c r="EI173" s="86">
        <f t="shared" si="3386"/>
        <v>0</v>
      </c>
      <c r="EJ173" s="87" t="e">
        <f t="shared" si="2967"/>
        <v>#DIV/0!</v>
      </c>
      <c r="EK173" s="88" t="e">
        <f t="shared" si="2968"/>
        <v>#DIV/0!</v>
      </c>
      <c r="EL173" s="84"/>
      <c r="EM173" s="85">
        <f t="shared" ref="EM173:EO173" si="3387">EM138</f>
        <v>0</v>
      </c>
      <c r="EN173" s="87">
        <f t="shared" si="3387"/>
        <v>0</v>
      </c>
      <c r="EO173" s="86">
        <f t="shared" si="3387"/>
        <v>0</v>
      </c>
      <c r="EP173" s="87" t="e">
        <f t="shared" si="2969"/>
        <v>#DIV/0!</v>
      </c>
      <c r="EQ173" s="88" t="e">
        <f t="shared" si="2970"/>
        <v>#DIV/0!</v>
      </c>
      <c r="ER173" s="589"/>
      <c r="ES173" s="86">
        <f t="shared" ref="ES173:EU173" si="3388">ES138</f>
        <v>600</v>
      </c>
      <c r="ET173" s="87">
        <f t="shared" si="3388"/>
        <v>4.05</v>
      </c>
      <c r="EU173" s="86">
        <f t="shared" si="3388"/>
        <v>5</v>
      </c>
      <c r="EV173" s="87">
        <f t="shared" si="2971"/>
        <v>148.14814814814815</v>
      </c>
      <c r="EW173" s="88">
        <f t="shared" si="2972"/>
        <v>0.80999999999999994</v>
      </c>
      <c r="EY173" s="92">
        <f t="shared" ref="EY173:FA173" si="3389">EY138</f>
        <v>600</v>
      </c>
      <c r="EZ173" s="87">
        <f t="shared" si="3389"/>
        <v>3.64</v>
      </c>
      <c r="FA173" s="86">
        <f t="shared" si="3389"/>
        <v>5</v>
      </c>
      <c r="FB173" s="87">
        <f t="shared" si="2991"/>
        <v>164.83516483516482</v>
      </c>
      <c r="FC173" s="88">
        <f t="shared" si="2992"/>
        <v>0.72799999999999998</v>
      </c>
      <c r="FE173" s="92">
        <f t="shared" ref="FE173:FG173" si="3390">FE138</f>
        <v>650</v>
      </c>
      <c r="FF173" s="87">
        <f t="shared" si="3390"/>
        <v>4.3</v>
      </c>
      <c r="FG173" s="86">
        <f t="shared" si="3390"/>
        <v>5</v>
      </c>
      <c r="FH173" s="87">
        <f t="shared" si="2993"/>
        <v>151.16279069767444</v>
      </c>
      <c r="FI173" s="88">
        <f t="shared" si="2994"/>
        <v>0.86</v>
      </c>
      <c r="FK173" s="92">
        <f t="shared" ref="FK173:FM173" si="3391">FK138</f>
        <v>500</v>
      </c>
      <c r="FL173" s="87">
        <f t="shared" si="3391"/>
        <v>9.1999999999999993</v>
      </c>
      <c r="FM173" s="86">
        <f t="shared" si="3391"/>
        <v>5</v>
      </c>
      <c r="FN173" s="87">
        <f t="shared" si="2995"/>
        <v>54.347826086956523</v>
      </c>
      <c r="FO173" s="88">
        <f t="shared" si="2996"/>
        <v>1.8399999999999999</v>
      </c>
      <c r="FQ173" s="92">
        <f t="shared" ref="FQ173:FS173" si="3392">FQ138</f>
        <v>450</v>
      </c>
      <c r="FR173" s="87">
        <f t="shared" si="3392"/>
        <v>3.55</v>
      </c>
      <c r="FS173" s="86">
        <f t="shared" si="3392"/>
        <v>1</v>
      </c>
      <c r="FT173" s="87">
        <f t="shared" si="2997"/>
        <v>126.7605633802817</v>
      </c>
      <c r="FU173" s="88">
        <f t="shared" si="2998"/>
        <v>3.55</v>
      </c>
      <c r="FW173" s="92">
        <f t="shared" ref="FW173:FY173" si="3393">FW138</f>
        <v>500</v>
      </c>
      <c r="FX173" s="87">
        <f t="shared" si="3393"/>
        <v>4.9099999999999993</v>
      </c>
      <c r="FY173" s="86">
        <f t="shared" si="3393"/>
        <v>5</v>
      </c>
      <c r="FZ173" s="87">
        <f t="shared" si="2999"/>
        <v>101.83299389002038</v>
      </c>
      <c r="GA173" s="88">
        <f t="shared" si="3000"/>
        <v>0.98199999999999987</v>
      </c>
      <c r="GC173" s="380">
        <f t="shared" ref="GC173:GE173" si="3394">GC138</f>
        <v>500</v>
      </c>
      <c r="GD173" s="373">
        <f t="shared" si="3394"/>
        <v>4.6500000000000004</v>
      </c>
      <c r="GE173" s="372">
        <f t="shared" si="3394"/>
        <v>5</v>
      </c>
      <c r="GF173" s="373">
        <f t="shared" si="3001"/>
        <v>107.5268817204301</v>
      </c>
      <c r="GG173" s="374">
        <f t="shared" si="3002"/>
        <v>0.93</v>
      </c>
      <c r="GI173" s="380">
        <f t="shared" ref="GI173:GK173" si="3395">GI138</f>
        <v>400</v>
      </c>
      <c r="GJ173" s="373">
        <f t="shared" si="3395"/>
        <v>3.84</v>
      </c>
      <c r="GK173" s="372">
        <f t="shared" si="3395"/>
        <v>5</v>
      </c>
      <c r="GL173" s="373">
        <f t="shared" si="3003"/>
        <v>104.16666666666667</v>
      </c>
      <c r="GM173" s="374">
        <f t="shared" si="3004"/>
        <v>0.76800000000000002</v>
      </c>
      <c r="GO173" s="380">
        <f t="shared" ref="GO173:GQ173" si="3396">GO138</f>
        <v>400</v>
      </c>
      <c r="GP173" s="373">
        <f t="shared" si="3396"/>
        <v>3.84</v>
      </c>
      <c r="GQ173" s="372">
        <f t="shared" si="3396"/>
        <v>5</v>
      </c>
      <c r="GR173" s="373">
        <f t="shared" si="3005"/>
        <v>104.16666666666667</v>
      </c>
      <c r="GS173" s="374">
        <f t="shared" si="3006"/>
        <v>0.76800000000000002</v>
      </c>
      <c r="GU173" s="380">
        <f t="shared" ref="GU173:GW173" si="3397">GU138</f>
        <v>600</v>
      </c>
      <c r="GV173" s="373">
        <f t="shared" si="3397"/>
        <v>3.6999999999999997</v>
      </c>
      <c r="GW173" s="372">
        <f t="shared" si="3397"/>
        <v>5</v>
      </c>
      <c r="GX173" s="373">
        <f t="shared" si="3007"/>
        <v>162.16216216216216</v>
      </c>
      <c r="GY173" s="374">
        <f t="shared" si="3008"/>
        <v>0.74</v>
      </c>
      <c r="HA173" s="92">
        <f t="shared" ref="HA173:HC173" si="3398">HA138</f>
        <v>450</v>
      </c>
      <c r="HB173" s="87">
        <f t="shared" si="3398"/>
        <v>2.6</v>
      </c>
      <c r="HC173" s="86">
        <f t="shared" si="3398"/>
        <v>3</v>
      </c>
      <c r="HD173" s="87">
        <f t="shared" si="3009"/>
        <v>173.07692307692307</v>
      </c>
      <c r="HE173" s="88">
        <f t="shared" si="3010"/>
        <v>0.8666666666666667</v>
      </c>
      <c r="HG173" s="92">
        <f t="shared" ref="HG173:HI173" si="3399">HG138</f>
        <v>330</v>
      </c>
      <c r="HH173" s="87">
        <f t="shared" si="3399"/>
        <v>3.88</v>
      </c>
      <c r="HI173" s="86">
        <f t="shared" si="3399"/>
        <v>5</v>
      </c>
      <c r="HJ173" s="87">
        <f t="shared" si="3011"/>
        <v>85.051546391752581</v>
      </c>
      <c r="HK173" s="88">
        <f t="shared" si="3012"/>
        <v>0.77600000000000002</v>
      </c>
      <c r="HM173" s="92">
        <f t="shared" ref="HM173:HO173" si="3400">HM138</f>
        <v>500</v>
      </c>
      <c r="HN173" s="87">
        <f t="shared" si="3400"/>
        <v>4.04</v>
      </c>
      <c r="HO173" s="372">
        <f t="shared" si="3400"/>
        <v>5</v>
      </c>
      <c r="HP173" s="373">
        <f t="shared" si="3013"/>
        <v>123.76237623762376</v>
      </c>
      <c r="HQ173" s="374">
        <f t="shared" si="3014"/>
        <v>0.80800000000000005</v>
      </c>
      <c r="HS173" s="92">
        <f t="shared" ref="HS173:HU173" si="3401">HS138</f>
        <v>450</v>
      </c>
      <c r="HT173" s="87">
        <f t="shared" si="3401"/>
        <v>2.66</v>
      </c>
      <c r="HU173" s="372">
        <f t="shared" si="3401"/>
        <v>3</v>
      </c>
      <c r="HV173" s="373">
        <f t="shared" si="3015"/>
        <v>169.17293233082705</v>
      </c>
      <c r="HW173" s="374">
        <f t="shared" si="3016"/>
        <v>0.88666666666666671</v>
      </c>
      <c r="HX173" s="178"/>
      <c r="HY173" s="92">
        <f>HY138</f>
        <v>500</v>
      </c>
      <c r="HZ173" s="87">
        <f>HZ138</f>
        <v>4.2699999999999996</v>
      </c>
      <c r="IA173" s="372">
        <f t="shared" ref="IA173" si="3402">IA138</f>
        <v>5</v>
      </c>
      <c r="IB173" s="375">
        <f>HY173/HZ173</f>
        <v>117.096018735363</v>
      </c>
      <c r="IC173" s="376">
        <f>HZ173/IA173</f>
        <v>0.85399999999999987</v>
      </c>
      <c r="IE173" s="92">
        <f t="shared" ref="IE173:IG173" si="3403">IE138</f>
        <v>500</v>
      </c>
      <c r="IF173" s="87">
        <f t="shared" si="3403"/>
        <v>4.1399999999999997</v>
      </c>
      <c r="IG173" s="86">
        <f t="shared" si="3403"/>
        <v>5</v>
      </c>
      <c r="IH173" s="87">
        <f t="shared" si="3019"/>
        <v>120.77294685990339</v>
      </c>
      <c r="II173" s="88">
        <f t="shared" si="3020"/>
        <v>0.82799999999999996</v>
      </c>
      <c r="IK173" s="92">
        <f t="shared" ref="IK173:IM173" si="3404">IK138</f>
        <v>500</v>
      </c>
      <c r="IL173" s="87">
        <f t="shared" si="3404"/>
        <v>20.350000000000001</v>
      </c>
      <c r="IM173" s="86">
        <f t="shared" si="3404"/>
        <v>5</v>
      </c>
      <c r="IN173" s="87">
        <f t="shared" si="3145"/>
        <v>24.570024570024568</v>
      </c>
      <c r="IO173" s="88">
        <f t="shared" si="3022"/>
        <v>4.07</v>
      </c>
      <c r="IQ173" s="92">
        <f t="shared" ref="IQ173:IS173" si="3405">IQ138</f>
        <v>550</v>
      </c>
      <c r="IR173" s="87">
        <f t="shared" si="3405"/>
        <v>3.66</v>
      </c>
      <c r="IS173" s="86">
        <f t="shared" si="3405"/>
        <v>5</v>
      </c>
      <c r="IT173" s="87">
        <f t="shared" si="3146"/>
        <v>150.27322404371583</v>
      </c>
      <c r="IU173" s="88">
        <f t="shared" si="3024"/>
        <v>0.73199999999999998</v>
      </c>
      <c r="IW173" s="92">
        <f t="shared" ref="IW173:IY173" si="3406">IW138</f>
        <v>500</v>
      </c>
      <c r="IX173" s="87">
        <f t="shared" si="3406"/>
        <v>3.69</v>
      </c>
      <c r="IY173" s="86">
        <f t="shared" si="3406"/>
        <v>5</v>
      </c>
      <c r="IZ173" s="87">
        <f t="shared" si="3147"/>
        <v>135.50135501355012</v>
      </c>
      <c r="JA173" s="88">
        <f t="shared" si="3026"/>
        <v>0.73799999999999999</v>
      </c>
      <c r="JC173" s="92">
        <f t="shared" ref="JC173:JE173" si="3407">JC138</f>
        <v>550</v>
      </c>
      <c r="JD173" s="87">
        <f t="shared" si="3407"/>
        <v>3.74</v>
      </c>
      <c r="JE173" s="86">
        <f t="shared" si="3407"/>
        <v>5</v>
      </c>
      <c r="JF173" s="87">
        <f t="shared" si="3148"/>
        <v>147.05882352941177</v>
      </c>
      <c r="JG173" s="88">
        <f t="shared" si="3028"/>
        <v>0.748</v>
      </c>
      <c r="JI173" s="92">
        <f t="shared" ref="JI173:JK173" si="3408">JI138</f>
        <v>500</v>
      </c>
      <c r="JJ173" s="87">
        <f t="shared" si="3408"/>
        <v>4.1399999999999997</v>
      </c>
      <c r="JK173" s="86">
        <f t="shared" si="3408"/>
        <v>5</v>
      </c>
      <c r="JL173" s="87">
        <f t="shared" si="3149"/>
        <v>120.77294685990339</v>
      </c>
      <c r="JM173" s="88">
        <f t="shared" si="3030"/>
        <v>0.82799999999999996</v>
      </c>
      <c r="JO173" s="92">
        <f t="shared" ref="JO173:JQ173" si="3409">JO138</f>
        <v>300</v>
      </c>
      <c r="JP173" s="87">
        <f t="shared" si="3409"/>
        <v>2.0100000000000002</v>
      </c>
      <c r="JQ173" s="86">
        <f t="shared" si="3409"/>
        <v>5</v>
      </c>
      <c r="JR173" s="87">
        <f t="shared" si="3150"/>
        <v>149.25373134328356</v>
      </c>
      <c r="JS173" s="88">
        <f t="shared" si="3032"/>
        <v>0.40200000000000002</v>
      </c>
      <c r="JU173" s="747">
        <f t="shared" si="3171"/>
        <v>350</v>
      </c>
      <c r="JV173" s="87">
        <f t="shared" si="3171"/>
        <v>3.34</v>
      </c>
      <c r="JW173" s="749">
        <f t="shared" si="3171"/>
        <v>5</v>
      </c>
      <c r="JX173" s="373">
        <f t="shared" si="3151"/>
        <v>104.79041916167665</v>
      </c>
      <c r="JY173" s="88">
        <f t="shared" si="3034"/>
        <v>0.66799999999999993</v>
      </c>
      <c r="KA173" s="747">
        <f t="shared" si="3172"/>
        <v>320</v>
      </c>
      <c r="KB173" s="87">
        <f t="shared" si="3172"/>
        <v>3.42</v>
      </c>
      <c r="KC173" s="749">
        <f t="shared" si="3172"/>
        <v>5</v>
      </c>
      <c r="KD173" s="373">
        <f t="shared" si="3152"/>
        <v>93.567251461988306</v>
      </c>
      <c r="KE173" s="88">
        <f t="shared" si="3036"/>
        <v>0.68399999999999994</v>
      </c>
      <c r="KG173" s="747">
        <f t="shared" ref="KG173:KI173" si="3410">SUM(KG138)</f>
        <v>120</v>
      </c>
      <c r="KH173" s="87">
        <f t="shared" si="3410"/>
        <v>2.6100000000000003</v>
      </c>
      <c r="KI173" s="749">
        <f t="shared" si="3410"/>
        <v>5</v>
      </c>
      <c r="KJ173" s="373">
        <f t="shared" si="3153"/>
        <v>45.977011494252871</v>
      </c>
      <c r="KK173" s="88">
        <f t="shared" si="3039"/>
        <v>0.52200000000000002</v>
      </c>
      <c r="KM173" s="747">
        <f t="shared" ref="KM173:KO173" si="3411">SUM(KM138)</f>
        <v>0</v>
      </c>
      <c r="KN173" s="87">
        <f t="shared" si="3411"/>
        <v>0</v>
      </c>
      <c r="KO173" s="749">
        <f t="shared" si="3411"/>
        <v>0</v>
      </c>
      <c r="KP173" s="373" t="e">
        <f t="shared" si="3154"/>
        <v>#DIV/0!</v>
      </c>
      <c r="KQ173" s="88" t="e">
        <f t="shared" si="3042"/>
        <v>#DIV/0!</v>
      </c>
      <c r="KS173" s="747">
        <f t="shared" ref="KS173:KU173" si="3412">SUM(KS138)</f>
        <v>250</v>
      </c>
      <c r="KT173" s="87">
        <f t="shared" si="3412"/>
        <v>3.13</v>
      </c>
      <c r="KU173" s="749">
        <f t="shared" si="3412"/>
        <v>5</v>
      </c>
      <c r="KV173" s="373">
        <f t="shared" si="3155"/>
        <v>79.87220447284345</v>
      </c>
      <c r="KW173" s="88">
        <f t="shared" si="3045"/>
        <v>0.626</v>
      </c>
      <c r="KY173" s="747">
        <f t="shared" ref="KY173:LA173" si="3413">SUM(KY138)</f>
        <v>0</v>
      </c>
      <c r="KZ173" s="87">
        <f t="shared" si="3413"/>
        <v>0</v>
      </c>
      <c r="LA173" s="749">
        <f t="shared" si="3413"/>
        <v>0</v>
      </c>
      <c r="LB173" s="373" t="e">
        <f t="shared" si="3156"/>
        <v>#DIV/0!</v>
      </c>
      <c r="LC173" s="88" t="e">
        <f t="shared" si="3048"/>
        <v>#DIV/0!</v>
      </c>
      <c r="LE173" s="747">
        <f t="shared" ref="LE173:LG173" si="3414">SUM(LE138)</f>
        <v>600</v>
      </c>
      <c r="LF173" s="87">
        <f t="shared" si="3414"/>
        <v>3.79</v>
      </c>
      <c r="LG173" s="749">
        <f t="shared" si="3414"/>
        <v>5</v>
      </c>
      <c r="LH173" s="373">
        <f t="shared" si="3157"/>
        <v>158.31134564643799</v>
      </c>
      <c r="LI173" s="88">
        <f t="shared" si="3051"/>
        <v>0.75800000000000001</v>
      </c>
      <c r="LK173" s="747">
        <f t="shared" ref="LK173:LM173" si="3415">SUM(LK138)</f>
        <v>0</v>
      </c>
      <c r="LL173" s="87">
        <f t="shared" si="3415"/>
        <v>0</v>
      </c>
      <c r="LM173" s="749">
        <f t="shared" si="3415"/>
        <v>0</v>
      </c>
      <c r="LN173" s="373" t="e">
        <f t="shared" si="3158"/>
        <v>#DIV/0!</v>
      </c>
      <c r="LO173" s="88" t="e">
        <f t="shared" si="3054"/>
        <v>#DIV/0!</v>
      </c>
      <c r="LQ173" s="747">
        <f t="shared" ref="LQ173:LS173" si="3416">SUM(LQ138)</f>
        <v>350</v>
      </c>
      <c r="LR173" s="87">
        <f t="shared" si="3416"/>
        <v>9.5400000000000009</v>
      </c>
      <c r="LS173" s="749">
        <f t="shared" si="3416"/>
        <v>5</v>
      </c>
      <c r="LT173" s="373">
        <f t="shared" si="3159"/>
        <v>36.687631027253666</v>
      </c>
      <c r="LU173" s="88">
        <f t="shared" si="3057"/>
        <v>1.9080000000000001</v>
      </c>
      <c r="LW173" s="747">
        <f t="shared" ref="LW173:LY173" si="3417">SUM(LW138)</f>
        <v>330</v>
      </c>
      <c r="LX173" s="87">
        <f t="shared" si="3417"/>
        <v>7.36</v>
      </c>
      <c r="LY173" s="749">
        <f t="shared" si="3417"/>
        <v>5</v>
      </c>
      <c r="LZ173" s="373">
        <f t="shared" si="3160"/>
        <v>44.836956521739125</v>
      </c>
      <c r="MA173" s="88">
        <f t="shared" si="3060"/>
        <v>1.472</v>
      </c>
      <c r="MC173" s="747">
        <f t="shared" ref="MC173:ME173" si="3418">SUM(MC138)</f>
        <v>410</v>
      </c>
      <c r="MD173" s="87">
        <f t="shared" si="3418"/>
        <v>2.54</v>
      </c>
      <c r="ME173" s="749">
        <f t="shared" si="3418"/>
        <v>5</v>
      </c>
      <c r="MF173" s="373">
        <f t="shared" si="3161"/>
        <v>161.41732283464566</v>
      </c>
      <c r="MG173" s="88">
        <f t="shared" si="3063"/>
        <v>0.50800000000000001</v>
      </c>
      <c r="MI173" s="747">
        <f t="shared" ref="MI173:MK173" si="3419">SUM(MI138)</f>
        <v>350</v>
      </c>
      <c r="MJ173" s="87">
        <f t="shared" si="3419"/>
        <v>4.9600000000000009</v>
      </c>
      <c r="MK173" s="749">
        <f t="shared" si="3419"/>
        <v>5</v>
      </c>
      <c r="ML173" s="373">
        <f t="shared" si="3162"/>
        <v>70.564516129032242</v>
      </c>
      <c r="MM173" s="88">
        <f t="shared" si="3066"/>
        <v>0.99200000000000021</v>
      </c>
      <c r="MO173" s="747">
        <f t="shared" ref="MO173:MQ173" si="3420">SUM(MO138)</f>
        <v>0</v>
      </c>
      <c r="MP173" s="87">
        <f t="shared" si="3420"/>
        <v>0</v>
      </c>
      <c r="MQ173" s="749">
        <f t="shared" si="3420"/>
        <v>0</v>
      </c>
      <c r="MR173" s="373" t="e">
        <f t="shared" si="3163"/>
        <v>#DIV/0!</v>
      </c>
      <c r="MS173" s="88" t="e">
        <f t="shared" si="3069"/>
        <v>#DIV/0!</v>
      </c>
      <c r="MU173" s="747">
        <f t="shared" ref="MU173:MW173" si="3421">SUM(MU138)</f>
        <v>0</v>
      </c>
      <c r="MV173" s="87">
        <f t="shared" si="3421"/>
        <v>0</v>
      </c>
      <c r="MW173" s="749">
        <f t="shared" si="3421"/>
        <v>0</v>
      </c>
      <c r="MX173" s="373" t="e">
        <f t="shared" si="3164"/>
        <v>#DIV/0!</v>
      </c>
      <c r="MY173" s="88" t="e">
        <f t="shared" si="3072"/>
        <v>#DIV/0!</v>
      </c>
      <c r="NA173" s="747">
        <f t="shared" ref="NA173:NC173" si="3422">SUM(NA138)</f>
        <v>500</v>
      </c>
      <c r="NB173" s="749">
        <f t="shared" si="3422"/>
        <v>4.95</v>
      </c>
      <c r="NC173" s="749">
        <f t="shared" si="3422"/>
        <v>5</v>
      </c>
      <c r="ND173" s="373">
        <f t="shared" si="3165"/>
        <v>101.01010101010101</v>
      </c>
      <c r="NE173" s="88">
        <f t="shared" si="3075"/>
        <v>0.99</v>
      </c>
      <c r="NG173" s="747">
        <f t="shared" ref="NG173:NI173" si="3423">SUM(NG138)</f>
        <v>600</v>
      </c>
      <c r="NH173" s="87">
        <f t="shared" si="3423"/>
        <v>5.17</v>
      </c>
      <c r="NI173" s="749">
        <f t="shared" si="3423"/>
        <v>5</v>
      </c>
      <c r="NJ173" s="373">
        <f t="shared" si="3166"/>
        <v>116.0541586073501</v>
      </c>
      <c r="NK173" s="88">
        <f t="shared" si="3078"/>
        <v>1.034</v>
      </c>
      <c r="NM173" s="747">
        <f t="shared" ref="NM173:NO173" si="3424">SUM(NM138)</f>
        <v>550</v>
      </c>
      <c r="NN173" s="87">
        <f t="shared" si="3424"/>
        <v>1.25</v>
      </c>
      <c r="NO173" s="749">
        <f t="shared" si="3424"/>
        <v>5</v>
      </c>
      <c r="NP173" s="373">
        <f t="shared" si="3167"/>
        <v>440</v>
      </c>
      <c r="NQ173" s="88">
        <f t="shared" si="3081"/>
        <v>0.25</v>
      </c>
      <c r="NS173" s="747">
        <f t="shared" ref="NS173:NU173" si="3425">SUM(NS138)</f>
        <v>500</v>
      </c>
      <c r="NT173" s="87">
        <f t="shared" si="3425"/>
        <v>4.75</v>
      </c>
      <c r="NU173" s="749">
        <f t="shared" si="3425"/>
        <v>5</v>
      </c>
      <c r="NV173" s="373">
        <f t="shared" si="3168"/>
        <v>105.26315789473684</v>
      </c>
      <c r="NW173" s="88">
        <f t="shared" si="3084"/>
        <v>0.95</v>
      </c>
      <c r="NY173" s="747">
        <f t="shared" ref="NY173:OA173" si="3426">SUM(NY138)</f>
        <v>330</v>
      </c>
      <c r="NZ173" s="87">
        <f t="shared" si="3426"/>
        <v>1.74</v>
      </c>
      <c r="OA173" s="749">
        <f t="shared" si="3426"/>
        <v>5</v>
      </c>
      <c r="OB173" s="373">
        <f t="shared" si="3169"/>
        <v>189.65517241379311</v>
      </c>
      <c r="OC173" s="88">
        <f t="shared" si="3087"/>
        <v>0.34799999999999998</v>
      </c>
      <c r="OE173" s="747">
        <f t="shared" ref="OE173:OG173" si="3427">SUM(OE138)</f>
        <v>500</v>
      </c>
      <c r="OF173" s="87">
        <f t="shared" si="3427"/>
        <v>5.1300000000000008</v>
      </c>
      <c r="OG173" s="749">
        <f t="shared" si="3427"/>
        <v>5</v>
      </c>
      <c r="OH173" s="373">
        <f t="shared" si="3170"/>
        <v>97.465886939571135</v>
      </c>
      <c r="OI173" s="88">
        <f t="shared" si="3090"/>
        <v>1.0260000000000002</v>
      </c>
    </row>
    <row r="174" spans="1:399">
      <c r="IA174" s="178"/>
      <c r="IB174" s="178"/>
      <c r="IC174" s="178"/>
    </row>
    <row r="184" spans="256:256">
      <c r="IV184" s="526"/>
    </row>
    <row r="206" spans="317:317">
      <c r="LE206" s="797"/>
    </row>
  </sheetData>
  <mergeCells count="860">
    <mergeCell ref="MU1:MY2"/>
    <mergeCell ref="MU3:MY3"/>
    <mergeCell ref="MU4:MU5"/>
    <mergeCell ref="MV4:MV5"/>
    <mergeCell ref="MW4:MW5"/>
    <mergeCell ref="MX4:MX5"/>
    <mergeCell ref="MY4:MY5"/>
    <mergeCell ref="MU89:MY89"/>
    <mergeCell ref="MU90:MU92"/>
    <mergeCell ref="MV90:MV92"/>
    <mergeCell ref="MW90:MW92"/>
    <mergeCell ref="MX90:MX92"/>
    <mergeCell ref="MY90:MY92"/>
    <mergeCell ref="MO1:MS2"/>
    <mergeCell ref="MO3:MS3"/>
    <mergeCell ref="MO4:MO5"/>
    <mergeCell ref="MP4:MP5"/>
    <mergeCell ref="MQ4:MQ5"/>
    <mergeCell ref="MR4:MR5"/>
    <mergeCell ref="MS4:MS5"/>
    <mergeCell ref="MO89:MS89"/>
    <mergeCell ref="MO90:MO92"/>
    <mergeCell ref="MP90:MP92"/>
    <mergeCell ref="MQ90:MQ92"/>
    <mergeCell ref="MR90:MR92"/>
    <mergeCell ref="MS90:MS92"/>
    <mergeCell ref="MI1:MM2"/>
    <mergeCell ref="MI3:MM3"/>
    <mergeCell ref="MI4:MI5"/>
    <mergeCell ref="MJ4:MJ5"/>
    <mergeCell ref="MK4:MK5"/>
    <mergeCell ref="ML4:ML5"/>
    <mergeCell ref="MM4:MM5"/>
    <mergeCell ref="MI89:MM89"/>
    <mergeCell ref="MI90:MI92"/>
    <mergeCell ref="MJ90:MJ92"/>
    <mergeCell ref="MK90:MK92"/>
    <mergeCell ref="ML90:ML92"/>
    <mergeCell ref="MM90:MM92"/>
    <mergeCell ref="MC1:MG2"/>
    <mergeCell ref="MC3:MG3"/>
    <mergeCell ref="MC4:MC5"/>
    <mergeCell ref="MD4:MD5"/>
    <mergeCell ref="ME4:ME5"/>
    <mergeCell ref="MF4:MF5"/>
    <mergeCell ref="MG4:MG5"/>
    <mergeCell ref="MC89:MG89"/>
    <mergeCell ref="MC90:MC92"/>
    <mergeCell ref="MD90:MD92"/>
    <mergeCell ref="ME90:ME92"/>
    <mergeCell ref="MF90:MF92"/>
    <mergeCell ref="MG90:MG92"/>
    <mergeCell ref="LW1:MA2"/>
    <mergeCell ref="LW3:MA3"/>
    <mergeCell ref="LW4:LW5"/>
    <mergeCell ref="LX4:LX5"/>
    <mergeCell ref="LY4:LY5"/>
    <mergeCell ref="LZ4:LZ5"/>
    <mergeCell ref="MA4:MA5"/>
    <mergeCell ref="LW89:MA89"/>
    <mergeCell ref="LW90:LW92"/>
    <mergeCell ref="LX90:LX92"/>
    <mergeCell ref="LY90:LY92"/>
    <mergeCell ref="LZ90:LZ92"/>
    <mergeCell ref="MA90:MA92"/>
    <mergeCell ref="LQ1:LU2"/>
    <mergeCell ref="LQ3:LU3"/>
    <mergeCell ref="LQ4:LQ5"/>
    <mergeCell ref="LR4:LR5"/>
    <mergeCell ref="LS4:LS5"/>
    <mergeCell ref="LT4:LT5"/>
    <mergeCell ref="LU4:LU5"/>
    <mergeCell ref="LQ89:LU89"/>
    <mergeCell ref="LQ90:LQ92"/>
    <mergeCell ref="LR90:LR92"/>
    <mergeCell ref="LS90:LS92"/>
    <mergeCell ref="LT90:LT92"/>
    <mergeCell ref="LU90:LU92"/>
    <mergeCell ref="LO90:LO92"/>
    <mergeCell ref="LH4:LH5"/>
    <mergeCell ref="LI4:LI5"/>
    <mergeCell ref="LE1:LI2"/>
    <mergeCell ref="LE3:LI3"/>
    <mergeCell ref="LE89:LI89"/>
    <mergeCell ref="LE90:LE92"/>
    <mergeCell ref="LF90:LF92"/>
    <mergeCell ref="LG90:LG92"/>
    <mergeCell ref="LH90:LH92"/>
    <mergeCell ref="LI90:LI92"/>
    <mergeCell ref="LK1:LO2"/>
    <mergeCell ref="LK3:LO3"/>
    <mergeCell ref="LK4:LK5"/>
    <mergeCell ref="LL4:LL5"/>
    <mergeCell ref="LM4:LM5"/>
    <mergeCell ref="LN4:LN5"/>
    <mergeCell ref="LO4:LO5"/>
    <mergeCell ref="LK89:LO89"/>
    <mergeCell ref="LK90:LK92"/>
    <mergeCell ref="LL90:LL92"/>
    <mergeCell ref="LM90:LM92"/>
    <mergeCell ref="LN90:LN92"/>
    <mergeCell ref="KY89:LC89"/>
    <mergeCell ref="KY90:KY92"/>
    <mergeCell ref="KZ90:KZ92"/>
    <mergeCell ref="LA90:LA92"/>
    <mergeCell ref="LB90:LB92"/>
    <mergeCell ref="LC90:LC92"/>
    <mergeCell ref="LE4:LE5"/>
    <mergeCell ref="LF4:LF5"/>
    <mergeCell ref="LG4:LG5"/>
    <mergeCell ref="KY4:KY5"/>
    <mergeCell ref="KZ4:KZ5"/>
    <mergeCell ref="LA4:LA5"/>
    <mergeCell ref="LB4:LB5"/>
    <mergeCell ref="LC4:LC5"/>
    <mergeCell ref="KY3:LC3"/>
    <mergeCell ref="KY1:LC2"/>
    <mergeCell ref="KS1:KW2"/>
    <mergeCell ref="KS3:KW3"/>
    <mergeCell ref="KS4:KS5"/>
    <mergeCell ref="KT4:KT5"/>
    <mergeCell ref="KU4:KU5"/>
    <mergeCell ref="KV4:KV5"/>
    <mergeCell ref="KW4:KW5"/>
    <mergeCell ref="KS89:KW89"/>
    <mergeCell ref="KS90:KS92"/>
    <mergeCell ref="KT90:KT92"/>
    <mergeCell ref="KU90:KU92"/>
    <mergeCell ref="KV90:KV92"/>
    <mergeCell ref="KW90:KW92"/>
    <mergeCell ref="KM1:KQ2"/>
    <mergeCell ref="KM3:KQ3"/>
    <mergeCell ref="KM4:KM5"/>
    <mergeCell ref="KN4:KN5"/>
    <mergeCell ref="KO4:KO5"/>
    <mergeCell ref="KP4:KP5"/>
    <mergeCell ref="KQ4:KQ5"/>
    <mergeCell ref="KM89:KQ89"/>
    <mergeCell ref="KM90:KM92"/>
    <mergeCell ref="KN90:KN92"/>
    <mergeCell ref="KO90:KO92"/>
    <mergeCell ref="KP90:KP92"/>
    <mergeCell ref="KQ90:KQ92"/>
    <mergeCell ref="KA1:KE2"/>
    <mergeCell ref="KA3:KE3"/>
    <mergeCell ref="KA4:KA5"/>
    <mergeCell ref="KB4:KB5"/>
    <mergeCell ref="KC4:KC5"/>
    <mergeCell ref="KD4:KD5"/>
    <mergeCell ref="KE4:KE5"/>
    <mergeCell ref="KA89:KE89"/>
    <mergeCell ref="KA90:KA92"/>
    <mergeCell ref="KB90:KB92"/>
    <mergeCell ref="KC90:KC92"/>
    <mergeCell ref="KD90:KD92"/>
    <mergeCell ref="KE90:KE92"/>
    <mergeCell ref="JO1:JS2"/>
    <mergeCell ref="JO3:JS3"/>
    <mergeCell ref="JO4:JO5"/>
    <mergeCell ref="JP4:JP5"/>
    <mergeCell ref="JQ4:JQ5"/>
    <mergeCell ref="JR4:JR5"/>
    <mergeCell ref="JS4:JS5"/>
    <mergeCell ref="JO89:JS89"/>
    <mergeCell ref="JO90:JO92"/>
    <mergeCell ref="JP90:JP92"/>
    <mergeCell ref="JQ90:JQ92"/>
    <mergeCell ref="JR90:JR92"/>
    <mergeCell ref="JS90:JS92"/>
    <mergeCell ref="JI1:JM2"/>
    <mergeCell ref="JI3:JM3"/>
    <mergeCell ref="JI4:JI5"/>
    <mergeCell ref="JJ4:JJ5"/>
    <mergeCell ref="JK4:JK5"/>
    <mergeCell ref="JL4:JL5"/>
    <mergeCell ref="JM4:JM5"/>
    <mergeCell ref="JI89:JM89"/>
    <mergeCell ref="JI90:JI92"/>
    <mergeCell ref="JJ90:JJ92"/>
    <mergeCell ref="JK90:JK92"/>
    <mergeCell ref="JL90:JL92"/>
    <mergeCell ref="JM90:JM92"/>
    <mergeCell ref="JC1:JG2"/>
    <mergeCell ref="JC3:JG3"/>
    <mergeCell ref="JC4:JC5"/>
    <mergeCell ref="JD4:JD5"/>
    <mergeCell ref="JE4:JE5"/>
    <mergeCell ref="JF4:JF5"/>
    <mergeCell ref="JG4:JG5"/>
    <mergeCell ref="JC89:JG89"/>
    <mergeCell ref="JC90:JC92"/>
    <mergeCell ref="JD90:JD92"/>
    <mergeCell ref="JE90:JE92"/>
    <mergeCell ref="JF90:JF92"/>
    <mergeCell ref="JG90:JG92"/>
    <mergeCell ref="IW1:JA2"/>
    <mergeCell ref="IW3:JA3"/>
    <mergeCell ref="IW4:IW5"/>
    <mergeCell ref="IX4:IX5"/>
    <mergeCell ref="IY4:IY5"/>
    <mergeCell ref="IZ4:IZ5"/>
    <mergeCell ref="JA4:JA5"/>
    <mergeCell ref="IW89:JA89"/>
    <mergeCell ref="IW90:IW92"/>
    <mergeCell ref="IX90:IX92"/>
    <mergeCell ref="IY90:IY92"/>
    <mergeCell ref="IZ90:IZ92"/>
    <mergeCell ref="JA90:JA92"/>
    <mergeCell ref="IQ1:IU2"/>
    <mergeCell ref="IQ3:IU3"/>
    <mergeCell ref="IQ4:IQ5"/>
    <mergeCell ref="IR4:IR5"/>
    <mergeCell ref="IS4:IS5"/>
    <mergeCell ref="IT4:IT5"/>
    <mergeCell ref="IU4:IU5"/>
    <mergeCell ref="IQ89:IU89"/>
    <mergeCell ref="IQ90:IQ92"/>
    <mergeCell ref="IR90:IR92"/>
    <mergeCell ref="IS90:IS92"/>
    <mergeCell ref="IT90:IT92"/>
    <mergeCell ref="IU90:IU92"/>
    <mergeCell ref="IK90:IK92"/>
    <mergeCell ref="IL90:IL92"/>
    <mergeCell ref="IM90:IM92"/>
    <mergeCell ref="IN90:IN92"/>
    <mergeCell ref="IO90:IO92"/>
    <mergeCell ref="ES90:ES92"/>
    <mergeCell ref="ET90:ET92"/>
    <mergeCell ref="EU90:EU92"/>
    <mergeCell ref="EV90:EV92"/>
    <mergeCell ref="EW90:EW92"/>
    <mergeCell ref="EY90:EY92"/>
    <mergeCell ref="EZ90:EZ92"/>
    <mergeCell ref="FA90:FA92"/>
    <mergeCell ref="FB90:FB92"/>
    <mergeCell ref="IE90:IE92"/>
    <mergeCell ref="IF90:IF92"/>
    <mergeCell ref="IG90:IG92"/>
    <mergeCell ref="IH90:IH92"/>
    <mergeCell ref="II90:II92"/>
    <mergeCell ref="HQ90:HQ92"/>
    <mergeCell ref="HG90:HG92"/>
    <mergeCell ref="HH90:HH92"/>
    <mergeCell ref="HI90:HI92"/>
    <mergeCell ref="HJ90:HJ92"/>
    <mergeCell ref="IE89:II89"/>
    <mergeCell ref="IK1:IO2"/>
    <mergeCell ref="IK3:IO3"/>
    <mergeCell ref="IK4:IK5"/>
    <mergeCell ref="IL4:IL5"/>
    <mergeCell ref="IM4:IM5"/>
    <mergeCell ref="IN4:IN5"/>
    <mergeCell ref="IO4:IO5"/>
    <mergeCell ref="IK89:IO89"/>
    <mergeCell ref="HS89:HW89"/>
    <mergeCell ref="HY89:IC89"/>
    <mergeCell ref="HS90:HS92"/>
    <mergeCell ref="HT90:HT92"/>
    <mergeCell ref="HU90:HU92"/>
    <mergeCell ref="HV90:HV92"/>
    <mergeCell ref="HW90:HW92"/>
    <mergeCell ref="HY90:HY92"/>
    <mergeCell ref="HZ90:HZ92"/>
    <mergeCell ref="IA90:IA92"/>
    <mergeCell ref="IB90:IB92"/>
    <mergeCell ref="IC90:IC92"/>
    <mergeCell ref="HK90:HK92"/>
    <mergeCell ref="HM90:HM92"/>
    <mergeCell ref="HN90:HN92"/>
    <mergeCell ref="HO90:HO92"/>
    <mergeCell ref="HP90:HP92"/>
    <mergeCell ref="GS90:GS92"/>
    <mergeCell ref="GU89:GY89"/>
    <mergeCell ref="HA89:HE89"/>
    <mergeCell ref="GU90:GU92"/>
    <mergeCell ref="GV90:GV92"/>
    <mergeCell ref="GW90:GW92"/>
    <mergeCell ref="GX90:GX92"/>
    <mergeCell ref="GY90:GY92"/>
    <mergeCell ref="HA90:HA92"/>
    <mergeCell ref="HB90:HB92"/>
    <mergeCell ref="HC90:HC92"/>
    <mergeCell ref="HD90:HD92"/>
    <mergeCell ref="HE90:HE92"/>
    <mergeCell ref="GI90:GI92"/>
    <mergeCell ref="GJ90:GJ92"/>
    <mergeCell ref="GK90:GK92"/>
    <mergeCell ref="GL90:GL92"/>
    <mergeCell ref="GM90:GM92"/>
    <mergeCell ref="GO90:GO92"/>
    <mergeCell ref="GP90:GP92"/>
    <mergeCell ref="GQ90:GQ92"/>
    <mergeCell ref="GR90:GR92"/>
    <mergeCell ref="FU90:FU92"/>
    <mergeCell ref="FW89:GA89"/>
    <mergeCell ref="GC89:GG89"/>
    <mergeCell ref="FW90:FW92"/>
    <mergeCell ref="FX90:FX92"/>
    <mergeCell ref="FY90:FY92"/>
    <mergeCell ref="FZ90:FZ92"/>
    <mergeCell ref="GA90:GA92"/>
    <mergeCell ref="GC90:GC92"/>
    <mergeCell ref="GD90:GD92"/>
    <mergeCell ref="GE90:GE92"/>
    <mergeCell ref="GF90:GF92"/>
    <mergeCell ref="GG90:GG92"/>
    <mergeCell ref="FK90:FK92"/>
    <mergeCell ref="FL90:FL92"/>
    <mergeCell ref="FM90:FM92"/>
    <mergeCell ref="FN90:FN92"/>
    <mergeCell ref="FO90:FO92"/>
    <mergeCell ref="FQ90:FQ92"/>
    <mergeCell ref="FR90:FR92"/>
    <mergeCell ref="FS90:FS92"/>
    <mergeCell ref="FT90:FT92"/>
    <mergeCell ref="FC90:FC92"/>
    <mergeCell ref="FE90:FE92"/>
    <mergeCell ref="FF90:FF92"/>
    <mergeCell ref="FG90:FG92"/>
    <mergeCell ref="FH90:FH92"/>
    <mergeCell ref="FI90:FI92"/>
    <mergeCell ref="HZ4:HZ5"/>
    <mergeCell ref="HK4:HK5"/>
    <mergeCell ref="HM4:HM5"/>
    <mergeCell ref="HN4:HN5"/>
    <mergeCell ref="HO4:HO5"/>
    <mergeCell ref="HP4:HP5"/>
    <mergeCell ref="HQ4:HQ5"/>
    <mergeCell ref="HD4:HD5"/>
    <mergeCell ref="HE4:HE5"/>
    <mergeCell ref="HG4:HG5"/>
    <mergeCell ref="HH4:HH5"/>
    <mergeCell ref="HI4:HI5"/>
    <mergeCell ref="HJ4:HJ5"/>
    <mergeCell ref="GW4:GW5"/>
    <mergeCell ref="GX4:GX5"/>
    <mergeCell ref="GY4:GY5"/>
    <mergeCell ref="FK89:FO89"/>
    <mergeCell ref="FQ89:FU89"/>
    <mergeCell ref="IC4:IC5"/>
    <mergeCell ref="HS4:HS5"/>
    <mergeCell ref="HT4:HT5"/>
    <mergeCell ref="HU4:HU5"/>
    <mergeCell ref="HV4:HV5"/>
    <mergeCell ref="HW4:HW5"/>
    <mergeCell ref="HY4:HY5"/>
    <mergeCell ref="EY89:FC89"/>
    <mergeCell ref="FE89:FI89"/>
    <mergeCell ref="GI89:GM89"/>
    <mergeCell ref="GO89:GS89"/>
    <mergeCell ref="HG89:HK89"/>
    <mergeCell ref="HM89:HQ89"/>
    <mergeCell ref="HC4:HC5"/>
    <mergeCell ref="GP4:GP5"/>
    <mergeCell ref="GQ4:GQ5"/>
    <mergeCell ref="GR4:GR5"/>
    <mergeCell ref="GS4:GS5"/>
    <mergeCell ref="GU4:GU5"/>
    <mergeCell ref="GV4:GV5"/>
    <mergeCell ref="IA4:IA5"/>
    <mergeCell ref="IB4:IB5"/>
    <mergeCell ref="GO4:GO5"/>
    <mergeCell ref="GA4:GA5"/>
    <mergeCell ref="GC4:GC5"/>
    <mergeCell ref="GD4:GD5"/>
    <mergeCell ref="GE4:GE5"/>
    <mergeCell ref="GF4:GF5"/>
    <mergeCell ref="GG4:GG5"/>
    <mergeCell ref="HA4:HA5"/>
    <mergeCell ref="HB4:HB5"/>
    <mergeCell ref="FO4:FO5"/>
    <mergeCell ref="FQ4:FQ5"/>
    <mergeCell ref="FR4:FR5"/>
    <mergeCell ref="FS4:FS5"/>
    <mergeCell ref="GI4:GI5"/>
    <mergeCell ref="GJ4:GJ5"/>
    <mergeCell ref="GK4:GK5"/>
    <mergeCell ref="GL4:GL5"/>
    <mergeCell ref="GM4:GM5"/>
    <mergeCell ref="HS1:HW2"/>
    <mergeCell ref="HS3:HW3"/>
    <mergeCell ref="FK1:FO2"/>
    <mergeCell ref="FK3:FO3"/>
    <mergeCell ref="FQ1:FU2"/>
    <mergeCell ref="FQ3:FU3"/>
    <mergeCell ref="FW1:GA2"/>
    <mergeCell ref="FW3:GA3"/>
    <mergeCell ref="ES3:EW3"/>
    <mergeCell ref="ES1:EW2"/>
    <mergeCell ref="EY3:FC3"/>
    <mergeCell ref="EY1:FC2"/>
    <mergeCell ref="FE1:FI2"/>
    <mergeCell ref="FE3:FI3"/>
    <mergeCell ref="GI3:GM3"/>
    <mergeCell ref="GO1:GS2"/>
    <mergeCell ref="GO3:GS3"/>
    <mergeCell ref="EV4:EV5"/>
    <mergeCell ref="EW4:EW5"/>
    <mergeCell ref="HM1:HQ2"/>
    <mergeCell ref="HM3:HQ3"/>
    <mergeCell ref="FF4:FF5"/>
    <mergeCell ref="FG4:FG5"/>
    <mergeCell ref="FH4:FH5"/>
    <mergeCell ref="FI4:FI5"/>
    <mergeCell ref="FK4:FK5"/>
    <mergeCell ref="FL4:FL5"/>
    <mergeCell ref="EY4:EY5"/>
    <mergeCell ref="EZ4:EZ5"/>
    <mergeCell ref="FA4:FA5"/>
    <mergeCell ref="FB4:FB5"/>
    <mergeCell ref="FC4:FC5"/>
    <mergeCell ref="FE4:FE5"/>
    <mergeCell ref="FT4:FT5"/>
    <mergeCell ref="FU4:FU5"/>
    <mergeCell ref="FW4:FW5"/>
    <mergeCell ref="FX4:FX5"/>
    <mergeCell ref="FY4:FY5"/>
    <mergeCell ref="FZ4:FZ5"/>
    <mergeCell ref="FM4:FM5"/>
    <mergeCell ref="FN4:FN5"/>
    <mergeCell ref="C2:C4"/>
    <mergeCell ref="C88:C91"/>
    <mergeCell ref="ES89:EW89"/>
    <mergeCell ref="IE1:II2"/>
    <mergeCell ref="IE3:II3"/>
    <mergeCell ref="IE4:IE5"/>
    <mergeCell ref="IF4:IF5"/>
    <mergeCell ref="IG4:IG5"/>
    <mergeCell ref="IH4:IH5"/>
    <mergeCell ref="II4:II5"/>
    <mergeCell ref="HY1:IC2"/>
    <mergeCell ref="HY3:IC3"/>
    <mergeCell ref="GU1:GY2"/>
    <mergeCell ref="GU3:GY3"/>
    <mergeCell ref="HA1:HE2"/>
    <mergeCell ref="HA3:HE3"/>
    <mergeCell ref="HG1:HK2"/>
    <mergeCell ref="HG3:HK3"/>
    <mergeCell ref="GC1:GG2"/>
    <mergeCell ref="GC3:GG3"/>
    <mergeCell ref="GI1:GM2"/>
    <mergeCell ref="ES4:ES5"/>
    <mergeCell ref="ET4:ET5"/>
    <mergeCell ref="EU4:EU5"/>
    <mergeCell ref="E1:I2"/>
    <mergeCell ref="E3:I3"/>
    <mergeCell ref="E4:E5"/>
    <mergeCell ref="F4:F5"/>
    <mergeCell ref="G4:G5"/>
    <mergeCell ref="H4:H5"/>
    <mergeCell ref="I4:I5"/>
    <mergeCell ref="E89:I89"/>
    <mergeCell ref="E90:E92"/>
    <mergeCell ref="F90:F92"/>
    <mergeCell ref="G90:G92"/>
    <mergeCell ref="H90:H92"/>
    <mergeCell ref="I90:I92"/>
    <mergeCell ref="K1:O2"/>
    <mergeCell ref="K3:O3"/>
    <mergeCell ref="K4:K5"/>
    <mergeCell ref="L4:L5"/>
    <mergeCell ref="M4:M5"/>
    <mergeCell ref="N4:N5"/>
    <mergeCell ref="O4:O5"/>
    <mergeCell ref="K89:O89"/>
    <mergeCell ref="K90:K92"/>
    <mergeCell ref="L90:L92"/>
    <mergeCell ref="M90:M92"/>
    <mergeCell ref="N90:N92"/>
    <mergeCell ref="O90:O92"/>
    <mergeCell ref="Q1:U2"/>
    <mergeCell ref="Q3:U3"/>
    <mergeCell ref="Q4:Q5"/>
    <mergeCell ref="R4:R5"/>
    <mergeCell ref="S4:S5"/>
    <mergeCell ref="T4:T5"/>
    <mergeCell ref="U4:U5"/>
    <mergeCell ref="Q89:U89"/>
    <mergeCell ref="Q90:Q92"/>
    <mergeCell ref="R90:R92"/>
    <mergeCell ref="S90:S92"/>
    <mergeCell ref="T90:T92"/>
    <mergeCell ref="U90:U92"/>
    <mergeCell ref="W1:AA2"/>
    <mergeCell ref="W3:AA3"/>
    <mergeCell ref="W4:W5"/>
    <mergeCell ref="X4:X5"/>
    <mergeCell ref="Y4:Y5"/>
    <mergeCell ref="Z4:Z5"/>
    <mergeCell ref="AA4:AA5"/>
    <mergeCell ref="W89:AA89"/>
    <mergeCell ref="W90:W92"/>
    <mergeCell ref="X90:X92"/>
    <mergeCell ref="Y90:Y92"/>
    <mergeCell ref="Z90:Z92"/>
    <mergeCell ref="AA90:AA92"/>
    <mergeCell ref="AC1:AG2"/>
    <mergeCell ref="AC3:AG3"/>
    <mergeCell ref="AC4:AC5"/>
    <mergeCell ref="AD4:AD5"/>
    <mergeCell ref="AE4:AE5"/>
    <mergeCell ref="AF4:AF5"/>
    <mergeCell ref="AG4:AG5"/>
    <mergeCell ref="AC89:AG89"/>
    <mergeCell ref="AC90:AC92"/>
    <mergeCell ref="AD90:AD92"/>
    <mergeCell ref="AE90:AE92"/>
    <mergeCell ref="AF90:AF92"/>
    <mergeCell ref="AG90:AG92"/>
    <mergeCell ref="AI1:AM2"/>
    <mergeCell ref="AI3:AM3"/>
    <mergeCell ref="AI4:AI5"/>
    <mergeCell ref="AJ4:AJ5"/>
    <mergeCell ref="AK4:AK5"/>
    <mergeCell ref="AL4:AL5"/>
    <mergeCell ref="AM4:AM5"/>
    <mergeCell ref="AI89:AM89"/>
    <mergeCell ref="AI90:AI92"/>
    <mergeCell ref="AJ90:AJ92"/>
    <mergeCell ref="AK90:AK92"/>
    <mergeCell ref="AL90:AL92"/>
    <mergeCell ref="AM90:AM92"/>
    <mergeCell ref="AO1:AS2"/>
    <mergeCell ref="AO3:AS3"/>
    <mergeCell ref="AO4:AO5"/>
    <mergeCell ref="AP4:AP5"/>
    <mergeCell ref="AQ4:AQ5"/>
    <mergeCell ref="AR4:AR5"/>
    <mergeCell ref="AS4:AS5"/>
    <mergeCell ref="AO89:AS89"/>
    <mergeCell ref="AO90:AO92"/>
    <mergeCell ref="AP90:AP92"/>
    <mergeCell ref="AQ90:AQ92"/>
    <mergeCell ref="AR90:AR92"/>
    <mergeCell ref="AS90:AS92"/>
    <mergeCell ref="AU1:AY2"/>
    <mergeCell ref="AU3:AY3"/>
    <mergeCell ref="AU4:AU5"/>
    <mergeCell ref="AV4:AV5"/>
    <mergeCell ref="AW4:AW5"/>
    <mergeCell ref="AX4:AX5"/>
    <mergeCell ref="AY4:AY5"/>
    <mergeCell ref="AU89:AY89"/>
    <mergeCell ref="AU90:AU92"/>
    <mergeCell ref="AV90:AV92"/>
    <mergeCell ref="AW90:AW92"/>
    <mergeCell ref="AX90:AX92"/>
    <mergeCell ref="AY90:AY92"/>
    <mergeCell ref="BA1:BE2"/>
    <mergeCell ref="BA3:BE3"/>
    <mergeCell ref="BA4:BA5"/>
    <mergeCell ref="BB4:BB5"/>
    <mergeCell ref="BC4:BC5"/>
    <mergeCell ref="BD4:BD5"/>
    <mergeCell ref="BE4:BE5"/>
    <mergeCell ref="BA89:BE89"/>
    <mergeCell ref="BA90:BA92"/>
    <mergeCell ref="BB90:BB92"/>
    <mergeCell ref="BC90:BC92"/>
    <mergeCell ref="BD90:BD92"/>
    <mergeCell ref="BE90:BE92"/>
    <mergeCell ref="BG1:BK2"/>
    <mergeCell ref="BG3:BK3"/>
    <mergeCell ref="BG4:BG5"/>
    <mergeCell ref="BH4:BH5"/>
    <mergeCell ref="BI4:BI5"/>
    <mergeCell ref="BJ4:BJ5"/>
    <mergeCell ref="BK4:BK5"/>
    <mergeCell ref="BG89:BK89"/>
    <mergeCell ref="BG90:BG92"/>
    <mergeCell ref="BH90:BH92"/>
    <mergeCell ref="BI90:BI92"/>
    <mergeCell ref="BJ90:BJ92"/>
    <mergeCell ref="BK90:BK92"/>
    <mergeCell ref="BM1:BQ2"/>
    <mergeCell ref="BM3:BQ3"/>
    <mergeCell ref="BM4:BM5"/>
    <mergeCell ref="BN4:BN5"/>
    <mergeCell ref="BO4:BO5"/>
    <mergeCell ref="BP4:BP5"/>
    <mergeCell ref="BQ4:BQ5"/>
    <mergeCell ref="BM89:BQ89"/>
    <mergeCell ref="BM90:BM92"/>
    <mergeCell ref="BN90:BN92"/>
    <mergeCell ref="BO90:BO92"/>
    <mergeCell ref="BP90:BP92"/>
    <mergeCell ref="BQ90:BQ92"/>
    <mergeCell ref="BS1:BW2"/>
    <mergeCell ref="BS3:BW3"/>
    <mergeCell ref="BS4:BS5"/>
    <mergeCell ref="BT4:BT5"/>
    <mergeCell ref="BU4:BU5"/>
    <mergeCell ref="BV4:BV5"/>
    <mergeCell ref="BW4:BW5"/>
    <mergeCell ref="BS89:BW89"/>
    <mergeCell ref="BS90:BS92"/>
    <mergeCell ref="BT90:BT92"/>
    <mergeCell ref="BU90:BU92"/>
    <mergeCell ref="BV90:BV92"/>
    <mergeCell ref="BW90:BW92"/>
    <mergeCell ref="BY1:CC2"/>
    <mergeCell ref="BY3:CC3"/>
    <mergeCell ref="BY4:BY5"/>
    <mergeCell ref="BZ4:BZ5"/>
    <mergeCell ref="CA4:CA5"/>
    <mergeCell ref="CB4:CB5"/>
    <mergeCell ref="CC4:CC5"/>
    <mergeCell ref="BY89:CC89"/>
    <mergeCell ref="BY90:BY92"/>
    <mergeCell ref="BZ90:BZ92"/>
    <mergeCell ref="CA90:CA92"/>
    <mergeCell ref="CB90:CB92"/>
    <mergeCell ref="CC90:CC92"/>
    <mergeCell ref="CE1:CI2"/>
    <mergeCell ref="CE3:CI3"/>
    <mergeCell ref="CE4:CE5"/>
    <mergeCell ref="CF4:CF5"/>
    <mergeCell ref="CG4:CG5"/>
    <mergeCell ref="CH4:CH5"/>
    <mergeCell ref="CI4:CI5"/>
    <mergeCell ref="CE89:CI89"/>
    <mergeCell ref="CE90:CE92"/>
    <mergeCell ref="CF90:CF92"/>
    <mergeCell ref="CG90:CG92"/>
    <mergeCell ref="CH90:CH92"/>
    <mergeCell ref="CI90:CI92"/>
    <mergeCell ref="CK1:CO2"/>
    <mergeCell ref="CK3:CO3"/>
    <mergeCell ref="CK4:CK5"/>
    <mergeCell ref="CL4:CL5"/>
    <mergeCell ref="CM4:CM5"/>
    <mergeCell ref="CN4:CN5"/>
    <mergeCell ref="CO4:CO5"/>
    <mergeCell ref="CK89:CO89"/>
    <mergeCell ref="CK90:CK92"/>
    <mergeCell ref="CL90:CL92"/>
    <mergeCell ref="CM90:CM92"/>
    <mergeCell ref="CN90:CN92"/>
    <mergeCell ref="CO90:CO92"/>
    <mergeCell ref="CQ1:CU2"/>
    <mergeCell ref="CQ3:CU3"/>
    <mergeCell ref="CQ4:CQ5"/>
    <mergeCell ref="CR4:CR5"/>
    <mergeCell ref="CS4:CS5"/>
    <mergeCell ref="CT4:CT5"/>
    <mergeCell ref="CU4:CU5"/>
    <mergeCell ref="CQ89:CU89"/>
    <mergeCell ref="CQ90:CQ92"/>
    <mergeCell ref="CR90:CR92"/>
    <mergeCell ref="CS90:CS92"/>
    <mergeCell ref="CT90:CT92"/>
    <mergeCell ref="CU90:CU92"/>
    <mergeCell ref="CW1:DA2"/>
    <mergeCell ref="CW3:DA3"/>
    <mergeCell ref="CW4:CW5"/>
    <mergeCell ref="CX4:CX5"/>
    <mergeCell ref="CY4:CY5"/>
    <mergeCell ref="CZ4:CZ5"/>
    <mergeCell ref="DA4:DA5"/>
    <mergeCell ref="CW89:DA89"/>
    <mergeCell ref="CW90:CW92"/>
    <mergeCell ref="CX90:CX92"/>
    <mergeCell ref="CY90:CY92"/>
    <mergeCell ref="CZ90:CZ92"/>
    <mergeCell ref="DA90:DA92"/>
    <mergeCell ref="DC1:DG2"/>
    <mergeCell ref="DC3:DG3"/>
    <mergeCell ref="DC4:DC5"/>
    <mergeCell ref="DD4:DD5"/>
    <mergeCell ref="DE4:DE5"/>
    <mergeCell ref="DF4:DF5"/>
    <mergeCell ref="DG4:DG5"/>
    <mergeCell ref="DC89:DG89"/>
    <mergeCell ref="DC90:DC92"/>
    <mergeCell ref="DD90:DD92"/>
    <mergeCell ref="DE90:DE92"/>
    <mergeCell ref="DF90:DF92"/>
    <mergeCell ref="DG90:DG92"/>
    <mergeCell ref="DI1:DM2"/>
    <mergeCell ref="DI3:DM3"/>
    <mergeCell ref="DI4:DI5"/>
    <mergeCell ref="DJ4:DJ5"/>
    <mergeCell ref="DK4:DK5"/>
    <mergeCell ref="DL4:DL5"/>
    <mergeCell ref="DM4:DM5"/>
    <mergeCell ref="DI89:DM89"/>
    <mergeCell ref="DI90:DI92"/>
    <mergeCell ref="DJ90:DJ92"/>
    <mergeCell ref="DK90:DK92"/>
    <mergeCell ref="DL90:DL92"/>
    <mergeCell ref="DM90:DM92"/>
    <mergeCell ref="DO1:DS2"/>
    <mergeCell ref="DO3:DS3"/>
    <mergeCell ref="DO4:DO5"/>
    <mergeCell ref="DP4:DP5"/>
    <mergeCell ref="DQ4:DQ5"/>
    <mergeCell ref="DR4:DR5"/>
    <mergeCell ref="DS4:DS5"/>
    <mergeCell ref="DO89:DS89"/>
    <mergeCell ref="DO90:DO92"/>
    <mergeCell ref="DP90:DP92"/>
    <mergeCell ref="DQ90:DQ92"/>
    <mergeCell ref="DR90:DR92"/>
    <mergeCell ref="DS90:DS92"/>
    <mergeCell ref="DU1:DY2"/>
    <mergeCell ref="DU3:DY3"/>
    <mergeCell ref="DU4:DU5"/>
    <mergeCell ref="DV4:DV5"/>
    <mergeCell ref="DW4:DW5"/>
    <mergeCell ref="DX4:DX5"/>
    <mergeCell ref="DY4:DY5"/>
    <mergeCell ref="DU89:DY89"/>
    <mergeCell ref="DU90:DU92"/>
    <mergeCell ref="DV90:DV92"/>
    <mergeCell ref="DW90:DW92"/>
    <mergeCell ref="DX90:DX92"/>
    <mergeCell ref="DY90:DY92"/>
    <mergeCell ref="EA1:EE2"/>
    <mergeCell ref="EA3:EE3"/>
    <mergeCell ref="EA4:EA5"/>
    <mergeCell ref="EB4:EB5"/>
    <mergeCell ref="EC4:EC5"/>
    <mergeCell ref="ED4:ED5"/>
    <mergeCell ref="EE4:EE5"/>
    <mergeCell ref="EA89:EE89"/>
    <mergeCell ref="EA90:EA92"/>
    <mergeCell ref="EB90:EB92"/>
    <mergeCell ref="EC90:EC92"/>
    <mergeCell ref="ED90:ED92"/>
    <mergeCell ref="EE90:EE92"/>
    <mergeCell ref="EG1:EK2"/>
    <mergeCell ref="EG3:EK3"/>
    <mergeCell ref="EG4:EG5"/>
    <mergeCell ref="EH4:EH5"/>
    <mergeCell ref="EI4:EI5"/>
    <mergeCell ref="EJ4:EJ5"/>
    <mergeCell ref="EK4:EK5"/>
    <mergeCell ref="EG89:EK89"/>
    <mergeCell ref="EG90:EG92"/>
    <mergeCell ref="EH90:EH92"/>
    <mergeCell ref="EI90:EI92"/>
    <mergeCell ref="EJ90:EJ92"/>
    <mergeCell ref="EK90:EK92"/>
    <mergeCell ref="EM1:EQ2"/>
    <mergeCell ref="EM3:EQ3"/>
    <mergeCell ref="EM4:EM5"/>
    <mergeCell ref="EN4:EN5"/>
    <mergeCell ref="EO4:EO5"/>
    <mergeCell ref="EP4:EP5"/>
    <mergeCell ref="EQ4:EQ5"/>
    <mergeCell ref="EM89:EQ89"/>
    <mergeCell ref="EM90:EM92"/>
    <mergeCell ref="EN90:EN92"/>
    <mergeCell ref="EO90:EO92"/>
    <mergeCell ref="EP90:EP92"/>
    <mergeCell ref="EQ90:EQ92"/>
    <mergeCell ref="JU1:JY2"/>
    <mergeCell ref="JU3:JY3"/>
    <mergeCell ref="JU4:JU5"/>
    <mergeCell ref="JV4:JV5"/>
    <mergeCell ref="JW4:JW5"/>
    <mergeCell ref="JX4:JX5"/>
    <mergeCell ref="JY4:JY5"/>
    <mergeCell ref="JU89:JY89"/>
    <mergeCell ref="JU90:JU92"/>
    <mergeCell ref="JV90:JV92"/>
    <mergeCell ref="JW90:JW92"/>
    <mergeCell ref="JX90:JX92"/>
    <mergeCell ref="JY90:JY92"/>
    <mergeCell ref="KG1:KK2"/>
    <mergeCell ref="KG3:KK3"/>
    <mergeCell ref="KG4:KG5"/>
    <mergeCell ref="KH4:KH5"/>
    <mergeCell ref="KI4:KI5"/>
    <mergeCell ref="KJ4:KJ5"/>
    <mergeCell ref="KK4:KK5"/>
    <mergeCell ref="KG89:KK89"/>
    <mergeCell ref="KG90:KG92"/>
    <mergeCell ref="KH90:KH92"/>
    <mergeCell ref="KI90:KI92"/>
    <mergeCell ref="KJ90:KJ92"/>
    <mergeCell ref="KK90:KK92"/>
    <mergeCell ref="NA89:NE89"/>
    <mergeCell ref="NA90:NA92"/>
    <mergeCell ref="NB90:NB92"/>
    <mergeCell ref="NC90:NC92"/>
    <mergeCell ref="ND90:ND92"/>
    <mergeCell ref="NE90:NE92"/>
    <mergeCell ref="NA1:NE2"/>
    <mergeCell ref="NA3:NE3"/>
    <mergeCell ref="NA4:NA5"/>
    <mergeCell ref="NB4:NB5"/>
    <mergeCell ref="NC4:NC5"/>
    <mergeCell ref="ND4:ND5"/>
    <mergeCell ref="NE4:NE5"/>
    <mergeCell ref="NG89:NK89"/>
    <mergeCell ref="NG90:NG92"/>
    <mergeCell ref="NH90:NH92"/>
    <mergeCell ref="NI90:NI92"/>
    <mergeCell ref="NJ90:NJ92"/>
    <mergeCell ref="NK90:NK92"/>
    <mergeCell ref="NG1:NK2"/>
    <mergeCell ref="NG3:NK3"/>
    <mergeCell ref="NG4:NG5"/>
    <mergeCell ref="NH4:NH5"/>
    <mergeCell ref="NI4:NI5"/>
    <mergeCell ref="NJ4:NJ5"/>
    <mergeCell ref="NK4:NK5"/>
    <mergeCell ref="NM89:NQ89"/>
    <mergeCell ref="NM90:NM92"/>
    <mergeCell ref="NN90:NN92"/>
    <mergeCell ref="NO90:NO92"/>
    <mergeCell ref="NP90:NP92"/>
    <mergeCell ref="NQ90:NQ92"/>
    <mergeCell ref="NM1:NQ2"/>
    <mergeCell ref="NM3:NQ3"/>
    <mergeCell ref="NM4:NM5"/>
    <mergeCell ref="NN4:NN5"/>
    <mergeCell ref="NO4:NO5"/>
    <mergeCell ref="NP4:NP5"/>
    <mergeCell ref="NQ4:NQ5"/>
    <mergeCell ref="NS1:NW2"/>
    <mergeCell ref="NS3:NW3"/>
    <mergeCell ref="NS4:NS5"/>
    <mergeCell ref="NT4:NT5"/>
    <mergeCell ref="NU4:NU5"/>
    <mergeCell ref="NV4:NV5"/>
    <mergeCell ref="NW4:NW5"/>
    <mergeCell ref="NS89:NW89"/>
    <mergeCell ref="NS90:NS92"/>
    <mergeCell ref="NT90:NT92"/>
    <mergeCell ref="NU90:NU92"/>
    <mergeCell ref="NV90:NV92"/>
    <mergeCell ref="NW90:NW92"/>
    <mergeCell ref="NY1:OC2"/>
    <mergeCell ref="NY3:OC3"/>
    <mergeCell ref="NY4:NY5"/>
    <mergeCell ref="NZ4:NZ5"/>
    <mergeCell ref="OA4:OA5"/>
    <mergeCell ref="OB4:OB5"/>
    <mergeCell ref="OC4:OC5"/>
    <mergeCell ref="NY89:OC89"/>
    <mergeCell ref="NY90:NY92"/>
    <mergeCell ref="NZ90:NZ92"/>
    <mergeCell ref="OA90:OA92"/>
    <mergeCell ref="OB90:OB92"/>
    <mergeCell ref="OC90:OC92"/>
    <mergeCell ref="OE1:OI2"/>
    <mergeCell ref="OE3:OI3"/>
    <mergeCell ref="OE4:OE5"/>
    <mergeCell ref="OF4:OF5"/>
    <mergeCell ref="OG4:OG5"/>
    <mergeCell ref="OH4:OH5"/>
    <mergeCell ref="OI4:OI5"/>
    <mergeCell ref="OE89:OI89"/>
    <mergeCell ref="OE90:OE92"/>
    <mergeCell ref="OF90:OF92"/>
    <mergeCell ref="OG90:OG92"/>
    <mergeCell ref="OH90:OH92"/>
    <mergeCell ref="OI90:OI92"/>
  </mergeCells>
  <pageMargins left="0.7" right="0.7" top="0.75" bottom="0.75" header="0.3" footer="0.3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EH171"/>
  <sheetViews>
    <sheetView topLeftCell="A139" zoomScaleNormal="100" workbookViewId="0">
      <pane xSplit="1" topLeftCell="DX1" activePane="topRight" state="frozen"/>
      <selection pane="topRight" activeCell="DX149" sqref="DX149"/>
    </sheetView>
  </sheetViews>
  <sheetFormatPr defaultRowHeight="14.5"/>
  <cols>
    <col min="1" max="1" width="64.54296875" bestFit="1" customWidth="1"/>
    <col min="2" max="2" width="10" bestFit="1" customWidth="1"/>
    <col min="3" max="23" width="9.81640625" customWidth="1"/>
    <col min="24" max="26" width="10" bestFit="1" customWidth="1"/>
    <col min="27" max="47" width="9.81640625" customWidth="1"/>
    <col min="48" max="51" width="10" bestFit="1" customWidth="1"/>
    <col min="52" max="53" width="10.26953125" bestFit="1" customWidth="1"/>
    <col min="54" max="55" width="10.54296875" bestFit="1" customWidth="1"/>
    <col min="56" max="57" width="10.453125" bestFit="1" customWidth="1"/>
    <col min="58" max="59" width="11" bestFit="1" customWidth="1"/>
    <col min="60" max="61" width="10.1796875" bestFit="1" customWidth="1"/>
    <col min="62" max="63" width="9.54296875" bestFit="1" customWidth="1"/>
    <col min="64" max="65" width="10.81640625" bestFit="1" customWidth="1"/>
    <col min="66" max="67" width="10.26953125" bestFit="1" customWidth="1"/>
    <col min="68" max="69" width="10.1796875" bestFit="1" customWidth="1"/>
    <col min="70" max="71" width="10.7265625" bestFit="1" customWidth="1"/>
    <col min="72" max="73" width="10.453125" bestFit="1" customWidth="1"/>
    <col min="74" max="75" width="10" bestFit="1" customWidth="1"/>
    <col min="76" max="77" width="10.26953125" bestFit="1" customWidth="1"/>
    <col min="78" max="79" width="10.54296875" bestFit="1" customWidth="1"/>
    <col min="80" max="81" width="10.453125" bestFit="1" customWidth="1"/>
    <col min="82" max="83" width="11" bestFit="1" customWidth="1"/>
    <col min="84" max="85" width="10.1796875" bestFit="1" customWidth="1"/>
    <col min="86" max="87" width="9.54296875" bestFit="1" customWidth="1"/>
    <col min="88" max="89" width="10.81640625" bestFit="1" customWidth="1"/>
    <col min="90" max="92" width="10.26953125" bestFit="1" customWidth="1"/>
    <col min="93" max="93" width="9.26953125" customWidth="1"/>
    <col min="94" max="94" width="10.1796875" customWidth="1"/>
    <col min="95" max="95" width="10.453125" customWidth="1"/>
    <col min="96" max="96" width="10.1796875" customWidth="1"/>
    <col min="97" max="97" width="10.453125" customWidth="1"/>
    <col min="98" max="98" width="9.1796875" customWidth="1"/>
    <col min="99" max="99" width="9.453125" customWidth="1"/>
    <col min="100" max="100" width="9.26953125" bestFit="1" customWidth="1"/>
    <col min="101" max="101" width="9.453125" customWidth="1"/>
    <col min="102" max="102" width="10.1796875" customWidth="1"/>
    <col min="103" max="104" width="9.54296875" customWidth="1"/>
    <col min="105" max="111" width="9.1796875" customWidth="1"/>
    <col min="112" max="112" width="9.54296875" customWidth="1"/>
    <col min="113" max="113" width="10.7265625" customWidth="1"/>
    <col min="114" max="114" width="10.26953125" customWidth="1"/>
    <col min="115" max="115" width="9.7265625" customWidth="1"/>
    <col min="116" max="121" width="10.54296875" customWidth="1"/>
    <col min="122" max="122" width="9.7265625" bestFit="1" customWidth="1"/>
    <col min="123" max="127" width="9.26953125" bestFit="1" customWidth="1"/>
    <col min="128" max="128" width="9.54296875" customWidth="1"/>
    <col min="129" max="129" width="10" customWidth="1"/>
    <col min="130" max="130" width="9.54296875" customWidth="1"/>
    <col min="131" max="131" width="9.7265625" customWidth="1"/>
    <col min="132" max="132" width="9" customWidth="1"/>
    <col min="133" max="133" width="9.54296875" customWidth="1"/>
  </cols>
  <sheetData>
    <row r="1" spans="1:138" ht="15.5">
      <c r="A1" s="177" t="s">
        <v>120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8"/>
      <c r="BZ1" s="178"/>
      <c r="CA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</row>
    <row r="2" spans="1:138">
      <c r="A2" s="179"/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</row>
    <row r="3" spans="1:138">
      <c r="A3" s="180" t="s">
        <v>121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178"/>
      <c r="BJ3" s="178"/>
      <c r="BK3" s="178"/>
      <c r="BL3" s="178"/>
      <c r="BM3" s="178"/>
      <c r="BN3" s="178"/>
      <c r="BO3" s="178"/>
      <c r="BP3" s="178"/>
      <c r="BQ3" s="178"/>
      <c r="BR3" s="178"/>
      <c r="BS3" s="178"/>
      <c r="BT3" s="178"/>
      <c r="BU3" s="178"/>
      <c r="BV3" s="178"/>
      <c r="BW3" s="178"/>
      <c r="BX3" s="178"/>
      <c r="BY3" s="178"/>
      <c r="BZ3" s="178"/>
      <c r="CA3" s="178"/>
      <c r="CF3" s="178"/>
      <c r="CG3" s="178"/>
      <c r="CH3" s="178"/>
      <c r="CI3" s="178"/>
      <c r="CJ3" s="178"/>
      <c r="CK3" s="178"/>
      <c r="CL3" s="178"/>
      <c r="CM3" s="178"/>
      <c r="CN3" s="178"/>
      <c r="CO3" s="178"/>
    </row>
    <row r="4" spans="1:138">
      <c r="A4" s="181"/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178"/>
      <c r="AI4" s="178"/>
      <c r="AJ4" s="178"/>
      <c r="AK4" s="178"/>
      <c r="AL4" s="178"/>
      <c r="AM4" s="178"/>
      <c r="AN4" s="178"/>
      <c r="AO4" s="178"/>
      <c r="AP4" s="178"/>
      <c r="AQ4" s="178"/>
      <c r="AR4" s="178"/>
      <c r="AS4" s="178"/>
      <c r="AT4" s="178"/>
      <c r="AU4" s="178"/>
      <c r="AV4" s="178"/>
      <c r="AW4" s="178"/>
      <c r="AX4" s="178"/>
      <c r="AY4" s="178"/>
      <c r="AZ4" s="178"/>
      <c r="BA4" s="178"/>
      <c r="BB4" s="178"/>
      <c r="BC4" s="178"/>
      <c r="BD4" s="178"/>
      <c r="BE4" s="178"/>
      <c r="BF4" s="178"/>
      <c r="BG4" s="178"/>
      <c r="BH4" s="178"/>
      <c r="BI4" s="178"/>
      <c r="BJ4" s="178"/>
      <c r="BK4" s="178"/>
      <c r="BL4" s="178"/>
      <c r="BM4" s="178"/>
      <c r="BN4" s="178"/>
      <c r="BO4" s="178"/>
      <c r="BP4" s="178"/>
      <c r="BQ4" s="178"/>
      <c r="BR4" s="178"/>
      <c r="BS4" s="178"/>
      <c r="BT4" s="178"/>
      <c r="BU4" s="178"/>
      <c r="BV4" s="178"/>
      <c r="BW4" s="178"/>
      <c r="BX4" s="178"/>
      <c r="BY4" s="178"/>
      <c r="BZ4" s="178"/>
      <c r="CA4" s="178"/>
      <c r="CF4" s="178"/>
      <c r="CG4" s="178"/>
      <c r="CH4" s="178"/>
      <c r="CI4" s="178"/>
      <c r="CJ4" s="178"/>
      <c r="CK4" s="178"/>
      <c r="CL4" s="178"/>
      <c r="CM4" s="178"/>
      <c r="CN4" s="178"/>
      <c r="CO4" s="178"/>
    </row>
    <row r="5" spans="1:138">
      <c r="A5" s="851" t="s">
        <v>56</v>
      </c>
      <c r="B5" s="655" t="s">
        <v>277</v>
      </c>
      <c r="C5" s="655" t="s">
        <v>278</v>
      </c>
      <c r="D5" s="655" t="s">
        <v>279</v>
      </c>
      <c r="E5" s="655" t="s">
        <v>280</v>
      </c>
      <c r="F5" s="655" t="s">
        <v>281</v>
      </c>
      <c r="G5" s="655" t="s">
        <v>282</v>
      </c>
      <c r="H5" s="601" t="s">
        <v>283</v>
      </c>
      <c r="I5" s="601" t="s">
        <v>284</v>
      </c>
      <c r="J5" s="601" t="s">
        <v>285</v>
      </c>
      <c r="K5" s="601" t="s">
        <v>286</v>
      </c>
      <c r="L5" s="601" t="s">
        <v>287</v>
      </c>
      <c r="M5" s="601" t="s">
        <v>288</v>
      </c>
      <c r="N5" s="185" t="s">
        <v>289</v>
      </c>
      <c r="O5" s="185" t="s">
        <v>290</v>
      </c>
      <c r="P5" s="185" t="s">
        <v>291</v>
      </c>
      <c r="Q5" s="185" t="s">
        <v>292</v>
      </c>
      <c r="R5" s="185" t="s">
        <v>293</v>
      </c>
      <c r="S5" s="185" t="s">
        <v>294</v>
      </c>
      <c r="T5" s="227" t="s">
        <v>295</v>
      </c>
      <c r="U5" s="227" t="s">
        <v>296</v>
      </c>
      <c r="V5" s="227" t="s">
        <v>297</v>
      </c>
      <c r="W5" s="227" t="s">
        <v>298</v>
      </c>
      <c r="X5" s="227" t="s">
        <v>299</v>
      </c>
      <c r="Y5" s="227" t="s">
        <v>333</v>
      </c>
      <c r="Z5" s="600" t="s">
        <v>255</v>
      </c>
      <c r="AA5" s="600" t="s">
        <v>256</v>
      </c>
      <c r="AB5" s="600" t="s">
        <v>257</v>
      </c>
      <c r="AC5" s="600" t="s">
        <v>258</v>
      </c>
      <c r="AD5" s="600" t="s">
        <v>259</v>
      </c>
      <c r="AE5" s="600" t="s">
        <v>260</v>
      </c>
      <c r="AF5" s="657" t="s">
        <v>261</v>
      </c>
      <c r="AG5" s="657" t="s">
        <v>262</v>
      </c>
      <c r="AH5" s="657" t="s">
        <v>263</v>
      </c>
      <c r="AI5" s="657" t="s">
        <v>264</v>
      </c>
      <c r="AJ5" s="657" t="s">
        <v>265</v>
      </c>
      <c r="AK5" s="657" t="s">
        <v>266</v>
      </c>
      <c r="AL5" s="658" t="s">
        <v>267</v>
      </c>
      <c r="AM5" s="658" t="s">
        <v>268</v>
      </c>
      <c r="AN5" s="658" t="s">
        <v>269</v>
      </c>
      <c r="AO5" s="658" t="s">
        <v>270</v>
      </c>
      <c r="AP5" s="658" t="s">
        <v>271</v>
      </c>
      <c r="AQ5" s="658" t="s">
        <v>272</v>
      </c>
      <c r="AR5" s="184" t="s">
        <v>273</v>
      </c>
      <c r="AS5" s="184" t="s">
        <v>274</v>
      </c>
      <c r="AT5" s="184" t="s">
        <v>275</v>
      </c>
      <c r="AU5" s="184" t="s">
        <v>276</v>
      </c>
      <c r="AV5" s="184" t="s">
        <v>254</v>
      </c>
      <c r="AW5" s="184" t="s">
        <v>332</v>
      </c>
      <c r="AX5" s="602" t="s">
        <v>123</v>
      </c>
      <c r="AY5" s="602" t="s">
        <v>124</v>
      </c>
      <c r="AZ5" s="602" t="s">
        <v>125</v>
      </c>
      <c r="BA5" s="602" t="s">
        <v>126</v>
      </c>
      <c r="BB5" s="602" t="s">
        <v>127</v>
      </c>
      <c r="BC5" s="602" t="s">
        <v>128</v>
      </c>
      <c r="BD5" s="654" t="s">
        <v>129</v>
      </c>
      <c r="BE5" s="654" t="s">
        <v>130</v>
      </c>
      <c r="BF5" s="654" t="s">
        <v>131</v>
      </c>
      <c r="BG5" s="654" t="s">
        <v>132</v>
      </c>
      <c r="BH5" s="654" t="s">
        <v>133</v>
      </c>
      <c r="BI5" s="654" t="s">
        <v>134</v>
      </c>
      <c r="BJ5" s="659" t="s">
        <v>135</v>
      </c>
      <c r="BK5" s="659" t="s">
        <v>136</v>
      </c>
      <c r="BL5" s="659" t="s">
        <v>137</v>
      </c>
      <c r="BM5" s="659" t="s">
        <v>138</v>
      </c>
      <c r="BN5" s="659" t="s">
        <v>139</v>
      </c>
      <c r="BO5" s="659" t="s">
        <v>140</v>
      </c>
      <c r="BP5" s="228" t="s">
        <v>141</v>
      </c>
      <c r="BQ5" s="228" t="s">
        <v>142</v>
      </c>
      <c r="BR5" s="228" t="s">
        <v>143</v>
      </c>
      <c r="BS5" s="228" t="s">
        <v>144</v>
      </c>
      <c r="BT5" s="228" t="s">
        <v>145</v>
      </c>
      <c r="BU5" s="228" t="s">
        <v>146</v>
      </c>
      <c r="BV5" s="183" t="s">
        <v>147</v>
      </c>
      <c r="BW5" s="183" t="s">
        <v>148</v>
      </c>
      <c r="BX5" s="183" t="s">
        <v>149</v>
      </c>
      <c r="BY5" s="183" t="s">
        <v>150</v>
      </c>
      <c r="BZ5" s="183" t="s">
        <v>151</v>
      </c>
      <c r="CA5" s="183" t="s">
        <v>152</v>
      </c>
      <c r="CB5" s="656" t="s">
        <v>153</v>
      </c>
      <c r="CC5" s="656" t="s">
        <v>154</v>
      </c>
      <c r="CD5" s="656" t="s">
        <v>155</v>
      </c>
      <c r="CE5" s="656" t="s">
        <v>156</v>
      </c>
      <c r="CF5" s="656" t="s">
        <v>324</v>
      </c>
      <c r="CG5" s="761" t="s">
        <v>325</v>
      </c>
      <c r="CH5" s="762" t="s">
        <v>326</v>
      </c>
      <c r="CI5" s="762" t="s">
        <v>327</v>
      </c>
      <c r="CJ5" s="762" t="s">
        <v>328</v>
      </c>
      <c r="CK5" s="762" t="s">
        <v>329</v>
      </c>
      <c r="CL5" s="762" t="s">
        <v>330</v>
      </c>
      <c r="CM5" s="762" t="s">
        <v>331</v>
      </c>
      <c r="CN5" s="793" t="s">
        <v>339</v>
      </c>
      <c r="CO5" s="793" t="s">
        <v>340</v>
      </c>
      <c r="CP5" s="793" t="s">
        <v>385</v>
      </c>
      <c r="CQ5" s="793" t="s">
        <v>386</v>
      </c>
      <c r="CR5" s="793" t="s">
        <v>387</v>
      </c>
      <c r="CS5" s="793" t="s">
        <v>388</v>
      </c>
      <c r="CT5" s="785" t="s">
        <v>394</v>
      </c>
      <c r="CU5" s="785" t="s">
        <v>395</v>
      </c>
      <c r="CV5" s="785" t="s">
        <v>396</v>
      </c>
      <c r="CW5" s="785" t="s">
        <v>397</v>
      </c>
      <c r="CX5" s="785" t="s">
        <v>398</v>
      </c>
      <c r="CY5" s="785" t="s">
        <v>399</v>
      </c>
      <c r="CZ5" s="795" t="s">
        <v>405</v>
      </c>
      <c r="DA5" s="795" t="s">
        <v>406</v>
      </c>
      <c r="DB5" s="795" t="s">
        <v>407</v>
      </c>
      <c r="DC5" s="795" t="s">
        <v>408</v>
      </c>
      <c r="DD5" s="795" t="s">
        <v>409</v>
      </c>
      <c r="DE5" s="795" t="s">
        <v>410</v>
      </c>
      <c r="DF5" s="804" t="s">
        <v>418</v>
      </c>
      <c r="DG5" s="804" t="s">
        <v>419</v>
      </c>
      <c r="DH5" s="804" t="s">
        <v>420</v>
      </c>
      <c r="DI5" s="804" t="s">
        <v>421</v>
      </c>
      <c r="DJ5" s="804" t="s">
        <v>422</v>
      </c>
      <c r="DK5" s="804" t="s">
        <v>423</v>
      </c>
      <c r="DL5" s="807" t="s">
        <v>424</v>
      </c>
      <c r="DM5" s="807" t="s">
        <v>425</v>
      </c>
      <c r="DN5" s="807" t="s">
        <v>426</v>
      </c>
      <c r="DO5" s="807" t="s">
        <v>427</v>
      </c>
      <c r="DP5" s="807" t="s">
        <v>428</v>
      </c>
      <c r="DQ5" s="807" t="s">
        <v>429</v>
      </c>
      <c r="DR5" s="829" t="s">
        <v>436</v>
      </c>
      <c r="DS5" s="829" t="s">
        <v>437</v>
      </c>
      <c r="DT5" s="829" t="s">
        <v>438</v>
      </c>
      <c r="DU5" s="829" t="s">
        <v>439</v>
      </c>
      <c r="DV5" s="829" t="s">
        <v>440</v>
      </c>
      <c r="DW5" s="829" t="s">
        <v>441</v>
      </c>
      <c r="DX5" s="920" t="s">
        <v>451</v>
      </c>
      <c r="DY5" s="920" t="s">
        <v>452</v>
      </c>
      <c r="DZ5" s="920" t="s">
        <v>453</v>
      </c>
      <c r="EA5" s="920" t="s">
        <v>454</v>
      </c>
      <c r="EB5" s="920" t="s">
        <v>455</v>
      </c>
      <c r="EC5" s="920" t="s">
        <v>456</v>
      </c>
    </row>
    <row r="6" spans="1:138" s="857" customFormat="1">
      <c r="A6" s="871" t="s">
        <v>445</v>
      </c>
      <c r="B6" s="875">
        <f>AVERAGE(B7:B13)</f>
        <v>645.80402245527978</v>
      </c>
      <c r="C6" s="875">
        <f t="shared" ref="C6:BN6" si="0">AVERAGE(C7:C13)</f>
        <v>1034.5883673741639</v>
      </c>
      <c r="D6" s="875">
        <f t="shared" si="0"/>
        <v>442.55561229044787</v>
      </c>
      <c r="E6" s="875">
        <f t="shared" si="0"/>
        <v>343.27457916984378</v>
      </c>
      <c r="F6" s="875">
        <f t="shared" si="0"/>
        <v>550.79470702106448</v>
      </c>
      <c r="G6" s="875">
        <f t="shared" si="0"/>
        <v>693.81665744670306</v>
      </c>
      <c r="H6" s="875">
        <f t="shared" si="0"/>
        <v>437.6399306676247</v>
      </c>
      <c r="I6" s="875">
        <f t="shared" si="0"/>
        <v>586.75482943793475</v>
      </c>
      <c r="J6" s="875">
        <f t="shared" si="0"/>
        <v>528.24286300099743</v>
      </c>
      <c r="K6" s="875">
        <f t="shared" si="0"/>
        <v>461.66231166377037</v>
      </c>
      <c r="L6" s="875">
        <f t="shared" si="0"/>
        <v>0</v>
      </c>
      <c r="M6" s="875">
        <f t="shared" si="0"/>
        <v>517.95548422505101</v>
      </c>
      <c r="N6" s="875">
        <f t="shared" si="0"/>
        <v>1487.169954069712</v>
      </c>
      <c r="O6" s="875">
        <f t="shared" si="0"/>
        <v>0</v>
      </c>
      <c r="P6" s="875">
        <f t="shared" si="0"/>
        <v>1049.4873475643324</v>
      </c>
      <c r="Q6" s="875">
        <f t="shared" si="0"/>
        <v>389.10526480951677</v>
      </c>
      <c r="R6" s="875">
        <f t="shared" si="0"/>
        <v>400.74916287780644</v>
      </c>
      <c r="S6" s="875">
        <f t="shared" si="0"/>
        <v>360.0152209089494</v>
      </c>
      <c r="T6" s="875">
        <f t="shared" si="0"/>
        <v>0</v>
      </c>
      <c r="U6" s="875">
        <f t="shared" si="0"/>
        <v>0</v>
      </c>
      <c r="V6" s="875">
        <f t="shared" si="0"/>
        <v>0</v>
      </c>
      <c r="W6" s="875">
        <f t="shared" si="0"/>
        <v>0</v>
      </c>
      <c r="X6" s="875">
        <f t="shared" si="0"/>
        <v>1276.6226705275492</v>
      </c>
      <c r="Y6" s="875">
        <f t="shared" si="0"/>
        <v>0</v>
      </c>
      <c r="Z6" s="875">
        <f t="shared" si="0"/>
        <v>1049.4873475643324</v>
      </c>
      <c r="AA6" s="875">
        <f t="shared" si="0"/>
        <v>403.70634054620734</v>
      </c>
      <c r="AB6" s="875">
        <f t="shared" si="0"/>
        <v>1094.7021663027815</v>
      </c>
      <c r="AC6" s="875">
        <f t="shared" si="0"/>
        <v>0</v>
      </c>
      <c r="AD6" s="875">
        <f t="shared" si="0"/>
        <v>218.11063805707417</v>
      </c>
      <c r="AE6" s="875">
        <f t="shared" si="0"/>
        <v>1237.3223701701484</v>
      </c>
      <c r="AF6" s="875">
        <f t="shared" si="0"/>
        <v>0</v>
      </c>
      <c r="AG6" s="875">
        <f t="shared" si="0"/>
        <v>1591.7362684783645</v>
      </c>
      <c r="AH6" s="875">
        <f t="shared" si="0"/>
        <v>1253.2839985049036</v>
      </c>
      <c r="AI6" s="875">
        <f t="shared" si="0"/>
        <v>942.49809143475341</v>
      </c>
      <c r="AJ6" s="875">
        <f t="shared" si="0"/>
        <v>2634.8932528533578</v>
      </c>
      <c r="AK6" s="875">
        <f t="shared" si="0"/>
        <v>1906.1437996497264</v>
      </c>
      <c r="AL6" s="875">
        <f t="shared" si="0"/>
        <v>1575.8311492210378</v>
      </c>
      <c r="AM6" s="875">
        <f t="shared" si="0"/>
        <v>591.04238676190994</v>
      </c>
      <c r="AN6" s="875">
        <f t="shared" si="0"/>
        <v>0</v>
      </c>
      <c r="AO6" s="875">
        <f t="shared" si="0"/>
        <v>0</v>
      </c>
      <c r="AP6" s="875">
        <f t="shared" si="0"/>
        <v>0</v>
      </c>
      <c r="AQ6" s="875">
        <f t="shared" si="0"/>
        <v>0</v>
      </c>
      <c r="AR6" s="875">
        <f t="shared" si="0"/>
        <v>0</v>
      </c>
      <c r="AS6" s="875">
        <f t="shared" si="0"/>
        <v>0</v>
      </c>
      <c r="AT6" s="875">
        <f t="shared" si="0"/>
        <v>0</v>
      </c>
      <c r="AU6" s="875">
        <f t="shared" si="0"/>
        <v>0</v>
      </c>
      <c r="AV6" s="875">
        <f t="shared" si="0"/>
        <v>0</v>
      </c>
      <c r="AW6" s="875">
        <f t="shared" si="0"/>
        <v>0</v>
      </c>
      <c r="AX6" s="875">
        <f t="shared" si="0"/>
        <v>823.29071291378057</v>
      </c>
      <c r="AY6" s="875">
        <f t="shared" si="0"/>
        <v>0</v>
      </c>
      <c r="AZ6" s="875">
        <f t="shared" si="0"/>
        <v>1091.7420051595948</v>
      </c>
      <c r="BA6" s="875">
        <f t="shared" si="0"/>
        <v>466.80186285576264</v>
      </c>
      <c r="BB6" s="875">
        <f t="shared" si="0"/>
        <v>540.47704961327372</v>
      </c>
      <c r="BC6" s="875">
        <f t="shared" si="0"/>
        <v>672.28786623791189</v>
      </c>
      <c r="BD6" s="875">
        <f t="shared" si="0"/>
        <v>1025.5500215123352</v>
      </c>
      <c r="BE6" s="875">
        <f t="shared" si="0"/>
        <v>1565.8893825745167</v>
      </c>
      <c r="BF6" s="875">
        <f t="shared" si="0"/>
        <v>1503.3126231310846</v>
      </c>
      <c r="BG6" s="875">
        <f t="shared" si="0"/>
        <v>1649.5148275366287</v>
      </c>
      <c r="BH6" s="875">
        <f t="shared" si="0"/>
        <v>1288.2066126217446</v>
      </c>
      <c r="BI6" s="875">
        <f t="shared" si="0"/>
        <v>1396.6334710880662</v>
      </c>
      <c r="BJ6" s="875">
        <f t="shared" si="0"/>
        <v>1271.9892092787754</v>
      </c>
      <c r="BK6" s="875">
        <f t="shared" si="0"/>
        <v>1183.7591271049771</v>
      </c>
      <c r="BL6" s="875">
        <f t="shared" si="0"/>
        <v>1414.8503586446566</v>
      </c>
      <c r="BM6" s="875">
        <f t="shared" si="0"/>
        <v>1531.5579196773617</v>
      </c>
      <c r="BN6" s="875">
        <f t="shared" si="0"/>
        <v>867.27517167030965</v>
      </c>
      <c r="BO6" s="875">
        <f t="shared" ref="BO6:DW6" si="1">AVERAGE(BO7:BO13)</f>
        <v>639.46100635263554</v>
      </c>
      <c r="BP6" s="875">
        <f t="shared" si="1"/>
        <v>1000.9735720901339</v>
      </c>
      <c r="BQ6" s="875">
        <f t="shared" si="1"/>
        <v>715.58670429934318</v>
      </c>
      <c r="BR6" s="875">
        <f t="shared" si="1"/>
        <v>1035.1500192455603</v>
      </c>
      <c r="BS6" s="875">
        <f t="shared" si="1"/>
        <v>451.30724987088826</v>
      </c>
      <c r="BT6" s="875">
        <f t="shared" si="1"/>
        <v>1920.618203991166</v>
      </c>
      <c r="BU6" s="875">
        <f t="shared" si="1"/>
        <v>1514.1709477151542</v>
      </c>
      <c r="BV6" s="875">
        <f t="shared" si="1"/>
        <v>597.80948082904456</v>
      </c>
      <c r="BW6" s="875">
        <f t="shared" si="1"/>
        <v>1068.4952031801058</v>
      </c>
      <c r="BX6" s="875">
        <f t="shared" si="1"/>
        <v>437.2597466793564</v>
      </c>
      <c r="BY6" s="875">
        <f t="shared" si="1"/>
        <v>309.70478119004576</v>
      </c>
      <c r="BZ6" s="875">
        <f t="shared" si="1"/>
        <v>1413.749701867388</v>
      </c>
      <c r="CA6" s="875">
        <f t="shared" si="1"/>
        <v>1542.7169667096277</v>
      </c>
      <c r="CB6" s="875">
        <f t="shared" si="1"/>
        <v>1428.8852683901425</v>
      </c>
      <c r="CC6" s="875">
        <f t="shared" si="1"/>
        <v>1355.8083956774483</v>
      </c>
      <c r="CD6" s="875">
        <f t="shared" si="1"/>
        <v>1199.5766450681781</v>
      </c>
      <c r="CE6" s="875">
        <f t="shared" si="1"/>
        <v>1791.1328389197338</v>
      </c>
      <c r="CF6" s="875">
        <f t="shared" si="1"/>
        <v>704.09538325814822</v>
      </c>
      <c r="CG6" s="875">
        <f t="shared" si="1"/>
        <v>1903.4754914868561</v>
      </c>
      <c r="CH6" s="875">
        <f t="shared" si="1"/>
        <v>2064.5863320628368</v>
      </c>
      <c r="CI6" s="875">
        <f t="shared" si="1"/>
        <v>1112.5177535835085</v>
      </c>
      <c r="CJ6" s="875">
        <f t="shared" si="1"/>
        <v>1809.8340215173369</v>
      </c>
      <c r="CK6" s="875">
        <f t="shared" si="1"/>
        <v>1347.2109868705459</v>
      </c>
      <c r="CL6" s="875">
        <f t="shared" si="1"/>
        <v>752.18573825721876</v>
      </c>
      <c r="CM6" s="875">
        <f t="shared" si="1"/>
        <v>908.15891575997125</v>
      </c>
      <c r="CN6" s="875">
        <f t="shared" si="1"/>
        <v>439.17417144983131</v>
      </c>
      <c r="CO6" s="875">
        <f t="shared" si="1"/>
        <v>1075.2435563757824</v>
      </c>
      <c r="CP6" s="875">
        <f t="shared" si="1"/>
        <v>1242.3836272758083</v>
      </c>
      <c r="CQ6" s="875">
        <f t="shared" si="1"/>
        <v>3788.1163539624135</v>
      </c>
      <c r="CR6" s="875">
        <f t="shared" si="1"/>
        <v>896.89014089896102</v>
      </c>
      <c r="CS6" s="875">
        <f t="shared" si="1"/>
        <v>840.34208257610237</v>
      </c>
      <c r="CT6" s="875">
        <f t="shared" si="1"/>
        <v>368.33160968389944</v>
      </c>
      <c r="CU6" s="875">
        <f t="shared" si="1"/>
        <v>758.31926790932391</v>
      </c>
      <c r="CV6" s="875">
        <f t="shared" si="1"/>
        <v>795.40405841841164</v>
      </c>
      <c r="CW6" s="875">
        <f t="shared" si="1"/>
        <v>902.92304933353512</v>
      </c>
      <c r="CX6" s="875">
        <f t="shared" si="1"/>
        <v>716.82764886290875</v>
      </c>
      <c r="CY6" s="875">
        <f t="shared" si="1"/>
        <v>727.97948879629075</v>
      </c>
      <c r="CZ6" s="875">
        <f t="shared" si="1"/>
        <v>0</v>
      </c>
      <c r="DA6" s="875">
        <f t="shared" si="1"/>
        <v>0</v>
      </c>
      <c r="DB6" s="875">
        <f t="shared" si="1"/>
        <v>0</v>
      </c>
      <c r="DC6" s="875">
        <f t="shared" si="1"/>
        <v>34.218073989471229</v>
      </c>
      <c r="DD6" s="875">
        <f t="shared" si="1"/>
        <v>74.041433595041056</v>
      </c>
      <c r="DE6" s="875">
        <f t="shared" si="1"/>
        <v>224.67834619351106</v>
      </c>
      <c r="DF6" s="875">
        <f t="shared" si="1"/>
        <v>48.299714595764321</v>
      </c>
      <c r="DG6" s="875">
        <f t="shared" si="1"/>
        <v>119.14018562899342</v>
      </c>
      <c r="DH6" s="875">
        <f t="shared" si="1"/>
        <v>243.13095604104083</v>
      </c>
      <c r="DI6" s="875">
        <f t="shared" si="1"/>
        <v>252.52664702833826</v>
      </c>
      <c r="DJ6" s="875">
        <f t="shared" si="1"/>
        <v>533.29076938356116</v>
      </c>
      <c r="DK6" s="875">
        <f t="shared" si="1"/>
        <v>448.03313415662893</v>
      </c>
      <c r="DL6" s="875">
        <f t="shared" si="1"/>
        <v>580.95055410691725</v>
      </c>
      <c r="DM6" s="875">
        <f t="shared" si="1"/>
        <v>477.05499317688185</v>
      </c>
      <c r="DN6" s="875">
        <f t="shared" si="1"/>
        <v>422.4978423155614</v>
      </c>
      <c r="DO6" s="875">
        <f t="shared" si="1"/>
        <v>452.39232336131482</v>
      </c>
      <c r="DP6" s="875">
        <f t="shared" si="1"/>
        <v>485.70326941681088</v>
      </c>
      <c r="DQ6" s="875">
        <f t="shared" si="1"/>
        <v>477.77201942235246</v>
      </c>
      <c r="DR6" s="875">
        <f>AVERAGE(DR7:DR13)</f>
        <v>1403.8206108906654</v>
      </c>
      <c r="DS6" s="875">
        <f t="shared" si="1"/>
        <v>1033.7049804230228</v>
      </c>
      <c r="DT6" s="875">
        <f t="shared" si="1"/>
        <v>889.62511985464027</v>
      </c>
      <c r="DU6" s="875">
        <f t="shared" si="1"/>
        <v>885.86812731782686</v>
      </c>
      <c r="DV6" s="875">
        <f t="shared" si="1"/>
        <v>817.44452651454583</v>
      </c>
      <c r="DW6" s="874">
        <f t="shared" si="1"/>
        <v>976.25139164873929</v>
      </c>
      <c r="DX6" s="875">
        <f>AVERAGE(DX7:DX13)</f>
        <v>948.82106382992265</v>
      </c>
      <c r="DY6" s="875">
        <f>AVERAGE(DY7:DY13)</f>
        <v>644.03470182046942</v>
      </c>
      <c r="DZ6" s="875">
        <f t="shared" ref="DZ6:EC6" si="2">AVERAGE(DZ7:DZ13)</f>
        <v>664.1232249189776</v>
      </c>
      <c r="EA6" s="875">
        <f t="shared" si="2"/>
        <v>923.73936299384889</v>
      </c>
      <c r="EB6" s="875">
        <f t="shared" si="2"/>
        <v>1077.7858280450057</v>
      </c>
      <c r="EC6" s="874">
        <f t="shared" si="2"/>
        <v>1022.7220084057526</v>
      </c>
      <c r="ED6" s="873"/>
      <c r="EE6" s="873"/>
      <c r="EF6" s="873"/>
      <c r="EG6" s="873"/>
      <c r="EH6" s="873"/>
    </row>
    <row r="7" spans="1:138">
      <c r="A7" s="186" t="s">
        <v>9</v>
      </c>
      <c r="B7" s="190">
        <f>'Volume Data Entry'!H8</f>
        <v>15.409056603773585</v>
      </c>
      <c r="C7" s="190">
        <f>'Volume Data Entry'!H69</f>
        <v>0</v>
      </c>
      <c r="D7" s="190">
        <f>'Volume Data Entry'!P8</f>
        <v>29.578516590761225</v>
      </c>
      <c r="E7" s="190">
        <f>'Volume Data Entry'!P69</f>
        <v>0</v>
      </c>
      <c r="F7" s="190">
        <f>'Volume Data Entry'!X8</f>
        <v>87.820169160702662</v>
      </c>
      <c r="G7" s="190">
        <f>'Volume Data Entry'!X69</f>
        <v>178.25300585556278</v>
      </c>
      <c r="H7" s="190">
        <f>'Volume Data Entry'!AF8</f>
        <v>111.71566037735849</v>
      </c>
      <c r="I7" s="190">
        <f>'Volume Data Entry'!AF69</f>
        <v>53.931698113207545</v>
      </c>
      <c r="J7" s="190">
        <f>'Volume Data Entry'!AN8</f>
        <v>104.01113207547171</v>
      </c>
      <c r="K7" s="190">
        <f>'Volume Data Entry'!AN69</f>
        <v>117.85637605725438</v>
      </c>
      <c r="L7" s="190">
        <f>'Volume Data Entry'!AV8</f>
        <v>0</v>
      </c>
      <c r="M7" s="190">
        <f>'Volume Data Entry'!AV69</f>
        <v>48.057931034482756</v>
      </c>
      <c r="N7" s="190">
        <f>'Volume Data Entry'!BD8</f>
        <v>194.71091737150294</v>
      </c>
      <c r="O7" s="190">
        <f>'Volume Data Entry'!BD69</f>
        <v>0</v>
      </c>
      <c r="P7" s="190">
        <f>'Volume Data Entry'!BL8</f>
        <v>328.16709173715032</v>
      </c>
      <c r="Q7" s="190">
        <f>'Volume Data Entry'!BL69</f>
        <v>319.7379245283019</v>
      </c>
      <c r="R7" s="190">
        <f>'Volume Data Entry'!BT8</f>
        <v>115.56792452830189</v>
      </c>
      <c r="S7" s="190">
        <f>'Volume Data Entry'!BT69</f>
        <v>48.057931034482756</v>
      </c>
      <c r="T7" s="190">
        <f>'Volume Data Entry'!CB8</f>
        <v>0</v>
      </c>
      <c r="U7" s="190">
        <f>'Volume Data Entry'!CB69</f>
        <v>0</v>
      </c>
      <c r="V7" s="190">
        <f>'Volume Data Entry'!CJ8</f>
        <v>0</v>
      </c>
      <c r="W7" s="190">
        <f>'Volume Data Entry'!CJ69</f>
        <v>0</v>
      </c>
      <c r="X7" s="190">
        <f>'Volume Data Entry'!CR8</f>
        <v>30.036206896551722</v>
      </c>
      <c r="Y7" s="190">
        <f>'Volume Data Entry'!CR69</f>
        <v>0</v>
      </c>
      <c r="Z7" s="190">
        <f>'Volume Data Entry'!CZ8</f>
        <v>328.16709173715032</v>
      </c>
      <c r="AA7" s="190">
        <f>'Volume Data Entry'!CZ69</f>
        <v>73.193018867924536</v>
      </c>
      <c r="AB7" s="190">
        <f>'Volume Data Entry'!DH8</f>
        <v>62.551607026675342</v>
      </c>
      <c r="AC7" s="190">
        <f>'Volume Data Entry'!DH69</f>
        <v>0</v>
      </c>
      <c r="AD7" s="190">
        <f>'Volume Data Entry'!DP8</f>
        <v>198.23896551724138</v>
      </c>
      <c r="AE7" s="190">
        <f>'Volume Data Entry'!DP69</f>
        <v>293.63018867924529</v>
      </c>
      <c r="AF7" s="190">
        <f>'Volume Data Entry'!DX8</f>
        <v>0</v>
      </c>
      <c r="AG7" s="190">
        <f>'Volume Data Entry'!DX69</f>
        <v>366.68973324658424</v>
      </c>
      <c r="AH7" s="190">
        <f>'Volume Data Entry'!EF8</f>
        <v>561.13370201691612</v>
      </c>
      <c r="AI7" s="190">
        <f>'Volume Data Entry'!EF69</f>
        <v>497.41870527000651</v>
      </c>
      <c r="AJ7" s="190">
        <f>'Volume Data Entry'!EN8</f>
        <v>1385.5371698113208</v>
      </c>
      <c r="AK7" s="190">
        <f>'Volume Data Entry'!EN69</f>
        <v>459.41102147039686</v>
      </c>
      <c r="AL7" s="190">
        <f>'Volume Data Entry'!EV8</f>
        <v>1391.1245998698764</v>
      </c>
      <c r="AM7" s="190">
        <f>'Volume Data Entry'!EV69</f>
        <v>117.85637605725438</v>
      </c>
      <c r="AN7" s="190">
        <f>'Volume Data Entry'!FD8</f>
        <v>0</v>
      </c>
      <c r="AO7" s="190">
        <f>'Volume Data Entry'!FD69</f>
        <v>0</v>
      </c>
      <c r="AP7" s="190">
        <f>'Volume Data Entry'!FL8</f>
        <v>0</v>
      </c>
      <c r="AQ7" s="190">
        <f>'Volume Data Entry'!FL69</f>
        <v>0</v>
      </c>
      <c r="AR7" s="190">
        <f>'Volume Data Entry'!FT8</f>
        <v>0</v>
      </c>
      <c r="AS7" s="190">
        <f>'Volume Data Entry'!FT69</f>
        <v>0</v>
      </c>
      <c r="AT7" s="190">
        <f>'Volume Data Entry'!GB8</f>
        <v>0</v>
      </c>
      <c r="AU7" s="190">
        <f>'Volume Data Entry'!GB69</f>
        <v>0</v>
      </c>
      <c r="AV7" s="190">
        <f>'Volume Data Entry'!GJ8</f>
        <v>0</v>
      </c>
      <c r="AW7" s="190">
        <f>'Volume Data Entry'!GJ69</f>
        <v>0</v>
      </c>
      <c r="AX7" s="190">
        <f>'Volume Data Entry'!GR8</f>
        <v>328.16709173715032</v>
      </c>
      <c r="AY7" s="191">
        <f>'Volume Data Entry'!GR69</f>
        <v>0</v>
      </c>
      <c r="AZ7" s="190">
        <f>'Volume Data Entry'!GZ8</f>
        <v>38.522641509433967</v>
      </c>
      <c r="BA7" s="191">
        <f>'Volume Data Entry'!GZ69</f>
        <v>0</v>
      </c>
      <c r="BB7" s="190">
        <f>'Volume Data Entry'!HH8</f>
        <v>57.783962264150944</v>
      </c>
      <c r="BC7" s="191">
        <f>'Volume Data Entry'!HH69</f>
        <v>178.25300585556278</v>
      </c>
      <c r="BD7" s="190">
        <f>'Volume Data Entry'!HP8</f>
        <v>118.18059206245934</v>
      </c>
      <c r="BE7" s="191">
        <f>'Volume Data Entry'!HP69</f>
        <v>165.64735849056603</v>
      </c>
      <c r="BF7" s="190">
        <f>'Volume Data Entry'!HX8</f>
        <v>158.85821080026025</v>
      </c>
      <c r="BG7" s="191">
        <f>'Volume Data Entry'!HX69</f>
        <v>716.48280416395573</v>
      </c>
      <c r="BH7" s="190">
        <f>'Volume Data Entry'!IF8</f>
        <v>935.79491216655833</v>
      </c>
      <c r="BI7" s="191">
        <f>'Volume Data Entry'!IF69</f>
        <v>716.48280416395573</v>
      </c>
      <c r="BJ7" s="190">
        <f>'Volume Data Entry'!IN8</f>
        <v>422.12797657774888</v>
      </c>
      <c r="BK7" s="191">
        <f>'Volume Data Entry'!IN69</f>
        <v>962.18853610930387</v>
      </c>
      <c r="BL7" s="190">
        <f>'Volume Data Entry'!IV8</f>
        <v>1264.4959011060507</v>
      </c>
      <c r="BM7" s="191">
        <f>'Volume Data Entry'!IV69</f>
        <v>517.91962264150936</v>
      </c>
      <c r="BN7" s="190">
        <f>'Volume Data Entry'!JD8</f>
        <v>375.30964216005202</v>
      </c>
      <c r="BO7" s="191">
        <f>'Volume Data Entry'!JD69</f>
        <v>346.13154847104749</v>
      </c>
      <c r="BP7" s="190">
        <f>'Volume Data Entry'!JL8</f>
        <v>246.354163955758</v>
      </c>
      <c r="BQ7" s="191">
        <f>'Volume Data Entry'!JL69</f>
        <v>256.40441119063109</v>
      </c>
      <c r="BR7" s="190">
        <f>'Volume Data Entry'!JT8</f>
        <v>693.23574495770981</v>
      </c>
      <c r="BS7" s="191">
        <f>'Volume Data Entry'!JT69</f>
        <v>44.987573194534804</v>
      </c>
      <c r="BT7" s="190">
        <f>'Volume Data Entry'!KB8</f>
        <v>655.36153545868569</v>
      </c>
      <c r="BU7" s="191">
        <f>'Volume Data Entry'!KB69</f>
        <v>2171.1889264801562</v>
      </c>
      <c r="BV7" s="190">
        <f>'Volume Data Entry'!KJ8</f>
        <v>15.409056603773585</v>
      </c>
      <c r="BW7" s="191">
        <f>'Volume Data Entry'!KJ69</f>
        <v>0</v>
      </c>
      <c r="BX7" s="190">
        <f>'Volume Data Entry'!KR8</f>
        <v>29.578516590761225</v>
      </c>
      <c r="BY7" s="191">
        <f>'Volume Data Entry'!KR69</f>
        <v>0</v>
      </c>
      <c r="BZ7" s="190">
        <f>'Volume Data Entry'!KZ8</f>
        <v>84.101379310344825</v>
      </c>
      <c r="CA7" s="191">
        <f>'Volume Data Entry'!KZ69</f>
        <v>269.41048145738449</v>
      </c>
      <c r="CB7" s="190">
        <f>'Volume Data Entry'!LH8</f>
        <v>37.740735198438514</v>
      </c>
      <c r="CC7" s="191">
        <f>'Volume Data Entry'!LH69</f>
        <v>34.670377358490569</v>
      </c>
      <c r="CD7" s="190">
        <f>'Volume Data Entry'!LP8</f>
        <v>564.28026675341573</v>
      </c>
      <c r="CE7" s="191">
        <f>'Volume Data Entry'!LP69</f>
        <v>602.26901106050752</v>
      </c>
      <c r="CF7" s="190">
        <f>'Volume Data Entry'!LX8</f>
        <v>305.70193884189985</v>
      </c>
      <c r="CG7" s="757">
        <f>'Volume Data Entry'!LX69</f>
        <v>411.67730644111907</v>
      </c>
      <c r="CH7" s="759">
        <f>'Volume Data Entry'!MF8</f>
        <v>1788.7853090435915</v>
      </c>
      <c r="CI7" s="757">
        <f>'Volume Data Entry'!MF69</f>
        <v>146.38603773584907</v>
      </c>
      <c r="CJ7" s="759">
        <f>'Volume Data Entry'!MN8</f>
        <v>636.348223812622</v>
      </c>
      <c r="CK7" s="757">
        <f>'Volume Data Entry'!MN69</f>
        <v>392.35871828236827</v>
      </c>
      <c r="CL7" s="759">
        <f>'Volume Data Entry'!MV8</f>
        <v>438.5096811971373</v>
      </c>
      <c r="CM7" s="759">
        <f>'Volume Data Entry'!MV69</f>
        <v>481.41848405985684</v>
      </c>
      <c r="CN7" s="191">
        <f>'Volume Data Entry'!ND8</f>
        <v>323.20870527000648</v>
      </c>
      <c r="CO7" s="191">
        <f>'Volume Data Entry'!ND80</f>
        <v>483.7642029928432</v>
      </c>
      <c r="CP7" s="767">
        <f>'Volume Data Entry'!NL8</f>
        <v>738.49026675341577</v>
      </c>
      <c r="CQ7" s="767">
        <f>'Volume Data Entry'!NL80</f>
        <v>3193.6604554326609</v>
      </c>
      <c r="CR7" s="767">
        <f>'Volume Data Entry'!NT8</f>
        <v>238.32541964866624</v>
      </c>
      <c r="CS7" s="767">
        <f>'Volume Data Entry'!NT80</f>
        <v>151.42063109954458</v>
      </c>
      <c r="CT7" s="191">
        <f>'Volume Data Entry'!OB8</f>
        <v>21.416297983083929</v>
      </c>
      <c r="CU7" s="191">
        <f>'Volume Data Entry'!OB80</f>
        <v>30.036206896551722</v>
      </c>
      <c r="CV7" s="767">
        <f>'Volume Data Entry'!OJ8</f>
        <v>242.31115810019517</v>
      </c>
      <c r="CW7" s="767">
        <f>'Volume Data Entry'!OJ80</f>
        <v>44.529882888744311</v>
      </c>
      <c r="CX7" s="767">
        <f>'Volume Data Entry'!OR8</f>
        <v>12.014482758620689</v>
      </c>
      <c r="CY7" s="767">
        <f>'Volume Data Entry'!OR80</f>
        <v>0</v>
      </c>
      <c r="CZ7" s="191">
        <f>'Volume Data Entry'!OZ8</f>
        <v>0</v>
      </c>
      <c r="DA7" s="191">
        <f>'Volume Data Entry'!OZ80</f>
        <v>0</v>
      </c>
      <c r="DB7" s="774">
        <f>'Volume Data Entry'!PH8</f>
        <v>0</v>
      </c>
      <c r="DC7" s="774">
        <f>'Volume Data Entry'!PH80</f>
        <v>0</v>
      </c>
      <c r="DD7" s="774">
        <f>'Volume Data Entry'!PP8</f>
        <v>6.0072413793103445</v>
      </c>
      <c r="DE7" s="774">
        <f>'Volume Data Entry'!PP80</f>
        <v>106.16610930383865</v>
      </c>
      <c r="DF7" s="191">
        <f>'Volume Data Entry'!PX8</f>
        <v>0</v>
      </c>
      <c r="DG7" s="191">
        <f>'Volume Data Entry'!PX80</f>
        <v>42.050689655172413</v>
      </c>
      <c r="DH7" s="774">
        <f>'Volume Data Entry'!QF8</f>
        <v>149.26565387117762</v>
      </c>
      <c r="DI7" s="774">
        <f>'Volume Data Entry'!QF80</f>
        <v>346.26502277163303</v>
      </c>
      <c r="DJ7" s="774">
        <f>'Volume Data Entry'!QN8</f>
        <v>383.6053350683149</v>
      </c>
      <c r="DK7" s="774">
        <f>'Volume Data Entry'!QN80</f>
        <v>311.51843851659078</v>
      </c>
      <c r="DL7" s="191">
        <f>'Volume Data Entry'!QV8</f>
        <v>484.29810019518538</v>
      </c>
      <c r="DM7" s="191">
        <f>'Volume Data Entry'!QV80</f>
        <v>366.76594014313594</v>
      </c>
      <c r="DN7" s="774">
        <f>SUM(DH7:DM7)/6</f>
        <v>340.28641509433965</v>
      </c>
      <c r="DO7" s="774">
        <f>SUM(DI7:DN7)/6</f>
        <v>372.12320863153332</v>
      </c>
      <c r="DP7" s="774">
        <f>SUM(DJ7:DO7)/6</f>
        <v>376.43290627485004</v>
      </c>
      <c r="DQ7" s="774">
        <f>SUM(DK7:DP7)/6</f>
        <v>375.23750147593915</v>
      </c>
      <c r="DR7" s="191">
        <f>'Volume Data Entry'!RT8</f>
        <v>168.20275862068965</v>
      </c>
      <c r="DS7" s="191">
        <f>'Volume Data Entry'!RT80</f>
        <v>117.07446974625894</v>
      </c>
      <c r="DT7" s="774">
        <f>'Volume Data Entry'!SB8</f>
        <v>108.91225113858165</v>
      </c>
      <c r="DU7" s="774">
        <f>'Volume Data Entry'!SB80</f>
        <v>534.56827586206896</v>
      </c>
      <c r="DV7" s="774">
        <f>'Volume Data Entry'!SJ8</f>
        <v>366.76594014313594</v>
      </c>
      <c r="DW7" s="774">
        <f>'Volume Data Entry'!SJ80</f>
        <v>921.1294339622641</v>
      </c>
      <c r="DX7" s="191">
        <f>'Volume Data Entry'!SR8</f>
        <v>780.48368900455432</v>
      </c>
      <c r="DY7" s="191">
        <f>'Volume Data Entry'!SR80</f>
        <v>273.58696161353282</v>
      </c>
      <c r="DZ7" s="774">
        <f>'Volume Data Entry'!SZ8</f>
        <v>284.36184775536759</v>
      </c>
      <c r="EA7" s="774">
        <f>'Volume Data Entry'!SZ80</f>
        <v>728.17307091737143</v>
      </c>
      <c r="EB7" s="774">
        <f>'Volume Data Entry'!TH8</f>
        <v>204.24620689655171</v>
      </c>
      <c r="EC7" s="774">
        <f>'Volume Data Entry'!TH80</f>
        <v>732.88344827586207</v>
      </c>
    </row>
    <row r="8" spans="1:138">
      <c r="A8" s="189" t="s">
        <v>12</v>
      </c>
      <c r="B8" s="190">
        <f>'Volume Data Entry'!H10</f>
        <v>250.81707917888562</v>
      </c>
      <c r="C8" s="190">
        <f>'Volume Data Entry'!H71</f>
        <v>204.99272727272728</v>
      </c>
      <c r="D8" s="190">
        <f>'Volume Data Entry'!P10</f>
        <v>368.33126099706743</v>
      </c>
      <c r="E8" s="190">
        <f>'Volume Data Entry'!P71</f>
        <v>249.55636363636364</v>
      </c>
      <c r="F8" s="190">
        <f>'Volume Data Entry'!X10</f>
        <v>144.77419354838707</v>
      </c>
      <c r="G8" s="190">
        <f>'Volume Data Entry'!X71</f>
        <v>548.06357771261003</v>
      </c>
      <c r="H8" s="190">
        <f>'Volume Data Entry'!AF10</f>
        <v>974.00870381231675</v>
      </c>
      <c r="I8" s="190">
        <f>'Volume Data Entry'!AF71</f>
        <v>855.62181818181818</v>
      </c>
      <c r="J8" s="190">
        <f>'Volume Data Entry'!AN10</f>
        <v>159.25161290322578</v>
      </c>
      <c r="K8" s="190">
        <f>'Volume Data Entry'!AN71</f>
        <v>1322.7230029325515</v>
      </c>
      <c r="L8" s="190">
        <f>'Volume Data Entry'!AV10</f>
        <v>0</v>
      </c>
      <c r="M8" s="190">
        <f>'Volume Data Entry'!AV71</f>
        <v>623.89090909090908</v>
      </c>
      <c r="N8" s="190">
        <f>'Volume Data Entry'!BD10</f>
        <v>3112.3243636363636</v>
      </c>
      <c r="O8" s="190">
        <f>'Volume Data Entry'!BD71</f>
        <v>0</v>
      </c>
      <c r="P8" s="190">
        <f>'Volume Data Entry'!BL10</f>
        <v>1615.2032375366571</v>
      </c>
      <c r="Q8" s="190">
        <f>'Volume Data Entry'!BL71</f>
        <v>248.77137829912024</v>
      </c>
      <c r="R8" s="190">
        <f>'Volume Data Entry'!BT10</f>
        <v>35.650909090909096</v>
      </c>
      <c r="S8" s="190">
        <f>'Volume Data Entry'!BT71</f>
        <v>43.432258064516127</v>
      </c>
      <c r="T8" s="190">
        <f>'Volume Data Entry'!CB10</f>
        <v>0</v>
      </c>
      <c r="U8" s="190">
        <f>'Volume Data Entry'!CB71</f>
        <v>0</v>
      </c>
      <c r="V8" s="190">
        <f>'Volume Data Entry'!CJ10</f>
        <v>0</v>
      </c>
      <c r="W8" s="190">
        <f>'Volume Data Entry'!CJ71</f>
        <v>0</v>
      </c>
      <c r="X8" s="190">
        <f>'Volume Data Entry'!CR10</f>
        <v>2445.6523636363636</v>
      </c>
      <c r="Y8" s="190">
        <f>'Volume Data Entry'!CR71</f>
        <v>0</v>
      </c>
      <c r="Z8" s="190">
        <f>'Volume Data Entry'!CZ10</f>
        <v>1615.2032375366571</v>
      </c>
      <c r="AA8" s="190">
        <f>'Volume Data Entry'!CZ71</f>
        <v>224.60072727272728</v>
      </c>
      <c r="AB8" s="190">
        <f>'Volume Data Entry'!DH10</f>
        <v>1722.8129032258062</v>
      </c>
      <c r="AC8" s="190">
        <f>'Volume Data Entry'!DH71</f>
        <v>0</v>
      </c>
      <c r="AD8" s="190">
        <f>'Volume Data Entry'!DP10</f>
        <v>275.07096774193548</v>
      </c>
      <c r="AE8" s="190">
        <f>'Volume Data Entry'!DP71</f>
        <v>271.59359530791784</v>
      </c>
      <c r="AF8" s="190">
        <f>'Volume Data Entry'!DX10</f>
        <v>0</v>
      </c>
      <c r="AG8" s="190">
        <f>'Volume Data Entry'!DX71</f>
        <v>245.29400586510263</v>
      </c>
      <c r="AH8" s="190">
        <f>'Volume Data Entry'!EF10</f>
        <v>1049.2501818181818</v>
      </c>
      <c r="AI8" s="190">
        <f>'Volume Data Entry'!EF71</f>
        <v>367.41693841642228</v>
      </c>
      <c r="AJ8" s="190">
        <f>'Volume Data Entry'!EN10</f>
        <v>3399.4851378299122</v>
      </c>
      <c r="AK8" s="190">
        <f>'Volume Data Entry'!EN71</f>
        <v>1119.9142756598242</v>
      </c>
      <c r="AL8" s="190">
        <f>'Volume Data Entry'!EV10</f>
        <v>1217.3908269794722</v>
      </c>
      <c r="AM8" s="190">
        <f>'Volume Data Entry'!EV71</f>
        <v>1322.7230029325515</v>
      </c>
      <c r="AN8" s="190">
        <f>'Volume Data Entry'!FD10</f>
        <v>0</v>
      </c>
      <c r="AO8" s="190">
        <f>'Volume Data Entry'!FD71</f>
        <v>0</v>
      </c>
      <c r="AP8" s="190">
        <f>'Volume Data Entry'!FL10</f>
        <v>0</v>
      </c>
      <c r="AQ8" s="190">
        <f>'Volume Data Entry'!FL71</f>
        <v>0</v>
      </c>
      <c r="AR8" s="190">
        <f>'Volume Data Entry'!FT10</f>
        <v>0</v>
      </c>
      <c r="AS8" s="190">
        <f>'Volume Data Entry'!FT71</f>
        <v>0</v>
      </c>
      <c r="AT8" s="190">
        <f>'Volume Data Entry'!GB10</f>
        <v>0</v>
      </c>
      <c r="AU8" s="190">
        <f>'Volume Data Entry'!GB71</f>
        <v>0</v>
      </c>
      <c r="AV8" s="190">
        <f>'Volume Data Entry'!GJ10</f>
        <v>0</v>
      </c>
      <c r="AW8" s="190">
        <f>'Volume Data Entry'!GJ71</f>
        <v>0</v>
      </c>
      <c r="AX8" s="190">
        <f>'Volume Data Entry'!GR10</f>
        <v>1600.7258181818183</v>
      </c>
      <c r="AY8" s="191">
        <f>'Volume Data Entry'!GR71</f>
        <v>0</v>
      </c>
      <c r="AZ8" s="190">
        <f>'Volume Data Entry'!GZ10</f>
        <v>1722.8129032258062</v>
      </c>
      <c r="BA8" s="191">
        <f>'Volume Data Entry'!GZ71</f>
        <v>623.89090909090908</v>
      </c>
      <c r="BB8" s="190">
        <f>'Volume Data Entry'!HH10</f>
        <v>144.77419354838707</v>
      </c>
      <c r="BC8" s="191">
        <f>'Volume Data Entry'!HH71</f>
        <v>548.06357771261003</v>
      </c>
      <c r="BD8" s="190">
        <f>'Volume Data Entry'!HP10</f>
        <v>12.477818181818183</v>
      </c>
      <c r="BE8" s="191">
        <f>'Volume Data Entry'!HP71</f>
        <v>124.77818181818182</v>
      </c>
      <c r="BF8" s="190">
        <f>'Volume Data Entry'!HX10</f>
        <v>711.23563636363644</v>
      </c>
      <c r="BG8" s="191">
        <f>'Volume Data Entry'!HX71</f>
        <v>758.26116129032255</v>
      </c>
      <c r="BH8" s="190">
        <f>'Volume Data Entry'!IF10</f>
        <v>971.31183577712613</v>
      </c>
      <c r="BI8" s="191">
        <f>'Volume Data Entry'!IF71</f>
        <v>758.26116129032255</v>
      </c>
      <c r="BJ8" s="190">
        <f>'Volume Data Entry'!IN10</f>
        <v>701.93041642228752</v>
      </c>
      <c r="BK8" s="191">
        <f>'Volume Data Entry'!IN71</f>
        <v>283.4247272727273</v>
      </c>
      <c r="BL8" s="190">
        <f>'Volume Data Entry'!IV10</f>
        <v>1447.1221348973606</v>
      </c>
      <c r="BM8" s="191">
        <f>'Volume Data Entry'!IV71</f>
        <v>1559.6395542521996</v>
      </c>
      <c r="BN8" s="190">
        <f>'Volume Data Entry'!JD10</f>
        <v>482.75608211143685</v>
      </c>
      <c r="BO8" s="191">
        <f>'Volume Data Entry'!JD71</f>
        <v>780.75490909090911</v>
      </c>
      <c r="BP8" s="190">
        <f>'Volume Data Entry'!JL10</f>
        <v>3150.1919296187684</v>
      </c>
      <c r="BQ8" s="191">
        <f>'Volume Data Entry'!JL71</f>
        <v>19.303225806451611</v>
      </c>
      <c r="BR8" s="190">
        <f>'Volume Data Entry'!JT10</f>
        <v>2540.0811730205282</v>
      </c>
      <c r="BS8" s="191">
        <f>'Volume Data Entry'!JT71</f>
        <v>86.735178885630489</v>
      </c>
      <c r="BT8" s="190">
        <f>'Volume Data Entry'!KB10</f>
        <v>288.77236363636365</v>
      </c>
      <c r="BU8" s="191">
        <f>'Volume Data Entry'!KB71</f>
        <v>419.67868621700882</v>
      </c>
      <c r="BV8" s="190">
        <f>'Volume Data Entry'!KJ10</f>
        <v>670.78709677419351</v>
      </c>
      <c r="BW8" s="191">
        <f>'Volume Data Entry'!KJ71</f>
        <v>554.96774193548379</v>
      </c>
      <c r="BX8" s="190">
        <f>'Volume Data Entry'!KR10</f>
        <v>213.90545454545455</v>
      </c>
      <c r="BY8" s="191">
        <f>'Volume Data Entry'!KR71</f>
        <v>0</v>
      </c>
      <c r="BZ8" s="190">
        <f>'Volume Data Entry'!KZ10</f>
        <v>1884.1505454545456</v>
      </c>
      <c r="CA8" s="191">
        <f>'Volume Data Entry'!KZ71</f>
        <v>997.70362463343122</v>
      </c>
      <c r="CB8" s="190">
        <f>'Volume Data Entry'!LH10</f>
        <v>1659.3474956011728</v>
      </c>
      <c r="CC8" s="191">
        <f>'Volume Data Entry'!LH71</f>
        <v>1024.4655014662756</v>
      </c>
      <c r="CD8" s="190">
        <f>'Volume Data Entry'!LP10</f>
        <v>1126.7857829912025</v>
      </c>
      <c r="CE8" s="191">
        <f>'Volume Data Entry'!LP71</f>
        <v>1904.9315425219941</v>
      </c>
      <c r="CF8" s="190">
        <f>'Volume Data Entry'!LX10</f>
        <v>487.89562463343111</v>
      </c>
      <c r="CG8" s="757">
        <f>'Volume Data Entry'!LX71</f>
        <v>1167.2624985337243</v>
      </c>
      <c r="CH8" s="759">
        <f>'Volume Data Entry'!MF10</f>
        <v>876.53215249266873</v>
      </c>
      <c r="CI8" s="757">
        <f>'Volume Data Entry'!MF71</f>
        <v>653.96816422287384</v>
      </c>
      <c r="CJ8" s="759">
        <f>'Volume Data Entry'!MN10</f>
        <v>1018.3091847507332</v>
      </c>
      <c r="CK8" s="757">
        <f>'Volume Data Entry'!MN71</f>
        <v>258.20593548387097</v>
      </c>
      <c r="CL8" s="759">
        <f>'Volume Data Entry'!MV10</f>
        <v>495.8063108504399</v>
      </c>
      <c r="CM8" s="759">
        <f>'Volume Data Entry'!MV71</f>
        <v>126.81940175953078</v>
      </c>
      <c r="CN8" s="191">
        <f>'Volume Data Entry'!ND10</f>
        <v>236.77377126099708</v>
      </c>
      <c r="CO8" s="191">
        <f>'Volume Data Entry'!ND82</f>
        <v>834.23127272727277</v>
      </c>
      <c r="CP8" s="767">
        <f>'Volume Data Entry'!NL10</f>
        <v>549.67516715542524</v>
      </c>
      <c r="CQ8" s="767">
        <f>'Volume Data Entry'!NL82</f>
        <v>869.88218181818183</v>
      </c>
      <c r="CR8" s="767">
        <f>'Volume Data Entry'!NT10</f>
        <v>322.11889736070384</v>
      </c>
      <c r="CS8" s="767">
        <f>'Volume Data Entry'!NT82</f>
        <v>416.28903225806454</v>
      </c>
      <c r="CT8" s="191">
        <f>'Volume Data Entry'!OB10</f>
        <v>356.50909090909096</v>
      </c>
      <c r="CU8" s="191">
        <f>'Volume Data Entry'!OB82</f>
        <v>656.1937829912024</v>
      </c>
      <c r="CV8" s="767">
        <f>'Volume Data Entry'!OJ10</f>
        <v>77.605395894428142</v>
      </c>
      <c r="CW8" s="767">
        <f>'Volume Data Entry'!OJ82</f>
        <v>334.85090909090911</v>
      </c>
      <c r="CX8" s="767">
        <f>'Volume Data Entry'!OR10</f>
        <v>92.604645161290321</v>
      </c>
      <c r="CY8" s="767">
        <f>'Volume Data Entry'!OR82</f>
        <v>922.31488563049857</v>
      </c>
      <c r="CZ8" s="191">
        <f>'Volume Data Entry'!OZ10</f>
        <v>0</v>
      </c>
      <c r="DA8" s="191">
        <f>'Volume Data Entry'!OZ82</f>
        <v>0</v>
      </c>
      <c r="DB8" s="774">
        <f>'Volume Data Entry'!PH10</f>
        <v>0</v>
      </c>
      <c r="DC8" s="774">
        <f>'Volume Data Entry'!PH82</f>
        <v>4.8258064516129027</v>
      </c>
      <c r="DD8" s="774">
        <f>'Volume Data Entry'!PP10</f>
        <v>4.8258064516129027</v>
      </c>
      <c r="DE8" s="774">
        <f>'Volume Data Entry'!PP82</f>
        <v>196.08</v>
      </c>
      <c r="DF8" s="191">
        <f>'Volume Data Entry'!PX10</f>
        <v>0</v>
      </c>
      <c r="DG8" s="191">
        <f>'Volume Data Entry'!PX82</f>
        <v>0</v>
      </c>
      <c r="DH8" s="774">
        <f>'Volume Data Entry'!QF10</f>
        <v>119.8646568914956</v>
      </c>
      <c r="DI8" s="774">
        <f>'Volume Data Entry'!QF82</f>
        <v>99.822545454545462</v>
      </c>
      <c r="DJ8" s="774">
        <f>'Volume Data Entry'!QN10</f>
        <v>175.95017008797655</v>
      </c>
      <c r="DK8" s="774">
        <f>'Volume Data Entry'!QN82</f>
        <v>64.171636363636367</v>
      </c>
      <c r="DL8" s="191">
        <f>'Volume Data Entry'!QV10</f>
        <v>59.779941348973608</v>
      </c>
      <c r="DM8" s="191">
        <f>'Volume Data Entry'!QV82</f>
        <v>9.6516129032258053</v>
      </c>
      <c r="DN8" s="774">
        <f t="shared" ref="DN8:DN28" si="3">SUM(DH8:DM8)/6</f>
        <v>88.206760508308889</v>
      </c>
      <c r="DO8" s="774">
        <f t="shared" ref="DO8:DO28" si="4">SUM(DI8:DN8)/6</f>
        <v>82.930444444444447</v>
      </c>
      <c r="DP8" s="774">
        <f t="shared" ref="DP8:DP28" si="5">SUM(DJ8:DO8)/6</f>
        <v>80.115094276094268</v>
      </c>
      <c r="DQ8" s="774">
        <f t="shared" ref="DQ8:DQ28" si="6">SUM(DK8:DP8)/6</f>
        <v>64.142581640780563</v>
      </c>
      <c r="DR8" s="191">
        <f>'Volume Data Entry'!RT10</f>
        <v>579.44764809384162</v>
      </c>
      <c r="DS8" s="191">
        <f>'Volume Data Entry'!RT82</f>
        <v>97.430451612903227</v>
      </c>
      <c r="DT8" s="774">
        <f>'Volume Data Entry'!SB10</f>
        <v>288.94331964809385</v>
      </c>
      <c r="DU8" s="774">
        <f>'Volume Data Entry'!SB82</f>
        <v>291.118357771261</v>
      </c>
      <c r="DV8" s="774">
        <f>'Volume Data Entry'!SJ10</f>
        <v>227.77332551319648</v>
      </c>
      <c r="DW8" s="774">
        <f>'Volume Data Entry'!SJ82</f>
        <v>429.15038123167147</v>
      </c>
      <c r="DX8" s="191">
        <f>'Volume Data Entry'!SR10</f>
        <v>246.16222873900293</v>
      </c>
      <c r="DY8" s="191">
        <f>'Volume Data Entry'!SR82</f>
        <v>352.76856304985341</v>
      </c>
      <c r="DZ8" s="774">
        <f>'Volume Data Entry'!SZ10</f>
        <v>186.72868035190612</v>
      </c>
      <c r="EA8" s="774">
        <f>'Volume Data Entry'!SZ82</f>
        <v>402.67535483870961</v>
      </c>
      <c r="EB8" s="774">
        <f>'Volume Data Entry'!TH10</f>
        <v>1055.9135953079181</v>
      </c>
      <c r="EC8" s="774">
        <f>'Volume Data Entry'!TH82</f>
        <v>684.62679178885628</v>
      </c>
    </row>
    <row r="9" spans="1:138">
      <c r="A9" s="189" t="s">
        <v>15</v>
      </c>
      <c r="B9" s="190">
        <f>'Volume Data Entry'!H13</f>
        <v>659.36385542168682</v>
      </c>
      <c r="C9" s="190">
        <f>'Volume Data Entry'!H74</f>
        <v>921.53687455705176</v>
      </c>
      <c r="D9" s="190">
        <f>'Volume Data Entry'!P13</f>
        <v>553.14133238837712</v>
      </c>
      <c r="E9" s="190">
        <f>'Volume Data Entry'!P74</f>
        <v>369.6433734939759</v>
      </c>
      <c r="F9" s="190">
        <f>'Volume Data Entry'!X13</f>
        <v>681.57052748810372</v>
      </c>
      <c r="G9" s="190">
        <f>'Volume Data Entry'!X74</f>
        <v>849.18072289156635</v>
      </c>
      <c r="H9" s="190">
        <f>'Volume Data Entry'!AF13</f>
        <v>186.40299281158249</v>
      </c>
      <c r="I9" s="190">
        <f>'Volume Data Entry'!AF74</f>
        <v>1052.3992075866493</v>
      </c>
      <c r="J9" s="190">
        <f>'Volume Data Entry'!AN13</f>
        <v>604.43917383820997</v>
      </c>
      <c r="K9" s="190">
        <f>'Volume Data Entry'!AN74</f>
        <v>416.56004826026799</v>
      </c>
      <c r="L9" s="190">
        <f>'Volume Data Entry'!AV13</f>
        <v>0</v>
      </c>
      <c r="M9" s="190">
        <f>'Volume Data Entry'!AV74</f>
        <v>814.23676419965579</v>
      </c>
      <c r="N9" s="190">
        <f>'Volume Data Entry'!BD13</f>
        <v>1797.0892700212617</v>
      </c>
      <c r="O9" s="190">
        <f>'Volume Data Entry'!BD74</f>
        <v>0</v>
      </c>
      <c r="P9" s="190">
        <f>'Volume Data Entry'!BL13</f>
        <v>1085.6355742296919</v>
      </c>
      <c r="Q9" s="190">
        <f>'Volume Data Entry'!BL74</f>
        <v>784.27650568661204</v>
      </c>
      <c r="R9" s="190">
        <f>'Volume Data Entry'!BT13</f>
        <v>809.21927710843374</v>
      </c>
      <c r="S9" s="190">
        <f>'Volume Data Entry'!BT74</f>
        <v>349.66265060240966</v>
      </c>
      <c r="T9" s="190">
        <f>'Volume Data Entry'!CB13</f>
        <v>0</v>
      </c>
      <c r="U9" s="190">
        <f>'Volume Data Entry'!CB74</f>
        <v>0</v>
      </c>
      <c r="V9" s="190">
        <f>'Volume Data Entry'!CJ13</f>
        <v>0</v>
      </c>
      <c r="W9" s="190">
        <f>'Volume Data Entry'!CJ74</f>
        <v>0</v>
      </c>
      <c r="X9" s="190">
        <f>'Volume Data Entry'!CR13</f>
        <v>892.5317728055079</v>
      </c>
      <c r="Y9" s="190">
        <f>'Volume Data Entry'!CR74</f>
        <v>0</v>
      </c>
      <c r="Z9" s="190">
        <f>'Volume Data Entry'!CZ13</f>
        <v>1085.6355742296919</v>
      </c>
      <c r="AA9" s="190">
        <f>'Volume Data Entry'!CZ74</f>
        <v>669.35421686746997</v>
      </c>
      <c r="AB9" s="190">
        <f>'Volume Data Entry'!DH13</f>
        <v>921.33920218689889</v>
      </c>
      <c r="AC9" s="190">
        <f>'Volume Data Entry'!DH74</f>
        <v>0</v>
      </c>
      <c r="AD9" s="190">
        <f>'Volume Data Entry'!DP13</f>
        <v>465.26398130336474</v>
      </c>
      <c r="AE9" s="190">
        <f>'Volume Data Entry'!DP74</f>
        <v>2233.720576085856</v>
      </c>
      <c r="AF9" s="190">
        <f>'Volume Data Entry'!DX13</f>
        <v>0</v>
      </c>
      <c r="AG9" s="190">
        <f>'Volume Data Entry'!DX74</f>
        <v>2954.4108885964029</v>
      </c>
      <c r="AH9" s="190">
        <f>'Volume Data Entry'!EF13</f>
        <v>1278.766265060241</v>
      </c>
      <c r="AI9" s="190">
        <f>'Volume Data Entry'!EF74</f>
        <v>1218.3260814687321</v>
      </c>
      <c r="AJ9" s="190">
        <f>'Volume Data Entry'!EN13</f>
        <v>3393.6354783841252</v>
      </c>
      <c r="AK9" s="190">
        <f>'Volume Data Entry'!EN74</f>
        <v>2317.7638554216869</v>
      </c>
      <c r="AL9" s="190">
        <f>'Volume Data Entry'!EV13</f>
        <v>2557.5325301204821</v>
      </c>
      <c r="AM9" s="190">
        <f>'Volume Data Entry'!EV74</f>
        <v>416.56004826026799</v>
      </c>
      <c r="AN9" s="190">
        <f>'Volume Data Entry'!FD13</f>
        <v>0</v>
      </c>
      <c r="AO9" s="190">
        <f>'Volume Data Entry'!FD74</f>
        <v>0</v>
      </c>
      <c r="AP9" s="190">
        <f>'Volume Data Entry'!FL13</f>
        <v>0</v>
      </c>
      <c r="AQ9" s="190">
        <f>'Volume Data Entry'!FL74</f>
        <v>0</v>
      </c>
      <c r="AR9" s="190">
        <f>'Volume Data Entry'!FT13</f>
        <v>0</v>
      </c>
      <c r="AS9" s="190">
        <f>'Volume Data Entry'!FT74</f>
        <v>0</v>
      </c>
      <c r="AT9" s="190">
        <f>'Volume Data Entry'!GB13</f>
        <v>0</v>
      </c>
      <c r="AU9" s="190">
        <f>'Volume Data Entry'!GB74</f>
        <v>0</v>
      </c>
      <c r="AV9" s="190">
        <f>'Volume Data Entry'!GJ13</f>
        <v>0</v>
      </c>
      <c r="AW9" s="190">
        <f>'Volume Data Entry'!GJ74</f>
        <v>0</v>
      </c>
      <c r="AX9" s="190">
        <f>'Volume Data Entry'!GR13</f>
        <v>879.59176470588238</v>
      </c>
      <c r="AY9" s="191">
        <f>'Volume Data Entry'!GQ72</f>
        <v>0</v>
      </c>
      <c r="AZ9" s="190">
        <f>'Volume Data Entry'!GZ13</f>
        <v>921.33920218689889</v>
      </c>
      <c r="BA9" s="191">
        <f>'Volume Data Entry'!GZ74</f>
        <v>34.988571428571433</v>
      </c>
      <c r="BB9" s="190">
        <f>'Volume Data Entry'!HH13</f>
        <v>639.38313253012052</v>
      </c>
      <c r="BC9" s="191">
        <f>'Volume Data Entry'!HH74</f>
        <v>849.18072289156635</v>
      </c>
      <c r="BD9" s="190">
        <f>'Volume Data Entry'!HP13</f>
        <v>561.13273666092937</v>
      </c>
      <c r="BE9" s="191">
        <f>'Volume Data Entry'!HP74</f>
        <v>1808.255421686747</v>
      </c>
      <c r="BF9" s="190">
        <f>'Volume Data Entry'!HX13</f>
        <v>1202.3222030981069</v>
      </c>
      <c r="BG9" s="191">
        <f>'Volume Data Entry'!HX74</f>
        <v>1086.2299007795891</v>
      </c>
      <c r="BH9" s="190">
        <f>'Volume Data Entry'!IF13</f>
        <v>1040.2166838783705</v>
      </c>
      <c r="BI9" s="191">
        <f>'Volume Data Entry'!IF74</f>
        <v>989.04578313253023</v>
      </c>
      <c r="BJ9" s="190">
        <f>'Volume Data Entry'!IN13</f>
        <v>717.22473895582334</v>
      </c>
      <c r="BK9" s="191">
        <f>'Volume Data Entry'!IN74</f>
        <v>399.61445783132535</v>
      </c>
      <c r="BL9" s="190">
        <f>'Volume Data Entry'!IV13</f>
        <v>976.70384124734244</v>
      </c>
      <c r="BM9" s="191">
        <f>'Volume Data Entry'!IV74</f>
        <v>1205.5333562822721</v>
      </c>
      <c r="BN9" s="190">
        <f>'Volume Data Entry'!JD13</f>
        <v>939.09397590361448</v>
      </c>
      <c r="BO9" s="191">
        <f>'Volume Data Entry'!JD74</f>
        <v>315.26131956397023</v>
      </c>
      <c r="BP9" s="190">
        <f>'Volume Data Entry'!JL13</f>
        <v>349.66265060240966</v>
      </c>
      <c r="BQ9" s="191">
        <f>'Volume Data Entry'!JL74</f>
        <v>609.41204819277107</v>
      </c>
      <c r="BR9" s="190">
        <f>'Volume Data Entry'!JT13</f>
        <v>479.53734939759039</v>
      </c>
      <c r="BS9" s="191">
        <f>'Volume Data Entry'!JT74</f>
        <v>397.44394721744123</v>
      </c>
      <c r="BT9" s="190">
        <f>'Volume Data Entry'!KB13</f>
        <v>1568.4867469879518</v>
      </c>
      <c r="BU9" s="191">
        <f>'Volume Data Entry'!KB74</f>
        <v>1928.1397590361446</v>
      </c>
      <c r="BV9" s="190">
        <f>'Volume Data Entry'!KJ13</f>
        <v>659.36385542168682</v>
      </c>
      <c r="BW9" s="191">
        <f>'Volume Data Entry'!KJ74</f>
        <v>968.18830312848036</v>
      </c>
      <c r="BX9" s="190">
        <f>'Volume Data Entry'!KR13</f>
        <v>553.14133238837701</v>
      </c>
      <c r="BY9" s="191">
        <f>'Volume Data Entry'!KR74</f>
        <v>369.6433734939759</v>
      </c>
      <c r="BZ9" s="190">
        <f>'Volume Data Entry'!KZ13</f>
        <v>1222.4235081502479</v>
      </c>
      <c r="CA9" s="191">
        <f>'Volume Data Entry'!KZ74</f>
        <v>1378.6698795180723</v>
      </c>
      <c r="CB9" s="190">
        <f>'Volume Data Entry'!LH13</f>
        <v>1229.6223316796597</v>
      </c>
      <c r="CC9" s="191">
        <f>'Volume Data Entry'!LH74</f>
        <v>669.35421686746997</v>
      </c>
      <c r="CD9" s="190">
        <f>'Volume Data Entry'!LP13</f>
        <v>851.98308663224327</v>
      </c>
      <c r="CE9" s="191">
        <f>'Volume Data Entry'!LP74</f>
        <v>1058.9783132530122</v>
      </c>
      <c r="CF9" s="190">
        <f>'Volume Data Entry'!LX13</f>
        <v>253.657481016503</v>
      </c>
      <c r="CG9" s="757">
        <f>'Volume Data Entry'!LX74</f>
        <v>469.54698795180724</v>
      </c>
      <c r="CH9" s="759">
        <f>'Volume Data Entry'!MF13</f>
        <v>1458.0947561675273</v>
      </c>
      <c r="CI9" s="757">
        <f>'Volume Data Entry'!MF74</f>
        <v>631.65250717154333</v>
      </c>
      <c r="CJ9" s="759">
        <f>'Volume Data Entry'!MN13</f>
        <v>1681.8423681279742</v>
      </c>
      <c r="CK9" s="757">
        <f>'Volume Data Entry'!MN74</f>
        <v>1514.8328578178259</v>
      </c>
      <c r="CL9" s="759">
        <f>'Volume Data Entry'!MV13</f>
        <v>874.44417906921797</v>
      </c>
      <c r="CM9" s="759">
        <f>'Volume Data Entry'!MV74</f>
        <v>667.13909351692496</v>
      </c>
      <c r="CN9" s="191">
        <f>'Volume Data Entry'!ND13</f>
        <v>368.54598292328984</v>
      </c>
      <c r="CO9" s="191">
        <f>'Volume Data Entry'!ND85</f>
        <v>176.43559245384901</v>
      </c>
      <c r="CP9" s="767">
        <f>'Volume Data Entry'!NL13</f>
        <v>727.92292295231346</v>
      </c>
      <c r="CQ9" s="767">
        <f>'Volume Data Entry'!NL85</f>
        <v>81.3071799804259</v>
      </c>
      <c r="CR9" s="767">
        <f>'Volume Data Entry'!NT13</f>
        <v>129.87469879518073</v>
      </c>
      <c r="CS9" s="767">
        <f>'Volume Data Entry'!NT85</f>
        <v>239.76867469879519</v>
      </c>
      <c r="CT9" s="191">
        <f>'Volume Data Entry'!OB13</f>
        <v>99.903614457831338</v>
      </c>
      <c r="CU9" s="191">
        <f>'Volume Data Entry'!OB85</f>
        <v>153.20041308089503</v>
      </c>
      <c r="CV9" s="767">
        <f>'Volume Data Entry'!OJ13</f>
        <v>767.85058182309069</v>
      </c>
      <c r="CW9" s="767">
        <f>'Volume Data Entry'!OJ85</f>
        <v>725.46420505551623</v>
      </c>
      <c r="CX9" s="767">
        <f>'Volume Data Entry'!OR13</f>
        <v>144.27234585400427</v>
      </c>
      <c r="CY9" s="767">
        <f>'Volume Data Entry'!OR85</f>
        <v>66.310157267726368</v>
      </c>
      <c r="CZ9" s="191">
        <f>'Volume Data Entry'!OZ13</f>
        <v>0</v>
      </c>
      <c r="DA9" s="191">
        <f>'Volume Data Entry'!OZ85</f>
        <v>0</v>
      </c>
      <c r="DB9" s="774">
        <f>'Volume Data Entry'!PH13</f>
        <v>0</v>
      </c>
      <c r="DC9" s="774">
        <f>'Volume Data Entry'!PH85</f>
        <v>29.971084337349399</v>
      </c>
      <c r="DD9" s="774">
        <f>'Volume Data Entry'!PP13</f>
        <v>149.85542168674701</v>
      </c>
      <c r="DE9" s="774">
        <f>'Volume Data Entry'!PP85</f>
        <v>292.51071040464376</v>
      </c>
      <c r="DF9" s="191">
        <f>'Volume Data Entry'!PX13</f>
        <v>79.922891566265065</v>
      </c>
      <c r="DG9" s="191">
        <f>'Volume Data Entry'!PX85</f>
        <v>179.8265060240964</v>
      </c>
      <c r="DH9" s="774">
        <f>'Volume Data Entry'!QF13</f>
        <v>859.1710843373495</v>
      </c>
      <c r="DI9" s="774">
        <f>'Volume Data Entry'!QF85</f>
        <v>53.839426276534716</v>
      </c>
      <c r="DJ9" s="774">
        <f>'Volume Data Entry'!QN13</f>
        <v>439.57590361445784</v>
      </c>
      <c r="DK9" s="774">
        <f>'Volume Data Entry'!QN85</f>
        <v>209.7975903614458</v>
      </c>
      <c r="DL9" s="191">
        <f>'Volume Data Entry'!QV13</f>
        <v>647.15837062535866</v>
      </c>
      <c r="DM9" s="191">
        <f>'Volume Data Entry'!QV85</f>
        <v>290.52835577604537</v>
      </c>
      <c r="DN9" s="774">
        <f t="shared" si="3"/>
        <v>416.67845516519861</v>
      </c>
      <c r="DO9" s="774">
        <f t="shared" si="4"/>
        <v>342.92968363650681</v>
      </c>
      <c r="DP9" s="774">
        <f t="shared" si="5"/>
        <v>391.11139319650221</v>
      </c>
      <c r="DQ9" s="774">
        <f t="shared" si="6"/>
        <v>383.03397479350957</v>
      </c>
      <c r="DR9" s="191">
        <f>'Volume Data Entry'!RT13</f>
        <v>1019.6041078600116</v>
      </c>
      <c r="DS9" s="191">
        <f>'Volume Data Entry'!RT85</f>
        <v>659.36385542168682</v>
      </c>
      <c r="DT9" s="774">
        <f>'Volume Data Entry'!SB13</f>
        <v>443.44056157402719</v>
      </c>
      <c r="DU9" s="774">
        <f>'Volume Data Entry'!SB85</f>
        <v>1383.952612804158</v>
      </c>
      <c r="DV9" s="774">
        <f>'Volume Data Entry'!SJ13</f>
        <v>738.39916405116276</v>
      </c>
      <c r="DW9" s="774">
        <f>'Volume Data Entry'!SJ85</f>
        <v>1110.6134420033075</v>
      </c>
      <c r="DX9" s="191">
        <f>'Volume Data Entry'!SR13</f>
        <v>513.89275825993047</v>
      </c>
      <c r="DY9" s="191">
        <f>'Volume Data Entry'!SR85</f>
        <v>727.61175458135074</v>
      </c>
      <c r="DZ9" s="774">
        <f>'Volume Data Entry'!SZ13</f>
        <v>1458.5927710843375</v>
      </c>
      <c r="EA9" s="774">
        <f>'Volume Data Entry'!SZ85</f>
        <v>1015.1738611589215</v>
      </c>
      <c r="EB9" s="774">
        <f>'Volume Data Entry'!TH13</f>
        <v>1022.3618588640276</v>
      </c>
      <c r="EC9" s="774">
        <f>'Volume Data Entry'!TH85</f>
        <v>1193.870499139415</v>
      </c>
    </row>
    <row r="10" spans="1:138">
      <c r="A10" s="189" t="s">
        <v>19</v>
      </c>
      <c r="B10" s="190">
        <f>'Volume Data Entry'!H15</f>
        <v>1409.6775873865834</v>
      </c>
      <c r="C10" s="190">
        <f>'Volume Data Entry'!H76</f>
        <v>3293.8295939312802</v>
      </c>
      <c r="D10" s="190">
        <f>'Volume Data Entry'!P15</f>
        <v>1206.8701799791759</v>
      </c>
      <c r="E10" s="190">
        <f>'Volume Data Entry'!P76</f>
        <v>1236.8076230849322</v>
      </c>
      <c r="F10" s="190">
        <f>'Volume Data Entry'!X15</f>
        <v>711.26582478060379</v>
      </c>
      <c r="G10" s="190">
        <f>'Volume Data Entry'!X76</f>
        <v>1631.314731518667</v>
      </c>
      <c r="H10" s="190">
        <f>'Volume Data Entry'!AF15</f>
        <v>82.993012048192753</v>
      </c>
      <c r="I10" s="190">
        <f>'Volume Data Entry'!AF76</f>
        <v>485.10401011453217</v>
      </c>
      <c r="J10" s="190">
        <f>'Volume Data Entry'!AN15</f>
        <v>710.48125241707555</v>
      </c>
      <c r="K10" s="190">
        <f>'Volume Data Entry'!AN76</f>
        <v>618.31520600922204</v>
      </c>
      <c r="L10" s="190">
        <f>'Volume Data Entry'!AV15</f>
        <v>0</v>
      </c>
      <c r="M10" s="190">
        <f>'Volume Data Entry'!AV76</f>
        <v>1184.4184857950318</v>
      </c>
      <c r="N10" s="190">
        <f>'Volume Data Entry'!BD15</f>
        <v>2556.0655198572063</v>
      </c>
      <c r="O10" s="190">
        <f>'Volume Data Entry'!BD76</f>
        <v>0</v>
      </c>
      <c r="P10" s="190">
        <f>'Volume Data Entry'!BL15</f>
        <v>1432.1883519262233</v>
      </c>
      <c r="Q10" s="190">
        <f>'Volume Data Entry'!BL76</f>
        <v>388.40774059199759</v>
      </c>
      <c r="R10" s="190">
        <f>'Volume Data Entry'!BT15</f>
        <v>1275.0744578313252</v>
      </c>
      <c r="S10" s="190">
        <f>'Volume Data Entry'!BT76</f>
        <v>1410.8812048192769</v>
      </c>
      <c r="T10" s="190">
        <f>'Volume Data Entry'!CB15</f>
        <v>0</v>
      </c>
      <c r="U10" s="190">
        <f>'Volume Data Entry'!CB76</f>
        <v>0</v>
      </c>
      <c r="V10" s="190">
        <f>'Volume Data Entry'!CJ15</f>
        <v>0</v>
      </c>
      <c r="W10" s="190">
        <f>'Volume Data Entry'!CJ76</f>
        <v>0</v>
      </c>
      <c r="X10" s="190">
        <f>'Volume Data Entry'!CR15</f>
        <v>3272.0978491744754</v>
      </c>
      <c r="Y10" s="190">
        <f>'Volume Data Entry'!CR76</f>
        <v>0</v>
      </c>
      <c r="Z10" s="190">
        <f>'Volume Data Entry'!CZ15</f>
        <v>1432.1883519262233</v>
      </c>
      <c r="AA10" s="190">
        <f>'Volume Data Entry'!CZ76</f>
        <v>864.75776141603433</v>
      </c>
      <c r="AB10" s="190">
        <f>'Volume Data Entry'!DH15</f>
        <v>1069.0106202588129</v>
      </c>
      <c r="AC10" s="190">
        <f>'Volume Data Entry'!DH76</f>
        <v>0</v>
      </c>
      <c r="AD10" s="190">
        <f>'Volume Data Entry'!DP15</f>
        <v>588.20055183697764</v>
      </c>
      <c r="AE10" s="190">
        <f>'Volume Data Entry'!DP76</f>
        <v>3448.7725345827753</v>
      </c>
      <c r="AF10" s="190">
        <f>'Volume Data Entry'!DX15</f>
        <v>0</v>
      </c>
      <c r="AG10" s="190">
        <f>'Volume Data Entry'!DX76</f>
        <v>4215.8666904655656</v>
      </c>
      <c r="AH10" s="190">
        <f>'Volume Data Entry'!EF15</f>
        <v>1147.2426803510339</v>
      </c>
      <c r="AI10" s="190">
        <f>'Volume Data Entry'!EF76</f>
        <v>395.77534880261788</v>
      </c>
      <c r="AJ10" s="190">
        <f>'Volume Data Entry'!EN15</f>
        <v>2357.5576067231887</v>
      </c>
      <c r="AK10" s="190">
        <f>'Volume Data Entry'!EN76</f>
        <v>1594.7351822103224</v>
      </c>
      <c r="AL10" s="190">
        <f>'Volume Data Entry'!EV15</f>
        <v>2713.9104685408297</v>
      </c>
      <c r="AM10" s="190">
        <f>'Volume Data Entry'!EV76</f>
        <v>618.31520600922204</v>
      </c>
      <c r="AN10" s="190">
        <f>'Volume Data Entry'!FD15</f>
        <v>0</v>
      </c>
      <c r="AO10" s="190">
        <f>'Volume Data Entry'!FD76</f>
        <v>0</v>
      </c>
      <c r="AP10" s="190">
        <f>'Volume Data Entry'!FL15</f>
        <v>0</v>
      </c>
      <c r="AQ10" s="190">
        <f>'Volume Data Entry'!FL76</f>
        <v>0</v>
      </c>
      <c r="AR10" s="190">
        <f>'Volume Data Entry'!FT15</f>
        <v>0</v>
      </c>
      <c r="AS10" s="190">
        <f>'Volume Data Entry'!FT76</f>
        <v>0</v>
      </c>
      <c r="AT10" s="190">
        <f>'Volume Data Entry'!GB15</f>
        <v>0</v>
      </c>
      <c r="AU10" s="190">
        <f>'Volume Data Entry'!GB76</f>
        <v>0</v>
      </c>
      <c r="AV10" s="190">
        <f>'Volume Data Entry'!GJ15</f>
        <v>0</v>
      </c>
      <c r="AW10" s="190">
        <f>'Volume Data Entry'!GJ76</f>
        <v>0</v>
      </c>
      <c r="AX10" s="190">
        <f>'Volume Data Entry'!GR15</f>
        <v>1432.1883519262233</v>
      </c>
      <c r="AY10" s="191">
        <f>'Volume Data Entry'!GR76</f>
        <v>0</v>
      </c>
      <c r="AZ10" s="190">
        <f>'Volume Data Entry'!GZ15</f>
        <v>1069.0106202588129</v>
      </c>
      <c r="BA10" s="191">
        <f>'Volume Data Entry'!GZ76</f>
        <v>988.37132530120471</v>
      </c>
      <c r="BB10" s="190">
        <f>'Volume Data Entry'!HH15</f>
        <v>711.26582478060379</v>
      </c>
      <c r="BC10" s="191">
        <f>'Volume Data Entry'!HH76</f>
        <v>1631.314731518667</v>
      </c>
      <c r="BD10" s="190">
        <f>'Volume Data Entry'!HP15</f>
        <v>1813.4758708909712</v>
      </c>
      <c r="BE10" s="191">
        <f>'Volume Data Entry'!HP76</f>
        <v>3459.8802409638547</v>
      </c>
      <c r="BF10" s="190">
        <f>'Volume Data Entry'!HX15</f>
        <v>3244.82058009817</v>
      </c>
      <c r="BG10" s="191">
        <f>'Volume Data Entry'!HX76</f>
        <v>1965.3395924438491</v>
      </c>
      <c r="BH10" s="190">
        <f>'Volume Data Entry'!IF15</f>
        <v>1096.4171352074966</v>
      </c>
      <c r="BI10" s="191">
        <f>'Volume Data Entry'!IF76</f>
        <v>1965.3395924438491</v>
      </c>
      <c r="BJ10" s="190">
        <f>'Volume Data Entry'!IN15</f>
        <v>1486.3293975903612</v>
      </c>
      <c r="BK10" s="191">
        <f>'Volume Data Entry'!IN76</f>
        <v>2172.9079518072285</v>
      </c>
      <c r="BL10" s="190">
        <f>'Volume Data Entry'!IV15</f>
        <v>1833.1548029153651</v>
      </c>
      <c r="BM10" s="191">
        <f>'Volume Data Entry'!IV76</f>
        <v>1918.6196727651343</v>
      </c>
      <c r="BN10" s="190">
        <f>'Volume Data Entry'!JD15</f>
        <v>926.56731964896608</v>
      </c>
      <c r="BO10" s="191">
        <f>'Volume Data Entry'!JD76</f>
        <v>985.47486984976933</v>
      </c>
      <c r="BP10" s="190">
        <f>'Volume Data Entry'!JL15</f>
        <v>1424.8262962962961</v>
      </c>
      <c r="BQ10" s="191">
        <f>'Volume Data Entry'!JL76</f>
        <v>966.88696712777028</v>
      </c>
      <c r="BR10" s="190">
        <f>'Volume Data Entry'!JT15</f>
        <v>2226.0872140413503</v>
      </c>
      <c r="BS10" s="191">
        <f>'Volume Data Entry'!JT76</f>
        <v>1648.5753235162872</v>
      </c>
      <c r="BT10" s="190">
        <f>'Volume Data Entry'!KB15</f>
        <v>4760.9692800832954</v>
      </c>
      <c r="BU10" s="191">
        <f>'Volume Data Entry'!KB76</f>
        <v>1919.7107020675294</v>
      </c>
      <c r="BV10" s="190">
        <f>'Volume Data Entry'!KJ15</f>
        <v>1409.6775873865834</v>
      </c>
      <c r="BW10" s="191">
        <f>'Volume Data Entry'!KJ76</f>
        <v>3293.8295939312802</v>
      </c>
      <c r="BX10" s="190">
        <f>'Volume Data Entry'!KR15</f>
        <v>1206.8701799791759</v>
      </c>
      <c r="BY10" s="191">
        <f>'Volume Data Entry'!KR76</f>
        <v>1236.8076230849322</v>
      </c>
      <c r="BZ10" s="190">
        <f>'Volume Data Entry'!KZ15</f>
        <v>1944.032445336903</v>
      </c>
      <c r="CA10" s="191">
        <f>'Volume Data Entry'!KZ76</f>
        <v>2799.1279518072283</v>
      </c>
      <c r="CB10" s="190">
        <f>'Volume Data Entry'!LH15</f>
        <v>2036.7412301056072</v>
      </c>
      <c r="CC10" s="191">
        <f>'Volume Data Entry'!LH76</f>
        <v>1079.0919202736873</v>
      </c>
      <c r="CD10" s="190">
        <f>'Volume Data Entry'!LP15</f>
        <v>742.11153354157364</v>
      </c>
      <c r="CE10" s="191">
        <f>'Volume Data Entry'!LP76</f>
        <v>1027.5464257028111</v>
      </c>
      <c r="CF10" s="190">
        <f>'Volume Data Entry'!LX15</f>
        <v>101.70460806187714</v>
      </c>
      <c r="CG10" s="757">
        <f>'Volume Data Entry'!LX76</f>
        <v>1271.4580529525508</v>
      </c>
      <c r="CH10" s="759">
        <f>'Volume Data Entry'!MF15</f>
        <v>1686.7240175516881</v>
      </c>
      <c r="CI10" s="757">
        <f>'Volume Data Entry'!MF76</f>
        <v>373.74269968763946</v>
      </c>
      <c r="CJ10" s="759">
        <f>'Volume Data Entry'!MN15</f>
        <v>919.02250037185763</v>
      </c>
      <c r="CK10" s="757">
        <f>'Volume Data Entry'!MN76</f>
        <v>881.54023798899289</v>
      </c>
      <c r="CL10" s="759">
        <f>'Volume Data Entry'!MV15</f>
        <v>447.62174773166737</v>
      </c>
      <c r="CM10" s="759">
        <f>'Volume Data Entry'!MV76</f>
        <v>1518.5024170757101</v>
      </c>
      <c r="CN10" s="191">
        <f>'Volume Data Entry'!ND15</f>
        <v>845.80988398036584</v>
      </c>
      <c r="CO10" s="191">
        <f>'Volume Data Entry'!ND87</f>
        <v>1555.3828707422281</v>
      </c>
      <c r="CP10" s="767">
        <f>'Volume Data Entry'!NL15</f>
        <v>2231.3373865833705</v>
      </c>
      <c r="CQ10" s="767">
        <f>'Volume Data Entry'!NL87</f>
        <v>10627.410589022757</v>
      </c>
      <c r="CR10" s="767">
        <f>'Volume Data Entry'!NT15</f>
        <v>1337.4913773612968</v>
      </c>
      <c r="CS10" s="767">
        <f>'Volume Data Entry'!NT87</f>
        <v>920.46795180722881</v>
      </c>
      <c r="CT10" s="812">
        <f>'Volume Data Entry'!OB15</f>
        <v>729.49375278893342</v>
      </c>
      <c r="CU10" s="812">
        <f>'Volume Data Entry'!OB87</f>
        <v>1022.172559869106</v>
      </c>
      <c r="CV10" s="812">
        <f>'Volume Data Entry'!OJ15</f>
        <v>1999.559872080916</v>
      </c>
      <c r="CW10" s="812">
        <f>'Volume Data Entry'!OJ87</f>
        <v>2077.1199479399074</v>
      </c>
      <c r="CX10" s="812">
        <f>'Volume Data Entry'!OR15</f>
        <v>1550.3099092666962</v>
      </c>
      <c r="CY10" s="812">
        <f>'Volume Data Entry'!OR87</f>
        <v>145.40437899747135</v>
      </c>
      <c r="CZ10" s="812">
        <f>'Volume Data Entry'!OZ15</f>
        <v>0</v>
      </c>
      <c r="DA10" s="812">
        <f>'Volume Data Entry'!OZ87</f>
        <v>0</v>
      </c>
      <c r="DB10" s="812">
        <f>'Volume Data Entry'!PH15</f>
        <v>0</v>
      </c>
      <c r="DC10" s="812">
        <f>'Volume Data Entry'!PH89</f>
        <v>29.014193548387098</v>
      </c>
      <c r="DD10" s="812">
        <f>'Volume Data Entry'!PP15</f>
        <v>52.81373493975903</v>
      </c>
      <c r="DE10" s="812">
        <f>'Volume Data Entry'!PP87</f>
        <v>122.52808716346868</v>
      </c>
      <c r="DF10" s="812">
        <f>'Volume Data Entry'!PX15</f>
        <v>0</v>
      </c>
      <c r="DG10" s="812">
        <f>'Volume Data Entry'!PX87</f>
        <v>452.68915662650596</v>
      </c>
      <c r="DH10" s="812">
        <f>'Volume Data Entry'!QF15</f>
        <v>133.45302989736723</v>
      </c>
      <c r="DI10" s="812">
        <f>'Volume Data Entry'!QF87</f>
        <v>412.31043879220584</v>
      </c>
      <c r="DJ10" s="812">
        <f>'Volume Data Entry'!QN15</f>
        <v>1566.1841201844413</v>
      </c>
      <c r="DK10" s="812">
        <f>'Volume Data Entry'!QN87</f>
        <v>1781.6037557637956</v>
      </c>
      <c r="DL10" s="812">
        <f>'Volume Data Entry'!QV15</f>
        <v>1906.9101576677076</v>
      </c>
      <c r="DM10" s="812">
        <f>'Volume Data Entry'!QV87</f>
        <v>1640.8477405919973</v>
      </c>
      <c r="DN10" s="812">
        <f t="shared" si="3"/>
        <v>1240.2182071495859</v>
      </c>
      <c r="DO10" s="812">
        <f t="shared" si="4"/>
        <v>1424.6790700249555</v>
      </c>
      <c r="DP10" s="812">
        <f t="shared" si="5"/>
        <v>1593.4071752304137</v>
      </c>
      <c r="DQ10" s="812">
        <f t="shared" si="6"/>
        <v>1597.9443510714093</v>
      </c>
      <c r="DR10" s="812">
        <f>'Volume Data Entry'!RT15</f>
        <v>3032.1737066785654</v>
      </c>
      <c r="DS10" s="812">
        <f>'Volume Data Entry'!RT87</f>
        <v>2018.0887044474191</v>
      </c>
      <c r="DT10" s="812">
        <f>'Volume Data Entry'!SB15</f>
        <v>1698.3098393574294</v>
      </c>
      <c r="DU10" s="812">
        <f>'Volume Data Entry'!SB87</f>
        <v>877.49368287966661</v>
      </c>
      <c r="DV10" s="812">
        <f>'Volume Data Entry'!SJ15</f>
        <v>863.6722846943328</v>
      </c>
      <c r="DW10" s="812">
        <f>'Volume Data Entry'!SJ87</f>
        <v>503.6328424810352</v>
      </c>
      <c r="DX10" s="812">
        <f>'Volume Data Entry'!SR15</f>
        <v>968.33241856314135</v>
      </c>
      <c r="DY10" s="812">
        <f>'Volume Data Entry'!SR87</f>
        <v>249.22087014725565</v>
      </c>
      <c r="DZ10" s="812">
        <f>'Volume Data Entry'!SZ15</f>
        <v>60.358554216867461</v>
      </c>
      <c r="EA10" s="812">
        <f>'Volume Data Entry'!SZ87</f>
        <v>60.358554216867461</v>
      </c>
      <c r="EB10" s="812">
        <f>'Volume Data Entry'!TH15</f>
        <v>377.24096385542163</v>
      </c>
      <c r="EC10" s="812">
        <f>'Volume Data Entry'!TH87</f>
        <v>709.2130120481927</v>
      </c>
    </row>
    <row r="11" spans="1:138">
      <c r="A11" s="189" t="s">
        <v>22</v>
      </c>
      <c r="B11" s="190">
        <f>'Volume Data Entry'!H17</f>
        <v>27.658867383512547</v>
      </c>
      <c r="C11" s="190">
        <f>'Volume Data Entry'!H78</f>
        <v>27.658867383512547</v>
      </c>
      <c r="D11" s="190">
        <f>'Volume Data Entry'!P17</f>
        <v>136.70055197132618</v>
      </c>
      <c r="E11" s="190">
        <f>'Volume Data Entry'!P78</f>
        <v>0</v>
      </c>
      <c r="F11" s="190">
        <f>'Volume Data Entry'!X17</f>
        <v>491.71075268817208</v>
      </c>
      <c r="G11" s="190">
        <f>'Volume Data Entry'!X78</f>
        <v>689.46422939068111</v>
      </c>
      <c r="H11" s="190">
        <f>'Volume Data Entry'!AF17</f>
        <v>191.37833691756273</v>
      </c>
      <c r="I11" s="190">
        <f>'Volume Data Entry'!AF78</f>
        <v>102.02659498207885</v>
      </c>
      <c r="J11" s="190">
        <f>'Volume Data Entry'!AN17</f>
        <v>521.91724014336921</v>
      </c>
      <c r="K11" s="190">
        <f>'Volume Data Entry'!AN78</f>
        <v>260.87710394265235</v>
      </c>
      <c r="L11" s="190">
        <f>'Volume Data Entry'!AV17</f>
        <v>0</v>
      </c>
      <c r="M11" s="190">
        <f>'Volume Data Entry'!AV78</f>
        <v>362.67741935483872</v>
      </c>
      <c r="N11" s="190">
        <f>'Volume Data Entry'!BD17</f>
        <v>1330.2243225806453</v>
      </c>
      <c r="O11" s="190">
        <f>'Volume Data Entry'!BD78</f>
        <v>0</v>
      </c>
      <c r="P11" s="190">
        <f>'Volume Data Entry'!BL17</f>
        <v>1443.1567741935485</v>
      </c>
      <c r="Q11" s="190">
        <f>'Volume Data Entry'!BL78</f>
        <v>163.31797849462365</v>
      </c>
      <c r="R11" s="190">
        <f>'Volume Data Entry'!BT17</f>
        <v>145.07096774193548</v>
      </c>
      <c r="S11" s="190">
        <f>'Volume Data Entry'!BT78</f>
        <v>21.760645161290324</v>
      </c>
      <c r="T11" s="190">
        <f>'Volume Data Entry'!CB17</f>
        <v>0</v>
      </c>
      <c r="U11" s="190">
        <f>'Volume Data Entry'!CB78</f>
        <v>0</v>
      </c>
      <c r="V11" s="190">
        <f>'Volume Data Entry'!CJ17</f>
        <v>0</v>
      </c>
      <c r="W11" s="190">
        <f>'Volume Data Entry'!CJ78</f>
        <v>0</v>
      </c>
      <c r="X11" s="190">
        <f>'Volume Data Entry'!CR17</f>
        <v>82.97660215053763</v>
      </c>
      <c r="Y11" s="190">
        <f>'Volume Data Entry'!CR78</f>
        <v>0</v>
      </c>
      <c r="Z11" s="190">
        <f>'Volume Data Entry'!CZ17</f>
        <v>1443.1567741935485</v>
      </c>
      <c r="AA11" s="190">
        <f>'Volume Data Entry'!CZ78</f>
        <v>0</v>
      </c>
      <c r="AB11" s="190">
        <f>'Volume Data Entry'!DH17</f>
        <v>1095.0862365591397</v>
      </c>
      <c r="AC11" s="190">
        <f>'Volume Data Entry'!DH78</f>
        <v>0</v>
      </c>
      <c r="AD11" s="190">
        <f>'Volume Data Entry'!DP17</f>
        <v>0</v>
      </c>
      <c r="AE11" s="190">
        <f>'Volume Data Entry'!DP78</f>
        <v>485.73710394265231</v>
      </c>
      <c r="AF11" s="190">
        <f>'Volume Data Entry'!DX17</f>
        <v>0</v>
      </c>
      <c r="AG11" s="190">
        <f>'Volume Data Entry'!DX78</f>
        <v>927.55142652329755</v>
      </c>
      <c r="AH11" s="190">
        <f>'Volume Data Entry'!EF17</f>
        <v>1200.4877921146954</v>
      </c>
      <c r="AI11" s="190">
        <f>'Volume Data Entry'!EF78</f>
        <v>640.28317562724021</v>
      </c>
      <c r="AJ11" s="190">
        <f>'Volume Data Entry'!EN17</f>
        <v>2135.9837849462365</v>
      </c>
      <c r="AK11" s="190">
        <f>'Volume Data Entry'!EN78</f>
        <v>1404.667476702509</v>
      </c>
      <c r="AL11" s="190">
        <f>'Volume Data Entry'!EV17</f>
        <v>602.27079569892476</v>
      </c>
      <c r="AM11" s="190">
        <f>'Volume Data Entry'!EV78</f>
        <v>253.62355555555555</v>
      </c>
      <c r="AN11" s="190">
        <f>'Volume Data Entry'!FD17</f>
        <v>0</v>
      </c>
      <c r="AO11" s="190">
        <f>'Volume Data Entry'!FD78</f>
        <v>0</v>
      </c>
      <c r="AP11" s="190">
        <f>'Volume Data Entry'!FL17</f>
        <v>0</v>
      </c>
      <c r="AQ11" s="190">
        <f>'Volume Data Entry'!FL78</f>
        <v>0</v>
      </c>
      <c r="AR11" s="190">
        <f>'Volume Data Entry'!FT17</f>
        <v>0</v>
      </c>
      <c r="AS11" s="190">
        <f>'Volume Data Entry'!FT78</f>
        <v>0</v>
      </c>
      <c r="AT11" s="190">
        <f>'Volume Data Entry'!GB17</f>
        <v>0</v>
      </c>
      <c r="AU11" s="190">
        <f>'Volume Data Entry'!GB78</f>
        <v>0</v>
      </c>
      <c r="AV11" s="190">
        <f>'Volume Data Entry'!GJ17</f>
        <v>0</v>
      </c>
      <c r="AW11" s="190">
        <f>'Volume Data Entry'!GJ78</f>
        <v>0</v>
      </c>
      <c r="AX11" s="190">
        <f>'Volume Data Entry'!GR17</f>
        <v>116.05677419354839</v>
      </c>
      <c r="AY11" s="191">
        <f>'Volume Data Entry'!GR78</f>
        <v>0</v>
      </c>
      <c r="AZ11" s="190">
        <f>'Volume Data Entry'!GZ17</f>
        <v>884.73333333333335</v>
      </c>
      <c r="BA11" s="191">
        <f>'Volume Data Entry'!GZ78</f>
        <v>362.67741935483872</v>
      </c>
      <c r="BB11" s="190">
        <f>'Volume Data Entry'!HH17</f>
        <v>491.71075268817208</v>
      </c>
      <c r="BC11" s="191">
        <f>'Volume Data Entry'!HH78</f>
        <v>689.46422939068111</v>
      </c>
      <c r="BD11" s="190">
        <f>'Volume Data Entry'!HP17</f>
        <v>435.84067383512547</v>
      </c>
      <c r="BE11" s="191">
        <f>'Volume Data Entry'!HP78</f>
        <v>1429.1509534050181</v>
      </c>
      <c r="BF11" s="190">
        <f>'Volume Data Entry'!HX17</f>
        <v>1444.5121003584229</v>
      </c>
      <c r="BG11" s="191">
        <f>'Volume Data Entry'!HX78</f>
        <v>2131.8423799283155</v>
      </c>
      <c r="BH11" s="190">
        <f>'Volume Data Entry'!IF17</f>
        <v>1662.5687598566308</v>
      </c>
      <c r="BI11" s="191">
        <f>'Volume Data Entry'!IF78</f>
        <v>2131.8423799283155</v>
      </c>
      <c r="BJ11" s="190">
        <f>'Volume Data Entry'!IN17</f>
        <v>1824.443806451613</v>
      </c>
      <c r="BK11" s="191">
        <f>'Volume Data Entry'!IN78</f>
        <v>1374.6483799283155</v>
      </c>
      <c r="BL11" s="190">
        <f>'Volume Data Entry'!IV17</f>
        <v>246.62064516129033</v>
      </c>
      <c r="BM11" s="191">
        <f>'Volume Data Entry'!IV78</f>
        <v>1143.865799283154</v>
      </c>
      <c r="BN11" s="190">
        <f>'Volume Data Entry'!JD17</f>
        <v>1274.4540286738352</v>
      </c>
      <c r="BO11" s="191">
        <f>'Volume Data Entry'!JD78</f>
        <v>128.09167741935485</v>
      </c>
      <c r="BP11" s="190">
        <f>'Volume Data Entry'!JL17</f>
        <v>36.267741935483869</v>
      </c>
      <c r="BQ11" s="191">
        <f>'Volume Data Entry'!JL78</f>
        <v>0</v>
      </c>
      <c r="BR11" s="190">
        <f>'Volume Data Entry'!JT17</f>
        <v>533.47522580645159</v>
      </c>
      <c r="BS11" s="191">
        <f>'Volume Data Entry'!JT78</f>
        <v>219.75258064516129</v>
      </c>
      <c r="BT11" s="190">
        <f>'Volume Data Entry'!KB17</f>
        <v>1418.7730824372761</v>
      </c>
      <c r="BU11" s="191">
        <f>'Volume Data Entry'!KB78</f>
        <v>551.49595698924736</v>
      </c>
      <c r="BV11" s="190">
        <f>'Volume Data Entry'!KJ17</f>
        <v>0</v>
      </c>
      <c r="BW11" s="191">
        <f>'Volume Data Entry'!KJ78</f>
        <v>21.760645161290324</v>
      </c>
      <c r="BX11" s="190">
        <f>'Volume Data Entry'!KR17</f>
        <v>0</v>
      </c>
      <c r="BY11" s="191">
        <f>'Volume Data Entry'!KR78</f>
        <v>0</v>
      </c>
      <c r="BZ11" s="190">
        <f>'Volume Data Entry'!KZ17</f>
        <v>567.74769175627239</v>
      </c>
      <c r="CA11" s="191">
        <f>'Volume Data Entry'!KZ78</f>
        <v>792.36923297491046</v>
      </c>
      <c r="CB11" s="190">
        <f>'Volume Data Entry'!LH17</f>
        <v>912.73044444444452</v>
      </c>
      <c r="CC11" s="191">
        <f>'Volume Data Entry'!LH78</f>
        <v>1205.5586738351255</v>
      </c>
      <c r="CD11" s="190">
        <f>'Volume Data Entry'!LP17</f>
        <v>1603.374788530466</v>
      </c>
      <c r="CE11" s="191">
        <f>'Volume Data Entry'!LP78</f>
        <v>2494.5708673835125</v>
      </c>
      <c r="CF11" s="190">
        <f>'Volume Data Entry'!LX17</f>
        <v>467.87940501792116</v>
      </c>
      <c r="CG11" s="757">
        <f>'Volume Data Entry'!LX78</f>
        <v>5841.9117634408603</v>
      </c>
      <c r="CH11" s="759">
        <f>'Volume Data Entry'!MF17</f>
        <v>2130.6500860215056</v>
      </c>
      <c r="CI11" s="757">
        <f>'Volume Data Entry'!MF78</f>
        <v>2734.2518494623655</v>
      </c>
      <c r="CJ11" s="759">
        <f>'Volume Data Entry'!MN17</f>
        <v>3574.7485161290324</v>
      </c>
      <c r="CK11" s="757">
        <f>'Volume Data Entry'!MN78</f>
        <v>605.77225089605736</v>
      </c>
      <c r="CL11" s="759">
        <f>'Volume Data Entry'!MV17</f>
        <v>606.65065949820792</v>
      </c>
      <c r="CM11" s="759">
        <f>'Volume Data Entry'!MV78</f>
        <v>252.59429390681004</v>
      </c>
      <c r="CN11" s="191">
        <f>'Volume Data Entry'!ND17</f>
        <v>73.250860215053763</v>
      </c>
      <c r="CO11" s="191">
        <f>'Volume Data Entry'!ND89</f>
        <v>424.44572043010749</v>
      </c>
      <c r="CP11" s="767">
        <f>'Volume Data Entry'!NL17</f>
        <v>664.28973476702504</v>
      </c>
      <c r="CQ11" s="767">
        <f>'Volume Data Entry'!NL89</f>
        <v>366.32972759856636</v>
      </c>
      <c r="CR11" s="767">
        <f>'Volume Data Entry'!NT17</f>
        <v>233.30584229390684</v>
      </c>
      <c r="CS11" s="767">
        <f>'Volume Data Entry'!NT89</f>
        <v>85.047304659498209</v>
      </c>
      <c r="CT11" s="191">
        <f>'Volume Data Entry'!OB17</f>
        <v>200.22567025089609</v>
      </c>
      <c r="CU11" s="191">
        <f>'Volume Data Entry'!OB89</f>
        <v>363.63125448028677</v>
      </c>
      <c r="CV11" s="767">
        <f>'Volume Data Entry'!OJ17</f>
        <v>543.76549103942648</v>
      </c>
      <c r="CW11" s="767">
        <f>'Volume Data Entry'!OJ89</f>
        <v>249.08065949820789</v>
      </c>
      <c r="CX11" s="767">
        <f>'Volume Data Entry'!OR17</f>
        <v>772.35322580645175</v>
      </c>
      <c r="CY11" s="767">
        <f>'Volume Data Entry'!OR89</f>
        <v>292.60194982078855</v>
      </c>
      <c r="CZ11" s="191">
        <f>'Volume Data Entry'!OZ17</f>
        <v>0</v>
      </c>
      <c r="DA11" s="191">
        <f>'Volume Data Entry'!OZ89</f>
        <v>0</v>
      </c>
      <c r="DB11" s="774">
        <f>'Volume Data Entry'!PH17</f>
        <v>0</v>
      </c>
      <c r="DC11" s="774">
        <f>'Volume Data Entry'!PH89</f>
        <v>29.014193548387098</v>
      </c>
      <c r="DD11" s="774">
        <f>'Volume Data Entry'!PP17</f>
        <v>197.51501792114698</v>
      </c>
      <c r="DE11" s="774">
        <f>'Volume Data Entry'!PP89</f>
        <v>283.75461648745522</v>
      </c>
      <c r="DF11" s="191">
        <f>'Volume Data Entry'!PX17</f>
        <v>26.542000000000002</v>
      </c>
      <c r="DG11" s="191">
        <f>'Volume Data Entry'!PX89</f>
        <v>65.281935483870967</v>
      </c>
      <c r="DH11" s="774">
        <f>'Volume Data Entry'!QF17</f>
        <v>195.8458064516129</v>
      </c>
      <c r="DI11" s="774">
        <f>'Volume Data Entry'!QF89</f>
        <v>209.71295340501794</v>
      </c>
      <c r="DJ11" s="774">
        <f>'Volume Data Entry'!QN17</f>
        <v>400.77740501792113</v>
      </c>
      <c r="DK11" s="774">
        <f>'Volume Data Entry'!QN89</f>
        <v>270.21353405017919</v>
      </c>
      <c r="DL11" s="191">
        <f>'Volume Data Entry'!QV17</f>
        <v>36.267741935483869</v>
      </c>
      <c r="DM11" s="191">
        <f>'Volume Data Entry'!QV89</f>
        <v>113.3461218637993</v>
      </c>
      <c r="DN11" s="774">
        <f t="shared" si="3"/>
        <v>204.36059378733572</v>
      </c>
      <c r="DO11" s="774">
        <f t="shared" si="4"/>
        <v>205.77972500995619</v>
      </c>
      <c r="DP11" s="774">
        <f t="shared" si="5"/>
        <v>205.12418694411255</v>
      </c>
      <c r="DQ11" s="774">
        <f t="shared" si="6"/>
        <v>172.51531726514449</v>
      </c>
      <c r="DR11" s="191">
        <f>'Volume Data Entry'!RT17</f>
        <v>175.67894623655914</v>
      </c>
      <c r="DS11" s="191">
        <f>'Volume Data Entry'!RT89</f>
        <v>210.59136200716847</v>
      </c>
      <c r="DT11" s="774">
        <f>'Volume Data Entry'!SB17</f>
        <v>505.57789964157706</v>
      </c>
      <c r="DU11" s="774">
        <f>'Volume Data Entry'!SB89</f>
        <v>57.149978494623653</v>
      </c>
      <c r="DV11" s="774">
        <f>'Volume Data Entry'!SJ17</f>
        <v>669.47258064516132</v>
      </c>
      <c r="DW11" s="774">
        <f>'Volume Data Entry'!SJ89</f>
        <v>1060.0983942652329</v>
      </c>
      <c r="DX11" s="191">
        <f>'Volume Data Entry'!SR17</f>
        <v>1351.1819856630823</v>
      </c>
      <c r="DY11" s="191">
        <f>'Volume Data Entry'!SR89</f>
        <v>1240.2326308243728</v>
      </c>
      <c r="DZ11" s="774">
        <f>'Volume Data Entry'!SZ17</f>
        <v>298.11086021505378</v>
      </c>
      <c r="EA11" s="774">
        <f>'Volume Data Entry'!SZ89</f>
        <v>1040.0945663082439</v>
      </c>
      <c r="EB11" s="774">
        <f>'Volume Data Entry'!TH17</f>
        <v>2080.4908387096775</v>
      </c>
      <c r="EC11" s="774">
        <f>'Volume Data Entry'!TH89</f>
        <v>1307.8237275985662</v>
      </c>
    </row>
    <row r="12" spans="1:138">
      <c r="A12" s="192" t="s">
        <v>25</v>
      </c>
      <c r="B12" s="190">
        <f>'Volume Data Entry'!H21</f>
        <v>584.38171121251628</v>
      </c>
      <c r="C12" s="190">
        <f>'Volume Data Entry'!H82</f>
        <v>390.41717514124292</v>
      </c>
      <c r="D12" s="190">
        <f>'Volume Data Entry'!P21</f>
        <v>332.24262929161239</v>
      </c>
      <c r="E12" s="190">
        <f>'Volume Data Entry'!P82</f>
        <v>211.85580508474578</v>
      </c>
      <c r="F12" s="190">
        <f>'Volume Data Entry'!X21</f>
        <v>0</v>
      </c>
      <c r="G12" s="190">
        <f>'Volume Data Entry'!X82</f>
        <v>324.31403846153842</v>
      </c>
      <c r="H12" s="190">
        <f>'Volume Data Entry'!AF21</f>
        <v>570.07525315080409</v>
      </c>
      <c r="I12" s="190">
        <f>'Volume Data Entry'!AF82</f>
        <v>353.93084745762718</v>
      </c>
      <c r="J12" s="190">
        <f>'Volume Data Entry'!AN21</f>
        <v>0</v>
      </c>
      <c r="K12" s="190">
        <f>'Volume Data Entry'!AN82</f>
        <v>0</v>
      </c>
      <c r="L12" s="190">
        <f>'Volume Data Entry'!AV21</f>
        <v>0</v>
      </c>
      <c r="M12" s="190">
        <f>'Volume Data Entry'!AV82</f>
        <v>276.77169491525427</v>
      </c>
      <c r="N12" s="190">
        <f>'Volume Data Entry'!BD21</f>
        <v>735.08972946544986</v>
      </c>
      <c r="O12" s="190">
        <f>'Volume Data Entry'!BD82</f>
        <v>0</v>
      </c>
      <c r="P12" s="190">
        <f>'Volume Data Entry'!BL21</f>
        <v>432.02781073446334</v>
      </c>
      <c r="Q12" s="190">
        <f>'Volume Data Entry'!BL82</f>
        <v>357.91236310299871</v>
      </c>
      <c r="R12" s="190">
        <f>'Volume Data Entry'!BT21</f>
        <v>385.81319643633208</v>
      </c>
      <c r="S12" s="190">
        <f>'Volume Data Entry'!BT82</f>
        <v>277.26148631029992</v>
      </c>
      <c r="T12" s="190">
        <f>'Volume Data Entry'!CB21</f>
        <v>0</v>
      </c>
      <c r="U12" s="190">
        <f>'Volume Data Entry'!CB82</f>
        <v>0</v>
      </c>
      <c r="V12" s="190">
        <f>'Volume Data Entry'!CJ21</f>
        <v>0</v>
      </c>
      <c r="W12" s="190">
        <f>'Volume Data Entry'!CJ82</f>
        <v>0</v>
      </c>
      <c r="X12" s="190">
        <f>'Volume Data Entry'!CR21</f>
        <v>887.39612125162989</v>
      </c>
      <c r="Y12" s="190">
        <f>'Volume Data Entry'!CR82</f>
        <v>0</v>
      </c>
      <c r="Z12" s="190">
        <f>'Volume Data Entry'!CZ21</f>
        <v>432.02781073446334</v>
      </c>
      <c r="AA12" s="190">
        <f>'Volume Data Entry'!CZ82</f>
        <v>357.91236310299871</v>
      </c>
      <c r="AB12" s="190">
        <f>'Volume Data Entry'!DH21</f>
        <v>1850.0649652325078</v>
      </c>
      <c r="AC12" s="190">
        <f>'Volume Data Entry'!DH82</f>
        <v>0</v>
      </c>
      <c r="AD12" s="190">
        <f>'Volume Data Entry'!DP21</f>
        <v>0</v>
      </c>
      <c r="AE12" s="190">
        <f>'Volume Data Entry'!DP82</f>
        <v>0</v>
      </c>
      <c r="AF12" s="190">
        <f>'Volume Data Entry'!DX21</f>
        <v>0</v>
      </c>
      <c r="AG12" s="190">
        <f>'Volume Data Entry'!DX82</f>
        <v>1922.4689124293786</v>
      </c>
      <c r="AH12" s="190">
        <f>'Volume Data Entry'!EF21</f>
        <v>724.5262570621469</v>
      </c>
      <c r="AI12" s="190">
        <f>'Volume Data Entry'!EF82</f>
        <v>948.32898305084746</v>
      </c>
      <c r="AJ12" s="190">
        <f>'Volume Data Entry'!EN21</f>
        <v>2071.8380367231639</v>
      </c>
      <c r="AK12" s="190">
        <f>'Volume Data Entry'!EN82</f>
        <v>1440.0551564537159</v>
      </c>
      <c r="AL12" s="190">
        <f>'Volume Data Entry'!EV21</f>
        <v>1018.9721566710127</v>
      </c>
      <c r="AM12" s="190">
        <f>'Volume Data Entry'!EV82</f>
        <v>0</v>
      </c>
      <c r="AN12" s="190">
        <f>'Volume Data Entry'!FD21</f>
        <v>0</v>
      </c>
      <c r="AO12" s="190">
        <f>'Volume Data Entry'!FD82</f>
        <v>0</v>
      </c>
      <c r="AP12" s="190">
        <f>'Volume Data Entry'!FL21</f>
        <v>0</v>
      </c>
      <c r="AQ12" s="190">
        <f>'Volume Data Entry'!FL82</f>
        <v>0</v>
      </c>
      <c r="AR12" s="190">
        <f>'Volume Data Entry'!FT21</f>
        <v>0</v>
      </c>
      <c r="AS12" s="190">
        <f>'Volume Data Entry'!FT82</f>
        <v>0</v>
      </c>
      <c r="AT12" s="190">
        <f>'Volume Data Entry'!GB21</f>
        <v>0</v>
      </c>
      <c r="AU12" s="190">
        <f>'Volume Data Entry'!GB82</f>
        <v>0</v>
      </c>
      <c r="AV12" s="190">
        <f>'Volume Data Entry'!GJ21</f>
        <v>0</v>
      </c>
      <c r="AW12" s="190">
        <f>'Volume Data Entry'!GJ82</f>
        <v>0</v>
      </c>
      <c r="AX12" s="190">
        <f>'Volume Data Entry'!GR21</f>
        <v>454.54370817036079</v>
      </c>
      <c r="AY12" s="191">
        <f>'Volume Data Entry'!GR82</f>
        <v>0</v>
      </c>
      <c r="AZ12" s="190">
        <f>'Volume Data Entry'!GZ21</f>
        <v>1850.0649652325078</v>
      </c>
      <c r="BA12" s="191">
        <f>'Volume Data Entry'!GZ82</f>
        <v>0</v>
      </c>
      <c r="BB12" s="190">
        <f>'Volume Data Entry'!HH21</f>
        <v>0</v>
      </c>
      <c r="BC12" s="191">
        <f>'Volume Data Entry'!HH82</f>
        <v>173.61249999999998</v>
      </c>
      <c r="BD12" s="190">
        <f>'Volume Data Entry'!HP21</f>
        <v>2441.0498663624512</v>
      </c>
      <c r="BE12" s="191">
        <f>'Volume Data Entry'!HP82</f>
        <v>2108.8379661016952</v>
      </c>
      <c r="BF12" s="190">
        <f>'Volume Data Entry'!HX21</f>
        <v>2460.0514830508478</v>
      </c>
      <c r="BG12" s="191">
        <f>'Volume Data Entry'!HX82</f>
        <v>2746.9846208170361</v>
      </c>
      <c r="BH12" s="190">
        <f>'Volume Data Entry'!IF21</f>
        <v>1883.4947392438073</v>
      </c>
      <c r="BI12" s="191">
        <f>'Volume Data Entry'!IF82</f>
        <v>2700.7344285093441</v>
      </c>
      <c r="BJ12" s="190">
        <f>'Volume Data Entry'!IN21</f>
        <v>1940.6077585832249</v>
      </c>
      <c r="BK12" s="191">
        <f>'Volume Data Entry'!IN82</f>
        <v>1743.5824293785313</v>
      </c>
      <c r="BL12" s="190">
        <f>'Volume Data Entry'!IV21</f>
        <v>1940.9766666666669</v>
      </c>
      <c r="BM12" s="191">
        <f>'Volume Data Entry'!IV82</f>
        <v>1209.2637288135595</v>
      </c>
      <c r="BN12" s="190">
        <f>'Volume Data Entry'!JD21</f>
        <v>1111.27181986093</v>
      </c>
      <c r="BO12" s="191">
        <f>'Volume Data Entry'!JD82</f>
        <v>1187.2679052585834</v>
      </c>
      <c r="BP12" s="190">
        <f>'Volume Data Entry'!JL21</f>
        <v>109.64999999999999</v>
      </c>
      <c r="BQ12" s="191">
        <f>'Volume Data Entry'!JL82</f>
        <v>39.595833333333331</v>
      </c>
      <c r="BR12" s="190">
        <f>'Volume Data Entry'!JT21</f>
        <v>190.92231638418082</v>
      </c>
      <c r="BS12" s="191">
        <f>'Volume Data Entry'!JT82</f>
        <v>140.09762711864408</v>
      </c>
      <c r="BT12" s="190">
        <f>'Volume Data Entry'!KB21</f>
        <v>1483.926271186441</v>
      </c>
      <c r="BU12" s="191">
        <f>'Volume Data Entry'!KB82</f>
        <v>724.56260321599314</v>
      </c>
      <c r="BV12" s="190">
        <f>'Volume Data Entry'!KJ21</f>
        <v>346.55728813559324</v>
      </c>
      <c r="BW12" s="191">
        <f>'Volume Data Entry'!KJ82</f>
        <v>125.35050847457629</v>
      </c>
      <c r="BX12" s="190">
        <f>'Volume Data Entry'!KR21</f>
        <v>294.94237288135599</v>
      </c>
      <c r="BY12" s="191">
        <f>'Volume Data Entry'!KR82</f>
        <v>211.85580508474578</v>
      </c>
      <c r="BZ12" s="190">
        <f>'Volume Data Entry'!KZ21</f>
        <v>2630.1841949152545</v>
      </c>
      <c r="CA12" s="191">
        <f>'Volume Data Entry'!KZ82</f>
        <v>3318.6205595393308</v>
      </c>
      <c r="CB12" s="190">
        <f>'Volume Data Entry'!LH21</f>
        <v>2373.0253824424167</v>
      </c>
      <c r="CC12" s="191">
        <f>'Volume Data Entry'!LH82</f>
        <v>2379.4373392003481</v>
      </c>
      <c r="CD12" s="190">
        <f>'Volume Data Entry'!LP21</f>
        <v>1784.6473533246417</v>
      </c>
      <c r="CE12" s="191">
        <f>'Volume Data Entry'!LP82</f>
        <v>2259.2903791829644</v>
      </c>
      <c r="CF12" s="190">
        <f>'Volume Data Entry'!LX21</f>
        <v>1592.8308474576272</v>
      </c>
      <c r="CG12" s="757">
        <f>'Volume Data Entry'!LX82</f>
        <v>1423.7296088657108</v>
      </c>
      <c r="CH12" s="759">
        <f>'Volume Data Entry'!MF21</f>
        <v>2990.7717068665797</v>
      </c>
      <c r="CI12" s="757">
        <f>'Volume Data Entry'!MF82</f>
        <v>1965.6585723598437</v>
      </c>
      <c r="CJ12" s="759">
        <f>'Volume Data Entry'!MN21</f>
        <v>2352.3332833550635</v>
      </c>
      <c r="CK12" s="757">
        <f>'Volume Data Entry'!MN82</f>
        <v>2111.5428335506303</v>
      </c>
      <c r="CL12" s="759">
        <f>'Volume Data Entry'!MV21</f>
        <v>1149.4387005649719</v>
      </c>
      <c r="CM12" s="759">
        <f>'Volume Data Entry'!MV82</f>
        <v>1455.6750162972621</v>
      </c>
      <c r="CN12" s="191">
        <f>'Volume Data Entry'!ND21</f>
        <v>969.26592242503261</v>
      </c>
      <c r="CO12" s="191">
        <f>'Volume Data Entry'!ND93</f>
        <v>2357.7270871360279</v>
      </c>
      <c r="CP12" s="767">
        <f>'Volume Data Entry'!NL21</f>
        <v>2065.9721349413298</v>
      </c>
      <c r="CQ12" s="767">
        <f>'Volume Data Entry'!NL93</f>
        <v>10654.69138092134</v>
      </c>
      <c r="CR12" s="767">
        <f>'Volume Data Entry'!NT21</f>
        <v>1992.1936397218603</v>
      </c>
      <c r="CS12" s="767">
        <f>'Volume Data Entry'!NT93</f>
        <v>2272.7083909169928</v>
      </c>
      <c r="CT12" s="191">
        <f>'Volume Data Entry'!OB21</f>
        <v>947.4002488048676</v>
      </c>
      <c r="CU12" s="191">
        <f>'Volume Data Entry'!OB93</f>
        <v>970.67288026944811</v>
      </c>
      <c r="CV12" s="767">
        <f>'Volume Data Entry'!OJ21</f>
        <v>1159.7877618426771</v>
      </c>
      <c r="CW12" s="767">
        <f>'Volume Data Entry'!OJ93</f>
        <v>1602.595370491091</v>
      </c>
      <c r="CX12" s="767">
        <f>'Volume Data Entry'!OR21</f>
        <v>1460.4859702303347</v>
      </c>
      <c r="CY12" s="767">
        <f>'Volume Data Entry'!OR93</f>
        <v>1115.0080128205129</v>
      </c>
      <c r="CZ12" s="191">
        <f>'Volume Data Entry'!OZ21</f>
        <v>0</v>
      </c>
      <c r="DA12" s="191">
        <f>'Volume Data Entry'!OZ93</f>
        <v>0</v>
      </c>
      <c r="DB12" s="774">
        <f>'Volume Data Entry'!PH21</f>
        <v>0</v>
      </c>
      <c r="DC12" s="774">
        <f>'Volume Data Entry'!PH93</f>
        <v>73.862351151673195</v>
      </c>
      <c r="DD12" s="774">
        <f>'Volume Data Entry'!PP21</f>
        <v>44.145775749674058</v>
      </c>
      <c r="DE12" s="774">
        <f>'Volume Data Entry'!PP93</f>
        <v>188.09075184702306</v>
      </c>
      <c r="DF12" s="191">
        <f>'Volume Data Entry'!PX21</f>
        <v>56.819777270751842</v>
      </c>
      <c r="DG12" s="191">
        <f>'Volume Data Entry'!PX93</f>
        <v>74.709307909604519</v>
      </c>
      <c r="DH12" s="774">
        <f>'Volume Data Entry'!QF21</f>
        <v>79.214979356801393</v>
      </c>
      <c r="DI12" s="774">
        <f>'Volume Data Entry'!QF93</f>
        <v>305.82132768361583</v>
      </c>
      <c r="DJ12" s="774">
        <f>'Volume Data Entry'!QN21</f>
        <v>295.91763689700133</v>
      </c>
      <c r="DK12" s="774">
        <f>'Volume Data Entry'!QN93</f>
        <v>168.72402107779226</v>
      </c>
      <c r="DL12" s="191">
        <f>'Volume Data Entry'!QV21</f>
        <v>266.97771512385918</v>
      </c>
      <c r="DM12" s="191">
        <f>'Volume Data Entry'!QV93</f>
        <v>316.11036614515433</v>
      </c>
      <c r="DN12" s="774">
        <f t="shared" si="3"/>
        <v>238.79434104737072</v>
      </c>
      <c r="DO12" s="774">
        <f t="shared" si="4"/>
        <v>265.3909013291323</v>
      </c>
      <c r="DP12" s="774">
        <f t="shared" si="5"/>
        <v>258.65249693671836</v>
      </c>
      <c r="DQ12" s="774">
        <f t="shared" si="6"/>
        <v>252.44164027667117</v>
      </c>
      <c r="DR12" s="191">
        <f>'Volume Data Entry'!RT21</f>
        <v>2078.9034050412865</v>
      </c>
      <c r="DS12" s="191">
        <f>'Volume Data Entry'!RT93</f>
        <v>2220.1512049109083</v>
      </c>
      <c r="DT12" s="774">
        <f>'Volume Data Entry'!SB21</f>
        <v>1434.0586342894394</v>
      </c>
      <c r="DU12" s="774">
        <f>'Volume Data Entry'!SB93</f>
        <v>1629.1517611907868</v>
      </c>
      <c r="DV12" s="774">
        <f>'Volume Data Entry'!SJ21</f>
        <v>1705.1739461103873</v>
      </c>
      <c r="DW12" s="774">
        <f>'Volume Data Entry'!SJ93</f>
        <v>1434.9082105606262</v>
      </c>
      <c r="DX12" s="191">
        <f>'Volume Data Entry'!SR21</f>
        <v>1383.1876999130814</v>
      </c>
      <c r="DY12" s="191">
        <f>'Volume Data Entry'!SR93</f>
        <v>926.72139178618011</v>
      </c>
      <c r="DZ12" s="774">
        <f>'Volume Data Entry'!SZ21</f>
        <v>636.85615710560637</v>
      </c>
      <c r="EA12" s="774">
        <f>'Volume Data Entry'!SZ93</f>
        <v>1277.3297631464582</v>
      </c>
      <c r="EB12" s="774">
        <f>'Volume Data Entry'!TH21</f>
        <v>837.59733268144294</v>
      </c>
      <c r="EC12" s="774">
        <f>'Volume Data Entry'!TH93</f>
        <v>1127.2739873967842</v>
      </c>
    </row>
    <row r="13" spans="1:138">
      <c r="A13" s="859" t="s">
        <v>48</v>
      </c>
      <c r="B13" s="190">
        <f>'Volume Data Entry'!H57</f>
        <v>1573.3200000000002</v>
      </c>
      <c r="C13" s="190">
        <f>'Volume Data Entry'!H118</f>
        <v>2403.6833333333334</v>
      </c>
      <c r="D13" s="190">
        <f>'Volume Data Entry'!P57</f>
        <v>471.02481481481482</v>
      </c>
      <c r="E13" s="190">
        <f>'Volume Data Entry'!P118</f>
        <v>335.05888888888893</v>
      </c>
      <c r="F13" s="190">
        <f>'Volume Data Entry'!X57</f>
        <v>1738.4214814814816</v>
      </c>
      <c r="G13" s="190">
        <f>'Volume Data Entry'!X118</f>
        <v>636.12629629629635</v>
      </c>
      <c r="H13" s="190">
        <f>'Volume Data Entry'!AF57</f>
        <v>946.90555555555557</v>
      </c>
      <c r="I13" s="190">
        <f>'Volume Data Entry'!AF118</f>
        <v>1204.2696296296297</v>
      </c>
      <c r="J13" s="190">
        <f>'Volume Data Entry'!AN57</f>
        <v>1597.5996296296298</v>
      </c>
      <c r="K13" s="190">
        <f>'Volume Data Entry'!AN118</f>
        <v>495.30444444444447</v>
      </c>
      <c r="L13" s="190">
        <f>'Volume Data Entry'!AV57</f>
        <v>0</v>
      </c>
      <c r="M13" s="190">
        <f>'Volume Data Entry'!AV118</f>
        <v>315.63518518518521</v>
      </c>
      <c r="N13" s="190">
        <f>'Volume Data Entry'!BD57</f>
        <v>684.68555555555554</v>
      </c>
      <c r="O13" s="190">
        <f>'Volume Data Entry'!BD118</f>
        <v>0</v>
      </c>
      <c r="P13" s="190">
        <f>'Volume Data Entry'!BL57</f>
        <v>1010.0325925925927</v>
      </c>
      <c r="Q13" s="190">
        <f>'Volume Data Entry'!BL118</f>
        <v>461.31296296296301</v>
      </c>
      <c r="R13" s="190">
        <f>'Volume Data Entry'!BT57</f>
        <v>38.84740740740741</v>
      </c>
      <c r="S13" s="190">
        <f>'Volume Data Entry'!BT118</f>
        <v>369.05037037037039</v>
      </c>
      <c r="T13" s="190">
        <f>'Volume Data Entry'!CB57</f>
        <v>0</v>
      </c>
      <c r="U13" s="190">
        <f>'Volume Data Entry'!CB118</f>
        <v>0</v>
      </c>
      <c r="V13" s="190">
        <f>'Volume Data Entry'!CJ57</f>
        <v>0</v>
      </c>
      <c r="W13" s="190">
        <f>'Volume Data Entry'!CJ118</f>
        <v>0</v>
      </c>
      <c r="X13" s="190">
        <f>'Volume Data Entry'!CR57</f>
        <v>1325.6677777777779</v>
      </c>
      <c r="Y13" s="190">
        <f>'Volume Data Entry'!CR118</f>
        <v>0</v>
      </c>
      <c r="Z13" s="190">
        <f>'Volume Data Entry'!CZ57</f>
        <v>1010.0325925925927</v>
      </c>
      <c r="AA13" s="190">
        <f>'Volume Data Entry'!CZ118</f>
        <v>636.12629629629635</v>
      </c>
      <c r="AB13" s="190">
        <f>'Volume Data Entry'!DH57</f>
        <v>942.04962962962964</v>
      </c>
      <c r="AC13" s="190">
        <f>'Volume Data Entry'!DH118</f>
        <v>0</v>
      </c>
      <c r="AD13" s="190">
        <f>'Volume Data Entry'!DP57</f>
        <v>0</v>
      </c>
      <c r="AE13" s="190">
        <f>'Volume Data Entry'!DP118</f>
        <v>1927.8025925925926</v>
      </c>
      <c r="AF13" s="190">
        <f>'Volume Data Entry'!DX57</f>
        <v>0</v>
      </c>
      <c r="AG13" s="190">
        <f>'Volume Data Entry'!DX118</f>
        <v>509.87222222222226</v>
      </c>
      <c r="AH13" s="190">
        <f>'Volume Data Entry'!EF57</f>
        <v>2811.5811111111111</v>
      </c>
      <c r="AI13" s="190">
        <f>'Volume Data Entry'!EF118</f>
        <v>2529.9374074074076</v>
      </c>
      <c r="AJ13" s="190">
        <f>'Volume Data Entry'!EN57</f>
        <v>3700.215555555556</v>
      </c>
      <c r="AK13" s="190">
        <f>'Volume Data Entry'!EN118</f>
        <v>5006.4596296296295</v>
      </c>
      <c r="AL13" s="190">
        <f>'Volume Data Entry'!EV57</f>
        <v>1529.6166666666668</v>
      </c>
      <c r="AM13" s="190">
        <f>'Volume Data Entry'!EV118</f>
        <v>1408.2185185185185</v>
      </c>
      <c r="AN13" s="190">
        <f>'Volume Data Entry'!FD57</f>
        <v>0</v>
      </c>
      <c r="AO13" s="190">
        <f>'Volume Data Entry'!FD118</f>
        <v>0</v>
      </c>
      <c r="AP13" s="190">
        <f>'Volume Data Entry'!FL57</f>
        <v>0</v>
      </c>
      <c r="AQ13" s="190">
        <f>'Volume Data Entry'!FL118</f>
        <v>0</v>
      </c>
      <c r="AR13" s="190">
        <f>'Volume Data Entry'!FT57</f>
        <v>0</v>
      </c>
      <c r="AS13" s="190">
        <f>'Volume Data Entry'!FT118</f>
        <v>0</v>
      </c>
      <c r="AT13" s="190">
        <f>'Volume Data Entry'!GB57</f>
        <v>0</v>
      </c>
      <c r="AU13" s="190">
        <f>'Volume Data Entry'!GB118</f>
        <v>0</v>
      </c>
      <c r="AV13" s="190">
        <f>'Volume Data Entry'!GJ57</f>
        <v>0</v>
      </c>
      <c r="AW13" s="190">
        <f>'Volume Data Entry'!GJ118</f>
        <v>0</v>
      </c>
      <c r="AX13" s="190">
        <f>'Volume Data Entry'!GR57</f>
        <v>951.7614814814815</v>
      </c>
      <c r="AY13" s="191">
        <f>'Volume Data Entry'!GR118</f>
        <v>0</v>
      </c>
      <c r="AZ13" s="190">
        <f>'Volume Data Entry'!GZ57</f>
        <v>1155.7103703703704</v>
      </c>
      <c r="BA13" s="191">
        <f>'Volume Data Entry'!GZ118</f>
        <v>1257.6848148148149</v>
      </c>
      <c r="BB13" s="190">
        <f>'Volume Data Entry'!HH57</f>
        <v>1738.4214814814816</v>
      </c>
      <c r="BC13" s="191">
        <f>'Volume Data Entry'!HH118</f>
        <v>636.12629629629635</v>
      </c>
      <c r="BD13" s="190">
        <f>'Volume Data Entry'!HP57</f>
        <v>1796.6925925925927</v>
      </c>
      <c r="BE13" s="191">
        <f>'Volume Data Entry'!HP118</f>
        <v>1864.6755555555555</v>
      </c>
      <c r="BF13" s="190">
        <f>'Volume Data Entry'!HX57</f>
        <v>1301.3881481481483</v>
      </c>
      <c r="BG13" s="191">
        <f>'Volume Data Entry'!HX118</f>
        <v>2141.4633333333336</v>
      </c>
      <c r="BH13" s="190">
        <f>'Volume Data Entry'!IF57</f>
        <v>1427.6422222222222</v>
      </c>
      <c r="BI13" s="191">
        <f>'Volume Data Entry'!IF118</f>
        <v>514.72814814814819</v>
      </c>
      <c r="BJ13" s="190">
        <f>'Volume Data Entry'!IN57</f>
        <v>1811.2603703703705</v>
      </c>
      <c r="BK13" s="191">
        <f>'Volume Data Entry'!IN118</f>
        <v>1349.9474074074076</v>
      </c>
      <c r="BL13" s="190">
        <f>'Volume Data Entry'!IV57</f>
        <v>2194.8785185185188</v>
      </c>
      <c r="BM13" s="191">
        <f>'Volume Data Entry'!IV118</f>
        <v>3166.063703703704</v>
      </c>
      <c r="BN13" s="190">
        <f>'Volume Data Entry'!JD57</f>
        <v>961.47333333333336</v>
      </c>
      <c r="BO13" s="191">
        <f>'Volume Data Entry'!JD118</f>
        <v>733.24481481481484</v>
      </c>
      <c r="BP13" s="190">
        <f>'Volume Data Entry'!JL57</f>
        <v>1689.8622222222223</v>
      </c>
      <c r="BQ13" s="191">
        <f>'Volume Data Entry'!JL118</f>
        <v>3117.5044444444447</v>
      </c>
      <c r="BR13" s="190">
        <f>'Volume Data Entry'!JT57</f>
        <v>582.71111111111111</v>
      </c>
      <c r="BS13" s="191">
        <f>'Volume Data Entry'!JT118</f>
        <v>621.55851851851855</v>
      </c>
      <c r="BT13" s="190">
        <f>'Volume Data Entry'!KB57</f>
        <v>3268.0381481481481</v>
      </c>
      <c r="BU13" s="191">
        <f>'Volume Data Entry'!KB118</f>
        <v>2884.42</v>
      </c>
      <c r="BV13" s="190">
        <f>'Volume Data Entry'!KJ57</f>
        <v>1082.8714814814816</v>
      </c>
      <c r="BW13" s="191">
        <f>'Volume Data Entry'!KJ118</f>
        <v>2515.3696296296298</v>
      </c>
      <c r="BX13" s="190">
        <f>'Volume Data Entry'!KR57</f>
        <v>762.38037037037043</v>
      </c>
      <c r="BY13" s="191">
        <f>'Volume Data Entry'!KR118</f>
        <v>349.62666666666667</v>
      </c>
      <c r="BZ13" s="190">
        <f>'Volume Data Entry'!KZ57</f>
        <v>1563.6081481481483</v>
      </c>
      <c r="CA13" s="191">
        <f>'Volume Data Entry'!KZ118</f>
        <v>1243.1170370370371</v>
      </c>
      <c r="CB13" s="190">
        <f>'Volume Data Entry'!LH57</f>
        <v>1752.9892592592594</v>
      </c>
      <c r="CC13" s="191">
        <f>'Volume Data Entry'!LH118</f>
        <v>3098.080740740741</v>
      </c>
      <c r="CD13" s="190">
        <f>'Volume Data Entry'!LP57</f>
        <v>1723.8537037037038</v>
      </c>
      <c r="CE13" s="191">
        <f>'Volume Data Entry'!LP118</f>
        <v>3190.3433333333337</v>
      </c>
      <c r="CF13" s="190">
        <f>'Volume Data Entry'!LX57</f>
        <v>1718.9977777777779</v>
      </c>
      <c r="CG13" s="757">
        <f>'Volume Data Entry'!LX118</f>
        <v>2738.7422222222222</v>
      </c>
      <c r="CH13" s="759">
        <f>'Volume Data Entry'!MF57</f>
        <v>3520.5462962962965</v>
      </c>
      <c r="CI13" s="757">
        <f>'Volume Data Entry'!MF118</f>
        <v>1281.9644444444446</v>
      </c>
      <c r="CJ13" s="759">
        <f>'Volume Data Entry'!MN57</f>
        <v>2486.2340740740742</v>
      </c>
      <c r="CK13" s="757">
        <f>'Volume Data Entry'!MN118</f>
        <v>3666.2240740740745</v>
      </c>
      <c r="CL13" s="759">
        <f>'Volume Data Entry'!MV57</f>
        <v>1252.828888888889</v>
      </c>
      <c r="CM13" s="759">
        <f>'Volume Data Entry'!MV118</f>
        <v>1854.9637037037039</v>
      </c>
      <c r="CN13" s="810">
        <f>'Volume Data Entry'!ND68</f>
        <v>257.3640740740741</v>
      </c>
      <c r="CO13" s="191">
        <f>'Volume Data Entry'!ND140</f>
        <v>1694.7181481481482</v>
      </c>
      <c r="CP13" s="767">
        <f>'Volume Data Entry'!NL68</f>
        <v>1718.9977777777779</v>
      </c>
      <c r="CQ13" s="767">
        <f>'Volume Data Entry'!NL140</f>
        <v>723.53296296296298</v>
      </c>
      <c r="CR13" s="767">
        <f>'Volume Data Entry'!NT68</f>
        <v>2024.9211111111113</v>
      </c>
      <c r="CS13" s="767">
        <f>'Volume Data Entry'!NT140</f>
        <v>1796.6925925925927</v>
      </c>
      <c r="CT13" s="191">
        <f>'Volume Data Entry'!OB68</f>
        <v>223.37259259259261</v>
      </c>
      <c r="CU13" s="191">
        <f>'Volume Data Entry'!OB140</f>
        <v>2112.327777777778</v>
      </c>
      <c r="CV13" s="767">
        <f>'Volume Data Entry'!OJ68</f>
        <v>776.94814814814822</v>
      </c>
      <c r="CW13" s="767">
        <f>'Volume Data Entry'!OJ140</f>
        <v>1286.8203703703705</v>
      </c>
      <c r="CX13" s="767">
        <f>'Volume Data Entry'!OR68</f>
        <v>985.75296296296301</v>
      </c>
      <c r="CY13" s="767">
        <f>'Volume Data Entry'!OR140</f>
        <v>2554.2170370370372</v>
      </c>
      <c r="CZ13" s="191">
        <f>'Volume Data Entry'!OZ68</f>
        <v>0</v>
      </c>
      <c r="DA13" s="191">
        <f>'Volume Data Entry'!OZ140</f>
        <v>0</v>
      </c>
      <c r="DB13" s="774">
        <f>'Volume Data Entry'!PH68</f>
        <v>0</v>
      </c>
      <c r="DC13" s="774">
        <f>'Volume Data Entry'!PH140</f>
        <v>72.838888888888889</v>
      </c>
      <c r="DD13" s="774">
        <f>'Volume Data Entry'!PP68</f>
        <v>63.127037037037042</v>
      </c>
      <c r="DE13" s="774">
        <f>'Volume Data Entry'!PP140</f>
        <v>383.61814814814818</v>
      </c>
      <c r="DF13" s="191">
        <f>'Volume Data Entry'!PX68</f>
        <v>174.81333333333333</v>
      </c>
      <c r="DG13" s="191">
        <f>'Volume Data Entry'!PX140</f>
        <v>19.423703703703705</v>
      </c>
      <c r="DH13" s="774">
        <f>'Volume Data Entry'!QF68</f>
        <v>165.1014814814815</v>
      </c>
      <c r="DI13" s="774">
        <f>'Volume Data Entry'!QF140</f>
        <v>339.91481481481486</v>
      </c>
      <c r="DJ13" s="774">
        <f>'Volume Data Entry'!QN68</f>
        <v>471.02481481481482</v>
      </c>
      <c r="DK13" s="774">
        <f>'Volume Data Entry'!QN140</f>
        <v>330.202962962963</v>
      </c>
      <c r="DL13" s="191">
        <f>'Volume Data Entry'!QV68</f>
        <v>665.26185185185193</v>
      </c>
      <c r="DM13" s="191">
        <f>'Volume Data Entry'!QV140</f>
        <v>602.13481481481483</v>
      </c>
      <c r="DN13" s="774">
        <f>SUM(DH13:DM13)/6</f>
        <v>428.94012345679016</v>
      </c>
      <c r="DO13" s="774">
        <f>SUM(DI13:DN13)/6</f>
        <v>472.91323045267501</v>
      </c>
      <c r="DP13" s="774">
        <f>SUM(DJ13:DO13)/6</f>
        <v>495.07963305898505</v>
      </c>
      <c r="DQ13" s="774">
        <f>SUM(DK13:DP13)/6</f>
        <v>499.08876943301334</v>
      </c>
      <c r="DR13" s="191">
        <f>'Volume Data Entry'!RT68</f>
        <v>2772.7337037037037</v>
      </c>
      <c r="DS13" s="191">
        <f>'Volume Data Entry'!RT140</f>
        <v>1913.2348148148149</v>
      </c>
      <c r="DT13" s="774">
        <f>'Volume Data Entry'!SB68</f>
        <v>1748.1333333333334</v>
      </c>
      <c r="DU13" s="774">
        <f>'Volume Data Entry'!SB140</f>
        <v>1427.6422222222222</v>
      </c>
      <c r="DV13" s="774">
        <f>'Volume Data Entry'!SJ68</f>
        <v>1150.8544444444444</v>
      </c>
      <c r="DW13" s="774">
        <f>'Volume Data Entry'!SJ140</f>
        <v>1374.227037037037</v>
      </c>
      <c r="DX13" s="191">
        <f>'Volume Data Entry'!SR68</f>
        <v>1398.5066666666667</v>
      </c>
      <c r="DY13" s="191">
        <f>'Volume Data Entry'!SR140</f>
        <v>738.10074074074078</v>
      </c>
      <c r="DZ13" s="774">
        <f>'Volume Data Entry'!SZ68</f>
        <v>1723.8537037037038</v>
      </c>
      <c r="EA13" s="774">
        <f>'Volume Data Entry'!SZ140</f>
        <v>1942.3703703703704</v>
      </c>
      <c r="EB13" s="774">
        <f>'Volume Data Entry'!TH68</f>
        <v>1966.65</v>
      </c>
      <c r="EC13" s="774">
        <f>'Volume Data Entry'!TH140</f>
        <v>1403.3625925925926</v>
      </c>
    </row>
    <row r="14" spans="1:138" s="178" customFormat="1">
      <c r="A14" s="850" t="s">
        <v>186</v>
      </c>
      <c r="B14" s="875">
        <f>AVERAGE(B15:B18)</f>
        <v>475.91405392992021</v>
      </c>
      <c r="C14" s="875">
        <f t="shared" ref="C14:BN14" si="7">AVERAGE(C15:C18)</f>
        <v>608.92824760768963</v>
      </c>
      <c r="D14" s="875">
        <f t="shared" si="7"/>
        <v>546.92095530567622</v>
      </c>
      <c r="E14" s="875">
        <f t="shared" si="7"/>
        <v>366.67601526251525</v>
      </c>
      <c r="F14" s="875">
        <f t="shared" si="7"/>
        <v>13.866143496038847</v>
      </c>
      <c r="G14" s="875">
        <f t="shared" si="7"/>
        <v>25.24778494761053</v>
      </c>
      <c r="H14" s="875">
        <f t="shared" si="7"/>
        <v>494.20001343101347</v>
      </c>
      <c r="I14" s="875">
        <f t="shared" si="7"/>
        <v>870.88505769230778</v>
      </c>
      <c r="J14" s="875">
        <f t="shared" si="7"/>
        <v>5.7680247252747261</v>
      </c>
      <c r="K14" s="875">
        <f t="shared" si="7"/>
        <v>40.585357142857148</v>
      </c>
      <c r="L14" s="875">
        <f t="shared" si="7"/>
        <v>0</v>
      </c>
      <c r="M14" s="875">
        <f t="shared" si="7"/>
        <v>991.72258015305124</v>
      </c>
      <c r="N14" s="875">
        <f t="shared" si="7"/>
        <v>2171.8761357370022</v>
      </c>
      <c r="O14" s="875">
        <f t="shared" si="7"/>
        <v>0</v>
      </c>
      <c r="P14" s="875">
        <f t="shared" si="7"/>
        <v>1100.0726835832129</v>
      </c>
      <c r="Q14" s="875">
        <f t="shared" si="7"/>
        <v>613.47513689411369</v>
      </c>
      <c r="R14" s="875">
        <f t="shared" si="7"/>
        <v>223.57158669108668</v>
      </c>
      <c r="S14" s="875">
        <f t="shared" si="7"/>
        <v>691.81960164835175</v>
      </c>
      <c r="T14" s="875">
        <f t="shared" si="7"/>
        <v>0</v>
      </c>
      <c r="U14" s="875">
        <f t="shared" si="7"/>
        <v>0</v>
      </c>
      <c r="V14" s="875">
        <f t="shared" si="7"/>
        <v>0</v>
      </c>
      <c r="W14" s="875">
        <f t="shared" si="7"/>
        <v>0</v>
      </c>
      <c r="X14" s="875">
        <f t="shared" si="7"/>
        <v>1315.3935854487891</v>
      </c>
      <c r="Y14" s="875">
        <f t="shared" si="7"/>
        <v>0</v>
      </c>
      <c r="Z14" s="875">
        <f t="shared" si="7"/>
        <v>1100.0726835832129</v>
      </c>
      <c r="AA14" s="875">
        <f t="shared" si="7"/>
        <v>7032.6912291506942</v>
      </c>
      <c r="AB14" s="875">
        <f t="shared" si="7"/>
        <v>1084.9392320115285</v>
      </c>
      <c r="AC14" s="875">
        <f t="shared" si="7"/>
        <v>0</v>
      </c>
      <c r="AD14" s="875">
        <f t="shared" si="7"/>
        <v>0.6283333333333333</v>
      </c>
      <c r="AE14" s="875">
        <f t="shared" si="7"/>
        <v>474.3514183490928</v>
      </c>
      <c r="AF14" s="875">
        <f t="shared" si="7"/>
        <v>0</v>
      </c>
      <c r="AG14" s="875">
        <f t="shared" si="7"/>
        <v>722.86744169719168</v>
      </c>
      <c r="AH14" s="875">
        <f t="shared" si="7"/>
        <v>151.48742857142858</v>
      </c>
      <c r="AI14" s="875">
        <f t="shared" si="7"/>
        <v>538.38341086691094</v>
      </c>
      <c r="AJ14" s="875">
        <f t="shared" si="7"/>
        <v>554.97148626373632</v>
      </c>
      <c r="AK14" s="875">
        <f t="shared" si="7"/>
        <v>309.52281593406593</v>
      </c>
      <c r="AL14" s="875">
        <f t="shared" si="7"/>
        <v>328.17787362637364</v>
      </c>
      <c r="AM14" s="875">
        <f t="shared" si="7"/>
        <v>0</v>
      </c>
      <c r="AN14" s="875">
        <f t="shared" si="7"/>
        <v>0</v>
      </c>
      <c r="AO14" s="875">
        <f t="shared" si="7"/>
        <v>0</v>
      </c>
      <c r="AP14" s="875">
        <f t="shared" si="7"/>
        <v>0</v>
      </c>
      <c r="AQ14" s="875">
        <f t="shared" si="7"/>
        <v>0</v>
      </c>
      <c r="AR14" s="875">
        <f t="shared" si="7"/>
        <v>0</v>
      </c>
      <c r="AS14" s="875">
        <f t="shared" si="7"/>
        <v>0</v>
      </c>
      <c r="AT14" s="875">
        <f t="shared" si="7"/>
        <v>0</v>
      </c>
      <c r="AU14" s="875">
        <f t="shared" si="7"/>
        <v>0</v>
      </c>
      <c r="AV14" s="875">
        <f t="shared" si="7"/>
        <v>0</v>
      </c>
      <c r="AW14" s="875">
        <f t="shared" si="7"/>
        <v>0</v>
      </c>
      <c r="AX14" s="875">
        <f t="shared" si="7"/>
        <v>1020.9482391387684</v>
      </c>
      <c r="AY14" s="875">
        <f t="shared" si="7"/>
        <v>0</v>
      </c>
      <c r="AZ14" s="875">
        <f t="shared" si="7"/>
        <v>1082.4258986781952</v>
      </c>
      <c r="BA14" s="875">
        <f t="shared" si="7"/>
        <v>966.49807465854553</v>
      </c>
      <c r="BB14" s="875">
        <f t="shared" si="7"/>
        <v>13.438297342192692</v>
      </c>
      <c r="BC14" s="875">
        <f t="shared" si="7"/>
        <v>23.536400332225917</v>
      </c>
      <c r="BD14" s="875">
        <f t="shared" si="7"/>
        <v>734.62270268620273</v>
      </c>
      <c r="BE14" s="875">
        <f t="shared" si="7"/>
        <v>1104.6911697617629</v>
      </c>
      <c r="BF14" s="875">
        <f t="shared" si="7"/>
        <v>1542.0560483928216</v>
      </c>
      <c r="BG14" s="875">
        <f t="shared" si="7"/>
        <v>1327.2687640415143</v>
      </c>
      <c r="BH14" s="875">
        <f t="shared" si="7"/>
        <v>822.0566251526252</v>
      </c>
      <c r="BI14" s="875">
        <f t="shared" si="7"/>
        <v>1079.1458473748476</v>
      </c>
      <c r="BJ14" s="875">
        <f t="shared" si="7"/>
        <v>978.91524725274735</v>
      </c>
      <c r="BK14" s="875">
        <f t="shared" si="7"/>
        <v>824.45896990799906</v>
      </c>
      <c r="BL14" s="875">
        <f t="shared" si="7"/>
        <v>1451.635467728654</v>
      </c>
      <c r="BM14" s="875">
        <f t="shared" si="7"/>
        <v>1002.5506089743591</v>
      </c>
      <c r="BN14" s="875">
        <f t="shared" si="7"/>
        <v>1274.2950286935286</v>
      </c>
      <c r="BO14" s="875">
        <f t="shared" ref="BO14:DW14" si="8">AVERAGE(BO15:BO18)</f>
        <v>875.387638888889</v>
      </c>
      <c r="BP14" s="875">
        <f t="shared" si="8"/>
        <v>939.14891049067216</v>
      </c>
      <c r="BQ14" s="875">
        <f t="shared" si="8"/>
        <v>1042.8482425249169</v>
      </c>
      <c r="BR14" s="875">
        <f t="shared" si="8"/>
        <v>168.12094490586932</v>
      </c>
      <c r="BS14" s="875">
        <f t="shared" si="8"/>
        <v>203.45593309339239</v>
      </c>
      <c r="BT14" s="875">
        <f t="shared" si="8"/>
        <v>2266.6416129213167</v>
      </c>
      <c r="BU14" s="875">
        <f t="shared" si="8"/>
        <v>479.29298370815235</v>
      </c>
      <c r="BV14" s="875">
        <f t="shared" si="8"/>
        <v>905.61164084107111</v>
      </c>
      <c r="BW14" s="875">
        <f t="shared" si="8"/>
        <v>1044.5624124002613</v>
      </c>
      <c r="BX14" s="875">
        <f t="shared" si="8"/>
        <v>313.72986800408898</v>
      </c>
      <c r="BY14" s="875">
        <f t="shared" si="8"/>
        <v>366.67601526251525</v>
      </c>
      <c r="BZ14" s="875">
        <f t="shared" si="8"/>
        <v>1677.0596370786836</v>
      </c>
      <c r="CA14" s="875">
        <f t="shared" si="8"/>
        <v>875.92413339438349</v>
      </c>
      <c r="CB14" s="875">
        <f t="shared" si="8"/>
        <v>988.78364498679616</v>
      </c>
      <c r="CC14" s="875">
        <f t="shared" si="8"/>
        <v>1085.9799375514667</v>
      </c>
      <c r="CD14" s="875">
        <f t="shared" si="8"/>
        <v>1011.6843008206265</v>
      </c>
      <c r="CE14" s="875">
        <f t="shared" si="8"/>
        <v>1335.3666153846154</v>
      </c>
      <c r="CF14" s="875">
        <f t="shared" si="8"/>
        <v>1054.3929113709289</v>
      </c>
      <c r="CG14" s="875">
        <f t="shared" si="8"/>
        <v>608.61702167277167</v>
      </c>
      <c r="CH14" s="875">
        <f t="shared" si="8"/>
        <v>739.19255189255205</v>
      </c>
      <c r="CI14" s="875">
        <f t="shared" si="8"/>
        <v>648.94681990232004</v>
      </c>
      <c r="CJ14" s="875">
        <f t="shared" si="8"/>
        <v>900.34594581452154</v>
      </c>
      <c r="CK14" s="875">
        <f t="shared" si="8"/>
        <v>1613.5045476474431</v>
      </c>
      <c r="CL14" s="875">
        <f t="shared" si="8"/>
        <v>1825.7675266845561</v>
      </c>
      <c r="CM14" s="875">
        <f t="shared" si="8"/>
        <v>1687.0175590836814</v>
      </c>
      <c r="CN14" s="875">
        <f t="shared" si="8"/>
        <v>1523.1141145469517</v>
      </c>
      <c r="CO14" s="875">
        <f t="shared" si="8"/>
        <v>1388.855717267229</v>
      </c>
      <c r="CP14" s="875">
        <f t="shared" si="8"/>
        <v>944.44444211602354</v>
      </c>
      <c r="CQ14" s="875">
        <f t="shared" si="8"/>
        <v>1517.7608483402903</v>
      </c>
      <c r="CR14" s="875">
        <f t="shared" si="8"/>
        <v>979.39938276968519</v>
      </c>
      <c r="CS14" s="875">
        <f t="shared" si="8"/>
        <v>2299.9663847005709</v>
      </c>
      <c r="CT14" s="875">
        <f t="shared" si="8"/>
        <v>2706.7119814720163</v>
      </c>
      <c r="CU14" s="875">
        <f t="shared" si="8"/>
        <v>3100.0104338103756</v>
      </c>
      <c r="CV14" s="875">
        <f t="shared" si="8"/>
        <v>3176.0167144134939</v>
      </c>
      <c r="CW14" s="875">
        <f t="shared" si="8"/>
        <v>3203.3296268563477</v>
      </c>
      <c r="CX14" s="875">
        <f t="shared" si="8"/>
        <v>1488.8624591816451</v>
      </c>
      <c r="CY14" s="875">
        <f t="shared" si="8"/>
        <v>1473.5953256523837</v>
      </c>
      <c r="CZ14" s="875">
        <f t="shared" si="8"/>
        <v>0</v>
      </c>
      <c r="DA14" s="875">
        <f t="shared" si="8"/>
        <v>0</v>
      </c>
      <c r="DB14" s="875">
        <f t="shared" si="8"/>
        <v>0</v>
      </c>
      <c r="DC14" s="875">
        <f t="shared" si="8"/>
        <v>64.145230769230778</v>
      </c>
      <c r="DD14" s="875">
        <f t="shared" si="8"/>
        <v>9.4688076923076938</v>
      </c>
      <c r="DE14" s="875">
        <f t="shared" si="8"/>
        <v>21.045231379731383</v>
      </c>
      <c r="DF14" s="875">
        <f t="shared" si="8"/>
        <v>46.817252747252752</v>
      </c>
      <c r="DG14" s="875">
        <f t="shared" si="8"/>
        <v>42.734423687423686</v>
      </c>
      <c r="DH14" s="875">
        <f t="shared" si="8"/>
        <v>394.20865065167391</v>
      </c>
      <c r="DI14" s="875">
        <f t="shared" si="8"/>
        <v>136.35157289093337</v>
      </c>
      <c r="DJ14" s="875">
        <f t="shared" si="8"/>
        <v>261.75496153846154</v>
      </c>
      <c r="DK14" s="875">
        <f t="shared" si="8"/>
        <v>133.99701648351649</v>
      </c>
      <c r="DL14" s="875">
        <f t="shared" si="8"/>
        <v>378.09853140528725</v>
      </c>
      <c r="DM14" s="875">
        <f t="shared" si="8"/>
        <v>515.88867456058165</v>
      </c>
      <c r="DN14" s="875">
        <f t="shared" si="8"/>
        <v>303.38323458840904</v>
      </c>
      <c r="DO14" s="875">
        <f t="shared" si="8"/>
        <v>288.24566524453155</v>
      </c>
      <c r="DP14" s="875">
        <f t="shared" si="8"/>
        <v>313.56134730346457</v>
      </c>
      <c r="DQ14" s="875">
        <f t="shared" si="8"/>
        <v>322.19574493096513</v>
      </c>
      <c r="DR14" s="875">
        <f t="shared" si="8"/>
        <v>1548.3249972740439</v>
      </c>
      <c r="DS14" s="875">
        <f t="shared" si="8"/>
        <v>738.12831544424569</v>
      </c>
      <c r="DT14" s="875">
        <f t="shared" si="8"/>
        <v>1478.8796855069993</v>
      </c>
      <c r="DU14" s="875">
        <f t="shared" si="8"/>
        <v>644.41231623931628</v>
      </c>
      <c r="DV14" s="875">
        <f t="shared" si="8"/>
        <v>555.33057203907208</v>
      </c>
      <c r="DW14" s="874">
        <f t="shared" si="8"/>
        <v>347.40850915750923</v>
      </c>
      <c r="DX14" s="875">
        <f>AVERAGE(DX15:DX18)</f>
        <v>499.74098901098904</v>
      </c>
      <c r="DY14" s="875">
        <f t="shared" ref="DY14:EC14" si="9">AVERAGE(DY15:DY18)</f>
        <v>483.77614590964589</v>
      </c>
      <c r="DZ14" s="875">
        <f t="shared" si="9"/>
        <v>314.10523137973138</v>
      </c>
      <c r="EA14" s="875">
        <f t="shared" si="9"/>
        <v>572.53068803418796</v>
      </c>
      <c r="EB14" s="875">
        <f t="shared" si="9"/>
        <v>734.58695604395609</v>
      </c>
      <c r="EC14" s="874">
        <f t="shared" si="9"/>
        <v>573.24808547008547</v>
      </c>
      <c r="ED14" s="852"/>
      <c r="EE14" s="852"/>
      <c r="EF14" s="852"/>
      <c r="EG14" s="852"/>
      <c r="EH14" s="852"/>
    </row>
    <row r="15" spans="1:138">
      <c r="A15" s="193" t="s">
        <v>30</v>
      </c>
      <c r="B15" s="190">
        <f>'Volume Data Entry'!H25</f>
        <v>1182.6887301587301</v>
      </c>
      <c r="C15" s="190">
        <f>'Volume Data Entry'!H86</f>
        <v>1200.7367936507937</v>
      </c>
      <c r="D15" s="190">
        <f>'Volume Data Entry'!P25</f>
        <v>932.76434920634915</v>
      </c>
      <c r="E15" s="190">
        <f>'Volume Data Entry'!P86</f>
        <v>534.0752698412698</v>
      </c>
      <c r="F15" s="190">
        <f>'Volume Data Entry'!X25</f>
        <v>0</v>
      </c>
      <c r="G15" s="190">
        <f>'Volume Data Entry'!X86</f>
        <v>0</v>
      </c>
      <c r="H15" s="190">
        <f>'Volume Data Entry'!AF25</f>
        <v>756.62831746031748</v>
      </c>
      <c r="I15" s="190">
        <f>'Volume Data Entry'!AF86</f>
        <v>782.30285714285719</v>
      </c>
      <c r="J15" s="190">
        <f>'Volume Data Entry'!AN25</f>
        <v>0</v>
      </c>
      <c r="K15" s="190">
        <f>'Volume Data Entry'!AN86</f>
        <v>0</v>
      </c>
      <c r="L15" s="190">
        <f>'Volume Data Entry'!AV25</f>
        <v>0</v>
      </c>
      <c r="M15" s="190">
        <f>'Volume Data Entry'!AV86</f>
        <v>862.29879365079364</v>
      </c>
      <c r="N15" s="190">
        <f>'Volume Data Entry'!BD25</f>
        <v>666.34222222222229</v>
      </c>
      <c r="O15" s="190">
        <f>'Volume Data Entry'!BD86</f>
        <v>0</v>
      </c>
      <c r="P15" s="190">
        <f>'Volume Data Entry'!BL25</f>
        <v>884.56577777777784</v>
      </c>
      <c r="Q15" s="190">
        <f>'Volume Data Entry'!BL86</f>
        <v>771.8152380952381</v>
      </c>
      <c r="R15" s="190">
        <f>'Volume Data Entry'!BT25</f>
        <v>129.35555555555553</v>
      </c>
      <c r="S15" s="190">
        <f>'Volume Data Entry'!BT86</f>
        <v>529.5782857142857</v>
      </c>
      <c r="T15" s="190">
        <f>'Volume Data Entry'!CB25</f>
        <v>0</v>
      </c>
      <c r="U15" s="190">
        <f>'Volume Data Entry'!CB86</f>
        <v>0</v>
      </c>
      <c r="V15" s="190">
        <f>'Volume Data Entry'!CJ25</f>
        <v>0</v>
      </c>
      <c r="W15" s="190">
        <f>'Volume Data Entry'!CJ86</f>
        <v>0</v>
      </c>
      <c r="X15" s="190">
        <f>'Volume Data Entry'!CR25</f>
        <v>1196.2640634920635</v>
      </c>
      <c r="Y15" s="190">
        <f>'Volume Data Entry'!CR86</f>
        <v>0</v>
      </c>
      <c r="Z15" s="190">
        <f>'Volume Data Entry'!CZ25</f>
        <v>884.56577777777784</v>
      </c>
      <c r="AA15" s="190">
        <f>'Volume Data Entry'!CZ86</f>
        <v>585.42095238095249</v>
      </c>
      <c r="AB15" s="190">
        <f>'Volume Data Entry'!DH25</f>
        <v>1088.8972063492063</v>
      </c>
      <c r="AC15" s="190">
        <f>'Volume Data Entry'!DH86</f>
        <v>0</v>
      </c>
      <c r="AD15" s="190">
        <f>'Volume Data Entry'!DP25</f>
        <v>2.5133333333333332</v>
      </c>
      <c r="AE15" s="190">
        <f>'Volume Data Entry'!DP86</f>
        <v>0</v>
      </c>
      <c r="AF15" s="190">
        <f>'Volume Data Entry'!DX25</f>
        <v>0</v>
      </c>
      <c r="AG15" s="190">
        <f>'Volume Data Entry'!DX86</f>
        <v>1441.6437777777776</v>
      </c>
      <c r="AH15" s="190">
        <f>'Volume Data Entry'!EF25</f>
        <v>477.78542857142861</v>
      </c>
      <c r="AI15" s="190">
        <f>'Volume Data Entry'!EF86</f>
        <v>567.35812698412701</v>
      </c>
      <c r="AJ15" s="190">
        <f>'Volume Data Entry'!EN25</f>
        <v>710.11599999999999</v>
      </c>
      <c r="AK15" s="190">
        <f>'Volume Data Entry'!EN86</f>
        <v>530.86971428571428</v>
      </c>
      <c r="AL15" s="190">
        <f>'Volume Data Entry'!EV25</f>
        <v>484.82342857142862</v>
      </c>
      <c r="AM15" s="190">
        <f>'Volume Data Entry'!EV86</f>
        <v>0</v>
      </c>
      <c r="AN15" s="190">
        <f>'Volume Data Entry'!FD25</f>
        <v>0</v>
      </c>
      <c r="AO15" s="190">
        <f>'Volume Data Entry'!FD86</f>
        <v>0</v>
      </c>
      <c r="AP15" s="190">
        <f>'Volume Data Entry'!FL25</f>
        <v>0</v>
      </c>
      <c r="AQ15" s="190">
        <f>'Volume Data Entry'!FL86</f>
        <v>0</v>
      </c>
      <c r="AR15" s="190">
        <f>'Volume Data Entry'!FT25</f>
        <v>0</v>
      </c>
      <c r="AS15" s="190">
        <f>'Volume Data Entry'!FT86</f>
        <v>0</v>
      </c>
      <c r="AT15" s="190">
        <f>'Volume Data Entry'!GB25</f>
        <v>0</v>
      </c>
      <c r="AU15" s="190">
        <f>'Volume Data Entry'!GB86</f>
        <v>0</v>
      </c>
      <c r="AV15" s="190">
        <f>'Volume Data Entry'!GJ25</f>
        <v>0</v>
      </c>
      <c r="AW15" s="190">
        <f>'Volume Data Entry'!GJ86</f>
        <v>0</v>
      </c>
      <c r="AX15" s="190">
        <f>'Volume Data Entry'!GR25</f>
        <v>568.0680000000001</v>
      </c>
      <c r="AY15" s="191">
        <f>'Volume Data Entry'!GR86</f>
        <v>0</v>
      </c>
      <c r="AZ15" s="190">
        <f>'Volume Data Entry'!GZ25</f>
        <v>1078.843873015873</v>
      </c>
      <c r="BA15" s="191">
        <f>'Volume Data Entry'!GZ86</f>
        <v>786.81879365079362</v>
      </c>
      <c r="BB15" s="190">
        <f>'Volume Data Entry'!HH25</f>
        <v>0</v>
      </c>
      <c r="BC15" s="191">
        <f>'Volume Data Entry'!HH86</f>
        <v>0</v>
      </c>
      <c r="BD15" s="190">
        <f>'Volume Data Entry'!HP25</f>
        <v>1648.3140634920637</v>
      </c>
      <c r="BE15" s="191">
        <f>'Volume Data Entry'!HP86</f>
        <v>2555.6044444444447</v>
      </c>
      <c r="BF15" s="190">
        <f>'Volume Data Entry'!HX25</f>
        <v>3246.5820634920638</v>
      </c>
      <c r="BG15" s="191">
        <f>'Volume Data Entry'!HX86</f>
        <v>3390.7896825396829</v>
      </c>
      <c r="BH15" s="190">
        <f>'Volume Data Entry'!IF25</f>
        <v>1454.7924126984126</v>
      </c>
      <c r="BI15" s="191">
        <f>'Volume Data Entry'!IF86</f>
        <v>2896.4298730158735</v>
      </c>
      <c r="BJ15" s="190">
        <f>'Volume Data Entry'!IN25</f>
        <v>1998.4297142857145</v>
      </c>
      <c r="BK15" s="191">
        <f>'Volume Data Entry'!IN86</f>
        <v>424.76000000000005</v>
      </c>
      <c r="BL15" s="190">
        <f>'Volume Data Entry'!IV25</f>
        <v>3239.0246984126989</v>
      </c>
      <c r="BM15" s="191">
        <f>'Volume Data Entry'!IV86</f>
        <v>2018.0975238095239</v>
      </c>
      <c r="BN15" s="190">
        <f>'Volume Data Entry'!JD25</f>
        <v>2672.1781587301584</v>
      </c>
      <c r="BO15" s="191">
        <f>'Volume Data Entry'!JD86</f>
        <v>1354.8321269841272</v>
      </c>
      <c r="BP15" s="190">
        <f>'Volume Data Entry'!JL25</f>
        <v>110.83114285714286</v>
      </c>
      <c r="BQ15" s="191">
        <f>'Volume Data Entry'!JL86</f>
        <v>53.363142857142861</v>
      </c>
      <c r="BR15" s="190">
        <f>'Volume Data Entry'!JT25</f>
        <v>52.506666666666661</v>
      </c>
      <c r="BS15" s="191">
        <f>'Volume Data Entry'!JT86</f>
        <v>126.89111111111109</v>
      </c>
      <c r="BT15" s="190">
        <f>'Volume Data Entry'!KB25</f>
        <v>2634.0672063492066</v>
      </c>
      <c r="BU15" s="191">
        <f>'Volume Data Entry'!KB86</f>
        <v>449.92000000000007</v>
      </c>
      <c r="BV15" s="190">
        <f>'Volume Data Entry'!KJ25</f>
        <v>179.39777777777775</v>
      </c>
      <c r="BW15" s="191">
        <f>'Volume Data Entry'!KJ86</f>
        <v>83.135555555555541</v>
      </c>
      <c r="BX15" s="190">
        <f>'Volume Data Entry'!KR25</f>
        <v>0</v>
      </c>
      <c r="BY15" s="191">
        <f>'Volume Data Entry'!KR86</f>
        <v>534.0752698412698</v>
      </c>
      <c r="BZ15" s="190">
        <f>'Volume Data Entry'!KZ25</f>
        <v>1929.6707936507937</v>
      </c>
      <c r="CA15" s="191">
        <f>'Volume Data Entry'!KZ86</f>
        <v>1957.9521269841271</v>
      </c>
      <c r="CB15" s="190">
        <f>'Volume Data Entry'!LH25</f>
        <v>2056.1399047619047</v>
      </c>
      <c r="CC15" s="191">
        <f>'Volume Data Entry'!LH86</f>
        <v>1117.1422222222222</v>
      </c>
      <c r="CD15" s="190">
        <f>'Volume Data Entry'!LP25</f>
        <v>2190.5857777777783</v>
      </c>
      <c r="CE15" s="191">
        <f>'Volume Data Entry'!LP86</f>
        <v>3499.1317142857147</v>
      </c>
      <c r="CF15" s="190">
        <f>'Volume Data Entry'!LX25</f>
        <v>1214.6156825396827</v>
      </c>
      <c r="CG15" s="757">
        <f>'Volume Data Entry'!LX86</f>
        <v>1210.8557460317461</v>
      </c>
      <c r="CH15" s="759">
        <f>'Volume Data Entry'!MF25</f>
        <v>1353.4451746031748</v>
      </c>
      <c r="CI15" s="757">
        <f>'Volume Data Entry'!MF86</f>
        <v>1451.9527301587304</v>
      </c>
      <c r="CJ15" s="759">
        <f>'Volume Data Entry'!MN25</f>
        <v>1620.2606984126987</v>
      </c>
      <c r="CK15" s="757">
        <f>'Volume Data Entry'!MN86</f>
        <v>3565.5442539682545</v>
      </c>
      <c r="CL15" s="759">
        <f>'Volume Data Entry'!MV25</f>
        <v>1640.5092380952383</v>
      </c>
      <c r="CM15" s="759">
        <f>'Volume Data Entry'!MV86</f>
        <v>2016.5496825396829</v>
      </c>
      <c r="CN15" s="191">
        <f>'Volume Data Entry'!ND25</f>
        <v>1876.3209841269843</v>
      </c>
      <c r="CO15" s="191">
        <f>'Volume Data Entry'!ND97</f>
        <v>2149.901523809524</v>
      </c>
      <c r="CP15" s="767">
        <f>'Volume Data Entry'!NL25</f>
        <v>1934.7214285714288</v>
      </c>
      <c r="CQ15" s="767">
        <f>'Volume Data Entry'!NL97</f>
        <v>1837.2548888888891</v>
      </c>
      <c r="CR15" s="767">
        <f>'Volume Data Entry'!NT25</f>
        <v>2298.0470158730159</v>
      </c>
      <c r="CS15" s="767">
        <f>'Volume Data Entry'!NT97</f>
        <v>2881.6564761904765</v>
      </c>
      <c r="CT15" s="191">
        <f>'Volume Data Entry'!OB25</f>
        <v>1901.8294285714287</v>
      </c>
      <c r="CU15" s="191">
        <f>'Volume Data Entry'!OB97</f>
        <v>1888.8420000000001</v>
      </c>
      <c r="CV15" s="767">
        <f>'Volume Data Entry'!OJ25</f>
        <v>1697.9445714285716</v>
      </c>
      <c r="CW15" s="767">
        <f>'Volume Data Entry'!OJ97</f>
        <v>2028.9987936507937</v>
      </c>
      <c r="CX15" s="767">
        <f>'Volume Data Entry'!OR25</f>
        <v>1824.3061587301588</v>
      </c>
      <c r="CY15" s="767">
        <f>'Volume Data Entry'!OR97</f>
        <v>1291.7347301587301</v>
      </c>
      <c r="CZ15" s="191">
        <f>'Volume Data Entry'!OZ25</f>
        <v>0</v>
      </c>
      <c r="DA15" s="191">
        <f>'Volume Data Entry'!OZ97</f>
        <v>0</v>
      </c>
      <c r="DB15" s="774">
        <f>'Volume Data Entry'!PH25</f>
        <v>0</v>
      </c>
      <c r="DC15" s="774">
        <f>'Volume Data Entry'!PH97</f>
        <v>114.57400000000001</v>
      </c>
      <c r="DD15" s="774">
        <f>'Volume Data Entry'!PP25</f>
        <v>14.800000000000002</v>
      </c>
      <c r="DE15" s="774">
        <f>'Volume Data Entry'!PP97</f>
        <v>65.367079365079377</v>
      </c>
      <c r="DF15" s="191">
        <f>'Volume Data Entry'!PX25</f>
        <v>12.984857142857145</v>
      </c>
      <c r="DG15" s="191">
        <f>'Volume Data Entry'!PX97</f>
        <v>21.607079365079361</v>
      </c>
      <c r="DH15" s="774">
        <f>'Volume Data Entry'!QF25</f>
        <v>69.643142857142863</v>
      </c>
      <c r="DI15" s="774">
        <f>'Volume Data Entry'!QF97</f>
        <v>265.94412698412702</v>
      </c>
      <c r="DJ15" s="774">
        <f>'Volume Data Entry'!QN25</f>
        <v>246.94200000000001</v>
      </c>
      <c r="DK15" s="774">
        <f>'Volume Data Entry'!QN97</f>
        <v>168.80314285714286</v>
      </c>
      <c r="DL15" s="191">
        <f>'Volume Data Entry'!QV25</f>
        <v>416.01022222222224</v>
      </c>
      <c r="DM15" s="191">
        <f>'Volume Data Entry'!QV97</f>
        <v>679.25146031746044</v>
      </c>
      <c r="DN15" s="774">
        <f t="shared" si="3"/>
        <v>307.76568253968259</v>
      </c>
      <c r="DO15" s="774">
        <f t="shared" si="4"/>
        <v>347.45277248677252</v>
      </c>
      <c r="DP15" s="774">
        <f t="shared" si="5"/>
        <v>361.03754673721346</v>
      </c>
      <c r="DQ15" s="774">
        <f t="shared" si="6"/>
        <v>380.05347119341576</v>
      </c>
      <c r="DR15" s="191">
        <f>'Volume Data Entry'!RT25</f>
        <v>2449.2207619047617</v>
      </c>
      <c r="DS15" s="191">
        <f>'Volume Data Entry'!RT97</f>
        <v>1062.6933333333336</v>
      </c>
      <c r="DT15" s="774">
        <f>'Volume Data Entry'!SB25</f>
        <v>1265.6476507936509</v>
      </c>
      <c r="DU15" s="774">
        <f>'Volume Data Entry'!SB97</f>
        <v>1582.9251111111112</v>
      </c>
      <c r="DV15" s="774">
        <f>'Volume Data Entry'!SJ25</f>
        <v>1305.7733650793652</v>
      </c>
      <c r="DW15" s="774">
        <f>'Volume Data Entry'!SJ97</f>
        <v>644.91619047619054</v>
      </c>
      <c r="DX15" s="191">
        <f>'Volume Data Entry'!SR25</f>
        <v>927.42857142857144</v>
      </c>
      <c r="DY15" s="191">
        <f>'Volume Data Entry'!SR97</f>
        <v>1245.5039682539682</v>
      </c>
      <c r="DZ15" s="774">
        <f>'Volume Data Entry'!SZ25</f>
        <v>825.13307936507931</v>
      </c>
      <c r="EA15" s="774">
        <f>'Volume Data Entry'!SZ97</f>
        <v>1156.4804444444444</v>
      </c>
      <c r="EB15" s="774">
        <f>'Volume Data Entry'!TH25</f>
        <v>1658.7902857142858</v>
      </c>
      <c r="EC15" s="774">
        <f>'Volume Data Entry'!TH97</f>
        <v>1452.9531111111112</v>
      </c>
    </row>
    <row r="16" spans="1:138">
      <c r="A16" s="192" t="s">
        <v>31</v>
      </c>
      <c r="B16" s="190">
        <f>'Volume Data Entry'!H26</f>
        <v>458.65107692307697</v>
      </c>
      <c r="C16" s="190">
        <f>'Volume Data Entry'!H87</f>
        <v>687.97661538461546</v>
      </c>
      <c r="D16" s="190">
        <f>'Volume Data Entry'!P26</f>
        <v>941.26153846153852</v>
      </c>
      <c r="E16" s="190">
        <f>'Volume Data Entry'!P87</f>
        <v>881.36307692307696</v>
      </c>
      <c r="F16" s="190">
        <f>'Volume Data Entry'!X26</f>
        <v>1.7113846153846155</v>
      </c>
      <c r="G16" s="190">
        <f>'Volume Data Entry'!X87</f>
        <v>6.845538461538462</v>
      </c>
      <c r="H16" s="190">
        <f>'Volume Data Entry'!AF26</f>
        <v>1189.4123076923079</v>
      </c>
      <c r="I16" s="190">
        <f>'Volume Data Entry'!AF87</f>
        <v>2577.345230769231</v>
      </c>
      <c r="J16" s="190">
        <f>'Volume Data Entry'!AN26</f>
        <v>1.7113846153846155</v>
      </c>
      <c r="K16" s="190">
        <f>'Volume Data Entry'!AN87</f>
        <v>0</v>
      </c>
      <c r="L16" s="190">
        <f>'Volume Data Entry'!AV26</f>
        <v>0</v>
      </c>
      <c r="M16" s="190">
        <f>'Volume Data Entry'!AV87</f>
        <v>1300.6523076923079</v>
      </c>
      <c r="N16" s="190">
        <f>'Volume Data Entry'!BD26</f>
        <v>960.08676923076928</v>
      </c>
      <c r="O16" s="190">
        <f>'Volume Data Entry'!BD87</f>
        <v>0</v>
      </c>
      <c r="P16" s="190">
        <f>'Volume Data Entry'!BL26</f>
        <v>1394.7784615384617</v>
      </c>
      <c r="Q16" s="190">
        <f>'Volume Data Entry'!BL87</f>
        <v>992.60307692307697</v>
      </c>
      <c r="R16" s="190">
        <f>'Volume Data Entry'!BT26</f>
        <v>725.62707692307697</v>
      </c>
      <c r="S16" s="190">
        <f>'Volume Data Entry'!BT87</f>
        <v>1124.3796923076925</v>
      </c>
      <c r="T16" s="190">
        <f>'Volume Data Entry'!CB26</f>
        <v>0</v>
      </c>
      <c r="U16" s="190">
        <f>'Volume Data Entry'!CB87</f>
        <v>0</v>
      </c>
      <c r="V16" s="190">
        <f>'Volume Data Entry'!CJ26</f>
        <v>0</v>
      </c>
      <c r="W16" s="190">
        <f>'Volume Data Entry'!CJ87</f>
        <v>0</v>
      </c>
      <c r="X16" s="190">
        <f>'Volume Data Entry'!CR26</f>
        <v>379.92738461538465</v>
      </c>
      <c r="Y16" s="190">
        <f>'Volume Data Entry'!CR87</f>
        <v>0</v>
      </c>
      <c r="Z16" s="190">
        <f>'Volume Data Entry'!CZ26</f>
        <v>1394.7784615384617</v>
      </c>
      <c r="AA16" s="190">
        <f>'Volume Data Entry'!CZ87</f>
        <v>1132.9366153846154</v>
      </c>
      <c r="AB16" s="190">
        <f>'Volume Data Entry'!DH26</f>
        <v>509.99261538461542</v>
      </c>
      <c r="AC16" s="190">
        <f>'Volume Data Entry'!DH87</f>
        <v>0</v>
      </c>
      <c r="AD16" s="190">
        <f>'Volume Data Entry'!DP26</f>
        <v>0</v>
      </c>
      <c r="AE16" s="190">
        <f>'Volume Data Entry'!DP87</f>
        <v>1196.2578461538462</v>
      </c>
      <c r="AF16" s="190">
        <f>'Volume Data Entry'!DX26</f>
        <v>0</v>
      </c>
      <c r="AG16" s="190">
        <f>'Volume Data Entry'!DX87</f>
        <v>1062.7698461538462</v>
      </c>
      <c r="AH16" s="190">
        <f>'Volume Data Entry'!EF26</f>
        <v>0</v>
      </c>
      <c r="AI16" s="190">
        <f>'Volume Data Entry'!EF87</f>
        <v>1398.201230769231</v>
      </c>
      <c r="AJ16" s="190">
        <f>'Volume Data Entry'!EN26</f>
        <v>1153.4732307692309</v>
      </c>
      <c r="AK16" s="190">
        <f>'Volume Data Entry'!EN87</f>
        <v>412.44369230769234</v>
      </c>
      <c r="AL16" s="190">
        <f>'Volume Data Entry'!EV26</f>
        <v>542.50892307692311</v>
      </c>
      <c r="AM16" s="190">
        <f>'Volume Data Entry'!EV87</f>
        <v>0</v>
      </c>
      <c r="AN16" s="190">
        <f>'Volume Data Entry'!FD26</f>
        <v>0</v>
      </c>
      <c r="AO16" s="190">
        <f>'Volume Data Entry'!FD87</f>
        <v>0</v>
      </c>
      <c r="AP16" s="190">
        <f>'Volume Data Entry'!FL26</f>
        <v>0</v>
      </c>
      <c r="AQ16" s="190">
        <f>'Volume Data Entry'!FL87</f>
        <v>0</v>
      </c>
      <c r="AR16" s="190">
        <f>'Volume Data Entry'!FT26</f>
        <v>0</v>
      </c>
      <c r="AS16" s="190">
        <f>'Volume Data Entry'!FT87</f>
        <v>0</v>
      </c>
      <c r="AT16" s="190">
        <f>'Volume Data Entry'!GB26</f>
        <v>0</v>
      </c>
      <c r="AU16" s="190">
        <f>'Volume Data Entry'!GB87</f>
        <v>0</v>
      </c>
      <c r="AV16" s="190">
        <f>'Volume Data Entry'!GJ26</f>
        <v>0</v>
      </c>
      <c r="AW16" s="190">
        <f>'Volume Data Entry'!GJ87</f>
        <v>0</v>
      </c>
      <c r="AX16" s="190">
        <f>'Volume Data Entry'!GR26</f>
        <v>1394.7784615384617</v>
      </c>
      <c r="AY16" s="191">
        <f>'Volume Data Entry'!GR87</f>
        <v>0</v>
      </c>
      <c r="AZ16" s="190">
        <f>'Volume Data Entry'!GZ26</f>
        <v>509.99261538461542</v>
      </c>
      <c r="BA16" s="191">
        <f>'Volume Data Entry'!GZ87</f>
        <v>1446.1200000000001</v>
      </c>
      <c r="BB16" s="190">
        <f>'Volume Data Entry'!HH26</f>
        <v>0</v>
      </c>
      <c r="BC16" s="191">
        <f>'Volume Data Entry'!HH87</f>
        <v>0</v>
      </c>
      <c r="BD16" s="190">
        <f>'Volume Data Entry'!HP26</f>
        <v>1150.0504615384616</v>
      </c>
      <c r="BE16" s="191">
        <f>'Volume Data Entry'!HP87</f>
        <v>944.68430769230781</v>
      </c>
      <c r="BF16" s="190">
        <f>'Volume Data Entry'!HX26</f>
        <v>1259.5790769230771</v>
      </c>
      <c r="BG16" s="191">
        <f>'Volume Data Entry'!HX87</f>
        <v>1220.2172307692308</v>
      </c>
      <c r="BH16" s="190">
        <f>'Volume Data Entry'!IF26</f>
        <v>1042.2332307692309</v>
      </c>
      <c r="BI16" s="191">
        <f>'Volume Data Entry'!IF87</f>
        <v>1220.2172307692308</v>
      </c>
      <c r="BJ16" s="190">
        <f>'Volume Data Entry'!IN26</f>
        <v>1085.0178461538462</v>
      </c>
      <c r="BK16" s="191">
        <f>'Volume Data Entry'!IN87</f>
        <v>1314.3433846153848</v>
      </c>
      <c r="BL16" s="190">
        <f>'Volume Data Entry'!IV26</f>
        <v>1283.5384615384617</v>
      </c>
      <c r="BM16" s="191">
        <f>'Volume Data Entry'!IV87</f>
        <v>1449.5427692307694</v>
      </c>
      <c r="BN16" s="190">
        <f>'Volume Data Entry'!JD26</f>
        <v>1247.5993846153847</v>
      </c>
      <c r="BO16" s="191">
        <f>'Volume Data Entry'!JD87</f>
        <v>2002.3200000000002</v>
      </c>
      <c r="BP16" s="190">
        <f>'Volume Data Entry'!JL26</f>
        <v>598.98461538461538</v>
      </c>
      <c r="BQ16" s="191">
        <f>'Volume Data Entry'!JL87</f>
        <v>622.94400000000007</v>
      </c>
      <c r="BR16" s="190">
        <f>'Volume Data Entry'!JT26</f>
        <v>0</v>
      </c>
      <c r="BS16" s="191">
        <f>'Volume Data Entry'!JT87</f>
        <v>0</v>
      </c>
      <c r="BT16" s="190">
        <f>'Volume Data Entry'!KB26</f>
        <v>1365.6849230769233</v>
      </c>
      <c r="BU16" s="191">
        <f>'Volume Data Entry'!KB87</f>
        <v>857.40369230769238</v>
      </c>
      <c r="BV16" s="190">
        <f>'Volume Data Entry'!KJ26</f>
        <v>18.825230769230771</v>
      </c>
      <c r="BW16" s="191">
        <f>'Volume Data Entry'!KJ87</f>
        <v>27.382153846153848</v>
      </c>
      <c r="BX16" s="190">
        <f>'Volume Data Entry'!KR26</f>
        <v>941.26153846153852</v>
      </c>
      <c r="BY16" s="191">
        <f>'Volume Data Entry'!KR87</f>
        <v>881.36307692307696</v>
      </c>
      <c r="BZ16" s="190">
        <f>'Volume Data Entry'!KZ26</f>
        <v>1081.5950769230769</v>
      </c>
      <c r="CA16" s="191">
        <f>'Volume Data Entry'!KZ87</f>
        <v>1213.3716923076925</v>
      </c>
      <c r="CB16" s="190">
        <f>'Volume Data Entry'!LH26</f>
        <v>1021.6966153846155</v>
      </c>
      <c r="CC16" s="191">
        <f>'Volume Data Entry'!LH87</f>
        <v>393.61846153846159</v>
      </c>
      <c r="CD16" s="190">
        <f>'Volume Data Entry'!LP26</f>
        <v>1274.9815384615385</v>
      </c>
      <c r="CE16" s="191">
        <f>'Volume Data Entry'!LP87</f>
        <v>1283.5384615384617</v>
      </c>
      <c r="CF16" s="190">
        <f>'Volume Data Entry'!LX26</f>
        <v>1165.4529230769231</v>
      </c>
      <c r="CG16" s="757">
        <f>'Volume Data Entry'!LX87</f>
        <v>626.36676923076925</v>
      </c>
      <c r="CH16" s="759">
        <f>'Volume Data Entry'!MF26</f>
        <v>282.37846153846158</v>
      </c>
      <c r="CI16" s="757">
        <f>'Volume Data Entry'!MF87</f>
        <v>412.44369230769234</v>
      </c>
      <c r="CJ16" s="759">
        <f>'Volume Data Entry'!MN26</f>
        <v>848.84676923076927</v>
      </c>
      <c r="CK16" s="757">
        <f>'Volume Data Entry'!MN87</f>
        <v>972.06646153846157</v>
      </c>
      <c r="CL16" s="759">
        <f>'Volume Data Entry'!MV26</f>
        <v>1998.8972307692309</v>
      </c>
      <c r="CM16" s="759">
        <f>'Volume Data Entry'!MV87</f>
        <v>1151.7618461538461</v>
      </c>
      <c r="CN16" s="191">
        <f>'Volume Data Entry'!ND26</f>
        <v>1463.2338461538463</v>
      </c>
      <c r="CO16" s="191">
        <f>'Volume Data Entry'!ND98</f>
        <v>1750.7464615384617</v>
      </c>
      <c r="CP16" s="767">
        <f>'Volume Data Entry'!NL26</f>
        <v>917.30215384615394</v>
      </c>
      <c r="CQ16" s="767">
        <f>'Volume Data Entry'!NL98</f>
        <v>1054.2129230769231</v>
      </c>
      <c r="CR16" s="767">
        <f>'Volume Data Entry'!NT26</f>
        <v>474.05353846153849</v>
      </c>
      <c r="CS16" s="767">
        <f>'Volume Data Entry'!NT98</f>
        <v>1187.7009230769231</v>
      </c>
      <c r="CT16" s="191">
        <f>'Volume Data Entry'!OB26</f>
        <v>1129.5138461538463</v>
      </c>
      <c r="CU16" s="191">
        <f>'Volume Data Entry'!OB98</f>
        <v>895.05415384615389</v>
      </c>
      <c r="CV16" s="767">
        <f>'Volume Data Entry'!OJ26</f>
        <v>636.63507692307701</v>
      </c>
      <c r="CW16" s="767">
        <f>'Volume Data Entry'!OJ98</f>
        <v>564.75692307692316</v>
      </c>
      <c r="CX16" s="767">
        <f>'Volume Data Entry'!OR26</f>
        <v>896.76553846153854</v>
      </c>
      <c r="CY16" s="767">
        <f>'Volume Data Entry'!OR98</f>
        <v>694.82215384615392</v>
      </c>
      <c r="CZ16" s="191">
        <f>'Volume Data Entry'!OZ26</f>
        <v>0</v>
      </c>
      <c r="DA16" s="191">
        <f>'Volume Data Entry'!OZ98</f>
        <v>0</v>
      </c>
      <c r="DB16" s="774">
        <f>'Volume Data Entry'!PH26</f>
        <v>0</v>
      </c>
      <c r="DC16" s="774">
        <f>'Volume Data Entry'!PH98</f>
        <v>8.5569230769231002</v>
      </c>
      <c r="DD16" s="774">
        <f>'Volume Data Entry'!PP26</f>
        <v>18.825230769230771</v>
      </c>
      <c r="DE16" s="774">
        <f>'Volume Data Entry'!PP98</f>
        <v>17.113846153846154</v>
      </c>
      <c r="DF16" s="191">
        <f>'Volume Data Entry'!PX26</f>
        <v>5.134153846153847</v>
      </c>
      <c r="DG16" s="191">
        <f>'Volume Data Entry'!PX98</f>
        <v>87.280615384615388</v>
      </c>
      <c r="DH16" s="774">
        <f>'Volume Data Entry'!QF26</f>
        <v>100.97169230769231</v>
      </c>
      <c r="DI16" s="774">
        <f>'Volume Data Entry'!QF98</f>
        <v>136.91076923076923</v>
      </c>
      <c r="DJ16" s="774">
        <f>'Volume Data Entry'!QN26</f>
        <v>417.57784615384617</v>
      </c>
      <c r="DK16" s="774">
        <f>'Volume Data Entry'!QN98</f>
        <v>253.28492307692309</v>
      </c>
      <c r="DL16" s="191">
        <f>'Volume Data Entry'!QV26</f>
        <v>527.10646153846153</v>
      </c>
      <c r="DM16" s="191">
        <f>'Volume Data Entry'!QV98</f>
        <v>521.97230769230771</v>
      </c>
      <c r="DN16" s="774">
        <f t="shared" si="3"/>
        <v>326.30400000000003</v>
      </c>
      <c r="DO16" s="774">
        <f t="shared" si="4"/>
        <v>363.85938461538467</v>
      </c>
      <c r="DP16" s="774">
        <f t="shared" si="5"/>
        <v>401.68415384615383</v>
      </c>
      <c r="DQ16" s="774">
        <f t="shared" si="6"/>
        <v>399.03520512820518</v>
      </c>
      <c r="DR16" s="191">
        <f>'Volume Data Entry'!RT26</f>
        <v>234.45969230769234</v>
      </c>
      <c r="DS16" s="191">
        <f>'Volume Data Entry'!RT98</f>
        <v>196.80923076923079</v>
      </c>
      <c r="DT16" s="774">
        <f>'Volume Data Entry'!SB26</f>
        <v>530.52923076923082</v>
      </c>
      <c r="DU16" s="774">
        <f>'Volume Data Entry'!SB98</f>
        <v>672.57415384615388</v>
      </c>
      <c r="DV16" s="774">
        <f>'Volume Data Entry'!SJ26</f>
        <v>653.74892307692312</v>
      </c>
      <c r="DW16" s="774">
        <f>'Volume Data Entry'!SJ98</f>
        <v>528.81784615384618</v>
      </c>
      <c r="DX16" s="191">
        <f>'Volume Data Entry'!SR26</f>
        <v>847.13538461538462</v>
      </c>
      <c r="DY16" s="191">
        <f>'Volume Data Entry'!SR98</f>
        <v>421.0006153846154</v>
      </c>
      <c r="DZ16" s="774">
        <f>'Volume Data Entry'!SZ26</f>
        <v>306.33784615384616</v>
      </c>
      <c r="EA16" s="774">
        <f>'Volume Data Entry'!SZ98</f>
        <v>855.69230769230774</v>
      </c>
      <c r="EB16" s="774">
        <f>'Volume Data Entry'!TH26</f>
        <v>429.55753846153851</v>
      </c>
      <c r="EC16" s="774">
        <f>'Volume Data Entry'!TH98</f>
        <v>419.28923076923081</v>
      </c>
    </row>
    <row r="17" spans="1:138">
      <c r="A17" s="192" t="s">
        <v>32</v>
      </c>
      <c r="B17" s="190">
        <f>'Volume Data Entry'!H27</f>
        <v>71.778837209302324</v>
      </c>
      <c r="C17" s="190">
        <f>'Volume Data Entry'!H88</f>
        <v>104.40558139534883</v>
      </c>
      <c r="D17" s="190">
        <f>'Volume Data Entry'!P27</f>
        <v>52.202790697674416</v>
      </c>
      <c r="E17" s="190">
        <f>'Volume Data Entry'!P88</f>
        <v>0</v>
      </c>
      <c r="F17" s="190">
        <f>'Volume Data Entry'!X27</f>
        <v>19.576046511627908</v>
      </c>
      <c r="G17" s="190">
        <f>'Volume Data Entry'!X88</f>
        <v>32.626744186046508</v>
      </c>
      <c r="H17" s="190">
        <f>'Volume Data Entry'!AF27</f>
        <v>0</v>
      </c>
      <c r="I17" s="190">
        <f>'Volume Data Entry'!AF88</f>
        <v>0</v>
      </c>
      <c r="J17" s="190">
        <f>'Volume Data Entry'!AN27</f>
        <v>0</v>
      </c>
      <c r="K17" s="190">
        <f>'Volume Data Entry'!AN88</f>
        <v>0</v>
      </c>
      <c r="L17" s="190">
        <f>'Volume Data Entry'!AV27</f>
        <v>0</v>
      </c>
      <c r="M17" s="190">
        <f>'Volume Data Entry'!AV88</f>
        <v>893.97279069767433</v>
      </c>
      <c r="N17" s="190">
        <f>'Volume Data Entry'!BD27</f>
        <v>6525.3488372093025</v>
      </c>
      <c r="O17" s="190">
        <f>'Volume Data Entry'!BD88</f>
        <v>0</v>
      </c>
      <c r="P17" s="190">
        <f>'Volume Data Entry'!BL27</f>
        <v>228.38720930232557</v>
      </c>
      <c r="Q17" s="190">
        <f>'Volume Data Entry'!BL88</f>
        <v>378.47023255813951</v>
      </c>
      <c r="R17" s="190">
        <f>'Volume Data Entry'!BT27</f>
        <v>0</v>
      </c>
      <c r="S17" s="190">
        <f>'Volume Data Entry'!BT88</f>
        <v>0</v>
      </c>
      <c r="T17" s="190">
        <f>'Volume Data Entry'!CB27</f>
        <v>0</v>
      </c>
      <c r="U17" s="190">
        <f>'Volume Data Entry'!CB88</f>
        <v>0</v>
      </c>
      <c r="V17" s="190">
        <f>'Volume Data Entry'!CJ27</f>
        <v>0</v>
      </c>
      <c r="W17" s="190">
        <f>'Volume Data Entry'!CJ88</f>
        <v>0</v>
      </c>
      <c r="X17" s="190">
        <f>'Volume Data Entry'!CR27</f>
        <v>2440.480465116279</v>
      </c>
      <c r="Y17" s="190">
        <f>'Volume Data Entry'!CR88</f>
        <v>0</v>
      </c>
      <c r="Z17" s="190">
        <f>'Volume Data Entry'!CZ27</f>
        <v>228.38720930232557</v>
      </c>
      <c r="AA17" s="190">
        <f>'Volume Data Entry'!CZ88</f>
        <v>26101.39534883721</v>
      </c>
      <c r="AB17" s="190">
        <f>'Volume Data Entry'!DH27</f>
        <v>2610.1395348837209</v>
      </c>
      <c r="AC17" s="190">
        <f>'Volume Data Entry'!DH88</f>
        <v>0</v>
      </c>
      <c r="AD17" s="190">
        <f>'Volume Data Entry'!DP27</f>
        <v>0</v>
      </c>
      <c r="AE17" s="190">
        <f>'Volume Data Entry'!DP88</f>
        <v>528.55325581395346</v>
      </c>
      <c r="AF17" s="190">
        <f>'Volume Data Entry'!DX27</f>
        <v>0</v>
      </c>
      <c r="AG17" s="190">
        <f>'Volume Data Entry'!DX88</f>
        <v>0</v>
      </c>
      <c r="AH17" s="190">
        <f>'Volume Data Entry'!EF27</f>
        <v>0</v>
      </c>
      <c r="AI17" s="190">
        <f>'Volume Data Entry'!EF88</f>
        <v>0</v>
      </c>
      <c r="AJ17" s="190">
        <f>'Volume Data Entry'!EN27</f>
        <v>0</v>
      </c>
      <c r="AK17" s="190">
        <f>'Volume Data Entry'!EN88</f>
        <v>0</v>
      </c>
      <c r="AL17" s="190">
        <f>'Volume Data Entry'!EV27</f>
        <v>0</v>
      </c>
      <c r="AM17" s="190">
        <f>'Volume Data Entry'!EV88</f>
        <v>0</v>
      </c>
      <c r="AN17" s="190">
        <f>'Volume Data Entry'!FD27</f>
        <v>0</v>
      </c>
      <c r="AO17" s="190">
        <f>'Volume Data Entry'!FD88</f>
        <v>0</v>
      </c>
      <c r="AP17" s="190">
        <f>'Volume Data Entry'!FL27</f>
        <v>0</v>
      </c>
      <c r="AQ17" s="190">
        <f>'Volume Data Entry'!FL88</f>
        <v>0</v>
      </c>
      <c r="AR17" s="190">
        <f>'Volume Data Entry'!FT27</f>
        <v>0</v>
      </c>
      <c r="AS17" s="190">
        <f>'Volume Data Entry'!FT88</f>
        <v>0</v>
      </c>
      <c r="AT17" s="190">
        <f>'Volume Data Entry'!GB27</f>
        <v>0</v>
      </c>
      <c r="AU17" s="190">
        <f>'Volume Data Entry'!GB88</f>
        <v>0</v>
      </c>
      <c r="AV17" s="190">
        <f>'Volume Data Entry'!GJ27</f>
        <v>0</v>
      </c>
      <c r="AW17" s="190">
        <f>'Volume Data Entry'!GJ88</f>
        <v>0</v>
      </c>
      <c r="AX17" s="190">
        <f>'Volume Data Entry'!GR27</f>
        <v>228.38720930232557</v>
      </c>
      <c r="AY17" s="191">
        <f>'Volume Data Entry'!GR88</f>
        <v>0</v>
      </c>
      <c r="AZ17" s="190">
        <f>'Volume Data Entry'!GZ27</f>
        <v>2610.1395348837209</v>
      </c>
      <c r="BA17" s="191">
        <f>'Volume Data Entry'!GZ88</f>
        <v>893.97279069767433</v>
      </c>
      <c r="BB17" s="190">
        <f>'Volume Data Entry'!HH27</f>
        <v>19.576046511627908</v>
      </c>
      <c r="BC17" s="191">
        <f>'Volume Data Entry'!HH88</f>
        <v>32.626744186046508</v>
      </c>
      <c r="BD17" s="190">
        <f>'Volume Data Entry'!HP27</f>
        <v>0</v>
      </c>
      <c r="BE17" s="191">
        <f>'Volume Data Entry'!HP88</f>
        <v>450.24906976744182</v>
      </c>
      <c r="BF17" s="190">
        <f>'Volume Data Entry'!HX27</f>
        <v>463.29976744186047</v>
      </c>
      <c r="BG17" s="191">
        <f>'Volume Data Entry'!HX88</f>
        <v>0</v>
      </c>
      <c r="BH17" s="190">
        <f>'Volume Data Entry'!IF27</f>
        <v>0</v>
      </c>
      <c r="BI17" s="191">
        <f>'Volume Data Entry'!IF88</f>
        <v>0</v>
      </c>
      <c r="BJ17" s="190">
        <f>'Volume Data Entry'!IN27</f>
        <v>0</v>
      </c>
      <c r="BK17" s="191">
        <f>'Volume Data Entry'!IN88</f>
        <v>228.38720930232557</v>
      </c>
      <c r="BL17" s="190">
        <f>'Volume Data Entry'!IV27</f>
        <v>58.728139534883717</v>
      </c>
      <c r="BM17" s="191">
        <f>'Volume Data Entry'!IV88</f>
        <v>0</v>
      </c>
      <c r="BN17" s="190">
        <f>'Volume Data Entry'!JD27</f>
        <v>0</v>
      </c>
      <c r="BO17" s="191">
        <f>'Volume Data Entry'!JD88</f>
        <v>0</v>
      </c>
      <c r="BP17" s="190">
        <f>'Volume Data Entry'!JL27</f>
        <v>2897.2548837209301</v>
      </c>
      <c r="BQ17" s="191">
        <f>'Volume Data Entry'!JL88</f>
        <v>3334.4532558139535</v>
      </c>
      <c r="BR17" s="190">
        <f>'Volume Data Entry'!JT27</f>
        <v>528.55325581395346</v>
      </c>
      <c r="BS17" s="191">
        <f>'Volume Data Entry'!JT88</f>
        <v>522.02790697674413</v>
      </c>
      <c r="BT17" s="190">
        <f>'Volume Data Entry'!KB27</f>
        <v>3001.6604651162788</v>
      </c>
      <c r="BU17" s="191">
        <f>'Volume Data Entry'!KB88</f>
        <v>202.28581395348837</v>
      </c>
      <c r="BV17" s="190">
        <f>'Volume Data Entry'!KJ27</f>
        <v>3099.5406976744184</v>
      </c>
      <c r="BW17" s="191">
        <f>'Volume Data Entry'!KJ88</f>
        <v>3582.4165116279069</v>
      </c>
      <c r="BX17" s="190">
        <f>'Volume Data Entry'!KR27</f>
        <v>52.202790697674416</v>
      </c>
      <c r="BY17" s="191">
        <f>'Volume Data Entry'!KR88</f>
        <v>0</v>
      </c>
      <c r="BZ17" s="190">
        <f>'Volume Data Entry'!KZ27</f>
        <v>2610.1395348837209</v>
      </c>
      <c r="CA17" s="191">
        <f>'Volume Data Entry'!KZ88</f>
        <v>0</v>
      </c>
      <c r="CB17" s="190">
        <f>'Volume Data Entry'!LH27</f>
        <v>345.84348837209302</v>
      </c>
      <c r="CC17" s="191">
        <f>'Volume Data Entry'!LH88</f>
        <v>2753.6972093023255</v>
      </c>
      <c r="CD17" s="190">
        <f>'Volume Data Entry'!LP27</f>
        <v>32.626744186046508</v>
      </c>
      <c r="CE17" s="191">
        <f>'Volume Data Entry'!LP88</f>
        <v>0</v>
      </c>
      <c r="CF17" s="190">
        <f>'Volume Data Entry'!LX27</f>
        <v>978.80232558139528</v>
      </c>
      <c r="CG17" s="757">
        <f>'Volume Data Entry'!LX88</f>
        <v>0</v>
      </c>
      <c r="CH17" s="759">
        <f>'Volume Data Entry'!MF27</f>
        <v>0</v>
      </c>
      <c r="CI17" s="757">
        <f>'Volume Data Entry'!MF88</f>
        <v>0</v>
      </c>
      <c r="CJ17" s="759">
        <f>'Volume Data Entry'!MN27</f>
        <v>32.626744186046508</v>
      </c>
      <c r="CK17" s="757">
        <f>'Volume Data Entry'!MN88</f>
        <v>19.576046511627908</v>
      </c>
      <c r="CL17" s="759">
        <f>'Volume Data Entry'!MV27</f>
        <v>2753.6972093023255</v>
      </c>
      <c r="CM17" s="759">
        <f>'Volume Data Entry'!MV88</f>
        <v>959.22627906976743</v>
      </c>
      <c r="CN17" s="191">
        <f>'Volume Data Entry'!ND27</f>
        <v>2368.7016279069767</v>
      </c>
      <c r="CO17" s="191">
        <f>'Volume Data Entry'!ND99</f>
        <v>933.12488372093014</v>
      </c>
      <c r="CP17" s="767">
        <f>'Volume Data Entry'!NL27</f>
        <v>78.304186046511632</v>
      </c>
      <c r="CQ17" s="767">
        <f>'Volume Data Entry'!NL99</f>
        <v>2349.1255813953489</v>
      </c>
      <c r="CR17" s="767">
        <f>'Volume Data Entry'!NT27</f>
        <v>411.09697674418601</v>
      </c>
      <c r="CS17" s="767">
        <f>'Volume Data Entry'!NT99</f>
        <v>4828.7581395348834</v>
      </c>
      <c r="CT17" s="191">
        <f>'Volume Data Entry'!OB27</f>
        <v>7569.4046511627903</v>
      </c>
      <c r="CU17" s="191">
        <f>'Volume Data Entry'!OB99</f>
        <v>8802.6955813953482</v>
      </c>
      <c r="CV17" s="767">
        <f>'Volume Data Entry'!OJ27</f>
        <v>10049.037209302325</v>
      </c>
      <c r="CW17" s="767">
        <f>'Volume Data Entry'!OJ99</f>
        <v>9592.2627906976741</v>
      </c>
      <c r="CX17" s="767">
        <f>'Volume Data Entry'!OR27</f>
        <v>2864.6281395348838</v>
      </c>
      <c r="CY17" s="767">
        <f>'Volume Data Entry'!OR99</f>
        <v>3262.6744186046512</v>
      </c>
      <c r="CZ17" s="191">
        <f>'Volume Data Entry'!OZ27</f>
        <v>0</v>
      </c>
      <c r="DA17" s="191">
        <f>'Volume Data Entry'!OZ99</f>
        <v>0</v>
      </c>
      <c r="DB17" s="774">
        <f>'Volume Data Entry'!PH27</f>
        <v>0</v>
      </c>
      <c r="DC17" s="774">
        <f>'Volume Data Entry'!PH99</f>
        <v>0</v>
      </c>
      <c r="DD17" s="774">
        <f>'Volume Data Entry'!PP27</f>
        <v>0</v>
      </c>
      <c r="DE17" s="774">
        <f>'Volume Data Entry'!PP99</f>
        <v>0</v>
      </c>
      <c r="DF17" s="191">
        <f>'Volume Data Entry'!PX27</f>
        <v>0</v>
      </c>
      <c r="DG17" s="191">
        <f>'Volume Data Entry'!PX99</f>
        <v>0</v>
      </c>
      <c r="DH17" s="774">
        <f>'Volume Data Entry'!QF27</f>
        <v>1305.0697674418604</v>
      </c>
      <c r="DI17" s="836">
        <f>'Volume Data Entry'!QF99</f>
        <v>26.101395348837208</v>
      </c>
      <c r="DJ17" s="836">
        <f>'Volume Data Entry'!QN27</f>
        <v>0</v>
      </c>
      <c r="DK17" s="836">
        <f>'Volume Data Entry'!QN99</f>
        <v>0</v>
      </c>
      <c r="DL17" s="810">
        <f>'Volume Data Entry'!QV27</f>
        <v>45.677441860465116</v>
      </c>
      <c r="DM17" s="810">
        <f>'Volume Data Entry'!QV99</f>
        <v>110.93093023255814</v>
      </c>
      <c r="DN17" s="836">
        <f t="shared" si="3"/>
        <v>247.96325581395351</v>
      </c>
      <c r="DO17" s="836">
        <f t="shared" si="4"/>
        <v>71.778837209302324</v>
      </c>
      <c r="DP17" s="836">
        <f t="shared" si="5"/>
        <v>79.391744186046523</v>
      </c>
      <c r="DQ17" s="836">
        <f t="shared" si="6"/>
        <v>92.623701550387594</v>
      </c>
      <c r="DR17" s="810">
        <f>'Volume Data Entry'!RT27</f>
        <v>3171.3195348837207</v>
      </c>
      <c r="DS17" s="810">
        <f>'Volume Data Entry'!RT99</f>
        <v>1135.4106976744185</v>
      </c>
      <c r="DT17" s="836">
        <f>'Volume Data Entry'!SB27</f>
        <v>3588.941860465116</v>
      </c>
      <c r="DU17" s="774">
        <f>'Volume Data Entry'!SB99</f>
        <v>0</v>
      </c>
      <c r="DV17" s="774">
        <f>'Volume Data Entry'!SJ27</f>
        <v>0</v>
      </c>
      <c r="DW17" s="774">
        <f>'Volume Data Entry'!SJ99</f>
        <v>0</v>
      </c>
      <c r="DX17" s="191">
        <f>'Volume Data Entry'!SR27</f>
        <v>0</v>
      </c>
      <c r="DY17" s="191">
        <f>'Volume Data Entry'!SR99</f>
        <v>0</v>
      </c>
      <c r="DZ17" s="921">
        <f>'Volume Data Entry'!SZ27</f>
        <v>0</v>
      </c>
      <c r="EA17" s="774">
        <f>'Volume Data Entry'!SZ99</f>
        <v>0</v>
      </c>
      <c r="EB17" s="774">
        <f>'Volume Data Entry'!TH27</f>
        <v>0</v>
      </c>
      <c r="EC17" s="774">
        <f>'Volume Data Entry'!TH99</f>
        <v>0</v>
      </c>
    </row>
    <row r="18" spans="1:138">
      <c r="A18" s="858" t="s">
        <v>49</v>
      </c>
      <c r="B18" s="195">
        <f>'Volume Data Entry'!H58</f>
        <v>190.53757142857145</v>
      </c>
      <c r="C18" s="195">
        <f>'Volume Data Entry'!H119</f>
        <v>442.59400000000005</v>
      </c>
      <c r="D18" s="195">
        <f>'Volume Data Entry'!P58</f>
        <v>261.4551428571429</v>
      </c>
      <c r="E18" s="195">
        <f>'Volume Data Entry'!P119</f>
        <v>51.265714285714296</v>
      </c>
      <c r="F18" s="195">
        <f>'Volume Data Entry'!X58</f>
        <v>34.177142857142861</v>
      </c>
      <c r="G18" s="195">
        <f>'Volume Data Entry'!X119</f>
        <v>61.518857142857151</v>
      </c>
      <c r="H18" s="195">
        <f>'Volume Data Entry'!AF58</f>
        <v>30.759428571428575</v>
      </c>
      <c r="I18" s="195">
        <f>'Volume Data Entry'!AF119</f>
        <v>123.89214285714287</v>
      </c>
      <c r="J18" s="195">
        <f>'Volume Data Entry'!AN58</f>
        <v>21.360714285714288</v>
      </c>
      <c r="K18" s="195">
        <f>'Volume Data Entry'!AN119</f>
        <v>162.34142857142859</v>
      </c>
      <c r="L18" s="195">
        <f>'Volume Data Entry'!AV58</f>
        <v>0</v>
      </c>
      <c r="M18" s="195">
        <f>'Volume Data Entry'!AV119</f>
        <v>909.96642857142865</v>
      </c>
      <c r="N18" s="195">
        <f>'Volume Data Entry'!BD58</f>
        <v>535.72671428571437</v>
      </c>
      <c r="O18" s="195">
        <f>'Volume Data Entry'!BD119</f>
        <v>0</v>
      </c>
      <c r="P18" s="195">
        <f>'Volume Data Entry'!BL58</f>
        <v>1892.559285714286</v>
      </c>
      <c r="Q18" s="195">
        <f>'Volume Data Entry'!BL119</f>
        <v>311.01200000000006</v>
      </c>
      <c r="R18" s="195">
        <f>'Volume Data Entry'!BT58</f>
        <v>39.303714285714292</v>
      </c>
      <c r="S18" s="195">
        <f>'Volume Data Entry'!BT119</f>
        <v>1113.3204285714287</v>
      </c>
      <c r="T18" s="195">
        <f>'Volume Data Entry'!CB58</f>
        <v>0</v>
      </c>
      <c r="U18" s="195">
        <f>'Volume Data Entry'!CB119</f>
        <v>0</v>
      </c>
      <c r="V18" s="195">
        <f>'Volume Data Entry'!CJ58</f>
        <v>0</v>
      </c>
      <c r="W18" s="195">
        <f>'Volume Data Entry'!CJ119</f>
        <v>0</v>
      </c>
      <c r="X18" s="195">
        <f>'Volume Data Entry'!CR58</f>
        <v>1244.9024285714288</v>
      </c>
      <c r="Y18" s="195">
        <f>'Volume Data Entry'!CR119</f>
        <v>0</v>
      </c>
      <c r="Z18" s="195">
        <f>'Volume Data Entry'!CZ58</f>
        <v>1892.559285714286</v>
      </c>
      <c r="AA18" s="195">
        <f>'Volume Data Entry'!CZ119</f>
        <v>311.01200000000006</v>
      </c>
      <c r="AB18" s="195">
        <f>'Volume Data Entry'!DH58</f>
        <v>130.72757142857145</v>
      </c>
      <c r="AC18" s="195">
        <f>'Volume Data Entry'!DH119</f>
        <v>0</v>
      </c>
      <c r="AD18" s="195">
        <f>'Volume Data Entry'!DP58</f>
        <v>0</v>
      </c>
      <c r="AE18" s="195">
        <f>'Volume Data Entry'!DP119</f>
        <v>172.59457142857144</v>
      </c>
      <c r="AF18" s="195">
        <f>'Volume Data Entry'!DX58</f>
        <v>0</v>
      </c>
      <c r="AG18" s="195">
        <f>'Volume Data Entry'!DX119</f>
        <v>387.0561428571429</v>
      </c>
      <c r="AH18" s="195">
        <f>'Volume Data Entry'!EF58</f>
        <v>128.16428571428574</v>
      </c>
      <c r="AI18" s="195">
        <f>'Volume Data Entry'!EF119</f>
        <v>187.97428571428574</v>
      </c>
      <c r="AJ18" s="195">
        <f>'Volume Data Entry'!EN58</f>
        <v>356.29671428571436</v>
      </c>
      <c r="AK18" s="195">
        <f>'Volume Data Entry'!EN119</f>
        <v>294.77785714285716</v>
      </c>
      <c r="AL18" s="195">
        <f>'Volume Data Entry'!EV58</f>
        <v>285.37914285714288</v>
      </c>
      <c r="AM18" s="195">
        <f>'Volume Data Entry'!EV119</f>
        <v>0</v>
      </c>
      <c r="AN18" s="195">
        <f>'Volume Data Entry'!FD58</f>
        <v>0</v>
      </c>
      <c r="AO18" s="195">
        <f>'Volume Data Entry'!FD119</f>
        <v>0</v>
      </c>
      <c r="AP18" s="195">
        <f>'Volume Data Entry'!FL58</f>
        <v>0</v>
      </c>
      <c r="AQ18" s="195">
        <f>'Volume Data Entry'!FL119</f>
        <v>0</v>
      </c>
      <c r="AR18" s="195">
        <f>'Volume Data Entry'!FT58</f>
        <v>0</v>
      </c>
      <c r="AS18" s="195">
        <f>'Volume Data Entry'!FT119</f>
        <v>0</v>
      </c>
      <c r="AT18" s="195">
        <f>'Volume Data Entry'!GB58</f>
        <v>0</v>
      </c>
      <c r="AU18" s="195">
        <f>'Volume Data Entry'!GB119</f>
        <v>0</v>
      </c>
      <c r="AV18" s="195">
        <f>'Volume Data Entry'!GJ58</f>
        <v>0</v>
      </c>
      <c r="AW18" s="195">
        <f>'Volume Data Entry'!GJ119</f>
        <v>0</v>
      </c>
      <c r="AX18" s="195">
        <f>'Volume Data Entry'!GR58</f>
        <v>1892.559285714286</v>
      </c>
      <c r="AY18" s="196">
        <f>'Volume Data Entry'!GR119</f>
        <v>0</v>
      </c>
      <c r="AZ18" s="195">
        <f>'Volume Data Entry'!GZ58</f>
        <v>130.72757142857145</v>
      </c>
      <c r="BA18" s="196">
        <f>'Volume Data Entry'!GZ119</f>
        <v>739.08071428571441</v>
      </c>
      <c r="BB18" s="195">
        <f>'Volume Data Entry'!HH58</f>
        <v>34.177142857142861</v>
      </c>
      <c r="BC18" s="196">
        <f>'Volume Data Entry'!HH119</f>
        <v>61.518857142857151</v>
      </c>
      <c r="BD18" s="195">
        <f>'Volume Data Entry'!HP58</f>
        <v>140.12628571428573</v>
      </c>
      <c r="BE18" s="196">
        <f>'Volume Data Entry'!HP119</f>
        <v>468.22685714285723</v>
      </c>
      <c r="BF18" s="195">
        <f>'Volume Data Entry'!HX58</f>
        <v>1198.7632857142858</v>
      </c>
      <c r="BG18" s="196">
        <f>'Volume Data Entry'!HX119</f>
        <v>698.0681428571429</v>
      </c>
      <c r="BH18" s="195">
        <f>'Volume Data Entry'!IF58</f>
        <v>791.20085714285722</v>
      </c>
      <c r="BI18" s="196">
        <f>'Volume Data Entry'!IF119</f>
        <v>199.93628571428573</v>
      </c>
      <c r="BJ18" s="195">
        <f>'Volume Data Entry'!IN58</f>
        <v>832.21342857142872</v>
      </c>
      <c r="BK18" s="196">
        <f>'Volume Data Entry'!IN119</f>
        <v>1330.3452857142859</v>
      </c>
      <c r="BL18" s="195">
        <f>'Volume Data Entry'!IV58</f>
        <v>1225.2505714285717</v>
      </c>
      <c r="BM18" s="196">
        <f>'Volume Data Entry'!IV119</f>
        <v>542.56214285714293</v>
      </c>
      <c r="BN18" s="195">
        <f>'Volume Data Entry'!JD58</f>
        <v>1177.4025714285715</v>
      </c>
      <c r="BO18" s="196">
        <f>'Volume Data Entry'!JD119</f>
        <v>144.39842857142858</v>
      </c>
      <c r="BP18" s="195">
        <f>'Volume Data Entry'!JL58</f>
        <v>149.52500000000001</v>
      </c>
      <c r="BQ18" s="196">
        <f>'Volume Data Entry'!JL119</f>
        <v>160.63257142857145</v>
      </c>
      <c r="BR18" s="195">
        <f>'Volume Data Entry'!JT58</f>
        <v>91.423857142857159</v>
      </c>
      <c r="BS18" s="196">
        <f>'Volume Data Entry'!JT119</f>
        <v>164.90471428571431</v>
      </c>
      <c r="BT18" s="195">
        <f>'Volume Data Entry'!KB58</f>
        <v>2065.1538571428573</v>
      </c>
      <c r="BU18" s="196">
        <f>'Volume Data Entry'!KB119</f>
        <v>407.5624285714286</v>
      </c>
      <c r="BV18" s="195">
        <f>'Volume Data Entry'!KJ58</f>
        <v>324.68285714285719</v>
      </c>
      <c r="BW18" s="196">
        <f>'Volume Data Entry'!KJ119</f>
        <v>485.31542857142864</v>
      </c>
      <c r="BX18" s="195">
        <f>'Volume Data Entry'!KR58</f>
        <v>261.4551428571429</v>
      </c>
      <c r="BY18" s="196">
        <f>'Volume Data Entry'!KR119</f>
        <v>51.265714285714296</v>
      </c>
      <c r="BZ18" s="195">
        <f>'Volume Data Entry'!KZ58</f>
        <v>1086.833142857143</v>
      </c>
      <c r="CA18" s="196">
        <f>'Volume Data Entry'!KZ119</f>
        <v>332.37271428571432</v>
      </c>
      <c r="CB18" s="195">
        <f>'Volume Data Entry'!LH58</f>
        <v>531.45457142857151</v>
      </c>
      <c r="CC18" s="196">
        <f>'Volume Data Entry'!LH119</f>
        <v>79.461857142857156</v>
      </c>
      <c r="CD18" s="195">
        <f>'Volume Data Entry'!LP58</f>
        <v>548.54314285714293</v>
      </c>
      <c r="CE18" s="196">
        <f>'Volume Data Entry'!LP119</f>
        <v>558.79628571428577</v>
      </c>
      <c r="CF18" s="195">
        <f>'Volume Data Entry'!LX58</f>
        <v>858.70071428571441</v>
      </c>
      <c r="CG18" s="758">
        <f>'Volume Data Entry'!LX119</f>
        <v>597.24557142857145</v>
      </c>
      <c r="CH18" s="760">
        <f>'Volume Data Entry'!MF58</f>
        <v>1320.9465714285716</v>
      </c>
      <c r="CI18" s="758">
        <f>'Volume Data Entry'!MF119</f>
        <v>731.39085714285727</v>
      </c>
      <c r="CJ18" s="760">
        <f>'Volume Data Entry'!MN58</f>
        <v>1099.6495714285716</v>
      </c>
      <c r="CK18" s="758">
        <f>'Volume Data Entry'!MN119</f>
        <v>1896.8314285714289</v>
      </c>
      <c r="CL18" s="760">
        <f>'Volume Data Entry'!MV58</f>
        <v>909.96642857142865</v>
      </c>
      <c r="CM18" s="760">
        <f>'Volume Data Entry'!MV119</f>
        <v>2620.5324285714287</v>
      </c>
      <c r="CN18" s="811">
        <f>'Volume Data Entry'!ND69</f>
        <v>384.2</v>
      </c>
      <c r="CO18" s="196">
        <f>'Volume Data Entry'!ND141</f>
        <v>721.65</v>
      </c>
      <c r="CP18" s="769">
        <f>'Volume Data Entry'!NL69</f>
        <v>847.44999999999993</v>
      </c>
      <c r="CQ18" s="770">
        <f>'Volume Data Entry'!NL141</f>
        <v>830.44999999999993</v>
      </c>
      <c r="CR18" s="770">
        <f>'Volume Data Entry'!NT69</f>
        <v>734.4</v>
      </c>
      <c r="CS18" s="770">
        <f>'Volume Data Entry'!NT141</f>
        <v>301.75</v>
      </c>
      <c r="CT18" s="196">
        <f>'Volume Data Entry'!OB69</f>
        <v>226.1</v>
      </c>
      <c r="CU18" s="196">
        <f>'Volume Data Entry'!OB141</f>
        <v>813.44999999999993</v>
      </c>
      <c r="CV18" s="769">
        <f>'Volume Data Entry'!OJ69</f>
        <v>320.45</v>
      </c>
      <c r="CW18" s="770">
        <f>'Volume Data Entry'!OJ141</f>
        <v>627.29999999999995</v>
      </c>
      <c r="CX18" s="769">
        <f>'Volume Data Entry'!OR69</f>
        <v>369.75</v>
      </c>
      <c r="CY18" s="770">
        <f>'Volume Data Entry'!OR141</f>
        <v>645.15</v>
      </c>
      <c r="CZ18" s="196">
        <f>'Volume Data Entry'!OZ69</f>
        <v>0</v>
      </c>
      <c r="DA18" s="196">
        <f>'Volume Data Entry'!OZ141</f>
        <v>0</v>
      </c>
      <c r="DB18" s="794">
        <f>'Volume Data Entry'!PH69</f>
        <v>0</v>
      </c>
      <c r="DC18" s="794">
        <f>'Volume Data Entry'!PH141</f>
        <v>133.44999999999999</v>
      </c>
      <c r="DD18" s="794">
        <f>'Volume Data Entry'!PP69</f>
        <v>4.25</v>
      </c>
      <c r="DE18" s="794">
        <f>'Volume Data Entry'!PP141</f>
        <v>1.7</v>
      </c>
      <c r="DF18" s="196">
        <f>'Volume Data Entry'!PX69</f>
        <v>169.15</v>
      </c>
      <c r="DG18" s="196">
        <f>'Volume Data Entry'!PX141</f>
        <v>62.05</v>
      </c>
      <c r="DH18" s="794">
        <f>'Volume Data Entry'!QF69</f>
        <v>101.14999999999999</v>
      </c>
      <c r="DI18" s="794">
        <f>'Volume Data Entry'!QF141</f>
        <v>116.45</v>
      </c>
      <c r="DJ18" s="794">
        <f>'Volume Data Entry'!QN69</f>
        <v>382.5</v>
      </c>
      <c r="DK18" s="794">
        <f>'Volume Data Entry'!QN141</f>
        <v>113.89999999999999</v>
      </c>
      <c r="DL18" s="196">
        <f>'Volume Data Entry'!QV69</f>
        <v>523.6</v>
      </c>
      <c r="DM18" s="196">
        <f>'Volume Data Entry'!QV141</f>
        <v>751.4</v>
      </c>
      <c r="DN18" s="794">
        <f>SUM(DH18:DM18)/6</f>
        <v>331.5</v>
      </c>
      <c r="DO18" s="794">
        <f>SUM(DI18:DN18)/6</f>
        <v>369.89166666666665</v>
      </c>
      <c r="DP18" s="794">
        <f>SUM(DJ18:DO18)/6</f>
        <v>412.13194444444451</v>
      </c>
      <c r="DQ18" s="794">
        <f>SUM(DK18:DP18)/6</f>
        <v>417.0706018518519</v>
      </c>
      <c r="DR18" s="196">
        <f>'Volume Data Entry'!RT69</f>
        <v>338.3</v>
      </c>
      <c r="DS18" s="196">
        <f>'Volume Data Entry'!RT141</f>
        <v>557.6</v>
      </c>
      <c r="DT18" s="794">
        <f>'Volume Data Entry'!SB69</f>
        <v>530.4</v>
      </c>
      <c r="DU18" s="794">
        <f>'Volume Data Entry'!SB141</f>
        <v>322.14999999999998</v>
      </c>
      <c r="DV18" s="794">
        <f>'Volume Data Entry'!SJ69</f>
        <v>261.8</v>
      </c>
      <c r="DW18" s="794">
        <f>'Volume Data Entry'!SJ141</f>
        <v>215.9</v>
      </c>
      <c r="DX18" s="196">
        <f>'Volume Data Entry'!SR69</f>
        <v>224.4</v>
      </c>
      <c r="DY18" s="196">
        <f>'Volume Data Entry'!SR141</f>
        <v>268.59999999999997</v>
      </c>
      <c r="DZ18" s="794">
        <f>'Volume Data Entry'!SZ69</f>
        <v>124.95</v>
      </c>
      <c r="EA18" s="794">
        <f>'Volume Data Entry'!SZ141</f>
        <v>277.95</v>
      </c>
      <c r="EB18" s="794">
        <f>'Volume Data Entry'!TH69</f>
        <v>850</v>
      </c>
      <c r="EC18" s="794">
        <f>'Volume Data Entry'!TH141</f>
        <v>420.75</v>
      </c>
    </row>
    <row r="19" spans="1:138" s="178" customFormat="1">
      <c r="A19" s="850" t="s">
        <v>446</v>
      </c>
      <c r="B19" s="875">
        <f>AVERAGE(B20:B28)</f>
        <v>195.37177344514507</v>
      </c>
      <c r="C19" s="875">
        <f t="shared" ref="C19:BN19" si="10">AVERAGE(C20:C28)</f>
        <v>94.848439962717393</v>
      </c>
      <c r="D19" s="875">
        <f t="shared" si="10"/>
        <v>41.44238529820187</v>
      </c>
      <c r="E19" s="875">
        <f t="shared" si="10"/>
        <v>39.364252170328342</v>
      </c>
      <c r="F19" s="875">
        <f t="shared" si="10"/>
        <v>320.84242391556819</v>
      </c>
      <c r="G19" s="875">
        <f t="shared" si="10"/>
        <v>588.6355997128544</v>
      </c>
      <c r="H19" s="875">
        <f t="shared" si="10"/>
        <v>45.928966947960625</v>
      </c>
      <c r="I19" s="875">
        <f t="shared" si="10"/>
        <v>115.70594475613464</v>
      </c>
      <c r="J19" s="875">
        <f t="shared" si="10"/>
        <v>320.9521962561825</v>
      </c>
      <c r="K19" s="875">
        <f t="shared" si="10"/>
        <v>469.29017832052989</v>
      </c>
      <c r="L19" s="875">
        <f t="shared" si="10"/>
        <v>0</v>
      </c>
      <c r="M19" s="875">
        <f t="shared" si="10"/>
        <v>313.9525939203823</v>
      </c>
      <c r="N19" s="875">
        <f t="shared" si="10"/>
        <v>255.8307037431577</v>
      </c>
      <c r="O19" s="875">
        <f t="shared" si="10"/>
        <v>0</v>
      </c>
      <c r="P19" s="875">
        <f t="shared" si="10"/>
        <v>682.49127785481267</v>
      </c>
      <c r="Q19" s="875">
        <f t="shared" si="10"/>
        <v>440.50555727801373</v>
      </c>
      <c r="R19" s="875">
        <f t="shared" si="10"/>
        <v>85.566205327510772</v>
      </c>
      <c r="S19" s="875">
        <f t="shared" si="10"/>
        <v>579.88154539064442</v>
      </c>
      <c r="T19" s="875">
        <f t="shared" si="10"/>
        <v>0</v>
      </c>
      <c r="U19" s="875">
        <f t="shared" si="10"/>
        <v>0</v>
      </c>
      <c r="V19" s="875">
        <f t="shared" si="10"/>
        <v>0</v>
      </c>
      <c r="W19" s="875">
        <f t="shared" si="10"/>
        <v>0</v>
      </c>
      <c r="X19" s="875">
        <f t="shared" si="10"/>
        <v>170.9382600203889</v>
      </c>
      <c r="Y19" s="875">
        <f t="shared" si="10"/>
        <v>0</v>
      </c>
      <c r="Z19" s="875">
        <f t="shared" si="10"/>
        <v>682.49127785481267</v>
      </c>
      <c r="AA19" s="875">
        <f t="shared" si="10"/>
        <v>296.15867139777009</v>
      </c>
      <c r="AB19" s="875">
        <f t="shared" si="10"/>
        <v>159.72513203032798</v>
      </c>
      <c r="AC19" s="875">
        <f t="shared" si="10"/>
        <v>0</v>
      </c>
      <c r="AD19" s="875">
        <f t="shared" si="10"/>
        <v>2315.2801163976515</v>
      </c>
      <c r="AE19" s="875">
        <f t="shared" si="10"/>
        <v>131.04813814927979</v>
      </c>
      <c r="AF19" s="875">
        <f t="shared" si="10"/>
        <v>0</v>
      </c>
      <c r="AG19" s="875">
        <f t="shared" si="10"/>
        <v>133.13420241039819</v>
      </c>
      <c r="AH19" s="875">
        <f t="shared" si="10"/>
        <v>32.783658955332463</v>
      </c>
      <c r="AI19" s="875">
        <f t="shared" si="10"/>
        <v>131.85844150770131</v>
      </c>
      <c r="AJ19" s="875">
        <f t="shared" si="10"/>
        <v>450.65269605121171</v>
      </c>
      <c r="AK19" s="875">
        <f t="shared" si="10"/>
        <v>318.9592651936801</v>
      </c>
      <c r="AL19" s="875">
        <f t="shared" si="10"/>
        <v>232.32581421569228</v>
      </c>
      <c r="AM19" s="875">
        <f t="shared" si="10"/>
        <v>296.2643632983436</v>
      </c>
      <c r="AN19" s="875">
        <f t="shared" si="10"/>
        <v>0</v>
      </c>
      <c r="AO19" s="875">
        <f t="shared" si="10"/>
        <v>0</v>
      </c>
      <c r="AP19" s="875">
        <f t="shared" si="10"/>
        <v>0</v>
      </c>
      <c r="AQ19" s="875">
        <f t="shared" si="10"/>
        <v>0</v>
      </c>
      <c r="AR19" s="875">
        <f t="shared" si="10"/>
        <v>0</v>
      </c>
      <c r="AS19" s="875">
        <f t="shared" si="10"/>
        <v>0</v>
      </c>
      <c r="AT19" s="875">
        <f t="shared" si="10"/>
        <v>0</v>
      </c>
      <c r="AU19" s="875">
        <f t="shared" si="10"/>
        <v>0</v>
      </c>
      <c r="AV19" s="875">
        <f t="shared" si="10"/>
        <v>0</v>
      </c>
      <c r="AW19" s="875">
        <f t="shared" si="10"/>
        <v>0</v>
      </c>
      <c r="AX19" s="875">
        <f t="shared" si="10"/>
        <v>407.46753565350701</v>
      </c>
      <c r="AY19" s="875">
        <f t="shared" si="10"/>
        <v>0</v>
      </c>
      <c r="AZ19" s="875">
        <f t="shared" si="10"/>
        <v>150.69095950337069</v>
      </c>
      <c r="BA19" s="875">
        <f t="shared" si="10"/>
        <v>249.63827581779418</v>
      </c>
      <c r="BB19" s="875">
        <f t="shared" si="10"/>
        <v>257.3103837129724</v>
      </c>
      <c r="BC19" s="875">
        <f t="shared" si="10"/>
        <v>340.41398409683262</v>
      </c>
      <c r="BD19" s="875">
        <f t="shared" si="10"/>
        <v>44.637331975362535</v>
      </c>
      <c r="BE19" s="875">
        <f t="shared" si="10"/>
        <v>172.3699904824004</v>
      </c>
      <c r="BF19" s="875">
        <f t="shared" si="10"/>
        <v>255.57024066260354</v>
      </c>
      <c r="BG19" s="875">
        <f t="shared" si="10"/>
        <v>319.04788015405296</v>
      </c>
      <c r="BH19" s="875">
        <f t="shared" si="10"/>
        <v>228.21889818721672</v>
      </c>
      <c r="BI19" s="875">
        <f t="shared" si="10"/>
        <v>66.403817724924977</v>
      </c>
      <c r="BJ19" s="875">
        <f t="shared" si="10"/>
        <v>403.32455615167873</v>
      </c>
      <c r="BK19" s="875">
        <f t="shared" si="10"/>
        <v>279.36664820015818</v>
      </c>
      <c r="BL19" s="875">
        <f t="shared" si="10"/>
        <v>712.91947660887899</v>
      </c>
      <c r="BM19" s="875">
        <f t="shared" si="10"/>
        <v>688.0462244613019</v>
      </c>
      <c r="BN19" s="875">
        <f t="shared" si="10"/>
        <v>951.83095328721879</v>
      </c>
      <c r="BO19" s="875">
        <f t="shared" ref="BO19:DW19" si="11">AVERAGE(BO20:BO28)</f>
        <v>296.00953453032002</v>
      </c>
      <c r="BP19" s="875">
        <f t="shared" si="11"/>
        <v>329.23879194171963</v>
      </c>
      <c r="BQ19" s="875">
        <f t="shared" si="11"/>
        <v>399.31818019050519</v>
      </c>
      <c r="BR19" s="875">
        <f t="shared" si="11"/>
        <v>803.48760120649695</v>
      </c>
      <c r="BS19" s="875">
        <f t="shared" si="11"/>
        <v>553.22371693319678</v>
      </c>
      <c r="BT19" s="875">
        <f t="shared" si="11"/>
        <v>334.74257448873431</v>
      </c>
      <c r="BU19" s="875">
        <f t="shared" si="11"/>
        <v>535.75464909890195</v>
      </c>
      <c r="BV19" s="875">
        <f t="shared" si="11"/>
        <v>201.41266392255244</v>
      </c>
      <c r="BW19" s="875">
        <f t="shared" si="11"/>
        <v>280.23114578127024</v>
      </c>
      <c r="BX19" s="875">
        <f t="shared" si="11"/>
        <v>53.657130212771854</v>
      </c>
      <c r="BY19" s="875">
        <f t="shared" si="11"/>
        <v>43.601260075658374</v>
      </c>
      <c r="BZ19" s="875">
        <f t="shared" si="11"/>
        <v>123.19451990882197</v>
      </c>
      <c r="CA19" s="875">
        <f t="shared" si="11"/>
        <v>70.656932880137518</v>
      </c>
      <c r="CB19" s="875">
        <f t="shared" si="11"/>
        <v>221.11406516941531</v>
      </c>
      <c r="CC19" s="875">
        <f t="shared" si="11"/>
        <v>101.32047737920399</v>
      </c>
      <c r="CD19" s="875">
        <f t="shared" si="11"/>
        <v>206.93142503525851</v>
      </c>
      <c r="CE19" s="875">
        <f t="shared" si="11"/>
        <v>161.82397291535563</v>
      </c>
      <c r="CF19" s="875">
        <f t="shared" si="11"/>
        <v>194.34714809372943</v>
      </c>
      <c r="CG19" s="875">
        <f t="shared" si="11"/>
        <v>362.63741941715659</v>
      </c>
      <c r="CH19" s="875">
        <f t="shared" si="11"/>
        <v>426.07455223412057</v>
      </c>
      <c r="CI19" s="875">
        <f t="shared" si="11"/>
        <v>598.77158711603283</v>
      </c>
      <c r="CJ19" s="875">
        <f t="shared" si="11"/>
        <v>723.94630120994725</v>
      </c>
      <c r="CK19" s="875">
        <f t="shared" si="11"/>
        <v>839.77818365302483</v>
      </c>
      <c r="CL19" s="875">
        <f t="shared" si="11"/>
        <v>728.886612026085</v>
      </c>
      <c r="CM19" s="875">
        <f t="shared" si="11"/>
        <v>908.48336166924594</v>
      </c>
      <c r="CN19" s="875">
        <f t="shared" si="11"/>
        <v>539.65687859436889</v>
      </c>
      <c r="CO19" s="875">
        <f t="shared" si="11"/>
        <v>948.96904454037997</v>
      </c>
      <c r="CP19" s="875">
        <f t="shared" si="11"/>
        <v>486.55985032304915</v>
      </c>
      <c r="CQ19" s="875">
        <f t="shared" si="11"/>
        <v>741.54470933432469</v>
      </c>
      <c r="CR19" s="875">
        <f t="shared" si="11"/>
        <v>240.26971720244151</v>
      </c>
      <c r="CS19" s="875">
        <f t="shared" si="11"/>
        <v>113.48624964123653</v>
      </c>
      <c r="CT19" s="875">
        <f t="shared" si="11"/>
        <v>78.350160829216122</v>
      </c>
      <c r="CU19" s="875">
        <f t="shared" si="11"/>
        <v>105.54120281572274</v>
      </c>
      <c r="CV19" s="875">
        <f t="shared" si="11"/>
        <v>73.314110643589146</v>
      </c>
      <c r="CW19" s="875">
        <f t="shared" si="11"/>
        <v>41.10774246076604</v>
      </c>
      <c r="CX19" s="875">
        <f t="shared" si="11"/>
        <v>100.30174713116233</v>
      </c>
      <c r="CY19" s="875">
        <f t="shared" si="11"/>
        <v>180.45442759105677</v>
      </c>
      <c r="CZ19" s="875">
        <f t="shared" si="11"/>
        <v>0</v>
      </c>
      <c r="DA19" s="875">
        <f t="shared" si="11"/>
        <v>0</v>
      </c>
      <c r="DB19" s="875">
        <f t="shared" si="11"/>
        <v>0</v>
      </c>
      <c r="DC19" s="875">
        <f t="shared" si="11"/>
        <v>32.98967875188832</v>
      </c>
      <c r="DD19" s="875">
        <f t="shared" si="11"/>
        <v>108.41536498479508</v>
      </c>
      <c r="DE19" s="875">
        <f t="shared" si="11"/>
        <v>150.6704513916487</v>
      </c>
      <c r="DF19" s="875">
        <f t="shared" si="11"/>
        <v>172.68176796624724</v>
      </c>
      <c r="DG19" s="875">
        <f t="shared" si="11"/>
        <v>157.46322545204552</v>
      </c>
      <c r="DH19" s="875">
        <f t="shared" si="11"/>
        <v>319.42634736132857</v>
      </c>
      <c r="DI19" s="875">
        <f t="shared" si="11"/>
        <v>363.56748105274835</v>
      </c>
      <c r="DJ19" s="875">
        <f t="shared" si="11"/>
        <v>360.18591084287903</v>
      </c>
      <c r="DK19" s="875">
        <f t="shared" si="11"/>
        <v>215.19369760886769</v>
      </c>
      <c r="DL19" s="875">
        <f t="shared" si="11"/>
        <v>355.23185576379706</v>
      </c>
      <c r="DM19" s="875">
        <f t="shared" si="11"/>
        <v>339.1956936838468</v>
      </c>
      <c r="DN19" s="875">
        <f t="shared" si="11"/>
        <v>325.46683105224452</v>
      </c>
      <c r="DO19" s="875">
        <f t="shared" si="11"/>
        <v>326.47357833406392</v>
      </c>
      <c r="DP19" s="875">
        <f t="shared" si="11"/>
        <v>320.29126121428322</v>
      </c>
      <c r="DQ19" s="875">
        <f t="shared" si="11"/>
        <v>313.64215294285054</v>
      </c>
      <c r="DR19" s="875">
        <f t="shared" si="11"/>
        <v>83.096383845619116</v>
      </c>
      <c r="DS19" s="875">
        <f t="shared" si="11"/>
        <v>26.051538691183097</v>
      </c>
      <c r="DT19" s="875">
        <f t="shared" si="11"/>
        <v>59.223396284979877</v>
      </c>
      <c r="DU19" s="875">
        <f t="shared" si="11"/>
        <v>63.269649140355988</v>
      </c>
      <c r="DV19" s="875">
        <f t="shared" si="11"/>
        <v>26.073396904688774</v>
      </c>
      <c r="DW19" s="874">
        <f t="shared" si="11"/>
        <v>55.306482213007428</v>
      </c>
      <c r="DX19" s="875">
        <f>AVERAGE(DX20:DX28)</f>
        <v>79.350463662605335</v>
      </c>
      <c r="DY19" s="875">
        <f t="shared" ref="DY19:EC19" si="12">AVERAGE(DY20:DY28)</f>
        <v>142.69548378364232</v>
      </c>
      <c r="DZ19" s="875">
        <f t="shared" si="12"/>
        <v>117.78957485991113</v>
      </c>
      <c r="EA19" s="875">
        <f t="shared" si="12"/>
        <v>167.00437042747802</v>
      </c>
      <c r="EB19" s="875">
        <f t="shared" si="12"/>
        <v>262.60947465198154</v>
      </c>
      <c r="EC19" s="874">
        <f t="shared" si="12"/>
        <v>233.84308663265153</v>
      </c>
      <c r="ED19" s="852"/>
      <c r="EE19" s="852"/>
      <c r="EF19" s="852"/>
      <c r="EG19" s="852"/>
      <c r="EH19" s="852"/>
    </row>
    <row r="20" spans="1:138">
      <c r="A20" s="189" t="s">
        <v>33</v>
      </c>
      <c r="B20" s="190">
        <f>'Volume Data Entry'!H31</f>
        <v>437.90717948717952</v>
      </c>
      <c r="C20" s="190">
        <f>'Volume Data Entry'!H92</f>
        <v>0</v>
      </c>
      <c r="D20" s="190">
        <f>'Volume Data Entry'!P31</f>
        <v>0</v>
      </c>
      <c r="E20" s="190">
        <f>'Volume Data Entry'!P92</f>
        <v>0</v>
      </c>
      <c r="F20" s="190">
        <f>'Volume Data Entry'!X31</f>
        <v>64.657435897435903</v>
      </c>
      <c r="G20" s="190">
        <f>'Volume Data Entry'!X92</f>
        <v>1329.8858974358975</v>
      </c>
      <c r="H20" s="190">
        <f>'Volume Data Entry'!AF31</f>
        <v>0</v>
      </c>
      <c r="I20" s="190">
        <f>'Volume Data Entry'!AF92</f>
        <v>64.657435897435903</v>
      </c>
      <c r="J20" s="190">
        <f>'Volume Data Entry'!AN31</f>
        <v>32.328717948717951</v>
      </c>
      <c r="K20" s="190">
        <f>'Volume Data Entry'!AN92</f>
        <v>0</v>
      </c>
      <c r="L20" s="190">
        <f>'Volume Data Entry'!AV31</f>
        <v>0</v>
      </c>
      <c r="M20" s="190">
        <f>'Volume Data Entry'!AV92</f>
        <v>123.43692307692308</v>
      </c>
      <c r="N20" s="190">
        <f>'Volume Data Entry'!BD31</f>
        <v>452.60205128205132</v>
      </c>
      <c r="O20" s="190">
        <f>'Volume Data Entry'!BD92</f>
        <v>0</v>
      </c>
      <c r="P20" s="190">
        <f>'Volume Data Entry'!BL31</f>
        <v>2166.0241025641026</v>
      </c>
      <c r="Q20" s="190">
        <f>'Volume Data Entry'!BL92</f>
        <v>943.41076923076923</v>
      </c>
      <c r="R20" s="190">
        <f>'Volume Data Entry'!BT31</f>
        <v>193.97230769230771</v>
      </c>
      <c r="S20" s="190">
        <f>'Volume Data Entry'!BT92</f>
        <v>1199.1015384615384</v>
      </c>
      <c r="T20" s="190">
        <f>'Volume Data Entry'!CB31</f>
        <v>0</v>
      </c>
      <c r="U20" s="190">
        <f>'Volume Data Entry'!CB92</f>
        <v>0</v>
      </c>
      <c r="V20" s="190">
        <f>'Volume Data Entry'!CJ31</f>
        <v>0</v>
      </c>
      <c r="W20" s="190">
        <f>'Volume Data Entry'!CJ92</f>
        <v>0</v>
      </c>
      <c r="X20" s="190">
        <f>'Volume Data Entry'!CR31</f>
        <v>411.45641025641027</v>
      </c>
      <c r="Y20" s="190">
        <f>'Volume Data Entry'!CR92</f>
        <v>0</v>
      </c>
      <c r="Z20" s="190">
        <f>'Volume Data Entry'!CZ31</f>
        <v>2166.0241025641026</v>
      </c>
      <c r="AA20" s="190">
        <f>'Volume Data Entry'!CZ92</f>
        <v>577.50846153846157</v>
      </c>
      <c r="AB20" s="190">
        <f>'Volume Data Entry'!DH31</f>
        <v>0</v>
      </c>
      <c r="AC20" s="190">
        <f>'Volume Data Entry'!DH92</f>
        <v>0</v>
      </c>
      <c r="AD20" s="190">
        <f>'Volume Data Entry'!DP31</f>
        <v>0</v>
      </c>
      <c r="AE20" s="190">
        <f>'Volume Data Entry'!DP92</f>
        <v>0</v>
      </c>
      <c r="AF20" s="190">
        <f>'Volume Data Entry'!DX31</f>
        <v>0</v>
      </c>
      <c r="AG20" s="190">
        <f>'Volume Data Entry'!DX92</f>
        <v>0</v>
      </c>
      <c r="AH20" s="190">
        <f>'Volume Data Entry'!EF31</f>
        <v>0</v>
      </c>
      <c r="AI20" s="190">
        <f>'Volume Data Entry'!EF92</f>
        <v>73.474358974358978</v>
      </c>
      <c r="AJ20" s="190">
        <f>'Volume Data Entry'!EN31</f>
        <v>148.41820512820513</v>
      </c>
      <c r="AK20" s="190">
        <f>'Volume Data Entry'!EN92</f>
        <v>448.19358974358977</v>
      </c>
      <c r="AL20" s="190">
        <f>'Volume Data Entry'!EV31</f>
        <v>229.24</v>
      </c>
      <c r="AM20" s="190">
        <f>'Volume Data Entry'!EV92</f>
        <v>0</v>
      </c>
      <c r="AN20" s="190">
        <f>'Volume Data Entry'!FD31</f>
        <v>0</v>
      </c>
      <c r="AO20" s="190">
        <f>'Volume Data Entry'!FD92</f>
        <v>0</v>
      </c>
      <c r="AP20" s="190">
        <f>'Volume Data Entry'!FL31</f>
        <v>0</v>
      </c>
      <c r="AQ20" s="190">
        <f>'Volume Data Entry'!FL92</f>
        <v>0</v>
      </c>
      <c r="AR20" s="190">
        <f>'Volume Data Entry'!FT31</f>
        <v>0</v>
      </c>
      <c r="AS20" s="190">
        <f>'Volume Data Entry'!FT92</f>
        <v>0</v>
      </c>
      <c r="AT20" s="190">
        <f>'Volume Data Entry'!GB31</f>
        <v>0</v>
      </c>
      <c r="AU20" s="190">
        <f>'Volume Data Entry'!GB92</f>
        <v>0</v>
      </c>
      <c r="AV20" s="190">
        <f>'Volume Data Entry'!GJ31</f>
        <v>0</v>
      </c>
      <c r="AW20" s="190">
        <f>'Volume Data Entry'!GJ92</f>
        <v>0</v>
      </c>
      <c r="AX20" s="190">
        <f>'Volume Data Entry'!GR31</f>
        <v>317.40923076923076</v>
      </c>
      <c r="AY20" s="191">
        <f>'Volume Data Entry'!GR92</f>
        <v>0</v>
      </c>
      <c r="AZ20" s="190">
        <f>'Volume Data Entry'!GZ31</f>
        <v>0</v>
      </c>
      <c r="BA20" s="191">
        <f>'Volume Data Entry'!GZ92</f>
        <v>79.35230769230769</v>
      </c>
      <c r="BB20" s="190">
        <f>'Volume Data Entry'!HH31</f>
        <v>0</v>
      </c>
      <c r="BC20" s="191">
        <f>'Volume Data Entry'!HH92</f>
        <v>0</v>
      </c>
      <c r="BD20" s="190">
        <f>'Volume Data Entry'!HP31</f>
        <v>0</v>
      </c>
      <c r="BE20" s="191">
        <f>'Volume Data Entry'!HP92</f>
        <v>0</v>
      </c>
      <c r="BF20" s="190">
        <f>'Volume Data Entry'!HX31</f>
        <v>0</v>
      </c>
      <c r="BG20" s="191">
        <f>'Volume Data Entry'!HX92</f>
        <v>483.46128205128207</v>
      </c>
      <c r="BH20" s="190">
        <f>'Volume Data Entry'!IF31</f>
        <v>152.82666666666668</v>
      </c>
      <c r="BI20" s="191">
        <f>'Volume Data Entry'!IF92</f>
        <v>483.46128205128207</v>
      </c>
      <c r="BJ20" s="190">
        <f>'Volume Data Entry'!IN31</f>
        <v>1149.1389743589743</v>
      </c>
      <c r="BK20" s="191">
        <f>'Volume Data Entry'!IN92</f>
        <v>511.38153846153847</v>
      </c>
      <c r="BL20" s="190">
        <f>'Volume Data Entry'!IV31</f>
        <v>1989.6856410256412</v>
      </c>
      <c r="BM20" s="191">
        <f>'Volume Data Entry'!IV92</f>
        <v>1858.9012820512821</v>
      </c>
      <c r="BN20" s="190">
        <f>'Volume Data Entry'!JD31</f>
        <v>4186.5689743589746</v>
      </c>
      <c r="BO20" s="191">
        <f>'Volume Data Entry'!JD92</f>
        <v>1138.8525641025642</v>
      </c>
      <c r="BP20" s="190">
        <f>'Volume Data Entry'!JL31</f>
        <v>866.99743589743593</v>
      </c>
      <c r="BQ20" s="191">
        <f>'Volume Data Entry'!JL92</f>
        <v>1025.7020512820513</v>
      </c>
      <c r="BR20" s="190">
        <f>'Volume Data Entry'!JT31</f>
        <v>1695.7882051282052</v>
      </c>
      <c r="BS20" s="191">
        <f>'Volume Data Entry'!JT92</f>
        <v>1634.0697435897437</v>
      </c>
      <c r="BT20" s="190">
        <f>'Volume Data Entry'!KB31</f>
        <v>1197.6320512820514</v>
      </c>
      <c r="BU20" s="191">
        <f>'Volume Data Entry'!KB92</f>
        <v>1153.5474358974359</v>
      </c>
      <c r="BV20" s="190">
        <f>'Volume Data Entry'!KJ31</f>
        <v>423.21230769230772</v>
      </c>
      <c r="BW20" s="191">
        <f>'Volume Data Entry'!KJ92</f>
        <v>445.25461538461542</v>
      </c>
      <c r="BX20" s="190">
        <f>'Volume Data Entry'!KR31</f>
        <v>0</v>
      </c>
      <c r="BY20" s="191">
        <f>'Volume Data Entry'!KR92</f>
        <v>0</v>
      </c>
      <c r="BZ20" s="190">
        <f>'Volume Data Entry'!KZ31</f>
        <v>0</v>
      </c>
      <c r="CA20" s="191">
        <f>'Volume Data Entry'!KZ92</f>
        <v>0</v>
      </c>
      <c r="CB20" s="190">
        <f>'Volume Data Entry'!LH31</f>
        <v>0</v>
      </c>
      <c r="CC20" s="191">
        <f>'Volume Data Entry'!LH92</f>
        <v>2.9389743589743591</v>
      </c>
      <c r="CD20" s="190">
        <f>'Volume Data Entry'!LP31</f>
        <v>108.74205128205129</v>
      </c>
      <c r="CE20" s="191">
        <f>'Volume Data Entry'!LP92</f>
        <v>180.74692307692308</v>
      </c>
      <c r="CF20" s="190">
        <f>'Volume Data Entry'!LX31</f>
        <v>96.986153846153854</v>
      </c>
      <c r="CG20" s="757">
        <f>'Volume Data Entry'!LX92</f>
        <v>887.57025641025643</v>
      </c>
      <c r="CH20" s="759">
        <f>'Volume Data Entry'!MF31</f>
        <v>865.52794871794879</v>
      </c>
      <c r="CI20" s="757">
        <f>'Volume Data Entry'!MF92</f>
        <v>1731.0558974358976</v>
      </c>
      <c r="CJ20" s="759">
        <f>'Volume Data Entry'!MN31</f>
        <v>1459.2007692307693</v>
      </c>
      <c r="CK20" s="757">
        <f>'Volume Data Entry'!MN92</f>
        <v>1804.5302564102565</v>
      </c>
      <c r="CL20" s="759">
        <f>'Volume Data Entry'!MV31</f>
        <v>3284.3038461538463</v>
      </c>
      <c r="CM20" s="759">
        <f>'Volume Data Entry'!MV92</f>
        <v>4730.2792307692307</v>
      </c>
      <c r="CN20" s="810">
        <f>'Volume Data Entry'!ND35</f>
        <v>2126.3479487179488</v>
      </c>
      <c r="CO20" s="191">
        <f>'Volume Data Entry'!ND107</f>
        <v>3925.0002564102565</v>
      </c>
      <c r="CP20" s="767">
        <f>'Volume Data Entry'!NL35</f>
        <v>2462.8605128205131</v>
      </c>
      <c r="CQ20" s="767">
        <f>'Volume Data Entry'!NL107</f>
        <v>2261.5407692307695</v>
      </c>
      <c r="CR20" s="767">
        <f>'Volume Data Entry'!NT35</f>
        <v>639.22692307692307</v>
      </c>
      <c r="CS20" s="767">
        <f>'Volume Data Entry'!NT107</f>
        <v>529.01538461538462</v>
      </c>
      <c r="CT20" s="191">
        <f>'Volume Data Entry'!OB35</f>
        <v>33.798205128205133</v>
      </c>
      <c r="CU20" s="191">
        <f>'Volume Data Entry'!OB107</f>
        <v>221.89256410256411</v>
      </c>
      <c r="CV20" s="767">
        <f>'Volume Data Entry'!OJ35</f>
        <v>30.85923076923077</v>
      </c>
      <c r="CW20" s="767">
        <f>'Volume Data Entry'!OJ107</f>
        <v>5.8779487179487182</v>
      </c>
      <c r="CX20" s="767">
        <f>'Volume Data Entry'!OR35</f>
        <v>67.596410256410266</v>
      </c>
      <c r="CY20" s="767">
        <f>'Volume Data Entry'!OR107</f>
        <v>0</v>
      </c>
      <c r="CZ20" s="191">
        <f>'Volume Data Entry'!OZ35</f>
        <v>0</v>
      </c>
      <c r="DA20" s="191">
        <f>'Volume Data Entry'!OZ107</f>
        <v>0</v>
      </c>
      <c r="DB20" s="774">
        <f>'Volume Data Entry'!PH35</f>
        <v>0</v>
      </c>
      <c r="DC20" s="774">
        <f>'Volume Data Entry'!PH107</f>
        <v>0</v>
      </c>
      <c r="DD20" s="774">
        <f>'Volume Data Entry'!PP35</f>
        <v>22.042307692307695</v>
      </c>
      <c r="DE20" s="774">
        <f>'Volume Data Entry'!PP107</f>
        <v>138.13179487179488</v>
      </c>
      <c r="DF20" s="191">
        <f>'Volume Data Entry'!PX35</f>
        <v>102.86410256410257</v>
      </c>
      <c r="DG20" s="191">
        <f>'Volume Data Entry'!PX107</f>
        <v>99.925128205128203</v>
      </c>
      <c r="DH20" s="774">
        <f>'Volume Data Entry'!QF35</f>
        <v>584.85589743589742</v>
      </c>
      <c r="DI20" s="774">
        <f>'Volume Data Entry'!QF107</f>
        <v>1013.9461538461538</v>
      </c>
      <c r="DJ20" s="774">
        <f>'Volume Data Entry'!QN35</f>
        <v>1121.218717948718</v>
      </c>
      <c r="DK20" s="774">
        <f>'Volume Data Entry'!QN107</f>
        <v>542.24076923076927</v>
      </c>
      <c r="DL20" s="191">
        <f>'Volume Data Entry'!QV35</f>
        <v>411.45641025641027</v>
      </c>
      <c r="DM20" s="191">
        <f>'Volume Data Entry'!QV107</f>
        <v>626.00153846153853</v>
      </c>
      <c r="DN20" s="774">
        <f t="shared" si="3"/>
        <v>716.61991452991458</v>
      </c>
      <c r="DO20" s="774">
        <f t="shared" si="4"/>
        <v>738.58058404558415</v>
      </c>
      <c r="DP20" s="774">
        <f t="shared" si="5"/>
        <v>692.68632241215585</v>
      </c>
      <c r="DQ20" s="774">
        <f t="shared" si="6"/>
        <v>621.26425648939539</v>
      </c>
      <c r="DR20" s="191">
        <f>'Volume Data Entry'!RT35</f>
        <v>82.291282051282053</v>
      </c>
      <c r="DS20" s="191">
        <f>'Volume Data Entry'!RT107</f>
        <v>4.4084615384615384</v>
      </c>
      <c r="DT20" s="774">
        <f>'Volume Data Entry'!SB35</f>
        <v>0</v>
      </c>
      <c r="DU20" s="774">
        <f>'Volume Data Entry'!SB107</f>
        <v>0</v>
      </c>
      <c r="DV20" s="774">
        <f>'Volume Data Entry'!SJ35</f>
        <v>0</v>
      </c>
      <c r="DW20" s="774">
        <f>'Volume Data Entry'!SJ107</f>
        <v>0</v>
      </c>
      <c r="DX20" s="191">
        <f>'Volume Data Entry'!SR39</f>
        <v>0</v>
      </c>
      <c r="DY20" s="191">
        <f>'Volume Data Entry'!SR107</f>
        <v>0</v>
      </c>
      <c r="DZ20" s="774">
        <f>'Volume Data Entry'!SZ35</f>
        <v>0</v>
      </c>
      <c r="EA20" s="774">
        <f>'Volume Data Entry'!SZ107</f>
        <v>24.981282051282051</v>
      </c>
      <c r="EB20" s="774">
        <f>'Volume Data Entry'!TH35</f>
        <v>0</v>
      </c>
      <c r="EC20" s="774">
        <f>'Volume Data Entry'!TH107</f>
        <v>111.68102564102564</v>
      </c>
    </row>
    <row r="21" spans="1:138">
      <c r="A21" s="189" t="s">
        <v>34</v>
      </c>
      <c r="B21" s="190">
        <f>'Volume Data Entry'!H35</f>
        <v>61.008000000000003</v>
      </c>
      <c r="C21" s="190">
        <f>'Volume Data Entry'!H96</f>
        <v>0</v>
      </c>
      <c r="D21" s="190">
        <f>'Volume Data Entry'!P35</f>
        <v>0</v>
      </c>
      <c r="E21" s="190">
        <f>'Volume Data Entry'!P96</f>
        <v>0</v>
      </c>
      <c r="F21" s="190">
        <f>'Volume Data Entry'!X35</f>
        <v>0</v>
      </c>
      <c r="G21" s="190">
        <f>'Volume Data Entry'!X96</f>
        <v>153.36733333333333</v>
      </c>
      <c r="H21" s="190">
        <f>'Volume Data Entry'!AF35</f>
        <v>0</v>
      </c>
      <c r="I21" s="190">
        <f>'Volume Data Entry'!AF96</f>
        <v>0</v>
      </c>
      <c r="J21" s="190">
        <f>'Volume Data Entry'!AN35</f>
        <v>0</v>
      </c>
      <c r="K21" s="190">
        <f>'Volume Data Entry'!AN96</f>
        <v>0</v>
      </c>
      <c r="L21" s="190">
        <f>'Volume Data Entry'!AV35</f>
        <v>0</v>
      </c>
      <c r="M21" s="190">
        <f>'Volume Data Entry'!AV96</f>
        <v>0</v>
      </c>
      <c r="N21" s="190">
        <f>'Volume Data Entry'!BD35</f>
        <v>69.481333333333339</v>
      </c>
      <c r="O21" s="190">
        <f>'Volume Data Entry'!BD96</f>
        <v>0</v>
      </c>
      <c r="P21" s="190">
        <f>'Volume Data Entry'!BL35</f>
        <v>66.091999999999999</v>
      </c>
      <c r="Q21" s="190">
        <f>'Volume Data Entry'!BL96</f>
        <v>341.47533333333337</v>
      </c>
      <c r="R21" s="190">
        <f>'Volume Data Entry'!BT35</f>
        <v>13.557333333333334</v>
      </c>
      <c r="S21" s="190">
        <f>'Volume Data Entry'!BT96</f>
        <v>527.04133333333334</v>
      </c>
      <c r="T21" s="190">
        <f>'Volume Data Entry'!CB35</f>
        <v>0</v>
      </c>
      <c r="U21" s="190">
        <f>'Volume Data Entry'!CB96</f>
        <v>0</v>
      </c>
      <c r="V21" s="190">
        <f>'Volume Data Entry'!CJ35</f>
        <v>0</v>
      </c>
      <c r="W21" s="190">
        <f>'Volume Data Entry'!CJ96</f>
        <v>0</v>
      </c>
      <c r="X21" s="190">
        <f>'Volume Data Entry'!CR35</f>
        <v>44.061333333333337</v>
      </c>
      <c r="Y21" s="190">
        <f>'Volume Data Entry'!CR96</f>
        <v>0</v>
      </c>
      <c r="Z21" s="190">
        <f>'Volume Data Entry'!CZ35</f>
        <v>66.091999999999999</v>
      </c>
      <c r="AA21" s="190">
        <f>'Volume Data Entry'!CZ96</f>
        <v>0</v>
      </c>
      <c r="AB21" s="190">
        <f>'Volume Data Entry'!DH35</f>
        <v>49.145333333333333</v>
      </c>
      <c r="AC21" s="190">
        <f>'Volume Data Entry'!DH96</f>
        <v>0</v>
      </c>
      <c r="AD21" s="190">
        <f>'Volume Data Entry'!DP35</f>
        <v>4592.5466666666671</v>
      </c>
      <c r="AE21" s="190">
        <f>'Volume Data Entry'!DP96</f>
        <v>0</v>
      </c>
      <c r="AF21" s="190">
        <f>'Volume Data Entry'!DX35</f>
        <v>0</v>
      </c>
      <c r="AG21" s="190">
        <f>'Volume Data Entry'!DX96</f>
        <v>0</v>
      </c>
      <c r="AH21" s="190">
        <f>'Volume Data Entry'!EF35</f>
        <v>0</v>
      </c>
      <c r="AI21" s="190">
        <f>'Volume Data Entry'!EF96</f>
        <v>0</v>
      </c>
      <c r="AJ21" s="190">
        <f>'Volume Data Entry'!EN35</f>
        <v>0</v>
      </c>
      <c r="AK21" s="190">
        <f>'Volume Data Entry'!EN96</f>
        <v>0</v>
      </c>
      <c r="AL21" s="190">
        <f>'Volume Data Entry'!EV35</f>
        <v>0</v>
      </c>
      <c r="AM21" s="190">
        <f>'Volume Data Entry'!EV96</f>
        <v>0</v>
      </c>
      <c r="AN21" s="190">
        <f>'Volume Data Entry'!FD35</f>
        <v>0</v>
      </c>
      <c r="AO21" s="190">
        <f>'Volume Data Entry'!FD96</f>
        <v>0</v>
      </c>
      <c r="AP21" s="190">
        <f>'Volume Data Entry'!FL35</f>
        <v>0</v>
      </c>
      <c r="AQ21" s="190">
        <f>'Volume Data Entry'!FL96</f>
        <v>0</v>
      </c>
      <c r="AR21" s="190">
        <f>'Volume Data Entry'!FT35</f>
        <v>0</v>
      </c>
      <c r="AS21" s="190">
        <f>'Volume Data Entry'!FT96</f>
        <v>0</v>
      </c>
      <c r="AT21" s="190">
        <f>'Volume Data Entry'!GB35</f>
        <v>0</v>
      </c>
      <c r="AU21" s="190">
        <f>'Volume Data Entry'!GB96</f>
        <v>0</v>
      </c>
      <c r="AV21" s="190">
        <f>'Volume Data Entry'!GJ35</f>
        <v>0</v>
      </c>
      <c r="AW21" s="190">
        <f>'Volume Data Entry'!GDJ6</f>
        <v>0</v>
      </c>
      <c r="AX21" s="190">
        <f>'Volume Data Entry'!GR35</f>
        <v>108.45866666666667</v>
      </c>
      <c r="AY21" s="191">
        <f>'Volume Data Entry'!GR96</f>
        <v>0</v>
      </c>
      <c r="AZ21" s="190">
        <f>'Volume Data Entry'!GZ35</f>
        <v>0</v>
      </c>
      <c r="BA21" s="191">
        <f>'Volume Data Entry'!GZ96</f>
        <v>0</v>
      </c>
      <c r="BB21" s="190">
        <f>'Volume Data Entry'!HH35</f>
        <v>0</v>
      </c>
      <c r="BC21" s="191">
        <f>'Volume Data Entry'!HH96</f>
        <v>0</v>
      </c>
      <c r="BD21" s="190">
        <f>'Volume Data Entry'!HP35</f>
        <v>0</v>
      </c>
      <c r="BE21" s="191">
        <f>'Volume Data Entry'!HP96</f>
        <v>0</v>
      </c>
      <c r="BF21" s="190">
        <f>'Volume Data Entry'!HX35</f>
        <v>0</v>
      </c>
      <c r="BG21" s="191">
        <f>'Volume Data Entry'!HX96</f>
        <v>0</v>
      </c>
      <c r="BH21" s="190">
        <f>'Volume Data Entry'!IF35</f>
        <v>0</v>
      </c>
      <c r="BI21" s="191">
        <f>'Volume Data Entry'!IF96</f>
        <v>0</v>
      </c>
      <c r="BJ21" s="190">
        <f>'Volume Data Entry'!IN35</f>
        <v>0</v>
      </c>
      <c r="BK21" s="191">
        <f>'Volume Data Entry'!IN96</f>
        <v>0</v>
      </c>
      <c r="BL21" s="190">
        <f>'Volume Data Entry'!IV35</f>
        <v>76.260000000000005</v>
      </c>
      <c r="BM21" s="191">
        <f>'Volume Data Entry'!IV96</f>
        <v>123.71066666666667</v>
      </c>
      <c r="BN21" s="190">
        <f>'Volume Data Entry'!JD35</f>
        <v>153.36733333333333</v>
      </c>
      <c r="BO21" s="191">
        <f>'Volume Data Entry'!JD96</f>
        <v>161.84066666666666</v>
      </c>
      <c r="BP21" s="190">
        <f>'Volume Data Entry'!JL35</f>
        <v>155.90933333333334</v>
      </c>
      <c r="BQ21" s="191">
        <f>'Volume Data Entry'!JL96</f>
        <v>166.07733333333334</v>
      </c>
      <c r="BR21" s="190">
        <f>'Volume Data Entry'!JT35</f>
        <v>546.53000000000009</v>
      </c>
      <c r="BS21" s="191">
        <f>'Volume Data Entry'!JT96</f>
        <v>227.93266666666668</v>
      </c>
      <c r="BT21" s="190">
        <f>'Volume Data Entry'!KB35</f>
        <v>43.214000000000006</v>
      </c>
      <c r="BU21" s="191">
        <f>'Volume Data Entry'!KB96</f>
        <v>121.16866666666667</v>
      </c>
      <c r="BV21" s="190">
        <f>'Volume Data Entry'!KJ35</f>
        <v>114.39</v>
      </c>
      <c r="BW21" s="191">
        <f>'Volume Data Entry'!KJ96</f>
        <v>228.78</v>
      </c>
      <c r="BX21" s="190">
        <f>'Volume Data Entry'!KR35</f>
        <v>0</v>
      </c>
      <c r="BY21" s="191">
        <f>'Volume Data Entry'!KR96</f>
        <v>0</v>
      </c>
      <c r="BZ21" s="190">
        <f>'Volume Data Entry'!KZ35</f>
        <v>0</v>
      </c>
      <c r="CA21" s="191">
        <f>'Volume Data Entry'!KZ96</f>
        <v>0</v>
      </c>
      <c r="CB21" s="190">
        <f>'Volume Data Entry'!LH35</f>
        <v>0</v>
      </c>
      <c r="CC21" s="191">
        <f>'Volume Data Entry'!LH96</f>
        <v>0</v>
      </c>
      <c r="CD21" s="190">
        <f>'Volume Data Entry'!LP35</f>
        <v>0</v>
      </c>
      <c r="CE21" s="191">
        <f>'Volume Data Entry'!LP96</f>
        <v>0</v>
      </c>
      <c r="CF21" s="190">
        <f>'Volume Data Entry'!LX35</f>
        <v>0</v>
      </c>
      <c r="CG21" s="757">
        <f>'Volume Data Entry'!LX96</f>
        <v>0</v>
      </c>
      <c r="CH21" s="759">
        <f>'Volume Data Entry'!MF35</f>
        <v>0</v>
      </c>
      <c r="CI21" s="757">
        <f>'Volume Data Entry'!MF96</f>
        <v>8.4733333333333345</v>
      </c>
      <c r="CJ21" s="759">
        <f>'Volume Data Entry'!MN35</f>
        <v>41.519333333333336</v>
      </c>
      <c r="CK21" s="757">
        <f>'Volume Data Entry'!MN96</f>
        <v>48.298000000000002</v>
      </c>
      <c r="CL21" s="759">
        <f>'Volume Data Entry'!MV35</f>
        <v>313.51333333333338</v>
      </c>
      <c r="CM21" s="759">
        <f>'Volume Data Entry'!MV96</f>
        <v>27.962000000000003</v>
      </c>
      <c r="CN21" s="191">
        <f>'Volume Data Entry'!ND39</f>
        <v>185.566</v>
      </c>
      <c r="CO21" s="191">
        <f>'Volume Data Entry'!ND111</f>
        <v>274.536</v>
      </c>
      <c r="CP21" s="767">
        <f>'Volume Data Entry'!NL39</f>
        <v>155.90933333333334</v>
      </c>
      <c r="CQ21" s="767">
        <f>'Volume Data Entry'!NL111</f>
        <v>91.512</v>
      </c>
      <c r="CR21" s="767">
        <f>'Volume Data Entry'!NT39</f>
        <v>34.740666666666669</v>
      </c>
      <c r="CS21" s="767">
        <f>'Volume Data Entry'!NT111</f>
        <v>16.099333333333334</v>
      </c>
      <c r="CT21" s="191">
        <f>'Volume Data Entry'!OB39</f>
        <v>12.71</v>
      </c>
      <c r="CU21" s="191">
        <f>'Volume Data Entry'!OB111</f>
        <v>0</v>
      </c>
      <c r="CV21" s="767">
        <f>'Volume Data Entry'!OJ39</f>
        <v>0</v>
      </c>
      <c r="CW21" s="767">
        <f>'Volume Data Entry'!OJ111</f>
        <v>0</v>
      </c>
      <c r="CX21" s="767">
        <f>'Volume Data Entry'!OR39</f>
        <v>0</v>
      </c>
      <c r="CY21" s="767">
        <f>'Volume Data Entry'!OR111</f>
        <v>0</v>
      </c>
      <c r="CZ21" s="191">
        <f>'Volume Data Entry'!OZ39</f>
        <v>0</v>
      </c>
      <c r="DA21" s="191">
        <f>'Volume Data Entry'!OZ111</f>
        <v>0</v>
      </c>
      <c r="DB21" s="774">
        <f>'Volume Data Entry'!PH39</f>
        <v>0</v>
      </c>
      <c r="DC21" s="774">
        <f>'Volume Data Entry'!PH111</f>
        <v>0</v>
      </c>
      <c r="DD21" s="774">
        <f>'Volume Data Entry'!PP39</f>
        <v>24.572666666666667</v>
      </c>
      <c r="DE21" s="774">
        <f>'Volume Data Entry'!PP111</f>
        <v>0</v>
      </c>
      <c r="DF21" s="191">
        <f>'Volume Data Entry'!PX39</f>
        <v>27.114666666666668</v>
      </c>
      <c r="DG21" s="191">
        <f>'Volume Data Entry'!PX111</f>
        <v>92.359333333333339</v>
      </c>
      <c r="DH21" s="774">
        <f>'Volume Data Entry'!QF39</f>
        <v>82.191333333333333</v>
      </c>
      <c r="DI21" s="774">
        <f>'Volume Data Entry'!QF111</f>
        <v>24.572666666666667</v>
      </c>
      <c r="DJ21" s="774">
        <f>'Volume Data Entry'!QN39</f>
        <v>188.108</v>
      </c>
      <c r="DK21" s="774">
        <f>'Volume Data Entry'!QN111</f>
        <v>94.054000000000002</v>
      </c>
      <c r="DL21" s="191">
        <f>'Volume Data Entry'!QV39</f>
        <v>38.977333333333334</v>
      </c>
      <c r="DM21" s="191">
        <f>'Volume Data Entry'!QV111</f>
        <v>71.176000000000002</v>
      </c>
      <c r="DN21" s="774">
        <f t="shared" si="3"/>
        <v>83.179888888888897</v>
      </c>
      <c r="DO21" s="774">
        <f t="shared" si="4"/>
        <v>83.344648148148153</v>
      </c>
      <c r="DP21" s="774">
        <f t="shared" si="5"/>
        <v>93.139978395061732</v>
      </c>
      <c r="DQ21" s="774">
        <f t="shared" si="6"/>
        <v>77.311974794238694</v>
      </c>
      <c r="DR21" s="191">
        <f>'Volume Data Entry'!RT39</f>
        <v>1.6946666666666668</v>
      </c>
      <c r="DS21" s="191">
        <f>'Volume Data Entry'!RT111</f>
        <v>0</v>
      </c>
      <c r="DT21" s="774">
        <f>'Volume Data Entry'!SB39</f>
        <v>0</v>
      </c>
      <c r="DU21" s="774">
        <f>'Volume Data Entry'!SB111</f>
        <v>0</v>
      </c>
      <c r="DV21" s="774">
        <f>'Volume Data Entry'!SJ39</f>
        <v>5.9313333333333338</v>
      </c>
      <c r="DW21" s="774">
        <f>'Volume Data Entry'!SJ111</f>
        <v>0</v>
      </c>
      <c r="DX21" s="191">
        <f>'Volume Data Entry'!SR39</f>
        <v>0</v>
      </c>
      <c r="DY21" s="191">
        <f>'Volume Data Entry'!SR111</f>
        <v>0</v>
      </c>
      <c r="DZ21" s="774">
        <f>'Volume Data Entry'!SZ39</f>
        <v>0</v>
      </c>
      <c r="EA21" s="774">
        <f>'Volume Data Entry'!SZ111</f>
        <v>0</v>
      </c>
      <c r="EB21" s="774">
        <f>'Volume Data Entry'!TH39</f>
        <v>0</v>
      </c>
      <c r="EC21" s="774">
        <f>'Volume Data Entry'!TH111</f>
        <v>0</v>
      </c>
    </row>
    <row r="22" spans="1:138">
      <c r="A22" s="189" t="s">
        <v>35</v>
      </c>
      <c r="B22" s="190">
        <f>'Volume Data Entry'!H36</f>
        <v>12.05</v>
      </c>
      <c r="C22" s="190">
        <f>'Volume Data Entry'!H97</f>
        <v>13.55625</v>
      </c>
      <c r="D22" s="190">
        <f>'Volume Data Entry'!P36</f>
        <v>8.2843750000000007</v>
      </c>
      <c r="E22" s="190">
        <f>'Volume Data Entry'!P97</f>
        <v>0</v>
      </c>
      <c r="F22" s="190">
        <f>'Volume Data Entry'!X36</f>
        <v>0</v>
      </c>
      <c r="G22" s="190">
        <f>'Volume Data Entry'!X97</f>
        <v>7.53125</v>
      </c>
      <c r="H22" s="190">
        <f>'Volume Data Entry'!AF36</f>
        <v>0</v>
      </c>
      <c r="I22" s="190">
        <f>'Volume Data Entry'!AF97</f>
        <v>0</v>
      </c>
      <c r="J22" s="190">
        <f>'Volume Data Entry'!AN36</f>
        <v>0</v>
      </c>
      <c r="K22" s="190">
        <f>'Volume Data Entry'!AN97</f>
        <v>0</v>
      </c>
      <c r="L22" s="190">
        <f>'Volume Data Entry'!AV36</f>
        <v>0</v>
      </c>
      <c r="M22" s="190">
        <f>'Volume Data Entry'!AV97</f>
        <v>0</v>
      </c>
      <c r="N22" s="190">
        <f>'Volume Data Entry'!BD36</f>
        <v>205.60312500000001</v>
      </c>
      <c r="O22" s="190">
        <f>'Volume Data Entry'!BD97</f>
        <v>0</v>
      </c>
      <c r="P22" s="190">
        <f>'Volume Data Entry'!BL36</f>
        <v>543.75625000000002</v>
      </c>
      <c r="Q22" s="190">
        <f>'Volume Data Entry'!BL97</f>
        <v>103.93125000000001</v>
      </c>
      <c r="R22" s="190">
        <f>'Volume Data Entry'!BT36</f>
        <v>0</v>
      </c>
      <c r="S22" s="190">
        <f>'Volume Data Entry'!BT97</f>
        <v>924.08437500000002</v>
      </c>
      <c r="T22" s="190">
        <f>'Volume Data Entry'!CB36</f>
        <v>0</v>
      </c>
      <c r="U22" s="190">
        <f>'Volume Data Entry'!CB97</f>
        <v>0</v>
      </c>
      <c r="V22" s="190">
        <f>'Volume Data Entry'!CJ36</f>
        <v>0</v>
      </c>
      <c r="W22" s="190">
        <f>'Volume Data Entry'!CJ97</f>
        <v>0</v>
      </c>
      <c r="X22" s="190">
        <f>'Volume Data Entry'!CR36</f>
        <v>57.237500000000004</v>
      </c>
      <c r="Y22" s="190">
        <f>'Volume Data Entry'!CR97</f>
        <v>0</v>
      </c>
      <c r="Z22" s="190">
        <f>'Volume Data Entry'!CZ36</f>
        <v>543.75625000000002</v>
      </c>
      <c r="AA22" s="190">
        <f>'Volume Data Entry'!CZ97</f>
        <v>18.828125</v>
      </c>
      <c r="AB22" s="190">
        <f>'Volume Data Entry'!DH36</f>
        <v>0</v>
      </c>
      <c r="AC22" s="190">
        <f>'Volume Data Entry'!DH97</f>
        <v>0</v>
      </c>
      <c r="AD22" s="190">
        <f>'Volume Data Entry'!DP36</f>
        <v>0</v>
      </c>
      <c r="AE22" s="190">
        <f>'Volume Data Entry'!DP97</f>
        <v>0</v>
      </c>
      <c r="AF22" s="190">
        <f>'Volume Data Entry'!DX36</f>
        <v>0</v>
      </c>
      <c r="AG22" s="190">
        <f>'Volume Data Entry'!DX97</f>
        <v>0</v>
      </c>
      <c r="AH22" s="190">
        <f>'Volume Data Entry'!EF36</f>
        <v>0</v>
      </c>
      <c r="AI22" s="190">
        <f>'Volume Data Entry'!EF97</f>
        <v>21.087500000000002</v>
      </c>
      <c r="AJ22" s="190">
        <f>'Volume Data Entry'!EN36</f>
        <v>0</v>
      </c>
      <c r="AK22" s="190">
        <f>'Volume Data Entry'!EN97</f>
        <v>27.112500000000001</v>
      </c>
      <c r="AL22" s="190">
        <f>'Volume Data Entry'!EV36</f>
        <v>44.434375000000003</v>
      </c>
      <c r="AM22" s="190">
        <f>'Volume Data Entry'!EV97</f>
        <v>633.37812500000007</v>
      </c>
      <c r="AN22" s="190">
        <f>'Volume Data Entry'!FD36</f>
        <v>0</v>
      </c>
      <c r="AO22" s="190">
        <f>'Volume Data Entry'!FD97</f>
        <v>0</v>
      </c>
      <c r="AP22" s="190">
        <f>'Volume Data Entry'!FL36</f>
        <v>0</v>
      </c>
      <c r="AQ22" s="190">
        <f>'Volume Data Entry'!FL97</f>
        <v>0</v>
      </c>
      <c r="AR22" s="190">
        <f>'Volume Data Entry'!FT36</f>
        <v>0</v>
      </c>
      <c r="AS22" s="190">
        <f>'Volume Data Entry'!FT97</f>
        <v>0</v>
      </c>
      <c r="AT22" s="190">
        <f>'Volume Data Entry'!GB36</f>
        <v>0</v>
      </c>
      <c r="AU22" s="190">
        <f>'Volume Data Entry'!GB97</f>
        <v>0</v>
      </c>
      <c r="AV22" s="190">
        <f>'Volume Data Entry'!GJ36</f>
        <v>0</v>
      </c>
      <c r="AW22" s="190">
        <f>'Volume Data Entry'!GJ97</f>
        <v>0</v>
      </c>
      <c r="AX22" s="190">
        <f>'Volume Data Entry'!GR36</f>
        <v>543.75625000000002</v>
      </c>
      <c r="AY22" s="191">
        <f>'Volume Data Entry'!GR97</f>
        <v>0</v>
      </c>
      <c r="AZ22" s="190">
        <f>'Volume Data Entry'!GZ36</f>
        <v>0</v>
      </c>
      <c r="BA22" s="191">
        <f>'Volume Data Entry'!GZ97</f>
        <v>0</v>
      </c>
      <c r="BB22" s="190">
        <f>'Volume Data Entry'!HH36</f>
        <v>0</v>
      </c>
      <c r="BC22" s="191">
        <f>'Volume Data Entry'!HH97</f>
        <v>0</v>
      </c>
      <c r="BD22" s="190">
        <f>'Volume Data Entry'!HP36</f>
        <v>0</v>
      </c>
      <c r="BE22" s="191">
        <f>'Volume Data Entry'!HP97</f>
        <v>0</v>
      </c>
      <c r="BF22" s="190">
        <f>'Volume Data Entry'!HX36</f>
        <v>0</v>
      </c>
      <c r="BG22" s="191">
        <f>'Volume Data Entry'!HX97</f>
        <v>0</v>
      </c>
      <c r="BH22" s="190">
        <f>'Volume Data Entry'!IF36</f>
        <v>0</v>
      </c>
      <c r="BI22" s="191">
        <f>'Volume Data Entry'!IF97</f>
        <v>4.5187500000000007</v>
      </c>
      <c r="BJ22" s="190">
        <f>'Volume Data Entry'!IN36</f>
        <v>2.2593750000000004</v>
      </c>
      <c r="BK22" s="191">
        <f>'Volume Data Entry'!IN97</f>
        <v>12.803125000000001</v>
      </c>
      <c r="BL22" s="190">
        <f>'Volume Data Entry'!IV36</f>
        <v>323.84375</v>
      </c>
      <c r="BM22" s="191">
        <f>'Volume Data Entry'!IV97</f>
        <v>257.56875000000002</v>
      </c>
      <c r="BN22" s="190">
        <f>'Volume Data Entry'!JD36</f>
        <v>1007.6812500000001</v>
      </c>
      <c r="BO22" s="191">
        <f>'Volume Data Entry'!JD97</f>
        <v>21.087500000000002</v>
      </c>
      <c r="BP22" s="190">
        <f>'Volume Data Entry'!JL36</f>
        <v>15.0625</v>
      </c>
      <c r="BQ22" s="191">
        <f>'Volume Data Entry'!JL97</f>
        <v>12.05</v>
      </c>
      <c r="BR22" s="190">
        <f>'Volume Data Entry'!JS36</f>
        <v>864.58750000000009</v>
      </c>
      <c r="BS22" s="191">
        <f>'Volume Data Entry'!JT97</f>
        <v>262.08750000000003</v>
      </c>
      <c r="BT22" s="190">
        <f>'Volume Data Entry'!KA36</f>
        <v>158.15625</v>
      </c>
      <c r="BU22" s="191">
        <f>'Volume Data Entry'!KB97</f>
        <v>243.25937500000001</v>
      </c>
      <c r="BV22" s="190">
        <f>'Volume Data Entry'!KJ36</f>
        <v>131.04375000000002</v>
      </c>
      <c r="BW22" s="191">
        <f>'Volume Data Entry'!KI97</f>
        <v>27.865625000000001</v>
      </c>
      <c r="BX22" s="190">
        <f>'Volume Data Entry'!KR36</f>
        <v>0</v>
      </c>
      <c r="BY22" s="191">
        <f>'Volume Data Entry'!KR97</f>
        <v>0</v>
      </c>
      <c r="BZ22" s="190">
        <f>'Volume Data Entry'!KZ36</f>
        <v>0</v>
      </c>
      <c r="CA22" s="191">
        <f>'Volume Data Entry'!KZ97</f>
        <v>0</v>
      </c>
      <c r="CB22" s="190">
        <f>'Volume Data Entry'!LH36</f>
        <v>8.2843750000000007</v>
      </c>
      <c r="CC22" s="191">
        <f>'Volume Data Entry'!LH97</f>
        <v>0</v>
      </c>
      <c r="CD22" s="190">
        <f>'Volume Data Entry'!LP36</f>
        <v>0</v>
      </c>
      <c r="CE22" s="191">
        <f>'Volume Data Entry'!LP97</f>
        <v>0</v>
      </c>
      <c r="CF22" s="190">
        <f>'Volume Data Entry'!LX36</f>
        <v>0</v>
      </c>
      <c r="CG22" s="757">
        <f>'Volume Data Entry'!LX97</f>
        <v>9.0375000000000014</v>
      </c>
      <c r="CH22" s="759">
        <f>'Volume Data Entry'!MF36</f>
        <v>18.828125</v>
      </c>
      <c r="CI22" s="757">
        <f>'Volume Data Entry'!MF97</f>
        <v>19.581250000000001</v>
      </c>
      <c r="CJ22" s="759">
        <f>'Volume Data Entry'!MN36</f>
        <v>30.125</v>
      </c>
      <c r="CK22" s="757">
        <f>'Volume Data Entry'!MN97</f>
        <v>51.212500000000006</v>
      </c>
      <c r="CL22" s="759">
        <f>'Volume Data Entry'!MV36</f>
        <v>61.003125000000004</v>
      </c>
      <c r="CM22" s="759">
        <f>'Volume Data Entry'!MV97</f>
        <v>1.5062500000000001</v>
      </c>
      <c r="CN22" s="810">
        <f>'Volume Data Entry'!ND40</f>
        <v>98.659375000000011</v>
      </c>
      <c r="CO22" s="191">
        <f>'Volume Data Entry'!ND112</f>
        <v>133.30312499999999</v>
      </c>
      <c r="CP22" s="767">
        <f>'Volume Data Entry'!NL40</f>
        <v>21.087500000000002</v>
      </c>
      <c r="CQ22" s="767">
        <f>'Volume Data Entry'!NL112</f>
        <v>161.921875</v>
      </c>
      <c r="CR22" s="767">
        <f>'Volume Data Entry'!NT40</f>
        <v>51.965625000000003</v>
      </c>
      <c r="CS22" s="767">
        <f>'Volume Data Entry'!NT112</f>
        <v>0.75312500000000004</v>
      </c>
      <c r="CT22" s="191">
        <f>'Volume Data Entry'!OB40</f>
        <v>6.0250000000000004</v>
      </c>
      <c r="CU22" s="191">
        <f>'Volume Data Entry'!OB112</f>
        <v>24.1</v>
      </c>
      <c r="CV22" s="767">
        <f>'Volume Data Entry'!OJ40</f>
        <v>5.2718750000000005</v>
      </c>
      <c r="CW22" s="767">
        <f>'Volume Data Entry'!OJ112</f>
        <v>0</v>
      </c>
      <c r="CX22" s="767">
        <f>'Volume Data Entry'!OR40</f>
        <v>0</v>
      </c>
      <c r="CY22" s="767">
        <f>'Volume Data Entry'!OR112</f>
        <v>0</v>
      </c>
      <c r="CZ22" s="191">
        <f>'Volume Data Entry'!OZ40</f>
        <v>0</v>
      </c>
      <c r="DA22" s="191">
        <f>'Volume Data Entry'!OZ112</f>
        <v>0</v>
      </c>
      <c r="DB22" s="774">
        <f>'Volume Data Entry'!PH40</f>
        <v>0</v>
      </c>
      <c r="DC22" s="774">
        <f>'Volume Data Entry'!PH112</f>
        <v>0</v>
      </c>
      <c r="DD22" s="774">
        <f>'Volume Data Entry'!PP40</f>
        <v>0</v>
      </c>
      <c r="DE22" s="774">
        <f>'Volume Data Entry'!PP112</f>
        <v>0</v>
      </c>
      <c r="DF22" s="191">
        <f>'Volume Data Entry'!PX40</f>
        <v>0</v>
      </c>
      <c r="DG22" s="191">
        <f>'Volume Data Entry'!PX112</f>
        <v>0</v>
      </c>
      <c r="DH22" s="774">
        <f>'Volume Data Entry'!QF40</f>
        <v>26.359375</v>
      </c>
      <c r="DI22" s="774">
        <f>'Volume Data Entry'!QF112</f>
        <v>87.362500000000011</v>
      </c>
      <c r="DJ22" s="774">
        <f>'Volume Data Entry'!QN40</f>
        <v>29.371875000000003</v>
      </c>
      <c r="DK22" s="774">
        <f>'Volume Data Entry'!QN112</f>
        <v>65.521875000000009</v>
      </c>
      <c r="DL22" s="191">
        <f>'Volume Data Entry'!QV40</f>
        <v>96.4</v>
      </c>
      <c r="DM22" s="191">
        <f>'Volume Data Entry'!QV112</f>
        <v>219.91250000000002</v>
      </c>
      <c r="DN22" s="774">
        <f t="shared" si="3"/>
        <v>87.488020833333337</v>
      </c>
      <c r="DO22" s="774">
        <f t="shared" si="4"/>
        <v>97.676128472222217</v>
      </c>
      <c r="DP22" s="774">
        <f t="shared" si="5"/>
        <v>99.395066550925932</v>
      </c>
      <c r="DQ22" s="774">
        <f t="shared" si="6"/>
        <v>111.06559847608024</v>
      </c>
      <c r="DR22" s="191">
        <f>'Volume Data Entry'!RT40</f>
        <v>6.0250000000000004</v>
      </c>
      <c r="DS22" s="191">
        <f>'Volume Data Entry'!RT112</f>
        <v>0</v>
      </c>
      <c r="DT22" s="774">
        <f>'Volume Data Entry'!SB40</f>
        <v>0</v>
      </c>
      <c r="DU22" s="774">
        <f>'Volume Data Entry'!SB112</f>
        <v>2.2593750000000004</v>
      </c>
      <c r="DV22" s="774">
        <f>'Volume Data Entry'!SJ40</f>
        <v>0</v>
      </c>
      <c r="DW22" s="774">
        <f>'Volume Data Entry'!SJ112</f>
        <v>10.543750000000001</v>
      </c>
      <c r="DX22" s="191">
        <f>'Volume Data Entry'!SR40</f>
        <v>0</v>
      </c>
      <c r="DY22" s="191">
        <f>'Volume Data Entry'!SR112</f>
        <v>0</v>
      </c>
      <c r="DZ22" s="774">
        <f>'Volume Data Entry'!SZ40</f>
        <v>0</v>
      </c>
      <c r="EA22" s="774">
        <f>'Volume Data Entry'!SZ112</f>
        <v>2.2593750000000004</v>
      </c>
      <c r="EB22" s="774">
        <f>'Volume Data Entry'!TH40</f>
        <v>0</v>
      </c>
      <c r="EC22" s="774">
        <f>'Volume Data Entry'!TH112</f>
        <v>2.2593750000000004</v>
      </c>
    </row>
    <row r="23" spans="1:138">
      <c r="A23" s="189" t="s">
        <v>37</v>
      </c>
      <c r="B23" s="190">
        <f>'Volume Data Entry'!H40</f>
        <v>276.185</v>
      </c>
      <c r="C23" s="190">
        <f>'Volume Data Entry'!H101</f>
        <v>56.147500000000001</v>
      </c>
      <c r="D23" s="190">
        <f>'Volume Data Entry'!P40</f>
        <v>0</v>
      </c>
      <c r="E23" s="190">
        <f>'Volume Data Entry'!P101</f>
        <v>10.6225</v>
      </c>
      <c r="F23" s="190">
        <f>'Volume Data Entry'!X40</f>
        <v>1919.6375</v>
      </c>
      <c r="G23" s="190">
        <f>'Volume Data Entry'!X101</f>
        <v>1048.5925</v>
      </c>
      <c r="H23" s="190">
        <f>'Volume Data Entry'!AF40</f>
        <v>71.322500000000005</v>
      </c>
      <c r="I23" s="190">
        <f>'Volume Data Entry'!AF101</f>
        <v>698.05000000000007</v>
      </c>
      <c r="J23" s="190">
        <f>'Volume Data Entry'!AN40</f>
        <v>1925.7075</v>
      </c>
      <c r="K23" s="190">
        <f>'Volume Data Entry'!AN101</f>
        <v>2648.0374999999999</v>
      </c>
      <c r="L23" s="190">
        <f>'Volume Data Entry'!AV40</f>
        <v>0</v>
      </c>
      <c r="M23" s="190">
        <f>'Volume Data Entry'!AV101</f>
        <v>1488.6675</v>
      </c>
      <c r="N23" s="190">
        <f>'Volume Data Entry'!BD40</f>
        <v>819.45</v>
      </c>
      <c r="O23" s="190">
        <f>'Volume Data Entry'!BD101</f>
        <v>0</v>
      </c>
      <c r="P23" s="190">
        <f>'Volume Data Entry'!BL40</f>
        <v>893.8075</v>
      </c>
      <c r="Q23" s="190">
        <f>'Volume Data Entry'!BL101</f>
        <v>470.42500000000001</v>
      </c>
      <c r="R23" s="190">
        <f>'Volume Data Entry'!BT40</f>
        <v>245.83500000000001</v>
      </c>
      <c r="S23" s="190">
        <f>'Volume Data Entry'!BT101</f>
        <v>437.04</v>
      </c>
      <c r="T23" s="190">
        <f>'Volume Data Entry'!CB40</f>
        <v>0</v>
      </c>
      <c r="U23" s="190">
        <f>'Volume Data Entry'!CB101</f>
        <v>0</v>
      </c>
      <c r="V23" s="190">
        <f>'Volume Data Entry'!CJ40</f>
        <v>0</v>
      </c>
      <c r="W23" s="190">
        <f>'Volume Data Entry'!CJ101</f>
        <v>0</v>
      </c>
      <c r="X23" s="190">
        <f>'Volume Data Entry'!CR40</f>
        <v>28.832500000000003</v>
      </c>
      <c r="Y23" s="190">
        <f>'Volume Data Entry'!CR101</f>
        <v>0</v>
      </c>
      <c r="Z23" s="190">
        <f>'Volume Data Entry'!CZ40</f>
        <v>893.8075</v>
      </c>
      <c r="AA23" s="190">
        <f>'Volume Data Entry'!CZ101</f>
        <v>625.21</v>
      </c>
      <c r="AB23" s="190">
        <f>'Volume Data Entry'!DH40</f>
        <v>270.11500000000001</v>
      </c>
      <c r="AC23" s="190">
        <f>'Volume Data Entry'!DH101</f>
        <v>0</v>
      </c>
      <c r="AD23" s="190">
        <f>'Volume Data Entry'!DP40</f>
        <v>12771.28</v>
      </c>
      <c r="AE23" s="190">
        <f>'Volume Data Entry'!DP101</f>
        <v>144.16249999999999</v>
      </c>
      <c r="AF23" s="190">
        <f>'Volume Data Entry'!DX40</f>
        <v>0</v>
      </c>
      <c r="AG23" s="190">
        <f>'Volume Data Entry'!DX101</f>
        <v>189.6875</v>
      </c>
      <c r="AH23" s="190">
        <f>'Volume Data Entry'!EF40</f>
        <v>0</v>
      </c>
      <c r="AI23" s="190">
        <f>'Volume Data Entry'!EF101</f>
        <v>283.77250000000004</v>
      </c>
      <c r="AJ23" s="190">
        <f>'Volume Data Entry'!EN40</f>
        <v>1359.68</v>
      </c>
      <c r="AK23" s="190">
        <f>'Volume Data Entry'!EN101</f>
        <v>869.52750000000003</v>
      </c>
      <c r="AL23" s="190">
        <f>'Volume Data Entry'!EV40</f>
        <v>561.47500000000002</v>
      </c>
      <c r="AM23" s="190">
        <f>'Volume Data Entry'!EV101</f>
        <v>611.55250000000001</v>
      </c>
      <c r="AN23" s="190">
        <f>'Volume Data Entry'!FD40</f>
        <v>0</v>
      </c>
      <c r="AO23" s="190">
        <f>'Volume Data Entry'!FD101</f>
        <v>0</v>
      </c>
      <c r="AP23" s="190">
        <f>'Volume Data Entry'!FL40</f>
        <v>0</v>
      </c>
      <c r="AQ23" s="190">
        <f>'Volume Data Entry'!FL101</f>
        <v>0</v>
      </c>
      <c r="AR23" s="190">
        <f>'Volume Data Entry'!FT40</f>
        <v>0</v>
      </c>
      <c r="AS23" s="190">
        <f>'Volume Data Entry'!FT101</f>
        <v>0</v>
      </c>
      <c r="AT23" s="190">
        <f>'Volume Data Entry'!GB40</f>
        <v>0</v>
      </c>
      <c r="AU23" s="190">
        <f>'Volume Data Entry'!GB101</f>
        <v>0</v>
      </c>
      <c r="AV23" s="190">
        <f>'Volume Data Entry'!GJ40</f>
        <v>0</v>
      </c>
      <c r="AW23" s="190">
        <f>'Volume Data Entry'!GJ101</f>
        <v>0</v>
      </c>
      <c r="AX23" s="190">
        <f>'Volume Data Entry'!GR40</f>
        <v>874.08</v>
      </c>
      <c r="AY23" s="191">
        <f>'Volume Data Entry'!GR101</f>
        <v>0</v>
      </c>
      <c r="AZ23" s="190">
        <f>'Volume Data Entry'!GZ40</f>
        <v>297.43</v>
      </c>
      <c r="BA23" s="191">
        <f>'Volume Data Entry'!GZ101</f>
        <v>1016.725</v>
      </c>
      <c r="BB23" s="190">
        <f>'Volume Data Entry'!HH40</f>
        <v>1417.345</v>
      </c>
      <c r="BC23" s="191">
        <f>'Volume Data Entry'!HH101</f>
        <v>1048.5925</v>
      </c>
      <c r="BD23" s="190">
        <f>'Volume Data Entry'!HP40</f>
        <v>97.12</v>
      </c>
      <c r="BE23" s="191">
        <f>'Volume Data Entry'!HP101</f>
        <v>452.21500000000003</v>
      </c>
      <c r="BF23" s="190">
        <f>'Volume Data Entry'!HX40</f>
        <v>861.94</v>
      </c>
      <c r="BG23" s="191">
        <f>'Volume Data Entry'!HX101</f>
        <v>816.41500000000008</v>
      </c>
      <c r="BH23" s="190">
        <f>'Volume Data Entry'!IF40</f>
        <v>341.4375</v>
      </c>
      <c r="BI23" s="191">
        <f>'Volume Data Entry'!IF101</f>
        <v>25.797499999999999</v>
      </c>
      <c r="BJ23" s="190">
        <f>'Volume Data Entry'!IN40</f>
        <v>264.04500000000002</v>
      </c>
      <c r="BK23" s="191">
        <f>'Volume Data Entry'!IN101</f>
        <v>725.36500000000001</v>
      </c>
      <c r="BL23" s="190">
        <f>'Volume Data Entry'!IV40</f>
        <v>695.01499999999999</v>
      </c>
      <c r="BM23" s="191">
        <f>'Volume Data Entry'!IV101</f>
        <v>1118.3975</v>
      </c>
      <c r="BN23" s="190">
        <f>'Volume Data Entry'!JD40</f>
        <v>649.49</v>
      </c>
      <c r="BO23" s="191">
        <f>'Volume Data Entry'!JD101</f>
        <v>264.04500000000002</v>
      </c>
      <c r="BP23" s="190">
        <f>'Volume Data Entry'!JL40</f>
        <v>135.0575</v>
      </c>
      <c r="BQ23" s="191">
        <f>'Volume Data Entry'!JL101</f>
        <v>270.11500000000001</v>
      </c>
      <c r="BR23" s="190">
        <f>'Volume Data Entry'!JT40</f>
        <v>473.46000000000004</v>
      </c>
      <c r="BS23" s="191">
        <f>'Volume Data Entry'!JT101</f>
        <v>230.66000000000003</v>
      </c>
      <c r="BT23" s="190">
        <f>'Volume Data Entry'!KB40</f>
        <v>270.11500000000001</v>
      </c>
      <c r="BU23" s="191">
        <f>'Volume Data Entry'!KB101</f>
        <v>497.74</v>
      </c>
      <c r="BV23" s="190">
        <f>'Volume Data Entry'!KJ40</f>
        <v>517.46749999999997</v>
      </c>
      <c r="BW23" s="191">
        <f>'Volume Data Entry'!KJ101</f>
        <v>731.43500000000006</v>
      </c>
      <c r="BX23" s="190">
        <f>'Volume Data Entry'!KR40</f>
        <v>0</v>
      </c>
      <c r="BY23" s="191">
        <f>'Volume Data Entry'!KR101</f>
        <v>10.6225</v>
      </c>
      <c r="BZ23" s="190">
        <f>'Volume Data Entry'!KZ40</f>
        <v>248.87</v>
      </c>
      <c r="CA23" s="191">
        <f>'Volume Data Entry'!KZ101</f>
        <v>150.23250000000002</v>
      </c>
      <c r="CB23" s="190">
        <f>'Volume Data Entry'!LH40</f>
        <v>737.505</v>
      </c>
      <c r="CC23" s="191">
        <f>'Volume Data Entry'!LH101</f>
        <v>86.497500000000002</v>
      </c>
      <c r="CD23" s="190">
        <f>'Volume Data Entry'!LP40</f>
        <v>362.6825</v>
      </c>
      <c r="CE23" s="191">
        <f>'Volume Data Entry'!LP101</f>
        <v>481.04750000000001</v>
      </c>
      <c r="CF23" s="190">
        <f>'Volume Data Entry'!LX40</f>
        <v>547.8175</v>
      </c>
      <c r="CG23" s="757">
        <f>'Volume Data Entry'!LX101</f>
        <v>1080.46</v>
      </c>
      <c r="CH23" s="759">
        <f>'Volume Data Entry'!MF40</f>
        <v>614.58749999999998</v>
      </c>
      <c r="CI23" s="757">
        <f>'Volume Data Entry'!MF101</f>
        <v>1094.1175000000001</v>
      </c>
      <c r="CJ23" s="759">
        <f>'Volume Data Entry'!MN40</f>
        <v>1318.7075</v>
      </c>
      <c r="CK23" s="757">
        <f>'Volume Data Entry'!MN101</f>
        <v>1053.145</v>
      </c>
      <c r="CL23" s="759">
        <f>'Volume Data Entry'!MV40</f>
        <v>443.11</v>
      </c>
      <c r="CM23" s="759">
        <f>'Volume Data Entry'!MV101</f>
        <v>620.65750000000003</v>
      </c>
      <c r="CN23" s="191">
        <f>'Volume Data Entry'!ND44</f>
        <v>198.79250000000002</v>
      </c>
      <c r="CO23" s="191">
        <f>'Volume Data Entry'!ND116</f>
        <v>335.36750000000001</v>
      </c>
      <c r="CP23" s="767">
        <f>'Volume Data Entry'!NL44</f>
        <v>106.22500000000001</v>
      </c>
      <c r="CQ23" s="767">
        <f>'Volume Data Entry'!NL116</f>
        <v>506.84500000000003</v>
      </c>
      <c r="CR23" s="767">
        <f>'Volume Data Entry'!NT44</f>
        <v>110.7775</v>
      </c>
      <c r="CS23" s="767">
        <f>'Volume Data Entry'!NT116</f>
        <v>13.657500000000001</v>
      </c>
      <c r="CT23" s="191">
        <f>'Volume Data Entry'!OB44</f>
        <v>22.762500000000003</v>
      </c>
      <c r="CU23" s="191">
        <f>'Volume Data Entry'!OB116</f>
        <v>30.35</v>
      </c>
      <c r="CV23" s="767">
        <f>'Volume Data Entry'!OJ44</f>
        <v>28.832500000000003</v>
      </c>
      <c r="CW23" s="767">
        <f>'Volume Data Entry'!OJ116</f>
        <v>0</v>
      </c>
      <c r="CX23" s="767">
        <f>'Volume Data Entry'!OR44</f>
        <v>60.7</v>
      </c>
      <c r="CY23" s="767">
        <f>'Volume Data Entry'!OR116</f>
        <v>71.322500000000005</v>
      </c>
      <c r="CZ23" s="191">
        <f>'Volume Data Entry'!OZ44</f>
        <v>0</v>
      </c>
      <c r="DA23" s="191">
        <f>'Volume Data Entry'!OZ116</f>
        <v>0</v>
      </c>
      <c r="DB23" s="774">
        <f>'Volume Data Entry'!PH44</f>
        <v>0</v>
      </c>
      <c r="DC23" s="774">
        <f>'Volume Data Entry'!PH116</f>
        <v>148.715</v>
      </c>
      <c r="DD23" s="774">
        <f>'Volume Data Entry'!PP44</f>
        <v>474.97750000000002</v>
      </c>
      <c r="DE23" s="774">
        <f>'Volume Data Entry'!PP116</f>
        <v>435.52250000000004</v>
      </c>
      <c r="DF23" s="191">
        <f>'Volume Data Entry'!PX44</f>
        <v>333.85</v>
      </c>
      <c r="DG23" s="191">
        <f>'Volume Data Entry'!PX116</f>
        <v>300.46500000000003</v>
      </c>
      <c r="DH23" s="774">
        <f>'Volume Data Entry'!QF44</f>
        <v>664.66500000000008</v>
      </c>
      <c r="DI23" s="774">
        <f>'Volume Data Entry'!QF116</f>
        <v>361.16500000000002</v>
      </c>
      <c r="DJ23" s="774">
        <f>'Volume Data Entry'!QN44</f>
        <v>285.29000000000002</v>
      </c>
      <c r="DK23" s="774">
        <f>'Volume Data Entry'!QN116</f>
        <v>130.505</v>
      </c>
      <c r="DL23" s="191">
        <f>'Volume Data Entry'!QV44</f>
        <v>473.46000000000004</v>
      </c>
      <c r="DM23" s="191">
        <f>'Volume Data Entry'!QV116</f>
        <v>78.91</v>
      </c>
      <c r="DN23" s="774">
        <f t="shared" si="3"/>
        <v>332.33250000000004</v>
      </c>
      <c r="DO23" s="774">
        <f t="shared" si="4"/>
        <v>276.94375000000002</v>
      </c>
      <c r="DP23" s="774">
        <f t="shared" si="5"/>
        <v>262.90687500000007</v>
      </c>
      <c r="DQ23" s="774">
        <f t="shared" si="6"/>
        <v>259.17635416666667</v>
      </c>
      <c r="DR23" s="191">
        <f>'Volume Data Entry'!RT44</f>
        <v>25.797499999999999</v>
      </c>
      <c r="DS23" s="191">
        <f>'Volume Data Entry'!RT116</f>
        <v>0</v>
      </c>
      <c r="DT23" s="774">
        <f>'Volume Data Entry'!SB44</f>
        <v>0</v>
      </c>
      <c r="DU23" s="774">
        <f>'Volume Data Entry'!SB116</f>
        <v>4.5525000000000002</v>
      </c>
      <c r="DV23" s="774">
        <f>'Volume Data Entry'!SJ44</f>
        <v>59.182500000000005</v>
      </c>
      <c r="DW23" s="774">
        <f>'Volume Data Entry'!SJ116</f>
        <v>128.98750000000001</v>
      </c>
      <c r="DX23" s="191">
        <f>'Volume Data Entry'!SR44</f>
        <v>163.89000000000001</v>
      </c>
      <c r="DY23" s="191">
        <f>'Volume Data Entry'!SR116</f>
        <v>427.935</v>
      </c>
      <c r="DZ23" s="774">
        <f>'Volume Data Entry'!SZ44</f>
        <v>207.89750000000001</v>
      </c>
      <c r="EA23" s="774">
        <f>'Volume Data Entry'!SZ116</f>
        <v>447.66250000000002</v>
      </c>
      <c r="EB23" s="774">
        <f>'Volume Data Entry'!TH44</f>
        <v>264.04500000000002</v>
      </c>
      <c r="EC23" s="774">
        <f>'Volume Data Entry'!TH116</f>
        <v>484.08250000000004</v>
      </c>
    </row>
    <row r="24" spans="1:138">
      <c r="A24" s="189" t="s">
        <v>38</v>
      </c>
      <c r="B24" s="190">
        <f>'Volume Data Entry'!H45</f>
        <v>410.29468354430378</v>
      </c>
      <c r="C24" s="190">
        <f>'Volume Data Entry'!H106</f>
        <v>398.43645569620253</v>
      </c>
      <c r="D24" s="190">
        <f>'Volume Data Entry'!P45</f>
        <v>0</v>
      </c>
      <c r="E24" s="190">
        <f>'Volume Data Entry'!P106</f>
        <v>103.75949367088607</v>
      </c>
      <c r="F24" s="190">
        <f>'Volume Data Entry'!X45</f>
        <v>621.3711392405063</v>
      </c>
      <c r="G24" s="190">
        <f>'Volume Data Entry'!X106</f>
        <v>2000.4830379746836</v>
      </c>
      <c r="H24" s="190">
        <f>'Volume Data Entry'!AF45</f>
        <v>192.69620253164558</v>
      </c>
      <c r="I24" s="190">
        <f>'Volume Data Entry'!AF106</f>
        <v>74.113924050632917</v>
      </c>
      <c r="J24" s="190">
        <f>'Volume Data Entry'!AN45</f>
        <v>623.74278481012664</v>
      </c>
      <c r="K24" s="190">
        <f>'Volume Data Entry'!AN106</f>
        <v>927.90632911392402</v>
      </c>
      <c r="L24" s="190">
        <f>'Volume Data Entry'!AV45</f>
        <v>0</v>
      </c>
      <c r="M24" s="190">
        <f>'Volume Data Entry'!AV106</f>
        <v>827.70430379746836</v>
      </c>
      <c r="N24" s="190">
        <f>'Volume Data Entry'!BD45</f>
        <v>155.34278481012657</v>
      </c>
      <c r="O24" s="190">
        <f>'Volume Data Entry'!BD106</f>
        <v>0</v>
      </c>
      <c r="P24" s="190">
        <f>'Volume Data Entry'!BL45</f>
        <v>1149.6551898734178</v>
      </c>
      <c r="Q24" s="190">
        <f>'Volume Data Entry'!BL106</f>
        <v>168.38683544303797</v>
      </c>
      <c r="R24" s="190">
        <f>'Volume Data Entry'!BT45</f>
        <v>80.043037974683543</v>
      </c>
      <c r="S24" s="190">
        <f>'Volume Data Entry'!BT106</f>
        <v>332.03037974683542</v>
      </c>
      <c r="T24" s="190">
        <f>'Volume Data Entry'!CB45</f>
        <v>0</v>
      </c>
      <c r="U24" s="190">
        <f>'Volume Data Entry'!CB106</f>
        <v>0</v>
      </c>
      <c r="V24" s="190">
        <f>'Volume Data Entry'!CJ45</f>
        <v>0</v>
      </c>
      <c r="W24" s="190">
        <f>'Volume Data Entry'!CJ106</f>
        <v>0</v>
      </c>
      <c r="X24" s="190">
        <f>'Volume Data Entry'!CR45</f>
        <v>170.75848101265822</v>
      </c>
      <c r="Y24" s="190">
        <f>'Volume Data Entry'!CR106</f>
        <v>0</v>
      </c>
      <c r="Z24" s="190">
        <f>'Volume Data Entry'!CZ45</f>
        <v>1149.6551898734178</v>
      </c>
      <c r="AA24" s="190">
        <f>'Volume Data Entry'!CZ106</f>
        <v>168.38683544303797</v>
      </c>
      <c r="AB24" s="190">
        <f>'Volume Data Entry'!DH45</f>
        <v>603.58379746835442</v>
      </c>
      <c r="AC24" s="190">
        <f>'Volume Data Entry'!DH106</f>
        <v>0</v>
      </c>
      <c r="AD24" s="190">
        <f>'Volume Data Entry'!DP45</f>
        <v>3305.4810126582279</v>
      </c>
      <c r="AE24" s="190">
        <f>'Volume Data Entry'!DP106</f>
        <v>369.97670886075952</v>
      </c>
      <c r="AF24" s="190">
        <f>'Volume Data Entry'!DX45</f>
        <v>0</v>
      </c>
      <c r="AG24" s="190">
        <f>'Volume Data Entry'!DX106</f>
        <v>107.90987341772151</v>
      </c>
      <c r="AH24" s="190">
        <f>'Volume Data Entry'!EF45</f>
        <v>136.36962025316456</v>
      </c>
      <c r="AI24" s="190">
        <f>'Volume Data Entry'!EF106</f>
        <v>439.94025316455696</v>
      </c>
      <c r="AJ24" s="190">
        <f>'Volume Data Entry'!EN45</f>
        <v>1653.6298734177215</v>
      </c>
      <c r="AK24" s="190">
        <f>'Volume Data Entry'!EN106</f>
        <v>1289.5822784810127</v>
      </c>
      <c r="AL24" s="190">
        <f>'Volume Data Entry'!EV45</f>
        <v>304.75645569620252</v>
      </c>
      <c r="AM24" s="190">
        <f>'Volume Data Entry'!EV106</f>
        <v>481.4440506329114</v>
      </c>
      <c r="AN24" s="190">
        <f>'Volume Data Entry'!FD45</f>
        <v>0</v>
      </c>
      <c r="AO24" s="190">
        <f>'Volume Data Entry'!FD106</f>
        <v>0</v>
      </c>
      <c r="AP24" s="190">
        <f>'Volume Data Entry'!FL45</f>
        <v>0</v>
      </c>
      <c r="AQ24" s="190">
        <f>'Volume Data Entry'!FL106</f>
        <v>0</v>
      </c>
      <c r="AR24" s="190">
        <f>'Volume Data Entry'!FT45</f>
        <v>0</v>
      </c>
      <c r="AS24" s="190">
        <f>'Volume Data Entry'!FT106</f>
        <v>0</v>
      </c>
      <c r="AT24" s="190">
        <f>'Volume Data Entry'!GB45</f>
        <v>0</v>
      </c>
      <c r="AU24" s="190">
        <f>'Volume Data Entry'!GB106</f>
        <v>0</v>
      </c>
      <c r="AV24" s="190">
        <f>'Volume Data Entry'!GJ45</f>
        <v>0</v>
      </c>
      <c r="AW24" s="190">
        <f>'Volume Data Entry'!GJ106</f>
        <v>0</v>
      </c>
      <c r="AX24" s="190">
        <f>'Volume Data Entry'!GR45</f>
        <v>500.41721518987345</v>
      </c>
      <c r="AY24" s="191">
        <f>'Volume Data Entry'!GR106</f>
        <v>0</v>
      </c>
      <c r="AZ24" s="190">
        <f>'Volume Data Entry'!GZ45</f>
        <v>562.67291139240513</v>
      </c>
      <c r="BA24" s="191">
        <f>'Volume Data Entry'!GZ106</f>
        <v>821.18227848101264</v>
      </c>
      <c r="BB24" s="190">
        <f>'Volume Data Entry'!HH45</f>
        <v>621.3711392405063</v>
      </c>
      <c r="BC24" s="191">
        <f>'Volume Data Entry'!HH106</f>
        <v>1663.7093670886077</v>
      </c>
      <c r="BD24" s="190">
        <f>'Volume Data Entry'!HP45</f>
        <v>71.14936708860759</v>
      </c>
      <c r="BE24" s="191">
        <f>'Volume Data Entry'!HP106</f>
        <v>691.33468354430386</v>
      </c>
      <c r="BF24" s="190">
        <f>'Volume Data Entry'!HX45</f>
        <v>724.53772151898738</v>
      </c>
      <c r="BG24" s="191">
        <f>'Volume Data Entry'!HX106</f>
        <v>353.37518987341775</v>
      </c>
      <c r="BH24" s="190">
        <f>'Volume Data Entry'!IF45</f>
        <v>340.33113924050633</v>
      </c>
      <c r="BI24" s="191">
        <f>'Volume Data Entry'!IF106</f>
        <v>26.68101265822785</v>
      </c>
      <c r="BJ24" s="190">
        <f>'Volume Data Entry'!IN45</f>
        <v>250.80151898734178</v>
      </c>
      <c r="BK24" s="191">
        <f>'Volume Data Entry'!IN106</f>
        <v>466.02835443037975</v>
      </c>
      <c r="BL24" s="190">
        <f>'Volume Data Entry'!IV45</f>
        <v>343.88860759493673</v>
      </c>
      <c r="BM24" s="191">
        <f>'Volume Data Entry'!IV106</f>
        <v>253.76607594936709</v>
      </c>
      <c r="BN24" s="190">
        <f>'Volume Data Entry'!JD45</f>
        <v>104.9453164556962</v>
      </c>
      <c r="BO24" s="191">
        <f>'Volume Data Entry'!JD106</f>
        <v>374.72</v>
      </c>
      <c r="BP24" s="190">
        <f>'Volume Data Entry'!JL45</f>
        <v>267.40303797468357</v>
      </c>
      <c r="BQ24" s="191">
        <f>'Volume Data Entry'!JL106</f>
        <v>321.35797468354428</v>
      </c>
      <c r="BR24" s="190">
        <f>'Volume Data Entry'!JT45</f>
        <v>323.72962025316457</v>
      </c>
      <c r="BS24" s="191">
        <f>'Volume Data Entry'!JT106</f>
        <v>509.31088607594938</v>
      </c>
      <c r="BT24" s="190">
        <f>'Volume Data Entry'!KB45</f>
        <v>343.88860759493673</v>
      </c>
      <c r="BU24" s="191">
        <f>'Volume Data Entry'!KB106</f>
        <v>304.75645569620252</v>
      </c>
      <c r="BV24" s="190">
        <f>'Volume Data Entry'!KJ45</f>
        <v>88.343797468354438</v>
      </c>
      <c r="BW24" s="191">
        <f>'Volume Data Entry'!KJ106</f>
        <v>72.335189873417718</v>
      </c>
      <c r="BX24" s="190">
        <f>'Volume Data Entry'!KR45</f>
        <v>88.936708860759495</v>
      </c>
      <c r="BY24" s="191">
        <f>'Volume Data Entry'!KR106</f>
        <v>124.51139240506329</v>
      </c>
      <c r="BZ24" s="190">
        <f>'Volume Data Entry'!KZ45</f>
        <v>275.1108860759494</v>
      </c>
      <c r="CA24" s="191">
        <f>'Volume Data Entry'!KZ106</f>
        <v>295.86278481012658</v>
      </c>
      <c r="CB24" s="190">
        <f>'Volume Data Entry'!LH45</f>
        <v>564.45164556962027</v>
      </c>
      <c r="CC24" s="191">
        <f>'Volume Data Entry'!LH106</f>
        <v>152.97113924050632</v>
      </c>
      <c r="CD24" s="190">
        <f>'Volume Data Entry'!LP45</f>
        <v>725.13063291139247</v>
      </c>
      <c r="CE24" s="191">
        <f>'Volume Data Entry'!LP106</f>
        <v>367.0121518987342</v>
      </c>
      <c r="CF24" s="190">
        <f>'Volume Data Entry'!LX45</f>
        <v>476.70075949367089</v>
      </c>
      <c r="CG24" s="757">
        <f>'Volume Data Entry'!LX106</f>
        <v>576.9027848101266</v>
      </c>
      <c r="CH24" s="759">
        <f>'Volume Data Entry'!MF45</f>
        <v>1267.6445569620253</v>
      </c>
      <c r="CI24" s="757">
        <f>'Volume Data Entry'!MF106</f>
        <v>1221.3974683544304</v>
      </c>
      <c r="CJ24" s="759">
        <f>'Volume Data Entry'!MN45</f>
        <v>1208.353417721519</v>
      </c>
      <c r="CK24" s="757">
        <f>'Volume Data Entry'!MN106</f>
        <v>1136.0182278481013</v>
      </c>
      <c r="CL24" s="759">
        <f>'Volume Data Entry'!MV45</f>
        <v>555.55797468354433</v>
      </c>
      <c r="CM24" s="759">
        <f>'Volume Data Entry'!MV106</f>
        <v>530.65569620253166</v>
      </c>
      <c r="CN24" s="810">
        <f>'Volume Data Entry'!ND56</f>
        <v>188.54582278481013</v>
      </c>
      <c r="CO24" s="191">
        <f>'Volume Data Entry'!ND128</f>
        <v>1111.7088607594937</v>
      </c>
      <c r="CP24" s="767">
        <f>'Volume Data Entry'!NL56</f>
        <v>514.05417721518984</v>
      </c>
      <c r="CQ24" s="767">
        <f>'Volume Data Entry'!NL128</f>
        <v>1118.8237974683545</v>
      </c>
      <c r="CR24" s="767">
        <f>'Volume Data Entry'!NT56</f>
        <v>297.64151898734178</v>
      </c>
      <c r="CS24" s="767">
        <f>'Volume Data Entry'!NT128</f>
        <v>144.07746835443038</v>
      </c>
      <c r="CT24" s="191">
        <f>'Volume Data Entry'!OB56</f>
        <v>112.65316455696203</v>
      </c>
      <c r="CU24" s="191">
        <f>'Volume Data Entry'!OB128</f>
        <v>190.91746835443038</v>
      </c>
      <c r="CV24" s="767">
        <f>'Volume Data Entry'!OJ56</f>
        <v>186.17417721518987</v>
      </c>
      <c r="CW24" s="767">
        <f>'Volume Data Entry'!OJ128</f>
        <v>41.503797468354428</v>
      </c>
      <c r="CX24" s="767">
        <f>'Volume Data Entry'!OR56</f>
        <v>237.16455696202533</v>
      </c>
      <c r="CY24" s="767">
        <f>'Volume Data Entry'!OR128</f>
        <v>1157.3630379746835</v>
      </c>
      <c r="CZ24" s="191">
        <f>'Volume Data Entry'!OZ56</f>
        <v>0</v>
      </c>
      <c r="DA24" s="191">
        <f>'Volume Data Entry'!OZ128</f>
        <v>0</v>
      </c>
      <c r="DB24" s="774">
        <f>'Volume Data Entry'!PH56</f>
        <v>0</v>
      </c>
      <c r="DC24" s="774">
        <f>'Volume Data Entry'!PH128</f>
        <v>57.512405063291141</v>
      </c>
      <c r="DD24" s="774">
        <f>'Volume Data Entry'!PP56</f>
        <v>225.30632911392405</v>
      </c>
      <c r="DE24" s="774">
        <f>'Volume Data Entry'!PP128</f>
        <v>457.13468354430381</v>
      </c>
      <c r="DF24" s="191">
        <f>'Volume Data Entry'!PX56</f>
        <v>533.02734177215189</v>
      </c>
      <c r="DG24" s="191">
        <f>'Volume Data Entry'!PX128</f>
        <v>599.43341772151905</v>
      </c>
      <c r="DH24" s="774">
        <f>'Volume Data Entry'!QF56</f>
        <v>978.89670886075953</v>
      </c>
      <c r="DI24" s="774">
        <f>'Volume Data Entry'!QF128</f>
        <v>535.39898734177211</v>
      </c>
      <c r="DJ24" s="774">
        <f>'Volume Data Entry'!QN56</f>
        <v>373.53417721518986</v>
      </c>
      <c r="DK24" s="774">
        <f>'Volume Data Entry'!QN128</f>
        <v>294.08405063291139</v>
      </c>
      <c r="DL24" s="812">
        <f>'Volume Data Entry'!QV56</f>
        <v>882.25215189873416</v>
      </c>
      <c r="DM24" s="191">
        <f>'Volume Data Entry'!QV128</f>
        <v>783.82886075949364</v>
      </c>
      <c r="DN24" s="774">
        <f t="shared" si="3"/>
        <v>641.33248945147682</v>
      </c>
      <c r="DO24" s="774">
        <f t="shared" si="4"/>
        <v>585.07178621659625</v>
      </c>
      <c r="DP24" s="774">
        <f t="shared" si="5"/>
        <v>593.35058602906702</v>
      </c>
      <c r="DQ24" s="774">
        <f t="shared" si="6"/>
        <v>629.98665416471317</v>
      </c>
      <c r="DR24" s="191">
        <f>'Volume Data Entry'!RT56</f>
        <v>126.29012658227849</v>
      </c>
      <c r="DS24" s="191">
        <f>'Volume Data Entry'!RT128</f>
        <v>28.459746835443038</v>
      </c>
      <c r="DT24" s="774">
        <f>'Volume Data Entry'!SB56</f>
        <v>328.47291139240508</v>
      </c>
      <c r="DU24" s="774">
        <f>'Volume Data Entry'!SB128</f>
        <v>391.32151898734179</v>
      </c>
      <c r="DV24" s="774">
        <f>'Volume Data Entry'!SJ56</f>
        <v>17.194430379746837</v>
      </c>
      <c r="DW24" s="774">
        <f>'Volume Data Entry'!SJ128</f>
        <v>58.698227848101268</v>
      </c>
      <c r="DX24" s="191">
        <f>'Volume Data Entry'!SR56</f>
        <v>164.8293670886076</v>
      </c>
      <c r="DY24" s="191">
        <f>'Volume Data Entry'!SR128</f>
        <v>449.42683544303799</v>
      </c>
      <c r="DZ24" s="774">
        <f>'Volume Data Entry'!SZ56</f>
        <v>362.86177215189872</v>
      </c>
      <c r="EA24" s="774">
        <f>'Volume Data Entry'!SZ128</f>
        <v>621.96405063291138</v>
      </c>
      <c r="EB24" s="774">
        <f>'Volume Data Entry'!TH56</f>
        <v>1916.2896202531647</v>
      </c>
      <c r="EC24" s="774">
        <f>'Volume Data Entry'!TH128</f>
        <v>1200.6455696202531</v>
      </c>
    </row>
    <row r="25" spans="1:138">
      <c r="A25" s="192" t="s">
        <v>39</v>
      </c>
      <c r="B25" s="190">
        <f>'Volume Data Entry'!H46</f>
        <v>63.361034482758619</v>
      </c>
      <c r="C25" s="190">
        <f>'Volume Data Entry'!H107</f>
        <v>0</v>
      </c>
      <c r="D25" s="190">
        <f>'Volume Data Entry'!P46</f>
        <v>63.361034482758619</v>
      </c>
      <c r="E25" s="190">
        <f>'Volume Data Entry'!P107</f>
        <v>2.7548275862068965</v>
      </c>
      <c r="F25" s="190">
        <f>'Volume Data Entry'!X46</f>
        <v>195.59275862068966</v>
      </c>
      <c r="G25" s="190">
        <f>'Volume Data Entry'!X107</f>
        <v>173.55413793103449</v>
      </c>
      <c r="H25" s="190">
        <f>'Volume Data Entry'!AF46</f>
        <v>0</v>
      </c>
      <c r="I25" s="190">
        <f>'Volume Data Entry'!AF107</f>
        <v>0</v>
      </c>
      <c r="J25" s="190">
        <f>'Volume Data Entry'!AN46</f>
        <v>181.81862068965518</v>
      </c>
      <c r="K25" s="190">
        <f>'Volume Data Entry'!AN107</f>
        <v>123.96724137931034</v>
      </c>
      <c r="L25" s="190">
        <f>'Volume Data Entry'!AV46</f>
        <v>0</v>
      </c>
      <c r="M25" s="190">
        <f>'Volume Data Entry'!AV107</f>
        <v>35.812758620689657</v>
      </c>
      <c r="N25" s="190">
        <f>'Volume Data Entry'!BD46</f>
        <v>35.812758620689657</v>
      </c>
      <c r="O25" s="190">
        <f>'Volume Data Entry'!BD107</f>
        <v>0</v>
      </c>
      <c r="P25" s="190">
        <f>'Volume Data Entry'!BL46</f>
        <v>129.47689655172414</v>
      </c>
      <c r="Q25" s="190">
        <f>'Volume Data Entry'!BL107</f>
        <v>38.56758620689655</v>
      </c>
      <c r="R25" s="190">
        <f>'Volume Data Entry'!BT46</f>
        <v>22.038620689655172</v>
      </c>
      <c r="S25" s="190">
        <f>'Volume Data Entry'!BT107</f>
        <v>0</v>
      </c>
      <c r="T25" s="190">
        <f>'Volume Data Entry'!CB46</f>
        <v>0</v>
      </c>
      <c r="U25" s="190">
        <f>'Volume Data Entry'!CB107</f>
        <v>0</v>
      </c>
      <c r="V25" s="190">
        <f>'Volume Data Entry'!CJ46</f>
        <v>0</v>
      </c>
      <c r="W25" s="190">
        <f>'Volume Data Entry'!CJ107</f>
        <v>0</v>
      </c>
      <c r="X25" s="190">
        <f>'Volume Data Entry'!CR46</f>
        <v>13.774137931034483</v>
      </c>
      <c r="Y25" s="190">
        <f>'Volume Data Entry'!CR107</f>
        <v>0</v>
      </c>
      <c r="Z25" s="190">
        <f>'Volume Data Entry'!CZ46</f>
        <v>129.47689655172414</v>
      </c>
      <c r="AA25" s="190">
        <f>'Volume Data Entry'!CZ107</f>
        <v>38.56758620689655</v>
      </c>
      <c r="AB25" s="190">
        <f>'Volume Data Entry'!DH46</f>
        <v>52.341724137931031</v>
      </c>
      <c r="AC25" s="190">
        <f>'Volume Data Entry'!DH107</f>
        <v>0</v>
      </c>
      <c r="AD25" s="190">
        <f>'Volume Data Entry'!DP46</f>
        <v>0</v>
      </c>
      <c r="AE25" s="190">
        <f>'Volume Data Entry'!DP107</f>
        <v>223.14103448275861</v>
      </c>
      <c r="AF25" s="190">
        <f>'Volume Data Entry'!DX46</f>
        <v>0</v>
      </c>
      <c r="AG25" s="190">
        <f>'Volume Data Entry'!DX107</f>
        <v>344.35344827586204</v>
      </c>
      <c r="AH25" s="190">
        <f>'Volume Data Entry'!EF46</f>
        <v>11.019310344827586</v>
      </c>
      <c r="AI25" s="190">
        <f>'Volume Data Entry'!EF107</f>
        <v>22.038620689655172</v>
      </c>
      <c r="AJ25" s="190">
        <f>'Volume Data Entry'!EN46</f>
        <v>107.43827586206896</v>
      </c>
      <c r="AK25" s="190">
        <f>'Volume Data Entry'!EN107</f>
        <v>0</v>
      </c>
      <c r="AL25" s="190">
        <f>'Volume Data Entry'!EV46</f>
        <v>493.11413793103446</v>
      </c>
      <c r="AM25" s="190">
        <f>'Volume Data Entry'!EV107</f>
        <v>575.75896551724134</v>
      </c>
      <c r="AN25" s="190">
        <f>'Volume Data Entry'!FD46</f>
        <v>0</v>
      </c>
      <c r="AO25" s="190">
        <f>'Volume Data Entry'!FD107</f>
        <v>0</v>
      </c>
      <c r="AP25" s="190">
        <f>'Volume Data Entry'!FL46</f>
        <v>0</v>
      </c>
      <c r="AQ25" s="190">
        <f>'Volume Data Entry'!FL107</f>
        <v>0</v>
      </c>
      <c r="AR25" s="190">
        <f>'Volume Data Entry'!FT46</f>
        <v>0</v>
      </c>
      <c r="AS25" s="190">
        <f>'Volume Data Entry'!FT107</f>
        <v>0</v>
      </c>
      <c r="AT25" s="190">
        <f>'Volume Data Entry'!GB46</f>
        <v>0</v>
      </c>
      <c r="AU25" s="190">
        <f>'Volume Data Entry'!GB107</f>
        <v>0</v>
      </c>
      <c r="AV25" s="190">
        <f>'Volume Data Entry'!GJ46</f>
        <v>0</v>
      </c>
      <c r="AW25" s="190">
        <f>'Volume Data Entry'!GJ107</f>
        <v>0</v>
      </c>
      <c r="AX25" s="190">
        <f>'Volume Data Entry'!GR46</f>
        <v>129.47689655172414</v>
      </c>
      <c r="AY25" s="191">
        <f>'Volume Data Entry'!GR107</f>
        <v>0</v>
      </c>
      <c r="AZ25" s="190">
        <f>'Volume Data Entry'!GZ46</f>
        <v>52.341724137931031</v>
      </c>
      <c r="BA25" s="191">
        <f>'Volume Data Entry'!GZ107</f>
        <v>35.812758620689657</v>
      </c>
      <c r="BB25" s="190">
        <f>'Volume Data Entry'!HH46</f>
        <v>195.59275862068966</v>
      </c>
      <c r="BC25" s="191">
        <f>'Volume Data Entry'!HH107</f>
        <v>173.55413793103449</v>
      </c>
      <c r="BD25" s="190">
        <f>'Volume Data Entry'!HP46</f>
        <v>22.038620689655172</v>
      </c>
      <c r="BE25" s="191">
        <f>'Volume Data Entry'!HP107</f>
        <v>44.077241379310344</v>
      </c>
      <c r="BF25" s="190">
        <f>'Volume Data Entry'!HX46</f>
        <v>239.67</v>
      </c>
      <c r="BG25" s="191">
        <f>'Volume Data Entry'!HW107</f>
        <v>768.59689655172417</v>
      </c>
      <c r="BH25" s="190">
        <f>'Volume Data Entry'!IF46</f>
        <v>958.68</v>
      </c>
      <c r="BI25" s="191">
        <f>'Volume Data Entry'!IF107</f>
        <v>0</v>
      </c>
      <c r="BJ25" s="190">
        <f>'Volume Data Entry'!IN46</f>
        <v>1063.3634482758621</v>
      </c>
      <c r="BK25" s="191">
        <f>'Volume Data Entry'!IN107</f>
        <v>440.77241379310345</v>
      </c>
      <c r="BL25" s="190">
        <f>'Volume Data Entry'!IV46</f>
        <v>917.35758620689649</v>
      </c>
      <c r="BM25" s="191">
        <f>'Volume Data Entry'!IV107</f>
        <v>1088.156896551724</v>
      </c>
      <c r="BN25" s="190">
        <f>'Volume Data Entry'!JD46</f>
        <v>699.72620689655173</v>
      </c>
      <c r="BO25" s="191">
        <f>'Volume Data Entry'!JC107</f>
        <v>192.83793103448275</v>
      </c>
      <c r="BP25" s="190">
        <f>'Volume Data Entry'!JL46</f>
        <v>201.10241379310344</v>
      </c>
      <c r="BQ25" s="191">
        <f>'Volume Data Entry'!JL107</f>
        <v>280.99241379310342</v>
      </c>
      <c r="BR25" s="190">
        <f>'Volume Data Entry'!JT46</f>
        <v>382.92103448275861</v>
      </c>
      <c r="BS25" s="191">
        <f>'Volume Data Entry'!JT107</f>
        <v>283.74724137931037</v>
      </c>
      <c r="BT25" s="190">
        <f>'Volume Data Entry'!KB46</f>
        <v>385.6758620689655</v>
      </c>
      <c r="BU25" s="191">
        <f>'Volume Data Entry'!KB107</f>
        <v>1198.3499999999999</v>
      </c>
      <c r="BV25" s="190">
        <f>'Volume Data Entry'!KJ46</f>
        <v>0</v>
      </c>
      <c r="BW25" s="191">
        <f>'Volume Data Entry'!KJ107</f>
        <v>589.53310344827582</v>
      </c>
      <c r="BX25" s="190">
        <f>'Volume Data Entry'!KR46</f>
        <v>63.361034482758619</v>
      </c>
      <c r="BY25" s="191">
        <f>'Volume Data Entry'!KR107</f>
        <v>0</v>
      </c>
      <c r="BZ25" s="190">
        <f>'Volume Data Entry'!KZ46</f>
        <v>19.283793103448275</v>
      </c>
      <c r="CA25" s="191">
        <f>'Volume Data Entry'!KZ107</f>
        <v>0</v>
      </c>
      <c r="CB25" s="190">
        <f>'Volume Data Entry'!LH46</f>
        <v>112.94793103448275</v>
      </c>
      <c r="CC25" s="191">
        <f>'Volume Data Entry'!LH107</f>
        <v>190.08310344827586</v>
      </c>
      <c r="CD25" s="190">
        <f>'Volume Data Entry'!LP46</f>
        <v>294.76655172413791</v>
      </c>
      <c r="CE25" s="191">
        <f>'Volume Data Entry'!LP107</f>
        <v>151.51551724137931</v>
      </c>
      <c r="CF25" s="190">
        <f>'Volume Data Entry'!LX46</f>
        <v>344.35344827586204</v>
      </c>
      <c r="CG25" s="757">
        <f>'Volume Data Entry'!LX107</f>
        <v>267.21827586206894</v>
      </c>
      <c r="CH25" s="759">
        <f>'Volume Data Entry'!MF46</f>
        <v>526.17206896551727</v>
      </c>
      <c r="CI25" s="757">
        <f>'Volume Data Entry'!MF107</f>
        <v>644.62965517241378</v>
      </c>
      <c r="CJ25" s="759">
        <f>'Volume Data Entry'!MN46</f>
        <v>903.583448275862</v>
      </c>
      <c r="CK25" s="757">
        <f>'Volume Data Entry'!MN107</f>
        <v>988.98310344827587</v>
      </c>
      <c r="CL25" s="759">
        <f>'Volume Data Entry'!MV46</f>
        <v>661.15862068965521</v>
      </c>
      <c r="CM25" s="759">
        <f>'Volume Data Entry'!MV107</f>
        <v>374.6565517241379</v>
      </c>
      <c r="CN25" s="810">
        <f>'Volume Data Entry'!ND57</f>
        <v>415.97896551724136</v>
      </c>
      <c r="CO25" s="191">
        <f>'Volume Data Entry'!ND129</f>
        <v>559.23</v>
      </c>
      <c r="CP25" s="767">
        <f>'Volume Data Entry'!NL57</f>
        <v>253.44413793103448</v>
      </c>
      <c r="CQ25" s="767">
        <f>'Volume Data Entry'!NL129</f>
        <v>338.84379310344826</v>
      </c>
      <c r="CR25" s="767">
        <f>'Volume Data Entry'!NT57</f>
        <v>396.6951724137931</v>
      </c>
      <c r="CS25" s="767">
        <f>'Volume Data Entry'!NT129</f>
        <v>2.7548275862068965</v>
      </c>
      <c r="CT25" s="191">
        <f>'Volume Data Entry'!OB57</f>
        <v>173.55413793103449</v>
      </c>
      <c r="CU25" s="191">
        <f>'Volume Data Entry'!OB129</f>
        <v>41.322413793103451</v>
      </c>
      <c r="CV25" s="767">
        <f>'Volume Data Entry'!OJ57</f>
        <v>123.96724137931034</v>
      </c>
      <c r="CW25" s="767">
        <f>'Volume Data Entry'!OJ129</f>
        <v>19.283793103448275</v>
      </c>
      <c r="CX25" s="767">
        <f>'Volume Data Entry'!OR56</f>
        <v>237.16455696202533</v>
      </c>
      <c r="CY25" s="767">
        <f>'Volume Data Entry'!OR129</f>
        <v>11.019310344827586</v>
      </c>
      <c r="CZ25" s="191">
        <f>'Volume Data Entry'!OZ57</f>
        <v>0</v>
      </c>
      <c r="DA25" s="191">
        <f>'Volume Data Entry'!OZ129</f>
        <v>0</v>
      </c>
      <c r="DB25" s="774">
        <f>'Volume Data Entry'!PH57</f>
        <v>0</v>
      </c>
      <c r="DC25" s="774">
        <f>'Volume Data Entry'!PH129</f>
        <v>0</v>
      </c>
      <c r="DD25" s="774">
        <f>'Volume Data Entry'!PP57</f>
        <v>16.528965517241378</v>
      </c>
      <c r="DE25" s="774">
        <f>'Volume Data Entry'!PP129</f>
        <v>19.283793103448275</v>
      </c>
      <c r="DF25" s="191">
        <f>'Volume Data Entry'!PX57</f>
        <v>146.00586206896551</v>
      </c>
      <c r="DG25" s="191">
        <f>'Volume Data Entry'!PX129</f>
        <v>107.43827586206896</v>
      </c>
      <c r="DH25" s="774">
        <f>'Volume Data Entry'!QF57</f>
        <v>179.06379310344826</v>
      </c>
      <c r="DI25" s="774">
        <f>'Volume Data Entry'!QF129</f>
        <v>476.58517241379309</v>
      </c>
      <c r="DJ25" s="774">
        <f>'Volume Data Entry'!QN57</f>
        <v>371.90172413793101</v>
      </c>
      <c r="DK25" s="774">
        <f>'Volume Data Entry'!QN129</f>
        <v>170.79931034482757</v>
      </c>
      <c r="DL25" s="191">
        <f>'Volume Data Entry'!QV57</f>
        <v>341.59862068965515</v>
      </c>
      <c r="DM25" s="191">
        <f>'Volume Data Entry'!QV129</f>
        <v>371.90172413793101</v>
      </c>
      <c r="DN25" s="774">
        <f t="shared" si="3"/>
        <v>318.64172413793102</v>
      </c>
      <c r="DO25" s="774">
        <f t="shared" si="4"/>
        <v>341.90471264367812</v>
      </c>
      <c r="DP25" s="774">
        <f t="shared" si="5"/>
        <v>319.45796934865899</v>
      </c>
      <c r="DQ25" s="774">
        <f t="shared" si="6"/>
        <v>310.71734355044697</v>
      </c>
      <c r="DR25" s="191">
        <f>'Volume Data Entry'!RT57</f>
        <v>264.46344827586205</v>
      </c>
      <c r="DS25" s="191">
        <f>'Volume Data Entry'!RT129</f>
        <v>66.115862068965512</v>
      </c>
      <c r="DT25" s="774">
        <f>'Volume Data Entry'!SB57</f>
        <v>85.399655172413787</v>
      </c>
      <c r="DU25" s="774">
        <f>'Volume Data Entry'!SB129</f>
        <v>0</v>
      </c>
      <c r="DV25" s="774">
        <f>'Volume Data Entry'!SJ57</f>
        <v>8.264482758620689</v>
      </c>
      <c r="DW25" s="774">
        <f>'Volume Data Entry'!SJ129</f>
        <v>168.04448275862069</v>
      </c>
      <c r="DX25" s="191">
        <f>'Volume Data Entry'!SR57</f>
        <v>203.85724137931035</v>
      </c>
      <c r="DY25" s="191">
        <f>'Volume Data Entry'!SR129</f>
        <v>143.25103448275863</v>
      </c>
      <c r="DZ25" s="774">
        <f>'Volume Data Entry'!SZ57</f>
        <v>286.50206896551725</v>
      </c>
      <c r="EA25" s="774">
        <f>'Volume Data Entry'!SZ129</f>
        <v>148.7606896551724</v>
      </c>
      <c r="EB25" s="774">
        <f>'Volume Data Entry'!TH57</f>
        <v>11.019310344827586</v>
      </c>
      <c r="EC25" s="774">
        <f>'Volume Data Entry'!TH129</f>
        <v>30.303103448275863</v>
      </c>
    </row>
    <row r="26" spans="1:138">
      <c r="A26" s="192" t="s">
        <v>40</v>
      </c>
      <c r="B26" s="190">
        <f>'Volume Data Entry'!H50</f>
        <v>366.64300000000003</v>
      </c>
      <c r="C26" s="190">
        <f>'Volume Data Entry'!H111</f>
        <v>341.47300000000001</v>
      </c>
      <c r="D26" s="190">
        <f>'Volume Data Entry'!P50</f>
        <v>73.832000000000008</v>
      </c>
      <c r="E26" s="190">
        <f>'Volume Data Entry'!P111</f>
        <v>106.55300000000001</v>
      </c>
      <c r="F26" s="190">
        <f>'Volume Data Entry'!X50</f>
        <v>76.349000000000004</v>
      </c>
      <c r="G26" s="190">
        <f>'Volume Data Entry'!X111</f>
        <v>152.69800000000001</v>
      </c>
      <c r="H26" s="190">
        <f>'Volume Data Entry'!AF50</f>
        <v>149.34200000000001</v>
      </c>
      <c r="I26" s="190">
        <f>'Volume Data Entry'!AF111</f>
        <v>197.16500000000002</v>
      </c>
      <c r="J26" s="190">
        <f>'Volume Data Entry'!AN50</f>
        <v>76.349000000000004</v>
      </c>
      <c r="K26" s="190">
        <f>'Volume Data Entry'!AN111</f>
        <v>388.45700000000005</v>
      </c>
      <c r="L26" s="190">
        <f>'Volume Data Entry'!AV50</f>
        <v>0</v>
      </c>
      <c r="M26" s="190">
        <f>'Volume Data Entry'!AV111</f>
        <v>234.92000000000002</v>
      </c>
      <c r="N26" s="190">
        <f>'Volume Data Entry'!BD50</f>
        <v>264.28500000000003</v>
      </c>
      <c r="O26" s="190">
        <f>'Volume Data Entry'!BD111</f>
        <v>0</v>
      </c>
      <c r="P26" s="190">
        <f>'Volume Data Entry'!BL50</f>
        <v>323.85400000000004</v>
      </c>
      <c r="Q26" s="190">
        <f>'Volume Data Entry'!BL111</f>
        <v>477.39100000000002</v>
      </c>
      <c r="R26" s="190">
        <f>'Volume Data Entry'!BT50</f>
        <v>118.29900000000001</v>
      </c>
      <c r="S26" s="190">
        <f>'Volume Data Entry'!BT111</f>
        <v>215.62300000000002</v>
      </c>
      <c r="T26" s="190">
        <f>'Volume Data Entry'!CB50</f>
        <v>0</v>
      </c>
      <c r="U26" s="190">
        <f>'Volume Data Entry'!CB111</f>
        <v>0</v>
      </c>
      <c r="V26" s="190">
        <f>'Volume Data Entry'!CJ50</f>
        <v>0</v>
      </c>
      <c r="W26" s="190">
        <f>'Volume Data Entry'!CJ111</f>
        <v>0</v>
      </c>
      <c r="X26" s="190">
        <f>'Volume Data Entry'!CR50</f>
        <v>541.15500000000009</v>
      </c>
      <c r="Y26" s="190">
        <f>'Volume Data Entry'!CR111</f>
        <v>0</v>
      </c>
      <c r="Z26" s="190">
        <f>'Volume Data Entry'!CZ50</f>
        <v>323.85400000000004</v>
      </c>
      <c r="AA26" s="190">
        <f>'Volume Data Entry'!CZ111</f>
        <v>477.39100000000002</v>
      </c>
      <c r="AB26" s="190">
        <f>'Volume Data Entry'!DH50</f>
        <v>345.66800000000001</v>
      </c>
      <c r="AC26" s="190">
        <f>'Volume Data Entry'!DH111</f>
        <v>0</v>
      </c>
      <c r="AD26" s="190">
        <f>'Volume Data Entry'!DP50</f>
        <v>0</v>
      </c>
      <c r="AE26" s="190">
        <f>'Volume Data Entry'!DP111</f>
        <v>442.15300000000002</v>
      </c>
      <c r="AF26" s="190">
        <f>'Volume Data Entry'!DX50</f>
        <v>0</v>
      </c>
      <c r="AG26" s="190">
        <f>'Volume Data Entry'!DX111</f>
        <v>556.25700000000006</v>
      </c>
      <c r="AH26" s="190">
        <f>'Volume Data Entry'!EF50</f>
        <v>147.66400000000002</v>
      </c>
      <c r="AI26" s="190">
        <f>'Volume Data Entry'!EF111</f>
        <v>308.75200000000001</v>
      </c>
      <c r="AJ26" s="190">
        <f>'Volume Data Entry'!EN50</f>
        <v>591.495</v>
      </c>
      <c r="AK26" s="190">
        <f>'Volume Data Entry'!EN111</f>
        <v>198.00400000000002</v>
      </c>
      <c r="AL26" s="190">
        <f>'Volume Data Entry'!EV50</f>
        <v>15.102000000000002</v>
      </c>
      <c r="AM26" s="190">
        <f>'Volume Data Entry'!EV111</f>
        <v>161.08800000000002</v>
      </c>
      <c r="AN26" s="190">
        <f>'Volume Data Entry'!FD50</f>
        <v>0</v>
      </c>
      <c r="AO26" s="190">
        <f>'Volume Data Entry'!FD111</f>
        <v>0</v>
      </c>
      <c r="AP26" s="190">
        <f>'Volume Data Entry'!FL50</f>
        <v>0</v>
      </c>
      <c r="AQ26" s="190">
        <f>'Volume Data Entry'!FL111</f>
        <v>0</v>
      </c>
      <c r="AR26" s="190">
        <f>'Volume Data Entry'!FT50</f>
        <v>0</v>
      </c>
      <c r="AS26" s="190">
        <f>'Volume Data Entry'!FT111</f>
        <v>0</v>
      </c>
      <c r="AT26" s="190">
        <f>'Volume Data Entry'!GB50</f>
        <v>0</v>
      </c>
      <c r="AU26" s="190">
        <f>'Volume Data Entry'!GB111</f>
        <v>0</v>
      </c>
      <c r="AV26" s="190">
        <f>'Volume Data Entry'!GJ50</f>
        <v>0</v>
      </c>
      <c r="AW26" s="190">
        <f>'Volume Data Entry'!GJ111</f>
        <v>0</v>
      </c>
      <c r="AX26" s="190">
        <f>'Volume Data Entry'!GR50</f>
        <v>323.85400000000004</v>
      </c>
      <c r="AY26" s="191">
        <f>'Volume Data Entry'!GR111</f>
        <v>0</v>
      </c>
      <c r="AZ26" s="190">
        <f>'Volume Data Entry'!GZ50</f>
        <v>340.63400000000001</v>
      </c>
      <c r="BA26" s="191">
        <f>'Volume Data Entry'!GZ111</f>
        <v>223.17400000000004</v>
      </c>
      <c r="BB26" s="190">
        <f>'Volume Data Entry'!HH50</f>
        <v>76.349000000000004</v>
      </c>
      <c r="BC26" s="191">
        <f>'Volume Data Entry'!HH111</f>
        <v>152.69800000000001</v>
      </c>
      <c r="BD26" s="190">
        <f>'Volume Data Entry'!HP50</f>
        <v>211.42800000000003</v>
      </c>
      <c r="BE26" s="191">
        <f>'Volume Data Entry'!HP111</f>
        <v>350.70200000000006</v>
      </c>
      <c r="BF26" s="190">
        <f>'Volume Data Entry'!HX50</f>
        <v>432.92400000000004</v>
      </c>
      <c r="BG26" s="191">
        <f>'Volume Data Entry'!HX111</f>
        <v>323.85400000000004</v>
      </c>
      <c r="BH26" s="190">
        <f>'Volume Data Entry'!IF50</f>
        <v>127.52800000000001</v>
      </c>
      <c r="BI26" s="191">
        <f>'Volume Data Entry'!IF111</f>
        <v>36.916000000000004</v>
      </c>
      <c r="BJ26" s="190">
        <f>'Volume Data Entry'!IN50</f>
        <v>62.925000000000004</v>
      </c>
      <c r="BK26" s="191">
        <f>'Volume Data Entry'!IN111</f>
        <v>123.33300000000001</v>
      </c>
      <c r="BL26" s="190">
        <f>'Volume Data Entry'!IV50</f>
        <v>102.358</v>
      </c>
      <c r="BM26" s="191">
        <f>'Volume Data Entry'!IV111</f>
        <v>102.358</v>
      </c>
      <c r="BN26" s="190">
        <f>'Volume Data Entry'!JD50</f>
        <v>241.63200000000003</v>
      </c>
      <c r="BO26" s="191">
        <f>'Volume Data Entry'!JD111</f>
        <v>297.00600000000003</v>
      </c>
      <c r="BP26" s="190">
        <f>'Volume Data Entry'!JL50</f>
        <v>135.07900000000001</v>
      </c>
      <c r="BQ26" s="191">
        <f>'Volume Data Entry'!JL111</f>
        <v>226.53000000000003</v>
      </c>
      <c r="BR26" s="190">
        <f>'Volume Data Entry'!JT50</f>
        <v>67.12</v>
      </c>
      <c r="BS26" s="191">
        <f>'Volume Data Entry'!JT111</f>
        <v>192.13100000000003</v>
      </c>
      <c r="BT26" s="190">
        <f>'Volume Data Entry'!KB50</f>
        <v>229.88600000000002</v>
      </c>
      <c r="BU26" s="191">
        <f>'Volume Data Entry'!KB111</f>
        <v>118.29900000000001</v>
      </c>
      <c r="BV26" s="190">
        <f>'Volume Data Entry'!KJ50</f>
        <v>200.52100000000002</v>
      </c>
      <c r="BW26" s="191">
        <f>'Volume Data Entry'!KJ111</f>
        <v>19.297000000000001</v>
      </c>
      <c r="BX26" s="190">
        <f>'Volume Data Entry'!KR50</f>
        <v>107.39200000000001</v>
      </c>
      <c r="BY26" s="191">
        <f>'Volume Data Entry'!KR111</f>
        <v>126.68900000000001</v>
      </c>
      <c r="BZ26" s="190">
        <f>'Volume Data Entry'!KZ50</f>
        <v>565.4860000000001</v>
      </c>
      <c r="CA26" s="191">
        <f>'Volume Data Entry'!KZ111</f>
        <v>179.54600000000002</v>
      </c>
      <c r="CB26" s="190">
        <f>'Volume Data Entry'!LH50</f>
        <v>530.24800000000005</v>
      </c>
      <c r="CC26" s="191">
        <f>'Volume Data Entry'!LH111</f>
        <v>460.61100000000005</v>
      </c>
      <c r="CD26" s="190">
        <f>'Volume Data Entry'!LP50</f>
        <v>332.24400000000003</v>
      </c>
      <c r="CE26" s="191">
        <f>'Volume Data Entry'!LP111</f>
        <v>240.79300000000003</v>
      </c>
      <c r="CF26" s="190">
        <f>'Volume Data Entry'!LX50</f>
        <v>114.94300000000001</v>
      </c>
      <c r="CG26" s="757">
        <f>'Volume Data Entry'!LX111</f>
        <v>189.614</v>
      </c>
      <c r="CH26" s="759">
        <f>'Volume Data Entry'!MF50</f>
        <v>156.054</v>
      </c>
      <c r="CI26" s="757">
        <f>'Volume Data Entry'!MF111</f>
        <v>109.90900000000001</v>
      </c>
      <c r="CJ26" s="759">
        <f>'Volume Data Entry'!MN50</f>
        <v>301.20100000000002</v>
      </c>
      <c r="CK26" s="757">
        <f>'Volume Data Entry'!MN111</f>
        <v>93.968000000000004</v>
      </c>
      <c r="CL26" s="759">
        <f>'Volume Data Entry'!MV50</f>
        <v>59.569000000000003</v>
      </c>
      <c r="CM26" s="759">
        <f>'Volume Data Entry'!MV111</f>
        <v>237.43700000000001</v>
      </c>
      <c r="CN26" s="810">
        <f>'Volume Data Entry'!ND61</f>
        <v>84.739000000000004</v>
      </c>
      <c r="CO26" s="191">
        <f>'Volume Data Entry'!ND133</f>
        <v>91.451000000000008</v>
      </c>
      <c r="CP26" s="767">
        <f>'Volume Data Entry'!NL61</f>
        <v>179.54600000000002</v>
      </c>
      <c r="CQ26" s="767">
        <f>'Volume Data Entry'!NL133</f>
        <v>259.25100000000003</v>
      </c>
      <c r="CR26" s="767">
        <f>'Volume Data Entry'!NT61</f>
        <v>208.91100000000003</v>
      </c>
      <c r="CS26" s="767">
        <f>'Volume Data Entry'!NT133</f>
        <v>130.88400000000001</v>
      </c>
      <c r="CT26" s="191">
        <f>'Volume Data Entry'!OB61</f>
        <v>112.42600000000002</v>
      </c>
      <c r="CU26" s="191">
        <f>'Volume Data Entry'!OB133</f>
        <v>333.92200000000003</v>
      </c>
      <c r="CV26" s="767">
        <f>'Volume Data Entry'!OJ61</f>
        <v>229.88600000000002</v>
      </c>
      <c r="CW26" s="767">
        <f>'Volume Data Entry'!OJ133</f>
        <v>210.58900000000003</v>
      </c>
      <c r="CX26" s="767">
        <f>'Volume Data Entry'!OR61</f>
        <v>299.52300000000002</v>
      </c>
      <c r="CY26" s="767">
        <f>'Volume Data Entry'!OR133</f>
        <v>379.22800000000001</v>
      </c>
      <c r="CZ26" s="191">
        <f>'Volume Data Entry'!OZ61</f>
        <v>0</v>
      </c>
      <c r="DA26" s="191">
        <f>'Volume Data Entry'!OZ133</f>
        <v>0</v>
      </c>
      <c r="DB26" s="774">
        <f>'Volume Data Entry'!PH61</f>
        <v>0</v>
      </c>
      <c r="DC26" s="774">
        <f>'Volume Data Entry'!PH133</f>
        <v>87.256000000000014</v>
      </c>
      <c r="DD26" s="774">
        <f>'Volume Data Entry'!PP61</f>
        <v>95.646000000000015</v>
      </c>
      <c r="DE26" s="774">
        <f>'Volume Data Entry'!PP133</f>
        <v>259.25100000000003</v>
      </c>
      <c r="DF26" s="191">
        <f>'Volume Data Entry'!PX61</f>
        <v>52.857000000000006</v>
      </c>
      <c r="DG26" s="191">
        <f>'Volume Data Entry'!PX133</f>
        <v>55.374000000000002</v>
      </c>
      <c r="DH26" s="774">
        <f>'Volume Data Entry'!QF61</f>
        <v>34.399000000000001</v>
      </c>
      <c r="DI26" s="774">
        <f>'Volume Data Entry'!QF133</f>
        <v>97.324000000000012</v>
      </c>
      <c r="DJ26" s="774">
        <f>'Volume Data Entry'!QN61</f>
        <v>156.054</v>
      </c>
      <c r="DK26" s="774">
        <f>'Volume Data Entry'!QN133</f>
        <v>102.358</v>
      </c>
      <c r="DL26" s="191">
        <f>'Volume Data Entry'!QV61</f>
        <v>142.63000000000002</v>
      </c>
      <c r="DM26" s="191">
        <f>'Volume Data Entry'!QV133</f>
        <v>182.06300000000002</v>
      </c>
      <c r="DN26" s="774">
        <f t="shared" si="3"/>
        <v>119.13800000000002</v>
      </c>
      <c r="DO26" s="774">
        <f t="shared" si="4"/>
        <v>133.26116666666667</v>
      </c>
      <c r="DP26" s="774">
        <f t="shared" si="5"/>
        <v>139.25069444444446</v>
      </c>
      <c r="DQ26" s="774">
        <f t="shared" si="6"/>
        <v>136.45014351851853</v>
      </c>
      <c r="DR26" s="191">
        <f>'Volume Data Entry'!RT61</f>
        <v>228.20800000000003</v>
      </c>
      <c r="DS26" s="191">
        <f>'Volume Data Entry'!RT133</f>
        <v>132.56200000000001</v>
      </c>
      <c r="DT26" s="774">
        <f>'Volume Data Entry'!SB61</f>
        <v>119.13800000000001</v>
      </c>
      <c r="DU26" s="774">
        <f>'Volume Data Entry'!SB133</f>
        <v>167.8</v>
      </c>
      <c r="DV26" s="774">
        <f>'Volume Data Entry'!SJ61</f>
        <v>114.10400000000001</v>
      </c>
      <c r="DW26" s="774">
        <f>'Volume Data Entry'!SJ133</f>
        <v>123.33300000000001</v>
      </c>
      <c r="DX26" s="191">
        <f>'Volume Data Entry'!SR61</f>
        <v>150.18100000000001</v>
      </c>
      <c r="DY26" s="191">
        <f>'Volume Data Entry'!SR133</f>
        <v>244.14900000000003</v>
      </c>
      <c r="DZ26" s="774">
        <f>'Volume Data Entry'!SZ61</f>
        <v>174.51200000000003</v>
      </c>
      <c r="EA26" s="774">
        <f>'Volume Data Entry'!SZ133</f>
        <v>167.8</v>
      </c>
      <c r="EB26" s="774">
        <f>'Volume Data Entry'!TH61</f>
        <v>122.49400000000001</v>
      </c>
      <c r="EC26" s="774">
        <f>'Volume Data Entry'!TH133</f>
        <v>78.866000000000014</v>
      </c>
    </row>
    <row r="27" spans="1:138">
      <c r="A27" s="192" t="s">
        <v>41</v>
      </c>
      <c r="B27" s="190">
        <f>'Volume Data Entry'!H52</f>
        <v>38.80777777777778</v>
      </c>
      <c r="C27" s="190">
        <f>'Volume Data Entry'!H113</f>
        <v>31.49861111111111</v>
      </c>
      <c r="D27" s="190">
        <f>'Volume Data Entry'!P52</f>
        <v>4.2796296296296292</v>
      </c>
      <c r="E27" s="190">
        <f>'Volume Data Entry'!P113</f>
        <v>0</v>
      </c>
      <c r="F27" s="190">
        <f>'Volume Data Entry'!X52</f>
        <v>9.9739814814814807</v>
      </c>
      <c r="G27" s="190">
        <f>'Volume Data Entry'!X113</f>
        <v>431.60824074074071</v>
      </c>
      <c r="H27" s="190">
        <f>'Volume Data Entry'!AF52</f>
        <v>0</v>
      </c>
      <c r="I27" s="190">
        <f>'Volume Data Entry'!AF113</f>
        <v>0</v>
      </c>
      <c r="J27" s="190">
        <f>'Volume Data Entry'!AN52</f>
        <v>0</v>
      </c>
      <c r="K27" s="190">
        <f>'Volume Data Entry'!AN113</f>
        <v>74.832962962962966</v>
      </c>
      <c r="L27" s="190">
        <f>'Volume Data Entry'!AV52</f>
        <v>0</v>
      </c>
      <c r="M27" s="190">
        <f>'Volume Data Entry'!AV113</f>
        <v>58.011574074074076</v>
      </c>
      <c r="N27" s="190">
        <f>'Volume Data Entry'!BD52</f>
        <v>37.660740740740735</v>
      </c>
      <c r="O27" s="190">
        <f>'Volume Data Entry'!BD113</f>
        <v>0</v>
      </c>
      <c r="P27" s="190">
        <f>'Volume Data Entry'!BL52</f>
        <v>128.24435185185183</v>
      </c>
      <c r="Q27" s="190">
        <f>'Volume Data Entry'!BL113</f>
        <v>90.895462962962966</v>
      </c>
      <c r="R27" s="190">
        <f>'Volume Data Entry'!BT52</f>
        <v>16.26259259259259</v>
      </c>
      <c r="S27" s="190">
        <f>'Volume Data Entry'!BT113</f>
        <v>133.65898148148148</v>
      </c>
      <c r="T27" s="190">
        <f>'Volume Data Entry'!CB52</f>
        <v>0</v>
      </c>
      <c r="U27" s="190">
        <f>'Volume Data Entry'!CB113</f>
        <v>0</v>
      </c>
      <c r="V27" s="190">
        <f>'Volume Data Entry'!CJ52</f>
        <v>0</v>
      </c>
      <c r="W27" s="190">
        <f>'Volume Data Entry'!CJ113</f>
        <v>0</v>
      </c>
      <c r="X27" s="190">
        <f>'Volume Data Entry'!CR52</f>
        <v>16.218425925925924</v>
      </c>
      <c r="Y27" s="190">
        <f>'Volume Data Entry'!CR113</f>
        <v>0</v>
      </c>
      <c r="Z27" s="190">
        <f>'Volume Data Entry'!CZ52</f>
        <v>128.24435185185183</v>
      </c>
      <c r="AA27" s="190">
        <f>'Volume Data Entry'!CZ113</f>
        <v>90.895462962962966</v>
      </c>
      <c r="AB27" s="190">
        <f>'Volume Data Entry'!DH52</f>
        <v>2.1883333333333335</v>
      </c>
      <c r="AC27" s="190">
        <f>'Volume Data Entry'!DH113</f>
        <v>0</v>
      </c>
      <c r="AD27" s="190">
        <f>'Volume Data Entry'!DP52</f>
        <v>56.49111111111111</v>
      </c>
      <c r="AE27" s="190">
        <f>'Volume Data Entry'!DP113</f>
        <v>0</v>
      </c>
      <c r="AF27" s="190">
        <f>'Volume Data Entry'!DX52</f>
        <v>0</v>
      </c>
      <c r="AG27" s="190">
        <f>'Volume Data Entry'!DX113</f>
        <v>0</v>
      </c>
      <c r="AH27" s="190">
        <f>'Volume Data Entry'!EF52</f>
        <v>0</v>
      </c>
      <c r="AI27" s="190">
        <f>'Volume Data Entry'!EF113</f>
        <v>37.660740740740735</v>
      </c>
      <c r="AJ27" s="190">
        <f>'Volume Data Entry'!EN52</f>
        <v>121.54148148148147</v>
      </c>
      <c r="AK27" s="190">
        <f>'Volume Data Entry'!EN113</f>
        <v>38.213518518518519</v>
      </c>
      <c r="AL27" s="190">
        <f>'Volume Data Entry'!EV52</f>
        <v>232.36148148148149</v>
      </c>
      <c r="AM27" s="190">
        <f>'Volume Data Entry'!EV113</f>
        <v>32.52518518518518</v>
      </c>
      <c r="AN27" s="190">
        <f>'Volume Data Entry'!FD52</f>
        <v>0</v>
      </c>
      <c r="AO27" s="190">
        <f>'Volume Data Entry'!FD113</f>
        <v>0</v>
      </c>
      <c r="AP27" s="190">
        <f>'Volume Data Entry'!FL52</f>
        <v>0</v>
      </c>
      <c r="AQ27" s="190">
        <f>'Volume Data Entry'!FL113</f>
        <v>0</v>
      </c>
      <c r="AR27" s="190">
        <f>'Volume Data Entry'!FT52</f>
        <v>0</v>
      </c>
      <c r="AS27" s="190">
        <f>'Volume Data Entry'!FT113</f>
        <v>0</v>
      </c>
      <c r="AT27" s="190">
        <f>'Volume Data Entry'!GB52</f>
        <v>0</v>
      </c>
      <c r="AU27" s="190">
        <f>'Volume Data Entry'!GB113</f>
        <v>0</v>
      </c>
      <c r="AV27" s="190">
        <f>'Volume Data Entry'!GJ52</f>
        <v>0</v>
      </c>
      <c r="AW27" s="190">
        <f>'Volume Data Entry'!GJ113</f>
        <v>0</v>
      </c>
      <c r="AX27" s="190">
        <f>'Volume Data Entry'!GR52</f>
        <v>128.24435185185183</v>
      </c>
      <c r="AY27" s="191">
        <f>'Volume Data Entry'!GR113</f>
        <v>0</v>
      </c>
      <c r="AZ27" s="190">
        <f>'Volume Data Entry'!GZ52</f>
        <v>0</v>
      </c>
      <c r="BA27" s="191">
        <f>'Volume Data Entry'!GZ113</f>
        <v>24.82185185185185</v>
      </c>
      <c r="BB27" s="190">
        <f>'Volume Data Entry'!HH52</f>
        <v>5.1355555555555554</v>
      </c>
      <c r="BC27" s="191">
        <f>'Volume Data Entry'!HH113</f>
        <v>25.171851851851851</v>
      </c>
      <c r="BD27" s="190">
        <f>'Volume Data Entry'!HP52</f>
        <v>0</v>
      </c>
      <c r="BE27" s="191">
        <f>'Volume Data Entry'!HP113</f>
        <v>3.4237037037037035</v>
      </c>
      <c r="BF27" s="190">
        <f>'Volume Data Entry'!HX52</f>
        <v>25.589444444444446</v>
      </c>
      <c r="BG27" s="191">
        <f>'Volume Data Entry'!HX113</f>
        <v>80.788981481481486</v>
      </c>
      <c r="BH27" s="190">
        <f>'Volume Data Entry'!IF52</f>
        <v>71.282777777777767</v>
      </c>
      <c r="BI27" s="191">
        <f>'Volume Data Entry'!IF113</f>
        <v>20.259814814814813</v>
      </c>
      <c r="BJ27" s="190">
        <f>'Volume Data Entry'!IN52</f>
        <v>175.49962962962962</v>
      </c>
      <c r="BK27" s="191">
        <f>'Volume Data Entry'!IN113</f>
        <v>124.10925925925925</v>
      </c>
      <c r="BL27" s="190">
        <f>'Volume Data Entry'!IV52</f>
        <v>277.36888888888888</v>
      </c>
      <c r="BM27" s="191">
        <f>'Volume Data Entry'!IV113</f>
        <v>614.58166666666671</v>
      </c>
      <c r="BN27" s="190">
        <f>'Volume Data Entry'!JD52</f>
        <v>255.22990740740738</v>
      </c>
      <c r="BO27" s="191">
        <f>'Volume Data Entry'!JD113</f>
        <v>114.92898148148149</v>
      </c>
      <c r="BP27" s="190">
        <f>'Volume Data Entry'!JL52</f>
        <v>309.34462962962959</v>
      </c>
      <c r="BQ27" s="191">
        <f>'Volume Data Entry'!JL113</f>
        <v>126.28824074074073</v>
      </c>
      <c r="BR27" s="190">
        <f>'Volume Data Entry'!JT52</f>
        <v>407.0112037037037</v>
      </c>
      <c r="BS27" s="191">
        <f>'Volume Data Entry'!JT113</f>
        <v>332.41046296296292</v>
      </c>
      <c r="BT27" s="190">
        <f>'Volume Data Entry'!KB52</f>
        <v>87.827777777777783</v>
      </c>
      <c r="BU27" s="191">
        <f>'Volume Data Entry'!KB113</f>
        <v>246.77370370370369</v>
      </c>
      <c r="BV27" s="190">
        <f>'Volume Data Entry'!KJ52</f>
        <v>25.677777777777777</v>
      </c>
      <c r="BW27" s="191">
        <f>'Volume Data Entry'!KJ113</f>
        <v>23.11</v>
      </c>
      <c r="BX27" s="190">
        <f>'Volume Data Entry'!KR52</f>
        <v>0</v>
      </c>
      <c r="BY27" s="191">
        <f>'Volume Data Entry'!KR113</f>
        <v>0</v>
      </c>
      <c r="BZ27" s="190">
        <f>'Volume Data Entry'!KZ52</f>
        <v>0</v>
      </c>
      <c r="CA27" s="191">
        <f>'Volume Data Entry'!KZ113</f>
        <v>10.271111111111111</v>
      </c>
      <c r="CB27" s="190">
        <f>'Volume Data Entry'!LH52</f>
        <v>33.642777777777781</v>
      </c>
      <c r="CC27" s="191">
        <f>'Volume Data Entry'!LH113</f>
        <v>0.36472222222222223</v>
      </c>
      <c r="CD27" s="190">
        <f>'Volume Data Entry'!LP52</f>
        <v>19.686296296296295</v>
      </c>
      <c r="CE27" s="191">
        <f>'Volume Data Entry'!LP113</f>
        <v>26.460092592592591</v>
      </c>
      <c r="CF27" s="190">
        <f>'Volume Data Entry'!LX52</f>
        <v>71.303518518518516</v>
      </c>
      <c r="CG27" s="757">
        <f>'Volume Data Entry'!LX113</f>
        <v>59.914814814814811</v>
      </c>
      <c r="CH27" s="759">
        <f>'Volume Data Entry'!MF52</f>
        <v>175.8349074074074</v>
      </c>
      <c r="CI27" s="757">
        <f>'Volume Data Entry'!MF113</f>
        <v>192.86777777777777</v>
      </c>
      <c r="CJ27" s="759">
        <f>'Volume Data Entry'!MN52</f>
        <v>451.56018518518511</v>
      </c>
      <c r="CK27" s="757">
        <f>'Volume Data Entry'!MN113</f>
        <v>243.02675925925925</v>
      </c>
      <c r="CL27" s="759">
        <f>'Volume Data Entry'!MV52</f>
        <v>244.26749999999998</v>
      </c>
      <c r="CM27" s="759">
        <f>'Volume Data Entry'!MV113</f>
        <v>393.48638888888888</v>
      </c>
      <c r="CN27" s="810">
        <f>'Volume Data Entry'!ND63</f>
        <v>145.18620370370371</v>
      </c>
      <c r="CO27" s="191">
        <f>'Volume Data Entry'!ND135</f>
        <v>203.90712962962962</v>
      </c>
      <c r="CP27" s="767">
        <f>'Volume Data Entry'!NL63</f>
        <v>118.41759259259258</v>
      </c>
      <c r="CQ27" s="767">
        <f>'Volume Data Entry'!NL135</f>
        <v>758.45277777777778</v>
      </c>
      <c r="CR27" s="767">
        <f>'Volume Data Entry'!NT63</f>
        <v>71.067962962962966</v>
      </c>
      <c r="CS27" s="768">
        <f>'Volume Data Entry'!NT135</f>
        <v>0</v>
      </c>
      <c r="CT27" s="191">
        <f>'Volume Data Entry'!OB63</f>
        <v>2.5677777777777777</v>
      </c>
      <c r="CU27" s="191">
        <f>'Volume Data Entry'!OB135</f>
        <v>18.236111111111111</v>
      </c>
      <c r="CV27" s="767">
        <f>'Volume Data Entry'!OJ63</f>
        <v>0</v>
      </c>
      <c r="CW27" s="767">
        <f>'Volume Data Entry'!OJ135</f>
        <v>0</v>
      </c>
      <c r="CX27" s="767">
        <f>'Volume Data Entry'!OR63</f>
        <v>0</v>
      </c>
      <c r="CY27" s="768">
        <f>'Volume Data Entry'!OR135</f>
        <v>0</v>
      </c>
      <c r="CZ27" s="191">
        <f>'Volume Data Entry'!OZ63</f>
        <v>0</v>
      </c>
      <c r="DA27" s="191">
        <f>'Volume Data Entry'!OZ135</f>
        <v>0</v>
      </c>
      <c r="DB27" s="774">
        <f>'Volume Data Entry'!PH63</f>
        <v>0</v>
      </c>
      <c r="DC27" s="774">
        <f>'Volume Data Entry'!PH135</f>
        <v>3.4237037037037035</v>
      </c>
      <c r="DD27" s="774">
        <f>'Volume Data Entry'!PP63</f>
        <v>102.66694444444444</v>
      </c>
      <c r="DE27" s="774">
        <f>'Volume Data Entry'!PP135</f>
        <v>39.343148148148146</v>
      </c>
      <c r="DF27" s="191">
        <f>'Volume Data Entry'!PX63</f>
        <v>342.03648148148147</v>
      </c>
      <c r="DG27" s="191">
        <f>'Volume Data Entry'!PX135</f>
        <v>93.589722222222221</v>
      </c>
      <c r="DH27" s="774">
        <f>'Volume Data Entry'!QF63</f>
        <v>94.281018518518522</v>
      </c>
      <c r="DI27" s="774">
        <f>'Volume Data Entry'!QF135</f>
        <v>185.38527777777779</v>
      </c>
      <c r="DJ27" s="774">
        <f>'Volume Data Entry'!QN63</f>
        <v>17.900833333333331</v>
      </c>
      <c r="DK27" s="774">
        <f>'Volume Data Entry'!QN135</f>
        <v>15.883148148148148</v>
      </c>
      <c r="DL27" s="191">
        <f>'Volume Data Entry'!QV63</f>
        <v>413.4175925925926</v>
      </c>
      <c r="DM27" s="191">
        <f>'Volume Data Entry'!QV135</f>
        <v>97.919537037037031</v>
      </c>
      <c r="DN27" s="774">
        <f t="shared" si="3"/>
        <v>137.46456790123457</v>
      </c>
      <c r="DO27" s="774">
        <f t="shared" si="4"/>
        <v>144.66182613168723</v>
      </c>
      <c r="DP27" s="774">
        <f t="shared" si="5"/>
        <v>137.87458419067215</v>
      </c>
      <c r="DQ27" s="774">
        <f t="shared" si="6"/>
        <v>157.87020933356197</v>
      </c>
      <c r="DR27" s="191">
        <f>'Volume Data Entry'!RT63</f>
        <v>3.2825000000000002</v>
      </c>
      <c r="DS27" s="191">
        <f>'Volume Data Entry'!RT135</f>
        <v>2.9177777777777778</v>
      </c>
      <c r="DT27" s="774">
        <f>'Volume Data Entry'!SB63</f>
        <v>0</v>
      </c>
      <c r="DU27" s="774">
        <f>'Volume Data Entry'!SB135</f>
        <v>0</v>
      </c>
      <c r="DV27" s="774">
        <f>'Volume Data Entry'!SJ63</f>
        <v>0.36472222222222223</v>
      </c>
      <c r="DW27" s="774">
        <f>'Volume Data Entry'!SJ135</f>
        <v>0</v>
      </c>
      <c r="DX27" s="191">
        <f>'Volume Data Entry'!SR63</f>
        <v>23.245185185185186</v>
      </c>
      <c r="DY27" s="191">
        <f>'Volume Data Entry'!SR135</f>
        <v>2.5530555555555554</v>
      </c>
      <c r="DZ27" s="774">
        <f>'Volume Data Entry'!SZ63</f>
        <v>7.2944444444444443</v>
      </c>
      <c r="EA27" s="774">
        <f>'Volume Data Entry'!SZ135</f>
        <v>37.304722222222225</v>
      </c>
      <c r="EB27" s="774">
        <f>'Volume Data Entry'!TH63</f>
        <v>9.1180555555555554</v>
      </c>
      <c r="EC27" s="774">
        <f>'Volume Data Entry'!TH135</f>
        <v>62.929629629629623</v>
      </c>
    </row>
    <row r="28" spans="1:138">
      <c r="A28" s="194" t="s">
        <v>43</v>
      </c>
      <c r="B28" s="195">
        <f>'Volume Data Entry'!H55</f>
        <v>92.089285714285722</v>
      </c>
      <c r="C28" s="195">
        <f>'Volume Data Entry'!H116</f>
        <v>12.524142857142857</v>
      </c>
      <c r="D28" s="195">
        <f>'Volume Data Entry'!P55</f>
        <v>223.22442857142858</v>
      </c>
      <c r="E28" s="195">
        <f>'Volume Data Entry'!P116</f>
        <v>130.58844827586208</v>
      </c>
      <c r="F28" s="195">
        <f>'Volume Data Entry'!X55</f>
        <v>0</v>
      </c>
      <c r="G28" s="195">
        <f>'Volume Data Entry'!X116</f>
        <v>0</v>
      </c>
      <c r="H28" s="195">
        <f>'Volume Data Entry'!AF55</f>
        <v>0</v>
      </c>
      <c r="I28" s="195">
        <f>'Volume Data Entry'!AF116</f>
        <v>7.3671428571428574</v>
      </c>
      <c r="J28" s="195">
        <f>'Volume Data Entry'!AN55</f>
        <v>48.623142857142859</v>
      </c>
      <c r="K28" s="195">
        <f>'Volume Data Entry'!AN116</f>
        <v>60.41057142857143</v>
      </c>
      <c r="L28" s="195">
        <f>'Volume Data Entry'!AV55</f>
        <v>0</v>
      </c>
      <c r="M28" s="195">
        <f>'Volume Data Entry'!AV116</f>
        <v>57.02028571428572</v>
      </c>
      <c r="N28" s="195">
        <f>'Volume Data Entry'!BD55</f>
        <v>262.23853990147785</v>
      </c>
      <c r="O28" s="195">
        <f>'Volume Data Entry'!BD116</f>
        <v>0</v>
      </c>
      <c r="P28" s="195">
        <f>'Volume Data Entry'!BL55</f>
        <v>741.51120985221689</v>
      </c>
      <c r="Q28" s="195">
        <f>'Volume Data Entry'!BL116</f>
        <v>1330.0667783251233</v>
      </c>
      <c r="R28" s="195">
        <f>'Volume Data Entry'!BT55</f>
        <v>80.087955665024637</v>
      </c>
      <c r="S28" s="195">
        <f>'Volume Data Entry'!BT116</f>
        <v>1450.3543004926109</v>
      </c>
      <c r="T28" s="195">
        <f>'Volume Data Entry'!CB55</f>
        <v>0</v>
      </c>
      <c r="U28" s="195">
        <f>'Volume Data Entry'!CB116</f>
        <v>0</v>
      </c>
      <c r="V28" s="195">
        <f>'Volume Data Entry'!CJ55</f>
        <v>0</v>
      </c>
      <c r="W28" s="195">
        <f>'Volume Data Entry'!CJ116</f>
        <v>0</v>
      </c>
      <c r="X28" s="195">
        <f>'Volume Data Entry'!CR55</f>
        <v>254.95055172413794</v>
      </c>
      <c r="Y28" s="195">
        <f>'Volume Data Entry'!CR116</f>
        <v>0</v>
      </c>
      <c r="Z28" s="195">
        <f>'Volume Data Entry'!CZ55</f>
        <v>741.51120985221689</v>
      </c>
      <c r="AA28" s="195">
        <f>'Volume Data Entry'!CZ116</f>
        <v>668.64057142857155</v>
      </c>
      <c r="AB28" s="195">
        <f>'Volume Data Entry'!DH55</f>
        <v>114.48400000000001</v>
      </c>
      <c r="AC28" s="195">
        <f>'Volume Data Entry'!DH116</f>
        <v>0</v>
      </c>
      <c r="AD28" s="195">
        <f>'Volume Data Entry'!DP55</f>
        <v>111.72225714285715</v>
      </c>
      <c r="AE28" s="195">
        <f>'Volume Data Entry'!DP116</f>
        <v>0</v>
      </c>
      <c r="AF28" s="195">
        <f>'Volume Data Entry'!DX55</f>
        <v>0</v>
      </c>
      <c r="AG28" s="195">
        <f>'Volume Data Entry'!DX116</f>
        <v>0</v>
      </c>
      <c r="AH28" s="195">
        <f>'Volume Data Entry'!EF55</f>
        <v>0</v>
      </c>
      <c r="AI28" s="195">
        <f>'Volume Data Entry'!EF116</f>
        <v>0</v>
      </c>
      <c r="AJ28" s="195">
        <f>'Volume Data Entry'!EN55</f>
        <v>73.671428571428578</v>
      </c>
      <c r="AK28" s="195">
        <f>'Volume Data Entry'!EN116</f>
        <v>0</v>
      </c>
      <c r="AL28" s="195">
        <f>'Volume Data Entry'!EV55</f>
        <v>210.44887783251235</v>
      </c>
      <c r="AM28" s="195">
        <f>'Volume Data Entry'!EV116</f>
        <v>170.63244334975371</v>
      </c>
      <c r="AN28" s="195">
        <f>'Volume Data Entry'!FD55</f>
        <v>0</v>
      </c>
      <c r="AO28" s="195">
        <f>'Volume Data Entry'!FD116</f>
        <v>0</v>
      </c>
      <c r="AP28" s="195">
        <f>'Volume Data Entry'!FL55</f>
        <v>0</v>
      </c>
      <c r="AQ28" s="195">
        <f>'Volume Data Entry'!FL116</f>
        <v>0</v>
      </c>
      <c r="AR28" s="195">
        <f>'Volume Data Entry'!FT55</f>
        <v>0</v>
      </c>
      <c r="AS28" s="195">
        <f>'Volume Data Entry'!FT116</f>
        <v>0</v>
      </c>
      <c r="AT28" s="195">
        <f>'Volume Data Entry'!GB55</f>
        <v>0</v>
      </c>
      <c r="AU28" s="195">
        <f>'Volume Data Entry'!GB116</f>
        <v>0</v>
      </c>
      <c r="AV28" s="195">
        <f>'Volume Data Entry'!GJ55</f>
        <v>0</v>
      </c>
      <c r="AW28" s="195">
        <f>'Volume Data Entry'!GJ116</f>
        <v>0</v>
      </c>
      <c r="AX28" s="195">
        <f>'Volume Data Entry'!GR55</f>
        <v>741.51120985221689</v>
      </c>
      <c r="AY28" s="196">
        <f>'Volume Data Entry'!GR116</f>
        <v>0</v>
      </c>
      <c r="AZ28" s="195">
        <f>'Volume Data Entry'!GZ55</f>
        <v>103.14</v>
      </c>
      <c r="BA28" s="196">
        <f>'Volume Data Entry'!GZ116</f>
        <v>45.676285714285719</v>
      </c>
      <c r="BB28" s="195">
        <f>'Volume Data Entry'!HH55</f>
        <v>0</v>
      </c>
      <c r="BC28" s="196">
        <f>'Volume Data Entry'!HH116</f>
        <v>0</v>
      </c>
      <c r="BD28" s="195">
        <f>'Volume Data Entry'!HP55</f>
        <v>0</v>
      </c>
      <c r="BE28" s="196">
        <f>'Volume Data Entry'!HP116</f>
        <v>9.5772857142857148</v>
      </c>
      <c r="BF28" s="195">
        <f>'Volume Data Entry'!HX55</f>
        <v>15.471000000000002</v>
      </c>
      <c r="BG28" s="196">
        <f>'Volume Data Entry'!HX116</f>
        <v>44.939571428571433</v>
      </c>
      <c r="BH28" s="195">
        <f>'Volume Data Entry'!IF55</f>
        <v>61.884000000000007</v>
      </c>
      <c r="BI28" s="196">
        <f>'Volume Data Entry'!IF116</f>
        <v>0</v>
      </c>
      <c r="BJ28" s="195">
        <f>'Volume Data Entry'!IN55</f>
        <v>661.88805911330053</v>
      </c>
      <c r="BK28" s="196">
        <f>'Volume Data Entry'!IN116</f>
        <v>110.50714285714287</v>
      </c>
      <c r="BL28" s="195">
        <f>'Volume Data Entry'!IV55</f>
        <v>1690.4978157635469</v>
      </c>
      <c r="BM28" s="196">
        <f>'Volume Data Entry'!IV116</f>
        <v>774.97518226600994</v>
      </c>
      <c r="BN28" s="195">
        <f>'Volume Data Entry'!JD55</f>
        <v>1267.8375911330052</v>
      </c>
      <c r="BO28" s="196">
        <f>'Volume Data Entry'!JD116</f>
        <v>98.767167487684745</v>
      </c>
      <c r="BP28" s="195">
        <f>'Volume Data Entry'!JL55</f>
        <v>877.1932768472908</v>
      </c>
      <c r="BQ28" s="196">
        <f>'Volume Data Entry'!JL116</f>
        <v>1164.7506078817735</v>
      </c>
      <c r="BR28" s="195">
        <f>'Volume Data Entry'!JT55</f>
        <v>2470.2408472906409</v>
      </c>
      <c r="BS28" s="196">
        <f>'Volume Data Entry'!JT116</f>
        <v>1306.6639517241381</v>
      </c>
      <c r="BT28" s="195">
        <f>'Volume Data Entry'!KB55</f>
        <v>296.2876216748769</v>
      </c>
      <c r="BU28" s="196">
        <f>'Volume Data Entry'!KB116</f>
        <v>937.89720492610854</v>
      </c>
      <c r="BV28" s="195">
        <f>'Volume Data Entry'!KJ55</f>
        <v>312.05784236453201</v>
      </c>
      <c r="BW28" s="196">
        <f>'Volume Data Entry'!KJ116</f>
        <v>384.46977832512317</v>
      </c>
      <c r="BX28" s="195">
        <f>'Volume Data Entry'!KR55</f>
        <v>223.22442857142858</v>
      </c>
      <c r="BY28" s="196">
        <f>'Volume Data Entry'!KR116</f>
        <v>130.58844827586208</v>
      </c>
      <c r="BZ28" s="195">
        <f>'Volume Data Entry'!KZ55</f>
        <v>0</v>
      </c>
      <c r="CA28" s="196">
        <f>'Volume Data Entry'!KZ116</f>
        <v>0</v>
      </c>
      <c r="CB28" s="195">
        <f>'Volume Data Entry'!LH55</f>
        <v>2.9468571428571431</v>
      </c>
      <c r="CC28" s="196">
        <f>'Volume Data Entry'!LH116</f>
        <v>18.417857142857144</v>
      </c>
      <c r="CD28" s="195">
        <f>'Volume Data Entry'!LP55</f>
        <v>19.130793103448276</v>
      </c>
      <c r="CE28" s="196">
        <f>'Volume Data Entry'!LP116</f>
        <v>8.8405714285714296</v>
      </c>
      <c r="CF28" s="195">
        <f>'Volume Data Entry'!LX55</f>
        <v>97.019952709359615</v>
      </c>
      <c r="CG28" s="758">
        <f>'Volume Data Entry'!LX116</f>
        <v>193.01914285714287</v>
      </c>
      <c r="CH28" s="760">
        <f>'Volume Data Entry'!MF55</f>
        <v>210.02186305418721</v>
      </c>
      <c r="CI28" s="758">
        <f>'Volume Data Entry'!MF116</f>
        <v>366.9124019704434</v>
      </c>
      <c r="CJ28" s="760">
        <f>'Volume Data Entry'!MN55</f>
        <v>801.26605714285733</v>
      </c>
      <c r="CK28" s="758">
        <f>'Volume Data Entry'!MN116</f>
        <v>2138.8218059113301</v>
      </c>
      <c r="CL28" s="760">
        <f>'Volume Data Entry'!MV55</f>
        <v>937.49610837438433</v>
      </c>
      <c r="CM28" s="760">
        <f>'Volume Data Entry'!MV116</f>
        <v>1259.7096374384239</v>
      </c>
      <c r="CN28" s="811">
        <f>'Volume Data Entry'!ND66</f>
        <v>1413.0960916256158</v>
      </c>
      <c r="CO28" s="196">
        <f>'Volume Data Entry'!ND138</f>
        <v>1906.2175290640396</v>
      </c>
      <c r="CP28" s="769">
        <f>'Volume Data Entry'!NL66</f>
        <v>567.49439901477831</v>
      </c>
      <c r="CQ28" s="769">
        <f>'Volume Data Entry'!NL138</f>
        <v>1176.7113714285715</v>
      </c>
      <c r="CR28" s="769">
        <f>'Volume Data Entry'!NT66</f>
        <v>351.40108571428573</v>
      </c>
      <c r="CS28" s="769">
        <f>'Volume Data Entry'!NT138</f>
        <v>184.13460788177343</v>
      </c>
      <c r="CT28" s="196">
        <f>'Volume Data Entry'!OB66</f>
        <v>228.65466206896554</v>
      </c>
      <c r="CU28" s="196">
        <f>'Volume Data Entry'!OB138</f>
        <v>89.130267980295571</v>
      </c>
      <c r="CV28" s="769">
        <f>'Volume Data Entry'!OJ66</f>
        <v>54.835971428571426</v>
      </c>
      <c r="CW28" s="769">
        <f>'Volume Data Entry'!OJ138</f>
        <v>92.715142857142865</v>
      </c>
      <c r="CX28" s="769">
        <f>'Volume Data Entry'!OR66</f>
        <v>0.56720000000000004</v>
      </c>
      <c r="CY28" s="769">
        <f>'Volume Data Entry'!OR138</f>
        <v>5.157</v>
      </c>
      <c r="CZ28" s="196">
        <f>'Volume Data Entry'!OZ66</f>
        <v>0</v>
      </c>
      <c r="DA28" s="196">
        <f>'Volume Data Entry'!OZ138</f>
        <v>0</v>
      </c>
      <c r="DB28" s="794">
        <f>'Volume Data Entry'!PH66</f>
        <v>0</v>
      </c>
      <c r="DC28" s="794">
        <f>'Volume Data Entry'!PH138</f>
        <v>0</v>
      </c>
      <c r="DD28" s="794">
        <f>'Volume Data Entry'!PP66</f>
        <v>13.99757142857143</v>
      </c>
      <c r="DE28" s="794">
        <f>'Volume Data Entry'!PP138</f>
        <v>7.3671428571428574</v>
      </c>
      <c r="DF28" s="196">
        <f>'Volume Data Entry'!PX66</f>
        <v>16.380457142857146</v>
      </c>
      <c r="DG28" s="196">
        <f>'Volume Data Entry'!PX138</f>
        <v>68.584151724137939</v>
      </c>
      <c r="DH28" s="794">
        <f>'Volume Data Entry'!QF66</f>
        <v>230.125</v>
      </c>
      <c r="DI28" s="794">
        <f>'Volume Data Entry'!QF138</f>
        <v>490.36757142857147</v>
      </c>
      <c r="DJ28" s="794">
        <f>'Volume Data Entry'!QN66</f>
        <v>698.29386995073901</v>
      </c>
      <c r="DK28" s="794">
        <f>'Volume Data Entry'!QN138</f>
        <v>521.2971251231528</v>
      </c>
      <c r="DL28" s="196">
        <f>'Volume Data Entry'!QV66</f>
        <v>396.8945931034483</v>
      </c>
      <c r="DM28" s="196">
        <f>'Volume Data Entry'!QV138</f>
        <v>621.04808275862069</v>
      </c>
      <c r="DN28" s="794">
        <f t="shared" si="3"/>
        <v>493.00437372742203</v>
      </c>
      <c r="DO28" s="794">
        <f t="shared" si="4"/>
        <v>536.81760268199241</v>
      </c>
      <c r="DP28" s="794">
        <f t="shared" si="5"/>
        <v>544.5592745575625</v>
      </c>
      <c r="DQ28" s="794">
        <f t="shared" si="6"/>
        <v>518.93684199203301</v>
      </c>
      <c r="DR28" s="196">
        <f>'Volume Data Entry'!RT66</f>
        <v>9.8149310344827594</v>
      </c>
      <c r="DS28" s="196">
        <f>'Volume Data Entry'!RT138</f>
        <v>0</v>
      </c>
      <c r="DT28" s="794">
        <f>'Volume Data Entry'!SB66</f>
        <v>0</v>
      </c>
      <c r="DU28" s="794">
        <f>'Volume Data Entry'!SB138</f>
        <v>3.4934482758620695</v>
      </c>
      <c r="DV28" s="794">
        <f>'Volume Data Entry'!SJ66</f>
        <v>29.619103448275865</v>
      </c>
      <c r="DW28" s="794">
        <f>'Volume Data Entry'!SJ138</f>
        <v>8.1513793103448293</v>
      </c>
      <c r="DX28" s="196">
        <f>'Volume Data Entry'!SR66</f>
        <v>8.1513793103448293</v>
      </c>
      <c r="DY28" s="196">
        <f>'Volume Data Entry'!SR138</f>
        <v>16.944428571428574</v>
      </c>
      <c r="DZ28" s="794">
        <f>'Volume Data Entry'!SZ66</f>
        <v>21.038388177339904</v>
      </c>
      <c r="EA28" s="794">
        <f>'Volume Data Entry'!SZ138</f>
        <v>52.306714285714293</v>
      </c>
      <c r="EB28" s="794">
        <f>'Volume Data Entry'!TH66</f>
        <v>40.519285714285715</v>
      </c>
      <c r="EC28" s="794">
        <f>'Volume Data Entry'!TH138</f>
        <v>133.82057635467982</v>
      </c>
    </row>
    <row r="29" spans="1:138">
      <c r="A29" s="181"/>
      <c r="B29" s="857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</row>
    <row r="30" spans="1:138">
      <c r="A30" s="197" t="s">
        <v>157</v>
      </c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98"/>
      <c r="BM30" s="198"/>
      <c r="BN30" s="178"/>
      <c r="BO30" s="178"/>
      <c r="BP30" s="178"/>
      <c r="BQ30" s="178"/>
      <c r="BR30" s="178"/>
      <c r="BS30" s="178"/>
      <c r="BT30" s="178"/>
      <c r="BU30" s="178"/>
      <c r="BV30" s="178"/>
      <c r="BW30" s="178"/>
      <c r="BX30" s="178"/>
      <c r="BY30" s="178"/>
      <c r="BZ30" s="178"/>
      <c r="CA30" s="178"/>
      <c r="CF30" s="178"/>
      <c r="CG30" s="178"/>
      <c r="CH30" s="178"/>
      <c r="CI30" s="178"/>
      <c r="CJ30" s="198"/>
      <c r="CK30" s="198"/>
      <c r="CL30" s="178"/>
      <c r="CM30" s="178"/>
      <c r="CN30" s="178"/>
      <c r="CO30" s="178"/>
    </row>
    <row r="31" spans="1:138">
      <c r="A31" s="181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98"/>
      <c r="BM31" s="178"/>
      <c r="BN31" s="178"/>
      <c r="BO31" s="178"/>
      <c r="BP31" s="178"/>
      <c r="BQ31" s="178"/>
      <c r="BR31" s="178"/>
      <c r="BS31" s="178"/>
      <c r="BT31" s="178"/>
      <c r="BU31" s="178"/>
      <c r="BV31" s="178"/>
      <c r="BW31" s="178"/>
      <c r="BX31" s="178"/>
      <c r="BY31" s="178"/>
      <c r="BZ31" s="178"/>
      <c r="CA31" s="178"/>
      <c r="CF31" s="178"/>
      <c r="CG31" s="178"/>
      <c r="CH31" s="178"/>
      <c r="CI31" s="178"/>
      <c r="CJ31" s="198"/>
      <c r="CK31" s="178"/>
      <c r="CL31" s="178"/>
      <c r="CM31" s="178"/>
      <c r="CN31" s="178"/>
      <c r="CO31" s="178"/>
    </row>
    <row r="32" spans="1:138">
      <c r="A32" s="182" t="s">
        <v>56</v>
      </c>
      <c r="B32" s="655" t="s">
        <v>277</v>
      </c>
      <c r="C32" s="655" t="s">
        <v>278</v>
      </c>
      <c r="D32" s="655" t="s">
        <v>279</v>
      </c>
      <c r="E32" s="655" t="s">
        <v>280</v>
      </c>
      <c r="F32" s="655" t="s">
        <v>281</v>
      </c>
      <c r="G32" s="655" t="s">
        <v>282</v>
      </c>
      <c r="H32" s="601" t="s">
        <v>283</v>
      </c>
      <c r="I32" s="601" t="s">
        <v>284</v>
      </c>
      <c r="J32" s="601" t="s">
        <v>285</v>
      </c>
      <c r="K32" s="601" t="s">
        <v>286</v>
      </c>
      <c r="L32" s="601" t="s">
        <v>287</v>
      </c>
      <c r="M32" s="601" t="s">
        <v>288</v>
      </c>
      <c r="N32" s="185" t="s">
        <v>289</v>
      </c>
      <c r="O32" s="185" t="s">
        <v>290</v>
      </c>
      <c r="P32" s="185" t="s">
        <v>291</v>
      </c>
      <c r="Q32" s="185" t="s">
        <v>292</v>
      </c>
      <c r="R32" s="185" t="s">
        <v>293</v>
      </c>
      <c r="S32" s="185" t="s">
        <v>294</v>
      </c>
      <c r="T32" s="227" t="s">
        <v>295</v>
      </c>
      <c r="U32" s="227" t="s">
        <v>296</v>
      </c>
      <c r="V32" s="227" t="s">
        <v>297</v>
      </c>
      <c r="W32" s="227" t="s">
        <v>298</v>
      </c>
      <c r="X32" s="227" t="s">
        <v>299</v>
      </c>
      <c r="Y32" s="227" t="s">
        <v>333</v>
      </c>
      <c r="Z32" s="600" t="s">
        <v>255</v>
      </c>
      <c r="AA32" s="600" t="s">
        <v>256</v>
      </c>
      <c r="AB32" s="600" t="s">
        <v>257</v>
      </c>
      <c r="AC32" s="600" t="s">
        <v>258</v>
      </c>
      <c r="AD32" s="600" t="s">
        <v>259</v>
      </c>
      <c r="AE32" s="600" t="s">
        <v>260</v>
      </c>
      <c r="AF32" s="657" t="s">
        <v>261</v>
      </c>
      <c r="AG32" s="657" t="s">
        <v>262</v>
      </c>
      <c r="AH32" s="657" t="s">
        <v>263</v>
      </c>
      <c r="AI32" s="657" t="s">
        <v>264</v>
      </c>
      <c r="AJ32" s="657" t="s">
        <v>265</v>
      </c>
      <c r="AK32" s="657" t="s">
        <v>266</v>
      </c>
      <c r="AL32" s="658" t="s">
        <v>267</v>
      </c>
      <c r="AM32" s="658" t="s">
        <v>268</v>
      </c>
      <c r="AN32" s="658" t="s">
        <v>269</v>
      </c>
      <c r="AO32" s="658" t="s">
        <v>270</v>
      </c>
      <c r="AP32" s="658" t="s">
        <v>271</v>
      </c>
      <c r="AQ32" s="658" t="s">
        <v>272</v>
      </c>
      <c r="AR32" s="184" t="s">
        <v>273</v>
      </c>
      <c r="AS32" s="184" t="s">
        <v>274</v>
      </c>
      <c r="AT32" s="184" t="s">
        <v>275</v>
      </c>
      <c r="AU32" s="184" t="s">
        <v>276</v>
      </c>
      <c r="AV32" s="184" t="s">
        <v>254</v>
      </c>
      <c r="AW32" s="184" t="s">
        <v>332</v>
      </c>
      <c r="AX32" s="602" t="s">
        <v>123</v>
      </c>
      <c r="AY32" s="602" t="s">
        <v>124</v>
      </c>
      <c r="AZ32" s="602" t="s">
        <v>125</v>
      </c>
      <c r="BA32" s="602" t="s">
        <v>126</v>
      </c>
      <c r="BB32" s="602" t="s">
        <v>127</v>
      </c>
      <c r="BC32" s="602" t="s">
        <v>128</v>
      </c>
      <c r="BD32" s="654" t="s">
        <v>129</v>
      </c>
      <c r="BE32" s="654" t="s">
        <v>130</v>
      </c>
      <c r="BF32" s="654" t="s">
        <v>131</v>
      </c>
      <c r="BG32" s="654" t="s">
        <v>132</v>
      </c>
      <c r="BH32" s="654" t="s">
        <v>133</v>
      </c>
      <c r="BI32" s="654" t="s">
        <v>134</v>
      </c>
      <c r="BJ32" s="659" t="s">
        <v>135</v>
      </c>
      <c r="BK32" s="659" t="s">
        <v>136</v>
      </c>
      <c r="BL32" s="659" t="s">
        <v>137</v>
      </c>
      <c r="BM32" s="659" t="s">
        <v>138</v>
      </c>
      <c r="BN32" s="659" t="s">
        <v>139</v>
      </c>
      <c r="BO32" s="659" t="s">
        <v>140</v>
      </c>
      <c r="BP32" s="228" t="s">
        <v>141</v>
      </c>
      <c r="BQ32" s="228" t="s">
        <v>142</v>
      </c>
      <c r="BR32" s="228" t="s">
        <v>143</v>
      </c>
      <c r="BS32" s="228" t="s">
        <v>144</v>
      </c>
      <c r="BT32" s="228" t="s">
        <v>145</v>
      </c>
      <c r="BU32" s="228" t="s">
        <v>146</v>
      </c>
      <c r="BV32" s="183" t="s">
        <v>147</v>
      </c>
      <c r="BW32" s="183" t="s">
        <v>148</v>
      </c>
      <c r="BX32" s="183" t="s">
        <v>149</v>
      </c>
      <c r="BY32" s="183" t="s">
        <v>150</v>
      </c>
      <c r="BZ32" s="183" t="s">
        <v>151</v>
      </c>
      <c r="CA32" s="183" t="s">
        <v>152</v>
      </c>
      <c r="CB32" s="656" t="s">
        <v>153</v>
      </c>
      <c r="CC32" s="656" t="s">
        <v>154</v>
      </c>
      <c r="CD32" s="656" t="s">
        <v>155</v>
      </c>
      <c r="CE32" s="656" t="s">
        <v>156</v>
      </c>
      <c r="CF32" s="656" t="s">
        <v>324</v>
      </c>
      <c r="CG32" s="656" t="s">
        <v>325</v>
      </c>
      <c r="CH32" s="660" t="s">
        <v>326</v>
      </c>
      <c r="CI32" s="660" t="s">
        <v>327</v>
      </c>
      <c r="CJ32" s="660" t="s">
        <v>328</v>
      </c>
      <c r="CK32" s="660" t="s">
        <v>329</v>
      </c>
      <c r="CL32" s="660" t="s">
        <v>330</v>
      </c>
      <c r="CM32" s="660" t="s">
        <v>331</v>
      </c>
      <c r="CN32" s="609" t="s">
        <v>339</v>
      </c>
      <c r="CO32" s="609" t="s">
        <v>340</v>
      </c>
      <c r="CP32" s="609" t="s">
        <v>385</v>
      </c>
      <c r="CQ32" s="609" t="s">
        <v>386</v>
      </c>
      <c r="CR32" s="609" t="s">
        <v>387</v>
      </c>
      <c r="CS32" s="609" t="s">
        <v>388</v>
      </c>
      <c r="CT32" s="784" t="s">
        <v>394</v>
      </c>
      <c r="CU32" s="784" t="s">
        <v>395</v>
      </c>
      <c r="CV32" s="785" t="s">
        <v>396</v>
      </c>
      <c r="CW32" s="785" t="s">
        <v>397</v>
      </c>
      <c r="CX32" s="785" t="s">
        <v>398</v>
      </c>
      <c r="CY32" s="785" t="s">
        <v>399</v>
      </c>
      <c r="CZ32" s="796" t="s">
        <v>405</v>
      </c>
      <c r="DA32" s="796" t="s">
        <v>406</v>
      </c>
      <c r="DB32" s="795" t="s">
        <v>407</v>
      </c>
      <c r="DC32" s="795" t="s">
        <v>408</v>
      </c>
      <c r="DD32" s="795" t="s">
        <v>409</v>
      </c>
      <c r="DE32" s="795" t="s">
        <v>410</v>
      </c>
      <c r="DF32" s="761" t="s">
        <v>418</v>
      </c>
      <c r="DG32" s="761" t="s">
        <v>419</v>
      </c>
      <c r="DH32" s="804" t="s">
        <v>420</v>
      </c>
      <c r="DI32" s="804" t="s">
        <v>421</v>
      </c>
      <c r="DJ32" s="804" t="s">
        <v>422</v>
      </c>
      <c r="DK32" s="804" t="s">
        <v>423</v>
      </c>
      <c r="DL32" s="808" t="s">
        <v>424</v>
      </c>
      <c r="DM32" s="808" t="s">
        <v>425</v>
      </c>
      <c r="DN32" s="807" t="s">
        <v>426</v>
      </c>
      <c r="DO32" s="807" t="s">
        <v>427</v>
      </c>
      <c r="DP32" s="807" t="s">
        <v>428</v>
      </c>
      <c r="DQ32" s="830" t="s">
        <v>429</v>
      </c>
      <c r="DR32" s="831" t="s">
        <v>436</v>
      </c>
      <c r="DS32" s="831" t="s">
        <v>437</v>
      </c>
      <c r="DT32" s="831" t="s">
        <v>438</v>
      </c>
      <c r="DU32" s="831" t="s">
        <v>439</v>
      </c>
      <c r="DV32" s="831" t="s">
        <v>440</v>
      </c>
      <c r="DW32" s="831" t="s">
        <v>441</v>
      </c>
      <c r="DX32" s="922" t="s">
        <v>451</v>
      </c>
      <c r="DY32" s="922" t="s">
        <v>452</v>
      </c>
      <c r="DZ32" s="922" t="s">
        <v>453</v>
      </c>
      <c r="EA32" s="922" t="s">
        <v>454</v>
      </c>
      <c r="EB32" s="922" t="s">
        <v>455</v>
      </c>
      <c r="EC32" s="922" t="s">
        <v>456</v>
      </c>
    </row>
    <row r="33" spans="1:138" s="178" customFormat="1">
      <c r="A33" s="850" t="s">
        <v>445</v>
      </c>
      <c r="B33" s="876">
        <f>AVERAGE(B34:B40)</f>
        <v>117.15644948797193</v>
      </c>
      <c r="C33" s="876">
        <f t="shared" ref="C33:BN33" si="13">AVERAGE(C34:C40)</f>
        <v>120.04741979039814</v>
      </c>
      <c r="D33" s="876">
        <f t="shared" si="13"/>
        <v>111.91407471418528</v>
      </c>
      <c r="E33" s="876">
        <f t="shared" si="13"/>
        <v>142.51306978320969</v>
      </c>
      <c r="F33" s="876">
        <f t="shared" si="13"/>
        <v>136.23997652432877</v>
      </c>
      <c r="G33" s="876">
        <f t="shared" si="13"/>
        <v>127.18569363389055</v>
      </c>
      <c r="H33" s="876">
        <f t="shared" si="13"/>
        <v>137.73606784286724</v>
      </c>
      <c r="I33" s="876">
        <f t="shared" si="13"/>
        <v>140.71472602488134</v>
      </c>
      <c r="J33" s="876">
        <f t="shared" si="13"/>
        <v>113.64317099201951</v>
      </c>
      <c r="K33" s="876">
        <f t="shared" si="13"/>
        <v>124.44113599437375</v>
      </c>
      <c r="L33" s="876">
        <f t="shared" si="13"/>
        <v>0</v>
      </c>
      <c r="M33" s="876">
        <f t="shared" si="13"/>
        <v>112.23247205521234</v>
      </c>
      <c r="N33" s="876">
        <f t="shared" si="13"/>
        <v>121.05886965803448</v>
      </c>
      <c r="O33" s="876">
        <f t="shared" si="13"/>
        <v>0</v>
      </c>
      <c r="P33" s="876">
        <f t="shared" si="13"/>
        <v>127.11022917227832</v>
      </c>
      <c r="Q33" s="876">
        <f t="shared" si="13"/>
        <v>132.66124840479029</v>
      </c>
      <c r="R33" s="876">
        <f t="shared" si="13"/>
        <v>112.86500249019927</v>
      </c>
      <c r="S33" s="876">
        <f t="shared" si="13"/>
        <v>129.37556630188806</v>
      </c>
      <c r="T33" s="876">
        <f t="shared" si="13"/>
        <v>0</v>
      </c>
      <c r="U33" s="876">
        <f t="shared" si="13"/>
        <v>0</v>
      </c>
      <c r="V33" s="876">
        <f t="shared" si="13"/>
        <v>0</v>
      </c>
      <c r="W33" s="876">
        <f t="shared" si="13"/>
        <v>0</v>
      </c>
      <c r="X33" s="876">
        <f t="shared" si="13"/>
        <v>116.84232259206382</v>
      </c>
      <c r="Y33" s="876">
        <f t="shared" si="13"/>
        <v>0</v>
      </c>
      <c r="Z33" s="876">
        <f t="shared" si="13"/>
        <v>116.33675341186755</v>
      </c>
      <c r="AA33" s="876">
        <f t="shared" si="13"/>
        <v>121.213674987261</v>
      </c>
      <c r="AB33" s="876">
        <f t="shared" si="13"/>
        <v>150.34420557416274</v>
      </c>
      <c r="AC33" s="876">
        <f t="shared" si="13"/>
        <v>0</v>
      </c>
      <c r="AD33" s="876">
        <f t="shared" si="13"/>
        <v>104.78167223221328</v>
      </c>
      <c r="AE33" s="876">
        <f t="shared" si="13"/>
        <v>106.37827441656137</v>
      </c>
      <c r="AF33" s="876">
        <f t="shared" si="13"/>
        <v>0</v>
      </c>
      <c r="AG33" s="876">
        <f t="shared" si="13"/>
        <v>94.743686908469044</v>
      </c>
      <c r="AH33" s="876">
        <f t="shared" si="13"/>
        <v>116.33675341186755</v>
      </c>
      <c r="AI33" s="876">
        <f t="shared" si="13"/>
        <v>121.213674987261</v>
      </c>
      <c r="AJ33" s="876">
        <f t="shared" si="13"/>
        <v>52.907806527238925</v>
      </c>
      <c r="AK33" s="876">
        <f t="shared" si="13"/>
        <v>103.63531863630614</v>
      </c>
      <c r="AL33" s="876">
        <f t="shared" si="13"/>
        <v>114.00818838903487</v>
      </c>
      <c r="AM33" s="876">
        <f t="shared" si="13"/>
        <v>125.05237348761459</v>
      </c>
      <c r="AN33" s="876">
        <f t="shared" si="13"/>
        <v>116.28044466525988</v>
      </c>
      <c r="AO33" s="876">
        <f t="shared" si="13"/>
        <v>105.82258700366133</v>
      </c>
      <c r="AP33" s="876">
        <f t="shared" si="13"/>
        <v>0</v>
      </c>
      <c r="AQ33" s="876">
        <f t="shared" si="13"/>
        <v>0</v>
      </c>
      <c r="AR33" s="876">
        <f t="shared" si="13"/>
        <v>0</v>
      </c>
      <c r="AS33" s="876">
        <f t="shared" si="13"/>
        <v>0</v>
      </c>
      <c r="AT33" s="876">
        <f t="shared" si="13"/>
        <v>0</v>
      </c>
      <c r="AU33" s="876">
        <f t="shared" si="13"/>
        <v>0</v>
      </c>
      <c r="AV33" s="876">
        <f t="shared" si="13"/>
        <v>0</v>
      </c>
      <c r="AW33" s="876">
        <f t="shared" si="13"/>
        <v>0</v>
      </c>
      <c r="AX33" s="876">
        <f t="shared" si="13"/>
        <v>116.33675341186755</v>
      </c>
      <c r="AY33" s="876">
        <f t="shared" si="13"/>
        <v>108.45743212452813</v>
      </c>
      <c r="AZ33" s="876">
        <f t="shared" si="13"/>
        <v>132.87638578333411</v>
      </c>
      <c r="BA33" s="876">
        <f t="shared" si="13"/>
        <v>128.94868845581399</v>
      </c>
      <c r="BB33" s="876">
        <f t="shared" si="13"/>
        <v>100.45205310753938</v>
      </c>
      <c r="BC33" s="876">
        <f t="shared" si="13"/>
        <v>124.01343983092193</v>
      </c>
      <c r="BD33" s="876">
        <f t="shared" si="13"/>
        <v>102.43346296598837</v>
      </c>
      <c r="BE33" s="876">
        <f t="shared" si="13"/>
        <v>96.210298606765221</v>
      </c>
      <c r="BF33" s="876">
        <f t="shared" si="13"/>
        <v>102.55183084933307</v>
      </c>
      <c r="BG33" s="876">
        <f t="shared" si="13"/>
        <v>87.831434019352841</v>
      </c>
      <c r="BH33" s="876">
        <f t="shared" si="13"/>
        <v>98.665504608638699</v>
      </c>
      <c r="BI33" s="876">
        <f t="shared" si="13"/>
        <v>103.63531863630614</v>
      </c>
      <c r="BJ33" s="876">
        <f t="shared" si="13"/>
        <v>91.091006605646385</v>
      </c>
      <c r="BK33" s="876">
        <f t="shared" si="13"/>
        <v>111.04397640870002</v>
      </c>
      <c r="BL33" s="876">
        <f t="shared" si="13"/>
        <v>94.254484713455994</v>
      </c>
      <c r="BM33" s="876">
        <f t="shared" si="13"/>
        <v>95.258884106400274</v>
      </c>
      <c r="BN33" s="876">
        <f t="shared" si="13"/>
        <v>105.22693876562302</v>
      </c>
      <c r="BO33" s="876">
        <f t="shared" ref="BO33:DW33" si="14">AVERAGE(BO34:BO40)</f>
        <v>113.02995251178628</v>
      </c>
      <c r="BP33" s="876">
        <f t="shared" si="14"/>
        <v>140.34220068898591</v>
      </c>
      <c r="BQ33" s="876">
        <f t="shared" si="14"/>
        <v>116.53201458293552</v>
      </c>
      <c r="BR33" s="876">
        <f t="shared" si="14"/>
        <v>139.73849603475577</v>
      </c>
      <c r="BS33" s="876">
        <f t="shared" si="14"/>
        <v>152.67549734456819</v>
      </c>
      <c r="BT33" s="876">
        <f t="shared" si="14"/>
        <v>114.48546087528281</v>
      </c>
      <c r="BU33" s="876">
        <f t="shared" si="14"/>
        <v>187.21133761566458</v>
      </c>
      <c r="BV33" s="876">
        <f t="shared" si="14"/>
        <v>222.2432639029949</v>
      </c>
      <c r="BW33" s="876">
        <f t="shared" si="14"/>
        <v>120.04741979039814</v>
      </c>
      <c r="BX33" s="876">
        <f t="shared" si="14"/>
        <v>111.91407471418528</v>
      </c>
      <c r="BY33" s="876">
        <f t="shared" si="14"/>
        <v>142.51306978320972</v>
      </c>
      <c r="BZ33" s="876">
        <f t="shared" si="14"/>
        <v>123.03430439614476</v>
      </c>
      <c r="CA33" s="876">
        <f t="shared" si="14"/>
        <v>112.01337247083723</v>
      </c>
      <c r="CB33" s="876">
        <f t="shared" si="14"/>
        <v>100.81023140013802</v>
      </c>
      <c r="CC33" s="876">
        <f t="shared" si="14"/>
        <v>109.53440875371156</v>
      </c>
      <c r="CD33" s="876">
        <f t="shared" si="14"/>
        <v>107.22674316129191</v>
      </c>
      <c r="CE33" s="876">
        <f t="shared" si="14"/>
        <v>127.46346753077744</v>
      </c>
      <c r="CF33" s="876">
        <f t="shared" si="14"/>
        <v>127.46346753077744</v>
      </c>
      <c r="CG33" s="876">
        <f t="shared" si="14"/>
        <v>113.77531334008253</v>
      </c>
      <c r="CH33" s="876">
        <f t="shared" si="14"/>
        <v>99.601302924455425</v>
      </c>
      <c r="CI33" s="876">
        <f t="shared" si="14"/>
        <v>100.03664942418168</v>
      </c>
      <c r="CJ33" s="876">
        <f t="shared" si="14"/>
        <v>116.00010073997738</v>
      </c>
      <c r="CK33" s="876">
        <f t="shared" si="14"/>
        <v>119.0202867176921</v>
      </c>
      <c r="CL33" s="876">
        <f t="shared" si="14"/>
        <v>106.51243055634394</v>
      </c>
      <c r="CM33" s="876">
        <f t="shared" si="14"/>
        <v>107.24772020340933</v>
      </c>
      <c r="CN33" s="876">
        <f t="shared" si="14"/>
        <v>117.18648112180666</v>
      </c>
      <c r="CO33" s="876">
        <f t="shared" si="14"/>
        <v>101.8984690603951</v>
      </c>
      <c r="CP33" s="876">
        <f t="shared" si="14"/>
        <v>96.264204940039008</v>
      </c>
      <c r="CQ33" s="876">
        <f t="shared" si="14"/>
        <v>106.32997837934298</v>
      </c>
      <c r="CR33" s="876">
        <f t="shared" si="14"/>
        <v>93.714338141505991</v>
      </c>
      <c r="CS33" s="876">
        <f t="shared" si="14"/>
        <v>140.70636586596521</v>
      </c>
      <c r="CT33" s="876">
        <f t="shared" si="14"/>
        <v>117.37259551306558</v>
      </c>
      <c r="CU33" s="876">
        <f t="shared" si="14"/>
        <v>106.4961451447363</v>
      </c>
      <c r="CV33" s="876">
        <f t="shared" si="14"/>
        <v>111.24483776673041</v>
      </c>
      <c r="CW33" s="876">
        <f t="shared" si="14"/>
        <v>80.41183848093543</v>
      </c>
      <c r="CX33" s="876">
        <f t="shared" si="14"/>
        <v>83.507520607751218</v>
      </c>
      <c r="CY33" s="876">
        <f t="shared" si="14"/>
        <v>123.46355493147637</v>
      </c>
      <c r="CZ33" s="876">
        <f t="shared" si="14"/>
        <v>0</v>
      </c>
      <c r="DA33" s="876">
        <f t="shared" si="14"/>
        <v>0</v>
      </c>
      <c r="DB33" s="876">
        <f t="shared" si="14"/>
        <v>0</v>
      </c>
      <c r="DC33" s="876">
        <f t="shared" si="14"/>
        <v>121.04038320140775</v>
      </c>
      <c r="DD33" s="876">
        <f t="shared" si="14"/>
        <v>37.716663343138087</v>
      </c>
      <c r="DE33" s="876">
        <f t="shared" si="14"/>
        <v>94.405045673846431</v>
      </c>
      <c r="DF33" s="876">
        <f t="shared" si="14"/>
        <v>111.32964047260457</v>
      </c>
      <c r="DG33" s="876">
        <f t="shared" si="14"/>
        <v>48.317476965758793</v>
      </c>
      <c r="DH33" s="876">
        <f t="shared" si="14"/>
        <v>121.05016719434313</v>
      </c>
      <c r="DI33" s="876">
        <f t="shared" si="14"/>
        <v>94.768414430636895</v>
      </c>
      <c r="DJ33" s="876">
        <f t="shared" si="14"/>
        <v>127.40265445726639</v>
      </c>
      <c r="DK33" s="876">
        <f t="shared" si="14"/>
        <v>125.43712100090738</v>
      </c>
      <c r="DL33" s="876">
        <f t="shared" si="14"/>
        <v>112.30798754210942</v>
      </c>
      <c r="DM33" s="876">
        <f t="shared" si="14"/>
        <v>118.6238374871232</v>
      </c>
      <c r="DN33" s="876">
        <f t="shared" si="14"/>
        <v>116.59836368539776</v>
      </c>
      <c r="DO33" s="876">
        <f t="shared" si="14"/>
        <v>115.85639643390684</v>
      </c>
      <c r="DP33" s="876">
        <f t="shared" si="14"/>
        <v>119.37106010111849</v>
      </c>
      <c r="DQ33" s="876">
        <f t="shared" si="14"/>
        <v>118.03246104176051</v>
      </c>
      <c r="DR33" s="876">
        <f t="shared" si="14"/>
        <v>131.00185005949805</v>
      </c>
      <c r="DS33" s="876">
        <f t="shared" si="14"/>
        <v>87.006776434306431</v>
      </c>
      <c r="DT33" s="876">
        <f t="shared" si="14"/>
        <v>117.25771111350517</v>
      </c>
      <c r="DU33" s="876">
        <f t="shared" si="14"/>
        <v>101.62953522530015</v>
      </c>
      <c r="DV33" s="876">
        <f t="shared" si="14"/>
        <v>101.72344049212163</v>
      </c>
      <c r="DW33" s="879">
        <f t="shared" si="14"/>
        <v>98.698984421548502</v>
      </c>
      <c r="DX33" s="876">
        <f t="shared" ref="DX33:EC33" si="15">AVERAGE(DX34:DX40)</f>
        <v>93.317294460501572</v>
      </c>
      <c r="DY33" s="876">
        <f t="shared" si="15"/>
        <v>86.627957270754521</v>
      </c>
      <c r="DZ33" s="876">
        <f t="shared" si="15"/>
        <v>89.335883979755963</v>
      </c>
      <c r="EA33" s="876">
        <f t="shared" si="15"/>
        <v>77.02196366086244</v>
      </c>
      <c r="EB33" s="876">
        <f t="shared" si="15"/>
        <v>100.05720836346369</v>
      </c>
      <c r="EC33" s="879">
        <f t="shared" si="15"/>
        <v>97.339849237189611</v>
      </c>
      <c r="ED33" s="852"/>
      <c r="EE33" s="852"/>
      <c r="EF33" s="852"/>
      <c r="EG33" s="852"/>
      <c r="EH33" s="852"/>
    </row>
    <row r="34" spans="1:138">
      <c r="A34" s="186" t="s">
        <v>9</v>
      </c>
      <c r="B34" s="201">
        <f>'Price Data Entry'!H56</f>
        <v>243.66471734892784</v>
      </c>
      <c r="C34" s="387">
        <v>243.66471734892784</v>
      </c>
      <c r="D34" s="200">
        <f>'Price Data Entry'!N56</f>
        <v>172.76946879834966</v>
      </c>
      <c r="E34" s="386">
        <v>172.76946879834966</v>
      </c>
      <c r="F34" s="199">
        <f>'Price Data Entry'!T56</f>
        <v>141.97530864197532</v>
      </c>
      <c r="G34" s="199">
        <f>'Price Data Entry'!T143</f>
        <v>108.88252148997134</v>
      </c>
      <c r="H34" s="199">
        <f>'Price Data Entry'!Z56</f>
        <v>250</v>
      </c>
      <c r="I34" s="199">
        <f>'Price Data Entry'!Z143</f>
        <v>225.02250225022505</v>
      </c>
      <c r="J34" s="199">
        <f>'Price Data Entry'!AF56</f>
        <v>171.77914110429447</v>
      </c>
      <c r="K34" s="199">
        <f>'Price Data Entry'!AF143</f>
        <v>120.4481792717087</v>
      </c>
      <c r="L34" s="386">
        <v>0</v>
      </c>
      <c r="M34" s="386">
        <v>120.4481792717087</v>
      </c>
      <c r="N34" s="199">
        <f>'Price Data Entry'!AR56</f>
        <v>111.35857461024499</v>
      </c>
      <c r="O34" s="386">
        <v>0</v>
      </c>
      <c r="P34" s="199">
        <f>'Price Data Entry'!AX56</f>
        <v>99.681020733652318</v>
      </c>
      <c r="Q34" s="199">
        <f>'Price Data Entry'!AX143</f>
        <v>126.16339193381594</v>
      </c>
      <c r="R34" s="199">
        <f>'Price Data Entry'!BD56</f>
        <v>58.972198820556031</v>
      </c>
      <c r="S34" s="199">
        <f>'Price Data Entry'!BD143</f>
        <v>160.55045871559636</v>
      </c>
      <c r="T34" s="386">
        <v>0</v>
      </c>
      <c r="U34" s="386">
        <v>0</v>
      </c>
      <c r="V34" s="597">
        <v>0</v>
      </c>
      <c r="W34" s="386">
        <v>0</v>
      </c>
      <c r="X34" s="199">
        <f>'Price Data Entry'!BV56</f>
        <v>130.29315960912052</v>
      </c>
      <c r="Y34" s="386">
        <v>0</v>
      </c>
      <c r="Z34" s="199">
        <f>'Price Data Entry'!CB56</f>
        <v>80.98656359285846</v>
      </c>
      <c r="AA34" s="199">
        <f>'Price Data Entry'!CB143</f>
        <v>160.04130098089831</v>
      </c>
      <c r="AB34" s="199">
        <f>'Price Data Entry'!CH56</f>
        <v>179.98560115190784</v>
      </c>
      <c r="AC34" s="386">
        <v>0</v>
      </c>
      <c r="AD34" s="199">
        <f>'Price Data Entry'!CN56</f>
        <v>171.84035476718404</v>
      </c>
      <c r="AE34" s="386">
        <v>171.84035476718404</v>
      </c>
      <c r="AF34" s="386">
        <v>0</v>
      </c>
      <c r="AG34" s="199">
        <f>'Price Data Entry'!CT143</f>
        <v>152.64187866927594</v>
      </c>
      <c r="AH34" s="199">
        <f>'Price Data Entry'!CZ56</f>
        <v>80.98656359285846</v>
      </c>
      <c r="AI34" s="199">
        <f>'Price Data Entry'!CZ143</f>
        <v>160.04130098089831</v>
      </c>
      <c r="AJ34" s="199">
        <f>'Price Data Entry'!DF56</f>
        <v>74.876533375816464</v>
      </c>
      <c r="AK34" s="199">
        <f>'Price Data Entry'!DF143</f>
        <v>125.3012048192771</v>
      </c>
      <c r="AL34" s="199">
        <f>'Price Data Entry'!DL56</f>
        <v>102.61026102610262</v>
      </c>
      <c r="AM34" s="199">
        <f>'Price Data Entry'!DL143</f>
        <v>120.4481792717087</v>
      </c>
      <c r="AN34" s="199">
        <f>'Price Data Entry'!DR56</f>
        <v>111.06454316848281</v>
      </c>
      <c r="AO34" s="199">
        <f>'Price Data Entry'!DR143</f>
        <v>97.323600973236012</v>
      </c>
      <c r="AP34" s="386">
        <v>0</v>
      </c>
      <c r="AQ34" s="386">
        <v>0</v>
      </c>
      <c r="AR34" s="386">
        <v>0</v>
      </c>
      <c r="AS34" s="386">
        <v>0</v>
      </c>
      <c r="AT34" s="386">
        <v>0</v>
      </c>
      <c r="AU34" s="386">
        <v>0</v>
      </c>
      <c r="AV34" s="386">
        <v>0</v>
      </c>
      <c r="AW34" s="386">
        <v>0</v>
      </c>
      <c r="AX34" s="595">
        <f>'Price Data Entry'!EV56</f>
        <v>80.98656359285846</v>
      </c>
      <c r="AY34" s="200">
        <f>'Price Data Entry'!EV143</f>
        <v>160.04130098089831</v>
      </c>
      <c r="AZ34" s="200">
        <f>'Price Data Entry'!FB56</f>
        <v>179.98560115190784</v>
      </c>
      <c r="BA34" s="387">
        <v>179.98560115190784</v>
      </c>
      <c r="BB34" s="200">
        <f>'Price Data Entry'!FH56</f>
        <v>141.97530864197532</v>
      </c>
      <c r="BC34" s="200">
        <f>'Price Data Entry'!FH143</f>
        <v>108.88252148997134</v>
      </c>
      <c r="BD34" s="200">
        <f>'Price Data Entry'!FN56</f>
        <v>128.78300064391499</v>
      </c>
      <c r="BE34" s="200">
        <f>'Price Data Entry'!FN143</f>
        <v>199.52114924181961</v>
      </c>
      <c r="BF34" s="200">
        <f>'Price Data Entry'!FT56</f>
        <v>130.49151805132666</v>
      </c>
      <c r="BG34" s="200">
        <f>'Price Data Entry'!FT143</f>
        <v>127.76565908382672</v>
      </c>
      <c r="BH34" s="199">
        <f>'Price Data Entry'!FZ56</f>
        <v>135.81129378127235</v>
      </c>
      <c r="BI34" s="200">
        <f>'Price Data Entry'!FZ143</f>
        <v>125.3012048192771</v>
      </c>
      <c r="BJ34" s="200">
        <f>'Price Data Entry'!GF56</f>
        <v>106.85249709639955</v>
      </c>
      <c r="BK34" s="191">
        <f>'Price Data Entry'!GF143</f>
        <v>134.90725126475547</v>
      </c>
      <c r="BL34" s="200">
        <f>'Price Data Entry'!GL56</f>
        <v>114.23349326022391</v>
      </c>
      <c r="BM34" s="200">
        <f>'Price Data Entry'!GL143</f>
        <v>106.87912942090942</v>
      </c>
      <c r="BN34" s="200">
        <f>'Price Data Entry'!GR56</f>
        <v>132.24597751818382</v>
      </c>
      <c r="BO34" s="200">
        <f>'Price Data Entry'!GR143</f>
        <v>122.53063265816454</v>
      </c>
      <c r="BP34" s="200">
        <f>'Price Data Entry'!GX56</f>
        <v>139.82754602656723</v>
      </c>
      <c r="BQ34" s="200">
        <f>'Price Data Entry'!GX143</f>
        <v>129.78723404255319</v>
      </c>
      <c r="BR34" s="200">
        <f>'Price Data Entry'!HD56</f>
        <v>112.14953271028035</v>
      </c>
      <c r="BS34" s="200">
        <f>'Price Data Entry'!HD143</f>
        <v>120.73128665056917</v>
      </c>
      <c r="BT34" s="200">
        <f>'Price Data Entry'!HJ56</f>
        <v>101.10294117647059</v>
      </c>
      <c r="BU34" s="199">
        <f>'Price Data Entry'!HJ143</f>
        <v>97.323600973236012</v>
      </c>
      <c r="BV34" s="200">
        <f>'Price Data Entry'!HP56</f>
        <v>243.66471734892784</v>
      </c>
      <c r="BW34" s="387">
        <v>243.66471734892784</v>
      </c>
      <c r="BX34" s="200">
        <f>'Price Data Entry'!HV56</f>
        <v>172.76946879834966</v>
      </c>
      <c r="BY34" s="386">
        <v>172.76946879835</v>
      </c>
      <c r="BZ34" s="201">
        <f>'Price Data Entry'!IB56</f>
        <v>129.28248222365869</v>
      </c>
      <c r="CA34" s="199">
        <f>'Price Data Entry'!IB143</f>
        <v>150.39333641832485</v>
      </c>
      <c r="CB34" s="200">
        <f>'Price Data Entry'!IH56</f>
        <v>165.03352243424445</v>
      </c>
      <c r="CC34" s="199">
        <f>'Price Data Entry'!IH143</f>
        <v>179.16390179163901</v>
      </c>
      <c r="CD34" s="200">
        <f>'Price Data Entry'!IN56</f>
        <v>152.65534293700281</v>
      </c>
      <c r="CE34" s="200">
        <f>'Price Data Entry'!IN143</f>
        <v>159.69338869370807</v>
      </c>
      <c r="CF34" s="199">
        <f>'Price Data Entry'!IT56</f>
        <v>159.69338869370807</v>
      </c>
      <c r="CG34" s="199">
        <f>'Price Data Entry'!IT143</f>
        <v>166.98087799622948</v>
      </c>
      <c r="CH34" s="199">
        <f>'Price Data Entry'!IZ56</f>
        <v>142.49597793610661</v>
      </c>
      <c r="CI34" s="199">
        <f>'Price Data Entry'!IZ143</f>
        <v>133.95847287340925</v>
      </c>
      <c r="CJ34" s="199">
        <f>'Price Data Entry'!JF56</f>
        <v>108.90567363428772</v>
      </c>
      <c r="CK34" s="199">
        <f>'Price Data Entry'!JF143</f>
        <v>124.52299658565975</v>
      </c>
      <c r="CL34" s="200">
        <f>'Price Data Entry'!JL56</f>
        <v>132.79582641688404</v>
      </c>
      <c r="CM34" s="199">
        <f>'Price Data Entry'!JL143</f>
        <v>123.33399641933559</v>
      </c>
      <c r="CN34" s="200">
        <f>'Price Data Entry'!JR56</f>
        <v>141.31338320864504</v>
      </c>
      <c r="CO34" s="199">
        <f>'Price Data Entry'!JR143</f>
        <v>127.16763005780346</v>
      </c>
      <c r="CP34" s="764">
        <f>'Price Data Entry'!JX56</f>
        <v>122.54901960784314</v>
      </c>
      <c r="CQ34" s="764">
        <f>'Price Data Entry'!JX143</f>
        <v>163.68286445012788</v>
      </c>
      <c r="CR34" s="764">
        <f>'Price Data Entry'!KD56</f>
        <v>94.390507011866234</v>
      </c>
      <c r="CS34" s="764">
        <f>'Price Data Entry'!KD143</f>
        <v>106.54165778819517</v>
      </c>
      <c r="CT34" s="200">
        <f>'Price Data Entry'!KJ56</f>
        <v>76.861913596607465</v>
      </c>
      <c r="CU34" s="199">
        <f>'Price Data Entry'!KJ143</f>
        <v>98.716683119447183</v>
      </c>
      <c r="CV34" s="765">
        <v>98.72</v>
      </c>
      <c r="CW34" s="764">
        <f>'Price Data Entry'!KP143</f>
        <v>76.069730586370838</v>
      </c>
      <c r="CX34" s="765">
        <v>76.069999999999993</v>
      </c>
      <c r="CY34" s="800">
        <f>'Price Data Entry'!KV143</f>
        <v>154.79876160990713</v>
      </c>
      <c r="CZ34" s="199">
        <v>0</v>
      </c>
      <c r="DA34" s="595">
        <v>0</v>
      </c>
      <c r="DB34" s="802">
        <v>0</v>
      </c>
      <c r="DC34" s="786">
        <f>'Price Data Entry'!LH143</f>
        <v>102.53642741500269</v>
      </c>
      <c r="DD34" s="786">
        <v>0</v>
      </c>
      <c r="DE34" s="786">
        <f>'Price Data Entry'!LN143</f>
        <v>127.38853503184713</v>
      </c>
      <c r="DF34" s="786">
        <v>0</v>
      </c>
      <c r="DG34" s="786">
        <f>'Price Data Entry'!LT143</f>
        <v>127.74655084312724</v>
      </c>
      <c r="DH34" s="786">
        <f>'Price Data Entry'!LZ56</f>
        <v>110.49723756906079</v>
      </c>
      <c r="DI34" s="786">
        <f>'Price Data Entry'!LZ143</f>
        <v>144.9671772428884</v>
      </c>
      <c r="DJ34" s="786">
        <f>'Price Data Entry'!MF56</f>
        <v>120.39401678219627</v>
      </c>
      <c r="DK34" s="786">
        <f>'Price Data Entry'!MF143</f>
        <v>79.666625811986762</v>
      </c>
      <c r="DL34" s="786">
        <f>'Price Data Entry'!ML56</f>
        <v>136.65031534688157</v>
      </c>
      <c r="DM34" s="786">
        <f>'Price Data Entry'!ML143</f>
        <v>123.82367508667659</v>
      </c>
      <c r="DN34" s="786">
        <f>SUM(DH34:DM34)/6</f>
        <v>119.33317463994838</v>
      </c>
      <c r="DO34" s="786">
        <f>SUM(DI34:DN34)/6</f>
        <v>120.80583081842968</v>
      </c>
      <c r="DP34" s="786">
        <f>SUM(DJ34:DO34)/6</f>
        <v>116.77893974768654</v>
      </c>
      <c r="DQ34" s="800">
        <f>SUM(DK34:DP34)/6</f>
        <v>116.17642690860158</v>
      </c>
      <c r="DR34" s="832">
        <f>'Price Data Entry'!ND56</f>
        <v>126.30819198845182</v>
      </c>
      <c r="DS34" s="833">
        <f>'Price Data Entry'!ND143</f>
        <v>126.1564339781329</v>
      </c>
      <c r="DT34" s="833">
        <f>'Price Data Entry'!NJ56</f>
        <v>145.16661167931375</v>
      </c>
      <c r="DU34" s="833">
        <f>'Price Data Entry'!NJ143</f>
        <v>89.428297668476532</v>
      </c>
      <c r="DV34" s="833">
        <f>'Price Data Entry'!NP56</f>
        <v>115.32547411583805</v>
      </c>
      <c r="DW34" s="833">
        <f>'Price Data Entry'!NP143</f>
        <v>109.05125408942203</v>
      </c>
      <c r="DX34" s="832">
        <f>'Price Data Entry'!NV56</f>
        <v>109.73936899862825</v>
      </c>
      <c r="DY34" s="833">
        <f>'Price Data Entry'!NV143</f>
        <v>156.86274509803923</v>
      </c>
      <c r="DZ34" s="833">
        <f>'Price Data Entry'!OB56</f>
        <v>118.7756966651439</v>
      </c>
      <c r="EA34" s="833">
        <f>'Price Data Entry'!OB143</f>
        <v>84.17508417508418</v>
      </c>
      <c r="EB34" s="833">
        <f>'Price Data Entry'!OH56</f>
        <v>105.70824524312897</v>
      </c>
      <c r="EC34" s="833">
        <f>'Price Data Entry'!OH143</f>
        <v>113.42155009451797</v>
      </c>
    </row>
    <row r="35" spans="1:138">
      <c r="A35" s="189" t="s">
        <v>12</v>
      </c>
      <c r="B35" s="201">
        <f>'Price Data Entry'!H57</f>
        <v>130.54830287206266</v>
      </c>
      <c r="C35" s="200">
        <f>'Price Data Entry'!H144</f>
        <v>155.76323987538942</v>
      </c>
      <c r="D35" s="200">
        <f>'Price Data Entry'!N57</f>
        <v>192.30769230769229</v>
      </c>
      <c r="E35" s="386">
        <v>192.30769230769229</v>
      </c>
      <c r="F35" s="199">
        <f>'Price Data Entry'!T57</f>
        <v>91.743119266055032</v>
      </c>
      <c r="G35" s="199">
        <f>'Price Data Entry'!T144</f>
        <v>130.96695226438189</v>
      </c>
      <c r="H35" s="199">
        <f>'Price Data Entry'!Z57</f>
        <v>178.57142857142858</v>
      </c>
      <c r="I35" s="199">
        <f>'Price Data Entry'!Z144</f>
        <v>199.37040923399789</v>
      </c>
      <c r="J35" s="199">
        <f>'Price Data Entry'!AF57</f>
        <v>113.44537815126048</v>
      </c>
      <c r="K35" s="199">
        <f>'Price Data Entry'!AF144</f>
        <v>142.59927797833933</v>
      </c>
      <c r="L35" s="386">
        <v>0</v>
      </c>
      <c r="M35" s="199">
        <f>'Price Data Entry'!AL144</f>
        <v>161.75071360608945</v>
      </c>
      <c r="N35" s="199">
        <f>'Price Data Entry'!AR57</f>
        <v>216.81997371879106</v>
      </c>
      <c r="O35" s="386">
        <v>0</v>
      </c>
      <c r="P35" s="199">
        <f>'Price Data Entry'!AX57</f>
        <v>234.84848484848482</v>
      </c>
      <c r="Q35" s="199">
        <f>'Price Data Entry'!AX144</f>
        <v>177.18715393133999</v>
      </c>
      <c r="R35" s="199">
        <f>'Price Data Entry'!BD57</f>
        <v>155.97147950089129</v>
      </c>
      <c r="S35" s="199">
        <f>'Price Data Entry'!BD144</f>
        <v>120.77294685990339</v>
      </c>
      <c r="T35" s="386">
        <v>0</v>
      </c>
      <c r="U35" s="386">
        <v>0</v>
      </c>
      <c r="V35" s="597">
        <v>0</v>
      </c>
      <c r="W35" s="386">
        <v>0</v>
      </c>
      <c r="X35" s="199">
        <f>'Price Data Entry'!BV57</f>
        <v>206.33226609747422</v>
      </c>
      <c r="Y35" s="386">
        <v>0</v>
      </c>
      <c r="Z35" s="199">
        <f>'Price Data Entry'!CB57</f>
        <v>234.84848484848482</v>
      </c>
      <c r="AA35" s="199">
        <f>'Price Data Entry'!CB144</f>
        <v>172.04301075268816</v>
      </c>
      <c r="AB35" s="199">
        <f>'Price Data Entry'!CH57</f>
        <v>187.31988472622479</v>
      </c>
      <c r="AC35" s="386">
        <v>0</v>
      </c>
      <c r="AD35" s="199">
        <f>'Price Data Entry'!CN57</f>
        <v>125.37239324726912</v>
      </c>
      <c r="AE35" s="199">
        <f>'Price Data Entry'!CN144</f>
        <v>131.76947581812917</v>
      </c>
      <c r="AF35" s="386">
        <v>0</v>
      </c>
      <c r="AG35" s="199">
        <f>'Price Data Entry'!CT144</f>
        <v>127.59441987070431</v>
      </c>
      <c r="AH35" s="199">
        <f>'Price Data Entry'!CZ57</f>
        <v>234.84848484848482</v>
      </c>
      <c r="AI35" s="199">
        <f>'Price Data Entry'!CZ144</f>
        <v>172.04301075268816</v>
      </c>
      <c r="AJ35" s="199">
        <f>'Price Data Entry'!DF57</f>
        <v>85.547870404077173</v>
      </c>
      <c r="AK35" s="199">
        <f>'Price Data Entry'!DF144</f>
        <v>119.35651271406331</v>
      </c>
      <c r="AL35" s="199">
        <f>'Price Data Entry'!DL57</f>
        <v>132.6881049016547</v>
      </c>
      <c r="AM35" s="199">
        <f>'Price Data Entry'!DL144</f>
        <v>142.59927797833933</v>
      </c>
      <c r="AN35" s="199">
        <f>'Price Data Entry'!DR57</f>
        <v>109.89010989010988</v>
      </c>
      <c r="AO35" s="199">
        <f>'Price Data Entry'!DR144</f>
        <v>127.50716332378224</v>
      </c>
      <c r="AP35" s="386">
        <v>0</v>
      </c>
      <c r="AQ35" s="386">
        <v>0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595">
        <f>'Price Data Entry'!EV57</f>
        <v>234.84848484848482</v>
      </c>
      <c r="AY35" s="200">
        <f>'Price Data Entry'!EV144</f>
        <v>172.04301075268816</v>
      </c>
      <c r="AZ35" s="200">
        <f>'Price Data Entry'!FB57</f>
        <v>187.31988472622479</v>
      </c>
      <c r="BA35" s="200">
        <f>'Price Data Entry'!FB144</f>
        <v>45.053162732023786</v>
      </c>
      <c r="BB35" s="200">
        <f>'Price Data Entry'!FH57</f>
        <v>91.743119266055032</v>
      </c>
      <c r="BC35" s="200">
        <f>'Price Data Entry'!FH144</f>
        <v>130.96695226438189</v>
      </c>
      <c r="BD35" s="199">
        <f>'Price Data Entry'!FN57</f>
        <v>202.61437908496731</v>
      </c>
      <c r="BE35" s="200">
        <f>'Price Data Entry'!FN144</f>
        <v>75.342465753424662</v>
      </c>
      <c r="BF35" s="200">
        <f>'Price Data Entry'!FT57</f>
        <v>202.70270270270271</v>
      </c>
      <c r="BG35" s="200">
        <f>'Price Data Entry'!FT144</f>
        <v>121.37137137137137</v>
      </c>
      <c r="BH35" s="199">
        <f>'Price Data Entry'!FZ57</f>
        <v>124.16979497545479</v>
      </c>
      <c r="BI35" s="199">
        <f>'Price Data Entry'!FZ144</f>
        <v>119.35651271406331</v>
      </c>
      <c r="BJ35" s="200">
        <f>'Price Data Entry'!GF57</f>
        <v>154.10385259631494</v>
      </c>
      <c r="BK35" s="191">
        <f>'Price Data Entry'!GF144</f>
        <v>202.5586353944563</v>
      </c>
      <c r="BL35" s="200">
        <f>'Price Data Entry'!GL57</f>
        <v>135.57737260402055</v>
      </c>
      <c r="BM35" s="200">
        <f>'Price Data Entry'!GL144</f>
        <v>153.84615384615384</v>
      </c>
      <c r="BN35" s="200">
        <f>'Price Data Entry'!GR57</f>
        <v>128.10658467845246</v>
      </c>
      <c r="BO35" s="200">
        <f>'Price Data Entry'!GR144</f>
        <v>209.15032679738562</v>
      </c>
      <c r="BP35" s="200">
        <f>'Price Data Entry'!GX57</f>
        <v>145.66642388929353</v>
      </c>
      <c r="BQ35" s="200">
        <f>'Price Data Entry'!GX144</f>
        <v>115.83011583011582</v>
      </c>
      <c r="BR35" s="200">
        <f>'Price Data Entry'!HD57</f>
        <v>148.89196675900277</v>
      </c>
      <c r="BS35" s="200">
        <f>'Price Data Entry'!HD144</f>
        <v>160.73871409028726</v>
      </c>
      <c r="BT35" s="200">
        <f>'Price Data Entry'!HJ57</f>
        <v>242.95432458697766</v>
      </c>
      <c r="BU35" s="199">
        <f>'Price Data Entry'!HJ144</f>
        <v>127.50716332378224</v>
      </c>
      <c r="BV35" s="200">
        <f>'Price Data Entry'!HP57</f>
        <v>130.54830287206266</v>
      </c>
      <c r="BW35" s="199">
        <f>'Price Data Entry'!HP144</f>
        <v>155.76323987538942</v>
      </c>
      <c r="BX35" s="200">
        <f>'Price Data Entry'!HV57</f>
        <v>192.30769230769229</v>
      </c>
      <c r="BY35" s="386">
        <v>192.30769230769229</v>
      </c>
      <c r="BZ35" s="201">
        <f>'Price Data Entry'!IB57</f>
        <v>224.98060512024824</v>
      </c>
      <c r="CA35" s="199">
        <f>'Price Data Entry'!IB144</f>
        <v>189.73214285714286</v>
      </c>
      <c r="CB35" s="200">
        <f>'Price Data Entry'!IH57</f>
        <v>140.38876889848811</v>
      </c>
      <c r="CC35" s="199">
        <f>'Price Data Entry'!IH144</f>
        <v>143.24324324324326</v>
      </c>
      <c r="CD35" s="200">
        <f>'Price Data Entry'!IN57</f>
        <v>138.26815642458101</v>
      </c>
      <c r="CE35" s="200">
        <f>'Price Data Entry'!IN144</f>
        <v>263.15789473684208</v>
      </c>
      <c r="CF35" s="199">
        <f>'Price Data Entry'!IT57</f>
        <v>263.15789473684208</v>
      </c>
      <c r="CG35" s="199">
        <f>'Price Data Entry'!IT144</f>
        <v>167.93409378960712</v>
      </c>
      <c r="CH35" s="199">
        <f>'Price Data Entry'!IZ57</f>
        <v>129.90762124711318</v>
      </c>
      <c r="CI35" s="199">
        <f>'Price Data Entry'!IZ144</f>
        <v>131.39502376292984</v>
      </c>
      <c r="CJ35" s="199">
        <f>'Price Data Entry'!JF57</f>
        <v>222.5130890052356</v>
      </c>
      <c r="CK35" s="199">
        <f>'Price Data Entry'!JF144</f>
        <v>211.39705882352942</v>
      </c>
      <c r="CL35" s="200">
        <f>'Price Data Entry'!JL57</f>
        <v>170.70484581497797</v>
      </c>
      <c r="CM35" s="199">
        <f>'Price Data Entry'!JL144</f>
        <v>123.72956252761821</v>
      </c>
      <c r="CN35" s="200">
        <f>'Price Data Entry'!JR57</f>
        <v>173.71937639198217</v>
      </c>
      <c r="CO35" s="199">
        <f>'Price Data Entry'!JR144</f>
        <v>191.32653061224491</v>
      </c>
      <c r="CP35" s="764">
        <f>'Price Data Entry'!JX57</f>
        <v>107.39490641301012</v>
      </c>
      <c r="CQ35" s="764">
        <f>'Price Data Entry'!JX144</f>
        <v>104.07101316192225</v>
      </c>
      <c r="CR35" s="765">
        <v>104.07101316192225</v>
      </c>
      <c r="CS35" s="764">
        <f>'Price Data Entry'!KD144</f>
        <v>245.72649572649573</v>
      </c>
      <c r="CT35" s="200">
        <f>'Price Data Entry'!KJ57</f>
        <v>214.42495126705654</v>
      </c>
      <c r="CU35" s="199">
        <f>'Price Data Entry'!KJ144</f>
        <v>230.63276167947959</v>
      </c>
      <c r="CV35" s="764">
        <f>'Price Data Entry'!KP57</f>
        <v>277.04485488126647</v>
      </c>
      <c r="CW35" s="764">
        <f>'Price Data Entry'!KP144</f>
        <v>52.831783601014365</v>
      </c>
      <c r="CX35" s="786">
        <f>'Price Data Entry'!KV57</f>
        <v>129.081245254366</v>
      </c>
      <c r="CY35" s="800">
        <f>'Price Data Entry'!KV144</f>
        <v>263.15789473684208</v>
      </c>
      <c r="CZ35" s="199">
        <v>0</v>
      </c>
      <c r="DA35" s="595">
        <v>0</v>
      </c>
      <c r="DB35" s="802">
        <v>0</v>
      </c>
      <c r="DC35" s="786">
        <f>'Price Data Entry'!LH144</f>
        <v>214.42495126705654</v>
      </c>
      <c r="DD35" s="786">
        <v>0</v>
      </c>
      <c r="DE35" s="786">
        <v>0</v>
      </c>
      <c r="DF35" s="786">
        <f>'Price Data Entry'!LT57</f>
        <v>358.52713178294573</v>
      </c>
      <c r="DG35" s="786">
        <v>0</v>
      </c>
      <c r="DH35" s="786">
        <f>'Price Data Entry'!LZ57</f>
        <v>151.24868097080548</v>
      </c>
      <c r="DI35" s="786">
        <v>0</v>
      </c>
      <c r="DJ35" s="786">
        <f>'Price Data Entry'!MF57</f>
        <v>224.41651705565525</v>
      </c>
      <c r="DK35" s="786">
        <f>'Price Data Entry'!MF144</f>
        <v>309.73451327433628</v>
      </c>
      <c r="DL35" s="786">
        <f>'Price Data Entry'!ML57</f>
        <v>192.79128248114</v>
      </c>
      <c r="DM35" s="786">
        <f>'Price Data Entry'!ML144</f>
        <v>167.5977653631285</v>
      </c>
      <c r="DN35" s="786">
        <f t="shared" ref="DN35:DN55" si="16">SUM(DH35:DM35)/6</f>
        <v>174.2981265241776</v>
      </c>
      <c r="DO35" s="786">
        <f t="shared" ref="DO35:DO55" si="17">SUM(DI35:DN35)/6</f>
        <v>178.13970078307293</v>
      </c>
      <c r="DP35" s="786">
        <f t="shared" ref="DP35:DP55" si="18">SUM(DJ35:DO35)/6</f>
        <v>207.82965091358506</v>
      </c>
      <c r="DQ35" s="800">
        <f t="shared" ref="DQ35:DQ55" si="19">SUM(DK35:DP35)/6</f>
        <v>205.06517322324007</v>
      </c>
      <c r="DR35" s="833">
        <f>'Price Data Entry'!ND57</f>
        <v>194.61563412260787</v>
      </c>
      <c r="DS35" s="833">
        <f>'Price Data Entry'!ND144</f>
        <v>171.56862745098039</v>
      </c>
      <c r="DT35" s="833">
        <f>'Price Data Entry'!NJ57</f>
        <v>166.66666666666669</v>
      </c>
      <c r="DU35" s="833">
        <f>'Price Data Entry'!NJ144</f>
        <v>172.88033674082979</v>
      </c>
      <c r="DV35" s="833">
        <f>'Price Data Entry'!NP57</f>
        <v>191.34775374376036</v>
      </c>
      <c r="DW35" s="833">
        <f>'Price Data Entry'!NP144</f>
        <v>147.44145706851691</v>
      </c>
      <c r="DX35" s="833">
        <f>'Price Data Entry'!NV57</f>
        <v>116.36927851047324</v>
      </c>
      <c r="DY35" s="833">
        <f>'Price Data Entry'!NV144</f>
        <v>115.74074074074073</v>
      </c>
      <c r="DZ35" s="833">
        <f>'Price Data Entry'!OB57</f>
        <v>119.97600479904018</v>
      </c>
      <c r="EA35" s="833">
        <f>'Price Data Entry'!OB144</f>
        <v>174.29193899782132</v>
      </c>
      <c r="EB35" s="833">
        <f>'Price Data Entry'!OH57</f>
        <v>161.46393972012919</v>
      </c>
      <c r="EC35" s="833">
        <f>'Price Data Entry'!OH144</f>
        <v>163.3986928104575</v>
      </c>
    </row>
    <row r="36" spans="1:138">
      <c r="A36" s="189" t="s">
        <v>15</v>
      </c>
      <c r="B36" s="201">
        <f>'Price Data Entry'!H58</f>
        <v>65.11309115832762</v>
      </c>
      <c r="C36" s="200">
        <f>'Price Data Entry'!H145</f>
        <v>55.594162612925651</v>
      </c>
      <c r="D36" s="200">
        <f>'Price Data Entry'!N58</f>
        <v>55.379746835443036</v>
      </c>
      <c r="E36" s="199">
        <f>'Price Data Entry'!N145</f>
        <v>32.407407407407405</v>
      </c>
      <c r="F36" s="199">
        <f>'Price Data Entry'!T58</f>
        <v>73.490813648293965</v>
      </c>
      <c r="G36" s="199">
        <f>'Price Data Entry'!T145</f>
        <v>63.69426751592357</v>
      </c>
      <c r="H36" s="199">
        <f>'Price Data Entry'!Z58</f>
        <v>43.493389004871254</v>
      </c>
      <c r="I36" s="199">
        <f>'Price Data Entry'!Z145</f>
        <v>62.260536398467437</v>
      </c>
      <c r="J36" s="199">
        <f>'Price Data Entry'!AF58</f>
        <v>75.916230366492158</v>
      </c>
      <c r="K36" s="199">
        <f>'Price Data Entry'!AF145</f>
        <v>79.429735234215883</v>
      </c>
      <c r="L36" s="386">
        <v>0</v>
      </c>
      <c r="M36" s="199">
        <f>'Price Data Entry'!AL145</f>
        <v>45.053162732023786</v>
      </c>
      <c r="N36" s="199">
        <f>'Price Data Entry'!AR58</f>
        <v>46.398046398046397</v>
      </c>
      <c r="O36" s="386">
        <v>0</v>
      </c>
      <c r="P36" s="199">
        <f>'Price Data Entry'!AX58</f>
        <v>44.843049327354258</v>
      </c>
      <c r="Q36" s="199">
        <f>'Price Data Entry'!AX145</f>
        <v>39.806161301488402</v>
      </c>
      <c r="R36" s="199">
        <f>'Price Data Entry'!BD58</f>
        <v>25.33308313004316</v>
      </c>
      <c r="S36" s="199">
        <f>'Price Data Entry'!BD145</f>
        <v>49.210928219921946</v>
      </c>
      <c r="T36" s="386">
        <v>0</v>
      </c>
      <c r="U36" s="386">
        <v>0</v>
      </c>
      <c r="V36" s="597">
        <v>0</v>
      </c>
      <c r="W36" s="386">
        <v>0</v>
      </c>
      <c r="X36" s="199">
        <f>'Price Data Entry'!BV58</f>
        <v>57.61198329252484</v>
      </c>
      <c r="Y36" s="386">
        <v>0</v>
      </c>
      <c r="Z36" s="199">
        <f>'Price Data Entry'!CB58</f>
        <v>48.882681564245807</v>
      </c>
      <c r="AA36" s="199">
        <f>'Price Data Entry'!CB145</f>
        <v>45.737285034760333</v>
      </c>
      <c r="AB36" s="199">
        <f>'Price Data Entry'!CH58</f>
        <v>43.566926214312204</v>
      </c>
      <c r="AC36" s="386">
        <v>0</v>
      </c>
      <c r="AD36" s="199">
        <f>'Price Data Entry'!CN58</f>
        <v>43.279634527530654</v>
      </c>
      <c r="AE36" s="199">
        <f>'Price Data Entry'!CN145</f>
        <v>35.756078533350674</v>
      </c>
      <c r="AF36" s="386">
        <v>0</v>
      </c>
      <c r="AG36" s="199">
        <f>'Price Data Entry'!CT145</f>
        <v>34.704237024759138</v>
      </c>
      <c r="AH36" s="199">
        <f>'Price Data Entry'!CZ58</f>
        <v>48.882681564245807</v>
      </c>
      <c r="AI36" s="199">
        <f>'Price Data Entry'!CZ145</f>
        <v>45.737285034760333</v>
      </c>
      <c r="AJ36" s="199">
        <f>'Price Data Entry'!DF58</f>
        <v>36.145939229639673</v>
      </c>
      <c r="AK36" s="199">
        <f>'Price Data Entry'!DF145</f>
        <v>41.743195859074973</v>
      </c>
      <c r="AL36" s="199">
        <f>'Price Data Entry'!DL58</f>
        <v>47.169811320754718</v>
      </c>
      <c r="AM36" s="199">
        <f>'Price Data Entry'!DL145</f>
        <v>79.429735234215883</v>
      </c>
      <c r="AN36" s="199">
        <f>'Price Data Entry'!DR58</f>
        <v>43.12769548096756</v>
      </c>
      <c r="AO36" s="199">
        <f>'Price Data Entry'!DR145</f>
        <v>29.919042590637101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595">
        <f>'Price Data Entry'!EV58</f>
        <v>48.882681564245807</v>
      </c>
      <c r="AY36" s="199">
        <f>'Price Data Entry'!EV145</f>
        <v>45.737285034760333</v>
      </c>
      <c r="AZ36" s="199">
        <f>'Price Data Entry'!FB58</f>
        <v>43.566926214312204</v>
      </c>
      <c r="BA36" s="199">
        <f>'Price Data Entry'!FB145</f>
        <v>73.730202075368638</v>
      </c>
      <c r="BB36" s="199">
        <f>'Price Data Entry'!FH58</f>
        <v>73.490813648293965</v>
      </c>
      <c r="BC36" s="199">
        <f>'Price Data Entry'!FH145</f>
        <v>58.031088082901555</v>
      </c>
      <c r="BD36" s="200">
        <f>'Price Data Entry'!FN58</f>
        <v>46.8831394339295</v>
      </c>
      <c r="BE36" s="199">
        <f>'Price Data Entry'!FN145</f>
        <v>59.157595835305266</v>
      </c>
      <c r="BF36" s="199">
        <f>'Price Data Entry'!FT58</f>
        <v>39.979141317573436</v>
      </c>
      <c r="BG36" s="199">
        <f>'Price Data Entry'!FT145</f>
        <v>49.614112458654908</v>
      </c>
      <c r="BH36" s="199">
        <f>'Price Data Entry'!FZ58</f>
        <v>69.975589910496339</v>
      </c>
      <c r="BI36" s="200">
        <f>'Price Data Entry'!FZ145</f>
        <v>41.743195859074973</v>
      </c>
      <c r="BJ36" s="199">
        <f>'Price Data Entry'!GF58</f>
        <v>44.642857142857139</v>
      </c>
      <c r="BK36" s="191">
        <f>'Price Data Entry'!GF145</f>
        <v>60.650169820475497</v>
      </c>
      <c r="BL36" s="199">
        <f>'Price Data Entry'!GL58</f>
        <v>46.226024561887677</v>
      </c>
      <c r="BM36" s="199">
        <f>'Price Data Entry'!GL145</f>
        <v>47.264133793855663</v>
      </c>
      <c r="BN36" s="199">
        <f>'Price Data Entry'!GR58</f>
        <v>59.157595835305266</v>
      </c>
      <c r="BO36" s="200">
        <f>'Price Data Entry'!GR145</f>
        <v>55.946291560102303</v>
      </c>
      <c r="BP36" s="199">
        <f>'Price Data Entry'!GX58</f>
        <v>68.62475981334066</v>
      </c>
      <c r="BQ36" s="199">
        <f>'Price Data Entry'!GX145</f>
        <v>62.499999999999993</v>
      </c>
      <c r="BR36" s="199">
        <f>'Price Data Entry'!HD58</f>
        <v>60.103626943005182</v>
      </c>
      <c r="BS36" s="199">
        <f>'Price Data Entry'!HD145</f>
        <v>55.595153243050611</v>
      </c>
      <c r="BT36" s="199">
        <f>'Price Data Entry'!HJ58</f>
        <v>37.859666834931851</v>
      </c>
      <c r="BU36" s="199">
        <f>'Price Data Entry'!HJ145</f>
        <v>29.919042590637101</v>
      </c>
      <c r="BV36" s="199">
        <f>'Price Data Entry'!HP58</f>
        <v>61.037639877924718</v>
      </c>
      <c r="BW36" s="200">
        <f>'Price Data Entry'!HP145</f>
        <v>55.594162612925651</v>
      </c>
      <c r="BX36" s="199">
        <f>'Price Data Entry'!HV58</f>
        <v>55.379746835443036</v>
      </c>
      <c r="BY36" s="199">
        <f>'Price Data Entry'!HV145</f>
        <v>32.407407407407405</v>
      </c>
      <c r="BZ36" s="201">
        <f>'Price Data Entry'!IB58</f>
        <v>95.754290876242095</v>
      </c>
      <c r="CA36" s="199">
        <f>'Price Data Entry'!IB145</f>
        <v>50.937245313773431</v>
      </c>
      <c r="CB36" s="199">
        <f>'Price Data Entry'!IH58</f>
        <v>54.86358244365362</v>
      </c>
      <c r="CC36" s="199">
        <f>'Price Data Entry'!IH145</f>
        <v>46.108447067502766</v>
      </c>
      <c r="CD36" s="199">
        <f>'Price Data Entry'!IN58</f>
        <v>46.523993087863879</v>
      </c>
      <c r="CE36" s="200">
        <f>'Price Data Entry'!IN145</f>
        <v>60.532687651331713</v>
      </c>
      <c r="CF36" s="199">
        <f>'Price Data Entry'!IT58</f>
        <v>60.532687651331713</v>
      </c>
      <c r="CG36" s="199">
        <f>'Price Data Entry'!IT145</f>
        <v>62.07324643078833</v>
      </c>
      <c r="CH36" s="199">
        <f>'Price Data Entry'!IZ58</f>
        <v>52.356020942408378</v>
      </c>
      <c r="CI36" s="199">
        <f>'Price Data Entry'!IZ145</f>
        <v>49.678012879484818</v>
      </c>
      <c r="CJ36" s="199">
        <f>'Price Data Entry'!JF58</f>
        <v>60.926076360682373</v>
      </c>
      <c r="CK36" s="199">
        <f>'Price Data Entry'!JF145</f>
        <v>57.731958762886599</v>
      </c>
      <c r="CL36" s="200">
        <f>'Price Data Entry'!JL58</f>
        <v>51.114291555919031</v>
      </c>
      <c r="CM36" s="199">
        <f>'Price Data Entry'!JL145</f>
        <v>59.311981020166073</v>
      </c>
      <c r="CN36" s="200">
        <f>'Price Data Entry'!JR58</f>
        <v>50.215208034433275</v>
      </c>
      <c r="CO36" s="199">
        <f>'Price Data Entry'!JR145</f>
        <v>52.687038988408851</v>
      </c>
      <c r="CP36" s="764">
        <f>'Price Data Entry'!JX58</f>
        <v>59.368321063880316</v>
      </c>
      <c r="CQ36" s="764">
        <f>'Price Data Entry'!JX145</f>
        <v>75.815011372251703</v>
      </c>
      <c r="CR36" s="764">
        <f>'Price Data Entry'!KD58</f>
        <v>65.087216870606611</v>
      </c>
      <c r="CS36" s="764">
        <f>'Price Data Entry'!KD145</f>
        <v>44.964028776978417</v>
      </c>
      <c r="CT36" s="200">
        <f>'Price Data Entry'!KJ58</f>
        <v>51.340559041642905</v>
      </c>
      <c r="CU36" s="199">
        <f>'Price Data Entry'!KJ145</f>
        <v>46.745152354570635</v>
      </c>
      <c r="CV36" s="764">
        <f>'Price Data Entry'!KP58</f>
        <v>32.195750160978754</v>
      </c>
      <c r="CW36" s="765">
        <v>32.200000000000003</v>
      </c>
      <c r="CX36" s="764">
        <f>'Price Data Entry'!KV58</f>
        <v>34.554250172771255</v>
      </c>
      <c r="CY36" s="800">
        <f>'Price Data Entry'!KV145</f>
        <v>67.439978419206909</v>
      </c>
      <c r="CZ36" s="199">
        <v>0</v>
      </c>
      <c r="DA36" s="595">
        <v>0</v>
      </c>
      <c r="DB36" s="802">
        <v>0</v>
      </c>
      <c r="DC36" s="786">
        <f>'Price Data Entry'!LH145</f>
        <v>51.340559041642905</v>
      </c>
      <c r="DD36" s="786">
        <f>'Price Data Entry'!LN58</f>
        <v>59.354226020892689</v>
      </c>
      <c r="DE36" s="786">
        <f>'Price Data Entry'!LN145</f>
        <v>157.39769150052464</v>
      </c>
      <c r="DF36" s="786">
        <f>'Price Data Entry'!LT58</f>
        <v>64.020486555697829</v>
      </c>
      <c r="DG36" s="786">
        <f>'Price Data Entry'!LT145</f>
        <v>76.13510520487263</v>
      </c>
      <c r="DH36" s="786">
        <f>'Price Data Entry'!LZ58</f>
        <v>136.6535074400243</v>
      </c>
      <c r="DI36" s="786">
        <f>'Price Data Entry'!LZ145</f>
        <v>49.767750497677504</v>
      </c>
      <c r="DJ36" s="786">
        <f>'Price Data Entry'!MF58</f>
        <v>64.618842479865137</v>
      </c>
      <c r="DK36" s="786">
        <f>'Price Data Entry'!MF145</f>
        <v>35.315722559683572</v>
      </c>
      <c r="DL36" s="786">
        <f>'Price Data Entry'!ML58</f>
        <v>53.724053724053732</v>
      </c>
      <c r="DM36" s="786">
        <f>'Price Data Entry'!ML145</f>
        <v>55.598159509202453</v>
      </c>
      <c r="DN36" s="786">
        <f t="shared" si="16"/>
        <v>65.946339368417782</v>
      </c>
      <c r="DO36" s="786">
        <f t="shared" si="17"/>
        <v>54.161811356483362</v>
      </c>
      <c r="DP36" s="786">
        <f t="shared" si="18"/>
        <v>54.89415483295101</v>
      </c>
      <c r="DQ36" s="800">
        <f t="shared" si="19"/>
        <v>53.273373558465323</v>
      </c>
      <c r="DR36" s="833">
        <f>'Price Data Entry'!ND58</f>
        <v>49.735279961495266</v>
      </c>
      <c r="DS36" s="833">
        <f>'Price Data Entry'!ND145</f>
        <v>54.154417453195116</v>
      </c>
      <c r="DT36" s="833">
        <f>'Price Data Entry'!NJ58</f>
        <v>49.771053155484765</v>
      </c>
      <c r="DU36" s="833">
        <f>'Price Data Entry'!NJ145</f>
        <v>54.339388293743212</v>
      </c>
      <c r="DV36" s="833">
        <f>'Price Data Entry'!NP58</f>
        <v>58.220773171867712</v>
      </c>
      <c r="DW36" s="833">
        <f>'Price Data Entry'!NP145</f>
        <v>52.49895002099958</v>
      </c>
      <c r="DX36" s="833">
        <f>'Price Data Entry'!NV58</f>
        <v>64.599483204134373</v>
      </c>
      <c r="DY36" s="833">
        <f>'Price Data Entry'!NV145</f>
        <v>47.205438066465256</v>
      </c>
      <c r="DZ36" s="833">
        <f>'Price Data Entry'!OB58</f>
        <v>36.694554528108029</v>
      </c>
      <c r="EA36" s="833">
        <f>'Price Data Entry'!OB145</f>
        <v>43.021032504780109</v>
      </c>
      <c r="EB36" s="833">
        <f>'Price Data Entry'!OH58</f>
        <v>30.179568432171415</v>
      </c>
      <c r="EC36" s="833">
        <f>'Price Data Entry'!OH145</f>
        <v>53.487376979032952</v>
      </c>
    </row>
    <row r="37" spans="1:138">
      <c r="A37" s="189" t="s">
        <v>19</v>
      </c>
      <c r="B37" s="201">
        <f>'Price Data Entry'!H59</f>
        <v>70.681642137877617</v>
      </c>
      <c r="C37" s="200">
        <f>'Price Data Entry'!H146</f>
        <v>77.98043880518108</v>
      </c>
      <c r="D37" s="200">
        <f>'Price Data Entry'!N59</f>
        <v>68.366592756836667</v>
      </c>
      <c r="E37" s="199">
        <f>'Price Data Entry'!N146</f>
        <v>62.622309197651667</v>
      </c>
      <c r="F37" s="199">
        <f>'Price Data Entry'!T59</f>
        <v>82.329317269076313</v>
      </c>
      <c r="G37" s="199">
        <f>'Price Data Entry'!T146</f>
        <v>84.905660377358487</v>
      </c>
      <c r="H37" s="199">
        <f>'Price Data Entry'!Z59</f>
        <v>84.108804581245536</v>
      </c>
      <c r="I37" s="199">
        <f>'Price Data Entry'!Z146</f>
        <v>83.523158694001523</v>
      </c>
      <c r="J37" s="199">
        <f>'Price Data Entry'!AF59</f>
        <v>88.846880907372395</v>
      </c>
      <c r="K37" s="199">
        <f>'Price Data Entry'!AF146</f>
        <v>100.2044989775051</v>
      </c>
      <c r="L37" s="386">
        <v>0</v>
      </c>
      <c r="M37" s="199">
        <f>'Price Data Entry'!AL146</f>
        <v>89.321965083231817</v>
      </c>
      <c r="N37" s="199">
        <f>'Price Data Entry'!AR59</f>
        <v>67.943174799258799</v>
      </c>
      <c r="O37" s="386">
        <v>0</v>
      </c>
      <c r="P37" s="199">
        <f>'Price Data Entry'!AX59</f>
        <v>85.282651072124764</v>
      </c>
      <c r="Q37" s="199">
        <f>'Price Data Entry'!AX146</f>
        <v>66.225165562913901</v>
      </c>
      <c r="R37" s="199">
        <f>'Price Data Entry'!BD59</f>
        <v>58.794302749254719</v>
      </c>
      <c r="S37" s="199">
        <f>'Price Data Entry'!BD146</f>
        <v>87.473757872638203</v>
      </c>
      <c r="T37" s="386">
        <v>0</v>
      </c>
      <c r="U37" s="386">
        <v>0</v>
      </c>
      <c r="V37" s="597">
        <v>0</v>
      </c>
      <c r="W37" s="386">
        <v>0</v>
      </c>
      <c r="X37" s="199">
        <f>'Price Data Entry'!BV59</f>
        <v>53.38357669963888</v>
      </c>
      <c r="Y37" s="386">
        <v>0</v>
      </c>
      <c r="Z37" s="199">
        <f>'Price Data Entry'!CB59</f>
        <v>72.614107883817425</v>
      </c>
      <c r="AA37" s="199">
        <f>'Price Data Entry'!CB146</f>
        <v>69.288389513108612</v>
      </c>
      <c r="AB37" s="199">
        <f>'Price Data Entry'!CH59</f>
        <v>50.490883590462836</v>
      </c>
      <c r="AC37" s="386">
        <v>0</v>
      </c>
      <c r="AD37" s="199">
        <f>'Price Data Entry'!CN59</f>
        <v>61.245321537938075</v>
      </c>
      <c r="AE37" s="199">
        <f>'Price Data Entry'!CN146</f>
        <v>56.652360515021456</v>
      </c>
      <c r="AF37" s="386">
        <v>0</v>
      </c>
      <c r="AG37" s="199">
        <f>'Price Data Entry'!CT146</f>
        <v>51.466001247660635</v>
      </c>
      <c r="AH37" s="199">
        <f>'Price Data Entry'!CZ59</f>
        <v>72.614107883817425</v>
      </c>
      <c r="AI37" s="199">
        <f>'Price Data Entry'!CZ146</f>
        <v>69.288389513108612</v>
      </c>
      <c r="AJ37" s="199">
        <f>'Price Data Entry'!DF59</f>
        <v>58.360081704114378</v>
      </c>
      <c r="AK37" s="199">
        <f>'Price Data Entry'!DF146</f>
        <v>110.10362694300518</v>
      </c>
      <c r="AL37" s="199">
        <f>'Price Data Entry'!DL59</f>
        <v>97.087378640776706</v>
      </c>
      <c r="AM37" s="199">
        <f>'Price Data Entry'!DL146</f>
        <v>100.2044989775051</v>
      </c>
      <c r="AN37" s="199">
        <f>'Price Data Entry'!DR59</f>
        <v>92.954080684142042</v>
      </c>
      <c r="AO37" s="199">
        <f>'Price Data Entry'!DR146</f>
        <v>61.565664684134383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595">
        <f>'Price Data Entry'!EV59</f>
        <v>72.614107883817425</v>
      </c>
      <c r="AY37" s="200">
        <f>'Price Data Entry'!EV146</f>
        <v>69.288389513108612</v>
      </c>
      <c r="AZ37" s="200">
        <f>'Price Data Entry'!FB59</f>
        <v>50.490883590462836</v>
      </c>
      <c r="BA37" s="200">
        <f>'Price Data Entry'!FB146</f>
        <v>134.49367088607593</v>
      </c>
      <c r="BB37" s="200">
        <f>'Price Data Entry'!FH59</f>
        <v>82.329317269076313</v>
      </c>
      <c r="BC37" s="200">
        <f>'Price Data Entry'!FH146</f>
        <v>84.905660377358487</v>
      </c>
      <c r="BD37" s="199">
        <f>'Price Data Entry'!FN59</f>
        <v>60.59458435902291</v>
      </c>
      <c r="BE37" s="200">
        <f>'Price Data Entry'!FN146</f>
        <v>50.439544602968724</v>
      </c>
      <c r="BF37" s="200">
        <f>'Price Data Entry'!FT59</f>
        <v>72.343943778420837</v>
      </c>
      <c r="BG37" s="200">
        <f>'Price Data Entry'!FT146</f>
        <v>75.411788053185148</v>
      </c>
      <c r="BH37" s="199">
        <f>'Price Data Entry'!FZ59</f>
        <v>75.202468183571156</v>
      </c>
      <c r="BI37" s="199">
        <f>'Price Data Entry'!FZ146</f>
        <v>110.10362694300518</v>
      </c>
      <c r="BJ37" s="200">
        <f>'Price Data Entry'!GF59</f>
        <v>74.367873078829945</v>
      </c>
      <c r="BK37" s="191">
        <f>'Price Data Entry'!GF146</f>
        <v>63.538611925708707</v>
      </c>
      <c r="BL37" s="200">
        <f>'Price Data Entry'!GL59</f>
        <v>69.197311190193744</v>
      </c>
      <c r="BM37" s="200">
        <f>'Price Data Entry'!GL146</f>
        <v>59.031877213695388</v>
      </c>
      <c r="BN37" s="200">
        <f>'Price Data Entry'!GR59</f>
        <v>59.46874587022598</v>
      </c>
      <c r="BO37" s="199">
        <f>'Price Data Entry'!GR146</f>
        <v>75.785928143712567</v>
      </c>
      <c r="BP37" s="200">
        <f>'Price Data Entry'!GX59</f>
        <v>87.475149105367805</v>
      </c>
      <c r="BQ37" s="200">
        <f>'Price Data Entry'!GX146</f>
        <v>78.157565652355146</v>
      </c>
      <c r="BR37" s="200">
        <f>'Price Data Entry'!HD59</f>
        <v>32.527881040892197</v>
      </c>
      <c r="BS37" s="200">
        <f>'Price Data Entry'!HD146</f>
        <v>80.55451479955039</v>
      </c>
      <c r="BT37" s="200">
        <f>'Price Data Entry'!HJ59</f>
        <v>84.871631657118613</v>
      </c>
      <c r="BU37" s="199">
        <f>'Price Data Entry'!HJ146</f>
        <v>61.565664684134383</v>
      </c>
      <c r="BV37" s="200">
        <f>'Price Data Entry'!HP59</f>
        <v>70.681642137877617</v>
      </c>
      <c r="BW37" s="199">
        <f>'Price Data Entry'!HP146</f>
        <v>77.98043880518108</v>
      </c>
      <c r="BX37" s="200">
        <f>'Price Data Entry'!HV59</f>
        <v>68.366592756836667</v>
      </c>
      <c r="BY37" s="199">
        <f>'Price Data Entry'!HV146</f>
        <v>62.622309197651667</v>
      </c>
      <c r="BZ37" s="199">
        <f>'Price Data Entry'!IB59</f>
        <v>67.446043165467628</v>
      </c>
      <c r="CA37" s="199">
        <f>'Price Data Entry'!IB146</f>
        <v>59.769167353668593</v>
      </c>
      <c r="CB37" s="200">
        <f>'Price Data Entry'!IH59</f>
        <v>86.361414371842926</v>
      </c>
      <c r="CC37" s="199">
        <f>'Price Data Entry'!IH146</f>
        <v>97.751710654936474</v>
      </c>
      <c r="CD37" s="200">
        <f>'Price Data Entry'!IN59</f>
        <v>79.872204472843464</v>
      </c>
      <c r="CE37" s="200">
        <f>'Price Data Entry'!IN146</f>
        <v>85.889570552147248</v>
      </c>
      <c r="CF37" s="199">
        <f>'Price Data Entry'!IT59</f>
        <v>85.889570552147248</v>
      </c>
      <c r="CG37" s="199">
        <f>'Price Data Entry'!IT146</f>
        <v>83.790371724558199</v>
      </c>
      <c r="CH37" s="199">
        <f>'Price Data Entry'!IZ59</f>
        <v>96.201691822856205</v>
      </c>
      <c r="CI37" s="199">
        <f>'Price Data Entry'!IZ146</f>
        <v>98.245614035087726</v>
      </c>
      <c r="CJ37" s="199">
        <f>'Price Data Entry'!JF59</f>
        <v>93.792633015006814</v>
      </c>
      <c r="CK37" s="199">
        <f>'Price Data Entry'!JF146</f>
        <v>110.69381300652302</v>
      </c>
      <c r="CL37" s="200">
        <f>'Price Data Entry'!JL59</f>
        <v>101.38248847926268</v>
      </c>
      <c r="CM37" s="199">
        <f>'Price Data Entry'!JL146</f>
        <v>106.64993726474279</v>
      </c>
      <c r="CN37" s="200">
        <f>'Price Data Entry'!JR59</f>
        <v>83.281282531750989</v>
      </c>
      <c r="CO37" s="199">
        <f>'Price Data Entry'!JR146</f>
        <v>85.451826532792154</v>
      </c>
      <c r="CP37" s="764">
        <f>'Price Data Entry'!JX59</f>
        <v>65.982404692082113</v>
      </c>
      <c r="CQ37" s="764">
        <f>'Price Data Entry'!JX146</f>
        <v>80.450522928399039</v>
      </c>
      <c r="CR37" s="764">
        <f>'Price Data Entry'!KD59</f>
        <v>60.284543043163737</v>
      </c>
      <c r="CS37" s="764">
        <f>'Price Data Entry'!KD146</f>
        <v>64.880112834978831</v>
      </c>
      <c r="CT37" s="200">
        <f>'Price Data Entry'!KJ59</f>
        <v>80.915178571428569</v>
      </c>
      <c r="CU37" s="199">
        <f>'Price Data Entry'!KJ146</f>
        <v>72.874493927125513</v>
      </c>
      <c r="CV37" s="764">
        <f>'Price Data Entry'!KP59</f>
        <v>67.585834009191686</v>
      </c>
      <c r="CW37" s="765">
        <v>67.59</v>
      </c>
      <c r="CX37" s="764">
        <f>'Price Data Entry'!KV59</f>
        <v>58.027079303675045</v>
      </c>
      <c r="CY37" s="800">
        <f>'Price Data Entry'!KV146</f>
        <v>73.333333333333329</v>
      </c>
      <c r="CZ37" s="199">
        <v>0</v>
      </c>
      <c r="DA37" s="595">
        <v>0</v>
      </c>
      <c r="DB37" s="802">
        <v>0</v>
      </c>
      <c r="DC37" s="786">
        <f>'Price Data Entry'!LH146</f>
        <v>80.915178571428569</v>
      </c>
      <c r="DD37" s="786">
        <f>'Price Data Entry'!LN59</f>
        <v>83.001328021248341</v>
      </c>
      <c r="DE37" s="786">
        <f>'Price Data Entry'!LN146</f>
        <v>69.516857838025729</v>
      </c>
      <c r="DF37" s="786">
        <v>0</v>
      </c>
      <c r="DG37" s="786">
        <v>0</v>
      </c>
      <c r="DH37" s="786">
        <f>'Price Data Entry'!LZ59</f>
        <v>90.139306200491674</v>
      </c>
      <c r="DI37" s="786">
        <f>'Price Data Entry'!LZ146</f>
        <v>93.370681605975719</v>
      </c>
      <c r="DJ37" s="786">
        <f>'Price Data Entry'!MF59</f>
        <v>87.463556851311949</v>
      </c>
      <c r="DK37" s="786">
        <f>'Price Data Entry'!MF146</f>
        <v>74.183976261127597</v>
      </c>
      <c r="DL37" s="786">
        <f>'Price Data Entry'!ML59</f>
        <v>62.911066628538748</v>
      </c>
      <c r="DM37" s="786">
        <f>'Price Data Entry'!ML146</f>
        <v>80.308384195309984</v>
      </c>
      <c r="DN37" s="786">
        <f t="shared" si="16"/>
        <v>81.396161957125955</v>
      </c>
      <c r="DO37" s="786">
        <f t="shared" si="17"/>
        <v>79.93897124989833</v>
      </c>
      <c r="DP37" s="786">
        <f t="shared" si="18"/>
        <v>77.700352857218761</v>
      </c>
      <c r="DQ37" s="800">
        <f t="shared" si="19"/>
        <v>76.073152191536565</v>
      </c>
      <c r="DR37" s="833">
        <f>'Price Data Entry'!ND59</f>
        <v>51.801271485754654</v>
      </c>
      <c r="DS37" s="833">
        <f>'Price Data Entry'!ND146</f>
        <v>77.194530216144685</v>
      </c>
      <c r="DT37" s="833">
        <f>'Price Data Entry'!NJ59</f>
        <v>73.921971252566735</v>
      </c>
      <c r="DU37" s="833">
        <f>'Price Data Entry'!NJ146</f>
        <v>85.499316005471954</v>
      </c>
      <c r="DV37" s="833">
        <f>'Price Data Entry'!NP59</f>
        <v>63.922270519048837</v>
      </c>
      <c r="DW37" s="833">
        <f>'Price Data Entry'!NP146</f>
        <v>81.419017156150048</v>
      </c>
      <c r="DX37" s="833">
        <f>'Price Data Entry'!NV59</f>
        <v>74.008288928359974</v>
      </c>
      <c r="DY37" s="833">
        <f>'Price Data Entry'!NV146</f>
        <v>91.362126245847165</v>
      </c>
      <c r="DZ37" s="833">
        <f>'Price Data Entry'!OB59</f>
        <v>79.87220447284345</v>
      </c>
      <c r="EA37" s="833">
        <v>0</v>
      </c>
      <c r="EB37" s="833">
        <f>'Price Data Entry'!OH59</f>
        <v>87.540122556171582</v>
      </c>
      <c r="EC37" s="833">
        <f>'Price Data Entry'!OH146</f>
        <v>61.379818315737793</v>
      </c>
    </row>
    <row r="38" spans="1:138">
      <c r="A38" s="189" t="s">
        <v>22</v>
      </c>
      <c r="B38" s="390">
        <v>112.67605633802818</v>
      </c>
      <c r="C38" s="200">
        <f>'Price Data Entry'!H147</f>
        <v>112.67605633802818</v>
      </c>
      <c r="D38" s="387">
        <v>112.67605633802818</v>
      </c>
      <c r="E38" s="386">
        <v>112.67605633802818</v>
      </c>
      <c r="F38" s="199">
        <f>'Price Data Entry'!T60</f>
        <v>191.17647058823528</v>
      </c>
      <c r="G38" s="199">
        <f>'Price Data Entry'!T147</f>
        <v>228.49695916594268</v>
      </c>
      <c r="H38" s="199">
        <f>'Price Data Entry'!Z60</f>
        <v>269.81450252951095</v>
      </c>
      <c r="I38" s="386">
        <v>269.81450252951095</v>
      </c>
      <c r="J38" s="199">
        <f>'Price Data Entry'!AF60</f>
        <v>223.28244274809157</v>
      </c>
      <c r="K38" s="199">
        <f>'Price Data Entry'!AF147</f>
        <v>296.2962962962963</v>
      </c>
      <c r="L38" s="386">
        <v>0</v>
      </c>
      <c r="M38" s="199">
        <f>'Price Data Entry'!AL147</f>
        <v>236.79417122040073</v>
      </c>
      <c r="N38" s="199">
        <f>'Price Data Entry'!AR60</f>
        <v>144.25553838227714</v>
      </c>
      <c r="O38" s="386">
        <v>0</v>
      </c>
      <c r="P38" s="199">
        <f>'Price Data Entry'!AX60</f>
        <v>237.32165560107362</v>
      </c>
      <c r="Q38" s="199">
        <f>'Price Data Entry'!AX147</f>
        <v>328.39665164198323</v>
      </c>
      <c r="R38" s="199">
        <f>'Price Data Entry'!BD60</f>
        <v>344.23407917383815</v>
      </c>
      <c r="S38" s="199">
        <f>'Price Data Entry'!BD147</f>
        <v>268.89534883720927</v>
      </c>
      <c r="T38" s="386">
        <v>0</v>
      </c>
      <c r="U38" s="386">
        <v>0</v>
      </c>
      <c r="V38" s="597">
        <v>0</v>
      </c>
      <c r="W38" s="386">
        <v>0</v>
      </c>
      <c r="X38" s="199">
        <f>'Price Data Entry'!BV60</f>
        <v>240.54982817869416</v>
      </c>
      <c r="Y38" s="386">
        <v>0</v>
      </c>
      <c r="Z38" s="199">
        <f>'Price Data Entry'!CB60</f>
        <v>158.58208955223881</v>
      </c>
      <c r="AA38" s="386">
        <v>158.58208955223881</v>
      </c>
      <c r="AB38" s="199">
        <f>'Price Data Entry'!CH60</f>
        <v>338.85542168674698</v>
      </c>
      <c r="AC38" s="386">
        <v>0</v>
      </c>
      <c r="AD38" s="199">
        <f>'Price Data Entry'!CN60</f>
        <v>235.59648747055041</v>
      </c>
      <c r="AE38" s="199">
        <f>'Price Data Entry'!CN147</f>
        <v>221.85246810870768</v>
      </c>
      <c r="AF38" s="386">
        <v>0</v>
      </c>
      <c r="AG38" s="199">
        <f>'Price Data Entry'!CT147</f>
        <v>183.93030009680541</v>
      </c>
      <c r="AH38" s="199">
        <f>'Price Data Entry'!CZ60</f>
        <v>158.58208955223881</v>
      </c>
      <c r="AI38" s="386">
        <v>158.58208955223881</v>
      </c>
      <c r="AJ38" s="199">
        <f>'Price Data Entry'!DF60</f>
        <v>65.072520580164635</v>
      </c>
      <c r="AK38" s="199">
        <f>'Price Data Entry'!DF147</f>
        <v>170.80436941410127</v>
      </c>
      <c r="AL38" s="199">
        <f>'Price Data Entry'!DL60</f>
        <v>271.19807758324754</v>
      </c>
      <c r="AM38" s="199">
        <f>'Price Data Entry'!DL147</f>
        <v>296.2962962962963</v>
      </c>
      <c r="AN38" s="199">
        <f>'Price Data Entry'!DR60</f>
        <v>269.17900403768505</v>
      </c>
      <c r="AO38" s="199">
        <f>'Price Data Entry'!DR147</f>
        <v>282.6379542395693</v>
      </c>
      <c r="AP38" s="386">
        <v>0</v>
      </c>
      <c r="AQ38" s="386">
        <v>0</v>
      </c>
      <c r="AR38" s="386">
        <v>0</v>
      </c>
      <c r="AS38" s="386">
        <v>0</v>
      </c>
      <c r="AT38" s="386">
        <v>0</v>
      </c>
      <c r="AU38" s="386">
        <v>0</v>
      </c>
      <c r="AV38" s="386">
        <v>0</v>
      </c>
      <c r="AW38" s="386">
        <v>0</v>
      </c>
      <c r="AX38" s="595">
        <f>'Price Data Entry'!EV60</f>
        <v>158.58208955223881</v>
      </c>
      <c r="AY38" s="199">
        <f>'Price Data Entry'!EV146</f>
        <v>69.288389513108612</v>
      </c>
      <c r="AZ38" s="200">
        <f>'Price Data Entry'!FB60</f>
        <v>338.85542168674698</v>
      </c>
      <c r="BA38" s="200">
        <f>'Price Data Entry'!FB147</f>
        <v>318.76138433515484</v>
      </c>
      <c r="BB38" s="200">
        <f>'Price Data Entry'!FH60</f>
        <v>191.17647058823528</v>
      </c>
      <c r="BC38" s="200">
        <f>'Price Data Entry'!FH147</f>
        <v>228.49695916594268</v>
      </c>
      <c r="BD38" s="200">
        <f>'Price Data Entry'!FN60</f>
        <v>192.04389574759944</v>
      </c>
      <c r="BE38" s="200">
        <f>'Price Data Entry'!FN147</f>
        <v>178.37235228539578</v>
      </c>
      <c r="BF38" s="200">
        <f>'Price Data Entry'!FT60</f>
        <v>164.10614525139664</v>
      </c>
      <c r="BG38" s="200">
        <f>'Price Data Entry'!FT147</f>
        <v>153.27900659681799</v>
      </c>
      <c r="BH38" s="199">
        <f>'Price Data Entry'!FZ60</f>
        <v>176.56500802568218</v>
      </c>
      <c r="BI38" s="200">
        <f>'Price Data Entry'!FZ147</f>
        <v>170.80436941410127</v>
      </c>
      <c r="BJ38" s="200">
        <f>'Price Data Entry'!GF60</f>
        <v>152.58215962441315</v>
      </c>
      <c r="BK38" s="191">
        <f>'Price Data Entry'!GF147</f>
        <v>221.38228941684662</v>
      </c>
      <c r="BL38" s="200">
        <f>'Price Data Entry'!GL60</f>
        <v>174.52006980802793</v>
      </c>
      <c r="BM38" s="200">
        <f>'Price Data Entry'!GL147</f>
        <v>191.27595054816885</v>
      </c>
      <c r="BN38" s="200">
        <f>'Price Data Entry'!GR60</f>
        <v>217.72462434835944</v>
      </c>
      <c r="BO38" s="200">
        <f>'Price Data Entry'!GR147</f>
        <v>245.15184778631541</v>
      </c>
      <c r="BP38" s="200">
        <f>'Price Data Entry'!GX60</f>
        <v>134.04825737265415</v>
      </c>
      <c r="BQ38" s="387">
        <v>134.04825737265415</v>
      </c>
      <c r="BR38" s="200">
        <f>'Price Data Entry'!HD60</f>
        <v>255.08317929759704</v>
      </c>
      <c r="BS38" s="200">
        <f>'Price Data Entry'!HD147</f>
        <v>230.566534914361</v>
      </c>
      <c r="BT38" s="200">
        <f>'Price Data Entry'!HJ60</f>
        <v>215.97819249318516</v>
      </c>
      <c r="BU38" s="199">
        <f>'Price Data Entry'!HJ147</f>
        <v>852.35920852359209</v>
      </c>
      <c r="BV38" s="387">
        <v>852.35920852359209</v>
      </c>
      <c r="BW38" s="200">
        <f>'Price Data Entry'!HP147</f>
        <v>112.67605633802818</v>
      </c>
      <c r="BX38" s="387">
        <v>112.67605633802818</v>
      </c>
      <c r="BY38" s="386">
        <v>112.67605633802818</v>
      </c>
      <c r="BZ38" s="201">
        <f>'Price Data Entry'!IB60</f>
        <v>238.80597014925371</v>
      </c>
      <c r="CA38" s="199">
        <f>'Price Data Entry'!IB147</f>
        <v>245.70024570024572</v>
      </c>
      <c r="CB38" s="200">
        <f>'Price Data Entry'!IH60</f>
        <v>157.04894083272461</v>
      </c>
      <c r="CC38" s="199">
        <f>'Price Data Entry'!IH147</f>
        <v>202.00039223377132</v>
      </c>
      <c r="CD38" s="200">
        <f>'Price Data Entry'!IN60</f>
        <v>239.05272564789993</v>
      </c>
      <c r="CE38" s="200">
        <f>'Price Data Entry'!IN147</f>
        <v>173.22834645669292</v>
      </c>
      <c r="CF38" s="199">
        <f>'Price Data Entry'!IT60</f>
        <v>173.22834645669292</v>
      </c>
      <c r="CG38" s="199">
        <f>'Price Data Entry'!IT147</f>
        <v>200.87600060413831</v>
      </c>
      <c r="CH38" s="199">
        <f>'Price Data Entry'!IZ60</f>
        <v>167.13091922005569</v>
      </c>
      <c r="CI38" s="199">
        <f>'Price Data Entry'!IZ147</f>
        <v>162.47582205029013</v>
      </c>
      <c r="CJ38" s="199">
        <f>'Price Data Entry'!JF60</f>
        <v>189.67587034813923</v>
      </c>
      <c r="CK38" s="199">
        <f>'Price Data Entry'!JF147</f>
        <v>218.47805961858916</v>
      </c>
      <c r="CL38" s="200">
        <f>'Price Data Entry'!JL60</f>
        <v>169.30022573363433</v>
      </c>
      <c r="CM38" s="199">
        <f>'Price Data Entry'!JL147</f>
        <v>199.17144678138942</v>
      </c>
      <c r="CN38" s="200">
        <f>'Price Data Entry'!JR60</f>
        <v>188.72113676731792</v>
      </c>
      <c r="CO38" s="199">
        <f>'Price Data Entry'!JR147</f>
        <v>144.89522960321</v>
      </c>
      <c r="CP38" s="764">
        <f>'Price Data Entry'!JX60</f>
        <v>163.9941690962099</v>
      </c>
      <c r="CQ38" s="764">
        <v>163.9941690962099</v>
      </c>
      <c r="CR38" s="764">
        <f>'Price Data Entry'!KD60</f>
        <v>148.26175869120652</v>
      </c>
      <c r="CS38" s="764">
        <f>'Price Data Entry'!KD147</f>
        <v>385.28896672504379</v>
      </c>
      <c r="CT38" s="200">
        <f>'Price Data Entry'!KJ60</f>
        <v>260.36016489477106</v>
      </c>
      <c r="CU38" s="199">
        <f>'Price Data Entry'!KJ147</f>
        <v>189.28639030853682</v>
      </c>
      <c r="CV38" s="765">
        <v>189.29</v>
      </c>
      <c r="CW38" s="765">
        <v>189.29</v>
      </c>
      <c r="CX38" s="764">
        <f>'Price Data Entry'!KV60</f>
        <v>144.52307385627427</v>
      </c>
      <c r="CY38" s="800">
        <f>'Price Data Entry'!KV147</f>
        <v>171.90569744597249</v>
      </c>
      <c r="CZ38" s="199">
        <v>0</v>
      </c>
      <c r="DA38" s="595">
        <v>0</v>
      </c>
      <c r="DB38" s="802">
        <v>0</v>
      </c>
      <c r="DC38" s="786">
        <f>'Price Data Entry'!LH147</f>
        <v>260.36016489477106</v>
      </c>
      <c r="DD38" s="786">
        <v>0</v>
      </c>
      <c r="DE38" s="786">
        <v>0</v>
      </c>
      <c r="DF38" s="786">
        <f>'Price Data Entry'!LT60</f>
        <v>271.58098933074689</v>
      </c>
      <c r="DG38" s="786">
        <v>0</v>
      </c>
      <c r="DH38" s="786">
        <f>'Price Data Entry'!LZ60</f>
        <v>203.125</v>
      </c>
      <c r="DI38" s="786">
        <f>'Price Data Entry'!LZ147</f>
        <v>266.92228284913728</v>
      </c>
      <c r="DJ38" s="786">
        <f>'Price Data Entry'!MF60</f>
        <v>248.0554971620769</v>
      </c>
      <c r="DK38" s="786">
        <f>'Price Data Entry'!MF147</f>
        <v>166.37595599087615</v>
      </c>
      <c r="DL38" s="786">
        <f>'Price Data Entry'!ML60</f>
        <v>209.82281628846749</v>
      </c>
      <c r="DM38" s="786">
        <f>'Price Data Entry'!ML147</f>
        <v>282.67752148349166</v>
      </c>
      <c r="DN38" s="786">
        <f t="shared" si="16"/>
        <v>229.49651229567493</v>
      </c>
      <c r="DO38" s="786">
        <f t="shared" si="17"/>
        <v>233.89176434495405</v>
      </c>
      <c r="DP38" s="786">
        <f t="shared" si="18"/>
        <v>228.3866779275902</v>
      </c>
      <c r="DQ38" s="800">
        <f t="shared" si="19"/>
        <v>225.10854138850911</v>
      </c>
      <c r="DR38" s="833">
        <f>'Price Data Entry'!ND60</f>
        <v>378.05440295066853</v>
      </c>
      <c r="DS38" s="833">
        <f>'Price Data Entry'!ND147</f>
        <v>86.405529953917053</v>
      </c>
      <c r="DT38" s="833">
        <f>'Price Data Entry'!NJ60</f>
        <v>256.85471162937284</v>
      </c>
      <c r="DU38" s="833">
        <f>'Price Data Entry'!NJ147</f>
        <v>200.69054812257227</v>
      </c>
      <c r="DV38" s="833">
        <f>'Price Data Entry'!NP60</f>
        <v>170.46474071415753</v>
      </c>
      <c r="DW38" s="833">
        <f>'Price Data Entry'!NP147</f>
        <v>213.59223300970874</v>
      </c>
      <c r="DX38" s="833">
        <f>'Price Data Entry'!NV60</f>
        <v>167.49660479855135</v>
      </c>
      <c r="DY38" s="833">
        <f>'Price Data Entry'!NV147</f>
        <v>123.51778656126481</v>
      </c>
      <c r="DZ38" s="833">
        <f>'Price Data Entry'!OB60</f>
        <v>177.27639000805803</v>
      </c>
      <c r="EA38" s="833">
        <f>'Price Data Entry'!OB147</f>
        <v>129.87012987012989</v>
      </c>
      <c r="EB38" s="833">
        <f>'Price Data Entry'!OH60</f>
        <v>159.89766549408378</v>
      </c>
      <c r="EC38" s="833">
        <f>'Price Data Entry'!OH147</f>
        <v>164.40726853187192</v>
      </c>
    </row>
    <row r="39" spans="1:138">
      <c r="A39" s="192" t="s">
        <v>25</v>
      </c>
      <c r="B39" s="201">
        <f>'Price Data Entry'!H61</f>
        <v>125.31328320802004</v>
      </c>
      <c r="C39" s="200">
        <f>'Price Data Entry'!H148</f>
        <v>127.05530642750375</v>
      </c>
      <c r="D39" s="200">
        <f>'Price Data Entry'!N61</f>
        <v>96.590909090909079</v>
      </c>
      <c r="E39" s="199">
        <f>'Price Data Entry'!N148</f>
        <v>340.20618556701032</v>
      </c>
      <c r="F39" s="386">
        <v>340.20618556701032</v>
      </c>
      <c r="G39" s="199">
        <f>'Price Data Entry'!T148</f>
        <v>247.31182795698928</v>
      </c>
      <c r="H39" s="199">
        <f>'Price Data Entry'!Z61</f>
        <v>79.787234042553195</v>
      </c>
      <c r="I39" s="199">
        <f>'Price Data Entry'!Z148</f>
        <v>79.936051159072733</v>
      </c>
      <c r="J39" s="386">
        <v>79.936051159072733</v>
      </c>
      <c r="K39" s="386">
        <v>79.936051159072733</v>
      </c>
      <c r="L39" s="386">
        <v>0</v>
      </c>
      <c r="M39" s="199">
        <f>'Price Data Entry'!AL148</f>
        <v>71.333036112349532</v>
      </c>
      <c r="N39" s="199">
        <f>'Price Data Entry'!AR61</f>
        <v>202.11161387631978</v>
      </c>
      <c r="O39" s="386">
        <v>0</v>
      </c>
      <c r="P39" s="199">
        <f>'Price Data Entry'!AX61</f>
        <v>106.53797122564195</v>
      </c>
      <c r="Q39" s="199">
        <f>'Price Data Entry'!AX148</f>
        <v>102.92524377031418</v>
      </c>
      <c r="R39" s="199">
        <f>'Price Data Entry'!BD61</f>
        <v>67.047429848522469</v>
      </c>
      <c r="S39" s="199">
        <f>'Price Data Entry'!BD148</f>
        <v>148.05414551607444</v>
      </c>
      <c r="T39" s="386">
        <v>0</v>
      </c>
      <c r="U39" s="386">
        <v>0</v>
      </c>
      <c r="V39" s="597">
        <v>0</v>
      </c>
      <c r="W39" s="386">
        <v>0</v>
      </c>
      <c r="X39" s="199">
        <f>'Price Data Entry'!BV61</f>
        <v>92.982067744077924</v>
      </c>
      <c r="Y39" s="386">
        <v>0</v>
      </c>
      <c r="Z39" s="199">
        <f>'Price Data Entry'!CB61</f>
        <v>136.19854721549638</v>
      </c>
      <c r="AA39" s="199">
        <f>'Price Data Entry'!CB148</f>
        <v>150.99223468507333</v>
      </c>
      <c r="AB39" s="199">
        <f>'Price Data Entry'!CH61</f>
        <v>89.69072164948453</v>
      </c>
      <c r="AC39" s="386">
        <v>0</v>
      </c>
      <c r="AD39" s="199">
        <f>'Price Data Entry'!CN61</f>
        <v>60.537656474451069</v>
      </c>
      <c r="AE39" s="199">
        <f>'Price Data Entry'!CN148</f>
        <v>72.555649478726394</v>
      </c>
      <c r="AF39" s="386">
        <v>0</v>
      </c>
      <c r="AG39" s="199">
        <f>'Price Data Entry'!CT148</f>
        <v>77.154685735792256</v>
      </c>
      <c r="AH39" s="199">
        <f>'Price Data Entry'!CZ61</f>
        <v>136.19854721549638</v>
      </c>
      <c r="AI39" s="199">
        <f>'Price Data Entry'!CZ148</f>
        <v>150.99223468507333</v>
      </c>
      <c r="AJ39" s="199">
        <f>'Price Data Entry'!DF61</f>
        <v>33.122203498169569</v>
      </c>
      <c r="AK39" s="199">
        <f>'Price Data Entry'!DF148</f>
        <v>112.30040357957537</v>
      </c>
      <c r="AL39" s="199">
        <f>'Price Data Entry'!DL61</f>
        <v>102.2005924672027</v>
      </c>
      <c r="AM39" s="386">
        <v>102.2005924672027</v>
      </c>
      <c r="AN39" s="199">
        <f>'Price Data Entry'!DR61</f>
        <v>135.83815028901734</v>
      </c>
      <c r="AO39" s="199">
        <f>'Price Data Entry'!DR148</f>
        <v>79.512324410283597</v>
      </c>
      <c r="AP39" s="386">
        <v>0</v>
      </c>
      <c r="AQ39" s="386">
        <v>0</v>
      </c>
      <c r="AR39" s="386">
        <v>0</v>
      </c>
      <c r="AS39" s="386">
        <v>0</v>
      </c>
      <c r="AT39" s="386">
        <v>0</v>
      </c>
      <c r="AU39" s="386">
        <v>0</v>
      </c>
      <c r="AV39" s="386">
        <v>0</v>
      </c>
      <c r="AW39" s="386">
        <v>0</v>
      </c>
      <c r="AX39" s="595">
        <f>'Price Data Entry'!EV61</f>
        <v>136.19854721549638</v>
      </c>
      <c r="AY39" s="199">
        <f>'Price Data Entry'!EV148</f>
        <v>150.99223468507333</v>
      </c>
      <c r="AZ39" s="199">
        <f>'Price Data Entry'!FB61</f>
        <v>89.69072164948453</v>
      </c>
      <c r="BA39" s="386">
        <v>89.69072164948453</v>
      </c>
      <c r="BB39" s="386">
        <v>89.69072164948453</v>
      </c>
      <c r="BC39" s="199">
        <f>'Price Data Entry'!FH148</f>
        <v>230.7692307692308</v>
      </c>
      <c r="BD39" s="199">
        <f>'Price Data Entry'!FN61</f>
        <v>63.291139240506325</v>
      </c>
      <c r="BE39" s="199">
        <f>'Price Data Entry'!FN148</f>
        <v>71.113290828837677</v>
      </c>
      <c r="BF39" s="199">
        <f>'Price Data Entry'!FT61</f>
        <v>69.629326233872618</v>
      </c>
      <c r="BG39" s="199">
        <f>'Price Data Entry'!FT148</f>
        <v>57.953972786830171</v>
      </c>
      <c r="BH39" s="199">
        <f>'Price Data Entry'!FZ61</f>
        <v>65.053343741868332</v>
      </c>
      <c r="BI39" s="199">
        <f>'Price Data Entry'!FZ148</f>
        <v>112.30040357957537</v>
      </c>
      <c r="BJ39" s="199">
        <f>'Price Data Entry'!GF61</f>
        <v>60.635459616783891</v>
      </c>
      <c r="BK39" s="191">
        <f>'Price Data Entry'!GF148</f>
        <v>48.959608323133416</v>
      </c>
      <c r="BL39" s="199">
        <f>'Price Data Entry'!GL61</f>
        <v>75.974258133714685</v>
      </c>
      <c r="BM39" s="199">
        <f>'Price Data Entry'!GL148</f>
        <v>72.129255626081942</v>
      </c>
      <c r="BN39" s="199">
        <f>'Price Data Entry'!GR61</f>
        <v>92.715231788079478</v>
      </c>
      <c r="BO39" s="200">
        <f>'Price Data Entry'!GR148</f>
        <v>59.82053838484547</v>
      </c>
      <c r="BP39" s="199">
        <f>'Price Data Entry'!GX61</f>
        <v>318.72509960159363</v>
      </c>
      <c r="BQ39" s="199">
        <f>'Price Data Entry'!GX148</f>
        <v>226.30834512022631</v>
      </c>
      <c r="BR39" s="199">
        <f>'Price Data Entry'!HD61</f>
        <v>302.26700251889173</v>
      </c>
      <c r="BS39" s="199">
        <f>'Price Data Entry'!HD148</f>
        <v>369.56521739130432</v>
      </c>
      <c r="BT39" s="199">
        <f>'Price Data Entry'!HJ61</f>
        <v>69.675855801272334</v>
      </c>
      <c r="BU39" s="199">
        <f>'Price Data Entry'!HJ148</f>
        <v>79.512324410283597</v>
      </c>
      <c r="BV39" s="199">
        <f>'Price Data Entry'!HP61</f>
        <v>125.31328320802004</v>
      </c>
      <c r="BW39" s="199">
        <f>'Price Data Entry'!HP148</f>
        <v>127.05530642750375</v>
      </c>
      <c r="BX39" s="199">
        <f>'Price Data Entry'!HV61</f>
        <v>96.590909090909079</v>
      </c>
      <c r="BY39" s="199">
        <f>'Price Data Entry'!HV148</f>
        <v>340.20618556701032</v>
      </c>
      <c r="BZ39" s="201">
        <f>'Price Data Entry'!IB61</f>
        <v>70.809248554913296</v>
      </c>
      <c r="CA39" s="199">
        <f>'Price Data Entry'!IB148</f>
        <v>57.486281682780252</v>
      </c>
      <c r="CB39" s="199">
        <f>'Price Data Entry'!IH61</f>
        <v>66.875355719977236</v>
      </c>
      <c r="CC39" s="199">
        <f>'Price Data Entry'!IH148</f>
        <v>64.498421847125016</v>
      </c>
      <c r="CD39" s="199">
        <f>'Price Data Entry'!IN61</f>
        <v>63.911749255822102</v>
      </c>
      <c r="CE39" s="200">
        <f>'Price Data Entry'!IN148</f>
        <v>98.30205540661305</v>
      </c>
      <c r="CF39" s="199">
        <f>'Price Data Entry'!IT61</f>
        <v>98.30205540661305</v>
      </c>
      <c r="CG39" s="199">
        <f>'Price Data Entry'!IT148</f>
        <v>69.332810560020917</v>
      </c>
      <c r="CH39" s="199">
        <f>'Price Data Entry'!IZ61</f>
        <v>73.231721838532977</v>
      </c>
      <c r="CI39" s="199">
        <f>'Price Data Entry'!IZ148</f>
        <v>68.672334859385217</v>
      </c>
      <c r="CJ39" s="199">
        <f>'Price Data Entry'!JF61</f>
        <v>76.426406641191207</v>
      </c>
      <c r="CK39" s="199">
        <f>'Price Data Entry'!JF148</f>
        <v>65.972222222222229</v>
      </c>
      <c r="CL39" s="200">
        <f>'Price Data Entry'!JL61</f>
        <v>75.406032482598619</v>
      </c>
      <c r="CM39" s="199">
        <f>'Price Data Entry'!JL148</f>
        <v>86.61081925315915</v>
      </c>
      <c r="CN39" s="200">
        <f>'Price Data Entry'!JR61</f>
        <v>103.58899236161976</v>
      </c>
      <c r="CO39" s="199">
        <f>'Price Data Entry'!JR148</f>
        <v>62.059238363892803</v>
      </c>
      <c r="CP39" s="764">
        <f>'Price Data Entry'!JX61</f>
        <v>98.590464453516134</v>
      </c>
      <c r="CQ39" s="764">
        <f>'Price Data Entry'!JX148</f>
        <v>108.29626764649002</v>
      </c>
      <c r="CR39" s="764">
        <f>'Price Data Entry'!KD61</f>
        <v>121.11755089909346</v>
      </c>
      <c r="CS39" s="764">
        <f>'Price Data Entry'!KD148</f>
        <v>92.733739837398375</v>
      </c>
      <c r="CT39" s="200">
        <f>'Price Data Entry'!KJ61</f>
        <v>71.437765478182527</v>
      </c>
      <c r="CU39" s="199">
        <f>'Price Data Entry'!KJ148</f>
        <v>68.755996162456015</v>
      </c>
      <c r="CV39" s="764">
        <f>'Price Data Entry'!KP61</f>
        <v>79.999999999999986</v>
      </c>
      <c r="CW39" s="764">
        <f>'Price Data Entry'!KP148</f>
        <v>80.022462445598762</v>
      </c>
      <c r="CX39" s="764">
        <f>'Price Data Entry'!KV61</f>
        <v>82.914572864321599</v>
      </c>
      <c r="CY39" s="800">
        <f>'Price Data Entry'!KV148</f>
        <v>85.817524841915102</v>
      </c>
      <c r="CZ39" s="199">
        <v>0</v>
      </c>
      <c r="DA39" s="595">
        <v>0</v>
      </c>
      <c r="DB39" s="802">
        <v>0</v>
      </c>
      <c r="DC39" s="786">
        <f>'Price Data Entry'!LH148</f>
        <v>71.437765478182527</v>
      </c>
      <c r="DD39" s="786">
        <f>'Price Data Entry'!LN61</f>
        <v>88.449531737773157</v>
      </c>
      <c r="DE39" s="786">
        <f>'Price Data Entry'!LN148</f>
        <v>91.324200913242009</v>
      </c>
      <c r="DF39" s="786">
        <f>'Price Data Entry'!LT61</f>
        <v>85.178875638841561</v>
      </c>
      <c r="DG39" s="786">
        <f>'Price Data Entry'!LT148</f>
        <v>89.445438282647586</v>
      </c>
      <c r="DH39" s="786">
        <f>'Price Data Entry'!LZ61</f>
        <v>89.020771513353125</v>
      </c>
      <c r="DI39" s="786">
        <f>'Price Data Entry'!LZ148</f>
        <v>63.688212927756645</v>
      </c>
      <c r="DJ39" s="786">
        <f>'Price Data Entry'!MF61</f>
        <v>90.760425183973837</v>
      </c>
      <c r="DK39" s="786">
        <f>'Price Data Entry'!MF148</f>
        <v>127.72837510105094</v>
      </c>
      <c r="DL39" s="786">
        <f>'Price Data Entry'!ML61</f>
        <v>76.285676706563194</v>
      </c>
      <c r="DM39" s="786">
        <f>'Price Data Entry'!ML148</f>
        <v>73.427689688198356</v>
      </c>
      <c r="DN39" s="786">
        <f t="shared" si="16"/>
        <v>86.818525186816018</v>
      </c>
      <c r="DO39" s="786">
        <f t="shared" si="17"/>
        <v>86.451484132393162</v>
      </c>
      <c r="DP39" s="786">
        <f t="shared" si="18"/>
        <v>90.245362666499261</v>
      </c>
      <c r="DQ39" s="800">
        <f t="shared" si="19"/>
        <v>90.159518913586837</v>
      </c>
      <c r="DR39" s="833">
        <f>'Price Data Entry'!ND61</f>
        <v>66.18370449870315</v>
      </c>
      <c r="DS39" s="833">
        <f>'Price Data Entry'!ND148</f>
        <v>57.401530707485534</v>
      </c>
      <c r="DT39" s="833">
        <f>'Price Data Entry'!NJ61</f>
        <v>84.214298512811325</v>
      </c>
      <c r="DU39" s="833">
        <f>'Price Data Entry'!NJ148</f>
        <v>69.582504970178931</v>
      </c>
      <c r="DV39" s="833">
        <f>'Price Data Entry'!NP61</f>
        <v>59.474247650767225</v>
      </c>
      <c r="DW39" s="833">
        <f>'Price Data Entry'!NP148</f>
        <v>54.9206701431266</v>
      </c>
      <c r="DX39" s="833">
        <f>'Price Data Entry'!NV61</f>
        <v>84.297317253261127</v>
      </c>
      <c r="DY39" s="833">
        <f>'Price Data Entry'!NV148</f>
        <v>53.877406818583282</v>
      </c>
      <c r="DZ39" s="833">
        <f>'Price Data Entry'!OB61</f>
        <v>60.817659646356567</v>
      </c>
      <c r="EA39" s="833">
        <f>'Price Data Entry'!OB148</f>
        <v>78.452837073526737</v>
      </c>
      <c r="EB39" s="833">
        <f>'Price Data Entry'!OH61</f>
        <v>110.38251366120218</v>
      </c>
      <c r="EC39" s="833">
        <f>'Price Data Entry'!OH148</f>
        <v>64.516129032258064</v>
      </c>
    </row>
    <row r="40" spans="1:138">
      <c r="A40" s="859" t="s">
        <v>48</v>
      </c>
      <c r="B40" s="201">
        <f>'Price Data Entry'!H85</f>
        <v>72.098053352559489</v>
      </c>
      <c r="C40" s="200">
        <f>'Price Data Entry'!H172</f>
        <v>67.598017124831003</v>
      </c>
      <c r="D40" s="200">
        <f>'Price Data Entry'!N85</f>
        <v>85.308056872037923</v>
      </c>
      <c r="E40" s="199">
        <f>'Price Data Entry'!N172</f>
        <v>84.602368866328248</v>
      </c>
      <c r="F40" s="199">
        <f>'Price Data Entry'!T85</f>
        <v>32.758620689655174</v>
      </c>
      <c r="G40" s="199">
        <f>'Price Data Entry'!T172</f>
        <v>26.041666666666664</v>
      </c>
      <c r="H40" s="199">
        <f>'Price Data Entry'!Z85</f>
        <v>58.377116170461171</v>
      </c>
      <c r="I40" s="199">
        <f>'Price Data Entry'!Z172</f>
        <v>65.075921908893704</v>
      </c>
      <c r="J40" s="199">
        <f>'Price Data Entry'!AF85</f>
        <v>42.296072507552879</v>
      </c>
      <c r="K40" s="199">
        <f>'Price Data Entry'!AF172</f>
        <v>52.173913043478258</v>
      </c>
      <c r="L40" s="386">
        <v>0</v>
      </c>
      <c r="M40" s="199">
        <f>'Price Data Entry'!AL172</f>
        <v>60.92607636068238</v>
      </c>
      <c r="N40" s="199">
        <f>'Price Data Entry'!AR85</f>
        <v>58.525165821303155</v>
      </c>
      <c r="O40" s="386">
        <v>0</v>
      </c>
      <c r="P40" s="199">
        <f>'Price Data Entry'!AX85</f>
        <v>81.256771397616461</v>
      </c>
      <c r="Q40" s="199">
        <f>'Price Data Entry'!AX172</f>
        <v>87.924970691676421</v>
      </c>
      <c r="R40" s="199">
        <f>'Price Data Entry'!BD85</f>
        <v>79.702444208289052</v>
      </c>
      <c r="S40" s="199">
        <f>'Price Data Entry'!BD172</f>
        <v>70.671378091872782</v>
      </c>
      <c r="T40" s="386">
        <v>0</v>
      </c>
      <c r="U40" s="386">
        <v>0</v>
      </c>
      <c r="V40" s="597">
        <v>0</v>
      </c>
      <c r="W40" s="386">
        <v>0</v>
      </c>
      <c r="X40" s="199">
        <f>'Price Data Entry'!BV85</f>
        <v>36.743376522916257</v>
      </c>
      <c r="Y40" s="386">
        <v>0</v>
      </c>
      <c r="Z40" s="199">
        <f>'Price Data Entry'!CB85</f>
        <v>82.244799225931288</v>
      </c>
      <c r="AA40" s="199">
        <f>'Price Data Entry'!CB172</f>
        <v>91.811414392059561</v>
      </c>
      <c r="AB40" s="199">
        <f>'Price Data Entry'!CH85</f>
        <v>162.5</v>
      </c>
      <c r="AC40" s="386">
        <v>0</v>
      </c>
      <c r="AD40" s="199">
        <f>'Price Data Entry'!CN85</f>
        <v>35.599857600569599</v>
      </c>
      <c r="AE40" s="199">
        <f>'Price Data Entry'!CN172</f>
        <v>54.221533694810226</v>
      </c>
      <c r="AF40" s="386">
        <v>0</v>
      </c>
      <c r="AG40" s="199">
        <f>'Price Data Entry'!CT172</f>
        <v>35.714285714285715</v>
      </c>
      <c r="AH40" s="199">
        <f>'Price Data Entry'!CZ85</f>
        <v>82.244799225931288</v>
      </c>
      <c r="AI40" s="199">
        <f>'Price Data Entry'!CZ172</f>
        <v>91.811414392059561</v>
      </c>
      <c r="AJ40" s="199">
        <f>'Price Data Entry'!DF85</f>
        <v>17.229496898690556</v>
      </c>
      <c r="AK40" s="199">
        <f>'Price Data Entry'!DF172</f>
        <v>45.837917125045841</v>
      </c>
      <c r="AL40" s="199">
        <f>'Price Data Entry'!DL85</f>
        <v>45.103092783505154</v>
      </c>
      <c r="AM40" s="199">
        <f>'Price Data Entry'!DL172</f>
        <v>34.188034188034187</v>
      </c>
      <c r="AN40" s="199">
        <f>'Price Data Entry'!DR85</f>
        <v>51.909529106414539</v>
      </c>
      <c r="AO40" s="199">
        <f>'Price Data Entry'!DR172</f>
        <v>62.292358803986716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595">
        <f>'Price Data Entry'!EV85</f>
        <v>82.244799225931288</v>
      </c>
      <c r="AY40" s="200">
        <f>'Price Data Entry'!EV172</f>
        <v>91.811414392059561</v>
      </c>
      <c r="AZ40" s="200">
        <f>'Price Data Entry'!FB85</f>
        <v>40.225261464199519</v>
      </c>
      <c r="BA40" s="200">
        <f>'Price Data Entry'!FB172</f>
        <v>60.92607636068238</v>
      </c>
      <c r="BB40" s="200">
        <f>'Price Data Entry'!FH85</f>
        <v>32.758620689655174</v>
      </c>
      <c r="BC40" s="200">
        <f>'Price Data Entry'!FH172</f>
        <v>26.041666666666664</v>
      </c>
      <c r="BD40" s="200">
        <f>'Price Data Entry'!FN85</f>
        <v>22.82410225197809</v>
      </c>
      <c r="BE40" s="200">
        <f>'Price Data Entry'!FN172</f>
        <v>39.525691699604749</v>
      </c>
      <c r="BF40" s="200">
        <f>'Price Data Entry'!FT85</f>
        <v>38.610038610038607</v>
      </c>
      <c r="BG40" s="200">
        <f>'Price Data Entry'!FT172</f>
        <v>29.424127784783522</v>
      </c>
      <c r="BH40" s="199">
        <f>'Price Data Entry'!FZ85</f>
        <v>43.8810336421258</v>
      </c>
      <c r="BI40" s="200">
        <f>'Price Data Entry'!FZ172</f>
        <v>45.837917125045841</v>
      </c>
      <c r="BJ40" s="200">
        <f>'Price Data Entry'!GF85</f>
        <v>44.452347083926028</v>
      </c>
      <c r="BK40" s="191">
        <f>'Price Data Entry'!GF172</f>
        <v>45.311268715524037</v>
      </c>
      <c r="BL40" s="200">
        <f>'Price Data Entry'!GL85</f>
        <v>44.052863436123346</v>
      </c>
      <c r="BM40" s="200">
        <f>'Price Data Entry'!GL172</f>
        <v>36.385688295936937</v>
      </c>
      <c r="BN40" s="200">
        <f>'Price Data Entry'!GR85</f>
        <v>47.169811320754718</v>
      </c>
      <c r="BO40" s="200">
        <f>'Price Data Entry'!GR172</f>
        <v>22.82410225197809</v>
      </c>
      <c r="BP40" s="200">
        <f>'Price Data Entry'!GX85</f>
        <v>88.028169014084511</v>
      </c>
      <c r="BQ40" s="200">
        <f>'Price Data Entry'!GX172</f>
        <v>69.092584062643951</v>
      </c>
      <c r="BR40" s="200">
        <f>'Price Data Entry'!HD85</f>
        <v>67.146282973621098</v>
      </c>
      <c r="BS40" s="200">
        <f>'Price Data Entry'!HD172</f>
        <v>50.977060322854719</v>
      </c>
      <c r="BT40" s="200">
        <f>'Price Data Entry'!HJ85</f>
        <v>48.955613577023492</v>
      </c>
      <c r="BU40" s="199">
        <f>'Price Data Entry'!HJ172</f>
        <v>62.292358803986716</v>
      </c>
      <c r="BV40" s="200">
        <f>'Price Data Entry'!HP85</f>
        <v>72.098053352559489</v>
      </c>
      <c r="BW40" s="200">
        <f>'Price Data Entry'!HP172</f>
        <v>67.598017124831003</v>
      </c>
      <c r="BX40" s="200">
        <f>'Price Data Entry'!HV85</f>
        <v>85.308056872037923</v>
      </c>
      <c r="BY40" s="199">
        <f>'Price Data Entry'!HV172</f>
        <v>84.602368866328248</v>
      </c>
      <c r="BZ40" s="201">
        <f>'Price Data Entry'!IB85</f>
        <v>34.161490683229815</v>
      </c>
      <c r="CA40" s="199">
        <f>'Price Data Entry'!IB172</f>
        <v>30.075187969924812</v>
      </c>
      <c r="CB40" s="200">
        <f>'Price Data Entry'!IH85</f>
        <v>35.1000351000351</v>
      </c>
      <c r="CC40" s="199">
        <f>'Price Data Entry'!IH172</f>
        <v>33.974744437763079</v>
      </c>
      <c r="CD40" s="200">
        <f>'Price Data Entry'!IN85</f>
        <v>30.303030303030305</v>
      </c>
      <c r="CE40" s="200">
        <f>'Price Data Entry'!IN172</f>
        <v>51.440329218106996</v>
      </c>
      <c r="CF40" s="199">
        <f>'Price Data Entry'!IT85</f>
        <v>51.440329218106996</v>
      </c>
      <c r="CG40" s="199">
        <f>'Price Data Entry'!IT172</f>
        <v>45.439792275235313</v>
      </c>
      <c r="CH40" s="199">
        <f>'Price Data Entry'!IZ85</f>
        <v>35.885167464114829</v>
      </c>
      <c r="CI40" s="199">
        <f>'Price Data Entry'!IZ172</f>
        <v>55.831265508684858</v>
      </c>
      <c r="CJ40" s="199">
        <f>'Price Data Entry'!JF85</f>
        <v>59.760956175298809</v>
      </c>
      <c r="CK40" s="199">
        <f>'Price Data Entry'!JF172</f>
        <v>44.345898004434588</v>
      </c>
      <c r="CL40" s="200">
        <f>'Price Data Entry'!JL85</f>
        <v>44.88330341113106</v>
      </c>
      <c r="CM40" s="199">
        <f>'Price Data Entry'!JL172</f>
        <v>51.926298157453935</v>
      </c>
      <c r="CN40" s="200">
        <f>'Price Data Entry'!JR85</f>
        <v>79.465988556897656</v>
      </c>
      <c r="CO40" s="199">
        <f>'Price Data Entry'!JR172</f>
        <v>49.701789264413513</v>
      </c>
      <c r="CP40" s="764">
        <f>'Price Data Entry'!JX85</f>
        <v>55.970149253731336</v>
      </c>
      <c r="CQ40" s="764">
        <f>'Price Data Entry'!JX172</f>
        <v>48</v>
      </c>
      <c r="CR40" s="764">
        <f>'Price Data Entry'!KD85</f>
        <v>62.787777312683133</v>
      </c>
      <c r="CS40" s="764">
        <f>'Price Data Entry'!KD172</f>
        <v>44.809559372666165</v>
      </c>
      <c r="CT40" s="200">
        <f>'Price Data Entry'!KJ85</f>
        <v>66.267635741769979</v>
      </c>
      <c r="CU40" s="199">
        <f>'Price Data Entry'!KJ172</f>
        <v>38.46153846153846</v>
      </c>
      <c r="CV40" s="786">
        <f>'Price Data Entry'!KP85</f>
        <v>33.877425315676007</v>
      </c>
      <c r="CW40" s="786">
        <f>'Price Data Entry'!KP172</f>
        <v>64.878892733564015</v>
      </c>
      <c r="CX40" s="786">
        <f>'Price Data Entry'!KV85</f>
        <v>59.382422802850364</v>
      </c>
      <c r="CY40" s="800">
        <f>'Price Data Entry'!KV172</f>
        <v>47.791694133157549</v>
      </c>
      <c r="CZ40" s="199">
        <v>0</v>
      </c>
      <c r="DA40" s="595">
        <v>0</v>
      </c>
      <c r="DB40" s="802">
        <v>0</v>
      </c>
      <c r="DC40" s="786">
        <f>'Price Data Entry'!LH172</f>
        <v>66.267635741769979</v>
      </c>
      <c r="DD40" s="786">
        <f>'Price Data Entry'!LN85</f>
        <v>33.211557622052474</v>
      </c>
      <c r="DE40" s="786">
        <f>'Price Data Entry'!LN172</f>
        <v>215.20803443328552</v>
      </c>
      <c r="DF40" s="786">
        <v>0</v>
      </c>
      <c r="DG40" s="786">
        <f>'Price Data Entry'!LT172</f>
        <v>44.895244429664118</v>
      </c>
      <c r="DH40" s="786">
        <f>'Price Data Entry'!LZ85</f>
        <v>66.666666666666671</v>
      </c>
      <c r="DI40" s="786">
        <f>'Price Data Entry'!LZ172</f>
        <v>44.662795891022768</v>
      </c>
      <c r="DJ40" s="786">
        <f>'Price Data Entry'!MF85</f>
        <v>56.109725685785534</v>
      </c>
      <c r="DK40" s="786">
        <f>'Price Data Entry'!MF172</f>
        <v>85.054678007290391</v>
      </c>
      <c r="DL40" s="786">
        <f>'Price Data Entry'!ML85</f>
        <v>53.970701619121051</v>
      </c>
      <c r="DM40" s="786">
        <f>'Price Data Entry'!ML172</f>
        <v>46.933667083854822</v>
      </c>
      <c r="DN40" s="786">
        <f>SUM(DH40:DM40)/6</f>
        <v>58.899705825623535</v>
      </c>
      <c r="DO40" s="786">
        <f>SUM(DI40:DN40)/6</f>
        <v>57.605212352116354</v>
      </c>
      <c r="DP40" s="786">
        <f>SUM(DJ40:DO40)/6</f>
        <v>59.76228176229862</v>
      </c>
      <c r="DQ40" s="800">
        <f>SUM(DK40:DP40)/6</f>
        <v>60.371041108384134</v>
      </c>
      <c r="DR40" s="833">
        <f>'Price Data Entry'!ND85</f>
        <v>50.314465408805027</v>
      </c>
      <c r="DS40" s="833">
        <f>'Price Data Entry'!ND172</f>
        <v>36.166365280289334</v>
      </c>
      <c r="DT40" s="833">
        <f>'Price Data Entry'!NJ85</f>
        <v>44.208664898320066</v>
      </c>
      <c r="DU40" s="833">
        <f>'Price Data Entry'!NJ172</f>
        <v>38.98635477582846</v>
      </c>
      <c r="DV40" s="833">
        <f>'Price Data Entry'!NP85</f>
        <v>53.308823529411768</v>
      </c>
      <c r="DW40" s="833">
        <f>'Price Data Entry'!NP172</f>
        <v>31.9693094629156</v>
      </c>
      <c r="DX40" s="833">
        <f>'Price Data Entry'!NV85</f>
        <v>36.710719530102793</v>
      </c>
      <c r="DY40" s="833">
        <f>'Price Data Entry'!NV172</f>
        <v>17.829457364341085</v>
      </c>
      <c r="DZ40" s="833">
        <f>'Price Data Entry'!OB85</f>
        <v>31.938677738741617</v>
      </c>
      <c r="EA40" s="833">
        <f>'Price Data Entry'!OB172</f>
        <v>29.342723004694836</v>
      </c>
      <c r="EB40" s="833">
        <f>'Price Data Entry'!OH85</f>
        <v>45.228403437358665</v>
      </c>
      <c r="EC40" s="833">
        <f>'Price Data Entry'!OH172</f>
        <v>60.768108896451139</v>
      </c>
    </row>
    <row r="41" spans="1:138" s="178" customFormat="1">
      <c r="A41" s="850" t="s">
        <v>186</v>
      </c>
      <c r="B41" s="876">
        <f>AVERAGE(B42:B45)</f>
        <v>130.95540606733584</v>
      </c>
      <c r="C41" s="876">
        <f t="shared" ref="C41:BN41" si="20">AVERAGE(C42:C45)</f>
        <v>145.33355316878988</v>
      </c>
      <c r="D41" s="876">
        <f t="shared" si="20"/>
        <v>154.08790117701892</v>
      </c>
      <c r="E41" s="876">
        <f t="shared" si="20"/>
        <v>185.35980457592086</v>
      </c>
      <c r="F41" s="876">
        <f t="shared" si="20"/>
        <v>178.95366826740764</v>
      </c>
      <c r="G41" s="876">
        <f t="shared" si="20"/>
        <v>231.53684735253756</v>
      </c>
      <c r="H41" s="876">
        <f t="shared" si="20"/>
        <v>139.31732449928211</v>
      </c>
      <c r="I41" s="876">
        <f t="shared" si="20"/>
        <v>132.60233918128654</v>
      </c>
      <c r="J41" s="876">
        <f t="shared" si="20"/>
        <v>162.3642439431913</v>
      </c>
      <c r="K41" s="876">
        <f t="shared" si="20"/>
        <v>134.4139333841851</v>
      </c>
      <c r="L41" s="876">
        <f t="shared" si="20"/>
        <v>0</v>
      </c>
      <c r="M41" s="876">
        <f t="shared" si="20"/>
        <v>148.80715987244611</v>
      </c>
      <c r="N41" s="876">
        <f t="shared" si="20"/>
        <v>150.74550847475192</v>
      </c>
      <c r="O41" s="876">
        <f t="shared" si="20"/>
        <v>0</v>
      </c>
      <c r="P41" s="876">
        <f t="shared" si="20"/>
        <v>135.62392045060852</v>
      </c>
      <c r="Q41" s="876">
        <f t="shared" si="20"/>
        <v>153.47483234459179</v>
      </c>
      <c r="R41" s="876">
        <f t="shared" si="20"/>
        <v>136.68319909843626</v>
      </c>
      <c r="S41" s="876">
        <f t="shared" si="20"/>
        <v>157.19488502672942</v>
      </c>
      <c r="T41" s="876">
        <f t="shared" si="20"/>
        <v>0</v>
      </c>
      <c r="U41" s="876">
        <f t="shared" si="20"/>
        <v>0</v>
      </c>
      <c r="V41" s="876">
        <f t="shared" si="20"/>
        <v>0</v>
      </c>
      <c r="W41" s="876">
        <f t="shared" si="20"/>
        <v>0</v>
      </c>
      <c r="X41" s="876">
        <f t="shared" si="20"/>
        <v>87.461179622928</v>
      </c>
      <c r="Y41" s="876">
        <f t="shared" si="20"/>
        <v>0</v>
      </c>
      <c r="Z41" s="876">
        <f t="shared" si="20"/>
        <v>122.31755369263746</v>
      </c>
      <c r="AA41" s="876">
        <f t="shared" si="20"/>
        <v>148.13565202985814</v>
      </c>
      <c r="AB41" s="876">
        <f t="shared" si="20"/>
        <v>173.47914530512057</v>
      </c>
      <c r="AC41" s="876">
        <f t="shared" si="20"/>
        <v>0</v>
      </c>
      <c r="AD41" s="876">
        <f t="shared" si="20"/>
        <v>146.43922191389521</v>
      </c>
      <c r="AE41" s="876">
        <f t="shared" si="20"/>
        <v>97.532182309036017</v>
      </c>
      <c r="AF41" s="876">
        <f t="shared" si="20"/>
        <v>0</v>
      </c>
      <c r="AG41" s="876">
        <f t="shared" si="20"/>
        <v>86.812586227121074</v>
      </c>
      <c r="AH41" s="876">
        <f t="shared" si="20"/>
        <v>108.28893270391239</v>
      </c>
      <c r="AI41" s="876">
        <f t="shared" si="20"/>
        <v>148.13565202985814</v>
      </c>
      <c r="AJ41" s="876">
        <f t="shared" si="20"/>
        <v>121.48765535916678</v>
      </c>
      <c r="AK41" s="876">
        <f t="shared" si="20"/>
        <v>141.83406179084392</v>
      </c>
      <c r="AL41" s="876">
        <f t="shared" si="20"/>
        <v>159.69443183987494</v>
      </c>
      <c r="AM41" s="876">
        <f t="shared" si="20"/>
        <v>159.69443183987494</v>
      </c>
      <c r="AN41" s="876">
        <f t="shared" si="20"/>
        <v>173.20425489628826</v>
      </c>
      <c r="AO41" s="876">
        <f t="shared" si="20"/>
        <v>127.90265123668817</v>
      </c>
      <c r="AP41" s="876">
        <f t="shared" si="20"/>
        <v>0</v>
      </c>
      <c r="AQ41" s="876">
        <f t="shared" si="20"/>
        <v>0</v>
      </c>
      <c r="AR41" s="876">
        <f t="shared" si="20"/>
        <v>0</v>
      </c>
      <c r="AS41" s="876">
        <f t="shared" si="20"/>
        <v>0</v>
      </c>
      <c r="AT41" s="876">
        <f t="shared" si="20"/>
        <v>0</v>
      </c>
      <c r="AU41" s="876">
        <f t="shared" si="20"/>
        <v>0</v>
      </c>
      <c r="AV41" s="876">
        <f t="shared" si="20"/>
        <v>0</v>
      </c>
      <c r="AW41" s="876">
        <f t="shared" si="20"/>
        <v>0</v>
      </c>
      <c r="AX41" s="876">
        <f t="shared" si="20"/>
        <v>145.42343562788901</v>
      </c>
      <c r="AY41" s="876">
        <f t="shared" si="20"/>
        <v>148.13565202985814</v>
      </c>
      <c r="AZ41" s="876">
        <f t="shared" si="20"/>
        <v>115.90639398236922</v>
      </c>
      <c r="BA41" s="876">
        <f t="shared" si="20"/>
        <v>148.80715987244611</v>
      </c>
      <c r="BB41" s="876">
        <f t="shared" si="20"/>
        <v>135.4209493088162</v>
      </c>
      <c r="BC41" s="876">
        <f t="shared" si="20"/>
        <v>163.12034387111316</v>
      </c>
      <c r="BD41" s="876">
        <f t="shared" si="20"/>
        <v>109.1650297115269</v>
      </c>
      <c r="BE41" s="876">
        <f t="shared" si="20"/>
        <v>97.269064381471395</v>
      </c>
      <c r="BF41" s="876">
        <f t="shared" si="20"/>
        <v>85.329679393817685</v>
      </c>
      <c r="BG41" s="876">
        <f t="shared" si="20"/>
        <v>94.773890048801306</v>
      </c>
      <c r="BH41" s="876">
        <f t="shared" si="20"/>
        <v>109.74297484823099</v>
      </c>
      <c r="BI41" s="876">
        <f t="shared" si="20"/>
        <v>113.17148213330609</v>
      </c>
      <c r="BJ41" s="876">
        <f t="shared" si="20"/>
        <v>118.11931710228258</v>
      </c>
      <c r="BK41" s="876">
        <f t="shared" si="20"/>
        <v>160.08787692496225</v>
      </c>
      <c r="BL41" s="876">
        <f t="shared" si="20"/>
        <v>169.99597053593033</v>
      </c>
      <c r="BM41" s="876">
        <f t="shared" si="20"/>
        <v>176.11274532603139</v>
      </c>
      <c r="BN41" s="876">
        <f t="shared" si="20"/>
        <v>186.59959300450581</v>
      </c>
      <c r="BO41" s="876">
        <f t="shared" ref="BO41:DW41" si="21">AVERAGE(BO42:BO45)</f>
        <v>173.90168962538539</v>
      </c>
      <c r="BP41" s="876">
        <f t="shared" si="21"/>
        <v>278.84083202704346</v>
      </c>
      <c r="BQ41" s="876">
        <f t="shared" si="21"/>
        <v>311.76388812115607</v>
      </c>
      <c r="BR41" s="876">
        <f t="shared" si="21"/>
        <v>234.024407145151</v>
      </c>
      <c r="BS41" s="876">
        <f t="shared" si="21"/>
        <v>280.06306335898779</v>
      </c>
      <c r="BT41" s="876">
        <f t="shared" si="21"/>
        <v>89.033143910039712</v>
      </c>
      <c r="BU41" s="876">
        <f t="shared" si="21"/>
        <v>127.90265123668817</v>
      </c>
      <c r="BV41" s="876">
        <f t="shared" si="21"/>
        <v>130.95540606733584</v>
      </c>
      <c r="BW41" s="876">
        <f t="shared" si="21"/>
        <v>145.33355316878988</v>
      </c>
      <c r="BX41" s="876">
        <f t="shared" si="21"/>
        <v>154.08790117701892</v>
      </c>
      <c r="BY41" s="876">
        <f t="shared" si="21"/>
        <v>185.35980457592086</v>
      </c>
      <c r="BZ41" s="876">
        <f t="shared" si="21"/>
        <v>121.75159097140818</v>
      </c>
      <c r="CA41" s="876">
        <f t="shared" si="21"/>
        <v>108.55667356493868</v>
      </c>
      <c r="CB41" s="876">
        <f t="shared" si="21"/>
        <v>132.32197836746707</v>
      </c>
      <c r="CC41" s="876">
        <f t="shared" si="21"/>
        <v>111.12015949684132</v>
      </c>
      <c r="CD41" s="876">
        <f t="shared" si="21"/>
        <v>110.14192862905077</v>
      </c>
      <c r="CE41" s="876">
        <f t="shared" si="21"/>
        <v>98.561987682176195</v>
      </c>
      <c r="CF41" s="876">
        <f t="shared" si="21"/>
        <v>117.05157101550955</v>
      </c>
      <c r="CG41" s="876">
        <f t="shared" si="21"/>
        <v>149.41926072416007</v>
      </c>
      <c r="CH41" s="876">
        <f t="shared" si="21"/>
        <v>128.91258188767088</v>
      </c>
      <c r="CI41" s="876">
        <f t="shared" si="21"/>
        <v>138.73421814317405</v>
      </c>
      <c r="CJ41" s="876">
        <f t="shared" si="21"/>
        <v>125.32193875579507</v>
      </c>
      <c r="CK41" s="876">
        <f t="shared" si="21"/>
        <v>134.20974450386217</v>
      </c>
      <c r="CL41" s="876">
        <f t="shared" si="21"/>
        <v>128.35736781271646</v>
      </c>
      <c r="CM41" s="876">
        <f t="shared" si="21"/>
        <v>156.72139531027526</v>
      </c>
      <c r="CN41" s="876">
        <f t="shared" si="21"/>
        <v>156.80127050820329</v>
      </c>
      <c r="CO41" s="876">
        <f t="shared" si="21"/>
        <v>151.69199408938215</v>
      </c>
      <c r="CP41" s="876">
        <f t="shared" si="21"/>
        <v>111.21581925614935</v>
      </c>
      <c r="CQ41" s="876">
        <f t="shared" si="21"/>
        <v>164.99369958925854</v>
      </c>
      <c r="CR41" s="876">
        <f t="shared" si="21"/>
        <v>142.0215896784687</v>
      </c>
      <c r="CS41" s="876">
        <f t="shared" si="21"/>
        <v>119.17705699335424</v>
      </c>
      <c r="CT41" s="876">
        <f t="shared" si="21"/>
        <v>154.00762989207112</v>
      </c>
      <c r="CU41" s="876">
        <f t="shared" si="21"/>
        <v>111.92164394724011</v>
      </c>
      <c r="CV41" s="876">
        <f t="shared" si="21"/>
        <v>111.65446160506764</v>
      </c>
      <c r="CW41" s="876">
        <f t="shared" si="21"/>
        <v>122.62777100418435</v>
      </c>
      <c r="CX41" s="876">
        <f t="shared" si="21"/>
        <v>183.29880430997835</v>
      </c>
      <c r="CY41" s="876">
        <f t="shared" si="21"/>
        <v>138.61941723858828</v>
      </c>
      <c r="CZ41" s="876">
        <f t="shared" si="21"/>
        <v>0</v>
      </c>
      <c r="DA41" s="876">
        <f t="shared" si="21"/>
        <v>0</v>
      </c>
      <c r="DB41" s="876">
        <f t="shared" si="21"/>
        <v>0</v>
      </c>
      <c r="DC41" s="876">
        <f t="shared" si="21"/>
        <v>154.00762989207112</v>
      </c>
      <c r="DD41" s="876">
        <f t="shared" si="21"/>
        <v>56.930604223778602</v>
      </c>
      <c r="DE41" s="876">
        <f t="shared" si="21"/>
        <v>0</v>
      </c>
      <c r="DF41" s="876">
        <f t="shared" si="21"/>
        <v>0</v>
      </c>
      <c r="DG41" s="876">
        <f t="shared" si="21"/>
        <v>32.756813417190777</v>
      </c>
      <c r="DH41" s="876">
        <f t="shared" si="21"/>
        <v>145.03188571857919</v>
      </c>
      <c r="DI41" s="876">
        <f t="shared" si="21"/>
        <v>56.741302243379451</v>
      </c>
      <c r="DJ41" s="876">
        <f t="shared" si="21"/>
        <v>96.585107311217854</v>
      </c>
      <c r="DK41" s="876">
        <f t="shared" si="21"/>
        <v>91.395223083432569</v>
      </c>
      <c r="DL41" s="876">
        <f t="shared" si="21"/>
        <v>114.75180995836608</v>
      </c>
      <c r="DM41" s="876">
        <f t="shared" si="21"/>
        <v>133.47562271014132</v>
      </c>
      <c r="DN41" s="876">
        <f t="shared" si="21"/>
        <v>106.33015850418607</v>
      </c>
      <c r="DO41" s="876">
        <f t="shared" si="21"/>
        <v>99.879870635120568</v>
      </c>
      <c r="DP41" s="876">
        <f t="shared" si="21"/>
        <v>107.06963203374409</v>
      </c>
      <c r="DQ41" s="876">
        <f t="shared" si="21"/>
        <v>108.81705282083179</v>
      </c>
      <c r="DR41" s="876">
        <f t="shared" si="21"/>
        <v>117.49725267603166</v>
      </c>
      <c r="DS41" s="876">
        <f t="shared" si="21"/>
        <v>117.20153921953602</v>
      </c>
      <c r="DT41" s="876">
        <f t="shared" si="21"/>
        <v>114.4748829242323</v>
      </c>
      <c r="DU41" s="876">
        <f t="shared" si="21"/>
        <v>129.97109403451401</v>
      </c>
      <c r="DV41" s="876">
        <f t="shared" si="21"/>
        <v>62.694856874022022</v>
      </c>
      <c r="DW41" s="879">
        <f t="shared" si="21"/>
        <v>141.73961430782339</v>
      </c>
      <c r="DX41" s="876">
        <f t="shared" ref="DX41:EC41" si="22">AVERAGE(DX42:DX45)</f>
        <v>74.638747803799475</v>
      </c>
      <c r="DY41" s="876">
        <f t="shared" si="22"/>
        <v>64.011895880445891</v>
      </c>
      <c r="DZ41" s="876">
        <f t="shared" si="22"/>
        <v>124.83437665264077</v>
      </c>
      <c r="EA41" s="876">
        <f t="shared" si="22"/>
        <v>84.493878376857097</v>
      </c>
      <c r="EB41" s="876">
        <f t="shared" si="22"/>
        <v>71.549283662346141</v>
      </c>
      <c r="EC41" s="879">
        <f t="shared" si="22"/>
        <v>79.507080446021973</v>
      </c>
      <c r="ED41" s="852"/>
      <c r="EE41" s="852"/>
      <c r="EF41" s="852"/>
      <c r="EG41" s="852"/>
      <c r="EH41" s="852"/>
    </row>
    <row r="42" spans="1:138">
      <c r="A42" s="193" t="s">
        <v>30</v>
      </c>
      <c r="B42" s="201">
        <f>'Price Data Entry'!H62</f>
        <v>157.9466929911155</v>
      </c>
      <c r="C42" s="200">
        <f>'Price Data Entry'!H149</f>
        <v>182.5168107588857</v>
      </c>
      <c r="D42" s="387">
        <v>182.5168107588857</v>
      </c>
      <c r="E42" s="199">
        <f>'Price Data Entry'!N149</f>
        <v>320.75471698113205</v>
      </c>
      <c r="F42" s="386">
        <v>320.75471698113205</v>
      </c>
      <c r="G42" s="199">
        <f>'Price Data Entry'!T149</f>
        <v>420.28985507246375</v>
      </c>
      <c r="H42" s="199">
        <f>'Price Data Entry'!Z62</f>
        <v>147.45308310991959</v>
      </c>
      <c r="I42" s="199">
        <f>'Price Data Entry'!Z149</f>
        <v>63.492063492063494</v>
      </c>
      <c r="J42" s="386">
        <v>63.492063492063494</v>
      </c>
      <c r="K42" s="386">
        <v>63.492063492063494</v>
      </c>
      <c r="L42" s="386">
        <v>0</v>
      </c>
      <c r="M42" s="199">
        <f>'Price Data Entry'!AL149</f>
        <v>154.46224256292908</v>
      </c>
      <c r="N42" s="199">
        <f>'Price Data Entry'!AR62</f>
        <v>190.73569482288829</v>
      </c>
      <c r="O42" s="386">
        <v>0</v>
      </c>
      <c r="P42" s="199">
        <f>'Price Data Entry'!AX62</f>
        <v>162.39850093691442</v>
      </c>
      <c r="Q42" s="199">
        <f>'Price Data Entry'!AX149</f>
        <v>157.95631825273011</v>
      </c>
      <c r="R42" s="199">
        <f>'Price Data Entry'!BD62</f>
        <v>58.548009367681502</v>
      </c>
      <c r="S42" s="199">
        <f>'Price Data Entry'!BD149</f>
        <v>58.540664854693709</v>
      </c>
      <c r="T42" s="386">
        <v>0</v>
      </c>
      <c r="U42" s="386">
        <v>0</v>
      </c>
      <c r="V42" s="597">
        <v>0</v>
      </c>
      <c r="W42" s="386">
        <v>0</v>
      </c>
      <c r="X42" s="199">
        <f>'Price Data Entry'!BV62</f>
        <v>54.039552353211711</v>
      </c>
      <c r="Y42" s="386">
        <v>0</v>
      </c>
      <c r="Z42" s="199">
        <f>'Price Data Entry'!CB62</f>
        <v>191.34775374376039</v>
      </c>
      <c r="AA42" s="199">
        <f>'Price Data Entry'!CB149</f>
        <v>150.6136110078096</v>
      </c>
      <c r="AB42" s="199">
        <f>'Price Data Entry'!CH62</f>
        <v>110.92468307233408</v>
      </c>
      <c r="AC42" s="386">
        <v>0</v>
      </c>
      <c r="AD42" s="199">
        <f>'Price Data Entry'!CN62</f>
        <v>90.789761540144383</v>
      </c>
      <c r="AE42" s="199">
        <f>'Price Data Entry'!CN149</f>
        <v>108.74938210578348</v>
      </c>
      <c r="AF42" s="386">
        <v>0</v>
      </c>
      <c r="AG42" s="199">
        <f>'Price Data Entry'!CT149</f>
        <v>71.374906085649883</v>
      </c>
      <c r="AH42" s="199">
        <f>'Price Data Entry'!CZ62</f>
        <v>191.34775374376039</v>
      </c>
      <c r="AI42" s="199">
        <f>'Price Data Entry'!CZ149</f>
        <v>150.6136110078096</v>
      </c>
      <c r="AJ42" s="199">
        <f>'Price Data Entry'!DF62</f>
        <v>121.85929648241206</v>
      </c>
      <c r="AK42" s="199">
        <f>'Price Data Entry'!DF149</f>
        <v>199.15254237288138</v>
      </c>
      <c r="AL42" s="199">
        <f>'Price Data Entry'!DL62</f>
        <v>197.74011299435028</v>
      </c>
      <c r="AM42" s="386">
        <v>197.74011299435028</v>
      </c>
      <c r="AN42" s="199">
        <f>'Price Data Entry'!DR62</f>
        <v>254.35073627844713</v>
      </c>
      <c r="AO42" s="199">
        <f>'Price Data Entry'!DR149</f>
        <v>146.13778705636744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595">
        <f>'Price Data Entry'!EV62</f>
        <v>191.34775374376039</v>
      </c>
      <c r="AY42" s="200">
        <f>'Price Data Entry'!EV149</f>
        <v>150.6136110078096</v>
      </c>
      <c r="AZ42" s="200">
        <f>'Price Data Entry'!FB62</f>
        <v>110.92468307233408</v>
      </c>
      <c r="BA42" s="200">
        <f>'Price Data Entry'!FB149</f>
        <v>154.46224256292908</v>
      </c>
      <c r="BB42" s="387">
        <v>154.46224256292908</v>
      </c>
      <c r="BC42" s="387">
        <v>154.46224256292908</v>
      </c>
      <c r="BD42" s="200">
        <f>'Price Data Entry'!FN62</f>
        <v>60.03232509812976</v>
      </c>
      <c r="BE42" s="200">
        <f>'Price Data Entry'!FN149</f>
        <v>75.500770416024665</v>
      </c>
      <c r="BF42" s="200">
        <f>'Price Data Entry'!FT62</f>
        <v>75.878594249201285</v>
      </c>
      <c r="BG42" s="200">
        <f>'Price Data Entry'!FT149</f>
        <v>62.184873949579831</v>
      </c>
      <c r="BH42" s="199">
        <f>'Price Data Entry'!FZ62</f>
        <v>80.152671755725194</v>
      </c>
      <c r="BI42" s="200">
        <f>'Price Data Entry'!FZ149</f>
        <v>135.13513513513513</v>
      </c>
      <c r="BJ42" s="200">
        <f>'Price Data Entry'!GF62</f>
        <v>146.00908500973395</v>
      </c>
      <c r="BK42" s="191">
        <f>'Price Data Entry'!GF149</f>
        <v>58.59375</v>
      </c>
      <c r="BL42" s="200">
        <f>'Price Data Entry'!GL62</f>
        <v>102.58199581297976</v>
      </c>
      <c r="BM42" s="200">
        <f>'Price Data Entry'!GL149</f>
        <v>96.53554673403103</v>
      </c>
      <c r="BN42" s="200">
        <f>'Price Data Entry'!GR62</f>
        <v>101.14632501685773</v>
      </c>
      <c r="BO42" s="200">
        <f>'Price Data Entry'!GR149</f>
        <v>78.959074733096102</v>
      </c>
      <c r="BP42" s="200">
        <f>'Price Data Entry'!GX62</f>
        <v>279.78339350180505</v>
      </c>
      <c r="BQ42" s="200">
        <f>'Price Data Entry'!GX149</f>
        <v>350</v>
      </c>
      <c r="BR42" s="200">
        <f>'Price Data Entry'!HD62</f>
        <v>200.80321285140565</v>
      </c>
      <c r="BS42" s="200">
        <f>'Price Data Entry'!HD149</f>
        <v>284.19182948490231</v>
      </c>
      <c r="BT42" s="200">
        <f>'Price Data Entry'!HJ62</f>
        <v>73.444462782637402</v>
      </c>
      <c r="BU42" s="199">
        <f>'Price Data Entry'!HJ149</f>
        <v>146.13778705636744</v>
      </c>
      <c r="BV42" s="200">
        <f>'Price Data Entry'!HP62</f>
        <v>157.9466929911155</v>
      </c>
      <c r="BW42" s="200">
        <f>'Price Data Entry'!HP149</f>
        <v>182.5168107588857</v>
      </c>
      <c r="BX42" s="387">
        <v>182.5168107588857</v>
      </c>
      <c r="BY42" s="199">
        <f>'Price Data Entry'!HV149</f>
        <v>320.75471698113205</v>
      </c>
      <c r="BZ42" s="201">
        <f>'Price Data Entry'!IB62</f>
        <v>85.53203827196289</v>
      </c>
      <c r="CA42" s="199">
        <f>'Price Data Entry'!IB149</f>
        <v>47.020735373467964</v>
      </c>
      <c r="CB42" s="200">
        <f>'Price Data Entry'!IH62</f>
        <v>66.852367688022284</v>
      </c>
      <c r="CC42" s="199">
        <f>'Price Data Entry'!IH149</f>
        <v>64.233278955954319</v>
      </c>
      <c r="CD42" s="200">
        <f>'Price Data Entry'!IN62</f>
        <v>65.71741511500548</v>
      </c>
      <c r="CE42" s="200">
        <f>'Price Data Entry'!IN149</f>
        <v>99.502487562189046</v>
      </c>
      <c r="CF42" s="199">
        <f>'Price Data Entry'!IT62</f>
        <v>99.502487562189046</v>
      </c>
      <c r="CG42" s="199">
        <f>'Price Data Entry'!IT149</f>
        <v>69.278818852924474</v>
      </c>
      <c r="CH42" s="199">
        <f>'Price Data Entry'!IZ62</f>
        <v>100</v>
      </c>
      <c r="CI42" s="199">
        <f>'Price Data Entry'!IZ149</f>
        <v>77.080957810718346</v>
      </c>
      <c r="CJ42" s="199">
        <f>'Price Data Entry'!JF62</f>
        <v>55.665512122711526</v>
      </c>
      <c r="CK42" s="199">
        <f>'Price Data Entry'!JF149</f>
        <v>85.858585858585855</v>
      </c>
      <c r="CL42" s="200">
        <f>'Price Data Entry'!JL62</f>
        <v>65.924219150025593</v>
      </c>
      <c r="CM42" s="199">
        <f>'Price Data Entry'!JL149</f>
        <v>92.490640828011465</v>
      </c>
      <c r="CN42" s="200">
        <f>'Price Data Entry'!JR62</f>
        <v>187.5</v>
      </c>
      <c r="CO42" s="386">
        <v>187.5</v>
      </c>
      <c r="CP42" s="764">
        <f>'Price Data Entry'!JX62</f>
        <v>97.926267281105993</v>
      </c>
      <c r="CQ42" s="764">
        <f>'Price Data Entry'!JX149</f>
        <v>260.70763500931099</v>
      </c>
      <c r="CR42" s="764">
        <f>'Price Data Entry'!KD62</f>
        <v>101.61662817551964</v>
      </c>
      <c r="CS42" s="764">
        <f>'Price Data Entry'!KD149</f>
        <v>79.482439926062838</v>
      </c>
      <c r="CT42" s="200">
        <f>'Price Data Entry'!KJ62</f>
        <v>178.17371937639197</v>
      </c>
      <c r="CU42" s="199">
        <f>'Price Data Entry'!KJ149</f>
        <v>113.9117789626757</v>
      </c>
      <c r="CV42" s="764">
        <f>'Price Data Entry'!KP62</f>
        <v>126.6085512660855</v>
      </c>
      <c r="CW42" s="764">
        <f>'Price Data Entry'!KP149</f>
        <v>151.71798304328428</v>
      </c>
      <c r="CX42" s="764">
        <f>'Price Data Entry'!KV62</f>
        <v>116.63363317578899</v>
      </c>
      <c r="CY42" s="800">
        <f>'Price Data Entry'!KV149</f>
        <v>73.183041722745628</v>
      </c>
      <c r="CZ42" s="199">
        <v>0</v>
      </c>
      <c r="DA42" s="595">
        <v>0</v>
      </c>
      <c r="DB42" s="802">
        <v>0</v>
      </c>
      <c r="DC42" s="786">
        <f>'Price Data Entry'!LH149</f>
        <v>178.17371937639197</v>
      </c>
      <c r="DD42" s="786">
        <f>'Price Data Entry'!LN62</f>
        <v>186.91588785046727</v>
      </c>
      <c r="DE42" s="786">
        <v>0</v>
      </c>
      <c r="DF42" s="786">
        <v>0</v>
      </c>
      <c r="DG42" s="786">
        <v>0</v>
      </c>
      <c r="DH42" s="786">
        <f>'Price Data Entry'!LZ62</f>
        <v>78.32898172323759</v>
      </c>
      <c r="DI42" s="786">
        <f>'Price Data Entry'!LZ149</f>
        <v>54.644808743169399</v>
      </c>
      <c r="DJ42" s="786">
        <f>'Price Data Entry'!MF62</f>
        <v>102.56410256410257</v>
      </c>
      <c r="DK42" s="786">
        <f>'Price Data Entry'!MF149</f>
        <v>91.328590655643168</v>
      </c>
      <c r="DL42" s="786">
        <f>'Price Data Entry'!ML62</f>
        <v>55.865921787709496</v>
      </c>
      <c r="DM42" s="786">
        <f>'Price Data Entry'!ML149</f>
        <v>151.00671140939599</v>
      </c>
      <c r="DN42" s="786">
        <f t="shared" si="16"/>
        <v>88.956519480543037</v>
      </c>
      <c r="DO42" s="786">
        <f t="shared" si="17"/>
        <v>90.727775773427297</v>
      </c>
      <c r="DP42" s="786">
        <f t="shared" si="18"/>
        <v>96.741603611803598</v>
      </c>
      <c r="DQ42" s="800">
        <f t="shared" si="19"/>
        <v>95.771187119753748</v>
      </c>
      <c r="DR42" s="833">
        <f>'Price Data Entry'!ND62</f>
        <v>67.932558520216077</v>
      </c>
      <c r="DS42" s="833">
        <f>'Price Data Entry'!ND149</f>
        <v>62.857784263104733</v>
      </c>
      <c r="DT42" s="833">
        <f>'Price Data Entry'!NJ62</f>
        <v>111.69900058788949</v>
      </c>
      <c r="DU42" s="833">
        <f>'Price Data Entry'!NJ149</f>
        <v>135.64839934888769</v>
      </c>
      <c r="DV42" s="833">
        <f>'Price Data Entry'!NP62</f>
        <v>53.315994798439526</v>
      </c>
      <c r="DW42" s="833">
        <f>'Price Data Entry'!NP149</f>
        <v>57.992939989914277</v>
      </c>
      <c r="DX42" s="833">
        <f>'Price Data Entry'!NV62</f>
        <v>67.55523096585722</v>
      </c>
      <c r="DY42" s="833">
        <f>'Price Data Entry'!NV149</f>
        <v>63.34047943870592</v>
      </c>
      <c r="DZ42" s="833">
        <f>'Price Data Entry'!OB62</f>
        <v>64.657055482743559</v>
      </c>
      <c r="EA42" s="833">
        <f>'Price Data Entry'!OB149</f>
        <v>140.8855664174813</v>
      </c>
      <c r="EB42" s="833">
        <f>'Price Data Entry'!OH62</f>
        <v>119.68085106382979</v>
      </c>
      <c r="EC42" s="833">
        <f>'Price Data Entry'!OH149</f>
        <v>126.86567164179105</v>
      </c>
    </row>
    <row r="43" spans="1:138">
      <c r="A43" s="192" t="s">
        <v>31</v>
      </c>
      <c r="B43" s="201">
        <f>'Price Data Entry'!H63</f>
        <v>85.784313725490193</v>
      </c>
      <c r="C43" s="200">
        <f>'Price Data Entry'!H150</f>
        <v>95.744680851063819</v>
      </c>
      <c r="D43" s="200">
        <f>'Price Data Entry'!N63</f>
        <v>89.206066012488847</v>
      </c>
      <c r="E43" s="199">
        <f>'Price Data Entry'!N150</f>
        <v>83.769633507853399</v>
      </c>
      <c r="F43" s="386">
        <v>83.769633507853399</v>
      </c>
      <c r="G43" s="386">
        <v>83.769633507853399</v>
      </c>
      <c r="H43" s="199">
        <f>'Price Data Entry'!Z63</f>
        <v>89.126559714795022</v>
      </c>
      <c r="I43" s="199">
        <f>'Price Data Entry'!Z150</f>
        <v>100.25062656641603</v>
      </c>
      <c r="J43" s="386">
        <v>100.25062656641603</v>
      </c>
      <c r="K43" s="386">
        <v>100.25062656641603</v>
      </c>
      <c r="L43" s="386">
        <v>0</v>
      </c>
      <c r="M43" s="199">
        <f>'Price Data Entry'!AL150</f>
        <v>75.931232091690546</v>
      </c>
      <c r="N43" s="199">
        <f>'Price Data Entry'!AR63</f>
        <v>115.27377521613832</v>
      </c>
      <c r="O43" s="386">
        <v>0</v>
      </c>
      <c r="P43" s="199">
        <f>'Price Data Entry'!AX63</f>
        <v>110.75949367088607</v>
      </c>
      <c r="Q43" s="199">
        <f>'Price Data Entry'!AX150</f>
        <v>93.780848963474838</v>
      </c>
      <c r="R43" s="199">
        <f>'Price Data Entry'!BD63</f>
        <v>45.095828635851191</v>
      </c>
      <c r="S43" s="199">
        <f>'Price Data Entry'!BD150</f>
        <v>91.012514220705341</v>
      </c>
      <c r="T43" s="386">
        <v>0</v>
      </c>
      <c r="U43" s="386">
        <v>0</v>
      </c>
      <c r="V43" s="597">
        <v>0</v>
      </c>
      <c r="W43" s="386">
        <v>0</v>
      </c>
      <c r="X43" s="199">
        <f>'Price Data Entry'!BV63</f>
        <v>40.54054054054054</v>
      </c>
      <c r="Y43" s="386">
        <v>0</v>
      </c>
      <c r="Z43" s="199">
        <f>'Price Data Entry'!CB63</f>
        <v>47.468354430379748</v>
      </c>
      <c r="AA43" s="199">
        <f>'Price Data Entry'!CB150</f>
        <v>93.780848963474838</v>
      </c>
      <c r="AB43" s="199">
        <f>'Price Data Entry'!CH63</f>
        <v>147.34375</v>
      </c>
      <c r="AC43" s="386">
        <v>0</v>
      </c>
      <c r="AD43" s="199">
        <f>'Price Data Entry'!CN63</f>
        <v>77.596996245306627</v>
      </c>
      <c r="AE43" s="199">
        <f>'Price Data Entry'!CN150</f>
        <v>55.232558139534881</v>
      </c>
      <c r="AF43" s="386">
        <v>0</v>
      </c>
      <c r="AG43" s="199">
        <f>'Price Data Entry'!CT150</f>
        <v>38.575667655786347</v>
      </c>
      <c r="AH43" s="199">
        <f>'Price Data Entry'!CZ63</f>
        <v>47.468354430379748</v>
      </c>
      <c r="AI43" s="199">
        <f>'Price Data Entry'!CZ150</f>
        <v>93.780848963474838</v>
      </c>
      <c r="AJ43" s="199">
        <f>'Price Data Entry'!DF63</f>
        <v>87.440381558028633</v>
      </c>
      <c r="AK43" s="199">
        <f>'Price Data Entry'!DF150</f>
        <v>66.350710900473928</v>
      </c>
      <c r="AL43" s="199">
        <f>'Price Data Entry'!DL63</f>
        <v>137.11151736745887</v>
      </c>
      <c r="AM43" s="386">
        <v>137.11151736745887</v>
      </c>
      <c r="AN43" s="199">
        <f>'Price Data Entry'!DR63</f>
        <v>102.68562401263823</v>
      </c>
      <c r="AO43" s="199">
        <f>'Price Data Entry'!DR150</f>
        <v>82.170542635658919</v>
      </c>
      <c r="AP43" s="386">
        <v>0</v>
      </c>
      <c r="AQ43" s="386">
        <v>0</v>
      </c>
      <c r="AR43" s="386">
        <v>0</v>
      </c>
      <c r="AS43" s="386">
        <v>0</v>
      </c>
      <c r="AT43" s="386">
        <v>0</v>
      </c>
      <c r="AU43" s="386">
        <v>0</v>
      </c>
      <c r="AV43" s="386">
        <v>0</v>
      </c>
      <c r="AW43" s="386">
        <v>0</v>
      </c>
      <c r="AX43" s="595">
        <f>'Price Data Entry'!EV63</f>
        <v>47.468354430379748</v>
      </c>
      <c r="AY43" s="200">
        <f>'Price Data Entry'!EV150</f>
        <v>93.780848963474838</v>
      </c>
      <c r="AZ43" s="200">
        <f>'Price Data Entry'!FB63</f>
        <v>42.857142857142854</v>
      </c>
      <c r="BA43" s="200">
        <f>'Price Data Entry'!FB150</f>
        <v>75.931232091690546</v>
      </c>
      <c r="BB43" s="387">
        <v>75.931232091690546</v>
      </c>
      <c r="BC43" s="387">
        <v>75.931232091690546</v>
      </c>
      <c r="BD43" s="199">
        <f>'Price Data Entry'!FN63</f>
        <v>79.661016949152554</v>
      </c>
      <c r="BE43" s="200">
        <f>'Price Data Entry'!FN150</f>
        <v>99.150141643059484</v>
      </c>
      <c r="BF43" s="200">
        <f>'Price Data Entry'!FT63</f>
        <v>93.137254901960787</v>
      </c>
      <c r="BG43" s="200">
        <f>'Price Data Entry'!FT150</f>
        <v>40.783034257748781</v>
      </c>
      <c r="BH43" s="199">
        <f>'Price Data Entry'!FZ63</f>
        <v>68.607068607068598</v>
      </c>
      <c r="BI43" s="199">
        <f>'Price Data Entry'!FZ150</f>
        <v>66.350710900473928</v>
      </c>
      <c r="BJ43" s="200">
        <f>'Price Data Entry'!GF63</f>
        <v>95.667870036101078</v>
      </c>
      <c r="BK43" s="191">
        <f>'Price Data Entry'!GF150</f>
        <v>243.58974358974359</v>
      </c>
      <c r="BL43" s="200">
        <f>'Price Data Entry'!GL63</f>
        <v>74.137931034482762</v>
      </c>
      <c r="BM43" s="200">
        <f>'Price Data Entry'!GL150</f>
        <v>76.013513513513516</v>
      </c>
      <c r="BN43" s="200">
        <f>'Price Data Entry'!GR63</f>
        <v>113.35012594458439</v>
      </c>
      <c r="BO43" s="199">
        <f>'Price Data Entry'!GR150</f>
        <v>84.745762711864415</v>
      </c>
      <c r="BP43" s="200">
        <f>'Price Data Entry'!GX63</f>
        <v>371.95994277539342</v>
      </c>
      <c r="BQ43" s="200">
        <f>'Price Data Entry'!GX150</f>
        <v>375.87412587412587</v>
      </c>
      <c r="BR43" s="387">
        <v>375.87412587412587</v>
      </c>
      <c r="BS43" s="387">
        <v>375.87412587412587</v>
      </c>
      <c r="BT43" s="200">
        <f>'Price Data Entry'!HJ63</f>
        <v>82.487309644670063</v>
      </c>
      <c r="BU43" s="199">
        <f>'Price Data Entry'!HJ150</f>
        <v>82.170542635658919</v>
      </c>
      <c r="BV43" s="200">
        <f>'Price Data Entry'!HP63</f>
        <v>85.784313725490193</v>
      </c>
      <c r="BW43" s="199">
        <f>'Price Data Entry'!HP150</f>
        <v>95.744680851063819</v>
      </c>
      <c r="BX43" s="200">
        <f>'Price Data Entry'!HV63</f>
        <v>89.206066012488847</v>
      </c>
      <c r="BY43" s="199">
        <f>'Price Data Entry'!HV150</f>
        <v>83.769633507853399</v>
      </c>
      <c r="BZ43" s="199">
        <f>'Price Data Entry'!IB63</f>
        <v>92.592592592592581</v>
      </c>
      <c r="CA43" s="199">
        <f>'Price Data Entry'!IB150</f>
        <v>78.32422586520947</v>
      </c>
      <c r="CB43" s="200">
        <f>'Price Data Entry'!IH63</f>
        <v>90.753424657534254</v>
      </c>
      <c r="CC43" s="199">
        <f>'Price Data Entry'!IH150</f>
        <v>59.474412171507602</v>
      </c>
      <c r="CD43" s="200">
        <f>'Price Data Entry'!IN63</f>
        <v>100</v>
      </c>
      <c r="CE43" s="200">
        <f>'Price Data Entry'!IN150</f>
        <v>70.175438596491219</v>
      </c>
      <c r="CF43" s="199">
        <f>'Price Data Entry'!IT63</f>
        <v>70.175438596491219</v>
      </c>
      <c r="CG43" s="199">
        <f>'Price Data Entry'!IT150</f>
        <v>104.16666666666666</v>
      </c>
      <c r="CH43" s="199">
        <f>'Price Data Entry'!IZ63</f>
        <v>77.092511013215841</v>
      </c>
      <c r="CI43" s="199">
        <f>'Price Data Entry'!IZ150</f>
        <v>68.396226415094333</v>
      </c>
      <c r="CJ43" s="199">
        <f>'Price Data Entry'!JF63</f>
        <v>74.441687344913149</v>
      </c>
      <c r="CK43" s="199">
        <f>'Price Data Entry'!JF150</f>
        <v>103.92156862745098</v>
      </c>
      <c r="CL43" s="200">
        <f>'Price Data Entry'!JL63</f>
        <v>100.44642857142856</v>
      </c>
      <c r="CM43" s="199">
        <f>'Price Data Entry'!JL150</f>
        <v>124.77064220183486</v>
      </c>
      <c r="CN43" s="200">
        <f>'Price Data Entry'!JR63</f>
        <v>96.038415366146452</v>
      </c>
      <c r="CO43" s="199">
        <f>'Price Data Entry'!JR150</f>
        <v>78.347578347578349</v>
      </c>
      <c r="CP43" s="764">
        <f>'Price Data Entry'!JX63</f>
        <v>77.071290944123305</v>
      </c>
      <c r="CQ43" s="764">
        <f>'Price Data Entry'!JX150</f>
        <v>94.476744186046517</v>
      </c>
      <c r="CR43" s="764">
        <f>'Price Data Entry'!KD63</f>
        <v>140.0329489291598</v>
      </c>
      <c r="CS43" s="764">
        <f>'Price Data Entry'!KD150</f>
        <v>103.65853658536587</v>
      </c>
      <c r="CT43" s="200">
        <f>'Price Data Entry'!KJ63</f>
        <v>79.545454545454533</v>
      </c>
      <c r="CU43" s="199">
        <f>'Price Data Entry'!KJ150</f>
        <v>79.852579852579851</v>
      </c>
      <c r="CV43" s="764">
        <f>'Price Data Entry'!KP63</f>
        <v>66.079295154185033</v>
      </c>
      <c r="CW43" s="764">
        <f>'Price Data Entry'!KP150</f>
        <v>70.332480818414325</v>
      </c>
      <c r="CX43" s="764">
        <f>'Price Data Entry'!KV63</f>
        <v>237.34177215189871</v>
      </c>
      <c r="CY43" s="800">
        <f>'Price Data Entry'!KV150</f>
        <v>106.24169986719787</v>
      </c>
      <c r="CZ43" s="199">
        <v>0</v>
      </c>
      <c r="DA43" s="595">
        <v>0</v>
      </c>
      <c r="DB43" s="802">
        <v>0</v>
      </c>
      <c r="DC43" s="786">
        <f>'Price Data Entry'!LH150</f>
        <v>79.545454545454533</v>
      </c>
      <c r="DD43" s="786">
        <f>'Price Data Entry'!LN63</f>
        <v>40.806529044647142</v>
      </c>
      <c r="DE43" s="786">
        <v>0</v>
      </c>
      <c r="DF43" s="786">
        <v>0</v>
      </c>
      <c r="DG43" s="786">
        <f>'Price Data Entry'!LT150</f>
        <v>94.339622641509436</v>
      </c>
      <c r="DH43" s="786">
        <f>'Price Data Entry'!LZ63</f>
        <v>125.00000000000001</v>
      </c>
      <c r="DI43" s="786">
        <f>'Price Data Entry'!LZ150</f>
        <v>127.48344370860927</v>
      </c>
      <c r="DJ43" s="786">
        <f>'Price Data Entry'!MF63</f>
        <v>103.05343511450381</v>
      </c>
      <c r="DK43" s="786">
        <f>'Price Data Entry'!MF150</f>
        <v>112.83497884344148</v>
      </c>
      <c r="DL43" s="786">
        <f>'Price Data Entry'!ML63</f>
        <v>101.72143974960876</v>
      </c>
      <c r="DM43" s="786">
        <f>'Price Data Entry'!ML150</f>
        <v>60.679611650485448</v>
      </c>
      <c r="DN43" s="786">
        <f t="shared" si="16"/>
        <v>105.1288181777748</v>
      </c>
      <c r="DO43" s="786">
        <f t="shared" si="17"/>
        <v>101.81695454073726</v>
      </c>
      <c r="DP43" s="786">
        <f t="shared" si="18"/>
        <v>97.53920634609193</v>
      </c>
      <c r="DQ43" s="800">
        <f t="shared" si="19"/>
        <v>96.620168218023267</v>
      </c>
      <c r="DR43" s="833">
        <f>'Price Data Entry'!ND63</f>
        <v>59.241706161137451</v>
      </c>
      <c r="DS43" s="833">
        <f>'Price Data Entry'!ND150</f>
        <v>104.93827160493828</v>
      </c>
      <c r="DT43" s="833">
        <f>'Price Data Entry'!NJ63</f>
        <v>79.136690647482013</v>
      </c>
      <c r="DU43" s="833">
        <f>'Price Data Entry'!NJ150</f>
        <v>68.181818181818187</v>
      </c>
      <c r="DV43" s="833">
        <f>'Price Data Entry'!NP63</f>
        <v>61.099796334012218</v>
      </c>
      <c r="DW43" s="833">
        <f>'Price Data Entry'!NP150</f>
        <v>68.965517241379317</v>
      </c>
      <c r="DX43" s="833">
        <f>'Price Data Entry'!NV63</f>
        <v>103.09278350515464</v>
      </c>
      <c r="DY43" s="833">
        <f>'Price Data Entry'!NV150</f>
        <v>87.443946188340803</v>
      </c>
      <c r="DZ43" s="833">
        <f>'Price Data Entry'!OB63</f>
        <v>312.5</v>
      </c>
      <c r="EA43" s="833">
        <f>'Price Data Entry'!OB150</f>
        <v>99.624060150375939</v>
      </c>
      <c r="EB43" s="833">
        <f>'Price Data Entry'!OH63</f>
        <v>80.731969860064581</v>
      </c>
      <c r="EC43" s="833">
        <f>'Price Data Entry'!OH150</f>
        <v>93.696763202725705</v>
      </c>
    </row>
    <row r="44" spans="1:138">
      <c r="A44" s="192" t="s">
        <v>32</v>
      </c>
      <c r="B44" s="201">
        <f>'Price Data Entry'!H64</f>
        <v>243.90243902439025</v>
      </c>
      <c r="C44" s="200">
        <f>'Price Data Entry'!H151</f>
        <v>179.31034482758622</v>
      </c>
      <c r="D44" s="200">
        <f>'Price Data Entry'!N64</f>
        <v>167.74193548387098</v>
      </c>
      <c r="E44" s="386">
        <v>167.74193548387098</v>
      </c>
      <c r="F44" s="199">
        <f>'Price Data Entry'!T64</f>
        <v>161.29032258064515</v>
      </c>
      <c r="G44" s="199">
        <f>'Price Data Entry'!T151</f>
        <v>270.92511013215858</v>
      </c>
      <c r="H44" s="199">
        <f>'Price Data Entry'!Z64</f>
        <v>200.00000000000003</v>
      </c>
      <c r="I44" s="386">
        <v>200.00000000000003</v>
      </c>
      <c r="J44" s="386">
        <v>200.00000000000003</v>
      </c>
      <c r="K44" s="386">
        <v>200.00000000000003</v>
      </c>
      <c r="L44" s="386">
        <v>0</v>
      </c>
      <c r="M44" s="199">
        <f>'Price Data Entry'!AL151</f>
        <v>200</v>
      </c>
      <c r="N44" s="199">
        <f>'Price Data Entry'!AR64</f>
        <v>177.92494481236204</v>
      </c>
      <c r="O44" s="386">
        <v>0</v>
      </c>
      <c r="P44" s="386">
        <v>177.92494481236204</v>
      </c>
      <c r="Q44" s="199">
        <f>'Price Data Entry'!AX151</f>
        <v>200</v>
      </c>
      <c r="R44" s="199">
        <f>'Price Data Entry'!BD64</f>
        <v>356.69586983729658</v>
      </c>
      <c r="S44" s="199">
        <f>'Price Data Entry'!BD151</f>
        <v>250</v>
      </c>
      <c r="T44" s="386">
        <v>0</v>
      </c>
      <c r="U44" s="386">
        <v>0</v>
      </c>
      <c r="V44" s="597">
        <v>0</v>
      </c>
      <c r="W44" s="386">
        <v>0</v>
      </c>
      <c r="X44" s="199">
        <f>'Price Data Entry'!BV64</f>
        <v>156.11448395490027</v>
      </c>
      <c r="Y44" s="386">
        <v>0</v>
      </c>
      <c r="Z44" s="386">
        <v>156.11448395490027</v>
      </c>
      <c r="AA44" s="199">
        <f>'Price Data Entry'!CB151</f>
        <v>200</v>
      </c>
      <c r="AB44" s="199">
        <f>'Price Data Entry'!CH64</f>
        <v>287.5</v>
      </c>
      <c r="AC44" s="386">
        <v>0</v>
      </c>
      <c r="AD44" s="386">
        <v>287.5</v>
      </c>
      <c r="AE44" s="199">
        <f>'Price Data Entry'!CN151</f>
        <v>100</v>
      </c>
      <c r="AF44" s="386">
        <v>0</v>
      </c>
      <c r="AG44" s="386">
        <v>100</v>
      </c>
      <c r="AH44" s="386">
        <v>100</v>
      </c>
      <c r="AI44" s="199">
        <f>'Price Data Entry'!CZ151</f>
        <v>200</v>
      </c>
      <c r="AJ44" s="386">
        <v>200</v>
      </c>
      <c r="AK44" s="386">
        <v>200</v>
      </c>
      <c r="AL44" s="386">
        <v>200</v>
      </c>
      <c r="AM44" s="386">
        <v>200</v>
      </c>
      <c r="AN44" s="199">
        <f>'Price Data Entry'!DR64</f>
        <v>191.2023460410557</v>
      </c>
      <c r="AO44" s="199">
        <f>'Price Data Entry'!DR151</f>
        <v>198.25072886297377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595">
        <f>'Price Data Entry'!EV64</f>
        <v>248.53801169590642</v>
      </c>
      <c r="AY44" s="199">
        <f>'Price Data Entry'!EV151</f>
        <v>200</v>
      </c>
      <c r="AZ44" s="199">
        <f>'Price Data Entry'!FB64</f>
        <v>147.34375</v>
      </c>
      <c r="BA44" s="199">
        <f>'Price Data Entry'!FB151</f>
        <v>200</v>
      </c>
      <c r="BB44" s="199">
        <f>'Price Data Entry'!FH64</f>
        <v>161.29032258064515</v>
      </c>
      <c r="BC44" s="199">
        <f>'Price Data Entry'!FH151</f>
        <v>270.92511013215858</v>
      </c>
      <c r="BD44" s="387">
        <v>270.92511013215858</v>
      </c>
      <c r="BE44" s="199">
        <f>'Price Data Entry'!FN151</f>
        <v>160.07751937984494</v>
      </c>
      <c r="BF44" s="199">
        <f>'Price Data Entry'!FT64</f>
        <v>149.36708860759492</v>
      </c>
      <c r="BG44" s="386">
        <v>149.36708860759492</v>
      </c>
      <c r="BH44" s="386">
        <v>149.36708860759492</v>
      </c>
      <c r="BI44" s="387">
        <v>149.36708860759492</v>
      </c>
      <c r="BJ44" s="389">
        <v>149.36708860759492</v>
      </c>
      <c r="BK44" s="191">
        <f>'Price Data Entry'!GF151</f>
        <v>230.64113238967528</v>
      </c>
      <c r="BL44" s="199">
        <f>'Price Data Entry'!GL64</f>
        <v>427.73525438991442</v>
      </c>
      <c r="BM44" s="386">
        <v>427.73525438991442</v>
      </c>
      <c r="BN44" s="386">
        <v>427.73525438991442</v>
      </c>
      <c r="BO44" s="386">
        <v>427.73525438991442</v>
      </c>
      <c r="BP44" s="199">
        <f>'Price Data Entry'!GX64</f>
        <v>224.25828970331585</v>
      </c>
      <c r="BQ44" s="199">
        <f>'Price Data Entry'!GX151</f>
        <v>359.01926444833629</v>
      </c>
      <c r="BR44" s="199">
        <f>'Price Data Entry'!HD64</f>
        <v>159.42028985507247</v>
      </c>
      <c r="BS44" s="199">
        <f>'Price Data Entry'!HD151</f>
        <v>287.109375</v>
      </c>
      <c r="BT44" s="199">
        <f>'Price Data Entry'!HJ64</f>
        <v>150</v>
      </c>
      <c r="BU44" s="199">
        <f>'Price Data Entry'!HJ151</f>
        <v>198.25072886297377</v>
      </c>
      <c r="BV44" s="199">
        <f>'Price Data Entry'!HP64</f>
        <v>243.90243902439025</v>
      </c>
      <c r="BW44" s="200">
        <f>'Price Data Entry'!HP151</f>
        <v>179.31034482758622</v>
      </c>
      <c r="BX44" s="199">
        <f>'Price Data Entry'!HV64</f>
        <v>167.74193548387098</v>
      </c>
      <c r="BY44" s="386">
        <v>167.74193548387098</v>
      </c>
      <c r="BZ44" s="201">
        <f>'Price Data Entry'!IB64</f>
        <v>191.78571428571428</v>
      </c>
      <c r="CA44" s="386">
        <v>191.78571428571428</v>
      </c>
      <c r="CB44" s="199">
        <f>'Price Data Entry'!IH64</f>
        <v>248.52941176470588</v>
      </c>
      <c r="CC44" s="199">
        <f>'Price Data Entry'!IH151</f>
        <v>200.00000000000003</v>
      </c>
      <c r="CD44" s="199">
        <f>'Price Data Entry'!IN64</f>
        <v>199.99999999999997</v>
      </c>
      <c r="CE44" s="387">
        <v>199.99999999999997</v>
      </c>
      <c r="CF44" s="199">
        <f>'Price Data Entry'!IT64</f>
        <v>273.95833333333337</v>
      </c>
      <c r="CG44" s="386">
        <v>273.95833333333337</v>
      </c>
      <c r="CH44" s="386">
        <v>273.95833333333337</v>
      </c>
      <c r="CI44" s="386">
        <v>273.95833333333337</v>
      </c>
      <c r="CJ44" s="386">
        <v>273.95833333333337</v>
      </c>
      <c r="CK44" s="199">
        <f>'Price Data Entry'!JF151</f>
        <v>200</v>
      </c>
      <c r="CL44" s="387">
        <v>200</v>
      </c>
      <c r="CM44" s="199">
        <f>'Price Data Entry'!JL151</f>
        <v>288.85135135135135</v>
      </c>
      <c r="CN44" s="200">
        <f>'Price Data Entry'!JR64</f>
        <v>191.66666666666666</v>
      </c>
      <c r="CO44" s="386">
        <v>191.66666666666666</v>
      </c>
      <c r="CP44" s="765">
        <v>191.66666666666666</v>
      </c>
      <c r="CQ44" s="764">
        <f>'Price Data Entry'!JX151</f>
        <v>200</v>
      </c>
      <c r="CR44" s="764">
        <f>'Price Data Entry'!KD64</f>
        <v>200</v>
      </c>
      <c r="CS44" s="764">
        <f>'Price Data Entry'!KD151</f>
        <v>200</v>
      </c>
      <c r="CT44" s="200">
        <f>'Price Data Entry'!KJ64</f>
        <v>200</v>
      </c>
      <c r="CU44" s="199">
        <f>'Price Data Entry'!KJ151</f>
        <v>207.94520547945206</v>
      </c>
      <c r="CV44" s="786">
        <v>207.95</v>
      </c>
      <c r="CW44" s="786">
        <f>'Price Data Entry'!KP151</f>
        <v>222.48062015503879</v>
      </c>
      <c r="CX44" s="765">
        <v>222.48</v>
      </c>
      <c r="CY44" s="800">
        <f>'Price Data Entry'!KV151</f>
        <v>295.18072289156623</v>
      </c>
      <c r="CZ44" s="199">
        <v>0</v>
      </c>
      <c r="DA44" s="595">
        <v>0</v>
      </c>
      <c r="DB44" s="802">
        <v>0</v>
      </c>
      <c r="DC44" s="786">
        <f>'Price Data Entry'!LH151</f>
        <v>200</v>
      </c>
      <c r="DD44" s="786">
        <v>0</v>
      </c>
      <c r="DE44" s="786">
        <v>0</v>
      </c>
      <c r="DF44" s="786">
        <v>0</v>
      </c>
      <c r="DG44" s="786">
        <v>0</v>
      </c>
      <c r="DH44" s="786">
        <f>'Price Data Entry'!LZ64</f>
        <v>251.79856115107913</v>
      </c>
      <c r="DI44" s="786">
        <v>0</v>
      </c>
      <c r="DJ44" s="786">
        <v>0</v>
      </c>
      <c r="DK44" s="786">
        <v>0</v>
      </c>
      <c r="DL44" s="786">
        <f>'Price Data Entry'!ML64</f>
        <v>200</v>
      </c>
      <c r="DM44" s="786">
        <f>'Price Data Entry'!ML151</f>
        <v>251.65165165165166</v>
      </c>
      <c r="DN44" s="786">
        <f t="shared" si="16"/>
        <v>117.24170213378846</v>
      </c>
      <c r="DO44" s="786">
        <f t="shared" si="17"/>
        <v>94.815558964240026</v>
      </c>
      <c r="DP44" s="786">
        <f t="shared" si="18"/>
        <v>110.61815212494669</v>
      </c>
      <c r="DQ44" s="800">
        <f t="shared" si="19"/>
        <v>129.05451081243783</v>
      </c>
      <c r="DR44" s="833">
        <f>'Price Data Entry'!ND64</f>
        <v>249.13793103448273</v>
      </c>
      <c r="DS44" s="833">
        <f>'Price Data Entry'!ND151</f>
        <v>200</v>
      </c>
      <c r="DT44" s="833">
        <f>'Price Data Entry'!NJ64</f>
        <v>192.43697478991595</v>
      </c>
      <c r="DU44" s="833">
        <f>'Price Data Entry'!NJ151</f>
        <v>200</v>
      </c>
      <c r="DV44" s="833">
        <v>0</v>
      </c>
      <c r="DW44" s="833">
        <v>0</v>
      </c>
      <c r="DX44" s="833">
        <v>0</v>
      </c>
      <c r="DY44" s="833">
        <v>0</v>
      </c>
      <c r="DZ44" s="833">
        <v>0</v>
      </c>
      <c r="EA44" s="833">
        <v>0</v>
      </c>
      <c r="EB44" s="833">
        <v>0</v>
      </c>
      <c r="EC44" s="833">
        <v>0</v>
      </c>
    </row>
    <row r="45" spans="1:138">
      <c r="A45" s="858" t="s">
        <v>49</v>
      </c>
      <c r="B45" s="204">
        <f>'Price Data Entry'!H86</f>
        <v>36.1881785283474</v>
      </c>
      <c r="C45" s="203">
        <f>'Price Data Entry'!H173</f>
        <v>123.76237623762376</v>
      </c>
      <c r="D45" s="203">
        <f>'Price Data Entry'!N86</f>
        <v>176.88679245283018</v>
      </c>
      <c r="E45" s="202">
        <f>'Price Data Entry'!N173</f>
        <v>169.17293233082705</v>
      </c>
      <c r="F45" s="202">
        <f>'Price Data Entry'!T86</f>
        <v>150</v>
      </c>
      <c r="G45" s="202">
        <f>'Price Data Entry'!T173</f>
        <v>151.16279069767444</v>
      </c>
      <c r="H45" s="202">
        <f>'Price Data Entry'!Z86</f>
        <v>120.68965517241379</v>
      </c>
      <c r="I45" s="202">
        <f>'Price Data Entry'!Z173</f>
        <v>166.66666666666666</v>
      </c>
      <c r="J45" s="202">
        <f>'Price Data Entry'!AF86</f>
        <v>285.71428571428572</v>
      </c>
      <c r="K45" s="202">
        <f>'Price Data Entry'!AF173</f>
        <v>173.91304347826085</v>
      </c>
      <c r="L45" s="598">
        <v>0</v>
      </c>
      <c r="M45" s="202">
        <f>'Price Data Entry'!AL173</f>
        <v>164.83516483516485</v>
      </c>
      <c r="N45" s="202">
        <f>'Price Data Entry'!AR86</f>
        <v>119.04761904761905</v>
      </c>
      <c r="O45" s="598">
        <v>0</v>
      </c>
      <c r="P45" s="202">
        <f>'Price Data Entry'!AX86</f>
        <v>91.412742382271475</v>
      </c>
      <c r="Q45" s="202">
        <f>'Price Data Entry'!AX173</f>
        <v>162.16216216216216</v>
      </c>
      <c r="R45" s="202">
        <f>'Price Data Entry'!BD86</f>
        <v>86.393088552915771</v>
      </c>
      <c r="S45" s="202">
        <f>'Price Data Entry'!BD173</f>
        <v>229.22636103151865</v>
      </c>
      <c r="T45" s="598">
        <v>0</v>
      </c>
      <c r="U45" s="598">
        <v>0</v>
      </c>
      <c r="V45" s="599">
        <v>0</v>
      </c>
      <c r="W45" s="598">
        <v>0</v>
      </c>
      <c r="X45" s="202">
        <f>'Price Data Entry'!BV86</f>
        <v>99.150141643059484</v>
      </c>
      <c r="Y45" s="598">
        <v>0</v>
      </c>
      <c r="Z45" s="202">
        <f>'Price Data Entry'!CB86</f>
        <v>94.339622641509436</v>
      </c>
      <c r="AA45" s="202">
        <f>'Price Data Entry'!CB173</f>
        <v>148.14814814814815</v>
      </c>
      <c r="AB45" s="598">
        <v>148.14814814814815</v>
      </c>
      <c r="AC45" s="598">
        <v>0</v>
      </c>
      <c r="AD45" s="202">
        <f>'Price Data Entry'!CN86</f>
        <v>129.87012987012989</v>
      </c>
      <c r="AE45" s="202">
        <f>'Price Data Entry'!CN173</f>
        <v>126.1467889908257</v>
      </c>
      <c r="AF45" s="598">
        <v>0</v>
      </c>
      <c r="AG45" s="202">
        <f>'Price Data Entry'!CT173</f>
        <v>137.29977116704805</v>
      </c>
      <c r="AH45" s="202">
        <f>'Price Data Entry'!CZ86</f>
        <v>94.339622641509436</v>
      </c>
      <c r="AI45" s="202">
        <f>'Price Data Entry'!CZ173</f>
        <v>148.14814814814815</v>
      </c>
      <c r="AJ45" s="202">
        <f>'Price Data Entry'!DF86</f>
        <v>76.65094339622641</v>
      </c>
      <c r="AK45" s="202">
        <f>'Price Data Entry'!DF173</f>
        <v>101.83299389002038</v>
      </c>
      <c r="AL45" s="202">
        <f>'Price Data Entry'!DL86</f>
        <v>103.92609699769054</v>
      </c>
      <c r="AM45" s="598">
        <v>103.92609699769054</v>
      </c>
      <c r="AN45" s="202">
        <f>'Price Data Entry'!DR86</f>
        <v>144.57831325301203</v>
      </c>
      <c r="AO45" s="202">
        <f>'Price Data Entry'!DR173</f>
        <v>85.051546391752581</v>
      </c>
      <c r="AP45" s="598">
        <v>0</v>
      </c>
      <c r="AQ45" s="598">
        <v>0</v>
      </c>
      <c r="AR45" s="598">
        <v>0</v>
      </c>
      <c r="AS45" s="598">
        <v>0</v>
      </c>
      <c r="AT45" s="598">
        <v>0</v>
      </c>
      <c r="AU45" s="598">
        <v>0</v>
      </c>
      <c r="AV45" s="598">
        <v>0</v>
      </c>
      <c r="AW45" s="598">
        <v>0</v>
      </c>
      <c r="AX45" s="596">
        <f>'Price Data Entry'!EV86</f>
        <v>94.339622641509436</v>
      </c>
      <c r="AY45" s="202">
        <f>'Price Data Entry'!EV173</f>
        <v>148.14814814814815</v>
      </c>
      <c r="AZ45" s="202">
        <f>'Price Data Entry'!FB86</f>
        <v>162.5</v>
      </c>
      <c r="BA45" s="202">
        <f>'Price Data Entry'!FB173</f>
        <v>164.83516483516482</v>
      </c>
      <c r="BB45" s="203">
        <f>'Price Data Entry'!FH86</f>
        <v>150</v>
      </c>
      <c r="BC45" s="203">
        <f>'Price Data Entry'!FH173</f>
        <v>151.16279069767444</v>
      </c>
      <c r="BD45" s="203">
        <f>'Price Data Entry'!FN86</f>
        <v>26.041666666666668</v>
      </c>
      <c r="BE45" s="203">
        <f>'Price Data Entry'!FN173</f>
        <v>54.347826086956523</v>
      </c>
      <c r="BF45" s="203">
        <f>'Price Data Entry'!FT86</f>
        <v>22.935779816513762</v>
      </c>
      <c r="BG45" s="203">
        <f>'Price Data Entry'!FT173</f>
        <v>126.7605633802817</v>
      </c>
      <c r="BH45" s="202">
        <f>'Price Data Entry'!FZ86</f>
        <v>140.84507042253523</v>
      </c>
      <c r="BI45" s="203">
        <f>'Price Data Entry'!FZ173</f>
        <v>101.83299389002038</v>
      </c>
      <c r="BJ45" s="203">
        <f>'Price Data Entry'!GF86</f>
        <v>81.433224755700337</v>
      </c>
      <c r="BK45" s="196">
        <f>'Price Data Entry'!GF173</f>
        <v>107.5268817204301</v>
      </c>
      <c r="BL45" s="203">
        <f>'Price Data Entry'!GL86</f>
        <v>75.528700906344412</v>
      </c>
      <c r="BM45" s="203">
        <f>'Price Data Entry'!GL173</f>
        <v>104.16666666666667</v>
      </c>
      <c r="BN45" s="203">
        <f>'Price Data Entry'!GR86</f>
        <v>104.16666666666667</v>
      </c>
      <c r="BO45" s="203">
        <f>'Price Data Entry'!GR173</f>
        <v>104.16666666666667</v>
      </c>
      <c r="BP45" s="203">
        <f>'Price Data Entry'!GX86</f>
        <v>239.36170212765956</v>
      </c>
      <c r="BQ45" s="203">
        <f>'Price Data Entry'!GX173</f>
        <v>162.16216216216216</v>
      </c>
      <c r="BR45" s="203">
        <f>'Price Data Entry'!HD86</f>
        <v>200</v>
      </c>
      <c r="BS45" s="203">
        <f>'Price Data Entry'!HD173</f>
        <v>173.07692307692307</v>
      </c>
      <c r="BT45" s="203">
        <f>'Price Data Entry'!HJ86</f>
        <v>50.200803212851405</v>
      </c>
      <c r="BU45" s="202">
        <f>'Price Data Entry'!HJ173</f>
        <v>85.051546391752581</v>
      </c>
      <c r="BV45" s="203">
        <f>'Price Data Entry'!HP86</f>
        <v>36.1881785283474</v>
      </c>
      <c r="BW45" s="203">
        <f>'Price Data Entry'!HP173</f>
        <v>123.76237623762376</v>
      </c>
      <c r="BX45" s="203">
        <f>'Price Data Entry'!HV86</f>
        <v>176.88679245283018</v>
      </c>
      <c r="BY45" s="202">
        <f>'Price Data Entry'!HV173</f>
        <v>169.17293233082705</v>
      </c>
      <c r="BZ45" s="204">
        <f>'Price Data Entry'!IB86</f>
        <v>117.096018735363</v>
      </c>
      <c r="CA45" s="202">
        <f>'Price Data Entry'!IB173</f>
        <v>117.096018735363</v>
      </c>
      <c r="CB45" s="203">
        <f>'Price Data Entry'!IH86</f>
        <v>123.15270935960592</v>
      </c>
      <c r="CC45" s="202">
        <f>'Price Data Entry'!IH173</f>
        <v>120.77294685990339</v>
      </c>
      <c r="CD45" s="203">
        <f>'Price Data Entry'!IN86</f>
        <v>74.850299401197603</v>
      </c>
      <c r="CE45" s="203">
        <f>'Price Data Entry'!IN173</f>
        <v>24.570024570024568</v>
      </c>
      <c r="CF45" s="202">
        <f>'Price Data Entry'!IT86</f>
        <v>24.570024570024568</v>
      </c>
      <c r="CG45" s="202">
        <f>'Price Data Entry'!IT173</f>
        <v>150.27322404371583</v>
      </c>
      <c r="CH45" s="202">
        <f>'Price Data Entry'!IZ86</f>
        <v>64.599483204134359</v>
      </c>
      <c r="CI45" s="202">
        <f>'Price Data Entry'!IZ173</f>
        <v>135.50135501355012</v>
      </c>
      <c r="CJ45" s="202">
        <f>'Price Data Entry'!JF86</f>
        <v>97.222222222222214</v>
      </c>
      <c r="CK45" s="202">
        <f>'Price Data Entry'!JF173</f>
        <v>147.05882352941177</v>
      </c>
      <c r="CL45" s="649">
        <v>147.05882352941177</v>
      </c>
      <c r="CM45" s="199">
        <f>'Price Data Entry'!JL173</f>
        <v>120.77294685990339</v>
      </c>
      <c r="CN45" s="203">
        <f>'Price Data Entry'!JR86</f>
        <v>152</v>
      </c>
      <c r="CO45" s="199">
        <f>'Price Data Entry'!JR173</f>
        <v>149.25373134328356</v>
      </c>
      <c r="CP45" s="766">
        <f>'Price Data Entry'!JX86</f>
        <v>78.199052132701411</v>
      </c>
      <c r="CQ45" s="766">
        <f>'Price Data Entry'!JX173</f>
        <v>104.79041916167665</v>
      </c>
      <c r="CR45" s="766">
        <f>'Price Data Entry'!KD86</f>
        <v>126.43678160919539</v>
      </c>
      <c r="CS45" s="766">
        <f>'Price Data Entry'!KD173</f>
        <v>93.567251461988306</v>
      </c>
      <c r="CT45" s="203">
        <f>'Price Data Entry'!KJ86</f>
        <v>158.31134564643799</v>
      </c>
      <c r="CU45" s="202">
        <f>'Price Data Entry'!KJ173</f>
        <v>45.977011494252871</v>
      </c>
      <c r="CV45" s="787">
        <f>45.98</f>
        <v>45.98</v>
      </c>
      <c r="CW45" s="787">
        <f>45.98</f>
        <v>45.98</v>
      </c>
      <c r="CX45" s="766">
        <f>'Price Data Entry'!KV86</f>
        <v>156.73981191222569</v>
      </c>
      <c r="CY45" s="801">
        <f>'Price Data Entry'!KV173</f>
        <v>79.87220447284345</v>
      </c>
      <c r="CZ45" s="202">
        <v>0</v>
      </c>
      <c r="DA45" s="596">
        <v>0</v>
      </c>
      <c r="DB45" s="803">
        <v>0</v>
      </c>
      <c r="DC45" s="799">
        <f>'Price Data Entry'!LH173</f>
        <v>158.31134564643799</v>
      </c>
      <c r="DD45" s="799">
        <v>0</v>
      </c>
      <c r="DE45" s="799">
        <v>0</v>
      </c>
      <c r="DF45" s="799">
        <v>0</v>
      </c>
      <c r="DG45" s="799">
        <f>'Price Data Entry'!LT173</f>
        <v>36.687631027253666</v>
      </c>
      <c r="DH45" s="799">
        <f>'Price Data Entry'!LZ86</f>
        <v>124.99999999999997</v>
      </c>
      <c r="DI45" s="799">
        <f>'Price Data Entry'!LZ173</f>
        <v>44.836956521739125</v>
      </c>
      <c r="DJ45" s="799">
        <f>'Price Data Entry'!MF86</f>
        <v>180.72289156626508</v>
      </c>
      <c r="DK45" s="799">
        <f>'Price Data Entry'!MF173</f>
        <v>161.41732283464566</v>
      </c>
      <c r="DL45" s="799">
        <f>'Price Data Entry'!ML86</f>
        <v>101.41987829614605</v>
      </c>
      <c r="DM45" s="799">
        <f>'Price Data Entry'!ML173</f>
        <v>70.564516129032242</v>
      </c>
      <c r="DN45" s="799">
        <f>SUM(DH45:DM45)/6</f>
        <v>113.99359422463802</v>
      </c>
      <c r="DO45" s="799">
        <f>SUM(DI45:DN45)/6</f>
        <v>112.15919326207769</v>
      </c>
      <c r="DP45" s="799">
        <f>SUM(DJ45:DO45)/6</f>
        <v>123.37956605213412</v>
      </c>
      <c r="DQ45" s="801">
        <f>SUM(DK45:DP45)/6</f>
        <v>113.82234513311231</v>
      </c>
      <c r="DR45" s="834">
        <f>'Price Data Entry'!ND86</f>
        <v>93.676814988290403</v>
      </c>
      <c r="DS45" s="834">
        <f>'Price Data Entry'!ND173</f>
        <v>101.01010101010101</v>
      </c>
      <c r="DT45" s="834">
        <f>'Price Data Entry'!NJ86</f>
        <v>74.626865671641795</v>
      </c>
      <c r="DU45" s="834">
        <f>'Price Data Entry'!NJ173</f>
        <v>116.0541586073501</v>
      </c>
      <c r="DV45" s="834">
        <f>'Price Data Entry'!NP86</f>
        <v>136.36363636363635</v>
      </c>
      <c r="DW45" s="834">
        <f>'Price Data Entry'!NP173</f>
        <v>440</v>
      </c>
      <c r="DX45" s="834">
        <f>'Price Data Entry'!NV86</f>
        <v>127.90697674418605</v>
      </c>
      <c r="DY45" s="834">
        <f>'Price Data Entry'!NV173</f>
        <v>105.26315789473684</v>
      </c>
      <c r="DZ45" s="834">
        <f>'Price Data Entry'!OB86</f>
        <v>122.18045112781954</v>
      </c>
      <c r="EA45" s="834">
        <f>'Price Data Entry'!OH173</f>
        <v>97.465886939571135</v>
      </c>
      <c r="EB45" s="834">
        <f>'Price Data Entry'!OH86</f>
        <v>85.784313725490193</v>
      </c>
      <c r="EC45" s="834">
        <f>'Price Data Entry'!OH173</f>
        <v>97.465886939571135</v>
      </c>
    </row>
    <row r="46" spans="1:138" s="178" customFormat="1">
      <c r="A46" s="850" t="s">
        <v>446</v>
      </c>
      <c r="B46" s="876">
        <f>AVERAGE(B47:B55)</f>
        <v>356.20112567602098</v>
      </c>
      <c r="C46" s="876">
        <f t="shared" ref="C46:BN46" si="23">AVERAGE(C47:C55)</f>
        <v>316.69316353635963</v>
      </c>
      <c r="D46" s="876">
        <f t="shared" si="23"/>
        <v>370.60116683926776</v>
      </c>
      <c r="E46" s="876">
        <f t="shared" si="23"/>
        <v>340.46536399012342</v>
      </c>
      <c r="F46" s="876">
        <f t="shared" si="23"/>
        <v>347.50148119575078</v>
      </c>
      <c r="G46" s="876">
        <f t="shared" si="23"/>
        <v>204.43755596692182</v>
      </c>
      <c r="H46" s="876">
        <f t="shared" si="23"/>
        <v>247.16937654862011</v>
      </c>
      <c r="I46" s="876">
        <f t="shared" si="23"/>
        <v>391.8827939717367</v>
      </c>
      <c r="J46" s="876">
        <f t="shared" si="23"/>
        <v>293.80392828013157</v>
      </c>
      <c r="K46" s="876">
        <f t="shared" si="23"/>
        <v>296.35582548188523</v>
      </c>
      <c r="L46" s="876">
        <f t="shared" si="23"/>
        <v>0</v>
      </c>
      <c r="M46" s="876">
        <f t="shared" si="23"/>
        <v>275.37934173523865</v>
      </c>
      <c r="N46" s="876">
        <f t="shared" si="23"/>
        <v>261.9685940810262</v>
      </c>
      <c r="O46" s="876">
        <f t="shared" si="23"/>
        <v>0</v>
      </c>
      <c r="P46" s="876">
        <f t="shared" si="23"/>
        <v>221.57895291920187</v>
      </c>
      <c r="Q46" s="876">
        <f t="shared" si="23"/>
        <v>198.35408477707253</v>
      </c>
      <c r="R46" s="876">
        <f t="shared" si="23"/>
        <v>133.77873190135114</v>
      </c>
      <c r="S46" s="876">
        <f t="shared" si="23"/>
        <v>379.8945387227547</v>
      </c>
      <c r="T46" s="876">
        <f t="shared" si="23"/>
        <v>0</v>
      </c>
      <c r="U46" s="876">
        <f t="shared" si="23"/>
        <v>0</v>
      </c>
      <c r="V46" s="876">
        <f t="shared" si="23"/>
        <v>0</v>
      </c>
      <c r="W46" s="876">
        <f t="shared" si="23"/>
        <v>0</v>
      </c>
      <c r="X46" s="876">
        <f t="shared" si="23"/>
        <v>206.15910547314888</v>
      </c>
      <c r="Y46" s="876">
        <f t="shared" si="23"/>
        <v>0</v>
      </c>
      <c r="Z46" s="876">
        <f t="shared" si="23"/>
        <v>229.42034141324555</v>
      </c>
      <c r="AA46" s="876">
        <f t="shared" si="23"/>
        <v>198.3071855170509</v>
      </c>
      <c r="AB46" s="876">
        <f t="shared" si="23"/>
        <v>196.15486182128532</v>
      </c>
      <c r="AC46" s="876">
        <f t="shared" si="23"/>
        <v>0</v>
      </c>
      <c r="AD46" s="876">
        <f t="shared" si="23"/>
        <v>287.30387962739883</v>
      </c>
      <c r="AE46" s="876">
        <f t="shared" si="23"/>
        <v>286.75614767546125</v>
      </c>
      <c r="AF46" s="876">
        <f t="shared" si="23"/>
        <v>0</v>
      </c>
      <c r="AG46" s="876">
        <f t="shared" si="23"/>
        <v>303.4769882539947</v>
      </c>
      <c r="AH46" s="876">
        <f t="shared" si="23"/>
        <v>235.98690797981212</v>
      </c>
      <c r="AI46" s="876">
        <f t="shared" si="23"/>
        <v>198.3071855170509</v>
      </c>
      <c r="AJ46" s="876">
        <f t="shared" si="23"/>
        <v>307.62990473869928</v>
      </c>
      <c r="AK46" s="876">
        <f t="shared" si="23"/>
        <v>301.80695827189282</v>
      </c>
      <c r="AL46" s="876">
        <f t="shared" si="23"/>
        <v>180.46025299852175</v>
      </c>
      <c r="AM46" s="876">
        <f t="shared" si="23"/>
        <v>273.98911397644503</v>
      </c>
      <c r="AN46" s="876">
        <f t="shared" si="23"/>
        <v>197.30200212618831</v>
      </c>
      <c r="AO46" s="876">
        <f t="shared" si="23"/>
        <v>189.47945066411745</v>
      </c>
      <c r="AP46" s="876">
        <f t="shared" si="23"/>
        <v>0</v>
      </c>
      <c r="AQ46" s="876">
        <f t="shared" si="23"/>
        <v>0</v>
      </c>
      <c r="AR46" s="876">
        <f t="shared" si="23"/>
        <v>0</v>
      </c>
      <c r="AS46" s="876">
        <f t="shared" si="23"/>
        <v>0</v>
      </c>
      <c r="AT46" s="876">
        <f t="shared" si="23"/>
        <v>0</v>
      </c>
      <c r="AU46" s="876">
        <f t="shared" si="23"/>
        <v>0</v>
      </c>
      <c r="AV46" s="876">
        <f t="shared" si="23"/>
        <v>0</v>
      </c>
      <c r="AW46" s="876">
        <f t="shared" si="23"/>
        <v>0</v>
      </c>
      <c r="AX46" s="876">
        <f t="shared" si="23"/>
        <v>238.57461441976133</v>
      </c>
      <c r="AY46" s="876">
        <f t="shared" si="23"/>
        <v>198.3071855170509</v>
      </c>
      <c r="AZ46" s="876">
        <f t="shared" si="23"/>
        <v>273.84314563594569</v>
      </c>
      <c r="BA46" s="876">
        <f t="shared" si="23"/>
        <v>264.16566873414411</v>
      </c>
      <c r="BB46" s="876">
        <f t="shared" si="23"/>
        <v>293.83353870435332</v>
      </c>
      <c r="BC46" s="876">
        <f t="shared" si="23"/>
        <v>225.33577370844245</v>
      </c>
      <c r="BD46" s="876">
        <f t="shared" si="23"/>
        <v>279.35372158961422</v>
      </c>
      <c r="BE46" s="876">
        <f t="shared" si="23"/>
        <v>394.95862782868556</v>
      </c>
      <c r="BF46" s="876">
        <f t="shared" si="23"/>
        <v>386.26475488137572</v>
      </c>
      <c r="BG46" s="876">
        <f t="shared" si="23"/>
        <v>287.5055200971417</v>
      </c>
      <c r="BH46" s="876">
        <f t="shared" si="23"/>
        <v>279.95713818371809</v>
      </c>
      <c r="BI46" s="876">
        <f t="shared" si="23"/>
        <v>315.01945986124787</v>
      </c>
      <c r="BJ46" s="876">
        <f t="shared" si="23"/>
        <v>197.63887703044267</v>
      </c>
      <c r="BK46" s="876">
        <f t="shared" si="23"/>
        <v>240.1526813512541</v>
      </c>
      <c r="BL46" s="876">
        <f t="shared" si="23"/>
        <v>210.80378854942734</v>
      </c>
      <c r="BM46" s="876">
        <f t="shared" si="23"/>
        <v>253.105417959969</v>
      </c>
      <c r="BN46" s="876">
        <f t="shared" si="23"/>
        <v>243.26062249059663</v>
      </c>
      <c r="BO46" s="876">
        <f t="shared" ref="BO46:DW46" si="24">AVERAGE(BO47:BO55)</f>
        <v>243.54364866682397</v>
      </c>
      <c r="BP46" s="876">
        <f t="shared" si="24"/>
        <v>202.84535592333225</v>
      </c>
      <c r="BQ46" s="876">
        <f t="shared" si="24"/>
        <v>259.95943586088106</v>
      </c>
      <c r="BR46" s="876">
        <f t="shared" si="24"/>
        <v>136.80984960528116</v>
      </c>
      <c r="BS46" s="876">
        <f t="shared" si="24"/>
        <v>167.38077571286132</v>
      </c>
      <c r="BT46" s="876">
        <f t="shared" si="24"/>
        <v>242.05967688084397</v>
      </c>
      <c r="BU46" s="876">
        <f t="shared" si="24"/>
        <v>189.47945066411745</v>
      </c>
      <c r="BV46" s="876">
        <f t="shared" si="24"/>
        <v>288.62918964754635</v>
      </c>
      <c r="BW46" s="876">
        <f t="shared" si="24"/>
        <v>279.86323021803139</v>
      </c>
      <c r="BX46" s="876">
        <f t="shared" si="24"/>
        <v>357.47890419063543</v>
      </c>
      <c r="BY46" s="876">
        <f t="shared" si="24"/>
        <v>299.73424094028951</v>
      </c>
      <c r="BZ46" s="876">
        <f t="shared" si="24"/>
        <v>234.92892012417269</v>
      </c>
      <c r="CA46" s="876">
        <f t="shared" si="24"/>
        <v>249.53341219970167</v>
      </c>
      <c r="CB46" s="876">
        <f t="shared" si="24"/>
        <v>278.01316981370928</v>
      </c>
      <c r="CC46" s="876">
        <f t="shared" si="24"/>
        <v>346.76473166777618</v>
      </c>
      <c r="CD46" s="876">
        <f t="shared" si="24"/>
        <v>354.83683040705608</v>
      </c>
      <c r="CE46" s="876">
        <f t="shared" si="24"/>
        <v>341.1301214974294</v>
      </c>
      <c r="CF46" s="876">
        <f t="shared" si="24"/>
        <v>341.1301214974294</v>
      </c>
      <c r="CG46" s="876">
        <f t="shared" si="24"/>
        <v>224.44249343181465</v>
      </c>
      <c r="CH46" s="876">
        <f t="shared" si="24"/>
        <v>251.75451639182398</v>
      </c>
      <c r="CI46" s="876">
        <f t="shared" si="24"/>
        <v>289.65432935899622</v>
      </c>
      <c r="CJ46" s="876">
        <f t="shared" si="24"/>
        <v>198.77840021987637</v>
      </c>
      <c r="CK46" s="876">
        <f t="shared" si="24"/>
        <v>196.81511827255494</v>
      </c>
      <c r="CL46" s="876">
        <f t="shared" si="24"/>
        <v>165.25302672651662</v>
      </c>
      <c r="CM46" s="876">
        <f t="shared" si="24"/>
        <v>227.25976899762014</v>
      </c>
      <c r="CN46" s="876">
        <f t="shared" si="24"/>
        <v>155.31381495184084</v>
      </c>
      <c r="CO46" s="876">
        <f t="shared" si="24"/>
        <v>143.27877097621283</v>
      </c>
      <c r="CP46" s="876">
        <f t="shared" si="24"/>
        <v>172.50825663055133</v>
      </c>
      <c r="CQ46" s="876">
        <f t="shared" si="24"/>
        <v>231.15751149493721</v>
      </c>
      <c r="CR46" s="876">
        <f t="shared" si="24"/>
        <v>223.57043033322691</v>
      </c>
      <c r="CS46" s="876">
        <f t="shared" si="24"/>
        <v>429.64790664878245</v>
      </c>
      <c r="CT46" s="876">
        <f t="shared" si="24"/>
        <v>331.81518184773898</v>
      </c>
      <c r="CU46" s="876">
        <f t="shared" si="24"/>
        <v>251.3943495660989</v>
      </c>
      <c r="CV46" s="876">
        <f t="shared" si="24"/>
        <v>466.36254910791718</v>
      </c>
      <c r="CW46" s="876">
        <f t="shared" si="24"/>
        <v>328.98227628356699</v>
      </c>
      <c r="CX46" s="876">
        <f t="shared" si="24"/>
        <v>314.82561784558044</v>
      </c>
      <c r="CY46" s="876">
        <f t="shared" si="24"/>
        <v>303.75053346084843</v>
      </c>
      <c r="CZ46" s="876">
        <f t="shared" si="24"/>
        <v>0</v>
      </c>
      <c r="DA46" s="876">
        <f t="shared" si="24"/>
        <v>0</v>
      </c>
      <c r="DB46" s="876">
        <f t="shared" si="24"/>
        <v>0</v>
      </c>
      <c r="DC46" s="876">
        <f t="shared" si="24"/>
        <v>206.10869658680863</v>
      </c>
      <c r="DD46" s="876">
        <f t="shared" si="24"/>
        <v>165.12820734369157</v>
      </c>
      <c r="DE46" s="876">
        <f t="shared" si="24"/>
        <v>89.535473325641448</v>
      </c>
      <c r="DF46" s="876">
        <f t="shared" si="24"/>
        <v>108.28023429470107</v>
      </c>
      <c r="DG46" s="876">
        <f t="shared" si="24"/>
        <v>131.0869950507952</v>
      </c>
      <c r="DH46" s="876">
        <f t="shared" si="24"/>
        <v>209.16386246968969</v>
      </c>
      <c r="DI46" s="876">
        <f t="shared" si="24"/>
        <v>192.47222162365773</v>
      </c>
      <c r="DJ46" s="876">
        <f t="shared" si="24"/>
        <v>171.39149097070171</v>
      </c>
      <c r="DK46" s="876">
        <f t="shared" si="24"/>
        <v>178.3423091335153</v>
      </c>
      <c r="DL46" s="876">
        <f t="shared" si="24"/>
        <v>182.14502307811776</v>
      </c>
      <c r="DM46" s="876">
        <f t="shared" si="24"/>
        <v>175.00248031883558</v>
      </c>
      <c r="DN46" s="876">
        <f t="shared" si="24"/>
        <v>184.75289793241961</v>
      </c>
      <c r="DO46" s="876">
        <f t="shared" si="24"/>
        <v>180.68440384287462</v>
      </c>
      <c r="DP46" s="876">
        <f t="shared" si="24"/>
        <v>178.71976754607743</v>
      </c>
      <c r="DQ46" s="876">
        <f t="shared" si="24"/>
        <v>179.94114697530668</v>
      </c>
      <c r="DR46" s="876">
        <f t="shared" si="24"/>
        <v>276.80230475945643</v>
      </c>
      <c r="DS46" s="876">
        <f t="shared" si="24"/>
        <v>218.10297165056076</v>
      </c>
      <c r="DT46" s="876">
        <f t="shared" si="24"/>
        <v>52.158365719425824</v>
      </c>
      <c r="DU46" s="876">
        <f t="shared" si="24"/>
        <v>105.71128179646753</v>
      </c>
      <c r="DV46" s="876">
        <f t="shared" si="24"/>
        <v>181.64161791800794</v>
      </c>
      <c r="DW46" s="879">
        <f t="shared" si="24"/>
        <v>237.58792853641879</v>
      </c>
      <c r="DX46" s="876">
        <f t="shared" ref="DX46:EC46" si="25">AVERAGE(DX47:DX55)</f>
        <v>283.58413828797416</v>
      </c>
      <c r="DY46" s="876">
        <f t="shared" si="25"/>
        <v>187.76893135165858</v>
      </c>
      <c r="DZ46" s="876">
        <f t="shared" si="25"/>
        <v>249.70145456340802</v>
      </c>
      <c r="EA46" s="876">
        <f t="shared" si="25"/>
        <v>241.93088351946395</v>
      </c>
      <c r="EB46" s="876">
        <f t="shared" si="25"/>
        <v>196.06517849076812</v>
      </c>
      <c r="EC46" s="879">
        <f t="shared" si="25"/>
        <v>182.66620328020792</v>
      </c>
      <c r="ED46" s="852"/>
      <c r="EE46" s="852"/>
      <c r="EF46" s="852"/>
      <c r="EG46" s="852"/>
      <c r="EH46" s="852"/>
    </row>
    <row r="47" spans="1:138">
      <c r="A47" s="189" t="s">
        <v>33</v>
      </c>
      <c r="B47" s="390">
        <v>350</v>
      </c>
      <c r="C47" s="387">
        <v>350</v>
      </c>
      <c r="D47" s="387">
        <v>350</v>
      </c>
      <c r="E47" s="386">
        <v>350</v>
      </c>
      <c r="F47" s="199">
        <f>'Price Data Entry'!T69</f>
        <v>350</v>
      </c>
      <c r="G47" s="199">
        <f>'Price Data Entry'!T156</f>
        <v>198.11320754716979</v>
      </c>
      <c r="H47" s="386">
        <v>198.11320754716979</v>
      </c>
      <c r="I47" s="386">
        <v>198.11320754716979</v>
      </c>
      <c r="J47" s="199">
        <f>'Price Data Entry'!AF69</f>
        <v>437.5</v>
      </c>
      <c r="K47" s="386">
        <v>437.5</v>
      </c>
      <c r="L47" s="386">
        <v>0</v>
      </c>
      <c r="M47" s="199">
        <f>'Price Data Entry'!AL156</f>
        <v>340.74074074074076</v>
      </c>
      <c r="N47" s="199">
        <f>'Price Data Entry'!AR69</f>
        <v>192.67822736030831</v>
      </c>
      <c r="O47" s="386">
        <v>0</v>
      </c>
      <c r="P47" s="199">
        <f>'Price Data Entry'!AX69</f>
        <v>98.814229249011859</v>
      </c>
      <c r="Q47" s="199">
        <f>'Price Data Entry'!AX156</f>
        <v>81.288343558282207</v>
      </c>
      <c r="R47" s="199">
        <f>'Price Data Entry'!BD69</f>
        <v>92.204526404023468</v>
      </c>
      <c r="S47" s="386">
        <v>92.204526404023468</v>
      </c>
      <c r="T47" s="386">
        <v>0</v>
      </c>
      <c r="U47" s="386">
        <v>0</v>
      </c>
      <c r="V47" s="597">
        <v>0</v>
      </c>
      <c r="W47" s="386">
        <v>0</v>
      </c>
      <c r="X47" s="199">
        <f>'Price Data Entry'!BV69</f>
        <v>218.06853582554515</v>
      </c>
      <c r="Y47" s="386">
        <v>0</v>
      </c>
      <c r="Z47" s="199">
        <f>'Price Data Entry'!CB69</f>
        <v>192.30769230769232</v>
      </c>
      <c r="AA47" s="199">
        <f>'Price Data Entry'!CB156</f>
        <v>81.288343558282207</v>
      </c>
      <c r="AB47" s="386">
        <v>81.288343558282207</v>
      </c>
      <c r="AC47" s="386">
        <v>0</v>
      </c>
      <c r="AD47" s="386">
        <v>81.288343558282207</v>
      </c>
      <c r="AE47" s="386">
        <v>81.288343558282207</v>
      </c>
      <c r="AF47" s="386">
        <v>0</v>
      </c>
      <c r="AG47" s="386">
        <v>81.288343558282207</v>
      </c>
      <c r="AH47" s="199">
        <f>'Price Data Entry'!CZ69</f>
        <v>192.30769230769232</v>
      </c>
      <c r="AI47" s="199">
        <f>'Price Data Entry'!CZ156</f>
        <v>81.288343558282207</v>
      </c>
      <c r="AJ47" s="199">
        <f>'Price Data Entry'!DF69</f>
        <v>451.26353790613717</v>
      </c>
      <c r="AK47" s="199">
        <f>'Price Data Entry'!DF156</f>
        <v>269.3602693602694</v>
      </c>
      <c r="AL47" s="199">
        <f>'Price Data Entry'!DL69</f>
        <v>45.94180704441041</v>
      </c>
      <c r="AM47" s="386">
        <v>45.94180704441041</v>
      </c>
      <c r="AN47" s="199">
        <f>'Price Data Entry'!DR69</f>
        <v>121.4574898785425</v>
      </c>
      <c r="AO47" s="199">
        <f>'Price Data Entry'!DR156</f>
        <v>138.76454789615039</v>
      </c>
      <c r="AP47" s="386">
        <v>0</v>
      </c>
      <c r="AQ47" s="386">
        <v>0</v>
      </c>
      <c r="AR47" s="386">
        <v>0</v>
      </c>
      <c r="AS47" s="386">
        <v>0</v>
      </c>
      <c r="AT47" s="386">
        <v>0</v>
      </c>
      <c r="AU47" s="386">
        <v>0</v>
      </c>
      <c r="AV47" s="386">
        <v>0</v>
      </c>
      <c r="AW47" s="386">
        <v>0</v>
      </c>
      <c r="AX47" s="595">
        <f>'Price Data Entry'!EV69</f>
        <v>192.30769230769232</v>
      </c>
      <c r="AY47" s="200">
        <f>'Price Data Entry'!EV156</f>
        <v>81.288343558282207</v>
      </c>
      <c r="AZ47" s="387">
        <v>81.288343558282207</v>
      </c>
      <c r="BA47" s="200">
        <f>'Price Data Entry'!FB156</f>
        <v>340.74074074074076</v>
      </c>
      <c r="BB47" s="387">
        <v>340.74074074074076</v>
      </c>
      <c r="BC47" s="387">
        <v>340.74074074074076</v>
      </c>
      <c r="BD47" s="386">
        <v>340.74074074074076</v>
      </c>
      <c r="BE47" s="386">
        <v>340.74074074074076</v>
      </c>
      <c r="BF47" s="386">
        <v>340.74074074074076</v>
      </c>
      <c r="BG47" s="200">
        <f>'Price Data Entry'!FT156</f>
        <v>271.64685908319183</v>
      </c>
      <c r="BH47" s="199">
        <f>'Price Data Entry'!FZ69</f>
        <v>262.72577996715927</v>
      </c>
      <c r="BI47" s="199">
        <f>'Price Data Entry'!FZ156</f>
        <v>269.3602693602694</v>
      </c>
      <c r="BJ47" s="200">
        <f>'Price Data Entry'!GF69</f>
        <v>157.65765765765767</v>
      </c>
      <c r="BK47" s="191">
        <f>'Price Data Entry'!GF156</f>
        <v>173.45399698340876</v>
      </c>
      <c r="BL47" s="200">
        <f>'Price Data Entry'!GL69</f>
        <v>140.49586776859502</v>
      </c>
      <c r="BM47" s="200">
        <f>'Price Data Entry'!GL156</f>
        <v>119.34673366834171</v>
      </c>
      <c r="BN47" s="200">
        <f>'Price Data Entry'!GR69</f>
        <v>320.75471698113205</v>
      </c>
      <c r="BO47" s="200">
        <f>'Price Data Entry'!GR156</f>
        <v>160</v>
      </c>
      <c r="BP47" s="200">
        <f>'Price Data Entry'!GX69</f>
        <v>140.14251781472683</v>
      </c>
      <c r="BQ47" s="200">
        <f>'Price Data Entry'!GX156</f>
        <v>99.065420560747654</v>
      </c>
      <c r="BR47" s="200">
        <f>'Price Data Entry'!HD69</f>
        <v>47</v>
      </c>
      <c r="BS47" s="200">
        <f>'Price Data Entry'!HD156</f>
        <v>52.894211576846317</v>
      </c>
      <c r="BT47" s="200">
        <f>'Price Data Entry'!HJ69</f>
        <v>150.50167224080266</v>
      </c>
      <c r="BU47" s="199">
        <f>'Price Data Entry'!HJ156</f>
        <v>138.76454789615039</v>
      </c>
      <c r="BV47" s="200">
        <f>'Price Data Entry'!HP69</f>
        <v>150.50167224080266</v>
      </c>
      <c r="BW47" s="200">
        <f>'Price Data Entry'!HP156</f>
        <v>138.76454789615039</v>
      </c>
      <c r="BX47" s="387">
        <v>138.76454789615039</v>
      </c>
      <c r="BY47" s="387">
        <v>138.76454789615039</v>
      </c>
      <c r="BZ47" s="387">
        <v>138.76454789615039</v>
      </c>
      <c r="CA47" s="387">
        <v>138.76454789615039</v>
      </c>
      <c r="CB47" s="387">
        <v>138.76454789615039</v>
      </c>
      <c r="CC47" s="199">
        <f>'Price Data Entry'!IH156</f>
        <v>606.06060606060601</v>
      </c>
      <c r="CD47" s="200">
        <f>'Price Data Entry'!IN69</f>
        <v>352.30352303523034</v>
      </c>
      <c r="CE47" s="200">
        <f>'Price Data Entry'!IN156</f>
        <v>462.96296296296299</v>
      </c>
      <c r="CF47" s="199">
        <f>'Price Data Entry'!IT69</f>
        <v>462.96296296296299</v>
      </c>
      <c r="CG47" s="199">
        <f>'Price Data Entry'!IT156</f>
        <v>174.96635262449527</v>
      </c>
      <c r="CH47" s="199">
        <f>'Price Data Entry'!IZ69</f>
        <v>171.7032967032967</v>
      </c>
      <c r="CI47" s="199">
        <f>'Price Data Entry'!IZ156</f>
        <v>118.69436201780415</v>
      </c>
      <c r="CJ47" s="199">
        <f>'Price Data Entry'!JF69</f>
        <v>92.449922958397536</v>
      </c>
      <c r="CK47" s="199">
        <f>'Price Data Entry'!JF156</f>
        <v>93.793103448275858</v>
      </c>
      <c r="CL47" s="200">
        <f>'Price Data Entry'!JL69</f>
        <v>94.905094905094913</v>
      </c>
      <c r="CM47" s="199">
        <f>'Price Data Entry'!JL156</f>
        <v>92.794759825327503</v>
      </c>
      <c r="CN47" s="200">
        <f>'Price Data Entry'!JR69</f>
        <v>88.652482269503551</v>
      </c>
      <c r="CO47" s="199">
        <f>'Price Data Entry'!JR156</f>
        <v>68.345323741007192</v>
      </c>
      <c r="CP47" s="764">
        <f>'Price Data Entry'!JX69</f>
        <v>116.47254575707156</v>
      </c>
      <c r="CQ47" s="764">
        <f>'Price Data Entry'!JX156</f>
        <v>121.71372930866602</v>
      </c>
      <c r="CR47" s="764">
        <f>'Price Data Entry'!KD69</f>
        <v>209.30232558139531</v>
      </c>
      <c r="CS47" s="764">
        <f>'Price Data Entry'!KD156</f>
        <v>1078.9473684210527</v>
      </c>
      <c r="CT47" s="200">
        <f>'Price Data Entry'!KJ69</f>
        <v>295.69892473118279</v>
      </c>
      <c r="CU47" s="199">
        <f>'Price Data Entry'!KJ156</f>
        <v>139.33547695605574</v>
      </c>
      <c r="CV47" s="786">
        <f>'Price Data Entry'!KP69</f>
        <v>608.27250608272516</v>
      </c>
      <c r="CW47" s="765">
        <v>608.27</v>
      </c>
      <c r="CX47" s="765">
        <v>608.27</v>
      </c>
      <c r="CY47" s="800">
        <v>608.27</v>
      </c>
      <c r="CZ47" s="199">
        <v>0</v>
      </c>
      <c r="DA47" s="595">
        <v>0</v>
      </c>
      <c r="DB47" s="802">
        <v>0</v>
      </c>
      <c r="DC47" s="786">
        <f>'Price Data Entry'!LH156</f>
        <v>295.69892473118279</v>
      </c>
      <c r="DD47" s="786">
        <f>'Price Data Entry'!LN69</f>
        <v>334.50704225352115</v>
      </c>
      <c r="DE47" s="786">
        <f>'Price Data Entry'!LN156</f>
        <v>233.29798515376459</v>
      </c>
      <c r="DF47" s="786">
        <f>'Price Data Entry'!LT69</f>
        <v>75.566750629722918</v>
      </c>
      <c r="DG47" s="786">
        <f>'Price Data Entry'!LT156</f>
        <v>164.0625</v>
      </c>
      <c r="DH47" s="786">
        <f>'Price Data Entry'!LZ69</f>
        <v>161.61616161616161</v>
      </c>
      <c r="DI47" s="786">
        <f>'Price Data Entry'!LZ156</f>
        <v>84.507042253521135</v>
      </c>
      <c r="DJ47" s="786">
        <f>'Price Data Entry'!MF69</f>
        <v>85.551330798479086</v>
      </c>
      <c r="DK47" s="786">
        <f>'Price Data Entry'!MF156</f>
        <v>46.809986130374483</v>
      </c>
      <c r="DL47" s="786">
        <f>'Price Data Entry'!ML69</f>
        <v>110.37527593818984</v>
      </c>
      <c r="DM47" s="786">
        <f>'Price Data Entry'!ML156</f>
        <v>124.68827930174564</v>
      </c>
      <c r="DN47" s="786">
        <f t="shared" si="16"/>
        <v>102.25801267307862</v>
      </c>
      <c r="DO47" s="786">
        <f t="shared" si="17"/>
        <v>92.364987849231468</v>
      </c>
      <c r="DP47" s="786">
        <f t="shared" si="18"/>
        <v>93.674645448516529</v>
      </c>
      <c r="DQ47" s="800">
        <f t="shared" si="19"/>
        <v>95.028531223522762</v>
      </c>
      <c r="DR47" s="833">
        <f>'Price Data Entry'!ND69</f>
        <v>495.04950495049508</v>
      </c>
      <c r="DS47" s="833">
        <v>0</v>
      </c>
      <c r="DT47" s="833">
        <v>0</v>
      </c>
      <c r="DU47" s="833">
        <v>0</v>
      </c>
      <c r="DV47" s="833">
        <v>0</v>
      </c>
      <c r="DW47" s="833">
        <v>0</v>
      </c>
      <c r="DX47" s="833">
        <v>0</v>
      </c>
      <c r="DY47" s="833">
        <v>0</v>
      </c>
      <c r="DZ47" s="833">
        <v>0</v>
      </c>
      <c r="EA47" s="833">
        <f>'Price Data Entry'!OB156</f>
        <v>467.70601336302894</v>
      </c>
      <c r="EB47" s="833">
        <v>0</v>
      </c>
      <c r="EC47" s="833">
        <f>'Price Data Entry'!OH156</f>
        <v>269.12181303116148</v>
      </c>
    </row>
    <row r="48" spans="1:138">
      <c r="A48" s="189" t="s">
        <v>34</v>
      </c>
      <c r="B48" s="390">
        <v>321.42857142857144</v>
      </c>
      <c r="C48" s="387">
        <v>321.42857142857144</v>
      </c>
      <c r="D48" s="387">
        <v>321.42857142857144</v>
      </c>
      <c r="E48" s="386">
        <v>321.42857142857144</v>
      </c>
      <c r="F48" s="386">
        <v>321.42857142857144</v>
      </c>
      <c r="G48" s="199">
        <f>'Price Data Entry'!T157</f>
        <v>321.42857142857144</v>
      </c>
      <c r="H48" s="386">
        <v>321.42857142857144</v>
      </c>
      <c r="I48" s="386">
        <v>321.42857142857144</v>
      </c>
      <c r="J48" s="386">
        <v>321.42857142857144</v>
      </c>
      <c r="K48" s="386">
        <v>321.42857142857144</v>
      </c>
      <c r="L48" s="386">
        <v>0</v>
      </c>
      <c r="M48" s="386">
        <v>321.42857142857144</v>
      </c>
      <c r="N48" s="199">
        <f>'Price Data Entry'!AR70</f>
        <v>403.7267080745342</v>
      </c>
      <c r="O48" s="386">
        <v>0</v>
      </c>
      <c r="P48" s="199">
        <f>'Price Data Entry'!AX70</f>
        <v>248.09160305343511</v>
      </c>
      <c r="Q48" s="199">
        <f>'Price Data Entry'!AX157</f>
        <v>293.33333333333331</v>
      </c>
      <c r="R48" s="199">
        <f>'Price Data Entry'!BD70</f>
        <v>267.48971193415639</v>
      </c>
      <c r="S48" s="386">
        <v>267.48971193415639</v>
      </c>
      <c r="T48" s="386">
        <v>0</v>
      </c>
      <c r="U48" s="386">
        <v>0</v>
      </c>
      <c r="V48" s="597">
        <v>0</v>
      </c>
      <c r="W48" s="386">
        <v>0</v>
      </c>
      <c r="X48" s="199">
        <f>'Price Data Entry'!BV70</f>
        <v>234.23423423423424</v>
      </c>
      <c r="Y48" s="386">
        <v>0</v>
      </c>
      <c r="Z48" s="386">
        <v>234.23423423423424</v>
      </c>
      <c r="AA48" s="199">
        <f>'Price Data Entry'!CB157</f>
        <v>293.33333333333331</v>
      </c>
      <c r="AB48" s="386">
        <v>293.33333333333331</v>
      </c>
      <c r="AC48" s="386">
        <v>0</v>
      </c>
      <c r="AD48" s="386">
        <v>293.33333333333331</v>
      </c>
      <c r="AE48" s="386">
        <v>293.33333333333331</v>
      </c>
      <c r="AF48" s="386">
        <v>0</v>
      </c>
      <c r="AG48" s="386">
        <v>293.33333333333331</v>
      </c>
      <c r="AH48" s="386">
        <v>293.33333333333331</v>
      </c>
      <c r="AI48" s="199">
        <f>'Price Data Entry'!CZ157</f>
        <v>293.33333333333331</v>
      </c>
      <c r="AJ48" s="386">
        <v>293.33333333333331</v>
      </c>
      <c r="AK48" s="386">
        <v>293.33333333333331</v>
      </c>
      <c r="AL48" s="386">
        <v>293.33333333333331</v>
      </c>
      <c r="AM48" s="386">
        <v>293.33333333333331</v>
      </c>
      <c r="AN48" s="386">
        <v>293.33333333333331</v>
      </c>
      <c r="AO48" s="199">
        <f>'Price Data Entry'!DR157</f>
        <v>166.08391608391608</v>
      </c>
      <c r="AP48" s="386">
        <v>0</v>
      </c>
      <c r="AQ48" s="386">
        <v>0</v>
      </c>
      <c r="AR48" s="386">
        <v>0</v>
      </c>
      <c r="AS48" s="386">
        <v>0</v>
      </c>
      <c r="AT48" s="386">
        <v>0</v>
      </c>
      <c r="AU48" s="386">
        <v>0</v>
      </c>
      <c r="AV48" s="386">
        <v>0</v>
      </c>
      <c r="AW48" s="386">
        <v>0</v>
      </c>
      <c r="AX48" s="595">
        <f>'Price Data Entry'!EV70</f>
        <v>316.62269129287597</v>
      </c>
      <c r="AY48" s="200">
        <f>'Price Data Entry'!EV157</f>
        <v>293.33333333333331</v>
      </c>
      <c r="AZ48" s="387">
        <v>293.33333333333331</v>
      </c>
      <c r="BA48" s="387">
        <v>293.33333333333331</v>
      </c>
      <c r="BB48" s="387">
        <v>293.33333333333331</v>
      </c>
      <c r="BC48" s="387">
        <v>293.33333333333331</v>
      </c>
      <c r="BD48" s="387">
        <v>293.33333333333331</v>
      </c>
      <c r="BE48" s="387">
        <v>293.33333333333331</v>
      </c>
      <c r="BF48" s="387">
        <v>293.33333333333331</v>
      </c>
      <c r="BG48" s="387">
        <v>293.33333333333331</v>
      </c>
      <c r="BH48" s="389">
        <v>293.33333333333331</v>
      </c>
      <c r="BI48" s="387">
        <v>293.33333333333331</v>
      </c>
      <c r="BJ48" s="389">
        <v>293.33333333333331</v>
      </c>
      <c r="BK48" s="389">
        <v>293.33333333333331</v>
      </c>
      <c r="BL48" s="200">
        <f>'Price Data Entry'!GL70</f>
        <v>292.55319148936172</v>
      </c>
      <c r="BM48" s="200">
        <f>'Price Data Entry'!GL157</f>
        <v>321.22905027932961</v>
      </c>
      <c r="BN48" s="200">
        <f>'Price Data Entry'!GR70</f>
        <v>516.431924882629</v>
      </c>
      <c r="BO48" s="200">
        <f>'Price Data Entry'!GR157</f>
        <v>336.1344537815126</v>
      </c>
      <c r="BP48" s="200">
        <f>'Price Data Entry'!GX70</f>
        <v>100.2865329512894</v>
      </c>
      <c r="BQ48" s="200">
        <f>'Price Data Entry'!GX157</f>
        <v>230.12552301255229</v>
      </c>
      <c r="BR48" s="200">
        <f>'Price Data Entry'!HD70</f>
        <v>82.882882882882882</v>
      </c>
      <c r="BS48" s="200">
        <f>'Price Data Entry'!HD157</f>
        <v>129.58435207823962</v>
      </c>
      <c r="BT48" s="200">
        <f>'Price Data Entry'!HJ70</f>
        <v>160.71428571428572</v>
      </c>
      <c r="BU48" s="199">
        <f>'Price Data Entry'!HJ157</f>
        <v>166.08391608391608</v>
      </c>
      <c r="BV48" s="200">
        <f>'Price Data Entry'!HP70</f>
        <v>160.71428571428572</v>
      </c>
      <c r="BW48" s="200">
        <f>'Price Data Entry'!HP157</f>
        <v>166.08391608391608</v>
      </c>
      <c r="BX48" s="387">
        <v>166.08391608391608</v>
      </c>
      <c r="BY48" s="387">
        <v>166.08391608391608</v>
      </c>
      <c r="BZ48" s="387">
        <v>166.08391608391608</v>
      </c>
      <c r="CA48" s="387">
        <v>166.08391608391608</v>
      </c>
      <c r="CB48" s="387">
        <v>166.08391608391608</v>
      </c>
      <c r="CC48" s="387">
        <v>166.08391608391608</v>
      </c>
      <c r="CD48" s="387">
        <v>166.08391608391608</v>
      </c>
      <c r="CE48" s="387">
        <v>166.08391608391608</v>
      </c>
      <c r="CF48" s="386">
        <v>166.08391608391608</v>
      </c>
      <c r="CG48" s="386">
        <v>166.08391608391608</v>
      </c>
      <c r="CH48" s="386">
        <v>166.08391608391608</v>
      </c>
      <c r="CI48" s="199">
        <f>'Price Data Entry'!IZ157</f>
        <v>430.76923076923077</v>
      </c>
      <c r="CJ48" s="199">
        <f>'Price Data Entry'!JF70</f>
        <v>469.61325966850825</v>
      </c>
      <c r="CK48" s="199">
        <f>'Price Data Entry'!JF157</f>
        <v>378.54889589905366</v>
      </c>
      <c r="CL48" s="200">
        <f>'Price Data Entry'!JL70</f>
        <v>195.6745623069001</v>
      </c>
      <c r="CM48" s="199">
        <f>'Price Data Entry'!JL157</f>
        <v>524.86187845303868</v>
      </c>
      <c r="CN48" s="200">
        <f>'Price Data Entry'!JR70</f>
        <v>135.69937369519832</v>
      </c>
      <c r="CO48" s="199">
        <f>'Price Data Entry'!JR157</f>
        <v>184.25460636515911</v>
      </c>
      <c r="CP48" s="764">
        <f>'Price Data Entry'!JX70</f>
        <v>304.56852791878168</v>
      </c>
      <c r="CQ48" s="764">
        <f>'Price Data Entry'!JX157</f>
        <v>271.00271002710025</v>
      </c>
      <c r="CR48" s="764">
        <f>'Price Data Entry'!KD70</f>
        <v>34.674063800277395</v>
      </c>
      <c r="CS48" s="765">
        <v>34.674063800277395</v>
      </c>
      <c r="CT48" s="765">
        <v>34.674063800277395</v>
      </c>
      <c r="CU48" s="765">
        <v>34.674063800277395</v>
      </c>
      <c r="CV48" s="765">
        <v>34.674063800277395</v>
      </c>
      <c r="CW48" s="765">
        <v>34.674063800277395</v>
      </c>
      <c r="CX48" s="765">
        <v>34.674063800277395</v>
      </c>
      <c r="CY48" s="800">
        <v>34.674063800277395</v>
      </c>
      <c r="CZ48" s="199">
        <v>0</v>
      </c>
      <c r="DA48" s="595">
        <v>0</v>
      </c>
      <c r="DB48" s="802">
        <v>0</v>
      </c>
      <c r="DC48" s="786">
        <v>0</v>
      </c>
      <c r="DD48" s="786">
        <v>0</v>
      </c>
      <c r="DE48" s="786">
        <v>0</v>
      </c>
      <c r="DF48" s="786">
        <v>0</v>
      </c>
      <c r="DG48" s="786">
        <v>0</v>
      </c>
      <c r="DH48" s="786">
        <f>'Price Data Entry'!LZ70</f>
        <v>248.56596558317401</v>
      </c>
      <c r="DI48" s="786">
        <f>'Price Data Entry'!LZ157</f>
        <v>245.70024570024569</v>
      </c>
      <c r="DJ48" s="786">
        <f>'Price Data Entry'!MF70</f>
        <v>129.70168612191958</v>
      </c>
      <c r="DK48" s="786">
        <f>'Price Data Entry'!MF157</f>
        <v>227.27272727272728</v>
      </c>
      <c r="DL48" s="786">
        <f>'Price Data Entry'!ML70</f>
        <v>208.33333333333329</v>
      </c>
      <c r="DM48" s="786">
        <f>'Price Data Entry'!ML157</f>
        <v>200</v>
      </c>
      <c r="DN48" s="786">
        <f t="shared" si="16"/>
        <v>209.92899300189995</v>
      </c>
      <c r="DO48" s="786">
        <f t="shared" si="17"/>
        <v>203.48949757168762</v>
      </c>
      <c r="DP48" s="786">
        <f t="shared" si="18"/>
        <v>196.4543728835946</v>
      </c>
      <c r="DQ48" s="800">
        <f t="shared" si="19"/>
        <v>207.5798206772071</v>
      </c>
      <c r="DR48" s="833">
        <v>0</v>
      </c>
      <c r="DS48" s="833">
        <v>0</v>
      </c>
      <c r="DT48" s="833">
        <v>0</v>
      </c>
      <c r="DU48" s="833">
        <v>0</v>
      </c>
      <c r="DV48" s="833">
        <v>0</v>
      </c>
      <c r="DW48" s="833">
        <v>0</v>
      </c>
      <c r="DX48" s="833">
        <v>0</v>
      </c>
      <c r="DY48" s="833">
        <v>0</v>
      </c>
      <c r="DZ48" s="833">
        <v>0</v>
      </c>
      <c r="EA48" s="833">
        <v>0</v>
      </c>
      <c r="EB48" s="833">
        <v>0</v>
      </c>
      <c r="EC48" s="833">
        <v>0</v>
      </c>
    </row>
    <row r="49" spans="1:138">
      <c r="A49" s="189" t="s">
        <v>35</v>
      </c>
      <c r="B49" s="201">
        <f>'Price Data Entry'!H71</f>
        <v>253.96825396825395</v>
      </c>
      <c r="C49" s="200">
        <f>'Price Data Entry'!H158</f>
        <v>264.31718061674007</v>
      </c>
      <c r="D49" s="387">
        <v>264.31718061674007</v>
      </c>
      <c r="E49" s="386">
        <v>264.31718061674007</v>
      </c>
      <c r="F49" s="386">
        <v>264.31718061674007</v>
      </c>
      <c r="G49" s="386">
        <v>264.31718061674007</v>
      </c>
      <c r="H49" s="386">
        <v>264.31718061674007</v>
      </c>
      <c r="I49" s="386">
        <v>264.31718061674007</v>
      </c>
      <c r="J49" s="386">
        <v>264.31718061674007</v>
      </c>
      <c r="K49" s="386">
        <v>264.31718061674007</v>
      </c>
      <c r="L49" s="386">
        <v>0</v>
      </c>
      <c r="M49" s="386">
        <v>264.31718061674007</v>
      </c>
      <c r="N49" s="199">
        <f>'Price Data Entry'!AR71</f>
        <v>211.53846153846152</v>
      </c>
      <c r="O49" s="386">
        <v>0</v>
      </c>
      <c r="P49" s="199">
        <f>'Price Data Entry'!AX71</f>
        <v>178.57142857142858</v>
      </c>
      <c r="Q49" s="199">
        <f>'Price Data Entry'!AX158</f>
        <v>191.4893617021277</v>
      </c>
      <c r="R49" s="199">
        <f>'Price Data Entry'!BD71</f>
        <v>230.06134969325151</v>
      </c>
      <c r="S49" s="386">
        <v>230.06134969325151</v>
      </c>
      <c r="T49" s="386">
        <v>0</v>
      </c>
      <c r="U49" s="386">
        <v>0</v>
      </c>
      <c r="V49" s="597">
        <v>0</v>
      </c>
      <c r="W49" s="386">
        <v>0</v>
      </c>
      <c r="X49" s="199">
        <f>'Price Data Entry'!BV71</f>
        <v>187.96992481203006</v>
      </c>
      <c r="Y49" s="386">
        <v>0</v>
      </c>
      <c r="Z49" s="199">
        <f>'Price Data Entry'!CB71</f>
        <v>178.57142857142858</v>
      </c>
      <c r="AA49" s="199">
        <f>'Price Data Entry'!CB158</f>
        <v>191.4893617021277</v>
      </c>
      <c r="AB49" s="199">
        <f>'Price Data Entry'!CH71</f>
        <v>244.49877750611248</v>
      </c>
      <c r="AC49" s="386">
        <v>0</v>
      </c>
      <c r="AD49" s="386">
        <v>244.49877750611248</v>
      </c>
      <c r="AE49" s="386">
        <v>244.49877750611248</v>
      </c>
      <c r="AF49" s="386">
        <v>0</v>
      </c>
      <c r="AG49" s="386">
        <v>244.49877750611248</v>
      </c>
      <c r="AH49" s="199">
        <f>'Price Data Entry'!CZ71</f>
        <v>178.57142857142858</v>
      </c>
      <c r="AI49" s="199">
        <f>'Price Data Entry'!CZ158</f>
        <v>191.4893617021277</v>
      </c>
      <c r="AJ49" s="386">
        <v>191.4893617021277</v>
      </c>
      <c r="AK49" s="199">
        <f>'Price Data Entry'!DF158</f>
        <v>294.11764705882354</v>
      </c>
      <c r="AL49" s="199">
        <f>'Price Data Entry'!DL71</f>
        <v>260.86956521739131</v>
      </c>
      <c r="AM49" s="199">
        <f>'Price Data Entry'!DL158</f>
        <v>133.33333333333334</v>
      </c>
      <c r="AN49" s="199">
        <f>'Price Data Entry'!DR71</f>
        <v>161.81229773462783</v>
      </c>
      <c r="AO49" s="199">
        <f>'Price Data Entry'!DR158</f>
        <v>183.8235294117647</v>
      </c>
      <c r="AP49" s="386">
        <v>0</v>
      </c>
      <c r="AQ49" s="386">
        <v>0</v>
      </c>
      <c r="AR49" s="386">
        <v>0</v>
      </c>
      <c r="AS49" s="386">
        <v>0</v>
      </c>
      <c r="AT49" s="386">
        <v>0</v>
      </c>
      <c r="AU49" s="386">
        <v>0</v>
      </c>
      <c r="AV49" s="386">
        <v>0</v>
      </c>
      <c r="AW49" s="386">
        <v>0</v>
      </c>
      <c r="AX49" s="595">
        <f>'Price Data Entry'!EV71</f>
        <v>178.57142857142858</v>
      </c>
      <c r="AY49" s="199">
        <f>'Price Data Entry'!EV158</f>
        <v>191.4893617021277</v>
      </c>
      <c r="AZ49" s="386">
        <v>191.4893617021277</v>
      </c>
      <c r="BA49" s="386">
        <v>191.4893617021277</v>
      </c>
      <c r="BB49" s="386">
        <v>191.4893617021277</v>
      </c>
      <c r="BC49" s="386">
        <v>191.4893617021277</v>
      </c>
      <c r="BD49" s="386">
        <v>191.4893617021277</v>
      </c>
      <c r="BE49" s="386">
        <v>191.4893617021277</v>
      </c>
      <c r="BF49" s="386">
        <v>191.4893617021277</v>
      </c>
      <c r="BG49" s="386">
        <v>191.4893617021277</v>
      </c>
      <c r="BH49" s="388">
        <v>191.4893617021277</v>
      </c>
      <c r="BI49" s="199">
        <f>'Price Data Entry'!FZ158</f>
        <v>294.11764705882354</v>
      </c>
      <c r="BJ49" s="199">
        <f>'Price Data Entry'!GF71</f>
        <v>400</v>
      </c>
      <c r="BK49" s="191">
        <f>'Price Data Entry'!GF158</f>
        <v>304.18250950570342</v>
      </c>
      <c r="BL49" s="199">
        <f>'Price Data Entry'!GL71</f>
        <v>335.57046979865771</v>
      </c>
      <c r="BM49" s="199">
        <f>'Price Data Entry'!GL158</f>
        <v>344</v>
      </c>
      <c r="BN49" s="199">
        <f>'Price Data Entry'!GR71</f>
        <v>233.23615160349854</v>
      </c>
      <c r="BO49" s="199">
        <f>'Price Data Entry'!GR158</f>
        <v>400</v>
      </c>
      <c r="BP49" s="199">
        <f>'Price Data Entry'!GX71</f>
        <v>182.370820668693</v>
      </c>
      <c r="BQ49" s="199">
        <f>'Price Data Entry'!GX158</f>
        <v>181.81818181818181</v>
      </c>
      <c r="BR49" s="199">
        <f>'Price Data Entry'!HD71</f>
        <v>166.66666666666666</v>
      </c>
      <c r="BS49" s="199">
        <f>'Price Data Entry'!HD158</f>
        <v>296.80365296803654</v>
      </c>
      <c r="BT49" s="199">
        <f>'Price Data Entry'!HJ71</f>
        <v>171.82130584192441</v>
      </c>
      <c r="BU49" s="199">
        <f>'Price Data Entry'!HJ158</f>
        <v>183.8235294117647</v>
      </c>
      <c r="BV49" s="199">
        <f>'Price Data Entry'!HP71</f>
        <v>253.96825396825395</v>
      </c>
      <c r="BW49" s="199">
        <f>'Price Data Entry'!HP158</f>
        <v>264.31718061674007</v>
      </c>
      <c r="BX49" s="386">
        <v>264.31718061674007</v>
      </c>
      <c r="BY49" s="386">
        <v>264.31718061674007</v>
      </c>
      <c r="BZ49" s="386">
        <v>264.31718061674007</v>
      </c>
      <c r="CA49" s="386">
        <v>264.31718061674007</v>
      </c>
      <c r="CB49" s="199">
        <f>'Price Data Entry'!IH71</f>
        <v>332.22591362126246</v>
      </c>
      <c r="CC49" s="386">
        <v>332.22591362126246</v>
      </c>
      <c r="CD49" s="386">
        <v>332.22591362126246</v>
      </c>
      <c r="CE49" s="387">
        <v>332.22591362126246</v>
      </c>
      <c r="CF49" s="386">
        <v>332.22591362126246</v>
      </c>
      <c r="CG49" s="199">
        <f>'Price Data Entry'!IT158</f>
        <v>227.96352583586625</v>
      </c>
      <c r="CH49" s="199">
        <f>'Price Data Entry'!IZ71</f>
        <v>352.11267605633805</v>
      </c>
      <c r="CI49" s="199">
        <f>'Price Data Entry'!IZ158</f>
        <v>395.25691699604738</v>
      </c>
      <c r="CJ49" s="199">
        <f>'Price Data Entry'!JF71</f>
        <v>248.75621890547265</v>
      </c>
      <c r="CK49" s="386">
        <v>248.75621890547265</v>
      </c>
      <c r="CL49" s="387">
        <v>248.75621890547265</v>
      </c>
      <c r="CM49" s="386">
        <v>248.75621890547265</v>
      </c>
      <c r="CN49" s="200">
        <f>'Price Data Entry'!JR71</f>
        <v>194.50800915331808</v>
      </c>
      <c r="CO49" s="199">
        <f>'Price Data Entry'!JR158</f>
        <v>155.76323987538942</v>
      </c>
      <c r="CP49" s="765">
        <v>155.76323987538942</v>
      </c>
      <c r="CQ49" s="764">
        <f>'Price Data Entry'!JX158</f>
        <v>248.13895781637714</v>
      </c>
      <c r="CR49" s="764">
        <f>'Price Data Entry'!KD71</f>
        <v>299.40119760479041</v>
      </c>
      <c r="CS49" s="764">
        <f>'Price Data Entry'!KD158</f>
        <v>561.79775280898878</v>
      </c>
      <c r="CT49" s="200">
        <f>'Price Data Entry'!KJ71</f>
        <v>310.55900621118013</v>
      </c>
      <c r="CU49" s="199">
        <f>'Price Data Entry'!KJ158</f>
        <v>294.11764705882354</v>
      </c>
      <c r="CV49" s="765">
        <v>294.12</v>
      </c>
      <c r="CW49" s="765">
        <v>294.12</v>
      </c>
      <c r="CX49" s="765">
        <v>294.12</v>
      </c>
      <c r="CY49" s="800">
        <v>294.12</v>
      </c>
      <c r="CZ49" s="199">
        <v>0</v>
      </c>
      <c r="DA49" s="595">
        <v>0</v>
      </c>
      <c r="DB49" s="802">
        <v>0</v>
      </c>
      <c r="DC49" s="786">
        <f>'Price Data Entry'!LH158</f>
        <v>310.55900621118013</v>
      </c>
      <c r="DD49" s="786">
        <v>0</v>
      </c>
      <c r="DE49" s="786">
        <v>0</v>
      </c>
      <c r="DF49" s="786">
        <v>0</v>
      </c>
      <c r="DG49" s="786">
        <v>0</v>
      </c>
      <c r="DH49" s="786">
        <f>'Price Data Entry'!LZ71</f>
        <v>298.50746268656718</v>
      </c>
      <c r="DI49" s="786">
        <f>'Price Data Entry'!LZ158</f>
        <v>552.4861878453039</v>
      </c>
      <c r="DJ49" s="786">
        <f>'Price Data Entry'!MF71</f>
        <v>246.9135802469136</v>
      </c>
      <c r="DK49" s="786">
        <f>'Price Data Entry'!MF158</f>
        <v>271.08433734939757</v>
      </c>
      <c r="DL49" s="786">
        <f>'Price Data Entry'!ML71</f>
        <v>268.81720430107526</v>
      </c>
      <c r="DM49" s="786">
        <f>'Price Data Entry'!ML158</f>
        <v>229.88505747126436</v>
      </c>
      <c r="DN49" s="786">
        <f t="shared" si="16"/>
        <v>311.28230498342032</v>
      </c>
      <c r="DO49" s="786">
        <f t="shared" si="17"/>
        <v>313.4114453662292</v>
      </c>
      <c r="DP49" s="786">
        <f t="shared" si="18"/>
        <v>273.56565495305006</v>
      </c>
      <c r="DQ49" s="800">
        <f t="shared" si="19"/>
        <v>278.00766740407283</v>
      </c>
      <c r="DR49" s="833">
        <f>'Price Data Entry'!ND71</f>
        <v>267.85714285714289</v>
      </c>
      <c r="DS49" s="833">
        <v>0</v>
      </c>
      <c r="DT49" s="833">
        <v>0</v>
      </c>
      <c r="DU49" s="833">
        <v>0</v>
      </c>
      <c r="DV49" s="833">
        <v>0</v>
      </c>
      <c r="DW49" s="833">
        <v>0</v>
      </c>
      <c r="DX49" s="833">
        <v>0</v>
      </c>
      <c r="DY49" s="833">
        <v>0</v>
      </c>
      <c r="DZ49" s="833">
        <v>0</v>
      </c>
      <c r="EA49" s="833">
        <v>0</v>
      </c>
      <c r="EB49" s="833">
        <v>0</v>
      </c>
      <c r="EC49" s="833">
        <v>0</v>
      </c>
    </row>
    <row r="50" spans="1:138">
      <c r="A50" s="189" t="s">
        <v>37</v>
      </c>
      <c r="B50" s="201">
        <f>'Price Data Entry'!H72</f>
        <v>402.47678018575851</v>
      </c>
      <c r="C50" s="200">
        <f>'Price Data Entry'!H159</f>
        <v>87.20930232558139</v>
      </c>
      <c r="D50" s="387">
        <v>87.20930232558139</v>
      </c>
      <c r="E50" s="199">
        <f>'Price Data Entry'!N159</f>
        <v>342.46575342465752</v>
      </c>
      <c r="F50" s="199">
        <f>'Price Data Entry'!T72</f>
        <v>153.84615384615384</v>
      </c>
      <c r="G50" s="199">
        <f>'Price Data Entry'!T159</f>
        <v>99.502487562189046</v>
      </c>
      <c r="H50" s="199">
        <f>'Price Data Entry'!Z72</f>
        <v>243.40770791075053</v>
      </c>
      <c r="I50" s="199">
        <f>'Price Data Entry'!Z159</f>
        <v>383.38658146964855</v>
      </c>
      <c r="J50" s="199">
        <f>'Price Data Entry'!AF72</f>
        <v>169.11764705882354</v>
      </c>
      <c r="K50" s="199">
        <f>'Price Data Entry'!AF159</f>
        <v>133.33333333333334</v>
      </c>
      <c r="L50" s="386">
        <v>0</v>
      </c>
      <c r="M50" s="199">
        <f>'Price Data Entry'!AL159</f>
        <v>108.9588377723971</v>
      </c>
      <c r="N50" s="199">
        <f>'Price Data Entry'!AR72</f>
        <v>104.71204188481674</v>
      </c>
      <c r="O50" s="386">
        <v>0</v>
      </c>
      <c r="P50" s="199">
        <f>'Price Data Entry'!AX72</f>
        <v>88.028169014084511</v>
      </c>
      <c r="Q50" s="199">
        <f>'Price Data Entry'!AX159</f>
        <v>48.426150121065369</v>
      </c>
      <c r="R50" s="199">
        <f>'Price Data Entry'!BD72</f>
        <v>29.655990510083036</v>
      </c>
      <c r="S50" s="386">
        <v>29.655990510083036</v>
      </c>
      <c r="T50" s="386">
        <v>0</v>
      </c>
      <c r="U50" s="386">
        <v>0</v>
      </c>
      <c r="V50" s="597">
        <v>0</v>
      </c>
      <c r="W50" s="386">
        <v>0</v>
      </c>
      <c r="X50" s="199">
        <f>'Price Data Entry'!BV72</f>
        <v>139.86013986013987</v>
      </c>
      <c r="Y50" s="386">
        <v>0</v>
      </c>
      <c r="Z50" s="199">
        <f>'Price Data Entry'!CB72</f>
        <v>88.028169014084511</v>
      </c>
      <c r="AA50" s="199">
        <f>'Price Data Entry'!CB159</f>
        <v>121.06537530266341</v>
      </c>
      <c r="AB50" s="199">
        <f>'Price Data Entry'!CH72</f>
        <v>265</v>
      </c>
      <c r="AC50" s="386">
        <v>0</v>
      </c>
      <c r="AD50" s="199">
        <f>'Price Data Entry'!CN72</f>
        <v>394.36619718309856</v>
      </c>
      <c r="AE50" s="199">
        <f>'Price Data Entry'!CN159</f>
        <v>206.61157024793388</v>
      </c>
      <c r="AF50" s="386">
        <v>0</v>
      </c>
      <c r="AG50" s="199">
        <f>'Price Data Entry'!CT159</f>
        <v>299.00332225913621</v>
      </c>
      <c r="AH50" s="199">
        <f>'Price Data Entry'!CZ72</f>
        <v>88.028169014084511</v>
      </c>
      <c r="AI50" s="199">
        <f>'Price Data Entry'!CZ159</f>
        <v>121.06537530266341</v>
      </c>
      <c r="AJ50" s="199">
        <f>'Price Data Entry'!DF72</f>
        <v>88.339222614840992</v>
      </c>
      <c r="AK50" s="199">
        <f>'Price Data Entry'!DF159</f>
        <v>87.108013937282223</v>
      </c>
      <c r="AL50" s="199">
        <f>'Price Data Entry'!DL72</f>
        <v>42.992261392949267</v>
      </c>
      <c r="AM50" s="199">
        <f>'Price Data Entry'!DL159</f>
        <v>274.19354838709677</v>
      </c>
      <c r="AN50" s="199">
        <f>'Price Data Entry'!DR72</f>
        <v>72.568940493468801</v>
      </c>
      <c r="AO50" s="199">
        <f>'Price Data Entry'!DR159</f>
        <v>106.20915032679738</v>
      </c>
      <c r="AP50" s="386">
        <v>0</v>
      </c>
      <c r="AQ50" s="386">
        <v>0</v>
      </c>
      <c r="AR50" s="386">
        <v>0</v>
      </c>
      <c r="AS50" s="386">
        <v>0</v>
      </c>
      <c r="AT50" s="386">
        <v>0</v>
      </c>
      <c r="AU50" s="386">
        <v>0</v>
      </c>
      <c r="AV50" s="386">
        <v>0</v>
      </c>
      <c r="AW50" s="386">
        <v>0</v>
      </c>
      <c r="AX50" s="595">
        <f>'Price Data Entry'!EV72</f>
        <v>88.028169014084511</v>
      </c>
      <c r="AY50" s="200">
        <f>'Price Data Entry'!EV159</f>
        <v>121.06537530266341</v>
      </c>
      <c r="AZ50" s="200">
        <f>'Price Data Entry'!FB72</f>
        <v>244.49877750611248</v>
      </c>
      <c r="BA50" s="200">
        <f>'Price Data Entry'!FB159</f>
        <v>108.9588377723971</v>
      </c>
      <c r="BB50" s="200">
        <f>'Price Data Entry'!FH72</f>
        <v>153.84615384615384</v>
      </c>
      <c r="BC50" s="200">
        <f>'Price Data Entry'!FH159</f>
        <v>99.502487562189046</v>
      </c>
      <c r="BD50" s="200">
        <f>'Price Data Entry'!FN72</f>
        <v>450.81967213114757</v>
      </c>
      <c r="BE50" s="200">
        <f>'Price Data Entry'!FN159</f>
        <v>127.06480304955528</v>
      </c>
      <c r="BF50" s="200">
        <f>'Price Data Entry'!FT72</f>
        <v>159.7444089456869</v>
      </c>
      <c r="BG50" s="200">
        <f>'Price Data Entry'!FT159</f>
        <v>159.31372549019608</v>
      </c>
      <c r="BH50" s="199">
        <f>'Price Data Entry'!FZ72</f>
        <v>120.19230769230769</v>
      </c>
      <c r="BI50" s="200">
        <f>'Price Data Entry'!FZ159</f>
        <v>87.108013937282223</v>
      </c>
      <c r="BJ50" s="200">
        <f>'Price Data Entry'!GF72</f>
        <v>114.81056257175659</v>
      </c>
      <c r="BK50" s="191">
        <f>'Price Data Entry'!GF159</f>
        <v>139.27576601671311</v>
      </c>
      <c r="BL50" s="200">
        <f>'Price Data Entry'!GL72</f>
        <v>335.57046979865771</v>
      </c>
      <c r="BM50" s="200">
        <f>'Price Data Entry'!GL159</f>
        <v>335.57046979865771</v>
      </c>
      <c r="BN50" s="200">
        <f>'Price Data Entry'!GR72</f>
        <v>127.06480304955528</v>
      </c>
      <c r="BO50" s="200">
        <f>'Price Data Entry'!GR159</f>
        <v>128.53470437017995</v>
      </c>
      <c r="BP50" s="200">
        <f>'Price Data Entry'!GX72</f>
        <v>399.30555555555554</v>
      </c>
      <c r="BQ50" s="200">
        <f>'Price Data Entry'!GX159</f>
        <v>357.14285714285711</v>
      </c>
      <c r="BR50" s="200">
        <f>'Price Data Entry'!HD72</f>
        <v>101.6042780748663</v>
      </c>
      <c r="BS50" s="200">
        <f>'Price Data Entry'!HD159</f>
        <v>136.15733736762479</v>
      </c>
      <c r="BT50" s="200">
        <f>'Price Data Entry'!HJ72</f>
        <v>108.69565217391303</v>
      </c>
      <c r="BU50" s="199">
        <f>'Price Data Entry'!HJ159</f>
        <v>106.20915032679738</v>
      </c>
      <c r="BV50" s="200">
        <f>'Price Data Entry'!HP72</f>
        <v>402.47678018575851</v>
      </c>
      <c r="BW50" s="200">
        <f>'Price Data Entry'!HP159</f>
        <v>335.68904593639576</v>
      </c>
      <c r="BX50" s="387">
        <v>335.68904593639576</v>
      </c>
      <c r="BY50" s="199">
        <f>'Price Data Entry'!HV159</f>
        <v>342.46575342465752</v>
      </c>
      <c r="BZ50" s="201">
        <f>'Price Data Entry'!IB72</f>
        <v>204.23600605143722</v>
      </c>
      <c r="CA50" s="199">
        <f>'Price Data Entry'!IB159</f>
        <v>282.4858757062147</v>
      </c>
      <c r="CB50" s="200">
        <f>'Price Data Entry'!IH72</f>
        <v>175.43859649122805</v>
      </c>
      <c r="CC50" s="199">
        <f>'Price Data Entry'!IH159</f>
        <v>141.09347442680777</v>
      </c>
      <c r="CD50" s="200">
        <f>'Price Data Entry'!IN72</f>
        <v>261.09660574412533</v>
      </c>
      <c r="CE50" s="200">
        <f>'Price Data Entry'!IN159</f>
        <v>296.73590504451039</v>
      </c>
      <c r="CF50" s="199">
        <f>'Price Data Entry'!IT72</f>
        <v>296.73590504451039</v>
      </c>
      <c r="CG50" s="199">
        <f>'Price Data Entry'!IT159</f>
        <v>131.01160862354894</v>
      </c>
      <c r="CH50" s="199">
        <f>'Price Data Entry'!IZ72</f>
        <v>136</v>
      </c>
      <c r="CI50" s="199">
        <f>'Price Data Entry'!IZ159</f>
        <v>130.56835637480796</v>
      </c>
      <c r="CJ50" s="199">
        <f>'Price Data Entry'!JF72</f>
        <v>88.757396449704146</v>
      </c>
      <c r="CK50" s="199">
        <f>'Price Data Entry'!JF159</f>
        <v>149.70059880239521</v>
      </c>
      <c r="CL50" s="200">
        <f>'Price Data Entry'!JL72</f>
        <v>82.918739635157536</v>
      </c>
      <c r="CM50" s="199">
        <f>'Price Data Entry'!JL159</f>
        <v>143.88489208633092</v>
      </c>
      <c r="CN50" s="200">
        <f>'Price Data Entry'!JR72</f>
        <v>238.0952380952381</v>
      </c>
      <c r="CO50" s="199">
        <f>'Price Data Entry'!JR159</f>
        <v>149.25373134328359</v>
      </c>
      <c r="CP50" s="764">
        <f>'Price Data Entry'!JX72</f>
        <v>216.45021645021646</v>
      </c>
      <c r="CQ50" s="764">
        <f>'Price Data Entry'!JX159</f>
        <v>195.69471624266143</v>
      </c>
      <c r="CR50" s="764">
        <f>'Price Data Entry'!KD72</f>
        <v>272.72727272727269</v>
      </c>
      <c r="CS50" s="764">
        <f>'Price Data Entry'!KD159</f>
        <v>426.82926829268291</v>
      </c>
      <c r="CT50" s="200">
        <f>'Price Data Entry'!KJ72</f>
        <v>480.76923076923077</v>
      </c>
      <c r="CU50" s="386">
        <v>480.77</v>
      </c>
      <c r="CV50" s="386">
        <v>480.77</v>
      </c>
      <c r="CW50" s="386">
        <v>480.77</v>
      </c>
      <c r="CX50" s="386">
        <v>480.77</v>
      </c>
      <c r="CY50" s="200">
        <v>480.77</v>
      </c>
      <c r="CZ50" s="199">
        <v>0</v>
      </c>
      <c r="DA50" s="595">
        <v>0</v>
      </c>
      <c r="DB50" s="802">
        <v>0</v>
      </c>
      <c r="DC50" s="199">
        <f>'Price Data Entry'!LH159</f>
        <v>26.511134676564158</v>
      </c>
      <c r="DD50" s="199">
        <f>'Price Data Entry'!LN72</f>
        <v>154.32098765432099</v>
      </c>
      <c r="DE50" s="199">
        <f>'Price Data Entry'!LN159</f>
        <v>125.78616352201259</v>
      </c>
      <c r="DF50" s="786">
        <f>'Price Data Entry'!LT72</f>
        <v>162.33766233766232</v>
      </c>
      <c r="DG50" s="786">
        <f>'Price Data Entry'!LT159</f>
        <v>70.821529745042483</v>
      </c>
      <c r="DH50" s="786">
        <f>'Price Data Entry'!LZ72</f>
        <v>142.24751066856331</v>
      </c>
      <c r="DI50" s="786">
        <f>'Price Data Entry'!LZ159</f>
        <v>132.35294117647061</v>
      </c>
      <c r="DJ50" s="786">
        <f>'Price Data Entry'!MF72</f>
        <v>141.04372355430183</v>
      </c>
      <c r="DK50" s="786">
        <f>'Price Data Entry'!MF159</f>
        <v>181.15942028985509</v>
      </c>
      <c r="DL50" s="786">
        <f>'Price Data Entry'!ML72</f>
        <v>151.74506828528072</v>
      </c>
      <c r="DM50" s="786">
        <f>'Price Data Entry'!ML159</f>
        <v>221.13022113022112</v>
      </c>
      <c r="DN50" s="786">
        <f t="shared" si="16"/>
        <v>161.61314751744877</v>
      </c>
      <c r="DO50" s="786">
        <f t="shared" si="17"/>
        <v>164.84075365892969</v>
      </c>
      <c r="DP50" s="786">
        <f t="shared" si="18"/>
        <v>170.25538907267284</v>
      </c>
      <c r="DQ50" s="800">
        <f t="shared" si="19"/>
        <v>175.12399999240134</v>
      </c>
      <c r="DR50" s="833">
        <f>'Price Data Entry'!ND72</f>
        <v>139.66480446927375</v>
      </c>
      <c r="DS50" s="833">
        <v>0</v>
      </c>
      <c r="DT50" s="833">
        <v>0</v>
      </c>
      <c r="DU50" s="833">
        <f>'Price Data Entry'!NJ159</f>
        <v>517.24137931034477</v>
      </c>
      <c r="DV50" s="833">
        <f>'Price Data Entry'!NP72</f>
        <v>395.77836411609496</v>
      </c>
      <c r="DW50" s="833">
        <f>'Price Data Entry'!NP159</f>
        <v>304.25963488843814</v>
      </c>
      <c r="DX50" s="833">
        <f>'Price Data Entry'!NV72</f>
        <v>234.37500000000003</v>
      </c>
      <c r="DY50" s="833">
        <f>'Price Data Entry'!NV159</f>
        <v>198.80715705765405</v>
      </c>
      <c r="DZ50" s="833">
        <f>'Price Data Entry'!OB72</f>
        <v>139.27576601671308</v>
      </c>
      <c r="EA50" s="833">
        <f>'Price Data Entry'!OB159</f>
        <v>132.74336283185841</v>
      </c>
      <c r="EB50" s="833">
        <f>'Price Data Entry'!OH72</f>
        <v>196.46365422396858</v>
      </c>
      <c r="EC50" s="833">
        <f>'Price Data Entry'!OH159</f>
        <v>138.88888888888891</v>
      </c>
    </row>
    <row r="51" spans="1:138">
      <c r="A51" s="189" t="s">
        <v>38</v>
      </c>
      <c r="B51" s="201">
        <f>'Price Data Entry'!H73</f>
        <v>246.51162790697674</v>
      </c>
      <c r="C51" s="200">
        <f>'Price Data Entry'!H160</f>
        <v>203.79146919431275</v>
      </c>
      <c r="D51" s="200">
        <f>'Price Data Entry'!N73</f>
        <v>548.83720930232562</v>
      </c>
      <c r="E51" s="199">
        <f>'Price Data Entry'!N160</f>
        <v>233.64485981308411</v>
      </c>
      <c r="F51" s="199">
        <f>'Price Data Entry'!T73</f>
        <v>162.5</v>
      </c>
      <c r="G51" s="199">
        <f>'Price Data Entry'!T160</f>
        <v>134.17721518987341</v>
      </c>
      <c r="H51" s="199">
        <f>'Price Data Entry'!Z73</f>
        <v>225.80645161290326</v>
      </c>
      <c r="I51" s="199">
        <f>'Price Data Entry'!Z160</f>
        <v>405.40540540540542</v>
      </c>
      <c r="J51" s="199">
        <f>'Price Data Entry'!AF73</f>
        <v>178.57142857142856</v>
      </c>
      <c r="K51" s="199">
        <f>'Price Data Entry'!AF160</f>
        <v>274.19354838709677</v>
      </c>
      <c r="L51" s="386">
        <v>0</v>
      </c>
      <c r="M51" s="199">
        <f>'Price Data Entry'!AL160</f>
        <v>161.61616161616163</v>
      </c>
      <c r="N51" s="199">
        <f>'Price Data Entry'!AR73</f>
        <v>176.74418604651163</v>
      </c>
      <c r="O51" s="386">
        <v>0</v>
      </c>
      <c r="P51" s="199">
        <f>'Price Data Entry'!AX73</f>
        <v>230.21582733812951</v>
      </c>
      <c r="Q51" s="199">
        <f>'Price Data Entry'!AX160</f>
        <v>232.55813953488371</v>
      </c>
      <c r="R51" s="199">
        <f>'Price Data Entry'!BD73</f>
        <v>83.120204603580575</v>
      </c>
      <c r="S51" s="199">
        <f>'Price Data Entry'!BD160</f>
        <v>292.88702928870293</v>
      </c>
      <c r="T51" s="386">
        <v>0</v>
      </c>
      <c r="U51" s="386">
        <v>0</v>
      </c>
      <c r="V51" s="597">
        <v>0</v>
      </c>
      <c r="W51" s="386">
        <v>0</v>
      </c>
      <c r="X51" s="199">
        <f>'Price Data Entry'!BV73</f>
        <v>192.30769230769232</v>
      </c>
      <c r="Y51" s="386">
        <v>0</v>
      </c>
      <c r="Z51" s="199">
        <f>'Price Data Entry'!CB73</f>
        <v>575.5395683453238</v>
      </c>
      <c r="AA51" s="199">
        <f>'Price Data Entry'!CB160</f>
        <v>205.99250936329588</v>
      </c>
      <c r="AB51" s="199">
        <f>'Price Data Entry'!CH73</f>
        <v>131.25</v>
      </c>
      <c r="AC51" s="386">
        <v>0</v>
      </c>
      <c r="AD51" s="199">
        <f>'Price Data Entry'!CN73</f>
        <v>214.84374999999997</v>
      </c>
      <c r="AE51" s="199">
        <f>'Price Data Entry'!CN160</f>
        <v>338.9830508474576</v>
      </c>
      <c r="AF51" s="386">
        <v>0</v>
      </c>
      <c r="AG51" s="199">
        <f>'Price Data Entry'!CT160</f>
        <v>373.83177570093466</v>
      </c>
      <c r="AH51" s="199">
        <f>'Price Data Entry'!CZ73</f>
        <v>575.5395683453238</v>
      </c>
      <c r="AI51" s="199">
        <f>'Price Data Entry'!CZ160</f>
        <v>205.99250936329588</v>
      </c>
      <c r="AJ51" s="199">
        <f>'Price Data Entry'!DF73</f>
        <v>272.72727272727275</v>
      </c>
      <c r="AK51" s="199">
        <f>'Price Data Entry'!DF160</f>
        <v>205.95533498759303</v>
      </c>
      <c r="AL51" s="199">
        <f>'Price Data Entry'!DL73</f>
        <v>160.91954022988506</v>
      </c>
      <c r="AM51" s="199">
        <f>'Price Data Entry'!DL160</f>
        <v>165.32258064516131</v>
      </c>
      <c r="AN51" s="199">
        <f>'Price Data Entry'!DR73</f>
        <v>149.25373134328359</v>
      </c>
      <c r="AO51" s="199">
        <f>'Price Data Entry'!DR160</f>
        <v>308.98876404494382</v>
      </c>
      <c r="AP51" s="386">
        <v>0</v>
      </c>
      <c r="AQ51" s="386">
        <v>0</v>
      </c>
      <c r="AR51" s="386">
        <v>0</v>
      </c>
      <c r="AS51" s="386">
        <v>0</v>
      </c>
      <c r="AT51" s="386">
        <v>0</v>
      </c>
      <c r="AU51" s="386">
        <v>0</v>
      </c>
      <c r="AV51" s="386">
        <v>0</v>
      </c>
      <c r="AW51" s="386">
        <v>0</v>
      </c>
      <c r="AX51" s="595">
        <f>'Price Data Entry'!EV73</f>
        <v>575.5395683453238</v>
      </c>
      <c r="AY51" s="200">
        <f>'Price Data Entry'!EV160</f>
        <v>205.99250936329588</v>
      </c>
      <c r="AZ51" s="200">
        <f>'Price Data Entry'!FB73</f>
        <v>265</v>
      </c>
      <c r="BA51" s="200">
        <f>'Price Data Entry'!FB160</f>
        <v>161.61616161616163</v>
      </c>
      <c r="BB51" s="200">
        <f>'Price Data Entry'!FH73</f>
        <v>162.5</v>
      </c>
      <c r="BC51" s="200">
        <f>'Price Data Entry'!FH160</f>
        <v>134.17721518987341</v>
      </c>
      <c r="BD51" s="199">
        <f>'Price Data Entry'!FN73</f>
        <v>317.07317073170736</v>
      </c>
      <c r="BE51" s="200">
        <f>'Price Data Entry'!FN160</f>
        <v>291.47982062780267</v>
      </c>
      <c r="BF51" s="200">
        <f>'Price Data Entry'!FT73</f>
        <v>400</v>
      </c>
      <c r="BG51" s="200">
        <f>'Price Data Entry'!FT160</f>
        <v>439.02439024390247</v>
      </c>
      <c r="BH51" s="199">
        <f>'Price Data Entry'!FZ73</f>
        <v>86.956521739130437</v>
      </c>
      <c r="BI51" s="199">
        <f>'Price Data Entry'!FZ160</f>
        <v>205.95533498759303</v>
      </c>
      <c r="BJ51" s="200">
        <f>'Price Data Entry'!GF73</f>
        <v>93.167701863354026</v>
      </c>
      <c r="BK51" s="191">
        <f>'Price Data Entry'!GF160</f>
        <v>93.959731543624144</v>
      </c>
      <c r="BL51" s="200">
        <f>'Price Data Entry'!GL73</f>
        <v>58.139534883720934</v>
      </c>
      <c r="BM51" s="200">
        <f>'Price Data Entry'!GL160</f>
        <v>63.553530751708436</v>
      </c>
      <c r="BN51" s="200">
        <f>'Price Data Entry'!GR73</f>
        <v>430.62200956937801</v>
      </c>
      <c r="BO51" s="200">
        <f>'Price Data Entry'!GR160</f>
        <v>81.300813008130078</v>
      </c>
      <c r="BP51" s="200">
        <f>'Price Data Entry'!GX73</f>
        <v>174.67248908296943</v>
      </c>
      <c r="BQ51" s="200">
        <f>'Price Data Entry'!GX160</f>
        <v>351.51515151515156</v>
      </c>
      <c r="BR51" s="200">
        <f>'Price Data Entry'!HD73</f>
        <v>222.22222222222226</v>
      </c>
      <c r="BS51" s="200">
        <f>'Price Data Entry'!HD160</f>
        <v>202.33463035019457</v>
      </c>
      <c r="BT51" s="200">
        <f>'Price Data Entry'!HJ73</f>
        <v>410.95890410958901</v>
      </c>
      <c r="BU51" s="199">
        <f>'Price Data Entry'!HJ160</f>
        <v>308.98876404494382</v>
      </c>
      <c r="BV51" s="200">
        <f>'Price Data Entry'!HP73</f>
        <v>246.51162790697674</v>
      </c>
      <c r="BW51" s="199">
        <f>'Price Data Entry'!HP160</f>
        <v>203.79146919431275</v>
      </c>
      <c r="BX51" s="200">
        <f>'Price Data Entry'!HV73</f>
        <v>548.83720930232562</v>
      </c>
      <c r="BY51" s="199">
        <f>'Price Data Entry'!HV160</f>
        <v>233.64485981308411</v>
      </c>
      <c r="BZ51" s="201">
        <f>'Price Data Entry'!IB73</f>
        <v>227.27272727272728</v>
      </c>
      <c r="CA51" s="199">
        <f>'Price Data Entry'!IB160</f>
        <v>51.020408163265301</v>
      </c>
      <c r="CB51" s="200">
        <f>'Price Data Entry'!IH73</f>
        <v>162.33766233766232</v>
      </c>
      <c r="CC51" s="199">
        <f>'Price Data Entry'!IH160</f>
        <v>308.64197530864197</v>
      </c>
      <c r="CD51" s="200">
        <f>'Price Data Entry'!IN73</f>
        <v>230.41474654377882</v>
      </c>
      <c r="CE51" s="200">
        <f>'Price Data Entry'!IN160</f>
        <v>40.816326530612244</v>
      </c>
      <c r="CF51" s="199">
        <f>'Price Data Entry'!IT73</f>
        <v>40.816326530612244</v>
      </c>
      <c r="CG51" s="199">
        <f>'Price Data Entry'!IT160</f>
        <v>184.50184501845018</v>
      </c>
      <c r="CH51" s="199">
        <f>'Price Data Entry'!IZ73</f>
        <v>295.85798816568047</v>
      </c>
      <c r="CI51" s="199">
        <f>'Price Data Entry'!IZ160</f>
        <v>235.84905660377356</v>
      </c>
      <c r="CJ51" s="199">
        <f>'Price Data Entry'!JF73</f>
        <v>213.1979695431472</v>
      </c>
      <c r="CK51" s="199">
        <f>'Price Data Entry'!JF160</f>
        <v>133.33333333333331</v>
      </c>
      <c r="CL51" s="387">
        <v>133.33333333333331</v>
      </c>
      <c r="CM51" s="199">
        <f>'Price Data Entry'!JL160</f>
        <v>340.13605442176873</v>
      </c>
      <c r="CN51" s="200">
        <f>'Price Data Entry'!JR73</f>
        <v>134.52914798206277</v>
      </c>
      <c r="CO51" s="199">
        <f>'Price Data Entry'!JR160</f>
        <v>117.44966442953019</v>
      </c>
      <c r="CP51" s="764">
        <f>'Price Data Entry'!JX73</f>
        <v>166.66666666666666</v>
      </c>
      <c r="CQ51" s="764">
        <f>'Price Data Entry'!JX160</f>
        <v>145.83333333333334</v>
      </c>
      <c r="CR51" s="764">
        <f>'Price Data Entry'!KD73</f>
        <v>143.33333333333334</v>
      </c>
      <c r="CS51" s="764">
        <f>'Price Data Entry'!KD160</f>
        <v>386.59793814432993</v>
      </c>
      <c r="CT51" s="200">
        <f>'Price Data Entry'!KJ73</f>
        <v>787.03703703703695</v>
      </c>
      <c r="CU51" s="199">
        <f>'Price Data Entry'!KJ160</f>
        <v>261.04417670682727</v>
      </c>
      <c r="CV51" s="786">
        <f>'Price Data Entry'!KP73</f>
        <v>1428.5714285714287</v>
      </c>
      <c r="CW51" s="786">
        <f>'Price Data Entry'!KP160</f>
        <v>324.6753246753247</v>
      </c>
      <c r="CX51" s="786">
        <f>'Price Data Entry'!KV73</f>
        <v>214.52145214521451</v>
      </c>
      <c r="CY51" s="800">
        <f>'Price Data Entry'!KV160</f>
        <v>201.21951219512195</v>
      </c>
      <c r="CZ51" s="199">
        <v>0</v>
      </c>
      <c r="DA51" s="595">
        <v>0</v>
      </c>
      <c r="DB51" s="802">
        <v>0</v>
      </c>
      <c r="DC51" s="786">
        <f>'Price Data Entry'!LH160</f>
        <v>787.03703703703695</v>
      </c>
      <c r="DD51" s="786">
        <f>'Price Data Entry'!LN73</f>
        <v>341.61490683229812</v>
      </c>
      <c r="DE51" s="786">
        <f>'Price Data Entry'!LN160</f>
        <v>267.37967914438502</v>
      </c>
      <c r="DF51" s="786">
        <f>'Price Data Entry'!LT73</f>
        <v>57.471264367816097</v>
      </c>
      <c r="DG51" s="786">
        <f>'Price Data Entry'!LT160</f>
        <v>65.868263473053887</v>
      </c>
      <c r="DH51" s="786">
        <f>'Price Data Entry'!LZ73</f>
        <v>198.55595667870037</v>
      </c>
      <c r="DI51" s="786">
        <f>'Price Data Entry'!LZ160</f>
        <v>95.238095238095241</v>
      </c>
      <c r="DJ51" s="786">
        <f>'Price Data Entry'!MF73</f>
        <v>104.16666666666667</v>
      </c>
      <c r="DK51" s="786">
        <f>'Price Data Entry'!MF160</f>
        <v>120.83333333333334</v>
      </c>
      <c r="DL51" s="786">
        <f>'Price Data Entry'!ML73</f>
        <v>222.22222222222223</v>
      </c>
      <c r="DM51" s="786">
        <f>'Price Data Entry'!ML160</f>
        <v>211.86440677966104</v>
      </c>
      <c r="DN51" s="786">
        <f t="shared" si="16"/>
        <v>158.81344681977984</v>
      </c>
      <c r="DO51" s="786">
        <f t="shared" si="17"/>
        <v>152.18969517662643</v>
      </c>
      <c r="DP51" s="786">
        <f t="shared" si="18"/>
        <v>161.68162849971492</v>
      </c>
      <c r="DQ51" s="800">
        <f t="shared" si="19"/>
        <v>171.26745547188963</v>
      </c>
      <c r="DR51" s="833">
        <f>'Price Data Entry'!ND73</f>
        <v>95.744680851063819</v>
      </c>
      <c r="DS51" s="833">
        <f>'Price Data Entry'!ND160</f>
        <v>282.60869565217394</v>
      </c>
      <c r="DT51" s="833">
        <f>'Price Data Entry'!NJ73</f>
        <v>224.57627118644069</v>
      </c>
      <c r="DU51" s="833">
        <f>'Price Data Entry'!NJ160</f>
        <v>276.67984189723319</v>
      </c>
      <c r="DV51" s="833">
        <f>'Price Data Entry'!NP73</f>
        <v>166.66666666666666</v>
      </c>
      <c r="DW51" s="833">
        <f>'Price Data Entry'!NP160</f>
        <v>546.87499999999989</v>
      </c>
      <c r="DX51" s="833">
        <f>'Price Data Entry'!NV73</f>
        <v>364.96350364963507</v>
      </c>
      <c r="DY51" s="833">
        <f>'Price Data Entry'!NV160</f>
        <v>217.94871794871793</v>
      </c>
      <c r="DZ51" s="833">
        <f>'Price Data Entry'!OB73</f>
        <v>172.41379310344828</v>
      </c>
      <c r="EA51" s="833">
        <f>'Price Data Entry'!OB160</f>
        <v>241.22807017543857</v>
      </c>
      <c r="EB51" s="833">
        <f>'Price Data Entry'!OH73</f>
        <v>132.8125</v>
      </c>
      <c r="EC51" s="833">
        <f>'Price Data Entry'!OH160</f>
        <v>182.92682926829266</v>
      </c>
    </row>
    <row r="52" spans="1:138">
      <c r="A52" s="192" t="s">
        <v>39</v>
      </c>
      <c r="B52" s="390">
        <v>208.33333333333334</v>
      </c>
      <c r="C52" s="200">
        <f>'Price Data Entry'!H161</f>
        <v>208.33333333333334</v>
      </c>
      <c r="D52" s="200">
        <f>'Price Data Entry'!N74</f>
        <v>141.50943396226415</v>
      </c>
      <c r="E52" s="386">
        <v>141.50943396226415</v>
      </c>
      <c r="F52" s="199">
        <f>'Price Data Entry'!T74</f>
        <v>161.97183098591549</v>
      </c>
      <c r="G52" s="199">
        <f>'Price Data Entry'!T161</f>
        <v>80.679405520169851</v>
      </c>
      <c r="H52" s="386">
        <v>80.679405520169851</v>
      </c>
      <c r="I52" s="386">
        <v>80.679405520169851</v>
      </c>
      <c r="J52" s="199">
        <f>'Price Data Entry'!AF74</f>
        <v>225.22522522522519</v>
      </c>
      <c r="K52" s="199">
        <f>'Price Data Entry'!AF161</f>
        <v>165.32258064516131</v>
      </c>
      <c r="L52" s="386">
        <v>0</v>
      </c>
      <c r="M52" s="199">
        <f>'Price Data Entry'!AL161</f>
        <v>162.07455429497568</v>
      </c>
      <c r="N52" s="199">
        <f>'Price Data Entry'!AR74</f>
        <v>133.64055299539172</v>
      </c>
      <c r="O52" s="386">
        <v>0</v>
      </c>
      <c r="P52" s="199">
        <f>'Price Data Entry'!AX74</f>
        <v>132.56006628003314</v>
      </c>
      <c r="Q52" s="199">
        <f>'Price Data Entry'!AX161</f>
        <v>87.671232876712324</v>
      </c>
      <c r="R52" s="199">
        <f>'Price Data Entry'!BD74</f>
        <v>108.26771653543305</v>
      </c>
      <c r="S52" s="199">
        <f>'Price Data Entry'!BD161</f>
        <v>179.8941798941799</v>
      </c>
      <c r="T52" s="386">
        <v>0</v>
      </c>
      <c r="U52" s="386">
        <v>0</v>
      </c>
      <c r="V52" s="597">
        <v>0</v>
      </c>
      <c r="W52" s="386">
        <v>0</v>
      </c>
      <c r="X52" s="199">
        <f>'Price Data Entry'!BV74</f>
        <v>124.29378531073445</v>
      </c>
      <c r="Y52" s="386">
        <v>0</v>
      </c>
      <c r="Z52" s="199">
        <f>'Price Data Entry'!CB74</f>
        <v>132.56006628003314</v>
      </c>
      <c r="AA52" s="199">
        <f>'Price Data Entry'!CB161</f>
        <v>87.671232876712324</v>
      </c>
      <c r="AB52" s="199">
        <f>'Price Data Entry'!CH74</f>
        <v>93.75</v>
      </c>
      <c r="AC52" s="386">
        <v>0</v>
      </c>
      <c r="AD52" s="199">
        <f>'Price Data Entry'!CN74</f>
        <v>73.84615384615384</v>
      </c>
      <c r="AE52" s="199">
        <f>'Price Data Entry'!CN161</f>
        <v>168.25164594001464</v>
      </c>
      <c r="AF52" s="386">
        <v>0</v>
      </c>
      <c r="AG52" s="199">
        <f>'Price Data Entry'!CT161</f>
        <v>123.45679012345677</v>
      </c>
      <c r="AH52" s="199">
        <f>'Price Data Entry'!CZ74</f>
        <v>132.56006628003314</v>
      </c>
      <c r="AI52" s="199">
        <f>'Price Data Entry'!CZ161</f>
        <v>87.671232876712324</v>
      </c>
      <c r="AJ52" s="199">
        <f>'Price Data Entry'!DF74</f>
        <v>178.57142857142858</v>
      </c>
      <c r="AK52" s="386">
        <v>178.57142857142858</v>
      </c>
      <c r="AL52" s="199">
        <f>'Price Data Entry'!DL74</f>
        <v>108.16468946266573</v>
      </c>
      <c r="AM52" s="199">
        <f>'Price Data Entry'!DL161</f>
        <v>232.55813953488368</v>
      </c>
      <c r="AN52" s="199">
        <f>'Price Data Entry'!DR74</f>
        <v>151.63607342378293</v>
      </c>
      <c r="AO52" s="199">
        <f>'Price Data Entry'!DR161</f>
        <v>81.648522550544328</v>
      </c>
      <c r="AP52" s="386">
        <v>0</v>
      </c>
      <c r="AQ52" s="386">
        <v>0</v>
      </c>
      <c r="AR52" s="386">
        <v>0</v>
      </c>
      <c r="AS52" s="386">
        <v>0</v>
      </c>
      <c r="AT52" s="386">
        <v>0</v>
      </c>
      <c r="AU52" s="386">
        <v>0</v>
      </c>
      <c r="AV52" s="386">
        <v>0</v>
      </c>
      <c r="AW52" s="386">
        <v>0</v>
      </c>
      <c r="AX52" s="595">
        <f>'Price Data Entry'!EV74</f>
        <v>132.56006628003314</v>
      </c>
      <c r="AY52" s="199">
        <f>'Price Data Entry'!EV161</f>
        <v>87.671232876712324</v>
      </c>
      <c r="AZ52" s="199">
        <f>'Price Data Entry'!FB74</f>
        <v>131.25</v>
      </c>
      <c r="BA52" s="199">
        <f>'Price Data Entry'!FB161</f>
        <v>162.07455429497568</v>
      </c>
      <c r="BB52" s="199">
        <f>'Price Data Entry'!FH74</f>
        <v>161.97183098591549</v>
      </c>
      <c r="BC52" s="199">
        <f>'Price Data Entry'!FH161</f>
        <v>80.679405520169851</v>
      </c>
      <c r="BD52" s="200">
        <f>'Price Data Entry'!FN74</f>
        <v>132.60530421216848</v>
      </c>
      <c r="BE52" s="199">
        <f>'Price Data Entry'!FN161</f>
        <v>211.44278606965176</v>
      </c>
      <c r="BF52" s="199">
        <f>'Price Data Entry'!FT74</f>
        <v>154.44015444015443</v>
      </c>
      <c r="BG52" s="199">
        <f>'Price Data Entry'!FT161</f>
        <v>151.5151515151515</v>
      </c>
      <c r="BH52" s="199">
        <f>'Price Data Entry'!FZ74</f>
        <v>132.2930800542741</v>
      </c>
      <c r="BI52" s="387">
        <v>132.2930800542741</v>
      </c>
      <c r="BJ52" s="199">
        <f>'Price Data Entry'!GF74</f>
        <v>80.889787664307391</v>
      </c>
      <c r="BK52" s="191">
        <f>'Price Data Entry'!GF161</f>
        <v>80.882352941176478</v>
      </c>
      <c r="BL52" s="199">
        <f>'Price Data Entry'!GL74</f>
        <v>105.33707865168539</v>
      </c>
      <c r="BM52" s="199">
        <f>'Price Data Entry'!GL161</f>
        <v>105.33707865168539</v>
      </c>
      <c r="BN52" s="199">
        <f>'Price Data Entry'!GR74</f>
        <v>117.50881316098705</v>
      </c>
      <c r="BO52" s="200">
        <f>'Price Data Entry'!GR161</f>
        <v>135.90033975084938</v>
      </c>
      <c r="BP52" s="199">
        <f>'Price Data Entry'!GX74</f>
        <v>67.094515752625441</v>
      </c>
      <c r="BQ52" s="199">
        <f>'Price Data Entry'!GX161</f>
        <v>83.160083160083161</v>
      </c>
      <c r="BR52" s="199">
        <f>'Price Data Entry'!HD74</f>
        <v>71.428571428571416</v>
      </c>
      <c r="BS52" s="199">
        <f>'Price Data Entry'!HD161</f>
        <v>87.176602924634409</v>
      </c>
      <c r="BT52" s="199">
        <f>'Price Data Entry'!HJ74</f>
        <v>129.49640287769785</v>
      </c>
      <c r="BU52" s="199">
        <f>'Price Data Entry'!HJ161</f>
        <v>81.648522550544328</v>
      </c>
      <c r="BV52" s="386">
        <v>81.648522550544328</v>
      </c>
      <c r="BW52" s="200">
        <f>'Price Data Entry'!HP161</f>
        <v>112.17948717948718</v>
      </c>
      <c r="BX52" s="199">
        <f>'Price Data Entry'!HV74</f>
        <v>141.50943396226415</v>
      </c>
      <c r="BY52" s="386">
        <v>141.50943396226415</v>
      </c>
      <c r="BZ52" s="201">
        <f>'Price Data Entry'!IB74</f>
        <v>112.35955056179775</v>
      </c>
      <c r="CA52" s="386">
        <v>112.35955056179775</v>
      </c>
      <c r="CB52" s="199">
        <f>'Price Data Entry'!IH74</f>
        <v>205.65552699228792</v>
      </c>
      <c r="CC52" s="199">
        <f>'Price Data Entry'!IH161</f>
        <v>143.59563469270535</v>
      </c>
      <c r="CD52" s="199">
        <f>'Price Data Entry'!IN74</f>
        <v>116.0179640718563</v>
      </c>
      <c r="CE52" s="200">
        <f>'Price Data Entry'!IN161</f>
        <v>300.84235860409143</v>
      </c>
      <c r="CF52" s="199">
        <f>'Price Data Entry'!IT74</f>
        <v>300.84235860409143</v>
      </c>
      <c r="CG52" s="199">
        <f>'Price Data Entry'!IT161</f>
        <v>116.42949547218628</v>
      </c>
      <c r="CH52" s="199">
        <f>'Price Data Entry'!IZ74</f>
        <v>110.57692307692309</v>
      </c>
      <c r="CI52" s="199">
        <f>'Price Data Entry'!IZ161</f>
        <v>125.94458438287154</v>
      </c>
      <c r="CJ52" s="199">
        <f>'Price Data Entry'!JF74</f>
        <v>99.999999999999972</v>
      </c>
      <c r="CK52" s="199">
        <f>'Price Data Entry'!JF161</f>
        <v>101.8573996405033</v>
      </c>
      <c r="CL52" s="387">
        <v>101.8573996405033</v>
      </c>
      <c r="CM52" s="199">
        <f>'Price Data Entry'!JL161</f>
        <v>84.010840108401084</v>
      </c>
      <c r="CN52" s="200">
        <f>'Price Data Entry'!JR74</f>
        <v>68.744271310724116</v>
      </c>
      <c r="CO52" s="199">
        <f>'Price Data Entry'!JR161</f>
        <v>129.13223140495865</v>
      </c>
      <c r="CP52" s="773">
        <v>129.13223140495865</v>
      </c>
      <c r="CQ52" s="764">
        <v>129.13223140495865</v>
      </c>
      <c r="CR52" s="764">
        <v>129.13223140495865</v>
      </c>
      <c r="CS52" s="764">
        <f>'Price Data Entry'!KD161</f>
        <v>274.72527472527474</v>
      </c>
      <c r="CT52" s="200">
        <f>'Price Data Entry'!KJ74</f>
        <v>140.18691588785046</v>
      </c>
      <c r="CU52" s="199">
        <f>'Price Data Entry'!KJ161</f>
        <v>156.15615615615616</v>
      </c>
      <c r="CV52" s="765">
        <v>156.16</v>
      </c>
      <c r="CW52" s="765">
        <v>156.16</v>
      </c>
      <c r="CX52" s="765">
        <v>156.16</v>
      </c>
      <c r="CY52" s="800">
        <v>156.16</v>
      </c>
      <c r="CZ52" s="199">
        <v>0</v>
      </c>
      <c r="DA52" s="595">
        <v>0</v>
      </c>
      <c r="DB52" s="802">
        <v>0</v>
      </c>
      <c r="DC52" s="786">
        <f>'Price Data Entry'!LH161</f>
        <v>140.18691588785046</v>
      </c>
      <c r="DD52" s="786">
        <v>0</v>
      </c>
      <c r="DE52" s="786">
        <v>0</v>
      </c>
      <c r="DF52" s="786">
        <f>'Price Data Entry'!LT74</f>
        <v>120.24048096192384</v>
      </c>
      <c r="DG52" s="786">
        <f>'Price Data Entry'!LT161</f>
        <v>100.2865329512894</v>
      </c>
      <c r="DH52" s="786">
        <f>'Price Data Entry'!LZ74</f>
        <v>105.19801980198019</v>
      </c>
      <c r="DI52" s="786">
        <f>'Price Data Entry'!LZ161</f>
        <v>112.9943502824859</v>
      </c>
      <c r="DJ52" s="786">
        <f>'Price Data Entry'!MF74</f>
        <v>72.231139646869991</v>
      </c>
      <c r="DK52" s="786">
        <f>'Price Data Entry'!MF161</f>
        <v>42.851577717179588</v>
      </c>
      <c r="DL52" s="786">
        <f>'Price Data Entry'!ML74</f>
        <v>67.778936392075082</v>
      </c>
      <c r="DM52" s="786">
        <f>'Price Data Entry'!ML161</f>
        <v>67.055393586005835</v>
      </c>
      <c r="DN52" s="786">
        <f t="shared" si="16"/>
        <v>78.018236237766089</v>
      </c>
      <c r="DO52" s="786">
        <f t="shared" si="17"/>
        <v>73.488272310397079</v>
      </c>
      <c r="DP52" s="786">
        <f t="shared" si="18"/>
        <v>66.903925981715602</v>
      </c>
      <c r="DQ52" s="800">
        <f t="shared" si="19"/>
        <v>66.016057037523211</v>
      </c>
      <c r="DR52" s="833">
        <f>'Price Data Entry'!ND74</f>
        <v>38.022813688212921</v>
      </c>
      <c r="DS52" s="833">
        <f>'Price Data Entry'!ND161</f>
        <v>124.85811577752553</v>
      </c>
      <c r="DT52" s="833">
        <f>'Price Data Entry'!NJ74</f>
        <v>121.95121951219511</v>
      </c>
      <c r="DU52" s="833">
        <v>0</v>
      </c>
      <c r="DV52" s="833">
        <f>'Price Data Entry'!NP74</f>
        <v>132.15859030837004</v>
      </c>
      <c r="DW52" s="833">
        <v>0</v>
      </c>
      <c r="DX52" s="833">
        <f>'Price Data Entry'!NV74</f>
        <v>52.759740259740262</v>
      </c>
      <c r="DY52" s="833">
        <f>'Price Data Entry'!NV161</f>
        <v>198.21605550049554</v>
      </c>
      <c r="DZ52" s="833">
        <f>'Price Data Entry'!OB74</f>
        <v>109.97067448680353</v>
      </c>
      <c r="EA52" s="833">
        <v>0</v>
      </c>
      <c r="EB52" s="833">
        <f>'Price Data Entry'!OH74</f>
        <v>147.32965009208104</v>
      </c>
      <c r="EC52" s="833">
        <v>0</v>
      </c>
    </row>
    <row r="53" spans="1:138">
      <c r="A53" s="192" t="s">
        <v>40</v>
      </c>
      <c r="B53" s="201">
        <f>'Price Data Entry'!H75</f>
        <v>253.1645569620253</v>
      </c>
      <c r="C53" s="200">
        <f>'Price Data Entry'!H162</f>
        <v>245.2316076294278</v>
      </c>
      <c r="D53" s="200">
        <f>'Price Data Entry'!N75</f>
        <v>482.62548262548268</v>
      </c>
      <c r="E53" s="199">
        <f>'Price Data Entry'!N162</f>
        <v>484.49612403100775</v>
      </c>
      <c r="F53" s="199">
        <f>'Price Data Entry'!T75</f>
        <v>173.07692307692307</v>
      </c>
      <c r="G53" s="386">
        <v>173.07692307692307</v>
      </c>
      <c r="H53" s="199">
        <f>'Price Data Entry'!Z75</f>
        <v>322.12885154061621</v>
      </c>
      <c r="I53" s="199">
        <f>'Price Data Entry'!Z162</f>
        <v>341.24629080118694</v>
      </c>
      <c r="J53" s="199">
        <f>'Price Data Entry'!AF75</f>
        <v>244.18604651162792</v>
      </c>
      <c r="K53" s="199">
        <f>'Price Data Entry'!AF162</f>
        <v>232.55813953488368</v>
      </c>
      <c r="L53" s="386">
        <v>0</v>
      </c>
      <c r="M53" s="199">
        <f>'Price Data Entry'!AL162</f>
        <v>298.91304347826087</v>
      </c>
      <c r="N53" s="199">
        <f>'Price Data Entry'!AR75</f>
        <v>281.69014084507046</v>
      </c>
      <c r="O53" s="386">
        <v>0</v>
      </c>
      <c r="P53" s="199">
        <f>'Price Data Entry'!AX75</f>
        <v>260.11560693641621</v>
      </c>
      <c r="Q53" s="199">
        <f>'Price Data Entry'!AX162</f>
        <v>249.37655860349128</v>
      </c>
      <c r="R53" s="199">
        <f>'Price Data Entry'!BD75</f>
        <v>146.13778705636744</v>
      </c>
      <c r="S53" s="199">
        <f>'Price Data Entry'!BD162</f>
        <v>350.31847133757964</v>
      </c>
      <c r="T53" s="386">
        <v>0</v>
      </c>
      <c r="U53" s="386">
        <v>0</v>
      </c>
      <c r="V53" s="597">
        <v>0</v>
      </c>
      <c r="W53" s="386">
        <v>0</v>
      </c>
      <c r="X53" s="199">
        <f>'Price Data Entry'!BV75</f>
        <v>54.744525547445249</v>
      </c>
      <c r="Y53" s="386">
        <v>0</v>
      </c>
      <c r="Z53" s="199">
        <f>'Price Data Entry'!CB75</f>
        <v>173.41040462427745</v>
      </c>
      <c r="AA53" s="199">
        <f>'Price Data Entry'!CB162</f>
        <v>200</v>
      </c>
      <c r="AB53" s="386">
        <v>200</v>
      </c>
      <c r="AC53" s="386">
        <v>0</v>
      </c>
      <c r="AD53" s="199">
        <f>'Price Data Entry'!CN75</f>
        <v>81.833060556464801</v>
      </c>
      <c r="AE53" s="199">
        <f>'Price Data Entry'!CN162</f>
        <v>46.113306982872203</v>
      </c>
      <c r="AF53" s="386">
        <v>0</v>
      </c>
      <c r="AG53" s="199">
        <f>'Price Data Entry'!CT162</f>
        <v>114.15525114155251</v>
      </c>
      <c r="AH53" s="199">
        <f>'Price Data Entry'!CZ75</f>
        <v>173.41040462427745</v>
      </c>
      <c r="AI53" s="199">
        <f>'Price Data Entry'!CZ162</f>
        <v>200</v>
      </c>
      <c r="AJ53" s="199">
        <f>'Price Data Entry'!DF75</f>
        <v>62.396006655574048</v>
      </c>
      <c r="AK53" s="199">
        <f>'Price Data Entry'!DF162</f>
        <v>135.50135501355012</v>
      </c>
      <c r="AL53" s="199">
        <f>'Price Data Entry'!DL75</f>
        <v>201.51133501259446</v>
      </c>
      <c r="AM53" s="199">
        <f>'Price Data Entry'!DL162</f>
        <v>538.46153846153845</v>
      </c>
      <c r="AN53" s="199">
        <f>'Price Data Entry'!DR75</f>
        <v>225.98870056497174</v>
      </c>
      <c r="AO53" s="199">
        <f>'Price Data Entry'!DR162</f>
        <v>248.44720496894408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595">
        <f>'Price Data Entry'!EV75</f>
        <v>173.41040462427745</v>
      </c>
      <c r="AY53" s="200">
        <f>'Price Data Entry'!EV162</f>
        <v>200</v>
      </c>
      <c r="AZ53" s="200">
        <f>'Price Data Entry'!FB75</f>
        <v>93.75</v>
      </c>
      <c r="BA53" s="200">
        <f>'Price Data Entry'!FB162</f>
        <v>298.91304347826087</v>
      </c>
      <c r="BB53" s="200">
        <f>'Price Data Entry'!FH75</f>
        <v>173.07692307692307</v>
      </c>
      <c r="BC53" s="200">
        <f>'Price Data Entry'!FH162</f>
        <v>173.07692307692307</v>
      </c>
      <c r="BD53" s="199">
        <f>'Price Data Entry'!FN75</f>
        <v>73.099415204678365</v>
      </c>
      <c r="BE53" s="200">
        <f>'Price Data Entry'!FN162</f>
        <v>52.15123859191656</v>
      </c>
      <c r="BF53" s="200">
        <f>'Price Data Entry'!FT75</f>
        <v>85.763293310463126</v>
      </c>
      <c r="BG53" s="200">
        <f>'Price Data Entry'!FT162</f>
        <v>97.847358121330714</v>
      </c>
      <c r="BH53" s="199">
        <f>'Price Data Entry'!FZ75</f>
        <v>177.30496453900707</v>
      </c>
      <c r="BI53" s="199">
        <f>'Price Data Entry'!FZ162</f>
        <v>135.50135501355012</v>
      </c>
      <c r="BJ53" s="200">
        <f>'Price Data Entry'!GF75</f>
        <v>132.32514177693761</v>
      </c>
      <c r="BK53" s="191">
        <f>'Price Data Entry'!GF162</f>
        <v>157.23270440251574</v>
      </c>
      <c r="BL53" s="200">
        <f>'Price Data Entry'!GL75</f>
        <v>250.00000000000003</v>
      </c>
      <c r="BM53" s="200">
        <f>'Price Data Entry'!GL162</f>
        <v>257.35294117647061</v>
      </c>
      <c r="BN53" s="200">
        <f>'Price Data Entry'!GR75</f>
        <v>88.339222614841006</v>
      </c>
      <c r="BO53" s="199">
        <f>'Price Data Entry'!GR162</f>
        <v>177.30496453900707</v>
      </c>
      <c r="BP53" s="200">
        <f>'Price Data Entry'!GX75</f>
        <v>440.52863436123346</v>
      </c>
      <c r="BQ53" s="200">
        <f>'Price Data Entry'!GX162</f>
        <v>631.57894736842104</v>
      </c>
      <c r="BR53" s="200">
        <f>'Price Data Entry'!HD75</f>
        <v>343.64261168384877</v>
      </c>
      <c r="BS53" s="200">
        <f>'Price Data Entry'!HD162</f>
        <v>324.67532467532465</v>
      </c>
      <c r="BT53" s="200">
        <f>'Price Data Entry'!HJ75</f>
        <v>168.77637130801688</v>
      </c>
      <c r="BU53" s="199">
        <f>'Price Data Entry'!HJ162</f>
        <v>248.44720496894408</v>
      </c>
      <c r="BV53" s="200">
        <f>'Price Data Entry'!HP75</f>
        <v>253.1645569620253</v>
      </c>
      <c r="BW53" s="199">
        <f>'Price Data Entry'!HP162</f>
        <v>245.2316076294278</v>
      </c>
      <c r="BX53" s="200">
        <f>'Price Data Entry'!HV75</f>
        <v>482.62548262548268</v>
      </c>
      <c r="BY53" s="199">
        <f>'Price Data Entry'!HV162</f>
        <v>484.49612403100775</v>
      </c>
      <c r="BZ53" s="199">
        <f>'Price Data Entry'!IB75</f>
        <v>75</v>
      </c>
      <c r="CA53" s="199">
        <f>'Price Data Entry'!IB162</f>
        <v>76.92307692307692</v>
      </c>
      <c r="CB53" s="200">
        <f>'Price Data Entry'!IH75</f>
        <v>79.617834394904463</v>
      </c>
      <c r="CC53" s="199">
        <f>'Price Data Entry'!IH162</f>
        <v>55.944055944055947</v>
      </c>
      <c r="CD53" s="200">
        <f>'Price Data Entry'!IN75</f>
        <v>77.399380804953566</v>
      </c>
      <c r="CE53" s="200">
        <f>'Price Data Entry'!IN162</f>
        <v>142.24751066856331</v>
      </c>
      <c r="CF53" s="199">
        <f>'Price Data Entry'!IT75</f>
        <v>142.24751066856331</v>
      </c>
      <c r="CG53" s="199">
        <f>'Price Data Entry'!IT162</f>
        <v>202.83975659229208</v>
      </c>
      <c r="CH53" s="199">
        <f>'Price Data Entry'!IZ75</f>
        <v>183.752417794971</v>
      </c>
      <c r="CI53" s="199">
        <f>'Price Data Entry'!IZ162</f>
        <v>272.47956403269751</v>
      </c>
      <c r="CJ53" s="199">
        <f>'Price Data Entry'!JF75</f>
        <v>159.48963317384369</v>
      </c>
      <c r="CK53" s="199">
        <f>'Price Data Entry'!JF162</f>
        <v>242.13075060532688</v>
      </c>
      <c r="CL53" s="200">
        <f>'Price Data Entry'!JL75</f>
        <v>273.22404371584696</v>
      </c>
      <c r="CM53" s="199">
        <f>'Price Data Entry'!JL162</f>
        <v>207.90020790020787</v>
      </c>
      <c r="CN53" s="200">
        <f>'Price Data Entry'!JR75</f>
        <v>149.25373134328359</v>
      </c>
      <c r="CO53" s="199">
        <f>'Price Data Entry'!JR162</f>
        <v>197.62845849802369</v>
      </c>
      <c r="CP53" s="764">
        <f>'Price Data Entry'!JX75</f>
        <v>191.57088122605361</v>
      </c>
      <c r="CQ53" s="764">
        <f>'Price Data Entry'!JX162</f>
        <v>198.01980198019803</v>
      </c>
      <c r="CR53" s="764">
        <f>'Price Data Entry'!KD75</f>
        <v>211.41649048625794</v>
      </c>
      <c r="CS53" s="764">
        <f>'Price Data Entry'!KD162</f>
        <v>460.82949308755764</v>
      </c>
      <c r="CT53" s="200">
        <f>'Price Data Entry'!KJ75</f>
        <v>294.98525073746316</v>
      </c>
      <c r="CU53" s="199">
        <f>'Price Data Entry'!KJ162</f>
        <v>157.61821366024517</v>
      </c>
      <c r="CV53" s="786">
        <f>'Price Data Entry'!KP75</f>
        <v>194.17475728155338</v>
      </c>
      <c r="CW53" s="786">
        <f>'Price Data Entry'!KP162</f>
        <v>162.60162601626018</v>
      </c>
      <c r="CX53" s="786">
        <f>'Price Data Entry'!KV75</f>
        <v>145.34883720930236</v>
      </c>
      <c r="CY53" s="800">
        <f>'Price Data Entry'!KV162</f>
        <v>89.974293059125969</v>
      </c>
      <c r="CZ53" s="199">
        <v>0</v>
      </c>
      <c r="DA53" s="595">
        <v>0</v>
      </c>
      <c r="DB53" s="802">
        <v>0</v>
      </c>
      <c r="DC53" s="786">
        <f>'Price Data Entry'!LH162</f>
        <v>294.98525073746316</v>
      </c>
      <c r="DD53" s="786">
        <f>'Price Data Entry'!LN75</f>
        <v>193.79844961240309</v>
      </c>
      <c r="DE53" s="786">
        <f>'Price Data Entry'!LN162</f>
        <v>158.47860538827257</v>
      </c>
      <c r="DF53" s="786">
        <f>'Price Data Entry'!LT75</f>
        <v>166.66666666666666</v>
      </c>
      <c r="DG53" s="786">
        <f>'Price Data Entry'!LT162</f>
        <v>210.97046413502113</v>
      </c>
      <c r="DH53" s="786">
        <f>'Price Data Entry'!LZ75</f>
        <v>229.35779816513761</v>
      </c>
      <c r="DI53" s="786">
        <f>'Price Data Entry'!LZ162</f>
        <v>100.14306151645208</v>
      </c>
      <c r="DJ53" s="786">
        <f>'Price Data Entry'!MF75</f>
        <v>154.44015444015443</v>
      </c>
      <c r="DK53" s="786">
        <f>'Price Data Entry'!MF162</f>
        <v>222.2222222222222</v>
      </c>
      <c r="DL53" s="786">
        <f>'Price Data Entry'!ML75</f>
        <v>135.78274760383388</v>
      </c>
      <c r="DM53" s="786">
        <f>'Price Data Entry'!ML162</f>
        <v>141.12903225806451</v>
      </c>
      <c r="DN53" s="786">
        <f t="shared" si="16"/>
        <v>163.84583603431079</v>
      </c>
      <c r="DO53" s="786">
        <f t="shared" si="17"/>
        <v>152.92717567917296</v>
      </c>
      <c r="DP53" s="786">
        <f t="shared" si="18"/>
        <v>161.72452803962645</v>
      </c>
      <c r="DQ53" s="800">
        <f t="shared" si="19"/>
        <v>162.93859030620513</v>
      </c>
      <c r="DR53" s="833">
        <f>'Price Data Entry'!ND75</f>
        <v>105.59006211180126</v>
      </c>
      <c r="DS53" s="833">
        <f>'Price Data Entry'!ND162</f>
        <v>91.743119266055032</v>
      </c>
      <c r="DT53" s="833">
        <f>'Price Data Entry'!NJ75</f>
        <v>122.89780077619665</v>
      </c>
      <c r="DU53" s="833">
        <f>'Price Data Entry'!NJ162</f>
        <v>157.4803149606299</v>
      </c>
      <c r="DV53" s="833">
        <f>'Price Data Entry'!NP75</f>
        <v>146.52014652014651</v>
      </c>
      <c r="DW53" s="833">
        <f>'Price Data Entry'!NP162</f>
        <v>161.03059581320451</v>
      </c>
      <c r="DX53" s="833">
        <f>'Price Data Entry'!NV75</f>
        <v>130.29315960912052</v>
      </c>
      <c r="DY53" s="833">
        <f>'Price Data Entry'!NV162</f>
        <v>124.37810945273631</v>
      </c>
      <c r="DZ53" s="833">
        <f>'Price Data Entry'!OB75</f>
        <v>74.626865671641795</v>
      </c>
      <c r="EA53" s="833">
        <f>'Price Data Entry'!OB162</f>
        <v>183.48623853211009</v>
      </c>
      <c r="EB53" s="833">
        <f>'Price Data Entry'!OH75</f>
        <v>170.64846416382252</v>
      </c>
      <c r="EC53" s="833">
        <f>'Price Data Entry'!OH162</f>
        <v>153.37423312883436</v>
      </c>
    </row>
    <row r="54" spans="1:138">
      <c r="A54" s="192" t="s">
        <v>41</v>
      </c>
      <c r="B54" s="201">
        <f>'Price Data Entry'!H76</f>
        <v>729.92700729927003</v>
      </c>
      <c r="C54" s="200">
        <f>'Price Data Entry'!H163</f>
        <v>729.92700729927003</v>
      </c>
      <c r="D54" s="387">
        <v>729.92700729927003</v>
      </c>
      <c r="E54" s="386">
        <v>729.92700729927003</v>
      </c>
      <c r="F54" s="199">
        <f>'Price Data Entry'!T76</f>
        <v>714.28571428571422</v>
      </c>
      <c r="G54" s="199">
        <f>'Price Data Entry'!T163</f>
        <v>261.76470588235293</v>
      </c>
      <c r="H54" s="386">
        <v>261.76470588235293</v>
      </c>
      <c r="I54" s="199">
        <f>'Price Data Entry'!Z163</f>
        <v>1225.4901960784314</v>
      </c>
      <c r="J54" s="199">
        <f>'Price Data Entry'!AF76</f>
        <v>439.02439024390236</v>
      </c>
      <c r="K54" s="199">
        <f>'Price Data Entry'!AF163</f>
        <v>473.68421052631584</v>
      </c>
      <c r="L54" s="386">
        <v>0</v>
      </c>
      <c r="M54" s="199">
        <f>'Price Data Entry'!AL163</f>
        <v>367.10719530102796</v>
      </c>
      <c r="N54" s="199">
        <f>'Price Data Entry'!AR76</f>
        <v>527.10843373493969</v>
      </c>
      <c r="O54" s="386">
        <v>0</v>
      </c>
      <c r="P54" s="199">
        <f>'Price Data Entry'!AX76</f>
        <v>505.1369863013698</v>
      </c>
      <c r="Q54" s="199">
        <f>'Price Data Entry'!AX163</f>
        <v>330.64516129032251</v>
      </c>
      <c r="R54" s="199">
        <f>'Price Data Entry'!BD76</f>
        <v>121.1453744493392</v>
      </c>
      <c r="S54" s="199">
        <f>'Price Data Entry'!BD163</f>
        <v>1612.9032258064517</v>
      </c>
      <c r="T54" s="386">
        <v>0</v>
      </c>
      <c r="U54" s="386">
        <v>0</v>
      </c>
      <c r="V54" s="597">
        <v>0</v>
      </c>
      <c r="W54" s="386">
        <v>0</v>
      </c>
      <c r="X54" s="199">
        <f>'Price Data Entry'!BV76</f>
        <v>505.05050505050508</v>
      </c>
      <c r="Y54" s="386">
        <v>0</v>
      </c>
      <c r="Z54" s="199">
        <f>'Price Data Entry'!CB76</f>
        <v>330.0561797752809</v>
      </c>
      <c r="AA54" s="199">
        <f>'Price Data Entry'!CB163</f>
        <v>330.64516129032251</v>
      </c>
      <c r="AB54" s="386">
        <v>330.64516129032251</v>
      </c>
      <c r="AC54" s="386">
        <v>0</v>
      </c>
      <c r="AD54" s="386">
        <v>330.64516129032251</v>
      </c>
      <c r="AE54" s="386">
        <v>330.64516129032251</v>
      </c>
      <c r="AF54" s="386">
        <v>0</v>
      </c>
      <c r="AG54" s="386">
        <v>330.64516129032251</v>
      </c>
      <c r="AH54" s="199">
        <f>'Price Data Entry'!CZ76</f>
        <v>330.0561797752809</v>
      </c>
      <c r="AI54" s="199">
        <f>'Price Data Entry'!CZ163</f>
        <v>330.64516129032251</v>
      </c>
      <c r="AJ54" s="199">
        <f>'Price Data Entry'!DF76</f>
        <v>365.4970760233918</v>
      </c>
      <c r="AK54" s="199">
        <f>'Price Data Entry'!DF163</f>
        <v>387.26333907056801</v>
      </c>
      <c r="AL54" s="199">
        <f>'Price Data Entry'!DL76</f>
        <v>210.40974529346624</v>
      </c>
      <c r="AM54" s="199">
        <f>'Price Data Entry'!DL163</f>
        <v>454.54545454545462</v>
      </c>
      <c r="AN54" s="199">
        <f>'Price Data Entry'!DR76</f>
        <v>188.57758620689657</v>
      </c>
      <c r="AO54" s="199">
        <f>'Price Data Entry'!DR163</f>
        <v>163.39869281045753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0</v>
      </c>
      <c r="AX54" s="595">
        <f>'Price Data Entry'!EV76</f>
        <v>330.0561797752809</v>
      </c>
      <c r="AY54" s="200">
        <f>'Price Data Entry'!EV163</f>
        <v>330.64516129032251</v>
      </c>
      <c r="AZ54" s="387">
        <v>330.64516129032251</v>
      </c>
      <c r="BA54" s="200">
        <f>'Price Data Entry'!FB163</f>
        <v>367.10719530102796</v>
      </c>
      <c r="BB54" s="200">
        <f>'Price Data Entry'!FH76</f>
        <v>714.28571428571422</v>
      </c>
      <c r="BC54" s="200">
        <f>'Price Data Entry'!FH163</f>
        <v>261.76470588235293</v>
      </c>
      <c r="BD54" s="387">
        <v>261.76470588235293</v>
      </c>
      <c r="BE54" s="200">
        <f>'Price Data Entry'!FN163</f>
        <v>833.33333333333337</v>
      </c>
      <c r="BF54" s="200">
        <f>'Price Data Entry'!FT76</f>
        <v>326.48125755743655</v>
      </c>
      <c r="BG54" s="200">
        <f>'Price Data Entry'!FT163</f>
        <v>457.06371191135736</v>
      </c>
      <c r="BH54" s="199">
        <f>'Price Data Entry'!FZ76</f>
        <v>387.26333907056801</v>
      </c>
      <c r="BI54" s="200">
        <f>'Price Data Entry'!FZ163</f>
        <v>549.45054945054949</v>
      </c>
      <c r="BJ54" s="200">
        <f>'Price Data Entry'!GF76</f>
        <v>278.88446215139447</v>
      </c>
      <c r="BK54" s="191">
        <f>'Price Data Entry'!GF163</f>
        <v>346.53465346534654</v>
      </c>
      <c r="BL54" s="200">
        <f>'Price Data Entry'!GL76</f>
        <v>195.59902200488997</v>
      </c>
      <c r="BM54" s="200">
        <f>'Price Data Entry'!GL163</f>
        <v>484.94983277591979</v>
      </c>
      <c r="BN54" s="200">
        <f>'Price Data Entry'!GR76</f>
        <v>70.15306122448979</v>
      </c>
      <c r="BO54" s="200">
        <f>'Price Data Entry'!GR163</f>
        <v>487.32943469785579</v>
      </c>
      <c r="BP54" s="200">
        <f>'Price Data Entry'!GX76</f>
        <v>182.20793140407289</v>
      </c>
      <c r="BQ54" s="200">
        <f>'Price Data Entry'!GX163</f>
        <v>294.11764705882354</v>
      </c>
      <c r="BR54" s="200">
        <f>'Price Data Entry'!HD76</f>
        <v>102.56410256410257</v>
      </c>
      <c r="BS54" s="200">
        <f>'Price Data Entry'!HD163</f>
        <v>136.16071428571428</v>
      </c>
      <c r="BT54" s="200">
        <f>'Price Data Entry'!HJ76</f>
        <v>624.99999999999989</v>
      </c>
      <c r="BU54" s="199">
        <f>'Price Data Entry'!HJ163</f>
        <v>163.39869281045753</v>
      </c>
      <c r="BV54" s="200">
        <f>'Price Data Entry'!HP76</f>
        <v>729.92700729927003</v>
      </c>
      <c r="BW54" s="200">
        <f>'Price Data Entry'!HP163</f>
        <v>729.92700729927003</v>
      </c>
      <c r="BX54" s="387">
        <v>729.92700729927003</v>
      </c>
      <c r="BY54" s="387">
        <v>729.92700729927003</v>
      </c>
      <c r="BZ54" s="387">
        <v>729.92700729927003</v>
      </c>
      <c r="CA54" s="199">
        <f>'Price Data Entry'!IB163</f>
        <v>957.44680851063833</v>
      </c>
      <c r="CB54" s="200">
        <f>'Price Data Entry'!IH76</f>
        <v>445.81618655692722</v>
      </c>
      <c r="CC54" s="199">
        <f>'Price Data Entry'!IH163</f>
        <v>416.66666666666669</v>
      </c>
      <c r="CD54" s="200">
        <f>'Price Data Entry'!IN76</f>
        <v>753.01204819277098</v>
      </c>
      <c r="CE54" s="200">
        <f>'Price Data Entry'!IN163</f>
        <v>439.36731107205622</v>
      </c>
      <c r="CF54" s="199">
        <f>'Price Data Entry'!IT76</f>
        <v>439.36731107205622</v>
      </c>
      <c r="CG54" s="199">
        <f>'Price Data Entry'!IT163</f>
        <v>278.55153203342621</v>
      </c>
      <c r="CH54" s="199">
        <f>'Price Data Entry'!IZ76</f>
        <v>268.89534883720927</v>
      </c>
      <c r="CI54" s="199">
        <f>'Price Data Entry'!IZ163</f>
        <v>414.01273885350321</v>
      </c>
      <c r="CJ54" s="199">
        <f>'Price Data Entry'!JF76</f>
        <v>147.64397905759162</v>
      </c>
      <c r="CK54" s="199">
        <f>'Price Data Entry'!JF163</f>
        <v>240.96385542168676</v>
      </c>
      <c r="CL54" s="200">
        <f>'Price Data Entry'!JL76</f>
        <v>152.52621544327931</v>
      </c>
      <c r="CM54" s="199">
        <f>'Price Data Entry'!JL163</f>
        <v>137.31825525040389</v>
      </c>
      <c r="CN54" s="200">
        <f>'Price Data Entry'!JR76</f>
        <v>183.48623853211012</v>
      </c>
      <c r="CO54" s="199">
        <f>'Price Data Entry'!JR163</f>
        <v>168.63406408094437</v>
      </c>
      <c r="CP54" s="764">
        <f>'Price Data Entry'!JX76</f>
        <v>158.46994535519124</v>
      </c>
      <c r="CQ54" s="764">
        <f>'Price Data Entry'!JX163</f>
        <v>595.2380952380953</v>
      </c>
      <c r="CR54" s="764">
        <f>'Price Data Entry'!KD76</f>
        <v>470.01620745542948</v>
      </c>
      <c r="CS54" s="765">
        <v>470.01620745542948</v>
      </c>
      <c r="CT54" s="765">
        <v>470.01620745542948</v>
      </c>
      <c r="CU54" s="765">
        <v>470.01620745542948</v>
      </c>
      <c r="CV54" s="765">
        <v>470.01620745542948</v>
      </c>
      <c r="CW54" s="765">
        <v>470.01620745542948</v>
      </c>
      <c r="CX54" s="765">
        <v>470.01620745542948</v>
      </c>
      <c r="CY54" s="800">
        <v>470.01620745542948</v>
      </c>
      <c r="CZ54" s="199">
        <v>0</v>
      </c>
      <c r="DA54" s="595">
        <v>0</v>
      </c>
      <c r="DB54" s="802">
        <v>0</v>
      </c>
      <c r="DC54" s="786">
        <v>0</v>
      </c>
      <c r="DD54" s="786">
        <f>'Price Data Entry'!LN76</f>
        <v>461.91247974068074</v>
      </c>
      <c r="DE54" s="786">
        <f>'Price Data Entry'!LN163</f>
        <v>20.876826722338201</v>
      </c>
      <c r="DF54" s="786">
        <f>'Price Data Entry'!LT76</f>
        <v>218.02325581395348</v>
      </c>
      <c r="DG54" s="786">
        <f>'Price Data Entry'!LT163</f>
        <v>221.75290390707499</v>
      </c>
      <c r="DH54" s="786">
        <f>'Price Data Entry'!LZ76</f>
        <v>233.16062176165801</v>
      </c>
      <c r="DI54" s="786">
        <f>'Price Data Entry'!LZ163</f>
        <v>206.89655172413794</v>
      </c>
      <c r="DJ54" s="786">
        <f>'Price Data Entry'!MF76</f>
        <v>430.32786885245895</v>
      </c>
      <c r="DK54" s="786">
        <f>'Price Data Entry'!MF163</f>
        <v>252.25225225225225</v>
      </c>
      <c r="DL54" s="786">
        <f>'Price Data Entry'!ML76</f>
        <v>223.62385321100916</v>
      </c>
      <c r="DM54" s="786">
        <f>'Price Data Entry'!ML163</f>
        <v>186.21973929236498</v>
      </c>
      <c r="DN54" s="786">
        <f t="shared" si="16"/>
        <v>255.41348118231352</v>
      </c>
      <c r="DO54" s="786">
        <f t="shared" si="17"/>
        <v>259.1222910857561</v>
      </c>
      <c r="DP54" s="786">
        <f t="shared" si="18"/>
        <v>267.82658097935916</v>
      </c>
      <c r="DQ54" s="800">
        <f t="shared" si="19"/>
        <v>240.7430330005092</v>
      </c>
      <c r="DR54" s="833">
        <f>'Price Data Entry'!ND76</f>
        <v>591.71597633136093</v>
      </c>
      <c r="DS54" s="835">
        <f>'Price Data Entry'!ND163</f>
        <v>800</v>
      </c>
      <c r="DT54" s="833">
        <v>0</v>
      </c>
      <c r="DU54" s="833">
        <v>0</v>
      </c>
      <c r="DV54" s="833">
        <v>0</v>
      </c>
      <c r="DW54" s="833">
        <v>0</v>
      </c>
      <c r="DX54" s="833">
        <f>'Price Data Entry'!NV76</f>
        <v>980.3921568627452</v>
      </c>
      <c r="DY54" s="835">
        <f>'Price Data Entry'!NV163</f>
        <v>950.57034220532319</v>
      </c>
      <c r="DZ54" s="835">
        <f>'Price Data Entry'!OB76</f>
        <v>1162.7906976744184</v>
      </c>
      <c r="EA54" s="833">
        <f>'Price Data Entry'!OB163</f>
        <v>596.65871121718385</v>
      </c>
      <c r="EB54" s="833">
        <f>'Price Data Entry'!OH76</f>
        <v>591.01654846335691</v>
      </c>
      <c r="EC54" s="833">
        <f>'Price Data Entry'!OH163</f>
        <v>506.75675675675677</v>
      </c>
    </row>
    <row r="55" spans="1:138">
      <c r="A55" s="194" t="s">
        <v>43</v>
      </c>
      <c r="B55" s="204">
        <f>'Price Data Entry'!H77</f>
        <v>440</v>
      </c>
      <c r="C55" s="649">
        <v>440</v>
      </c>
      <c r="D55" s="203">
        <f>'Price Data Entry'!N77</f>
        <v>409.55631399317411</v>
      </c>
      <c r="E55" s="202">
        <f>'Price Data Entry'!N164</f>
        <v>196.39934533551553</v>
      </c>
      <c r="F55" s="202">
        <f>'Price Data Entry'!T77</f>
        <v>826.08695652173924</v>
      </c>
      <c r="G55" s="202">
        <f>'Price Data Entry'!T164</f>
        <v>306.87830687830689</v>
      </c>
      <c r="H55" s="598">
        <v>306.87830687830689</v>
      </c>
      <c r="I55" s="598">
        <v>306.87830687830689</v>
      </c>
      <c r="J55" s="202">
        <f>'Price Data Entry'!AF77</f>
        <v>364.86486486486484</v>
      </c>
      <c r="K55" s="202">
        <f>'Price Data Entry'!AF164</f>
        <v>364.86486486486484</v>
      </c>
      <c r="L55" s="598">
        <v>0</v>
      </c>
      <c r="M55" s="202">
        <f>'Price Data Entry'!AL164</f>
        <v>453.25779036827197</v>
      </c>
      <c r="N55" s="202">
        <f>'Price Data Entry'!AR77</f>
        <v>325.87859424920129</v>
      </c>
      <c r="O55" s="598">
        <v>0</v>
      </c>
      <c r="P55" s="202">
        <f>'Price Data Entry'!AX77</f>
        <v>252.67665952890792</v>
      </c>
      <c r="Q55" s="202">
        <f>'Price Data Entry'!AX164</f>
        <v>270.39848197343457</v>
      </c>
      <c r="R55" s="202">
        <f>'Price Data Entry'!BD77</f>
        <v>125.92592592592591</v>
      </c>
      <c r="S55" s="202">
        <f>'Price Data Entry'!BD164</f>
        <v>363.63636363636363</v>
      </c>
      <c r="T55" s="598">
        <v>0</v>
      </c>
      <c r="U55" s="598">
        <v>0</v>
      </c>
      <c r="V55" s="599">
        <v>0</v>
      </c>
      <c r="W55" s="598">
        <v>0</v>
      </c>
      <c r="X55" s="202">
        <f>'Price Data Entry'!BV77</f>
        <v>198.90260631001371</v>
      </c>
      <c r="Y55" s="598">
        <v>0</v>
      </c>
      <c r="Z55" s="202">
        <f>'Price Data Entry'!CB77</f>
        <v>160.07532956685498</v>
      </c>
      <c r="AA55" s="202">
        <f>'Price Data Entry'!CB164</f>
        <v>273.27935222672068</v>
      </c>
      <c r="AB55" s="202">
        <f>'Price Data Entry'!CH77</f>
        <v>125.62814070351759</v>
      </c>
      <c r="AC55" s="598">
        <v>0</v>
      </c>
      <c r="AD55" s="202">
        <f>'Price Data Entry'!CN77</f>
        <v>871.08013937282226</v>
      </c>
      <c r="AE55" s="598">
        <v>871.08013937282226</v>
      </c>
      <c r="AF55" s="598">
        <v>0</v>
      </c>
      <c r="AG55" s="598">
        <v>871.08013937282226</v>
      </c>
      <c r="AH55" s="202">
        <f>'Price Data Entry'!CZ77</f>
        <v>160.07532956685498</v>
      </c>
      <c r="AI55" s="202">
        <f>'Price Data Entry'!CZ164</f>
        <v>273.27935222672068</v>
      </c>
      <c r="AJ55" s="202">
        <f>'Price Data Entry'!DF77</f>
        <v>865.05190311418698</v>
      </c>
      <c r="AK55" s="598">
        <v>865.05190311418698</v>
      </c>
      <c r="AL55" s="202">
        <f>'Price Data Entry'!DL77</f>
        <v>300</v>
      </c>
      <c r="AM55" s="202">
        <f>'Price Data Entry'!DL164</f>
        <v>328.21229050279328</v>
      </c>
      <c r="AN55" s="202">
        <f>'Price Data Entry'!DR77</f>
        <v>411.08986615678771</v>
      </c>
      <c r="AO55" s="202">
        <f>'Price Data Entry'!DR164</f>
        <v>307.95072788353866</v>
      </c>
      <c r="AP55" s="598">
        <v>0</v>
      </c>
      <c r="AQ55" s="598">
        <v>0</v>
      </c>
      <c r="AR55" s="598">
        <v>0</v>
      </c>
      <c r="AS55" s="598">
        <v>0</v>
      </c>
      <c r="AT55" s="598">
        <v>0</v>
      </c>
      <c r="AU55" s="598">
        <v>0</v>
      </c>
      <c r="AV55" s="598">
        <v>0</v>
      </c>
      <c r="AW55" s="598">
        <v>0</v>
      </c>
      <c r="AX55" s="596">
        <f>'Price Data Entry'!EV77</f>
        <v>160.07532956685498</v>
      </c>
      <c r="AY55" s="202">
        <f>'Price Data Entry'!EV164</f>
        <v>273.27935222672068</v>
      </c>
      <c r="AZ55" s="202">
        <f>'Price Data Entry'!FB77</f>
        <v>833.33333333333337</v>
      </c>
      <c r="BA55" s="202">
        <f>'Price Data Entry'!FB164</f>
        <v>453.25779036827197</v>
      </c>
      <c r="BB55" s="598">
        <v>453.25779036827197</v>
      </c>
      <c r="BC55" s="598">
        <v>453.25779036827197</v>
      </c>
      <c r="BD55" s="598">
        <v>453.25779036827197</v>
      </c>
      <c r="BE55" s="202">
        <f>'Price Data Entry'!FN164</f>
        <v>1213.5922330097087</v>
      </c>
      <c r="BF55" s="202">
        <f>'Price Data Entry'!FT77</f>
        <v>1524.3902439024389</v>
      </c>
      <c r="BG55" s="202">
        <f>'Price Data Entry'!FT164</f>
        <v>526.31578947368416</v>
      </c>
      <c r="BH55" s="202">
        <f>'Price Data Entry'!FZ77</f>
        <v>868.05555555555554</v>
      </c>
      <c r="BI55" s="598">
        <v>868.05555555555554</v>
      </c>
      <c r="BJ55" s="202">
        <f>'Price Data Entry'!GF77</f>
        <v>227.68124625524266</v>
      </c>
      <c r="BK55" s="196">
        <f>'Price Data Entry'!GF164</f>
        <v>572.51908396946567</v>
      </c>
      <c r="BL55" s="202">
        <f>'Price Data Entry'!GL77</f>
        <v>183.96846254927729</v>
      </c>
      <c r="BM55" s="202">
        <f>'Price Data Entry'!GL164</f>
        <v>246.6091245376079</v>
      </c>
      <c r="BN55" s="202">
        <f>'Price Data Entry'!GR77</f>
        <v>285.23489932885906</v>
      </c>
      <c r="BO55" s="203">
        <f>'Price Data Entry'!GR164</f>
        <v>285.38812785388126</v>
      </c>
      <c r="BP55" s="202">
        <f>'Price Data Entry'!GX77</f>
        <v>138.99920571882447</v>
      </c>
      <c r="BQ55" s="202">
        <f>'Price Data Entry'!GX164</f>
        <v>111.1111111111111</v>
      </c>
      <c r="BR55" s="202">
        <f>'Price Data Entry'!HD77</f>
        <v>93.277310924369758</v>
      </c>
      <c r="BS55" s="202">
        <f>'Price Data Entry'!HD164</f>
        <v>140.64015518913675</v>
      </c>
      <c r="BT55" s="202">
        <f>'Price Data Entry'!HJ77</f>
        <v>252.57249766136579</v>
      </c>
      <c r="BU55" s="202">
        <f>'Price Data Entry'!HJ164</f>
        <v>307.95072788353866</v>
      </c>
      <c r="BV55" s="202">
        <f>'Price Data Entry'!HP77</f>
        <v>318.75</v>
      </c>
      <c r="BW55" s="202">
        <f>'Price Data Entry'!HP164</f>
        <v>322.78481012658227</v>
      </c>
      <c r="BX55" s="202">
        <f>'Price Data Entry'!HV77</f>
        <v>409.55631399317411</v>
      </c>
      <c r="BY55" s="202">
        <f>'Price Data Entry'!HV164</f>
        <v>196.39934533551553</v>
      </c>
      <c r="BZ55" s="860">
        <v>196.39934533551553</v>
      </c>
      <c r="CA55" s="860">
        <v>196.39934533551553</v>
      </c>
      <c r="CB55" s="202">
        <f>'Price Data Entry'!IH77</f>
        <v>796.17834394904469</v>
      </c>
      <c r="CC55" s="202">
        <f>'Price Data Entry'!IH164</f>
        <v>950.57034220532319</v>
      </c>
      <c r="CD55" s="202">
        <f>'Price Data Entry'!IN77</f>
        <v>904.97737556561083</v>
      </c>
      <c r="CE55" s="203">
        <f>'Price Data Entry'!IN164</f>
        <v>888.88888888888891</v>
      </c>
      <c r="CF55" s="202">
        <f>'Price Data Entry'!IT77</f>
        <v>888.88888888888891</v>
      </c>
      <c r="CG55" s="202">
        <f>'Price Data Entry'!IT164</f>
        <v>537.63440860215053</v>
      </c>
      <c r="CH55" s="202">
        <f>'Price Data Entry'!IZ77</f>
        <v>580.80808080808094</v>
      </c>
      <c r="CI55" s="202">
        <f>'Price Data Entry'!IZ164</f>
        <v>483.31415420023006</v>
      </c>
      <c r="CJ55" s="202">
        <f>'Price Data Entry'!JF77</f>
        <v>269.09722222222223</v>
      </c>
      <c r="CK55" s="202">
        <f>'Price Data Entry'!JF164</f>
        <v>182.25190839694656</v>
      </c>
      <c r="CL55" s="203">
        <f>'Price Data Entry'!JL77</f>
        <v>204.08163265306121</v>
      </c>
      <c r="CM55" s="202">
        <f>'Price Data Entry'!JL164</f>
        <v>265.67481402763019</v>
      </c>
      <c r="CN55" s="203">
        <f>'Price Data Entry'!JR77</f>
        <v>204.85584218512898</v>
      </c>
      <c r="CO55" s="202">
        <f>'Price Data Entry'!JR164</f>
        <v>119.04761904761905</v>
      </c>
      <c r="CP55" s="766">
        <f>'Price Data Entry'!JX77</f>
        <v>113.48005502063275</v>
      </c>
      <c r="CQ55" s="766">
        <f>'Price Data Entry'!JX164</f>
        <v>175.64402810304452</v>
      </c>
      <c r="CR55" s="766">
        <f>'Price Data Entry'!KD77</f>
        <v>242.13075060532688</v>
      </c>
      <c r="CS55" s="766">
        <f>'Price Data Entry'!KD164</f>
        <v>172.41379310344831</v>
      </c>
      <c r="CT55" s="787">
        <v>172.41</v>
      </c>
      <c r="CU55" s="202">
        <f>'Price Data Entry'!KJ164</f>
        <v>268.81720430107526</v>
      </c>
      <c r="CV55" s="799">
        <f>'Price Data Entry'!KP77</f>
        <v>530.50397877984085</v>
      </c>
      <c r="CW55" s="799">
        <f>'Price Data Entry'!KP164</f>
        <v>429.55326460481103</v>
      </c>
      <c r="CX55" s="787">
        <v>429.55</v>
      </c>
      <c r="CY55" s="801">
        <f>'Price Data Entry'!KV164</f>
        <v>398.55072463768113</v>
      </c>
      <c r="CZ55" s="202">
        <v>0</v>
      </c>
      <c r="DA55" s="596">
        <v>0</v>
      </c>
      <c r="DB55" s="803">
        <v>0</v>
      </c>
      <c r="DC55" s="799">
        <v>0</v>
      </c>
      <c r="DD55" s="799">
        <v>0</v>
      </c>
      <c r="DE55" s="799">
        <v>0</v>
      </c>
      <c r="DF55" s="799">
        <f>'Price Data Entry'!LT77</f>
        <v>174.21602787456447</v>
      </c>
      <c r="DG55" s="799">
        <f>'Price Data Entry'!LT164</f>
        <v>346.02076124567475</v>
      </c>
      <c r="DH55" s="799">
        <f>'Price Data Entry'!LZ77</f>
        <v>265.26526526526533</v>
      </c>
      <c r="DI55" s="799">
        <f>'Price Data Entry'!LZ164</f>
        <v>201.93151887620718</v>
      </c>
      <c r="DJ55" s="799">
        <f>'Price Data Entry'!MF77</f>
        <v>178.14726840855107</v>
      </c>
      <c r="DK55" s="799">
        <f>'Price Data Entry'!MF164</f>
        <v>240.59492563429572</v>
      </c>
      <c r="DL55" s="799">
        <f>'Price Data Entry'!ML77</f>
        <v>250.62656641604011</v>
      </c>
      <c r="DM55" s="799">
        <f>'Price Data Entry'!ML164</f>
        <v>193.05019305019306</v>
      </c>
      <c r="DN55" s="799">
        <f t="shared" si="16"/>
        <v>221.60262294175871</v>
      </c>
      <c r="DO55" s="799">
        <f t="shared" si="17"/>
        <v>214.32551588784096</v>
      </c>
      <c r="DP55" s="799">
        <f t="shared" si="18"/>
        <v>216.39118205644661</v>
      </c>
      <c r="DQ55" s="801">
        <f t="shared" si="19"/>
        <v>222.76516766442919</v>
      </c>
      <c r="DR55" s="834">
        <f>'Price Data Entry'!ND77</f>
        <v>757.57575757575762</v>
      </c>
      <c r="DS55" s="834">
        <f>'Price Data Entry'!ND164</f>
        <v>663.71681415929208</v>
      </c>
      <c r="DT55" s="834">
        <v>0</v>
      </c>
      <c r="DU55" s="834">
        <v>0</v>
      </c>
      <c r="DV55" s="834">
        <f>'Price Data Entry'!NP77</f>
        <v>793.65079365079362</v>
      </c>
      <c r="DW55" s="834">
        <f>'Price Data Entry'!NP164</f>
        <v>1126.1261261261263</v>
      </c>
      <c r="DX55" s="834">
        <f>'Price Data Entry'!NV77</f>
        <v>789.47368421052636</v>
      </c>
      <c r="DY55" s="834">
        <v>0</v>
      </c>
      <c r="DZ55" s="834">
        <f>'Price Data Entry'!OB77</f>
        <v>588.23529411764707</v>
      </c>
      <c r="EA55" s="834">
        <f>'Price Data Entry'!OB164</f>
        <v>555.55555555555554</v>
      </c>
      <c r="EB55" s="834">
        <f>'Price Data Entry'!OH77</f>
        <v>526.31578947368416</v>
      </c>
      <c r="EC55" s="834">
        <f>'Price Data Entry'!OH164</f>
        <v>392.92730844793715</v>
      </c>
    </row>
    <row r="56" spans="1:138">
      <c r="A56" s="205" t="s">
        <v>447</v>
      </c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F56" s="178"/>
      <c r="CG56" s="178"/>
      <c r="CH56" s="178"/>
      <c r="CI56" s="178"/>
      <c r="CJ56" s="178"/>
      <c r="CK56" s="178"/>
      <c r="CL56" s="178"/>
      <c r="CM56" s="852"/>
      <c r="CN56" s="178"/>
      <c r="CO56" s="852"/>
    </row>
    <row r="57" spans="1:138">
      <c r="A57" s="181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</row>
    <row r="58" spans="1:138">
      <c r="A58" s="206" t="s">
        <v>158</v>
      </c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F58" s="178"/>
      <c r="CG58" s="178"/>
      <c r="CH58" s="178"/>
      <c r="CI58" s="178"/>
      <c r="CJ58" s="178"/>
      <c r="CK58" s="178"/>
      <c r="CL58" s="178"/>
      <c r="CM58" s="178"/>
      <c r="CN58" s="178"/>
      <c r="CO58" s="178"/>
    </row>
    <row r="59" spans="1:138">
      <c r="A59" s="181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</row>
    <row r="60" spans="1:138">
      <c r="A60" s="182" t="s">
        <v>56</v>
      </c>
      <c r="B60" s="655" t="s">
        <v>277</v>
      </c>
      <c r="C60" s="655" t="s">
        <v>278</v>
      </c>
      <c r="D60" s="655" t="s">
        <v>279</v>
      </c>
      <c r="E60" s="655" t="s">
        <v>280</v>
      </c>
      <c r="F60" s="655" t="s">
        <v>281</v>
      </c>
      <c r="G60" s="655" t="s">
        <v>282</v>
      </c>
      <c r="H60" s="601" t="s">
        <v>283</v>
      </c>
      <c r="I60" s="601" t="s">
        <v>284</v>
      </c>
      <c r="J60" s="601" t="s">
        <v>285</v>
      </c>
      <c r="K60" s="601" t="s">
        <v>286</v>
      </c>
      <c r="L60" s="601" t="s">
        <v>287</v>
      </c>
      <c r="M60" s="601" t="s">
        <v>288</v>
      </c>
      <c r="N60" s="185" t="s">
        <v>289</v>
      </c>
      <c r="O60" s="185" t="s">
        <v>290</v>
      </c>
      <c r="P60" s="185" t="s">
        <v>291</v>
      </c>
      <c r="Q60" s="185" t="s">
        <v>292</v>
      </c>
      <c r="R60" s="185" t="s">
        <v>293</v>
      </c>
      <c r="S60" s="185" t="s">
        <v>294</v>
      </c>
      <c r="T60" s="227" t="s">
        <v>295</v>
      </c>
      <c r="U60" s="227" t="s">
        <v>296</v>
      </c>
      <c r="V60" s="227" t="s">
        <v>297</v>
      </c>
      <c r="W60" s="227" t="s">
        <v>298</v>
      </c>
      <c r="X60" s="227" t="s">
        <v>299</v>
      </c>
      <c r="Y60" s="227" t="s">
        <v>333</v>
      </c>
      <c r="Z60" s="600" t="s">
        <v>255</v>
      </c>
      <c r="AA60" s="600" t="s">
        <v>256</v>
      </c>
      <c r="AB60" s="600" t="s">
        <v>257</v>
      </c>
      <c r="AC60" s="600" t="s">
        <v>258</v>
      </c>
      <c r="AD60" s="600" t="s">
        <v>259</v>
      </c>
      <c r="AE60" s="600" t="s">
        <v>260</v>
      </c>
      <c r="AF60" s="657" t="s">
        <v>261</v>
      </c>
      <c r="AG60" s="657" t="s">
        <v>262</v>
      </c>
      <c r="AH60" s="657" t="s">
        <v>263</v>
      </c>
      <c r="AI60" s="657" t="s">
        <v>264</v>
      </c>
      <c r="AJ60" s="657" t="s">
        <v>265</v>
      </c>
      <c r="AK60" s="657" t="s">
        <v>266</v>
      </c>
      <c r="AL60" s="658" t="s">
        <v>267</v>
      </c>
      <c r="AM60" s="658" t="s">
        <v>268</v>
      </c>
      <c r="AN60" s="658" t="s">
        <v>269</v>
      </c>
      <c r="AO60" s="658" t="s">
        <v>270</v>
      </c>
      <c r="AP60" s="658" t="s">
        <v>271</v>
      </c>
      <c r="AQ60" s="658" t="s">
        <v>272</v>
      </c>
      <c r="AR60" s="184" t="s">
        <v>273</v>
      </c>
      <c r="AS60" s="184" t="s">
        <v>274</v>
      </c>
      <c r="AT60" s="184" t="s">
        <v>275</v>
      </c>
      <c r="AU60" s="184" t="s">
        <v>276</v>
      </c>
      <c r="AV60" s="184" t="s">
        <v>254</v>
      </c>
      <c r="AW60" s="184" t="s">
        <v>332</v>
      </c>
      <c r="AX60" s="602" t="s">
        <v>123</v>
      </c>
      <c r="AY60" s="602" t="s">
        <v>124</v>
      </c>
      <c r="AZ60" s="602" t="s">
        <v>125</v>
      </c>
      <c r="BA60" s="602" t="s">
        <v>126</v>
      </c>
      <c r="BB60" s="602" t="s">
        <v>127</v>
      </c>
      <c r="BC60" s="602" t="s">
        <v>128</v>
      </c>
      <c r="BD60" s="654" t="s">
        <v>129</v>
      </c>
      <c r="BE60" s="654" t="s">
        <v>130</v>
      </c>
      <c r="BF60" s="654" t="s">
        <v>131</v>
      </c>
      <c r="BG60" s="654" t="s">
        <v>132</v>
      </c>
      <c r="BH60" s="654" t="s">
        <v>133</v>
      </c>
      <c r="BI60" s="654" t="s">
        <v>134</v>
      </c>
      <c r="BJ60" s="659" t="s">
        <v>135</v>
      </c>
      <c r="BK60" s="659" t="s">
        <v>136</v>
      </c>
      <c r="BL60" s="659" t="s">
        <v>137</v>
      </c>
      <c r="BM60" s="659" t="s">
        <v>138</v>
      </c>
      <c r="BN60" s="659" t="s">
        <v>139</v>
      </c>
      <c r="BO60" s="659" t="s">
        <v>140</v>
      </c>
      <c r="BP60" s="228" t="s">
        <v>141</v>
      </c>
      <c r="BQ60" s="228" t="s">
        <v>142</v>
      </c>
      <c r="BR60" s="228" t="s">
        <v>143</v>
      </c>
      <c r="BS60" s="228" t="s">
        <v>144</v>
      </c>
      <c r="BT60" s="228" t="s">
        <v>145</v>
      </c>
      <c r="BU60" s="228" t="s">
        <v>146</v>
      </c>
      <c r="BV60" s="183" t="s">
        <v>147</v>
      </c>
      <c r="BW60" s="183" t="s">
        <v>148</v>
      </c>
      <c r="BX60" s="183" t="s">
        <v>149</v>
      </c>
      <c r="BY60" s="183" t="s">
        <v>150</v>
      </c>
      <c r="BZ60" s="183" t="s">
        <v>151</v>
      </c>
      <c r="CA60" s="183" t="s">
        <v>152</v>
      </c>
      <c r="CB60" s="656" t="s">
        <v>153</v>
      </c>
      <c r="CC60" s="656" t="s">
        <v>154</v>
      </c>
      <c r="CD60" s="656" t="s">
        <v>155</v>
      </c>
      <c r="CE60" s="656" t="s">
        <v>156</v>
      </c>
      <c r="CF60" s="656" t="s">
        <v>324</v>
      </c>
      <c r="CG60" s="656" t="s">
        <v>325</v>
      </c>
      <c r="CH60" s="660" t="s">
        <v>326</v>
      </c>
      <c r="CI60" s="660" t="s">
        <v>327</v>
      </c>
      <c r="CJ60" s="660" t="s">
        <v>328</v>
      </c>
      <c r="CK60" s="660" t="s">
        <v>329</v>
      </c>
      <c r="CL60" s="660" t="s">
        <v>330</v>
      </c>
      <c r="CM60" s="660" t="s">
        <v>331</v>
      </c>
      <c r="CN60" s="609" t="s">
        <v>339</v>
      </c>
      <c r="CO60" s="609" t="s">
        <v>340</v>
      </c>
      <c r="CP60" s="609" t="s">
        <v>385</v>
      </c>
      <c r="CQ60" s="609" t="s">
        <v>386</v>
      </c>
      <c r="CR60" s="609" t="s">
        <v>387</v>
      </c>
      <c r="CS60" s="609" t="s">
        <v>388</v>
      </c>
      <c r="CT60" s="785" t="s">
        <v>394</v>
      </c>
      <c r="CU60" s="785" t="s">
        <v>395</v>
      </c>
      <c r="CV60" s="785" t="s">
        <v>396</v>
      </c>
      <c r="CW60" s="785" t="s">
        <v>397</v>
      </c>
      <c r="CX60" s="785" t="s">
        <v>398</v>
      </c>
      <c r="CY60" s="785" t="s">
        <v>399</v>
      </c>
      <c r="CZ60" s="795" t="s">
        <v>405</v>
      </c>
      <c r="DA60" s="795" t="s">
        <v>406</v>
      </c>
      <c r="DB60" s="795" t="s">
        <v>407</v>
      </c>
      <c r="DC60" s="795" t="s">
        <v>408</v>
      </c>
      <c r="DD60" s="795" t="s">
        <v>409</v>
      </c>
      <c r="DE60" s="795" t="s">
        <v>410</v>
      </c>
      <c r="DF60" s="804" t="s">
        <v>418</v>
      </c>
      <c r="DG60" s="804" t="s">
        <v>419</v>
      </c>
      <c r="DH60" s="804" t="s">
        <v>420</v>
      </c>
      <c r="DI60" s="804" t="s">
        <v>421</v>
      </c>
      <c r="DJ60" s="804" t="s">
        <v>422</v>
      </c>
      <c r="DK60" s="804" t="s">
        <v>423</v>
      </c>
      <c r="DL60" s="807" t="s">
        <v>424</v>
      </c>
      <c r="DM60" s="807" t="s">
        <v>425</v>
      </c>
      <c r="DN60" s="807" t="s">
        <v>426</v>
      </c>
      <c r="DO60" s="807" t="s">
        <v>427</v>
      </c>
      <c r="DP60" s="807" t="s">
        <v>428</v>
      </c>
      <c r="DQ60" s="807" t="s">
        <v>429</v>
      </c>
      <c r="DR60" s="831" t="s">
        <v>436</v>
      </c>
      <c r="DS60" s="831" t="s">
        <v>437</v>
      </c>
      <c r="DT60" s="831" t="s">
        <v>438</v>
      </c>
      <c r="DU60" s="831" t="s">
        <v>439</v>
      </c>
      <c r="DV60" s="831" t="s">
        <v>440</v>
      </c>
      <c r="DW60" s="831" t="s">
        <v>441</v>
      </c>
      <c r="DX60" s="922" t="s">
        <v>451</v>
      </c>
      <c r="DY60" s="922" t="s">
        <v>452</v>
      </c>
      <c r="DZ60" s="922" t="s">
        <v>453</v>
      </c>
      <c r="EA60" s="922" t="s">
        <v>454</v>
      </c>
      <c r="EB60" s="922" t="s">
        <v>455</v>
      </c>
      <c r="EC60" s="922" t="s">
        <v>456</v>
      </c>
    </row>
    <row r="61" spans="1:138" s="178" customFormat="1">
      <c r="A61" s="850" t="s">
        <v>445</v>
      </c>
      <c r="B61" s="877">
        <f>SUM(B62:B68)</f>
        <v>368.85052530508824</v>
      </c>
      <c r="C61" s="877">
        <f t="shared" ref="C61:BN61" si="26">SUM(C62:C68)</f>
        <v>555.22197234409612</v>
      </c>
      <c r="D61" s="877">
        <f t="shared" si="26"/>
        <v>276.76233685100658</v>
      </c>
      <c r="E61" s="877">
        <f t="shared" si="26"/>
        <v>237.84397223054262</v>
      </c>
      <c r="F61" s="877">
        <f t="shared" si="26"/>
        <v>285.3493502615587</v>
      </c>
      <c r="G61" s="877">
        <f t="shared" si="26"/>
        <v>538.09561837652677</v>
      </c>
      <c r="H61" s="877">
        <f t="shared" si="26"/>
        <v>369.34577571957732</v>
      </c>
      <c r="I61" s="877">
        <f t="shared" si="26"/>
        <v>422.95092176409008</v>
      </c>
      <c r="J61" s="877">
        <f t="shared" si="26"/>
        <v>329.05123522867711</v>
      </c>
      <c r="K61" s="877">
        <f t="shared" si="26"/>
        <v>400.99904156717753</v>
      </c>
      <c r="L61" s="877">
        <f t="shared" si="26"/>
        <v>0</v>
      </c>
      <c r="M61" s="877">
        <f t="shared" si="26"/>
        <v>374.03509576193642</v>
      </c>
      <c r="N61" s="877">
        <f t="shared" si="26"/>
        <v>1334.0791877570077</v>
      </c>
      <c r="O61" s="877">
        <f t="shared" si="26"/>
        <v>0</v>
      </c>
      <c r="P61" s="877">
        <f t="shared" si="26"/>
        <v>1053.4558017196639</v>
      </c>
      <c r="Q61" s="877">
        <f t="shared" si="26"/>
        <v>272.39194086528425</v>
      </c>
      <c r="R61" s="877">
        <f t="shared" si="26"/>
        <v>186.74534011774853</v>
      </c>
      <c r="S61" s="877">
        <f t="shared" si="26"/>
        <v>226.56581613628671</v>
      </c>
      <c r="T61" s="877">
        <f t="shared" si="26"/>
        <v>0</v>
      </c>
      <c r="U61" s="877">
        <f t="shared" si="26"/>
        <v>0</v>
      </c>
      <c r="V61" s="877">
        <f t="shared" si="26"/>
        <v>0</v>
      </c>
      <c r="W61" s="877">
        <f t="shared" si="26"/>
        <v>0</v>
      </c>
      <c r="X61" s="877">
        <f t="shared" si="26"/>
        <v>885.8087626134087</v>
      </c>
      <c r="Y61" s="877">
        <f t="shared" si="26"/>
        <v>0</v>
      </c>
      <c r="Z61" s="877">
        <f t="shared" si="26"/>
        <v>933.74132043974146</v>
      </c>
      <c r="AA61" s="877">
        <f t="shared" si="26"/>
        <v>253.33265103443225</v>
      </c>
      <c r="AB61" s="877">
        <f t="shared" si="26"/>
        <v>1118.1833459728578</v>
      </c>
      <c r="AC61" s="877">
        <f t="shared" si="26"/>
        <v>0</v>
      </c>
      <c r="AD61" s="877">
        <f t="shared" si="26"/>
        <v>124.71274669749293</v>
      </c>
      <c r="AE61" s="877">
        <f t="shared" si="26"/>
        <v>573.785843378712</v>
      </c>
      <c r="AF61" s="877">
        <f t="shared" si="26"/>
        <v>0</v>
      </c>
      <c r="AG61" s="877">
        <f t="shared" si="26"/>
        <v>743.9167514786551</v>
      </c>
      <c r="AH61" s="877">
        <f t="shared" si="26"/>
        <v>957.96784373705782</v>
      </c>
      <c r="AI61" s="877">
        <f t="shared" si="26"/>
        <v>702.96950475231802</v>
      </c>
      <c r="AJ61" s="877">
        <f t="shared" si="26"/>
        <v>926.18687278155039</v>
      </c>
      <c r="AK61" s="877">
        <f t="shared" si="26"/>
        <v>1094.6986145599915</v>
      </c>
      <c r="AL61" s="877">
        <f t="shared" si="26"/>
        <v>1024.8664027552163</v>
      </c>
      <c r="AM61" s="877">
        <f t="shared" si="26"/>
        <v>421.15209388591597</v>
      </c>
      <c r="AN61" s="877">
        <f t="shared" si="26"/>
        <v>0</v>
      </c>
      <c r="AO61" s="877">
        <f t="shared" si="26"/>
        <v>0</v>
      </c>
      <c r="AP61" s="877">
        <f t="shared" si="26"/>
        <v>0</v>
      </c>
      <c r="AQ61" s="877">
        <f t="shared" si="26"/>
        <v>0</v>
      </c>
      <c r="AR61" s="877">
        <f t="shared" si="26"/>
        <v>0</v>
      </c>
      <c r="AS61" s="877">
        <f t="shared" si="26"/>
        <v>0</v>
      </c>
      <c r="AT61" s="877">
        <f t="shared" si="26"/>
        <v>0</v>
      </c>
      <c r="AU61" s="877">
        <f t="shared" si="26"/>
        <v>0</v>
      </c>
      <c r="AV61" s="877">
        <f t="shared" si="26"/>
        <v>0</v>
      </c>
      <c r="AW61" s="877">
        <f t="shared" si="26"/>
        <v>0</v>
      </c>
      <c r="AX61" s="877">
        <f t="shared" si="26"/>
        <v>708.08919215174581</v>
      </c>
      <c r="AY61" s="877">
        <f t="shared" si="26"/>
        <v>0</v>
      </c>
      <c r="AZ61" s="877">
        <f t="shared" si="26"/>
        <v>935.98494345378674</v>
      </c>
      <c r="BA61" s="877">
        <f t="shared" si="26"/>
        <v>355.85101816008296</v>
      </c>
      <c r="BB61" s="877">
        <f t="shared" si="26"/>
        <v>277.98456453582241</v>
      </c>
      <c r="BC61" s="877">
        <f t="shared" si="26"/>
        <v>493.14428096461518</v>
      </c>
      <c r="BD61" s="877">
        <f t="shared" si="26"/>
        <v>433.147580984721</v>
      </c>
      <c r="BE61" s="877">
        <f t="shared" si="26"/>
        <v>802.52809041622265</v>
      </c>
      <c r="BF61" s="877">
        <f t="shared" si="26"/>
        <v>906.30164818716537</v>
      </c>
      <c r="BG61" s="877">
        <f t="shared" si="26"/>
        <v>934.65124489434061</v>
      </c>
      <c r="BH61" s="877">
        <f t="shared" si="26"/>
        <v>881.66767357405911</v>
      </c>
      <c r="BI61" s="877">
        <f t="shared" si="26"/>
        <v>1128.9721415473246</v>
      </c>
      <c r="BJ61" s="877">
        <f t="shared" si="26"/>
        <v>772.39172149308149</v>
      </c>
      <c r="BK61" s="877">
        <f t="shared" si="26"/>
        <v>800.37232447075007</v>
      </c>
      <c r="BL61" s="877">
        <f t="shared" si="26"/>
        <v>799.83851814508307</v>
      </c>
      <c r="BM61" s="877">
        <f t="shared" si="26"/>
        <v>886.75427369310523</v>
      </c>
      <c r="BN61" s="877">
        <f t="shared" si="26"/>
        <v>647.99812647674094</v>
      </c>
      <c r="BO61" s="877">
        <f t="shared" ref="BO61:DV61" si="27">SUM(BO62:BO68)</f>
        <v>417.19026271203762</v>
      </c>
      <c r="BP61" s="877">
        <f t="shared" si="27"/>
        <v>830.52201136779479</v>
      </c>
      <c r="BQ61" s="877">
        <f t="shared" si="27"/>
        <v>373.52900423830795</v>
      </c>
      <c r="BR61" s="877">
        <f t="shared" si="27"/>
        <v>790.09253859319278</v>
      </c>
      <c r="BS61" s="877">
        <f t="shared" si="27"/>
        <v>308.39727833562688</v>
      </c>
      <c r="BT61" s="877">
        <f t="shared" si="27"/>
        <v>1169.6777816109216</v>
      </c>
      <c r="BU61" s="877">
        <f t="shared" si="27"/>
        <v>1148.0579641977636</v>
      </c>
      <c r="BV61" s="877">
        <f t="shared" si="27"/>
        <v>352.71025825327126</v>
      </c>
      <c r="BW61" s="877">
        <f t="shared" si="27"/>
        <v>585.53581880271952</v>
      </c>
      <c r="BX61" s="877">
        <f t="shared" si="27"/>
        <v>252.91429791150875</v>
      </c>
      <c r="BY61" s="877">
        <f t="shared" si="27"/>
        <v>191.08483234805246</v>
      </c>
      <c r="BZ61" s="877">
        <f t="shared" si="27"/>
        <v>1058.1778472443218</v>
      </c>
      <c r="CA61" s="877">
        <f t="shared" si="27"/>
        <v>890.18863073480236</v>
      </c>
      <c r="CB61" s="877">
        <f t="shared" si="27"/>
        <v>846.10982874046454</v>
      </c>
      <c r="CC61" s="877">
        <f t="shared" si="27"/>
        <v>791.55518539578497</v>
      </c>
      <c r="CD61" s="877">
        <f t="shared" si="27"/>
        <v>890.43976852599951</v>
      </c>
      <c r="CE61" s="877">
        <f t="shared" si="27"/>
        <v>1568.1700642164562</v>
      </c>
      <c r="CF61" s="877">
        <f t="shared" si="27"/>
        <v>527.35643165877582</v>
      </c>
      <c r="CG61" s="877">
        <f t="shared" si="27"/>
        <v>1797.1065806252011</v>
      </c>
      <c r="CH61" s="877">
        <f t="shared" si="27"/>
        <v>1308.8209250641166</v>
      </c>
      <c r="CI61" s="877">
        <f t="shared" si="27"/>
        <v>824.44551285662976</v>
      </c>
      <c r="CJ61" s="877">
        <f t="shared" si="27"/>
        <v>1490.9582925827635</v>
      </c>
      <c r="CK61" s="877">
        <f t="shared" si="27"/>
        <v>722.71009485457148</v>
      </c>
      <c r="CL61" s="877">
        <f t="shared" si="27"/>
        <v>478.55820148328223</v>
      </c>
      <c r="CM61" s="877">
        <f t="shared" si="27"/>
        <v>549.29227850271081</v>
      </c>
      <c r="CN61" s="877">
        <f t="shared" si="27"/>
        <v>310.43360904105356</v>
      </c>
      <c r="CO61" s="877">
        <f t="shared" si="27"/>
        <v>655.38533021708679</v>
      </c>
      <c r="CP61" s="877">
        <f t="shared" si="27"/>
        <v>748.81549717368898</v>
      </c>
      <c r="CQ61" s="877">
        <f t="shared" si="27"/>
        <v>2723.0908864501853</v>
      </c>
      <c r="CR61" s="877">
        <f t="shared" si="27"/>
        <v>548.12238124775308</v>
      </c>
      <c r="CS61" s="877">
        <f t="shared" si="27"/>
        <v>512.96042051682207</v>
      </c>
      <c r="CT61" s="877">
        <f t="shared" si="27"/>
        <v>276.86008569118741</v>
      </c>
      <c r="CU61" s="877">
        <f t="shared" si="27"/>
        <v>452.76994820650907</v>
      </c>
      <c r="CV61" s="877">
        <f t="shared" si="27"/>
        <v>427.31797387977497</v>
      </c>
      <c r="CW61" s="877">
        <f t="shared" si="27"/>
        <v>443.71021830978322</v>
      </c>
      <c r="CX61" s="877">
        <f t="shared" si="27"/>
        <v>399.06747531731918</v>
      </c>
      <c r="CY61" s="877">
        <f t="shared" si="27"/>
        <v>525.90691643615776</v>
      </c>
      <c r="CZ61" s="877">
        <f t="shared" si="27"/>
        <v>0</v>
      </c>
      <c r="DA61" s="877">
        <f t="shared" si="27"/>
        <v>0</v>
      </c>
      <c r="DB61" s="877">
        <f t="shared" si="27"/>
        <v>0</v>
      </c>
      <c r="DC61" s="877">
        <f t="shared" si="27"/>
        <v>22.578756682760229</v>
      </c>
      <c r="DD61" s="877">
        <f t="shared" si="27"/>
        <v>19.279383128337976</v>
      </c>
      <c r="DE61" s="877">
        <f t="shared" si="27"/>
        <v>167.81756855512464</v>
      </c>
      <c r="DF61" s="877">
        <f t="shared" si="27"/>
        <v>17.1648497657993</v>
      </c>
      <c r="DG61" s="877">
        <f t="shared" si="27"/>
        <v>26.617379234067286</v>
      </c>
      <c r="DH61" s="877">
        <f t="shared" si="27"/>
        <v>221.90064280295093</v>
      </c>
      <c r="DI61" s="877">
        <f t="shared" si="27"/>
        <v>182.01005686197837</v>
      </c>
      <c r="DJ61" s="877">
        <f t="shared" si="27"/>
        <v>403.76055355114283</v>
      </c>
      <c r="DK61" s="877">
        <f t="shared" si="27"/>
        <v>278.86258444307805</v>
      </c>
      <c r="DL61" s="877">
        <f t="shared" si="27"/>
        <v>296.31928705000445</v>
      </c>
      <c r="DM61" s="877">
        <f t="shared" si="27"/>
        <v>278.47061759259589</v>
      </c>
      <c r="DN61" s="877">
        <f t="shared" si="27"/>
        <v>277.30541529254475</v>
      </c>
      <c r="DO61" s="877">
        <f t="shared" si="27"/>
        <v>290.50481730589541</v>
      </c>
      <c r="DP61" s="877">
        <f t="shared" si="27"/>
        <v>305.66466542797428</v>
      </c>
      <c r="DQ61" s="877">
        <f t="shared" si="27"/>
        <v>290.43853451016537</v>
      </c>
      <c r="DR61" s="877">
        <f t="shared" si="27"/>
        <v>685.31004872331073</v>
      </c>
      <c r="DS61" s="877">
        <f t="shared" si="27"/>
        <v>437.80966640406501</v>
      </c>
      <c r="DT61" s="877">
        <f t="shared" si="27"/>
        <v>539.49150555629672</v>
      </c>
      <c r="DU61" s="877">
        <f t="shared" si="27"/>
        <v>428.85090591151061</v>
      </c>
      <c r="DV61" s="877">
        <f t="shared" si="27"/>
        <v>329.08105116135175</v>
      </c>
      <c r="DW61" s="878">
        <f>SUM(DW62:DW68)</f>
        <v>612.20420126764202</v>
      </c>
      <c r="DX61" s="877">
        <f t="shared" ref="DX61:EB61" si="28">SUM(DX62:DX68)</f>
        <v>613.41493394251825</v>
      </c>
      <c r="DY61" s="877">
        <f t="shared" si="28"/>
        <v>357.14194733883704</v>
      </c>
      <c r="DZ61" s="877">
        <f t="shared" si="28"/>
        <v>261.159346418089</v>
      </c>
      <c r="EA61" s="877">
        <f t="shared" si="28"/>
        <v>467.43272155016274</v>
      </c>
      <c r="EB61" s="877">
        <f t="shared" si="28"/>
        <v>245.98176451988638</v>
      </c>
      <c r="EC61" s="878">
        <f>SUM(EC62:EC68)</f>
        <v>675.40303851079432</v>
      </c>
      <c r="ED61" s="852"/>
      <c r="EE61" s="852"/>
      <c r="EF61" s="852"/>
      <c r="EG61" s="852"/>
      <c r="EH61" s="852"/>
    </row>
    <row r="62" spans="1:138">
      <c r="A62" s="186" t="s">
        <v>9</v>
      </c>
      <c r="B62" s="207">
        <f t="shared" ref="B62:AG62" si="29">(B34*B7)/1000</f>
        <v>3.7546434219721205</v>
      </c>
      <c r="C62" s="207">
        <f t="shared" si="29"/>
        <v>0</v>
      </c>
      <c r="D62" s="207">
        <f t="shared" si="29"/>
        <v>5.110264599228989</v>
      </c>
      <c r="E62" s="207">
        <f t="shared" si="29"/>
        <v>0</v>
      </c>
      <c r="F62" s="207">
        <f t="shared" si="29"/>
        <v>12.468295621581243</v>
      </c>
      <c r="G62" s="207">
        <f t="shared" si="29"/>
        <v>19.408636740720301</v>
      </c>
      <c r="H62" s="207">
        <f t="shared" si="29"/>
        <v>27.928915094339622</v>
      </c>
      <c r="I62" s="207">
        <f t="shared" si="29"/>
        <v>12.135845660037702</v>
      </c>
      <c r="J62" s="207">
        <f t="shared" si="29"/>
        <v>17.866942933209863</v>
      </c>
      <c r="K62" s="207">
        <f t="shared" si="29"/>
        <v>14.195585911658092</v>
      </c>
      <c r="L62" s="207">
        <f t="shared" si="29"/>
        <v>0</v>
      </c>
      <c r="M62" s="207">
        <f t="shared" si="29"/>
        <v>5.7884902926687918</v>
      </c>
      <c r="N62" s="207">
        <f t="shared" si="29"/>
        <v>21.68273021954376</v>
      </c>
      <c r="O62" s="207">
        <f t="shared" si="29"/>
        <v>0</v>
      </c>
      <c r="P62" s="207">
        <f t="shared" si="29"/>
        <v>32.712030675553265</v>
      </c>
      <c r="Q62" s="207">
        <f t="shared" si="29"/>
        <v>40.339221088369015</v>
      </c>
      <c r="R62" s="207">
        <f t="shared" si="29"/>
        <v>6.8152946225620328</v>
      </c>
      <c r="S62" s="207">
        <f t="shared" si="29"/>
        <v>7.7157228725087004</v>
      </c>
      <c r="T62" s="207">
        <f t="shared" si="29"/>
        <v>0</v>
      </c>
      <c r="U62" s="207">
        <f t="shared" si="29"/>
        <v>0</v>
      </c>
      <c r="V62" s="207">
        <f t="shared" si="29"/>
        <v>0</v>
      </c>
      <c r="W62" s="207">
        <f t="shared" si="29"/>
        <v>0</v>
      </c>
      <c r="X62" s="207">
        <f t="shared" si="29"/>
        <v>3.9135122992249798</v>
      </c>
      <c r="Y62" s="207">
        <f t="shared" si="29"/>
        <v>0</v>
      </c>
      <c r="Z62" s="207">
        <f t="shared" si="29"/>
        <v>26.577125044054142</v>
      </c>
      <c r="AA62" s="207">
        <f t="shared" si="29"/>
        <v>11.71390596234208</v>
      </c>
      <c r="AB62" s="207">
        <f t="shared" si="29"/>
        <v>11.258388593714065</v>
      </c>
      <c r="AC62" s="207">
        <f t="shared" si="29"/>
        <v>0</v>
      </c>
      <c r="AD62" s="207">
        <f t="shared" si="29"/>
        <v>34.065454163162322</v>
      </c>
      <c r="AE62" s="207">
        <f t="shared" si="29"/>
        <v>50.457515792996695</v>
      </c>
      <c r="AF62" s="207">
        <f t="shared" si="29"/>
        <v>0</v>
      </c>
      <c r="AG62" s="207">
        <f t="shared" si="29"/>
        <v>55.972209771494271</v>
      </c>
      <c r="AH62" s="207">
        <f t="shared" ref="AH62:BM62" si="30">(AH34*AH7)/1000</f>
        <v>45.44429024248906</v>
      </c>
      <c r="AI62" s="207">
        <f t="shared" si="30"/>
        <v>79.60753672364585</v>
      </c>
      <c r="AJ62" s="207">
        <f t="shared" si="30"/>
        <v>103.74422013881166</v>
      </c>
      <c r="AK62" s="207">
        <f t="shared" si="30"/>
        <v>57.564754497495507</v>
      </c>
      <c r="AL62" s="207">
        <f t="shared" si="30"/>
        <v>142.74365831248059</v>
      </c>
      <c r="AM62" s="207">
        <f t="shared" si="30"/>
        <v>14.195585911658092</v>
      </c>
      <c r="AN62" s="207">
        <f t="shared" si="30"/>
        <v>0</v>
      </c>
      <c r="AO62" s="207">
        <f t="shared" si="30"/>
        <v>0</v>
      </c>
      <c r="AP62" s="207">
        <f t="shared" si="30"/>
        <v>0</v>
      </c>
      <c r="AQ62" s="207">
        <f t="shared" si="30"/>
        <v>0</v>
      </c>
      <c r="AR62" s="207">
        <f t="shared" si="30"/>
        <v>0</v>
      </c>
      <c r="AS62" s="207">
        <f t="shared" si="30"/>
        <v>0</v>
      </c>
      <c r="AT62" s="207">
        <f t="shared" si="30"/>
        <v>0</v>
      </c>
      <c r="AU62" s="207">
        <f t="shared" si="30"/>
        <v>0</v>
      </c>
      <c r="AV62" s="207">
        <f t="shared" si="30"/>
        <v>0</v>
      </c>
      <c r="AW62" s="207">
        <f t="shared" si="30"/>
        <v>0</v>
      </c>
      <c r="AX62" s="207">
        <f t="shared" si="30"/>
        <v>26.577125044054142</v>
      </c>
      <c r="AY62" s="207">
        <f t="shared" si="30"/>
        <v>0</v>
      </c>
      <c r="AZ62" s="207">
        <f t="shared" si="30"/>
        <v>6.9335207900349118</v>
      </c>
      <c r="BA62" s="207">
        <f t="shared" si="30"/>
        <v>0</v>
      </c>
      <c r="BB62" s="207">
        <f t="shared" si="30"/>
        <v>8.2038958770090851</v>
      </c>
      <c r="BC62" s="207">
        <f t="shared" si="30"/>
        <v>19.408636740720301</v>
      </c>
      <c r="BD62" s="207">
        <f t="shared" si="30"/>
        <v>15.219651263677955</v>
      </c>
      <c r="BE62" s="207">
        <f t="shared" si="30"/>
        <v>33.050151334909422</v>
      </c>
      <c r="BF62" s="207">
        <f t="shared" si="30"/>
        <v>20.729649082243618</v>
      </c>
      <c r="BG62" s="207">
        <f t="shared" si="30"/>
        <v>91.541897696236148</v>
      </c>
      <c r="BH62" s="207">
        <f t="shared" si="30"/>
        <v>127.09151773527242</v>
      </c>
      <c r="BI62" s="207">
        <f t="shared" si="30"/>
        <v>89.776158594037824</v>
      </c>
      <c r="BJ62" s="207">
        <f t="shared" si="30"/>
        <v>45.105428391582926</v>
      </c>
      <c r="BK62" s="207">
        <f t="shared" si="30"/>
        <v>129.80621060496512</v>
      </c>
      <c r="BL62" s="207">
        <f t="shared" si="30"/>
        <v>144.44778399657881</v>
      </c>
      <c r="BM62" s="207">
        <f t="shared" si="30"/>
        <v>55.35479837793045</v>
      </c>
      <c r="BN62" s="207">
        <f t="shared" ref="BN62:CS62" si="31">(BN34*BN7)/1000</f>
        <v>49.633190499455857</v>
      </c>
      <c r="BO62" s="207">
        <f t="shared" si="31"/>
        <v>42.411717617107591</v>
      </c>
      <c r="BP62" s="207">
        <f t="shared" si="31"/>
        <v>34.447098199360241</v>
      </c>
      <c r="BQ62" s="207">
        <f t="shared" si="31"/>
        <v>33.278019324741486</v>
      </c>
      <c r="BR62" s="207">
        <f t="shared" si="31"/>
        <v>77.746064855070244</v>
      </c>
      <c r="BS62" s="207">
        <f t="shared" si="31"/>
        <v>5.4314075950628427</v>
      </c>
      <c r="BT62" s="207">
        <f t="shared" si="31"/>
        <v>66.258978768800958</v>
      </c>
      <c r="BU62" s="207">
        <f t="shared" si="31"/>
        <v>211.30792471826339</v>
      </c>
      <c r="BV62" s="207">
        <f t="shared" si="31"/>
        <v>3.7546434219721205</v>
      </c>
      <c r="BW62" s="207">
        <f t="shared" si="31"/>
        <v>0</v>
      </c>
      <c r="BX62" s="207">
        <f t="shared" si="31"/>
        <v>5.110264599228989</v>
      </c>
      <c r="BY62" s="207">
        <f t="shared" si="31"/>
        <v>0</v>
      </c>
      <c r="BZ62" s="207">
        <f t="shared" si="31"/>
        <v>10.872835075674832</v>
      </c>
      <c r="CA62" s="207">
        <f t="shared" si="31"/>
        <v>40.517541172443295</v>
      </c>
      <c r="CB62" s="207">
        <f t="shared" si="31"/>
        <v>6.2284864690563815</v>
      </c>
      <c r="CC62" s="207">
        <f t="shared" si="31"/>
        <v>6.2116800841356685</v>
      </c>
      <c r="CD62" s="207">
        <f t="shared" si="31"/>
        <v>86.140397633826112</v>
      </c>
      <c r="CE62" s="207">
        <f t="shared" si="31"/>
        <v>96.178379281460792</v>
      </c>
      <c r="CF62" s="207">
        <f t="shared" si="31"/>
        <v>48.818578543899683</v>
      </c>
      <c r="CG62" s="207">
        <f t="shared" si="31"/>
        <v>68.742238080660883</v>
      </c>
      <c r="CH62" s="207">
        <f t="shared" si="31"/>
        <v>254.89471192990726</v>
      </c>
      <c r="CI62" s="207">
        <f t="shared" si="31"/>
        <v>19.609650065083603</v>
      </c>
      <c r="CJ62" s="207">
        <f t="shared" si="31"/>
        <v>69.301931980296089</v>
      </c>
      <c r="CK62" s="207">
        <f t="shared" si="31"/>
        <v>48.857683337029179</v>
      </c>
      <c r="CL62" s="207">
        <f t="shared" si="31"/>
        <v>58.232255506378209</v>
      </c>
      <c r="CM62" s="207">
        <f t="shared" si="31"/>
        <v>59.37526558924035</v>
      </c>
      <c r="CN62" s="207">
        <f t="shared" si="31"/>
        <v>45.673715624190436</v>
      </c>
      <c r="CO62" s="207">
        <f t="shared" si="31"/>
        <v>61.519147201402028</v>
      </c>
      <c r="CP62" s="771">
        <f t="shared" si="31"/>
        <v>90.501258180565657</v>
      </c>
      <c r="CQ62" s="771">
        <f t="shared" si="31"/>
        <v>522.74749142631788</v>
      </c>
      <c r="CR62" s="771">
        <f t="shared" si="31"/>
        <v>22.495657194453393</v>
      </c>
      <c r="CS62" s="771">
        <f t="shared" si="31"/>
        <v>16.132605060680223</v>
      </c>
      <c r="CT62" s="207">
        <f t="shared" ref="CT62:DE62" si="32">(CT34*CT7)/1000</f>
        <v>1.6460976451349956</v>
      </c>
      <c r="CU62" s="207">
        <f t="shared" si="32"/>
        <v>2.9650747183170507</v>
      </c>
      <c r="CV62" s="771">
        <f t="shared" si="32"/>
        <v>23.920957527651264</v>
      </c>
      <c r="CW62" s="771">
        <f t="shared" si="32"/>
        <v>3.3873761943894247</v>
      </c>
      <c r="CX62" s="771">
        <f t="shared" si="32"/>
        <v>0.91394170344827574</v>
      </c>
      <c r="CY62" s="771">
        <f t="shared" si="32"/>
        <v>0</v>
      </c>
      <c r="CZ62" s="207">
        <f t="shared" si="32"/>
        <v>0</v>
      </c>
      <c r="DA62" s="207">
        <f t="shared" si="32"/>
        <v>0</v>
      </c>
      <c r="DB62" s="771">
        <f t="shared" si="32"/>
        <v>0</v>
      </c>
      <c r="DC62" s="771">
        <f t="shared" si="32"/>
        <v>0</v>
      </c>
      <c r="DD62" s="771">
        <f t="shared" si="32"/>
        <v>0</v>
      </c>
      <c r="DE62" s="771">
        <f t="shared" si="32"/>
        <v>13.524345134246962</v>
      </c>
      <c r="DF62" s="207">
        <v>0</v>
      </c>
      <c r="DG62" s="207">
        <f t="shared" ref="DG62:DW62" si="33">(DG34*DG7)/1000</f>
        <v>5.371830564023047</v>
      </c>
      <c r="DH62" s="771">
        <f t="shared" si="33"/>
        <v>16.49344241670471</v>
      </c>
      <c r="DI62" s="771">
        <f t="shared" si="33"/>
        <v>50.19706292914811</v>
      </c>
      <c r="DJ62" s="771">
        <f t="shared" si="33"/>
        <v>46.183787147954732</v>
      </c>
      <c r="DK62" s="771">
        <f t="shared" si="33"/>
        <v>24.817622874835642</v>
      </c>
      <c r="DL62" s="207">
        <f t="shared" si="33"/>
        <v>66.179488113567729</v>
      </c>
      <c r="DM62" s="207">
        <f t="shared" si="33"/>
        <v>45.414306605143139</v>
      </c>
      <c r="DN62" s="771">
        <f t="shared" si="33"/>
        <v>40.607458200054801</v>
      </c>
      <c r="DO62" s="771">
        <f t="shared" si="33"/>
        <v>44.954653385552227</v>
      </c>
      <c r="DP62" s="771">
        <f t="shared" si="33"/>
        <v>43.959435680917245</v>
      </c>
      <c r="DQ62" s="771">
        <f t="shared" si="33"/>
        <v>43.593752163585727</v>
      </c>
      <c r="DR62" s="191">
        <f t="shared" si="33"/>
        <v>21.245386328849289</v>
      </c>
      <c r="DS62" s="191">
        <f t="shared" si="33"/>
        <v>14.769697613068832</v>
      </c>
      <c r="DT62" s="774">
        <f t="shared" si="33"/>
        <v>15.810422468154378</v>
      </c>
      <c r="DU62" s="774">
        <f t="shared" si="33"/>
        <v>47.805530897917379</v>
      </c>
      <c r="DV62" s="771">
        <f t="shared" si="33"/>
        <v>42.297455936548225</v>
      </c>
      <c r="DW62" s="771">
        <f t="shared" si="33"/>
        <v>100.45031995226435</v>
      </c>
      <c r="DX62" s="810">
        <f>(DX34*DX7)/1000</f>
        <v>85.649787545081409</v>
      </c>
      <c r="DY62" s="191">
        <f t="shared" ref="DY62:EC62" si="34">(DY34*DY7)/1000</f>
        <v>42.91560182173064</v>
      </c>
      <c r="DZ62" s="774">
        <f t="shared" si="34"/>
        <v>33.775276572131368</v>
      </c>
      <c r="EA62" s="774">
        <f t="shared" si="34"/>
        <v>61.294029538499288</v>
      </c>
      <c r="EB62" s="771">
        <f t="shared" si="34"/>
        <v>21.590508128599549</v>
      </c>
      <c r="EC62" s="771">
        <f t="shared" si="34"/>
        <v>83.124776742063759</v>
      </c>
    </row>
    <row r="63" spans="1:138">
      <c r="A63" s="189" t="s">
        <v>12</v>
      </c>
      <c r="B63" s="207">
        <f t="shared" ref="B63:AG63" si="35">(B35*B8)/1000</f>
        <v>32.743744018131281</v>
      </c>
      <c r="C63" s="207">
        <f t="shared" si="35"/>
        <v>31.930331350892104</v>
      </c>
      <c r="D63" s="207">
        <f t="shared" si="35"/>
        <v>70.832934807128339</v>
      </c>
      <c r="E63" s="207">
        <f t="shared" si="35"/>
        <v>47.991608391608388</v>
      </c>
      <c r="F63" s="207">
        <f t="shared" si="35"/>
        <v>13.28203610535661</v>
      </c>
      <c r="G63" s="207">
        <f t="shared" si="35"/>
        <v>71.778216420133745</v>
      </c>
      <c r="H63" s="207">
        <f t="shared" si="35"/>
        <v>173.93012568077086</v>
      </c>
      <c r="I63" s="207">
        <f t="shared" si="35"/>
        <v>170.58567204044644</v>
      </c>
      <c r="J63" s="207">
        <f t="shared" si="35"/>
        <v>18.066359447004601</v>
      </c>
      <c r="K63" s="207">
        <f t="shared" si="35"/>
        <v>188.61934518352265</v>
      </c>
      <c r="L63" s="207">
        <f t="shared" si="35"/>
        <v>0</v>
      </c>
      <c r="M63" s="207">
        <f t="shared" si="35"/>
        <v>100.91479975780642</v>
      </c>
      <c r="N63" s="207">
        <f t="shared" si="35"/>
        <v>674.81408672798943</v>
      </c>
      <c r="O63" s="207">
        <f t="shared" si="35"/>
        <v>0</v>
      </c>
      <c r="P63" s="207">
        <f t="shared" si="35"/>
        <v>379.32803305785126</v>
      </c>
      <c r="Q63" s="207">
        <f t="shared" si="35"/>
        <v>44.079092500397834</v>
      </c>
      <c r="R63" s="207">
        <f t="shared" si="35"/>
        <v>5.5605250364608674</v>
      </c>
      <c r="S63" s="207">
        <f t="shared" si="35"/>
        <v>5.2454417952314163</v>
      </c>
      <c r="T63" s="207">
        <f t="shared" si="35"/>
        <v>0</v>
      </c>
      <c r="U63" s="207">
        <f t="shared" si="35"/>
        <v>0</v>
      </c>
      <c r="V63" s="207">
        <f t="shared" si="35"/>
        <v>0</v>
      </c>
      <c r="W63" s="207">
        <f t="shared" si="35"/>
        <v>0</v>
      </c>
      <c r="X63" s="207">
        <f t="shared" si="35"/>
        <v>504.61699427573495</v>
      </c>
      <c r="Y63" s="207">
        <f t="shared" si="35"/>
        <v>0</v>
      </c>
      <c r="Z63" s="207">
        <f t="shared" si="35"/>
        <v>379.32803305785126</v>
      </c>
      <c r="AA63" s="207">
        <f t="shared" si="35"/>
        <v>38.6409853372434</v>
      </c>
      <c r="AB63" s="207">
        <f t="shared" si="35"/>
        <v>322.71711443711064</v>
      </c>
      <c r="AC63" s="207">
        <f t="shared" si="35"/>
        <v>0</v>
      </c>
      <c r="AD63" s="207">
        <f t="shared" si="35"/>
        <v>34.486305538648814</v>
      </c>
      <c r="AE63" s="207">
        <f t="shared" si="35"/>
        <v>35.787745689285437</v>
      </c>
      <c r="AF63" s="207">
        <f t="shared" si="35"/>
        <v>0</v>
      </c>
      <c r="AG63" s="207">
        <f t="shared" si="35"/>
        <v>31.298146376118911</v>
      </c>
      <c r="AH63" s="207">
        <f t="shared" ref="AH63:BM63" si="36">(AH35*AH8)/1000</f>
        <v>246.41481542699719</v>
      </c>
      <c r="AI63" s="207">
        <f t="shared" si="36"/>
        <v>63.211516286696302</v>
      </c>
      <c r="AJ63" s="207">
        <f t="shared" si="36"/>
        <v>290.81871401165972</v>
      </c>
      <c r="AK63" s="207">
        <f t="shared" si="36"/>
        <v>133.66906248145281</v>
      </c>
      <c r="AL63" s="207">
        <f t="shared" si="36"/>
        <v>161.53328175656435</v>
      </c>
      <c r="AM63" s="207">
        <f t="shared" si="36"/>
        <v>188.61934518352265</v>
      </c>
      <c r="AN63" s="207">
        <f t="shared" si="36"/>
        <v>0</v>
      </c>
      <c r="AO63" s="207">
        <f t="shared" si="36"/>
        <v>0</v>
      </c>
      <c r="AP63" s="207">
        <f t="shared" si="36"/>
        <v>0</v>
      </c>
      <c r="AQ63" s="207">
        <f t="shared" si="36"/>
        <v>0</v>
      </c>
      <c r="AR63" s="207">
        <f t="shared" si="36"/>
        <v>0</v>
      </c>
      <c r="AS63" s="207">
        <f t="shared" si="36"/>
        <v>0</v>
      </c>
      <c r="AT63" s="207">
        <f t="shared" si="36"/>
        <v>0</v>
      </c>
      <c r="AU63" s="207">
        <f t="shared" si="36"/>
        <v>0</v>
      </c>
      <c r="AV63" s="207">
        <f t="shared" si="36"/>
        <v>0</v>
      </c>
      <c r="AW63" s="207">
        <f t="shared" si="36"/>
        <v>0</v>
      </c>
      <c r="AX63" s="207">
        <f t="shared" si="36"/>
        <v>375.92803305785122</v>
      </c>
      <c r="AY63" s="207">
        <f t="shared" si="36"/>
        <v>0</v>
      </c>
      <c r="AZ63" s="207">
        <f t="shared" si="36"/>
        <v>322.71711443711064</v>
      </c>
      <c r="BA63" s="207">
        <f t="shared" si="36"/>
        <v>28.108258654302983</v>
      </c>
      <c r="BB63" s="207">
        <f t="shared" si="36"/>
        <v>13.28203610535661</v>
      </c>
      <c r="BC63" s="207">
        <f t="shared" si="36"/>
        <v>71.778216420133745</v>
      </c>
      <c r="BD63" s="207">
        <f t="shared" si="36"/>
        <v>2.5281853832442072</v>
      </c>
      <c r="BE63" s="207">
        <f t="shared" si="36"/>
        <v>9.4010958904109589</v>
      </c>
      <c r="BF63" s="207">
        <f t="shared" si="36"/>
        <v>144.16938574938578</v>
      </c>
      <c r="BG63" s="207">
        <f t="shared" si="36"/>
        <v>92.031197003455063</v>
      </c>
      <c r="BH63" s="207">
        <f t="shared" si="36"/>
        <v>120.60759150567837</v>
      </c>
      <c r="BI63" s="207">
        <f t="shared" si="36"/>
        <v>90.503407938128802</v>
      </c>
      <c r="BJ63" s="207">
        <f t="shared" si="36"/>
        <v>108.17018142521016</v>
      </c>
      <c r="BK63" s="207">
        <f t="shared" si="36"/>
        <v>57.410125993409586</v>
      </c>
      <c r="BL63" s="207">
        <f t="shared" si="36"/>
        <v>196.19701688650514</v>
      </c>
      <c r="BM63" s="207">
        <f t="shared" si="36"/>
        <v>239.94454680803068</v>
      </c>
      <c r="BN63" s="207">
        <f t="shared" ref="BN63:CS63" si="37">(BN35*BN8)/1000</f>
        <v>61.844232912046735</v>
      </c>
      <c r="BO63" s="207">
        <f t="shared" si="37"/>
        <v>163.29514438502673</v>
      </c>
      <c r="BP63" s="207">
        <f t="shared" si="37"/>
        <v>458.87719295247905</v>
      </c>
      <c r="BQ63" s="207">
        <f t="shared" si="37"/>
        <v>2.2358948810561712</v>
      </c>
      <c r="BR63" s="207">
        <f t="shared" si="37"/>
        <v>378.19768157854122</v>
      </c>
      <c r="BS63" s="207">
        <f t="shared" si="37"/>
        <v>13.941701120467281</v>
      </c>
      <c r="BT63" s="207">
        <f t="shared" si="37"/>
        <v>70.158494566657836</v>
      </c>
      <c r="BU63" s="207">
        <f t="shared" si="37"/>
        <v>53.512038786982501</v>
      </c>
      <c r="BV63" s="207">
        <f t="shared" si="37"/>
        <v>87.570117072349021</v>
      </c>
      <c r="BW63" s="207">
        <f t="shared" si="37"/>
        <v>86.443573510199968</v>
      </c>
      <c r="BX63" s="207">
        <f t="shared" si="37"/>
        <v>41.13566433566433</v>
      </c>
      <c r="BY63" s="207">
        <f t="shared" si="37"/>
        <v>0</v>
      </c>
      <c r="BZ63" s="207">
        <f t="shared" si="37"/>
        <v>423.89732985400946</v>
      </c>
      <c r="CA63" s="207">
        <f t="shared" si="37"/>
        <v>189.29644663803941</v>
      </c>
      <c r="CB63" s="207">
        <f t="shared" si="37"/>
        <v>232.95375208223805</v>
      </c>
      <c r="CC63" s="207">
        <f t="shared" si="37"/>
        <v>146.74776102084488</v>
      </c>
      <c r="CD63" s="207">
        <f t="shared" si="37"/>
        <v>155.79859289962158</v>
      </c>
      <c r="CE63" s="207">
        <f t="shared" si="37"/>
        <v>501.29777434789315</v>
      </c>
      <c r="CF63" s="207">
        <f t="shared" si="37"/>
        <v>128.39358542985028</v>
      </c>
      <c r="CG63" s="207">
        <f t="shared" si="37"/>
        <v>196.02316990585359</v>
      </c>
      <c r="CH63" s="207">
        <f t="shared" si="37"/>
        <v>113.86820687693447</v>
      </c>
      <c r="CI63" s="207">
        <f t="shared" si="37"/>
        <v>85.928162478264113</v>
      </c>
      <c r="CJ63" s="207">
        <f t="shared" si="37"/>
        <v>226.58712226128878</v>
      </c>
      <c r="CK63" s="207">
        <f t="shared" si="37"/>
        <v>54.583975332068313</v>
      </c>
      <c r="CL63" s="207">
        <f t="shared" si="37"/>
        <v>84.636539847817389</v>
      </c>
      <c r="CM63" s="207">
        <f t="shared" si="37"/>
        <v>15.691309099720998</v>
      </c>
      <c r="CN63" s="207">
        <f t="shared" si="37"/>
        <v>41.132191889438239</v>
      </c>
      <c r="CO63" s="207">
        <f t="shared" si="37"/>
        <v>159.61057513914659</v>
      </c>
      <c r="CP63" s="771">
        <f t="shared" si="37"/>
        <v>59.032313134212586</v>
      </c>
      <c r="CQ63" s="771">
        <f t="shared" si="37"/>
        <v>90.529519993321657</v>
      </c>
      <c r="CR63" s="771">
        <f t="shared" si="37"/>
        <v>33.52324000692969</v>
      </c>
      <c r="CS63" s="771">
        <f t="shared" si="37"/>
        <v>102.29324510614835</v>
      </c>
      <c r="CT63" s="207">
        <f t="shared" ref="CT63:DE63" si="38">(CT35*CT8)/1000</f>
        <v>76.444444444444457</v>
      </c>
      <c r="CU63" s="207">
        <f t="shared" si="38"/>
        <v>151.33978436816611</v>
      </c>
      <c r="CV63" s="771">
        <f t="shared" si="38"/>
        <v>21.500175643575076</v>
      </c>
      <c r="CW63" s="771">
        <f t="shared" si="38"/>
        <v>17.690770767693845</v>
      </c>
      <c r="CX63" s="771">
        <f t="shared" si="38"/>
        <v>11.953522913758054</v>
      </c>
      <c r="CY63" s="771">
        <f t="shared" si="38"/>
        <v>242.71444358697329</v>
      </c>
      <c r="CZ63" s="207">
        <f t="shared" si="38"/>
        <v>0</v>
      </c>
      <c r="DA63" s="207">
        <f t="shared" si="38"/>
        <v>0</v>
      </c>
      <c r="DB63" s="771">
        <f t="shared" si="38"/>
        <v>0</v>
      </c>
      <c r="DC63" s="771">
        <f t="shared" si="38"/>
        <v>1.0347733132113437</v>
      </c>
      <c r="DD63" s="771">
        <f t="shared" si="38"/>
        <v>0</v>
      </c>
      <c r="DE63" s="771">
        <f t="shared" si="38"/>
        <v>0</v>
      </c>
      <c r="DF63" s="207">
        <f>(DF35*DF8)/1000</f>
        <v>0</v>
      </c>
      <c r="DG63" s="207">
        <v>0</v>
      </c>
      <c r="DH63" s="771">
        <f t="shared" ref="DH63:DU63" si="39">(DH35*DH8)/1000</f>
        <v>18.129371249856877</v>
      </c>
      <c r="DI63" s="771">
        <f t="shared" si="39"/>
        <v>0</v>
      </c>
      <c r="DJ63" s="771">
        <f t="shared" si="39"/>
        <v>39.486124346493831</v>
      </c>
      <c r="DK63" s="771">
        <f t="shared" si="39"/>
        <v>19.876170555108608</v>
      </c>
      <c r="DL63" s="207">
        <f t="shared" si="39"/>
        <v>11.525051559315953</v>
      </c>
      <c r="DM63" s="207">
        <f t="shared" si="39"/>
        <v>1.6175887547305821</v>
      </c>
      <c r="DN63" s="771">
        <f t="shared" si="39"/>
        <v>15.374273103365054</v>
      </c>
      <c r="DO63" s="771">
        <f t="shared" si="39"/>
        <v>14.773204559140586</v>
      </c>
      <c r="DP63" s="771">
        <f t="shared" si="39"/>
        <v>16.650292076309626</v>
      </c>
      <c r="DQ63" s="771">
        <f t="shared" si="39"/>
        <v>13.153409615152485</v>
      </c>
      <c r="DR63" s="191">
        <f t="shared" si="39"/>
        <v>112.76957147463672</v>
      </c>
      <c r="DS63" s="191">
        <f t="shared" si="39"/>
        <v>16.716008855154964</v>
      </c>
      <c r="DT63" s="774">
        <f t="shared" si="39"/>
        <v>48.157219941348977</v>
      </c>
      <c r="DU63" s="774">
        <f t="shared" si="39"/>
        <v>50.328639722932969</v>
      </c>
      <c r="DV63" s="771">
        <f>(DV34*DV7)/1000</f>
        <v>42.297455936548225</v>
      </c>
      <c r="DW63" s="771">
        <f t="shared" ref="DW63:EA68" si="40">(DW35*DW8)/1000</f>
        <v>63.274557510307154</v>
      </c>
      <c r="DX63" s="810">
        <f>(DX35*DX8)/1000</f>
        <v>28.64572095488785</v>
      </c>
      <c r="DY63" s="191">
        <f t="shared" si="40"/>
        <v>40.829694797436737</v>
      </c>
      <c r="DZ63" s="774">
        <f t="shared" si="40"/>
        <v>22.402961050018732</v>
      </c>
      <c r="EA63" s="774">
        <f t="shared" si="40"/>
        <v>70.183068381474428</v>
      </c>
      <c r="EB63" s="771">
        <f>(EB34*EB7)/1000</f>
        <v>21.590508128599549</v>
      </c>
      <c r="EC63" s="771">
        <f t="shared" ref="EC63" si="41">(EC35*EC8)/1000</f>
        <v>111.86712284131637</v>
      </c>
    </row>
    <row r="64" spans="1:138">
      <c r="A64" s="189" t="s">
        <v>15</v>
      </c>
      <c r="B64" s="207">
        <f t="shared" ref="B64:AG64" si="42">(B36*B9)/1000</f>
        <v>42.933218824578645</v>
      </c>
      <c r="C64" s="207">
        <f t="shared" si="42"/>
        <v>51.232070857932008</v>
      </c>
      <c r="D64" s="207">
        <f t="shared" si="42"/>
        <v>30.632826951887971</v>
      </c>
      <c r="E64" s="207">
        <f t="shared" si="42"/>
        <v>11.979183400267736</v>
      </c>
      <c r="F64" s="207">
        <f t="shared" si="42"/>
        <v>50.089172623797644</v>
      </c>
      <c r="G64" s="207">
        <f t="shared" si="42"/>
        <v>54.087944133220788</v>
      </c>
      <c r="H64" s="207">
        <f t="shared" si="42"/>
        <v>8.1072978780263778</v>
      </c>
      <c r="I64" s="207">
        <f t="shared" si="42"/>
        <v>65.522939169666856</v>
      </c>
      <c r="J64" s="207">
        <f t="shared" si="42"/>
        <v>45.886743563633743</v>
      </c>
      <c r="K64" s="207">
        <f t="shared" si="42"/>
        <v>33.087254342465279</v>
      </c>
      <c r="L64" s="207">
        <f t="shared" si="42"/>
        <v>0</v>
      </c>
      <c r="M64" s="207">
        <f t="shared" si="42"/>
        <v>36.683941439883576</v>
      </c>
      <c r="N64" s="207">
        <f t="shared" si="42"/>
        <v>83.381431331877835</v>
      </c>
      <c r="O64" s="207">
        <f t="shared" si="42"/>
        <v>0</v>
      </c>
      <c r="P64" s="207">
        <f t="shared" si="42"/>
        <v>48.683209606712637</v>
      </c>
      <c r="Q64" s="207">
        <f t="shared" si="42"/>
        <v>31.219037090328968</v>
      </c>
      <c r="R64" s="207">
        <f t="shared" si="42"/>
        <v>20.500019217421386</v>
      </c>
      <c r="S64" s="207">
        <f t="shared" si="42"/>
        <v>17.207223599982829</v>
      </c>
      <c r="T64" s="207">
        <f t="shared" si="42"/>
        <v>0</v>
      </c>
      <c r="U64" s="207">
        <f t="shared" si="42"/>
        <v>0</v>
      </c>
      <c r="V64" s="207">
        <f t="shared" si="42"/>
        <v>0</v>
      </c>
      <c r="W64" s="207">
        <f t="shared" si="42"/>
        <v>0</v>
      </c>
      <c r="X64" s="207">
        <f t="shared" si="42"/>
        <v>51.420525582918501</v>
      </c>
      <c r="Y64" s="207">
        <f t="shared" si="42"/>
        <v>0</v>
      </c>
      <c r="Z64" s="207">
        <f t="shared" si="42"/>
        <v>53.068778069887173</v>
      </c>
      <c r="AA64" s="207">
        <f t="shared" si="42"/>
        <v>30.614444606086259</v>
      </c>
      <c r="AB64" s="207">
        <f t="shared" si="42"/>
        <v>40.1399170400299</v>
      </c>
      <c r="AC64" s="207">
        <f t="shared" si="42"/>
        <v>0</v>
      </c>
      <c r="AD64" s="207">
        <f t="shared" si="42"/>
        <v>20.136455069633481</v>
      </c>
      <c r="AE64" s="207">
        <f t="shared" si="42"/>
        <v>79.869088340087188</v>
      </c>
      <c r="AF64" s="207">
        <f t="shared" si="42"/>
        <v>0</v>
      </c>
      <c r="AG64" s="207">
        <f t="shared" si="42"/>
        <v>102.53057574637883</v>
      </c>
      <c r="AH64" s="207">
        <f t="shared" ref="AH64:BM64" si="43">(AH36*AH9)/1000</f>
        <v>62.509524130039708</v>
      </c>
      <c r="AI64" s="207">
        <f t="shared" si="43"/>
        <v>55.722927253418042</v>
      </c>
      <c r="AJ64" s="207">
        <f t="shared" si="43"/>
        <v>122.66614176922175</v>
      </c>
      <c r="AK64" s="207">
        <f t="shared" si="43"/>
        <v>96.750870571952206</v>
      </c>
      <c r="AL64" s="207">
        <f t="shared" si="43"/>
        <v>120.63832689247558</v>
      </c>
      <c r="AM64" s="207">
        <f t="shared" si="43"/>
        <v>33.087254342465279</v>
      </c>
      <c r="AN64" s="207">
        <f t="shared" si="43"/>
        <v>0</v>
      </c>
      <c r="AO64" s="207">
        <f t="shared" si="43"/>
        <v>0</v>
      </c>
      <c r="AP64" s="207">
        <f t="shared" si="43"/>
        <v>0</v>
      </c>
      <c r="AQ64" s="207">
        <f t="shared" si="43"/>
        <v>0</v>
      </c>
      <c r="AR64" s="207">
        <f t="shared" si="43"/>
        <v>0</v>
      </c>
      <c r="AS64" s="207">
        <f t="shared" si="43"/>
        <v>0</v>
      </c>
      <c r="AT64" s="207">
        <f t="shared" si="43"/>
        <v>0</v>
      </c>
      <c r="AU64" s="207">
        <f t="shared" si="43"/>
        <v>0</v>
      </c>
      <c r="AV64" s="207">
        <f t="shared" si="43"/>
        <v>0</v>
      </c>
      <c r="AW64" s="207">
        <f t="shared" si="43"/>
        <v>0</v>
      </c>
      <c r="AX64" s="207">
        <f t="shared" si="43"/>
        <v>42.996804140650674</v>
      </c>
      <c r="AY64" s="207">
        <f t="shared" si="43"/>
        <v>0</v>
      </c>
      <c r="AZ64" s="207">
        <f t="shared" si="43"/>
        <v>40.1399170400299</v>
      </c>
      <c r="BA64" s="207">
        <f t="shared" si="43"/>
        <v>2.5797144417570412</v>
      </c>
      <c r="BB64" s="207">
        <f t="shared" si="43"/>
        <v>46.988786642633528</v>
      </c>
      <c r="BC64" s="207">
        <f t="shared" si="43"/>
        <v>49.2788813284225</v>
      </c>
      <c r="BD64" s="207">
        <f t="shared" si="43"/>
        <v>26.307664333816795</v>
      </c>
      <c r="BE64" s="207">
        <f t="shared" si="43"/>
        <v>106.97204340314407</v>
      </c>
      <c r="BF64" s="207">
        <f t="shared" si="43"/>
        <v>48.06780926691544</v>
      </c>
      <c r="BG64" s="207">
        <f t="shared" si="43"/>
        <v>53.8923324532321</v>
      </c>
      <c r="BH64" s="207">
        <f t="shared" si="43"/>
        <v>72.789776089129276</v>
      </c>
      <c r="BI64" s="207">
        <f t="shared" si="43"/>
        <v>41.285931838893397</v>
      </c>
      <c r="BJ64" s="207">
        <f t="shared" si="43"/>
        <v>32.018961560527821</v>
      </c>
      <c r="BK64" s="207">
        <f t="shared" si="43"/>
        <v>24.236684730187129</v>
      </c>
      <c r="BL64" s="207">
        <f t="shared" si="43"/>
        <v>45.149135755189697</v>
      </c>
      <c r="BM64" s="207">
        <f t="shared" si="43"/>
        <v>56.978489844281178</v>
      </c>
      <c r="BN64" s="207">
        <f t="shared" ref="BN64:CS64" si="44">(BN36*BN9)/1000</f>
        <v>55.554541877875927</v>
      </c>
      <c r="BO64" s="207">
        <f t="shared" si="44"/>
        <v>17.637701701948462</v>
      </c>
      <c r="BP64" s="207">
        <f t="shared" si="44"/>
        <v>23.995515413286419</v>
      </c>
      <c r="BQ64" s="207">
        <f t="shared" si="44"/>
        <v>38.088253012048192</v>
      </c>
      <c r="BR64" s="207">
        <f t="shared" si="44"/>
        <v>28.821933953430303</v>
      </c>
      <c r="BS64" s="207">
        <f t="shared" si="44"/>
        <v>22.095957151076565</v>
      </c>
      <c r="BT64" s="207">
        <f t="shared" si="44"/>
        <v>59.382385675969907</v>
      </c>
      <c r="BU64" s="207">
        <f t="shared" si="44"/>
        <v>57.688095571303165</v>
      </c>
      <c r="BV64" s="207">
        <f t="shared" si="44"/>
        <v>40.246013555748938</v>
      </c>
      <c r="BW64" s="207">
        <f t="shared" si="44"/>
        <v>53.825617964057287</v>
      </c>
      <c r="BX64" s="207">
        <f t="shared" si="44"/>
        <v>30.632826951887967</v>
      </c>
      <c r="BY64" s="207">
        <f t="shared" si="44"/>
        <v>11.979183400267736</v>
      </c>
      <c r="BZ64" s="207">
        <f t="shared" si="44"/>
        <v>117.05229617337514</v>
      </c>
      <c r="CA64" s="207">
        <f t="shared" si="44"/>
        <v>70.225645859722519</v>
      </c>
      <c r="CB64" s="207">
        <f t="shared" si="44"/>
        <v>67.461486168664607</v>
      </c>
      <c r="CC64" s="207">
        <f t="shared" si="44"/>
        <v>30.862883477843503</v>
      </c>
      <c r="CD64" s="207">
        <f t="shared" si="44"/>
        <v>39.637655233455419</v>
      </c>
      <c r="CE64" s="207">
        <f t="shared" si="44"/>
        <v>64.102803465678704</v>
      </c>
      <c r="CF64" s="207">
        <f t="shared" si="44"/>
        <v>15.354569068795579</v>
      </c>
      <c r="CG64" s="207">
        <f t="shared" si="44"/>
        <v>29.146305893966929</v>
      </c>
      <c r="CH64" s="207">
        <f t="shared" si="44"/>
        <v>76.340039589922895</v>
      </c>
      <c r="CI64" s="207">
        <f t="shared" si="44"/>
        <v>31.379241386626806</v>
      </c>
      <c r="CJ64" s="207">
        <f t="shared" si="44"/>
        <v>102.46805654719583</v>
      </c>
      <c r="CK64" s="207">
        <f t="shared" si="44"/>
        <v>87.454268080204386</v>
      </c>
      <c r="CL64" s="207">
        <f t="shared" si="44"/>
        <v>44.696594718320277</v>
      </c>
      <c r="CM64" s="207">
        <f t="shared" si="44"/>
        <v>39.569341252486652</v>
      </c>
      <c r="CN64" s="207">
        <f t="shared" si="44"/>
        <v>18.506613202747694</v>
      </c>
      <c r="CO64" s="207">
        <f t="shared" si="44"/>
        <v>9.2958689385589572</v>
      </c>
      <c r="CP64" s="771">
        <f t="shared" si="44"/>
        <v>43.215561799591157</v>
      </c>
      <c r="CQ64" s="771">
        <f t="shared" si="44"/>
        <v>6.1643047748617059</v>
      </c>
      <c r="CR64" s="771">
        <f t="shared" si="44"/>
        <v>8.45318268648664</v>
      </c>
      <c r="CS64" s="771">
        <f t="shared" si="44"/>
        <v>10.780965588974604</v>
      </c>
      <c r="CT64" s="207">
        <f t="shared" ref="CT64:DE64" si="45">(CT36*CT9)/1000</f>
        <v>5.1291074165458195</v>
      </c>
      <c r="CU64" s="207">
        <f t="shared" si="45"/>
        <v>7.1613766502495944</v>
      </c>
      <c r="CV64" s="771">
        <f t="shared" si="45"/>
        <v>24.721525493338401</v>
      </c>
      <c r="CW64" s="771">
        <f t="shared" si="45"/>
        <v>23.359947402787625</v>
      </c>
      <c r="CX64" s="771">
        <f t="shared" si="45"/>
        <v>4.9852227316518407</v>
      </c>
      <c r="CY64" s="771">
        <f t="shared" si="45"/>
        <v>4.471955575109682</v>
      </c>
      <c r="CZ64" s="207">
        <f t="shared" si="45"/>
        <v>0</v>
      </c>
      <c r="DA64" s="207">
        <f t="shared" si="45"/>
        <v>0</v>
      </c>
      <c r="DB64" s="771">
        <f t="shared" si="45"/>
        <v>0</v>
      </c>
      <c r="DC64" s="771">
        <f t="shared" si="45"/>
        <v>1.5387322249637456</v>
      </c>
      <c r="DD64" s="771">
        <f t="shared" si="45"/>
        <v>8.8945525692513652</v>
      </c>
      <c r="DE64" s="771">
        <f t="shared" si="45"/>
        <v>46.040510556869421</v>
      </c>
      <c r="DF64" s="207">
        <f>(DF36*DF9)/1000</f>
        <v>5.1167024050105683</v>
      </c>
      <c r="DG64" s="207">
        <f>(DG36*DG9)/1000</f>
        <v>13.691109954769241</v>
      </c>
      <c r="DH64" s="771">
        <f t="shared" ref="DH64:DU64" si="46">(DH36*DH9)/1000</f>
        <v>117.40874216574774</v>
      </c>
      <c r="DI64" s="771">
        <f t="shared" si="46"/>
        <v>2.6794671338686822</v>
      </c>
      <c r="DJ64" s="771">
        <f t="shared" si="46"/>
        <v>28.404886073607031</v>
      </c>
      <c r="DK64" s="771">
        <f t="shared" si="46"/>
        <v>7.409153494894964</v>
      </c>
      <c r="DL64" s="207">
        <f t="shared" si="46"/>
        <v>34.767971071447839</v>
      </c>
      <c r="DM64" s="207">
        <f t="shared" si="46"/>
        <v>16.152841866382889</v>
      </c>
      <c r="DN64" s="771">
        <f t="shared" si="46"/>
        <v>27.478418811832242</v>
      </c>
      <c r="DO64" s="771">
        <f t="shared" si="46"/>
        <v>18.573692833659003</v>
      </c>
      <c r="DP64" s="771">
        <f t="shared" si="46"/>
        <v>21.469729375059973</v>
      </c>
      <c r="DQ64" s="771">
        <f t="shared" si="46"/>
        <v>20.405512024758426</v>
      </c>
      <c r="DR64" s="191">
        <f t="shared" si="46"/>
        <v>50.710295754308298</v>
      </c>
      <c r="DS64" s="191">
        <f t="shared" si="46"/>
        <v>35.707465480054218</v>
      </c>
      <c r="DT64" s="774">
        <f t="shared" si="46"/>
        <v>22.070503761398921</v>
      </c>
      <c r="DU64" s="774">
        <f t="shared" si="46"/>
        <v>75.203138407305602</v>
      </c>
      <c r="DV64" s="771">
        <f>(DV36*DV7)/1000</f>
        <v>21.353396608240327</v>
      </c>
      <c r="DW64" s="771">
        <f t="shared" si="40"/>
        <v>58.306039584381956</v>
      </c>
      <c r="DX64" s="810">
        <f t="shared" si="40"/>
        <v>33.197206605938661</v>
      </c>
      <c r="DY64" s="191">
        <f t="shared" si="40"/>
        <v>34.347231617322066</v>
      </c>
      <c r="DZ64" s="774">
        <f t="shared" si="40"/>
        <v>53.522411972858414</v>
      </c>
      <c r="EA64" s="774">
        <f t="shared" si="40"/>
        <v>43.673827678921086</v>
      </c>
      <c r="EB64" s="771">
        <f>(EB36*EB7)/1000</f>
        <v>6.1640623780459238</v>
      </c>
      <c r="EC64" s="771">
        <f t="shared" ref="EC64" si="47">(EC36*EC9)/1000</f>
        <v>63.857001451616128</v>
      </c>
    </row>
    <row r="65" spans="1:138">
      <c r="A65" s="189" t="s">
        <v>19</v>
      </c>
      <c r="B65" s="207">
        <f t="shared" ref="B65:AG65" si="48">(B37*B10)/1000</f>
        <v>99.638326761445185</v>
      </c>
      <c r="C65" s="207">
        <f t="shared" si="48"/>
        <v>256.85427708425266</v>
      </c>
      <c r="D65" s="207">
        <f t="shared" si="48"/>
        <v>82.509602105006493</v>
      </c>
      <c r="E65" s="207">
        <f t="shared" si="48"/>
        <v>77.451749390837236</v>
      </c>
      <c r="F65" s="207">
        <f t="shared" si="48"/>
        <v>58.558029751013571</v>
      </c>
      <c r="G65" s="207">
        <f t="shared" si="48"/>
        <v>138.50785456290566</v>
      </c>
      <c r="H65" s="207">
        <f t="shared" si="48"/>
        <v>6.9804430319704007</v>
      </c>
      <c r="I65" s="207">
        <f t="shared" si="48"/>
        <v>40.517419219892588</v>
      </c>
      <c r="J65" s="207">
        <f t="shared" si="48"/>
        <v>63.124043220420695</v>
      </c>
      <c r="K65" s="207">
        <f t="shared" si="48"/>
        <v>61.957965428326943</v>
      </c>
      <c r="L65" s="207">
        <f t="shared" si="48"/>
        <v>0</v>
      </c>
      <c r="M65" s="207">
        <f t="shared" si="48"/>
        <v>105.79458663211813</v>
      </c>
      <c r="N65" s="207">
        <f t="shared" si="48"/>
        <v>173.66720641401648</v>
      </c>
      <c r="O65" s="207">
        <f t="shared" si="48"/>
        <v>0</v>
      </c>
      <c r="P65" s="207">
        <f t="shared" si="48"/>
        <v>122.14081948688552</v>
      </c>
      <c r="Q65" s="207">
        <f t="shared" si="48"/>
        <v>25.722366926622357</v>
      </c>
      <c r="R65" s="207">
        <f t="shared" si="48"/>
        <v>74.96711370157675</v>
      </c>
      <c r="S65" s="207">
        <f t="shared" si="48"/>
        <v>123.4150808974175</v>
      </c>
      <c r="T65" s="207">
        <f t="shared" si="48"/>
        <v>0</v>
      </c>
      <c r="U65" s="207">
        <f t="shared" si="48"/>
        <v>0</v>
      </c>
      <c r="V65" s="207">
        <f t="shared" si="48"/>
        <v>0</v>
      </c>
      <c r="W65" s="207">
        <f t="shared" si="48"/>
        <v>0</v>
      </c>
      <c r="X65" s="207">
        <f t="shared" si="48"/>
        <v>174.67628650012904</v>
      </c>
      <c r="Y65" s="207">
        <f t="shared" si="48"/>
        <v>0</v>
      </c>
      <c r="Z65" s="207">
        <f t="shared" si="48"/>
        <v>103.99707949671746</v>
      </c>
      <c r="AA65" s="207">
        <f t="shared" si="48"/>
        <v>59.917672607478032</v>
      </c>
      <c r="AB65" s="207">
        <f t="shared" si="48"/>
        <v>53.975290784456192</v>
      </c>
      <c r="AC65" s="207">
        <f t="shared" si="48"/>
        <v>0</v>
      </c>
      <c r="AD65" s="207">
        <f t="shared" si="48"/>
        <v>36.024531926048311</v>
      </c>
      <c r="AE65" s="207">
        <f t="shared" si="48"/>
        <v>195.38110496348767</v>
      </c>
      <c r="AF65" s="207">
        <f t="shared" si="48"/>
        <v>0</v>
      </c>
      <c r="AG65" s="207">
        <f t="shared" si="48"/>
        <v>216.97380035147174</v>
      </c>
      <c r="AH65" s="207">
        <f t="shared" ref="AH65:BM65" si="49">(AH37*AH10)/1000</f>
        <v>83.306003759929837</v>
      </c>
      <c r="AI65" s="207">
        <f t="shared" si="49"/>
        <v>27.422636527522211</v>
      </c>
      <c r="AJ65" s="207">
        <f t="shared" si="49"/>
        <v>137.58725455052164</v>
      </c>
      <c r="AK65" s="207">
        <f t="shared" si="49"/>
        <v>175.5861275749707</v>
      </c>
      <c r="AL65" s="207">
        <f t="shared" si="49"/>
        <v>263.4864532563912</v>
      </c>
      <c r="AM65" s="207">
        <f t="shared" si="49"/>
        <v>61.957965428326943</v>
      </c>
      <c r="AN65" s="207">
        <f t="shared" si="49"/>
        <v>0</v>
      </c>
      <c r="AO65" s="207">
        <f t="shared" si="49"/>
        <v>0</v>
      </c>
      <c r="AP65" s="207">
        <f t="shared" si="49"/>
        <v>0</v>
      </c>
      <c r="AQ65" s="207">
        <f t="shared" si="49"/>
        <v>0</v>
      </c>
      <c r="AR65" s="207">
        <f t="shared" si="49"/>
        <v>0</v>
      </c>
      <c r="AS65" s="207">
        <f t="shared" si="49"/>
        <v>0</v>
      </c>
      <c r="AT65" s="207">
        <f t="shared" si="49"/>
        <v>0</v>
      </c>
      <c r="AU65" s="207">
        <f t="shared" si="49"/>
        <v>0</v>
      </c>
      <c r="AV65" s="207">
        <f t="shared" si="49"/>
        <v>0</v>
      </c>
      <c r="AW65" s="207">
        <f t="shared" si="49"/>
        <v>0</v>
      </c>
      <c r="AX65" s="207">
        <f t="shared" si="49"/>
        <v>103.99707949671746</v>
      </c>
      <c r="AY65" s="207">
        <f t="shared" si="49"/>
        <v>0</v>
      </c>
      <c r="AZ65" s="207">
        <f t="shared" si="49"/>
        <v>53.975290784456192</v>
      </c>
      <c r="BA65" s="207">
        <f t="shared" si="49"/>
        <v>132.92968773829492</v>
      </c>
      <c r="BB65" s="207">
        <f t="shared" si="49"/>
        <v>58.558029751013571</v>
      </c>
      <c r="BC65" s="207">
        <f t="shared" si="49"/>
        <v>138.50785456290566</v>
      </c>
      <c r="BD65" s="207">
        <f t="shared" si="49"/>
        <v>109.88681664175549</v>
      </c>
      <c r="BE65" s="207">
        <f t="shared" si="49"/>
        <v>174.51478373502653</v>
      </c>
      <c r="BF65" s="207">
        <f t="shared" si="49"/>
        <v>234.74311761768487</v>
      </c>
      <c r="BG65" s="207">
        <f t="shared" si="49"/>
        <v>148.20977279790884</v>
      </c>
      <c r="BH65" s="207">
        <f t="shared" si="49"/>
        <v>82.453274726363986</v>
      </c>
      <c r="BI65" s="207">
        <f t="shared" si="49"/>
        <v>216.39101730275542</v>
      </c>
      <c r="BJ65" s="207">
        <f t="shared" si="49"/>
        <v>110.53515599333376</v>
      </c>
      <c r="BK65" s="207">
        <f t="shared" si="49"/>
        <v>138.06355510016607</v>
      </c>
      <c r="BL65" s="207">
        <f t="shared" si="49"/>
        <v>126.84938335713279</v>
      </c>
      <c r="BM65" s="207">
        <f t="shared" si="49"/>
        <v>113.25972094245184</v>
      </c>
      <c r="BN65" s="207">
        <f t="shared" ref="BN65:CS65" si="50">(BN37*BN10)/1000</f>
        <v>55.101796463860808</v>
      </c>
      <c r="BO65" s="207">
        <f t="shared" si="50"/>
        <v>74.685127673869104</v>
      </c>
      <c r="BP65" s="207">
        <f t="shared" si="50"/>
        <v>124.63689271776747</v>
      </c>
      <c r="BQ65" s="207">
        <f t="shared" si="50"/>
        <v>75.569531611695254</v>
      </c>
      <c r="BR65" s="207">
        <f t="shared" si="50"/>
        <v>72.409900084988166</v>
      </c>
      <c r="BS65" s="207">
        <f t="shared" si="50"/>
        <v>132.80018529636635</v>
      </c>
      <c r="BT65" s="207">
        <f t="shared" si="50"/>
        <v>404.07123107008664</v>
      </c>
      <c r="BU65" s="207">
        <f t="shared" si="50"/>
        <v>118.1882653740337</v>
      </c>
      <c r="BV65" s="207">
        <f t="shared" si="50"/>
        <v>99.638326761445185</v>
      </c>
      <c r="BW65" s="207">
        <f t="shared" si="50"/>
        <v>256.85427708425266</v>
      </c>
      <c r="BX65" s="207">
        <f t="shared" si="50"/>
        <v>82.509602105006493</v>
      </c>
      <c r="BY65" s="207">
        <f t="shared" si="50"/>
        <v>77.451749390837236</v>
      </c>
      <c r="BZ65" s="207">
        <f t="shared" si="50"/>
        <v>131.11729622326234</v>
      </c>
      <c r="CA65" s="207">
        <f t="shared" si="50"/>
        <v>167.30154699589784</v>
      </c>
      <c r="CB65" s="207">
        <f t="shared" si="50"/>
        <v>175.89585334136743</v>
      </c>
      <c r="CC65" s="207">
        <f t="shared" si="50"/>
        <v>105.48308116067327</v>
      </c>
      <c r="CD65" s="207">
        <f t="shared" si="50"/>
        <v>59.274084148688004</v>
      </c>
      <c r="CE65" s="207">
        <f t="shared" si="50"/>
        <v>88.255521226008327</v>
      </c>
      <c r="CF65" s="207">
        <f t="shared" si="50"/>
        <v>8.735365109609079</v>
      </c>
      <c r="CG65" s="207">
        <f t="shared" si="50"/>
        <v>106.53594288907723</v>
      </c>
      <c r="CH65" s="207">
        <f t="shared" si="50"/>
        <v>162.2657041267174</v>
      </c>
      <c r="CI65" s="207">
        <f t="shared" si="50"/>
        <v>36.718581021943528</v>
      </c>
      <c r="CJ65" s="207">
        <f t="shared" si="50"/>
        <v>86.1975401099116</v>
      </c>
      <c r="CK65" s="207">
        <f t="shared" si="50"/>
        <v>97.58105026167938</v>
      </c>
      <c r="CL65" s="207">
        <f t="shared" si="50"/>
        <v>45.381006682473192</v>
      </c>
      <c r="CM65" s="207">
        <f t="shared" si="50"/>
        <v>161.94818751748477</v>
      </c>
      <c r="CN65" s="207">
        <f t="shared" si="50"/>
        <v>70.440131915916368</v>
      </c>
      <c r="CO65" s="207">
        <f t="shared" si="50"/>
        <v>132.91030726274116</v>
      </c>
      <c r="CP65" s="771">
        <f t="shared" si="50"/>
        <v>147.22900644611684</v>
      </c>
      <c r="CQ65" s="771">
        <f t="shared" si="50"/>
        <v>854.98073926168604</v>
      </c>
      <c r="CR65" s="771">
        <f t="shared" si="50"/>
        <v>80.630056508397445</v>
      </c>
      <c r="CS65" s="771">
        <f t="shared" si="50"/>
        <v>59.720064574234861</v>
      </c>
      <c r="CT65" s="207">
        <f t="shared" ref="CT65:DE65" si="51">(CT37*CT10)/1000</f>
        <v>59.027117273658114</v>
      </c>
      <c r="CU65" s="207">
        <f t="shared" si="51"/>
        <v>74.490308006655496</v>
      </c>
      <c r="CV65" s="771">
        <f t="shared" si="51"/>
        <v>135.14192160590136</v>
      </c>
      <c r="CW65" s="771">
        <f t="shared" si="51"/>
        <v>140.39253728125834</v>
      </c>
      <c r="CX65" s="771">
        <f t="shared" si="51"/>
        <v>89.959956050291851</v>
      </c>
      <c r="CY65" s="771">
        <f t="shared" si="51"/>
        <v>10.662987793147899</v>
      </c>
      <c r="CZ65" s="207">
        <f t="shared" si="51"/>
        <v>0</v>
      </c>
      <c r="DA65" s="207">
        <f t="shared" si="51"/>
        <v>0</v>
      </c>
      <c r="DB65" s="771">
        <f t="shared" si="51"/>
        <v>0</v>
      </c>
      <c r="DC65" s="771">
        <f t="shared" si="51"/>
        <v>2.3476886520737326</v>
      </c>
      <c r="DD65" s="771">
        <f t="shared" si="51"/>
        <v>4.3836101377622034</v>
      </c>
      <c r="DE65" s="771">
        <f t="shared" si="51"/>
        <v>8.5177676165080776</v>
      </c>
      <c r="DF65" s="207">
        <v>0</v>
      </c>
      <c r="DG65" s="207">
        <v>0</v>
      </c>
      <c r="DH65" s="771">
        <f t="shared" ref="DH65:DU65" si="52">(DH37*DH10)/1000</f>
        <v>12.029363525302156</v>
      </c>
      <c r="DI65" s="771">
        <f t="shared" si="52"/>
        <v>38.497706703287193</v>
      </c>
      <c r="DJ65" s="771">
        <f t="shared" si="52"/>
        <v>136.98403383537388</v>
      </c>
      <c r="DK65" s="771">
        <f t="shared" si="52"/>
        <v>132.16645072431717</v>
      </c>
      <c r="DL65" s="207">
        <f t="shared" si="52"/>
        <v>119.96575198367049</v>
      </c>
      <c r="DM65" s="207">
        <f t="shared" si="52"/>
        <v>131.77383075746843</v>
      </c>
      <c r="DN65" s="771">
        <f t="shared" si="52"/>
        <v>100.94900205132407</v>
      </c>
      <c r="DO65" s="771">
        <f t="shared" si="52"/>
        <v>113.88737921905681</v>
      </c>
      <c r="DP65" s="771">
        <f t="shared" si="52"/>
        <v>123.80829976062736</v>
      </c>
      <c r="DQ65" s="771">
        <f t="shared" si="52"/>
        <v>121.56066381266146</v>
      </c>
      <c r="DR65" s="191">
        <f t="shared" si="52"/>
        <v>157.07045337162336</v>
      </c>
      <c r="DS65" s="191">
        <f t="shared" si="52"/>
        <v>155.7854094743266</v>
      </c>
      <c r="DT65" s="774">
        <f t="shared" si="52"/>
        <v>125.54241112293113</v>
      </c>
      <c r="DU65" s="774">
        <f t="shared" si="52"/>
        <v>75.025109685334016</v>
      </c>
      <c r="DV65" s="771">
        <f>(DV37*DV10)/1000</f>
        <v>55.207893422036108</v>
      </c>
      <c r="DW65" s="771">
        <f t="shared" si="40"/>
        <v>41.005291042364021</v>
      </c>
      <c r="DX65" s="191">
        <f t="shared" si="40"/>
        <v>71.664625411718575</v>
      </c>
      <c r="DY65" s="191">
        <f t="shared" si="40"/>
        <v>22.769348601493455</v>
      </c>
      <c r="DZ65" s="774">
        <f t="shared" si="40"/>
        <v>4.820970784094845</v>
      </c>
      <c r="EA65" s="774">
        <f t="shared" si="40"/>
        <v>0</v>
      </c>
      <c r="EB65" s="771">
        <f>(EB37*EB10)/1000</f>
        <v>33.0237202091119</v>
      </c>
      <c r="EC65" s="771">
        <f t="shared" ref="EC65" si="53">(EC37*EC10)/1000</f>
        <v>43.531365826675227</v>
      </c>
    </row>
    <row r="66" spans="1:138">
      <c r="A66" s="189" t="s">
        <v>22</v>
      </c>
      <c r="B66" s="207">
        <f t="shared" ref="B66:AG66" si="54">(B38*B11)/1000</f>
        <v>3.1164920995507095</v>
      </c>
      <c r="C66" s="207">
        <f t="shared" si="54"/>
        <v>3.1164920995507095</v>
      </c>
      <c r="D66" s="207">
        <f t="shared" si="54"/>
        <v>15.402879095360698</v>
      </c>
      <c r="E66" s="207">
        <f t="shared" si="54"/>
        <v>0</v>
      </c>
      <c r="F66" s="207">
        <f t="shared" si="54"/>
        <v>94.003526249209358</v>
      </c>
      <c r="G66" s="207">
        <f t="shared" si="54"/>
        <v>157.5404798694606</v>
      </c>
      <c r="H66" s="207">
        <f t="shared" si="54"/>
        <v>51.636650770337326</v>
      </c>
      <c r="I66" s="207">
        <f t="shared" si="54"/>
        <v>27.528254969869504</v>
      </c>
      <c r="J66" s="207">
        <f t="shared" si="54"/>
        <v>116.5349562915538</v>
      </c>
      <c r="K66" s="207">
        <f t="shared" si="54"/>
        <v>77.296919686711817</v>
      </c>
      <c r="L66" s="207">
        <f t="shared" si="54"/>
        <v>0</v>
      </c>
      <c r="M66" s="207">
        <f t="shared" si="54"/>
        <v>85.879898936482761</v>
      </c>
      <c r="N66" s="207">
        <f t="shared" si="54"/>
        <v>191.89222582307087</v>
      </c>
      <c r="O66" s="207">
        <f t="shared" si="54"/>
        <v>0</v>
      </c>
      <c r="P66" s="207">
        <f t="shared" si="54"/>
        <v>342.49235494351763</v>
      </c>
      <c r="Q66" s="207">
        <f t="shared" si="54"/>
        <v>53.633077290571826</v>
      </c>
      <c r="R66" s="207">
        <f t="shared" si="54"/>
        <v>49.938370995502737</v>
      </c>
      <c r="S66" s="207">
        <f t="shared" si="54"/>
        <v>5.8513362715678916</v>
      </c>
      <c r="T66" s="207">
        <f t="shared" si="54"/>
        <v>0</v>
      </c>
      <c r="U66" s="207">
        <f t="shared" si="54"/>
        <v>0</v>
      </c>
      <c r="V66" s="207">
        <f t="shared" si="54"/>
        <v>0</v>
      </c>
      <c r="W66" s="207">
        <f t="shared" si="54"/>
        <v>0</v>
      </c>
      <c r="X66" s="207">
        <f t="shared" si="54"/>
        <v>19.960007390163689</v>
      </c>
      <c r="Y66" s="207">
        <f t="shared" si="54"/>
        <v>0</v>
      </c>
      <c r="Z66" s="207">
        <f t="shared" si="54"/>
        <v>228.8588168030814</v>
      </c>
      <c r="AA66" s="207">
        <f t="shared" si="54"/>
        <v>0</v>
      </c>
      <c r="AB66" s="207">
        <f t="shared" si="54"/>
        <v>371.07590847260002</v>
      </c>
      <c r="AC66" s="207">
        <f t="shared" si="54"/>
        <v>0</v>
      </c>
      <c r="AD66" s="207">
        <f t="shared" si="54"/>
        <v>0</v>
      </c>
      <c r="AE66" s="207">
        <f t="shared" si="54"/>
        <v>107.7619753616533</v>
      </c>
      <c r="AF66" s="207">
        <f t="shared" si="54"/>
        <v>0</v>
      </c>
      <c r="AG66" s="207">
        <f t="shared" si="54"/>
        <v>170.60481223565009</v>
      </c>
      <c r="AH66" s="207">
        <f t="shared" ref="AH66:BM66" si="55">(AH38*AH11)/1000</f>
        <v>190.37586255550207</v>
      </c>
      <c r="AI66" s="207">
        <f t="shared" si="55"/>
        <v>101.53744389611086</v>
      </c>
      <c r="AJ66" s="207">
        <f t="shared" si="55"/>
        <v>138.9938488048119</v>
      </c>
      <c r="AK66" s="207">
        <f t="shared" si="55"/>
        <v>239.92334259466884</v>
      </c>
      <c r="AL66" s="207">
        <f t="shared" si="55"/>
        <v>163.33468197808125</v>
      </c>
      <c r="AM66" s="207">
        <f t="shared" si="55"/>
        <v>75.147720164609055</v>
      </c>
      <c r="AN66" s="207">
        <f t="shared" si="55"/>
        <v>0</v>
      </c>
      <c r="AO66" s="207">
        <f t="shared" si="55"/>
        <v>0</v>
      </c>
      <c r="AP66" s="207">
        <f t="shared" si="55"/>
        <v>0</v>
      </c>
      <c r="AQ66" s="207">
        <f t="shared" si="55"/>
        <v>0</v>
      </c>
      <c r="AR66" s="207">
        <f t="shared" si="55"/>
        <v>0</v>
      </c>
      <c r="AS66" s="207">
        <f t="shared" si="55"/>
        <v>0</v>
      </c>
      <c r="AT66" s="207">
        <f t="shared" si="55"/>
        <v>0</v>
      </c>
      <c r="AU66" s="207">
        <f t="shared" si="55"/>
        <v>0</v>
      </c>
      <c r="AV66" s="207">
        <f t="shared" si="55"/>
        <v>0</v>
      </c>
      <c r="AW66" s="207">
        <f t="shared" si="55"/>
        <v>0</v>
      </c>
      <c r="AX66" s="207">
        <f t="shared" si="55"/>
        <v>18.404525758305248</v>
      </c>
      <c r="AY66" s="207">
        <f t="shared" si="55"/>
        <v>0</v>
      </c>
      <c r="AZ66" s="207">
        <f t="shared" si="55"/>
        <v>299.79668674698792</v>
      </c>
      <c r="BA66" s="207">
        <f t="shared" si="55"/>
        <v>115.60755626064987</v>
      </c>
      <c r="BB66" s="207">
        <f t="shared" si="55"/>
        <v>94.003526249209358</v>
      </c>
      <c r="BC66" s="207">
        <f t="shared" si="55"/>
        <v>157.5404798694606</v>
      </c>
      <c r="BD66" s="207">
        <f t="shared" si="55"/>
        <v>83.700540928556322</v>
      </c>
      <c r="BE66" s="207">
        <f t="shared" si="55"/>
        <v>254.92101732976911</v>
      </c>
      <c r="BF66" s="207">
        <f t="shared" si="55"/>
        <v>237.05331255881939</v>
      </c>
      <c r="BG66" s="207">
        <f t="shared" si="55"/>
        <v>326.76668221640841</v>
      </c>
      <c r="BH66" s="207">
        <f t="shared" si="55"/>
        <v>293.55146642733445</v>
      </c>
      <c r="BI66" s="207">
        <f t="shared" si="55"/>
        <v>364.12799339391285</v>
      </c>
      <c r="BJ66" s="207">
        <f t="shared" si="55"/>
        <v>278.37757610177198</v>
      </c>
      <c r="BK66" s="207">
        <f t="shared" si="55"/>
        <v>304.32280549168968</v>
      </c>
      <c r="BL66" s="207">
        <f t="shared" si="55"/>
        <v>43.040252209649275</v>
      </c>
      <c r="BM66" s="207">
        <f t="shared" si="55"/>
        <v>218.7940180574262</v>
      </c>
      <c r="BN66" s="207">
        <f t="shared" ref="BN66:CS66" si="56">(BN38*BN11)/1000</f>
        <v>277.48002464226408</v>
      </c>
      <c r="BO66" s="207">
        <f t="shared" si="56"/>
        <v>31.401911405403496</v>
      </c>
      <c r="BP66" s="207">
        <f t="shared" si="56"/>
        <v>4.8616276052927434</v>
      </c>
      <c r="BQ66" s="207">
        <f t="shared" si="56"/>
        <v>0</v>
      </c>
      <c r="BR66" s="207">
        <f t="shared" si="56"/>
        <v>136.08055667521316</v>
      </c>
      <c r="BS66" s="207">
        <f t="shared" si="56"/>
        <v>50.667591057843516</v>
      </c>
      <c r="BT66" s="207">
        <f t="shared" si="56"/>
        <v>306.42404590278773</v>
      </c>
      <c r="BU66" s="207">
        <f t="shared" si="56"/>
        <v>470.07265740331587</v>
      </c>
      <c r="BV66" s="207">
        <f t="shared" si="56"/>
        <v>0</v>
      </c>
      <c r="BW66" s="207">
        <f t="shared" si="56"/>
        <v>2.4519036801453886</v>
      </c>
      <c r="BX66" s="207">
        <f t="shared" si="56"/>
        <v>0</v>
      </c>
      <c r="BY66" s="207">
        <f t="shared" si="56"/>
        <v>0</v>
      </c>
      <c r="BZ66" s="207">
        <f t="shared" si="56"/>
        <v>135.5815383298561</v>
      </c>
      <c r="CA66" s="207">
        <f t="shared" si="56"/>
        <v>194.68531522725075</v>
      </c>
      <c r="CB66" s="207">
        <f t="shared" si="56"/>
        <v>143.34334956578201</v>
      </c>
      <c r="CC66" s="207">
        <f t="shared" si="56"/>
        <v>243.52332497552055</v>
      </c>
      <c r="CD66" s="207">
        <f t="shared" si="56"/>
        <v>383.29111343333307</v>
      </c>
      <c r="CE66" s="207">
        <f t="shared" si="56"/>
        <v>432.13038647588405</v>
      </c>
      <c r="CF66" s="207">
        <f t="shared" si="56"/>
        <v>81.049975672395803</v>
      </c>
      <c r="CG66" s="207">
        <f t="shared" si="56"/>
        <v>1173.4998709222691</v>
      </c>
      <c r="CH66" s="207">
        <f t="shared" si="56"/>
        <v>356.09750741306493</v>
      </c>
      <c r="CI66" s="207">
        <f t="shared" si="56"/>
        <v>444.24981693392397</v>
      </c>
      <c r="CJ66" s="207">
        <f t="shared" si="56"/>
        <v>678.04353607249345</v>
      </c>
      <c r="CK66" s="207">
        <f t="shared" si="56"/>
        <v>132.34794594655577</v>
      </c>
      <c r="CL66" s="207">
        <f t="shared" si="56"/>
        <v>102.70609359450474</v>
      </c>
      <c r="CM66" s="207">
        <f t="shared" si="56"/>
        <v>50.309570966142857</v>
      </c>
      <c r="CN66" s="207">
        <f t="shared" si="56"/>
        <v>13.823985608968847</v>
      </c>
      <c r="CO66" s="207">
        <f t="shared" si="56"/>
        <v>61.500160115820307</v>
      </c>
      <c r="CP66" s="771">
        <f t="shared" si="56"/>
        <v>108.93964309225993</v>
      </c>
      <c r="CQ66" s="771">
        <f t="shared" si="56"/>
        <v>60.075939292767806</v>
      </c>
      <c r="CR66" s="771">
        <f t="shared" si="56"/>
        <v>34.590334491427903</v>
      </c>
      <c r="CS66" s="771">
        <f t="shared" si="56"/>
        <v>32.767788135008068</v>
      </c>
      <c r="CT66" s="207">
        <f t="shared" ref="CT66:DE66" si="57">(CT38*CT11)/1000</f>
        <v>52.130788522689365</v>
      </c>
      <c r="CU66" s="207">
        <f t="shared" si="57"/>
        <v>68.830447563938449</v>
      </c>
      <c r="CV66" s="771">
        <f t="shared" si="57"/>
        <v>102.92936979885303</v>
      </c>
      <c r="CW66" s="771">
        <f t="shared" si="57"/>
        <v>47.148478036415767</v>
      </c>
      <c r="CX66" s="771">
        <f t="shared" si="57"/>
        <v>111.62286229635751</v>
      </c>
      <c r="CY66" s="771">
        <f t="shared" si="57"/>
        <v>50.299942257994104</v>
      </c>
      <c r="CZ66" s="207">
        <f t="shared" si="57"/>
        <v>0</v>
      </c>
      <c r="DA66" s="207">
        <f t="shared" si="57"/>
        <v>0</v>
      </c>
      <c r="DB66" s="771">
        <f t="shared" si="57"/>
        <v>0</v>
      </c>
      <c r="DC66" s="771">
        <f t="shared" si="57"/>
        <v>7.554140216546867</v>
      </c>
      <c r="DD66" s="771">
        <f t="shared" si="57"/>
        <v>0</v>
      </c>
      <c r="DE66" s="771">
        <f t="shared" si="57"/>
        <v>0</v>
      </c>
      <c r="DF66" s="207">
        <f>(DF38*DF11)/1000</f>
        <v>7.2083026188166839</v>
      </c>
      <c r="DG66" s="207">
        <v>0</v>
      </c>
      <c r="DH66" s="771">
        <f t="shared" ref="DH66:DU66" si="58">(DH38*DH11)/1000</f>
        <v>39.781179435483871</v>
      </c>
      <c r="DI66" s="771">
        <f t="shared" si="58"/>
        <v>55.977060265902146</v>
      </c>
      <c r="DJ66" s="771">
        <f t="shared" si="58"/>
        <v>99.415038453047487</v>
      </c>
      <c r="DK66" s="771">
        <f t="shared" si="58"/>
        <v>44.957035049271724</v>
      </c>
      <c r="DL66" s="207">
        <f t="shared" si="58"/>
        <v>7.6097997533265804</v>
      </c>
      <c r="DM66" s="207">
        <f t="shared" si="58"/>
        <v>32.040400798224589</v>
      </c>
      <c r="DN66" s="771">
        <f t="shared" si="58"/>
        <v>46.900043524866717</v>
      </c>
      <c r="DO66" s="771">
        <f t="shared" si="58"/>
        <v>48.130182948998126</v>
      </c>
      <c r="DP66" s="771">
        <f t="shared" si="58"/>
        <v>46.847631618763835</v>
      </c>
      <c r="DQ66" s="771">
        <f t="shared" si="58"/>
        <v>38.834671436732556</v>
      </c>
      <c r="DR66" s="191">
        <f t="shared" si="58"/>
        <v>66.41619913046496</v>
      </c>
      <c r="DS66" s="191">
        <f t="shared" si="58"/>
        <v>18.196258237946587</v>
      </c>
      <c r="DT66" s="774">
        <f t="shared" si="58"/>
        <v>129.86006561862129</v>
      </c>
      <c r="DU66" s="774">
        <f t="shared" si="58"/>
        <v>11.469460509279239</v>
      </c>
      <c r="DV66" s="771">
        <f>(DV37*DV10)/1000</f>
        <v>55.207893422036108</v>
      </c>
      <c r="DW66" s="771">
        <f t="shared" si="40"/>
        <v>226.42878324111769</v>
      </c>
      <c r="DX66" s="191">
        <f t="shared" si="40"/>
        <v>226.31839506353117</v>
      </c>
      <c r="DY66" s="191">
        <f t="shared" si="40"/>
        <v>153.19078938048082</v>
      </c>
      <c r="DZ66" s="774">
        <f t="shared" si="40"/>
        <v>52.848017121121543</v>
      </c>
      <c r="EA66" s="774">
        <f t="shared" si="40"/>
        <v>135.07721640366805</v>
      </c>
      <c r="EB66" s="771">
        <f>(EB37*EB10)/1000</f>
        <v>33.0237202091119</v>
      </c>
      <c r="EC66" s="771">
        <f t="shared" ref="EC66" si="59">(EC38*EC11)/1000</f>
        <v>215.01572677565119</v>
      </c>
    </row>
    <row r="67" spans="1:138">
      <c r="A67" s="192" t="s">
        <v>25</v>
      </c>
      <c r="B67" s="207">
        <f t="shared" ref="B67:AG67" si="60">(B39*B12)/1000</f>
        <v>73.230790878761425</v>
      </c>
      <c r="C67" s="207">
        <f t="shared" si="60"/>
        <v>49.604573822131016</v>
      </c>
      <c r="D67" s="207">
        <f t="shared" si="60"/>
        <v>32.091617602030738</v>
      </c>
      <c r="E67" s="207">
        <f t="shared" si="60"/>
        <v>72.074655338109395</v>
      </c>
      <c r="F67" s="207">
        <f t="shared" si="60"/>
        <v>0</v>
      </c>
      <c r="G67" s="207">
        <f t="shared" si="60"/>
        <v>80.206697684036399</v>
      </c>
      <c r="H67" s="207">
        <f t="shared" si="60"/>
        <v>45.484727645010963</v>
      </c>
      <c r="I67" s="207">
        <f t="shared" si="60"/>
        <v>28.291834329146855</v>
      </c>
      <c r="J67" s="207">
        <f t="shared" si="60"/>
        <v>0</v>
      </c>
      <c r="K67" s="207">
        <f t="shared" si="60"/>
        <v>0</v>
      </c>
      <c r="L67" s="207">
        <f t="shared" si="60"/>
        <v>0</v>
      </c>
      <c r="M67" s="207">
        <f t="shared" si="60"/>
        <v>19.742965308266019</v>
      </c>
      <c r="N67" s="207">
        <f t="shared" si="60"/>
        <v>148.57017156616936</v>
      </c>
      <c r="O67" s="207">
        <f t="shared" si="60"/>
        <v>0</v>
      </c>
      <c r="P67" s="207">
        <f t="shared" si="60"/>
        <v>46.027366468705345</v>
      </c>
      <c r="Q67" s="207">
        <f t="shared" si="60"/>
        <v>36.838217220785346</v>
      </c>
      <c r="R67" s="207">
        <f t="shared" si="60"/>
        <v>25.867783222699195</v>
      </c>
      <c r="S67" s="207">
        <f t="shared" si="60"/>
        <v>41.049712440188223</v>
      </c>
      <c r="T67" s="207">
        <f t="shared" si="60"/>
        <v>0</v>
      </c>
      <c r="U67" s="207">
        <f t="shared" si="60"/>
        <v>0</v>
      </c>
      <c r="V67" s="207">
        <f t="shared" si="60"/>
        <v>0</v>
      </c>
      <c r="W67" s="207">
        <f t="shared" si="60"/>
        <v>0</v>
      </c>
      <c r="X67" s="207">
        <f t="shared" si="60"/>
        <v>82.511926262051048</v>
      </c>
      <c r="Y67" s="207">
        <f t="shared" si="60"/>
        <v>0</v>
      </c>
      <c r="Z67" s="207">
        <f t="shared" si="60"/>
        <v>58.841560178725338</v>
      </c>
      <c r="AA67" s="207">
        <f t="shared" si="60"/>
        <v>54.041987526337159</v>
      </c>
      <c r="AB67" s="207">
        <f t="shared" si="60"/>
        <v>165.93366183013214</v>
      </c>
      <c r="AC67" s="207">
        <f t="shared" si="60"/>
        <v>0</v>
      </c>
      <c r="AD67" s="207">
        <f t="shared" si="60"/>
        <v>0</v>
      </c>
      <c r="AE67" s="207">
        <f t="shared" si="60"/>
        <v>0</v>
      </c>
      <c r="AF67" s="207">
        <f t="shared" si="60"/>
        <v>0</v>
      </c>
      <c r="AG67" s="207">
        <f t="shared" si="60"/>
        <v>148.32748477531902</v>
      </c>
      <c r="AH67" s="207">
        <f t="shared" ref="AH67:BM67" si="61">(AH39*AH12)/1000</f>
        <v>98.679423631345685</v>
      </c>
      <c r="AI67" s="207">
        <f t="shared" si="61"/>
        <v>143.19031236747051</v>
      </c>
      <c r="AJ67" s="207">
        <f t="shared" si="61"/>
        <v>68.62384106759275</v>
      </c>
      <c r="AK67" s="207">
        <f t="shared" si="61"/>
        <v>161.71877524660084</v>
      </c>
      <c r="AL67" s="207">
        <f t="shared" si="61"/>
        <v>104.1395581193608</v>
      </c>
      <c r="AM67" s="207">
        <f t="shared" si="61"/>
        <v>0</v>
      </c>
      <c r="AN67" s="207">
        <f t="shared" si="61"/>
        <v>0</v>
      </c>
      <c r="AO67" s="207">
        <f t="shared" si="61"/>
        <v>0</v>
      </c>
      <c r="AP67" s="207">
        <f t="shared" si="61"/>
        <v>0</v>
      </c>
      <c r="AQ67" s="207">
        <f t="shared" si="61"/>
        <v>0</v>
      </c>
      <c r="AR67" s="207">
        <f t="shared" si="61"/>
        <v>0</v>
      </c>
      <c r="AS67" s="207">
        <f t="shared" si="61"/>
        <v>0</v>
      </c>
      <c r="AT67" s="207">
        <f t="shared" si="61"/>
        <v>0</v>
      </c>
      <c r="AU67" s="207">
        <f t="shared" si="61"/>
        <v>0</v>
      </c>
      <c r="AV67" s="207">
        <f t="shared" si="61"/>
        <v>0</v>
      </c>
      <c r="AW67" s="207">
        <f t="shared" si="61"/>
        <v>0</v>
      </c>
      <c r="AX67" s="207">
        <f t="shared" si="61"/>
        <v>61.90819269874769</v>
      </c>
      <c r="AY67" s="207">
        <f t="shared" si="61"/>
        <v>0</v>
      </c>
      <c r="AZ67" s="207">
        <f t="shared" si="61"/>
        <v>165.93366183013214</v>
      </c>
      <c r="BA67" s="207">
        <f t="shared" si="61"/>
        <v>0</v>
      </c>
      <c r="BB67" s="207">
        <f t="shared" si="61"/>
        <v>0</v>
      </c>
      <c r="BC67" s="207">
        <f t="shared" si="61"/>
        <v>40.064423076923077</v>
      </c>
      <c r="BD67" s="207">
        <f t="shared" si="61"/>
        <v>154.49682698496528</v>
      </c>
      <c r="BE67" s="207">
        <f t="shared" si="61"/>
        <v>149.96640759428439</v>
      </c>
      <c r="BF67" s="207">
        <f t="shared" si="61"/>
        <v>171.29172726546963</v>
      </c>
      <c r="BG67" s="207">
        <f t="shared" si="61"/>
        <v>159.19867196067153</v>
      </c>
      <c r="BH67" s="207">
        <f t="shared" si="61"/>
        <v>122.52763070802806</v>
      </c>
      <c r="BI67" s="207">
        <f t="shared" si="61"/>
        <v>303.29356628285319</v>
      </c>
      <c r="BJ67" s="207">
        <f t="shared" si="61"/>
        <v>117.66964337759063</v>
      </c>
      <c r="BK67" s="207">
        <f t="shared" si="61"/>
        <v>85.365112821470319</v>
      </c>
      <c r="BL67" s="207">
        <f t="shared" si="61"/>
        <v>147.46426230485045</v>
      </c>
      <c r="BM67" s="207">
        <f t="shared" si="61"/>
        <v>87.223292614942267</v>
      </c>
      <c r="BN67" s="207">
        <f t="shared" ref="BN67:CS67" si="62">(BN39*BN12)/1000</f>
        <v>103.03182435796703</v>
      </c>
      <c r="BO67" s="207">
        <f t="shared" si="62"/>
        <v>71.023005299616173</v>
      </c>
      <c r="BP67" s="207">
        <f t="shared" si="62"/>
        <v>34.948207171314735</v>
      </c>
      <c r="BQ67" s="207">
        <f t="shared" si="62"/>
        <v>8.9608675153229598</v>
      </c>
      <c r="BR67" s="207">
        <f t="shared" si="62"/>
        <v>57.709516287409826</v>
      </c>
      <c r="BS67" s="207">
        <f t="shared" si="62"/>
        <v>51.775210022107586</v>
      </c>
      <c r="BT67" s="207">
        <f t="shared" si="62"/>
        <v>103.39383289090621</v>
      </c>
      <c r="BU67" s="207">
        <f t="shared" si="62"/>
        <v>57.611656762469643</v>
      </c>
      <c r="BV67" s="207">
        <f t="shared" si="62"/>
        <v>43.428231595938996</v>
      </c>
      <c r="BW67" s="207">
        <f t="shared" si="62"/>
        <v>15.926447265080697</v>
      </c>
      <c r="BX67" s="207">
        <f t="shared" si="62"/>
        <v>28.488751926040067</v>
      </c>
      <c r="BY67" s="207">
        <f t="shared" si="62"/>
        <v>72.074655338109395</v>
      </c>
      <c r="BZ67" s="207">
        <f t="shared" si="62"/>
        <v>186.24136640295879</v>
      </c>
      <c r="CA67" s="207">
        <f t="shared" si="62"/>
        <v>190.77515628394377</v>
      </c>
      <c r="CB67" s="207">
        <f t="shared" si="62"/>
        <v>158.69691658337163</v>
      </c>
      <c r="CC67" s="207">
        <f t="shared" si="62"/>
        <v>153.46995326254475</v>
      </c>
      <c r="CD67" s="207">
        <f t="shared" si="62"/>
        <v>114.05993415575105</v>
      </c>
      <c r="CE67" s="207">
        <f t="shared" si="62"/>
        <v>222.09288803407156</v>
      </c>
      <c r="CF67" s="207">
        <f t="shared" si="62"/>
        <v>156.5785462201421</v>
      </c>
      <c r="CG67" s="207">
        <f t="shared" si="62"/>
        <v>98.711175260179004</v>
      </c>
      <c r="CH67" s="207">
        <f t="shared" si="62"/>
        <v>219.01936171980785</v>
      </c>
      <c r="CI67" s="207">
        <f t="shared" si="62"/>
        <v>134.98636370031625</v>
      </c>
      <c r="CJ67" s="207">
        <f t="shared" si="62"/>
        <v>179.78038006930254</v>
      </c>
      <c r="CK67" s="207">
        <f t="shared" si="62"/>
        <v>139.30317304674298</v>
      </c>
      <c r="CL67" s="207">
        <f t="shared" si="62"/>
        <v>86.674611991558223</v>
      </c>
      <c r="CM67" s="207">
        <f t="shared" si="62"/>
        <v>126.07720572786167</v>
      </c>
      <c r="CN67" s="207">
        <f t="shared" si="62"/>
        <v>100.40528023446502</v>
      </c>
      <c r="CO67" s="207">
        <f t="shared" si="62"/>
        <v>146.31874729758141</v>
      </c>
      <c r="CP67" s="771">
        <f t="shared" si="62"/>
        <v>203.68515233188802</v>
      </c>
      <c r="CQ67" s="771">
        <f t="shared" si="62"/>
        <v>1153.8633094790077</v>
      </c>
      <c r="CR67" s="771">
        <f t="shared" si="62"/>
        <v>241.28961455986268</v>
      </c>
      <c r="CS67" s="771">
        <f t="shared" si="62"/>
        <v>210.75674864956869</v>
      </c>
      <c r="CT67" s="207">
        <f t="shared" ref="CT67:DE67" si="63">(CT39*CT12)/1000</f>
        <v>67.68015678809391</v>
      </c>
      <c r="CU67" s="207">
        <f t="shared" si="63"/>
        <v>66.739580830806304</v>
      </c>
      <c r="CV67" s="771">
        <f t="shared" si="63"/>
        <v>92.783020947414158</v>
      </c>
      <c r="CW67" s="771">
        <f t="shared" si="63"/>
        <v>128.24362785061376</v>
      </c>
      <c r="CX67" s="771">
        <f t="shared" si="63"/>
        <v>121.09557039598252</v>
      </c>
      <c r="CY67" s="771">
        <f t="shared" si="63"/>
        <v>95.687227839158766</v>
      </c>
      <c r="CZ67" s="207">
        <f t="shared" si="63"/>
        <v>0</v>
      </c>
      <c r="DA67" s="207">
        <f t="shared" si="63"/>
        <v>0</v>
      </c>
      <c r="DB67" s="771">
        <f t="shared" si="63"/>
        <v>0</v>
      </c>
      <c r="DC67" s="771">
        <f t="shared" si="63"/>
        <v>5.2765613192403942</v>
      </c>
      <c r="DD67" s="771">
        <f t="shared" si="63"/>
        <v>3.9046731932594119</v>
      </c>
      <c r="DE67" s="771">
        <f t="shared" si="63"/>
        <v>17.17723761160028</v>
      </c>
      <c r="DF67" s="207">
        <f>(DF39*DF12)/1000</f>
        <v>4.8398447419720476</v>
      </c>
      <c r="DG67" s="207">
        <f>(DG39*DG12)/1000</f>
        <v>6.6824067897678461</v>
      </c>
      <c r="DH67" s="771">
        <f t="shared" ref="DH67:DU67" si="64">(DH39*DH12)/1000</f>
        <v>7.0517785777568012</v>
      </c>
      <c r="DI67" s="771">
        <f t="shared" si="64"/>
        <v>19.477213835363365</v>
      </c>
      <c r="DJ67" s="771">
        <f t="shared" si="64"/>
        <v>26.857610544208626</v>
      </c>
      <c r="DK67" s="771">
        <f t="shared" si="64"/>
        <v>21.550845052781874</v>
      </c>
      <c r="DL67" s="207">
        <f t="shared" si="64"/>
        <v>20.366575663795647</v>
      </c>
      <c r="DM67" s="207">
        <f t="shared" si="64"/>
        <v>23.211253872529156</v>
      </c>
      <c r="DN67" s="771">
        <f t="shared" si="64"/>
        <v>20.731772512690288</v>
      </c>
      <c r="DO67" s="771">
        <f t="shared" si="64"/>
        <v>22.943437295137002</v>
      </c>
      <c r="DP67" s="771">
        <f t="shared" si="64"/>
        <v>23.342188390649738</v>
      </c>
      <c r="DQ67" s="771">
        <f t="shared" si="64"/>
        <v>22.760016841101422</v>
      </c>
      <c r="DR67" s="191">
        <f t="shared" si="64"/>
        <v>137.58952864060029</v>
      </c>
      <c r="DS67" s="191">
        <f t="shared" si="64"/>
        <v>127.44007756395452</v>
      </c>
      <c r="DT67" s="774">
        <f t="shared" si="64"/>
        <v>120.76824191292539</v>
      </c>
      <c r="DU67" s="774">
        <f t="shared" si="64"/>
        <v>113.36046052023369</v>
      </c>
      <c r="DV67" s="771">
        <f>(DV39*DV10)/1000</f>
        <v>51.366259349014683</v>
      </c>
      <c r="DW67" s="771">
        <f t="shared" si="40"/>
        <v>78.806120517864201</v>
      </c>
      <c r="DX67" s="191">
        <f t="shared" si="40"/>
        <v>116.59901236038158</v>
      </c>
      <c r="DY67" s="191">
        <f t="shared" si="40"/>
        <v>49.929345432747731</v>
      </c>
      <c r="DZ67" s="774">
        <f t="shared" si="40"/>
        <v>38.732101006535352</v>
      </c>
      <c r="EA67" s="774">
        <f t="shared" si="40"/>
        <v>100.21014379729557</v>
      </c>
      <c r="EB67" s="771">
        <f>(EB39*EB10)/1000</f>
        <v>41.640805846336157</v>
      </c>
      <c r="EC67" s="771">
        <f t="shared" ref="EC67" si="65">(EC39*EC12)/1000</f>
        <v>72.727354025598984</v>
      </c>
    </row>
    <row r="68" spans="1:138">
      <c r="A68" s="859" t="s">
        <v>48</v>
      </c>
      <c r="B68" s="207">
        <f t="shared" ref="B68:AG68" si="66">(B40*B13)/1000</f>
        <v>113.4333093006489</v>
      </c>
      <c r="C68" s="207">
        <f t="shared" si="66"/>
        <v>162.48422712933754</v>
      </c>
      <c r="D68" s="207">
        <f t="shared" si="66"/>
        <v>40.182211690363353</v>
      </c>
      <c r="E68" s="207">
        <f t="shared" si="66"/>
        <v>28.346775709719875</v>
      </c>
      <c r="F68" s="207">
        <f t="shared" si="66"/>
        <v>56.948289910600259</v>
      </c>
      <c r="G68" s="207">
        <f t="shared" si="66"/>
        <v>16.565788966049382</v>
      </c>
      <c r="H68" s="207">
        <f t="shared" si="66"/>
        <v>55.277615619121747</v>
      </c>
      <c r="I68" s="207">
        <f t="shared" si="66"/>
        <v>78.368956375030123</v>
      </c>
      <c r="J68" s="207">
        <f t="shared" si="66"/>
        <v>67.572189772854443</v>
      </c>
      <c r="K68" s="207">
        <f t="shared" si="66"/>
        <v>25.841971014492753</v>
      </c>
      <c r="L68" s="207">
        <f t="shared" si="66"/>
        <v>0</v>
      </c>
      <c r="M68" s="207">
        <f t="shared" si="66"/>
        <v>19.23041339471072</v>
      </c>
      <c r="N68" s="207">
        <f t="shared" si="66"/>
        <v>40.071335674339963</v>
      </c>
      <c r="O68" s="207">
        <f t="shared" si="66"/>
        <v>0</v>
      </c>
      <c r="P68" s="207">
        <f t="shared" si="66"/>
        <v>82.071987480438182</v>
      </c>
      <c r="Q68" s="207">
        <f t="shared" si="66"/>
        <v>40.560928748208937</v>
      </c>
      <c r="R68" s="207">
        <f t="shared" si="66"/>
        <v>3.0962333215255637</v>
      </c>
      <c r="S68" s="207">
        <f t="shared" si="66"/>
        <v>26.081298259390127</v>
      </c>
      <c r="T68" s="207">
        <f t="shared" si="66"/>
        <v>0</v>
      </c>
      <c r="U68" s="207">
        <f t="shared" si="66"/>
        <v>0</v>
      </c>
      <c r="V68" s="207">
        <f t="shared" si="66"/>
        <v>0</v>
      </c>
      <c r="W68" s="207">
        <f t="shared" si="66"/>
        <v>0</v>
      </c>
      <c r="X68" s="207">
        <f t="shared" si="66"/>
        <v>48.709510303186576</v>
      </c>
      <c r="Y68" s="207">
        <f t="shared" si="66"/>
        <v>0</v>
      </c>
      <c r="Z68" s="207">
        <f t="shared" si="66"/>
        <v>83.069927789424639</v>
      </c>
      <c r="AA68" s="207">
        <f t="shared" si="66"/>
        <v>58.403654994945327</v>
      </c>
      <c r="AB68" s="207">
        <f t="shared" si="66"/>
        <v>153.0830648148148</v>
      </c>
      <c r="AC68" s="207">
        <f t="shared" si="66"/>
        <v>0</v>
      </c>
      <c r="AD68" s="207">
        <f t="shared" si="66"/>
        <v>0</v>
      </c>
      <c r="AE68" s="207">
        <f t="shared" si="66"/>
        <v>104.52841323120178</v>
      </c>
      <c r="AF68" s="207">
        <f t="shared" si="66"/>
        <v>0</v>
      </c>
      <c r="AG68" s="207">
        <f t="shared" si="66"/>
        <v>18.209722222222222</v>
      </c>
      <c r="AH68" s="207">
        <f t="shared" ref="AH68:BM68" si="67">(AH40*AH13)/1000</f>
        <v>231.23792399075415</v>
      </c>
      <c r="AI68" s="207">
        <f t="shared" si="67"/>
        <v>232.27713169745431</v>
      </c>
      <c r="AJ68" s="207">
        <f t="shared" si="67"/>
        <v>63.752852438931001</v>
      </c>
      <c r="AK68" s="207">
        <f t="shared" si="67"/>
        <v>229.48568159285065</v>
      </c>
      <c r="AL68" s="207">
        <f t="shared" si="67"/>
        <v>68.990442439862548</v>
      </c>
      <c r="AM68" s="207">
        <f t="shared" si="67"/>
        <v>48.144222855333965</v>
      </c>
      <c r="AN68" s="207">
        <f t="shared" si="67"/>
        <v>0</v>
      </c>
      <c r="AO68" s="207">
        <f t="shared" si="67"/>
        <v>0</v>
      </c>
      <c r="AP68" s="207">
        <f t="shared" si="67"/>
        <v>0</v>
      </c>
      <c r="AQ68" s="207">
        <f t="shared" si="67"/>
        <v>0</v>
      </c>
      <c r="AR68" s="207">
        <f t="shared" si="67"/>
        <v>0</v>
      </c>
      <c r="AS68" s="207">
        <f t="shared" si="67"/>
        <v>0</v>
      </c>
      <c r="AT68" s="207">
        <f t="shared" si="67"/>
        <v>0</v>
      </c>
      <c r="AU68" s="207">
        <f t="shared" si="67"/>
        <v>0</v>
      </c>
      <c r="AV68" s="207">
        <f t="shared" si="67"/>
        <v>0</v>
      </c>
      <c r="AW68" s="207">
        <f t="shared" si="67"/>
        <v>0</v>
      </c>
      <c r="AX68" s="207">
        <f t="shared" si="67"/>
        <v>78.27743195541936</v>
      </c>
      <c r="AY68" s="207">
        <f t="shared" si="67"/>
        <v>0</v>
      </c>
      <c r="AZ68" s="207">
        <f t="shared" si="67"/>
        <v>46.48875182503501</v>
      </c>
      <c r="BA68" s="207">
        <f t="shared" si="67"/>
        <v>76.625801065078093</v>
      </c>
      <c r="BB68" s="207">
        <f t="shared" si="67"/>
        <v>56.948289910600259</v>
      </c>
      <c r="BC68" s="207">
        <f t="shared" si="67"/>
        <v>16.565788966049382</v>
      </c>
      <c r="BD68" s="207">
        <f t="shared" si="67"/>
        <v>41.00789544870495</v>
      </c>
      <c r="BE68" s="207">
        <f t="shared" si="67"/>
        <v>73.702591128678094</v>
      </c>
      <c r="BF68" s="207">
        <f t="shared" si="67"/>
        <v>50.246646646646653</v>
      </c>
      <c r="BG68" s="207">
        <f t="shared" si="67"/>
        <v>63.010690766428482</v>
      </c>
      <c r="BH68" s="207">
        <f t="shared" si="67"/>
        <v>62.646416382252575</v>
      </c>
      <c r="BI68" s="207">
        <f t="shared" si="67"/>
        <v>23.594066196743132</v>
      </c>
      <c r="BJ68" s="207">
        <f t="shared" si="67"/>
        <v>80.514774643064115</v>
      </c>
      <c r="BK68" s="207">
        <f t="shared" si="67"/>
        <v>61.167829728862046</v>
      </c>
      <c r="BL68" s="207">
        <f t="shared" si="67"/>
        <v>96.690683635177038</v>
      </c>
      <c r="BM68" s="207">
        <f t="shared" si="67"/>
        <v>115.19940704804262</v>
      </c>
      <c r="BN68" s="207">
        <f t="shared" ref="BN68:CS68" si="68">(BN40*BN13)/1000</f>
        <v>45.352515723270443</v>
      </c>
      <c r="BO68" s="207">
        <f t="shared" si="68"/>
        <v>16.735654629066072</v>
      </c>
      <c r="BP68" s="207">
        <f t="shared" si="68"/>
        <v>148.75547730829422</v>
      </c>
      <c r="BQ68" s="207">
        <f t="shared" si="68"/>
        <v>215.3964378934439</v>
      </c>
      <c r="BR68" s="207">
        <f t="shared" si="68"/>
        <v>39.126885158539828</v>
      </c>
      <c r="BS68" s="207">
        <f t="shared" si="68"/>
        <v>31.685226092702731</v>
      </c>
      <c r="BT68" s="207">
        <f t="shared" si="68"/>
        <v>159.98881273571217</v>
      </c>
      <c r="BU68" s="207">
        <f t="shared" si="68"/>
        <v>179.67732558139537</v>
      </c>
      <c r="BV68" s="207">
        <f t="shared" si="68"/>
        <v>78.072925845816997</v>
      </c>
      <c r="BW68" s="207">
        <f t="shared" si="68"/>
        <v>170.03399929898353</v>
      </c>
      <c r="BX68" s="207">
        <f t="shared" si="68"/>
        <v>65.037187993680902</v>
      </c>
      <c r="BY68" s="207">
        <f t="shared" si="68"/>
        <v>29.579244218838124</v>
      </c>
      <c r="BZ68" s="207">
        <f t="shared" si="68"/>
        <v>53.415185185185187</v>
      </c>
      <c r="CA68" s="207">
        <f t="shared" si="68"/>
        <v>37.386978557504875</v>
      </c>
      <c r="CB68" s="207">
        <f t="shared" si="68"/>
        <v>61.529984529984532</v>
      </c>
      <c r="CC68" s="207">
        <f t="shared" si="68"/>
        <v>105.25650141422241</v>
      </c>
      <c r="CD68" s="207">
        <f t="shared" si="68"/>
        <v>52.237991021324355</v>
      </c>
      <c r="CE68" s="207">
        <f t="shared" si="68"/>
        <v>164.11231138545955</v>
      </c>
      <c r="CF68" s="207">
        <f t="shared" si="68"/>
        <v>88.42581161408323</v>
      </c>
      <c r="CG68" s="207">
        <f t="shared" si="68"/>
        <v>124.44787767319411</v>
      </c>
      <c r="CH68" s="207">
        <f t="shared" si="68"/>
        <v>126.33539340776183</v>
      </c>
      <c r="CI68" s="207">
        <f t="shared" si="68"/>
        <v>71.573697270471456</v>
      </c>
      <c r="CJ68" s="207">
        <f t="shared" si="68"/>
        <v>148.57972554227536</v>
      </c>
      <c r="CK68" s="207">
        <f t="shared" si="68"/>
        <v>162.58199885029154</v>
      </c>
      <c r="CL68" s="207">
        <f t="shared" si="68"/>
        <v>56.231099142230207</v>
      </c>
      <c r="CM68" s="207">
        <f t="shared" si="68"/>
        <v>96.321398349773574</v>
      </c>
      <c r="CN68" s="207">
        <f t="shared" si="68"/>
        <v>20.451690565326931</v>
      </c>
      <c r="CO68" s="207">
        <f t="shared" si="68"/>
        <v>84.230524261836379</v>
      </c>
      <c r="CP68" s="771">
        <f t="shared" si="68"/>
        <v>96.212562189054722</v>
      </c>
      <c r="CQ68" s="771">
        <f t="shared" si="68"/>
        <v>34.72958222222222</v>
      </c>
      <c r="CR68" s="771">
        <f t="shared" si="68"/>
        <v>127.14029580019535</v>
      </c>
      <c r="CS68" s="771">
        <f t="shared" si="68"/>
        <v>80.509003402207284</v>
      </c>
      <c r="CT68" s="207">
        <f t="shared" ref="CT68:DE68" si="69">(CT40*CT13)/1000</f>
        <v>14.802373600620715</v>
      </c>
      <c r="CU68" s="207">
        <f t="shared" si="69"/>
        <v>81.24337606837608</v>
      </c>
      <c r="CV68" s="771">
        <f t="shared" si="69"/>
        <v>26.32100286304167</v>
      </c>
      <c r="CW68" s="771">
        <f t="shared" si="69"/>
        <v>83.487480776624395</v>
      </c>
      <c r="CX68" s="771">
        <f t="shared" si="69"/>
        <v>58.536399225829165</v>
      </c>
      <c r="CY68" s="771">
        <f t="shared" si="69"/>
        <v>122.07035938377403</v>
      </c>
      <c r="CZ68" s="207">
        <f t="shared" si="69"/>
        <v>0</v>
      </c>
      <c r="DA68" s="207">
        <f t="shared" si="69"/>
        <v>0</v>
      </c>
      <c r="DB68" s="771">
        <f t="shared" si="69"/>
        <v>0</v>
      </c>
      <c r="DC68" s="771">
        <f t="shared" si="69"/>
        <v>4.8268609567241452</v>
      </c>
      <c r="DD68" s="771">
        <f t="shared" si="69"/>
        <v>2.0965472280649964</v>
      </c>
      <c r="DE68" s="771">
        <f t="shared" si="69"/>
        <v>82.557707635899902</v>
      </c>
      <c r="DF68" s="207">
        <v>0</v>
      </c>
      <c r="DG68" s="207">
        <f>(DG40*DG13)/1000</f>
        <v>0.87203192550715003</v>
      </c>
      <c r="DH68" s="771">
        <f t="shared" ref="DH68:DU68" si="70">(DH40*DH13)/1000</f>
        <v>11.006765432098767</v>
      </c>
      <c r="DI68" s="771">
        <f t="shared" si="70"/>
        <v>15.181545994408879</v>
      </c>
      <c r="DJ68" s="771">
        <f t="shared" si="70"/>
        <v>26.429073150457189</v>
      </c>
      <c r="DK68" s="771">
        <f t="shared" si="70"/>
        <v>28.085306691868052</v>
      </c>
      <c r="DL68" s="207">
        <f t="shared" si="70"/>
        <v>35.904648904880212</v>
      </c>
      <c r="DM68" s="207">
        <f t="shared" si="70"/>
        <v>28.260394938117095</v>
      </c>
      <c r="DN68" s="771">
        <f t="shared" si="70"/>
        <v>25.264447088411579</v>
      </c>
      <c r="DO68" s="771">
        <f t="shared" si="70"/>
        <v>27.242267064351683</v>
      </c>
      <c r="DP68" s="771">
        <f t="shared" si="70"/>
        <v>29.587088525646475</v>
      </c>
      <c r="DQ68" s="771">
        <f t="shared" si="70"/>
        <v>30.130508616173298</v>
      </c>
      <c r="DR68" s="191">
        <f t="shared" si="70"/>
        <v>139.50861402282786</v>
      </c>
      <c r="DS68" s="191">
        <f t="shared" si="70"/>
        <v>69.194749179559309</v>
      </c>
      <c r="DT68" s="774">
        <f t="shared" si="70"/>
        <v>77.282640730916597</v>
      </c>
      <c r="DU68" s="774">
        <f t="shared" si="70"/>
        <v>55.65856616850769</v>
      </c>
      <c r="DV68" s="771">
        <f>(DV40*DV13)/1000</f>
        <v>61.350696486928108</v>
      </c>
      <c r="DW68" s="771">
        <f t="shared" si="40"/>
        <v>43.933089419342615</v>
      </c>
      <c r="DX68" s="191">
        <f t="shared" si="40"/>
        <v>51.34018600097896</v>
      </c>
      <c r="DY68" s="191">
        <f t="shared" si="40"/>
        <v>13.159935687625609</v>
      </c>
      <c r="DZ68" s="774">
        <f t="shared" si="40"/>
        <v>55.057607911328773</v>
      </c>
      <c r="EA68" s="774">
        <f t="shared" si="40"/>
        <v>56.994435750304298</v>
      </c>
      <c r="EB68" s="771">
        <f>(EB40*EB13)/1000</f>
        <v>88.948439620081416</v>
      </c>
      <c r="EC68" s="771">
        <f t="shared" ref="EC68" si="71">(EC40*EC13)/1000</f>
        <v>85.279690847872658</v>
      </c>
    </row>
    <row r="69" spans="1:138" s="178" customFormat="1">
      <c r="A69" s="850" t="s">
        <v>186</v>
      </c>
      <c r="B69" s="877">
        <f>SUM(B70:B73)</f>
        <v>250.54908275663473</v>
      </c>
      <c r="C69" s="877">
        <f t="shared" ref="C69:BN69" si="72">SUM(C70:C73)</f>
        <v>358.52223756142763</v>
      </c>
      <c r="D69" s="877">
        <f t="shared" si="72"/>
        <v>309.21597188133103</v>
      </c>
      <c r="E69" s="877">
        <f t="shared" si="72"/>
        <v>253.81139517950706</v>
      </c>
      <c r="F69" s="877">
        <f t="shared" si="72"/>
        <v>8.4273603473073564</v>
      </c>
      <c r="G69" s="877">
        <f t="shared" si="72"/>
        <v>18.712214636191256</v>
      </c>
      <c r="H69" s="877">
        <f t="shared" si="72"/>
        <v>221.28775007243166</v>
      </c>
      <c r="I69" s="877">
        <f t="shared" si="72"/>
        <v>328.69918741450698</v>
      </c>
      <c r="J69" s="877">
        <f t="shared" si="72"/>
        <v>6.2746286044782291</v>
      </c>
      <c r="K69" s="877">
        <f t="shared" si="72"/>
        <v>28.233291925465839</v>
      </c>
      <c r="L69" s="877">
        <f t="shared" si="72"/>
        <v>0</v>
      </c>
      <c r="M69" s="877">
        <f t="shared" si="72"/>
        <v>560.74176206016011</v>
      </c>
      <c r="N69" s="877">
        <f t="shared" si="72"/>
        <v>1462.5673947074733</v>
      </c>
      <c r="O69" s="877">
        <f t="shared" si="72"/>
        <v>0</v>
      </c>
      <c r="P69" s="877">
        <f t="shared" si="72"/>
        <v>511.77692851340566</v>
      </c>
      <c r="Q69" s="877">
        <f t="shared" si="72"/>
        <v>341.12867750848784</v>
      </c>
      <c r="R69" s="877">
        <f t="shared" si="72"/>
        <v>43.691833861629213</v>
      </c>
      <c r="S69" s="877">
        <f t="shared" si="72"/>
        <v>388.53687817742878</v>
      </c>
      <c r="T69" s="877">
        <f t="shared" si="72"/>
        <v>0</v>
      </c>
      <c r="U69" s="877">
        <f t="shared" si="72"/>
        <v>0</v>
      </c>
      <c r="V69" s="877">
        <f t="shared" si="72"/>
        <v>0</v>
      </c>
      <c r="W69" s="877">
        <f t="shared" si="72"/>
        <v>0</v>
      </c>
      <c r="X69" s="877">
        <f t="shared" si="72"/>
        <v>584.47463656409536</v>
      </c>
      <c r="Y69" s="877">
        <f t="shared" si="72"/>
        <v>0</v>
      </c>
      <c r="Z69" s="877">
        <f t="shared" si="72"/>
        <v>449.66539314365031</v>
      </c>
      <c r="AA69" s="877">
        <f t="shared" si="72"/>
        <v>5460.775042829594</v>
      </c>
      <c r="AB69" s="877">
        <f t="shared" si="72"/>
        <v>965.71196583383005</v>
      </c>
      <c r="AC69" s="877">
        <f t="shared" si="72"/>
        <v>0</v>
      </c>
      <c r="AD69" s="877">
        <f t="shared" si="72"/>
        <v>0.22818493400422954</v>
      </c>
      <c r="AE69" s="877">
        <f t="shared" si="72"/>
        <v>140.69995760192441</v>
      </c>
      <c r="AF69" s="877">
        <f t="shared" si="72"/>
        <v>0</v>
      </c>
      <c r="AG69" s="877">
        <f t="shared" si="72"/>
        <v>197.03696547075833</v>
      </c>
      <c r="AH69" s="877">
        <f t="shared" si="72"/>
        <v>103.51413887904705</v>
      </c>
      <c r="AI69" s="877">
        <f t="shared" si="72"/>
        <v>244.42439701106295</v>
      </c>
      <c r="AJ69" s="877">
        <f t="shared" si="72"/>
        <v>214.70485487531383</v>
      </c>
      <c r="AK69" s="877">
        <f t="shared" si="72"/>
        <v>163.10809718513875</v>
      </c>
      <c r="AL69" s="877">
        <f t="shared" si="72"/>
        <v>199.91160165817479</v>
      </c>
      <c r="AM69" s="877">
        <f t="shared" si="72"/>
        <v>0</v>
      </c>
      <c r="AN69" s="877">
        <f t="shared" si="72"/>
        <v>0</v>
      </c>
      <c r="AO69" s="877">
        <f t="shared" si="72"/>
        <v>0</v>
      </c>
      <c r="AP69" s="877">
        <f t="shared" si="72"/>
        <v>0</v>
      </c>
      <c r="AQ69" s="877">
        <f t="shared" si="72"/>
        <v>0</v>
      </c>
      <c r="AR69" s="877">
        <f t="shared" si="72"/>
        <v>0</v>
      </c>
      <c r="AS69" s="877">
        <f t="shared" si="72"/>
        <v>0</v>
      </c>
      <c r="AT69" s="877">
        <f t="shared" si="72"/>
        <v>0</v>
      </c>
      <c r="AU69" s="877">
        <f t="shared" si="72"/>
        <v>0</v>
      </c>
      <c r="AV69" s="877">
        <f t="shared" si="72"/>
        <v>0</v>
      </c>
      <c r="AW69" s="877">
        <f t="shared" si="72"/>
        <v>0</v>
      </c>
      <c r="AX69" s="877">
        <f t="shared" si="72"/>
        <v>410.21260587562517</v>
      </c>
      <c r="AY69" s="877">
        <f t="shared" si="72"/>
        <v>0</v>
      </c>
      <c r="AZ69" s="877">
        <f t="shared" si="72"/>
        <v>547.35821852260756</v>
      </c>
      <c r="BA69" s="877">
        <f t="shared" si="72"/>
        <v>531.96051821570768</v>
      </c>
      <c r="BB69" s="877">
        <f t="shared" si="72"/>
        <v>8.2839982852856071</v>
      </c>
      <c r="BC69" s="877">
        <f t="shared" si="72"/>
        <v>18.138766388104266</v>
      </c>
      <c r="BD69" s="877">
        <f t="shared" si="72"/>
        <v>194.21543705618049</v>
      </c>
      <c r="BE69" s="877">
        <f t="shared" si="72"/>
        <v>384.13755334253722</v>
      </c>
      <c r="BF69" s="877">
        <f t="shared" si="72"/>
        <v>460.35612883763997</v>
      </c>
      <c r="BG69" s="877">
        <f t="shared" si="72"/>
        <v>349.10750118902126</v>
      </c>
      <c r="BH69" s="877">
        <f t="shared" si="72"/>
        <v>299.54680593834269</v>
      </c>
      <c r="BI69" s="877">
        <f t="shared" si="72"/>
        <v>492.73183357552472</v>
      </c>
      <c r="BJ69" s="877">
        <f t="shared" si="72"/>
        <v>463.36006350538679</v>
      </c>
      <c r="BK69" s="877">
        <f t="shared" si="72"/>
        <v>540.77221405847524</v>
      </c>
      <c r="BL69" s="877">
        <f t="shared" si="72"/>
        <v>545.08618364091012</v>
      </c>
      <c r="BM69" s="877">
        <f t="shared" si="72"/>
        <v>361.51987658183782</v>
      </c>
      <c r="BN69" s="877">
        <f t="shared" si="72"/>
        <v>534.34264911088508</v>
      </c>
      <c r="BO69" s="877">
        <f t="shared" ref="BO69:DV69" si="73">SUM(BO70:BO73)</f>
        <v>291.7059297347501</v>
      </c>
      <c r="BP69" s="877">
        <f t="shared" si="73"/>
        <v>939.33098008453067</v>
      </c>
      <c r="BQ69" s="877">
        <f t="shared" si="73"/>
        <v>1476.0071118047424</v>
      </c>
      <c r="BR69" s="877">
        <f t="shared" si="73"/>
        <v>113.09039203705862</v>
      </c>
      <c r="BS69" s="877">
        <f t="shared" si="73"/>
        <v>214.4817236661404</v>
      </c>
      <c r="BT69" s="877">
        <f t="shared" si="73"/>
        <v>860.03077818471502</v>
      </c>
      <c r="BU69" s="877">
        <f t="shared" si="73"/>
        <v>210.97076466323867</v>
      </c>
      <c r="BV69" s="877">
        <f t="shared" si="73"/>
        <v>797.6854124497479</v>
      </c>
      <c r="BW69" s="877">
        <f t="shared" si="73"/>
        <v>720.22346272250206</v>
      </c>
      <c r="BX69" s="877">
        <f t="shared" si="73"/>
        <v>138.97079767460062</v>
      </c>
      <c r="BY69" s="877">
        <f t="shared" si="73"/>
        <v>253.81139517950706</v>
      </c>
      <c r="BZ69" s="877">
        <f t="shared" si="73"/>
        <v>893.04767762379083</v>
      </c>
      <c r="CA69" s="877">
        <f t="shared" si="73"/>
        <v>226.02026890272199</v>
      </c>
      <c r="CB69" s="877">
        <f t="shared" si="73"/>
        <v>381.58263683907046</v>
      </c>
      <c r="CC69" s="877">
        <f t="shared" si="73"/>
        <v>655.50421912389675</v>
      </c>
      <c r="CD69" s="877">
        <f t="shared" si="73"/>
        <v>319.04175606394358</v>
      </c>
      <c r="CE69" s="877">
        <f t="shared" si="73"/>
        <v>451.97482284274116</v>
      </c>
      <c r="CF69" s="877">
        <f t="shared" si="73"/>
        <v>491.89280331259778</v>
      </c>
      <c r="CG69" s="877">
        <f t="shared" si="73"/>
        <v>507.03426569136712</v>
      </c>
      <c r="CH69" s="877">
        <f t="shared" si="73"/>
        <v>510.59730174999493</v>
      </c>
      <c r="CI69" s="877">
        <f t="shared" si="73"/>
        <v>507.38300526552564</v>
      </c>
      <c r="CJ69" s="877">
        <f t="shared" si="73"/>
        <v>269.23097080756401</v>
      </c>
      <c r="CK69" s="877">
        <f t="shared" si="73"/>
        <v>690.01226657678683</v>
      </c>
      <c r="CL69" s="877">
        <f t="shared" si="73"/>
        <v>993.48941273935975</v>
      </c>
      <c r="CM69" s="877">
        <f t="shared" si="73"/>
        <v>923.78126830934627</v>
      </c>
      <c r="CN69" s="877">
        <f t="shared" si="73"/>
        <v>1004.7363897673739</v>
      </c>
      <c r="CO69" s="877">
        <f t="shared" si="73"/>
        <v>826.83117254680815</v>
      </c>
      <c r="CP69" s="877">
        <f t="shared" si="73"/>
        <v>341.43579796695605</v>
      </c>
      <c r="CQ69" s="877">
        <f t="shared" si="73"/>
        <v>1135.4333015145635</v>
      </c>
      <c r="CR69" s="877">
        <f t="shared" si="73"/>
        <v>474.97747184553316</v>
      </c>
      <c r="CS69" s="877">
        <f t="shared" si="73"/>
        <v>1346.1419733792334</v>
      </c>
      <c r="CT69" s="877">
        <f t="shared" si="73"/>
        <v>1978.3788406989595</v>
      </c>
      <c r="CU69" s="877">
        <f t="shared" si="73"/>
        <v>2154.5120771381221</v>
      </c>
      <c r="CV69" s="877">
        <f t="shared" si="73"/>
        <v>2361.4742781466121</v>
      </c>
      <c r="CW69" s="877">
        <f t="shared" si="73"/>
        <v>2510.4921883938514</v>
      </c>
      <c r="CX69" s="877">
        <f t="shared" si="73"/>
        <v>1120.8923913591457</v>
      </c>
      <c r="CY69" s="877">
        <f t="shared" si="73"/>
        <v>1182.9603095411255</v>
      </c>
      <c r="CZ69" s="877">
        <f t="shared" si="73"/>
        <v>0</v>
      </c>
      <c r="DA69" s="877">
        <f t="shared" si="73"/>
        <v>0</v>
      </c>
      <c r="DB69" s="877">
        <f t="shared" si="73"/>
        <v>0</v>
      </c>
      <c r="DC69" s="877">
        <f t="shared" si="73"/>
        <v>42.22138913601222</v>
      </c>
      <c r="DD69" s="877">
        <f t="shared" si="73"/>
        <v>3.5345474663437169</v>
      </c>
      <c r="DE69" s="877">
        <f t="shared" si="73"/>
        <v>0</v>
      </c>
      <c r="DF69" s="877">
        <f t="shared" si="73"/>
        <v>0</v>
      </c>
      <c r="DG69" s="877">
        <f t="shared" si="73"/>
        <v>10.510487824544429</v>
      </c>
      <c r="DH69" s="877">
        <f t="shared" si="73"/>
        <v>359.33497764610138</v>
      </c>
      <c r="DI69" s="877">
        <f t="shared" si="73"/>
        <v>37.207585884706461</v>
      </c>
      <c r="DJ69" s="877">
        <f t="shared" si="73"/>
        <v>137.48672211335065</v>
      </c>
      <c r="DK69" s="877">
        <f t="shared" si="73"/>
        <v>62.38138514299952</v>
      </c>
      <c r="DL69" s="877">
        <f t="shared" si="73"/>
        <v>139.09775935452348</v>
      </c>
      <c r="DM69" s="877">
        <f t="shared" si="73"/>
        <v>215.18273539727869</v>
      </c>
      <c r="DN69" s="877">
        <f t="shared" si="73"/>
        <v>128.54222848469595</v>
      </c>
      <c r="DO69" s="877">
        <f t="shared" si="73"/>
        <v>116.86317315614266</v>
      </c>
      <c r="DP69" s="877">
        <f t="shared" si="73"/>
        <v>133.73813330099961</v>
      </c>
      <c r="DQ69" s="877">
        <f t="shared" si="73"/>
        <v>134.37848123165605</v>
      </c>
      <c r="DR69" s="877">
        <f t="shared" si="73"/>
        <v>1002.0584790160533</v>
      </c>
      <c r="DS69" s="877">
        <f t="shared" si="73"/>
        <v>370.85674065544288</v>
      </c>
      <c r="DT69" s="877">
        <f t="shared" si="73"/>
        <v>913.58310918193058</v>
      </c>
      <c r="DU69" s="877">
        <f t="shared" si="73"/>
        <v>297.96543347806892</v>
      </c>
      <c r="DV69" s="877">
        <f t="shared" si="73"/>
        <v>200.58790836795274</v>
      </c>
      <c r="DW69" s="878">
        <f>SUM(DW70:DW73)</f>
        <v>168.86678221928202</v>
      </c>
      <c r="DX69" s="877">
        <f t="shared" ref="DX69:EB69" si="74">SUM(DX70:DX73)</f>
        <v>178.68852173429724</v>
      </c>
      <c r="DY69" s="877">
        <f t="shared" si="74"/>
        <v>143.97845785949409</v>
      </c>
      <c r="DZ69" s="877">
        <f t="shared" si="74"/>
        <v>164.34769958465296</v>
      </c>
      <c r="EA69" s="877">
        <f t="shared" si="74"/>
        <v>275.26958767290233</v>
      </c>
      <c r="EB69" s="877">
        <f t="shared" si="74"/>
        <v>485.99930588147959</v>
      </c>
      <c r="EC69" s="878">
        <f>SUM(EC70:EC73)</f>
        <v>264.62468800380316</v>
      </c>
      <c r="ED69" s="852"/>
      <c r="EE69" s="852"/>
      <c r="EF69" s="852"/>
      <c r="EG69" s="852"/>
      <c r="EH69" s="852"/>
    </row>
    <row r="70" spans="1:138">
      <c r="A70" s="193" t="s">
        <v>30</v>
      </c>
      <c r="B70" s="207">
        <f t="shared" ref="B70:AG70" si="75">(B42*B15)/1000</f>
        <v>186.80177376643317</v>
      </c>
      <c r="C70" s="207">
        <f t="shared" si="75"/>
        <v>219.15465013799309</v>
      </c>
      <c r="D70" s="207">
        <f t="shared" si="75"/>
        <v>170.24517420673041</v>
      </c>
      <c r="E70" s="207">
        <f t="shared" si="75"/>
        <v>171.30716202455824</v>
      </c>
      <c r="F70" s="207">
        <f t="shared" si="75"/>
        <v>0</v>
      </c>
      <c r="G70" s="207">
        <f t="shared" si="75"/>
        <v>0</v>
      </c>
      <c r="H70" s="207">
        <f t="shared" si="75"/>
        <v>111.56717817779482</v>
      </c>
      <c r="I70" s="207">
        <f t="shared" si="75"/>
        <v>49.670022675736966</v>
      </c>
      <c r="J70" s="207">
        <f t="shared" si="75"/>
        <v>0</v>
      </c>
      <c r="K70" s="207">
        <f t="shared" si="75"/>
        <v>0</v>
      </c>
      <c r="L70" s="207">
        <f t="shared" si="75"/>
        <v>0</v>
      </c>
      <c r="M70" s="207">
        <f t="shared" si="75"/>
        <v>133.19260542661002</v>
      </c>
      <c r="N70" s="207">
        <f t="shared" si="75"/>
        <v>127.09524674538301</v>
      </c>
      <c r="O70" s="207">
        <f t="shared" si="75"/>
        <v>0</v>
      </c>
      <c r="P70" s="207">
        <f t="shared" si="75"/>
        <v>143.65215629120689</v>
      </c>
      <c r="Q70" s="207">
        <f t="shared" si="75"/>
        <v>121.9130933808781</v>
      </c>
      <c r="R70" s="207">
        <f t="shared" si="75"/>
        <v>7.5735102784283095</v>
      </c>
      <c r="S70" s="207">
        <f t="shared" si="75"/>
        <v>31.00186493832323</v>
      </c>
      <c r="T70" s="207">
        <f t="shared" si="75"/>
        <v>0</v>
      </c>
      <c r="U70" s="207">
        <f t="shared" si="75"/>
        <v>0</v>
      </c>
      <c r="V70" s="207">
        <f t="shared" si="75"/>
        <v>0</v>
      </c>
      <c r="W70" s="207">
        <f t="shared" si="75"/>
        <v>0</v>
      </c>
      <c r="X70" s="207">
        <f t="shared" si="75"/>
        <v>64.645574487345144</v>
      </c>
      <c r="Y70" s="207">
        <f t="shared" si="75"/>
        <v>0</v>
      </c>
      <c r="Z70" s="207">
        <f t="shared" si="75"/>
        <v>169.2596746163801</v>
      </c>
      <c r="AA70" s="207">
        <f t="shared" si="75"/>
        <v>88.172363597726203</v>
      </c>
      <c r="AB70" s="207">
        <f t="shared" si="75"/>
        <v>120.78557751263565</v>
      </c>
      <c r="AC70" s="207">
        <f t="shared" si="75"/>
        <v>0</v>
      </c>
      <c r="AD70" s="207">
        <f t="shared" si="75"/>
        <v>0.22818493400422954</v>
      </c>
      <c r="AE70" s="207">
        <f t="shared" si="75"/>
        <v>0</v>
      </c>
      <c r="AF70" s="207">
        <f t="shared" si="75"/>
        <v>0</v>
      </c>
      <c r="AG70" s="207">
        <f t="shared" si="75"/>
        <v>102.89718924785039</v>
      </c>
      <c r="AH70" s="207">
        <f t="shared" ref="AH70:BM70" si="76">(AH42*AH15)/1000</f>
        <v>91.423168528642734</v>
      </c>
      <c r="AI70" s="207">
        <f t="shared" si="76"/>
        <v>85.451856239706743</v>
      </c>
      <c r="AJ70" s="207">
        <f t="shared" si="76"/>
        <v>86.534236180904529</v>
      </c>
      <c r="AK70" s="207">
        <f t="shared" si="76"/>
        <v>105.72405326876515</v>
      </c>
      <c r="AL70" s="207">
        <f t="shared" si="76"/>
        <v>95.869039548022613</v>
      </c>
      <c r="AM70" s="207">
        <f t="shared" si="76"/>
        <v>0</v>
      </c>
      <c r="AN70" s="207">
        <f t="shared" si="76"/>
        <v>0</v>
      </c>
      <c r="AO70" s="207">
        <f t="shared" si="76"/>
        <v>0</v>
      </c>
      <c r="AP70" s="207">
        <f t="shared" si="76"/>
        <v>0</v>
      </c>
      <c r="AQ70" s="207">
        <f t="shared" si="76"/>
        <v>0</v>
      </c>
      <c r="AR70" s="207">
        <f t="shared" si="76"/>
        <v>0</v>
      </c>
      <c r="AS70" s="207">
        <f t="shared" si="76"/>
        <v>0</v>
      </c>
      <c r="AT70" s="207">
        <f t="shared" si="76"/>
        <v>0</v>
      </c>
      <c r="AU70" s="207">
        <f t="shared" si="76"/>
        <v>0</v>
      </c>
      <c r="AV70" s="207">
        <f t="shared" si="76"/>
        <v>0</v>
      </c>
      <c r="AW70" s="207">
        <f t="shared" si="76"/>
        <v>0</v>
      </c>
      <c r="AX70" s="207">
        <f t="shared" si="76"/>
        <v>108.69853577371049</v>
      </c>
      <c r="AY70" s="207">
        <f t="shared" si="76"/>
        <v>0</v>
      </c>
      <c r="AZ70" s="207">
        <f t="shared" si="76"/>
        <v>119.67041469881514</v>
      </c>
      <c r="BA70" s="207">
        <f t="shared" si="76"/>
        <v>121.53379535796013</v>
      </c>
      <c r="BB70" s="207">
        <f t="shared" si="76"/>
        <v>0</v>
      </c>
      <c r="BC70" s="207">
        <f t="shared" si="76"/>
        <v>0</v>
      </c>
      <c r="BD70" s="207">
        <f t="shared" si="76"/>
        <v>98.952125723374863</v>
      </c>
      <c r="BE70" s="207">
        <f t="shared" si="76"/>
        <v>192.95010443417226</v>
      </c>
      <c r="BF70" s="207">
        <f t="shared" si="76"/>
        <v>246.34608309244894</v>
      </c>
      <c r="BG70" s="207">
        <f t="shared" si="76"/>
        <v>210.85582899826599</v>
      </c>
      <c r="BH70" s="207">
        <f t="shared" si="76"/>
        <v>116.60549872773537</v>
      </c>
      <c r="BI70" s="207">
        <f t="shared" si="76"/>
        <v>391.40944229944239</v>
      </c>
      <c r="BJ70" s="207">
        <f t="shared" si="76"/>
        <v>291.7888940391212</v>
      </c>
      <c r="BK70" s="207">
        <f t="shared" si="76"/>
        <v>24.888281250000002</v>
      </c>
      <c r="BL70" s="207">
        <f t="shared" si="76"/>
        <v>332.26561805070946</v>
      </c>
      <c r="BM70" s="207">
        <f t="shared" si="76"/>
        <v>194.81814782354658</v>
      </c>
      <c r="BN70" s="207">
        <f t="shared" ref="BN70:CS70" si="77">(BN42*BN15)/1000</f>
        <v>270.28100054586906</v>
      </c>
      <c r="BO70" s="207">
        <f t="shared" si="77"/>
        <v>106.97629116533925</v>
      </c>
      <c r="BP70" s="207">
        <f t="shared" si="77"/>
        <v>31.008713254254772</v>
      </c>
      <c r="BQ70" s="207">
        <f t="shared" si="77"/>
        <v>18.677100000000003</v>
      </c>
      <c r="BR70" s="207">
        <f t="shared" si="77"/>
        <v>10.543507362784471</v>
      </c>
      <c r="BS70" s="207">
        <f t="shared" si="77"/>
        <v>36.061417012038675</v>
      </c>
      <c r="BT70" s="207">
        <f t="shared" si="77"/>
        <v>193.45765090367999</v>
      </c>
      <c r="BU70" s="207">
        <f t="shared" si="77"/>
        <v>65.75031315240085</v>
      </c>
      <c r="BV70" s="207">
        <f t="shared" si="77"/>
        <v>28.335285729955022</v>
      </c>
      <c r="BW70" s="207">
        <f t="shared" si="77"/>
        <v>15.17363646066816</v>
      </c>
      <c r="BX70" s="207">
        <f t="shared" si="77"/>
        <v>0</v>
      </c>
      <c r="BY70" s="207">
        <f t="shared" si="77"/>
        <v>171.30716202455824</v>
      </c>
      <c r="BZ70" s="207">
        <f t="shared" si="77"/>
        <v>165.0486761748287</v>
      </c>
      <c r="CA70" s="207">
        <f t="shared" si="77"/>
        <v>92.064348836839386</v>
      </c>
      <c r="CB70" s="207">
        <f t="shared" si="77"/>
        <v>137.45782093115798</v>
      </c>
      <c r="CC70" s="207">
        <f t="shared" si="77"/>
        <v>71.75770799347471</v>
      </c>
      <c r="CD70" s="207">
        <f t="shared" si="77"/>
        <v>143.95963490324939</v>
      </c>
      <c r="CE70" s="207">
        <f t="shared" si="77"/>
        <v>348.17230987917554</v>
      </c>
      <c r="CF70" s="207">
        <f t="shared" si="77"/>
        <v>120.85728184474453</v>
      </c>
      <c r="CG70" s="207">
        <f t="shared" si="77"/>
        <v>83.886655886356067</v>
      </c>
      <c r="CH70" s="207">
        <f t="shared" si="77"/>
        <v>135.34451746031746</v>
      </c>
      <c r="CI70" s="207">
        <f t="shared" si="77"/>
        <v>111.91790713652242</v>
      </c>
      <c r="CJ70" s="207">
        <f t="shared" si="77"/>
        <v>90.192641549445128</v>
      </c>
      <c r="CK70" s="207">
        <f t="shared" si="77"/>
        <v>306.13258746192082</v>
      </c>
      <c r="CL70" s="207">
        <f t="shared" si="77"/>
        <v>108.149290529832</v>
      </c>
      <c r="CM70" s="207">
        <f t="shared" si="77"/>
        <v>186.51197239961837</v>
      </c>
      <c r="CN70" s="207">
        <f t="shared" si="77"/>
        <v>351.81018452380954</v>
      </c>
      <c r="CO70" s="207">
        <f t="shared" si="77"/>
        <v>403.10653571428571</v>
      </c>
      <c r="CP70" s="771">
        <f t="shared" si="77"/>
        <v>189.46004772876896</v>
      </c>
      <c r="CQ70" s="771">
        <f t="shared" si="77"/>
        <v>478.98637699151675</v>
      </c>
      <c r="CR70" s="771">
        <f t="shared" si="77"/>
        <v>233.51978914183073</v>
      </c>
      <c r="CS70" s="771">
        <f t="shared" si="77"/>
        <v>229.04108775635947</v>
      </c>
      <c r="CT70" s="207">
        <f t="shared" ref="CT70:DE70" si="78">(CT42*CT15)/1000</f>
        <v>338.85602290804962</v>
      </c>
      <c r="CU70" s="207">
        <f t="shared" si="78"/>
        <v>215.16135239941829</v>
      </c>
      <c r="CV70" s="771">
        <f t="shared" si="78"/>
        <v>214.97430231868589</v>
      </c>
      <c r="CW70" s="771">
        <f t="shared" si="78"/>
        <v>307.83560456995536</v>
      </c>
      <c r="CX70" s="771">
        <f t="shared" si="78"/>
        <v>212.77545531766603</v>
      </c>
      <c r="CY70" s="771">
        <f t="shared" si="78"/>
        <v>94.533076651925924</v>
      </c>
      <c r="CZ70" s="207">
        <f t="shared" si="78"/>
        <v>0</v>
      </c>
      <c r="DA70" s="207">
        <f t="shared" si="78"/>
        <v>0</v>
      </c>
      <c r="DB70" s="771">
        <f t="shared" si="78"/>
        <v>0</v>
      </c>
      <c r="DC70" s="771">
        <f t="shared" si="78"/>
        <v>20.414075723830734</v>
      </c>
      <c r="DD70" s="771">
        <f t="shared" si="78"/>
        <v>2.7663551401869162</v>
      </c>
      <c r="DE70" s="771">
        <f t="shared" si="78"/>
        <v>0</v>
      </c>
      <c r="DF70" s="207">
        <v>0</v>
      </c>
      <c r="DG70" s="207">
        <v>0</v>
      </c>
      <c r="DH70" s="771">
        <f t="shared" ref="DH70:DW70" si="79">(DH42*DH15)/1000</f>
        <v>5.4550764640059679</v>
      </c>
      <c r="DI70" s="771">
        <f t="shared" si="79"/>
        <v>14.532465955416777</v>
      </c>
      <c r="DJ70" s="771">
        <f t="shared" si="79"/>
        <v>25.327384615384616</v>
      </c>
      <c r="DK70" s="771">
        <f t="shared" si="79"/>
        <v>15.416553135386057</v>
      </c>
      <c r="DL70" s="207">
        <f t="shared" si="79"/>
        <v>23.240794537554311</v>
      </c>
      <c r="DM70" s="207">
        <f t="shared" si="79"/>
        <v>102.57152924256954</v>
      </c>
      <c r="DN70" s="771">
        <f t="shared" si="79"/>
        <v>27.377763934283898</v>
      </c>
      <c r="DO70" s="771">
        <f t="shared" si="79"/>
        <v>31.523617234035544</v>
      </c>
      <c r="DP70" s="771">
        <f t="shared" si="79"/>
        <v>34.927351235429526</v>
      </c>
      <c r="DQ70" s="771">
        <f t="shared" si="79"/>
        <v>36.398172105176563</v>
      </c>
      <c r="DR70" s="191">
        <f t="shared" si="79"/>
        <v>166.38183273702342</v>
      </c>
      <c r="DS70" s="191">
        <f t="shared" si="79"/>
        <v>66.798548284506325</v>
      </c>
      <c r="DT70" s="774">
        <f t="shared" si="79"/>
        <v>141.37157769006095</v>
      </c>
      <c r="DU70" s="774">
        <f t="shared" si="79"/>
        <v>214.72125761138244</v>
      </c>
      <c r="DV70" s="771">
        <f t="shared" si="79"/>
        <v>69.61860594051231</v>
      </c>
      <c r="DW70" s="771">
        <f t="shared" si="79"/>
        <v>37.400585932809847</v>
      </c>
      <c r="DX70" s="191">
        <f t="shared" ref="DX70:EC70" si="80">(DX42*DX15)/1000</f>
        <v>62.652651347192155</v>
      </c>
      <c r="DY70" s="191">
        <f t="shared" si="80"/>
        <v>78.890818492017104</v>
      </c>
      <c r="DZ70" s="774">
        <f t="shared" si="80"/>
        <v>53.350675293154978</v>
      </c>
      <c r="EA70" s="774">
        <f t="shared" si="80"/>
        <v>162.93140246629608</v>
      </c>
      <c r="EB70" s="771">
        <f t="shared" si="80"/>
        <v>198.5254331306991</v>
      </c>
      <c r="EC70" s="771">
        <f t="shared" si="80"/>
        <v>184.32987230514098</v>
      </c>
    </row>
    <row r="71" spans="1:138">
      <c r="A71" s="192" t="s">
        <v>31</v>
      </c>
      <c r="B71" s="207">
        <f t="shared" ref="B71:AG71" si="81">(B43*B16)/1000</f>
        <v>39.345067873303165</v>
      </c>
      <c r="C71" s="207">
        <f t="shared" si="81"/>
        <v>65.870101472995088</v>
      </c>
      <c r="D71" s="207">
        <f t="shared" si="81"/>
        <v>83.966238935016804</v>
      </c>
      <c r="E71" s="207">
        <f t="shared" si="81"/>
        <v>73.83146194120016</v>
      </c>
      <c r="F71" s="207">
        <f t="shared" si="81"/>
        <v>0.14336206202174789</v>
      </c>
      <c r="G71" s="207">
        <f t="shared" si="81"/>
        <v>0.57344824808699157</v>
      </c>
      <c r="H71" s="207">
        <f t="shared" si="81"/>
        <v>106.00822706705063</v>
      </c>
      <c r="I71" s="207">
        <f t="shared" si="81"/>
        <v>258.38047426257953</v>
      </c>
      <c r="J71" s="207">
        <f t="shared" si="81"/>
        <v>0.17156737998843261</v>
      </c>
      <c r="K71" s="207">
        <f t="shared" si="81"/>
        <v>0</v>
      </c>
      <c r="L71" s="207">
        <f t="shared" si="81"/>
        <v>0</v>
      </c>
      <c r="M71" s="207">
        <f t="shared" si="81"/>
        <v>98.760132245977545</v>
      </c>
      <c r="N71" s="207">
        <f t="shared" si="81"/>
        <v>110.67282642429616</v>
      </c>
      <c r="O71" s="207">
        <f t="shared" si="81"/>
        <v>0</v>
      </c>
      <c r="P71" s="207">
        <f t="shared" si="81"/>
        <v>154.48495618305745</v>
      </c>
      <c r="Q71" s="207">
        <f t="shared" si="81"/>
        <v>93.087159237603487</v>
      </c>
      <c r="R71" s="207">
        <f t="shared" si="81"/>
        <v>32.722754314456687</v>
      </c>
      <c r="S71" s="207">
        <f t="shared" si="81"/>
        <v>102.33262273562616</v>
      </c>
      <c r="T71" s="207">
        <f t="shared" si="81"/>
        <v>0</v>
      </c>
      <c r="U71" s="207">
        <f t="shared" si="81"/>
        <v>0</v>
      </c>
      <c r="V71" s="207">
        <f t="shared" si="81"/>
        <v>0</v>
      </c>
      <c r="W71" s="207">
        <f t="shared" si="81"/>
        <v>0</v>
      </c>
      <c r="X71" s="207">
        <f t="shared" si="81"/>
        <v>15.402461538461541</v>
      </c>
      <c r="Y71" s="207">
        <f t="shared" si="81"/>
        <v>0</v>
      </c>
      <c r="Z71" s="207">
        <f t="shared" si="81"/>
        <v>66.207838364167486</v>
      </c>
      <c r="AA71" s="207">
        <f t="shared" si="81"/>
        <v>106.247757612575</v>
      </c>
      <c r="AB71" s="207">
        <f t="shared" si="81"/>
        <v>75.144224423076935</v>
      </c>
      <c r="AC71" s="207">
        <f t="shared" si="81"/>
        <v>0</v>
      </c>
      <c r="AD71" s="207">
        <f t="shared" si="81"/>
        <v>0</v>
      </c>
      <c r="AE71" s="207">
        <f t="shared" si="81"/>
        <v>66.072381037567084</v>
      </c>
      <c r="AF71" s="207">
        <f t="shared" si="81"/>
        <v>0</v>
      </c>
      <c r="AG71" s="207">
        <f t="shared" si="81"/>
        <v>40.997056379821956</v>
      </c>
      <c r="AH71" s="207">
        <f t="shared" ref="AH71:BM71" si="82">(AH43*AH16)/1000</f>
        <v>0</v>
      </c>
      <c r="AI71" s="207">
        <f t="shared" si="82"/>
        <v>131.12449844331388</v>
      </c>
      <c r="AJ71" s="207">
        <f t="shared" si="82"/>
        <v>100.86013941543355</v>
      </c>
      <c r="AK71" s="207">
        <f t="shared" si="82"/>
        <v>27.365932191031717</v>
      </c>
      <c r="AL71" s="207">
        <f t="shared" si="82"/>
        <v>74.384221628462953</v>
      </c>
      <c r="AM71" s="207">
        <f t="shared" si="82"/>
        <v>0</v>
      </c>
      <c r="AN71" s="207">
        <f t="shared" si="82"/>
        <v>0</v>
      </c>
      <c r="AO71" s="207">
        <f t="shared" si="82"/>
        <v>0</v>
      </c>
      <c r="AP71" s="207">
        <f t="shared" si="82"/>
        <v>0</v>
      </c>
      <c r="AQ71" s="207">
        <f t="shared" si="82"/>
        <v>0</v>
      </c>
      <c r="AR71" s="207">
        <f t="shared" si="82"/>
        <v>0</v>
      </c>
      <c r="AS71" s="207">
        <f t="shared" si="82"/>
        <v>0</v>
      </c>
      <c r="AT71" s="207">
        <f t="shared" si="82"/>
        <v>0</v>
      </c>
      <c r="AU71" s="207">
        <f t="shared" si="82"/>
        <v>0</v>
      </c>
      <c r="AV71" s="207">
        <f t="shared" si="82"/>
        <v>0</v>
      </c>
      <c r="AW71" s="207">
        <f t="shared" si="82"/>
        <v>0</v>
      </c>
      <c r="AX71" s="207">
        <f t="shared" si="82"/>
        <v>66.207838364167486</v>
      </c>
      <c r="AY71" s="207">
        <f t="shared" si="82"/>
        <v>0</v>
      </c>
      <c r="AZ71" s="207">
        <f t="shared" si="82"/>
        <v>21.856826373626372</v>
      </c>
      <c r="BA71" s="207">
        <f t="shared" si="82"/>
        <v>109.80567335243553</v>
      </c>
      <c r="BB71" s="207">
        <f t="shared" si="82"/>
        <v>0</v>
      </c>
      <c r="BC71" s="207">
        <f t="shared" si="82"/>
        <v>0</v>
      </c>
      <c r="BD71" s="207">
        <f t="shared" si="82"/>
        <v>91.614189308996103</v>
      </c>
      <c r="BE71" s="207">
        <f t="shared" si="82"/>
        <v>93.665582915667912</v>
      </c>
      <c r="BF71" s="207">
        <f t="shared" si="82"/>
        <v>117.31373755656109</v>
      </c>
      <c r="BG71" s="207">
        <f t="shared" si="82"/>
        <v>49.764161124356889</v>
      </c>
      <c r="BH71" s="207">
        <f t="shared" si="82"/>
        <v>71.504566767951388</v>
      </c>
      <c r="BI71" s="207">
        <f t="shared" si="82"/>
        <v>80.962280714546111</v>
      </c>
      <c r="BJ71" s="207">
        <f t="shared" si="82"/>
        <v>103.80134629269646</v>
      </c>
      <c r="BK71" s="207">
        <f t="shared" si="82"/>
        <v>320.16056804733734</v>
      </c>
      <c r="BL71" s="207">
        <f t="shared" si="82"/>
        <v>95.158885941644584</v>
      </c>
      <c r="BM71" s="207">
        <f t="shared" si="82"/>
        <v>110.18483887733889</v>
      </c>
      <c r="BN71" s="207">
        <f t="shared" ref="BN71:CS71" si="83">(BN43*BN16)/1000</f>
        <v>141.41554737453984</v>
      </c>
      <c r="BO71" s="207">
        <f t="shared" si="83"/>
        <v>169.68813559322035</v>
      </c>
      <c r="BP71" s="207">
        <f t="shared" si="83"/>
        <v>222.79828326180257</v>
      </c>
      <c r="BQ71" s="207">
        <f t="shared" si="83"/>
        <v>234.1485314685315</v>
      </c>
      <c r="BR71" s="207">
        <f t="shared" si="83"/>
        <v>0</v>
      </c>
      <c r="BS71" s="207">
        <f t="shared" si="83"/>
        <v>0</v>
      </c>
      <c r="BT71" s="207">
        <f t="shared" si="83"/>
        <v>112.65167512690358</v>
      </c>
      <c r="BU71" s="207">
        <f t="shared" si="83"/>
        <v>70.453326654740621</v>
      </c>
      <c r="BV71" s="207">
        <f t="shared" si="83"/>
        <v>1.6149095022624436</v>
      </c>
      <c r="BW71" s="207">
        <f t="shared" si="83"/>
        <v>2.6216955810147295</v>
      </c>
      <c r="BX71" s="207">
        <f t="shared" si="83"/>
        <v>83.966238935016804</v>
      </c>
      <c r="BY71" s="207">
        <f t="shared" si="83"/>
        <v>73.83146194120016</v>
      </c>
      <c r="BZ71" s="207">
        <f t="shared" si="83"/>
        <v>100.1476923076923</v>
      </c>
      <c r="CA71" s="207">
        <f t="shared" si="83"/>
        <v>95.036398486759154</v>
      </c>
      <c r="CB71" s="207">
        <f t="shared" si="83"/>
        <v>92.722466807165461</v>
      </c>
      <c r="CC71" s="207">
        <f t="shared" si="83"/>
        <v>23.410226619853177</v>
      </c>
      <c r="CD71" s="207">
        <f t="shared" si="83"/>
        <v>127.49815384615385</v>
      </c>
      <c r="CE71" s="207">
        <f t="shared" si="83"/>
        <v>90.072874493927131</v>
      </c>
      <c r="CF71" s="207">
        <f t="shared" si="83"/>
        <v>81.786170040485814</v>
      </c>
      <c r="CG71" s="207">
        <f t="shared" si="83"/>
        <v>65.246538461538464</v>
      </c>
      <c r="CH71" s="207">
        <f t="shared" si="83"/>
        <v>21.769264656048797</v>
      </c>
      <c r="CI71" s="207">
        <f t="shared" si="83"/>
        <v>28.209592162554426</v>
      </c>
      <c r="CJ71" s="207">
        <f t="shared" si="83"/>
        <v>63.189585798816566</v>
      </c>
      <c r="CK71" s="207">
        <f t="shared" si="83"/>
        <v>101.01867149321268</v>
      </c>
      <c r="CL71" s="207">
        <f t="shared" si="83"/>
        <v>200.78208791208789</v>
      </c>
      <c r="CM71" s="207">
        <f t="shared" si="83"/>
        <v>143.70606520818632</v>
      </c>
      <c r="CN71" s="207">
        <f t="shared" si="83"/>
        <v>140.52665989472715</v>
      </c>
      <c r="CO71" s="207">
        <f t="shared" si="83"/>
        <v>137.16674556213022</v>
      </c>
      <c r="CP71" s="771">
        <f t="shared" si="83"/>
        <v>70.697661182747893</v>
      </c>
      <c r="CQ71" s="771">
        <f t="shared" si="83"/>
        <v>99.598604651162788</v>
      </c>
      <c r="CR71" s="771">
        <f t="shared" si="83"/>
        <v>66.383114941072108</v>
      </c>
      <c r="CS71" s="771">
        <f t="shared" si="83"/>
        <v>123.11533958724205</v>
      </c>
      <c r="CT71" s="207">
        <f t="shared" ref="CT71:DE71" si="84">(CT43*CT16)/1000</f>
        <v>89.847692307692313</v>
      </c>
      <c r="CU71" s="207">
        <f t="shared" si="84"/>
        <v>71.472383292383299</v>
      </c>
      <c r="CV71" s="771">
        <f t="shared" si="84"/>
        <v>42.068397153507298</v>
      </c>
      <c r="CW71" s="771">
        <f t="shared" si="84"/>
        <v>39.720755459374395</v>
      </c>
      <c r="CX71" s="771">
        <f t="shared" si="84"/>
        <v>212.83992210321324</v>
      </c>
      <c r="CY71" s="771">
        <f t="shared" si="84"/>
        <v>73.819086730003065</v>
      </c>
      <c r="CZ71" s="207">
        <f t="shared" si="84"/>
        <v>0</v>
      </c>
      <c r="DA71" s="207">
        <f t="shared" si="84"/>
        <v>0</v>
      </c>
      <c r="DB71" s="771">
        <f t="shared" si="84"/>
        <v>0</v>
      </c>
      <c r="DC71" s="771">
        <f t="shared" si="84"/>
        <v>0.68066433566433737</v>
      </c>
      <c r="DD71" s="771">
        <f t="shared" si="84"/>
        <v>0.76819232615680055</v>
      </c>
      <c r="DE71" s="771">
        <f t="shared" si="84"/>
        <v>0</v>
      </c>
      <c r="DF71" s="207">
        <v>0</v>
      </c>
      <c r="DG71" s="207">
        <f t="shared" ref="DG71:DU71" si="85">(DG43*DG16)/1000</f>
        <v>8.2340203193033386</v>
      </c>
      <c r="DH71" s="771">
        <f t="shared" si="85"/>
        <v>12.62146153846154</v>
      </c>
      <c r="DI71" s="771">
        <f t="shared" si="85"/>
        <v>17.453856342333165</v>
      </c>
      <c r="DJ71" s="771">
        <f t="shared" si="85"/>
        <v>43.032831473869642</v>
      </c>
      <c r="DK71" s="771">
        <f t="shared" si="85"/>
        <v>28.579398936747317</v>
      </c>
      <c r="DL71" s="207">
        <f t="shared" si="85"/>
        <v>53.618028169014082</v>
      </c>
      <c r="DM71" s="207">
        <f t="shared" si="85"/>
        <v>31.67307692307693</v>
      </c>
      <c r="DN71" s="771">
        <f t="shared" si="85"/>
        <v>34.303953886680631</v>
      </c>
      <c r="DO71" s="771">
        <f t="shared" si="85"/>
        <v>37.04705442260525</v>
      </c>
      <c r="DP71" s="771">
        <f t="shared" si="85"/>
        <v>39.179953567955337</v>
      </c>
      <c r="DQ71" s="771">
        <f t="shared" si="85"/>
        <v>38.554848644400607</v>
      </c>
      <c r="DR71" s="191">
        <f t="shared" si="85"/>
        <v>13.889792198323008</v>
      </c>
      <c r="DS71" s="191">
        <f t="shared" si="85"/>
        <v>20.652820512820515</v>
      </c>
      <c r="DT71" s="774">
        <f t="shared" si="85"/>
        <v>41.984327614831216</v>
      </c>
      <c r="DU71" s="774">
        <f t="shared" si="85"/>
        <v>45.857328671328681</v>
      </c>
      <c r="DV71" s="771">
        <f>(DV42*DV15)/1000</f>
        <v>69.61860594051231</v>
      </c>
      <c r="DW71" s="771">
        <f>(DW43*DW16)/1000</f>
        <v>36.470196286472152</v>
      </c>
      <c r="DX71" s="191">
        <f t="shared" ref="DX71:EA71" si="86">(DX43*DX16)/1000</f>
        <v>87.333544805709749</v>
      </c>
      <c r="DY71" s="191">
        <f t="shared" si="86"/>
        <v>36.813955156950676</v>
      </c>
      <c r="DZ71" s="774">
        <f t="shared" si="86"/>
        <v>95.730576923076924</v>
      </c>
      <c r="EA71" s="774">
        <f t="shared" si="86"/>
        <v>85.247541931752465</v>
      </c>
      <c r="EB71" s="771">
        <f>(EB42*EB15)/1000</f>
        <v>198.5254331306991</v>
      </c>
      <c r="EC71" s="771">
        <f>(EC43*EC16)/1000</f>
        <v>39.286043768837636</v>
      </c>
    </row>
    <row r="72" spans="1:138">
      <c r="A72" s="192" t="s">
        <v>32</v>
      </c>
      <c r="B72" s="207">
        <f t="shared" ref="B72:AG72" si="87">(B44*B17)/1000</f>
        <v>17.507033465683492</v>
      </c>
      <c r="C72" s="207">
        <f t="shared" si="87"/>
        <v>18.721000801924621</v>
      </c>
      <c r="D72" s="207">
        <f t="shared" si="87"/>
        <v>8.7565971492873214</v>
      </c>
      <c r="E72" s="207">
        <f t="shared" si="87"/>
        <v>0</v>
      </c>
      <c r="F72" s="207">
        <f t="shared" si="87"/>
        <v>3.1574268567141783</v>
      </c>
      <c r="G72" s="207">
        <f t="shared" si="87"/>
        <v>8.8394042618584159</v>
      </c>
      <c r="H72" s="207">
        <f t="shared" si="87"/>
        <v>0</v>
      </c>
      <c r="I72" s="207">
        <f t="shared" si="87"/>
        <v>0</v>
      </c>
      <c r="J72" s="207">
        <f t="shared" si="87"/>
        <v>0</v>
      </c>
      <c r="K72" s="207">
        <f t="shared" si="87"/>
        <v>0</v>
      </c>
      <c r="L72" s="207">
        <f t="shared" si="87"/>
        <v>0</v>
      </c>
      <c r="M72" s="207">
        <f t="shared" si="87"/>
        <v>178.79455813953487</v>
      </c>
      <c r="N72" s="207">
        <f t="shared" si="87"/>
        <v>1161.0223317418759</v>
      </c>
      <c r="O72" s="207">
        <f t="shared" si="87"/>
        <v>0</v>
      </c>
      <c r="P72" s="207">
        <f t="shared" si="87"/>
        <v>40.635781610965658</v>
      </c>
      <c r="Q72" s="207">
        <f t="shared" si="87"/>
        <v>75.694046511627903</v>
      </c>
      <c r="R72" s="207">
        <f t="shared" si="87"/>
        <v>0</v>
      </c>
      <c r="S72" s="207">
        <f t="shared" si="87"/>
        <v>0</v>
      </c>
      <c r="T72" s="207">
        <f t="shared" si="87"/>
        <v>0</v>
      </c>
      <c r="U72" s="207">
        <f t="shared" si="87"/>
        <v>0</v>
      </c>
      <c r="V72" s="207">
        <f t="shared" si="87"/>
        <v>0</v>
      </c>
      <c r="W72" s="207">
        <f t="shared" si="87"/>
        <v>0</v>
      </c>
      <c r="X72" s="207">
        <f t="shared" si="87"/>
        <v>380.99434841364285</v>
      </c>
      <c r="Y72" s="207">
        <f t="shared" si="87"/>
        <v>0</v>
      </c>
      <c r="Z72" s="207">
        <f t="shared" si="87"/>
        <v>35.654551322132356</v>
      </c>
      <c r="AA72" s="207">
        <f t="shared" si="87"/>
        <v>5220.2790697674418</v>
      </c>
      <c r="AB72" s="207">
        <f t="shared" si="87"/>
        <v>750.41511627906982</v>
      </c>
      <c r="AC72" s="207">
        <f t="shared" si="87"/>
        <v>0</v>
      </c>
      <c r="AD72" s="207">
        <f t="shared" si="87"/>
        <v>0</v>
      </c>
      <c r="AE72" s="207">
        <f t="shared" si="87"/>
        <v>52.855325581395341</v>
      </c>
      <c r="AF72" s="207">
        <f t="shared" si="87"/>
        <v>0</v>
      </c>
      <c r="AG72" s="207">
        <f t="shared" si="87"/>
        <v>0</v>
      </c>
      <c r="AH72" s="207">
        <f t="shared" ref="AH72:BM72" si="88">(AH44*AH17)/1000</f>
        <v>0</v>
      </c>
      <c r="AI72" s="207">
        <f t="shared" si="88"/>
        <v>0</v>
      </c>
      <c r="AJ72" s="207">
        <f t="shared" si="88"/>
        <v>0</v>
      </c>
      <c r="AK72" s="207">
        <f t="shared" si="88"/>
        <v>0</v>
      </c>
      <c r="AL72" s="207">
        <f t="shared" si="88"/>
        <v>0</v>
      </c>
      <c r="AM72" s="207">
        <f t="shared" si="88"/>
        <v>0</v>
      </c>
      <c r="AN72" s="207">
        <f t="shared" si="88"/>
        <v>0</v>
      </c>
      <c r="AO72" s="207">
        <f t="shared" si="88"/>
        <v>0</v>
      </c>
      <c r="AP72" s="207">
        <f t="shared" si="88"/>
        <v>0</v>
      </c>
      <c r="AQ72" s="207">
        <f t="shared" si="88"/>
        <v>0</v>
      </c>
      <c r="AR72" s="207">
        <f t="shared" si="88"/>
        <v>0</v>
      </c>
      <c r="AS72" s="207">
        <f t="shared" si="88"/>
        <v>0</v>
      </c>
      <c r="AT72" s="207">
        <f t="shared" si="88"/>
        <v>0</v>
      </c>
      <c r="AU72" s="207">
        <f t="shared" si="88"/>
        <v>0</v>
      </c>
      <c r="AV72" s="207">
        <f t="shared" si="88"/>
        <v>0</v>
      </c>
      <c r="AW72" s="207">
        <f t="shared" si="88"/>
        <v>0</v>
      </c>
      <c r="AX72" s="207">
        <f t="shared" si="88"/>
        <v>56.762902896776815</v>
      </c>
      <c r="AY72" s="207">
        <f t="shared" si="88"/>
        <v>0</v>
      </c>
      <c r="AZ72" s="207">
        <f t="shared" si="88"/>
        <v>384.58774709302327</v>
      </c>
      <c r="BA72" s="207">
        <f t="shared" si="88"/>
        <v>178.79455813953487</v>
      </c>
      <c r="BB72" s="207">
        <f t="shared" si="88"/>
        <v>3.1574268567141783</v>
      </c>
      <c r="BC72" s="207">
        <f t="shared" si="88"/>
        <v>8.8394042618584159</v>
      </c>
      <c r="BD72" s="207">
        <f t="shared" si="88"/>
        <v>0</v>
      </c>
      <c r="BE72" s="207">
        <f t="shared" si="88"/>
        <v>72.074754191454815</v>
      </c>
      <c r="BF72" s="207">
        <f t="shared" si="88"/>
        <v>69.201737415366495</v>
      </c>
      <c r="BG72" s="207">
        <f t="shared" si="88"/>
        <v>0</v>
      </c>
      <c r="BH72" s="207">
        <f t="shared" si="88"/>
        <v>0</v>
      </c>
      <c r="BI72" s="207">
        <f t="shared" si="88"/>
        <v>0</v>
      </c>
      <c r="BJ72" s="207">
        <f t="shared" si="88"/>
        <v>0</v>
      </c>
      <c r="BK72" s="207">
        <f t="shared" si="88"/>
        <v>52.675484576806149</v>
      </c>
      <c r="BL72" s="207">
        <f t="shared" si="88"/>
        <v>25.120095703799876</v>
      </c>
      <c r="BM72" s="207">
        <f t="shared" si="88"/>
        <v>0</v>
      </c>
      <c r="BN72" s="207">
        <f t="shared" ref="BN72:CF72" si="89">(BN44*BN17)/1000</f>
        <v>0</v>
      </c>
      <c r="BO72" s="207">
        <f t="shared" si="89"/>
        <v>0</v>
      </c>
      <c r="BP72" s="207">
        <f t="shared" si="89"/>
        <v>649.73342505783501</v>
      </c>
      <c r="BQ72" s="207">
        <f t="shared" si="89"/>
        <v>1197.1329552396858</v>
      </c>
      <c r="BR72" s="207">
        <f t="shared" si="89"/>
        <v>84.262113245702722</v>
      </c>
      <c r="BS72" s="207">
        <f t="shared" si="89"/>
        <v>149.87910610465116</v>
      </c>
      <c r="BT72" s="207">
        <f t="shared" si="89"/>
        <v>450.24906976744182</v>
      </c>
      <c r="BU72" s="207">
        <f t="shared" si="89"/>
        <v>40.103310054918978</v>
      </c>
      <c r="BV72" s="207">
        <f t="shared" si="89"/>
        <v>755.98553601815081</v>
      </c>
      <c r="BW72" s="207">
        <f t="shared" si="89"/>
        <v>642.36434001603845</v>
      </c>
      <c r="BX72" s="207">
        <f t="shared" si="89"/>
        <v>8.7565971492873214</v>
      </c>
      <c r="BY72" s="207">
        <f t="shared" si="89"/>
        <v>0</v>
      </c>
      <c r="BZ72" s="207">
        <f t="shared" si="89"/>
        <v>500.5874750830564</v>
      </c>
      <c r="CA72" s="207">
        <f t="shared" si="89"/>
        <v>0</v>
      </c>
      <c r="CB72" s="207">
        <f t="shared" si="89"/>
        <v>85.952278727770178</v>
      </c>
      <c r="CC72" s="207">
        <f t="shared" si="89"/>
        <v>550.73944186046526</v>
      </c>
      <c r="CD72" s="207">
        <f t="shared" si="89"/>
        <v>6.5253488372093003</v>
      </c>
      <c r="CE72" s="207">
        <f t="shared" si="89"/>
        <v>0</v>
      </c>
      <c r="CF72" s="207">
        <f t="shared" si="89"/>
        <v>268.1510537790698</v>
      </c>
      <c r="CG72" s="207">
        <v>268.1510537790698</v>
      </c>
      <c r="CH72" s="207">
        <v>268.1510537790698</v>
      </c>
      <c r="CI72" s="207">
        <v>268.1510537790698</v>
      </c>
      <c r="CJ72" s="207">
        <f t="shared" ref="CJ72:DE72" si="90">(CJ44*CJ17)/1000</f>
        <v>8.9383684593023265</v>
      </c>
      <c r="CK72" s="207">
        <f t="shared" si="90"/>
        <v>3.9152093023255814</v>
      </c>
      <c r="CL72" s="207">
        <f t="shared" si="90"/>
        <v>550.73944186046515</v>
      </c>
      <c r="CM72" s="207">
        <f t="shared" si="90"/>
        <v>277.07380696103081</v>
      </c>
      <c r="CN72" s="207">
        <f t="shared" si="90"/>
        <v>454.00114534883721</v>
      </c>
      <c r="CO72" s="207">
        <f t="shared" si="90"/>
        <v>178.8489360465116</v>
      </c>
      <c r="CP72" s="771">
        <f t="shared" si="90"/>
        <v>15.008302325581395</v>
      </c>
      <c r="CQ72" s="771">
        <f t="shared" si="90"/>
        <v>469.82511627906979</v>
      </c>
      <c r="CR72" s="771">
        <f t="shared" si="90"/>
        <v>82.21939534883721</v>
      </c>
      <c r="CS72" s="771">
        <f t="shared" si="90"/>
        <v>965.75162790697675</v>
      </c>
      <c r="CT72" s="207">
        <f t="shared" si="90"/>
        <v>1513.8809302325581</v>
      </c>
      <c r="CU72" s="207">
        <f t="shared" si="90"/>
        <v>1830.4783414463202</v>
      </c>
      <c r="CV72" s="771">
        <f t="shared" si="90"/>
        <v>2089.6972876744185</v>
      </c>
      <c r="CW72" s="771">
        <f t="shared" si="90"/>
        <v>2134.0925743645216</v>
      </c>
      <c r="CX72" s="771">
        <f t="shared" si="90"/>
        <v>637.32246848372085</v>
      </c>
      <c r="CY72" s="771">
        <f t="shared" si="90"/>
        <v>963.07859344354154</v>
      </c>
      <c r="CZ72" s="207">
        <f t="shared" si="90"/>
        <v>0</v>
      </c>
      <c r="DA72" s="207">
        <f t="shared" si="90"/>
        <v>0</v>
      </c>
      <c r="DB72" s="771">
        <f t="shared" si="90"/>
        <v>0</v>
      </c>
      <c r="DC72" s="771">
        <f t="shared" si="90"/>
        <v>0</v>
      </c>
      <c r="DD72" s="771">
        <f t="shared" si="90"/>
        <v>0</v>
      </c>
      <c r="DE72" s="771">
        <f t="shared" si="90"/>
        <v>0</v>
      </c>
      <c r="DF72" s="207">
        <v>0</v>
      </c>
      <c r="DG72" s="207">
        <v>0</v>
      </c>
      <c r="DH72" s="771">
        <f t="shared" ref="DH72:DU72" si="91">(DH44*DH17)/1000</f>
        <v>328.61468964363388</v>
      </c>
      <c r="DI72" s="771">
        <f t="shared" si="91"/>
        <v>0</v>
      </c>
      <c r="DJ72" s="771">
        <f t="shared" si="91"/>
        <v>0</v>
      </c>
      <c r="DK72" s="771">
        <f t="shared" si="91"/>
        <v>0</v>
      </c>
      <c r="DL72" s="207">
        <f t="shared" si="91"/>
        <v>9.1354883720930236</v>
      </c>
      <c r="DM72" s="207">
        <f t="shared" si="91"/>
        <v>27.915951812277395</v>
      </c>
      <c r="DN72" s="771">
        <f t="shared" si="91"/>
        <v>29.071634178263928</v>
      </c>
      <c r="DO72" s="771">
        <f t="shared" si="91"/>
        <v>6.8057505718031903</v>
      </c>
      <c r="DP72" s="771">
        <f t="shared" si="91"/>
        <v>8.7821680358369463</v>
      </c>
      <c r="DQ72" s="771">
        <f t="shared" si="91"/>
        <v>11.953506493222511</v>
      </c>
      <c r="DR72" s="191">
        <f t="shared" si="91"/>
        <v>790.09598757016818</v>
      </c>
      <c r="DS72" s="191">
        <f t="shared" si="91"/>
        <v>227.08213953488371</v>
      </c>
      <c r="DT72" s="774">
        <f t="shared" si="91"/>
        <v>690.64511432479958</v>
      </c>
      <c r="DU72" s="774">
        <f t="shared" si="91"/>
        <v>0</v>
      </c>
      <c r="DV72" s="771">
        <v>0</v>
      </c>
      <c r="DW72" s="771">
        <v>0</v>
      </c>
      <c r="DX72" s="191">
        <f t="shared" ref="DX72:EA72" si="92">(DX44*DX17)/1000</f>
        <v>0</v>
      </c>
      <c r="DY72" s="191">
        <f t="shared" si="92"/>
        <v>0</v>
      </c>
      <c r="DZ72" s="774">
        <f t="shared" si="92"/>
        <v>0</v>
      </c>
      <c r="EA72" s="774">
        <f t="shared" si="92"/>
        <v>0</v>
      </c>
      <c r="EB72" s="771">
        <v>0</v>
      </c>
      <c r="EC72" s="771">
        <v>0</v>
      </c>
    </row>
    <row r="73" spans="1:138">
      <c r="A73" s="858" t="s">
        <v>49</v>
      </c>
      <c r="B73" s="207">
        <f t="shared" ref="B73:AG73" si="93">(B45*B18)/1000</f>
        <v>6.8952076512148883</v>
      </c>
      <c r="C73" s="207">
        <f t="shared" si="93"/>
        <v>54.776485148514851</v>
      </c>
      <c r="D73" s="207">
        <f t="shared" si="93"/>
        <v>46.247961590296498</v>
      </c>
      <c r="E73" s="207">
        <f t="shared" si="93"/>
        <v>8.672771213748657</v>
      </c>
      <c r="F73" s="207">
        <f t="shared" si="93"/>
        <v>5.1265714285714292</v>
      </c>
      <c r="G73" s="207">
        <f t="shared" si="93"/>
        <v>9.2993621262458497</v>
      </c>
      <c r="H73" s="207">
        <f t="shared" si="93"/>
        <v>3.7123448275862074</v>
      </c>
      <c r="I73" s="207">
        <f t="shared" si="93"/>
        <v>20.648690476190477</v>
      </c>
      <c r="J73" s="207">
        <f t="shared" si="93"/>
        <v>6.1030612244897968</v>
      </c>
      <c r="K73" s="207">
        <f t="shared" si="93"/>
        <v>28.233291925465839</v>
      </c>
      <c r="L73" s="207">
        <f t="shared" si="93"/>
        <v>0</v>
      </c>
      <c r="M73" s="207">
        <f t="shared" si="93"/>
        <v>149.9944662480377</v>
      </c>
      <c r="N73" s="207">
        <f t="shared" si="93"/>
        <v>63.776989795918382</v>
      </c>
      <c r="O73" s="207">
        <f t="shared" si="93"/>
        <v>0</v>
      </c>
      <c r="P73" s="207">
        <f t="shared" si="93"/>
        <v>173.00403442817574</v>
      </c>
      <c r="Q73" s="207">
        <f t="shared" si="93"/>
        <v>50.434378378378391</v>
      </c>
      <c r="R73" s="207">
        <f t="shared" si="93"/>
        <v>3.3955692687442154</v>
      </c>
      <c r="S73" s="207">
        <f t="shared" si="93"/>
        <v>255.20239050347936</v>
      </c>
      <c r="T73" s="207">
        <f t="shared" si="93"/>
        <v>0</v>
      </c>
      <c r="U73" s="207">
        <f t="shared" si="93"/>
        <v>0</v>
      </c>
      <c r="V73" s="207">
        <f t="shared" si="93"/>
        <v>0</v>
      </c>
      <c r="W73" s="207">
        <f t="shared" si="93"/>
        <v>0</v>
      </c>
      <c r="X73" s="207">
        <f t="shared" si="93"/>
        <v>123.43225212464591</v>
      </c>
      <c r="Y73" s="207">
        <f t="shared" si="93"/>
        <v>0</v>
      </c>
      <c r="Z73" s="207">
        <f t="shared" si="93"/>
        <v>178.54332884097039</v>
      </c>
      <c r="AA73" s="207">
        <f t="shared" si="93"/>
        <v>46.075851851851858</v>
      </c>
      <c r="AB73" s="207">
        <f t="shared" si="93"/>
        <v>19.367047619047622</v>
      </c>
      <c r="AC73" s="207">
        <f t="shared" si="93"/>
        <v>0</v>
      </c>
      <c r="AD73" s="207">
        <f t="shared" si="93"/>
        <v>0</v>
      </c>
      <c r="AE73" s="207">
        <f t="shared" si="93"/>
        <v>21.772250982961996</v>
      </c>
      <c r="AF73" s="207">
        <f t="shared" si="93"/>
        <v>0</v>
      </c>
      <c r="AG73" s="207">
        <f t="shared" si="93"/>
        <v>53.142719843085978</v>
      </c>
      <c r="AH73" s="207">
        <f t="shared" ref="AH73:BM73" si="94">(AH45*AH18)/1000</f>
        <v>12.090970350404316</v>
      </c>
      <c r="AI73" s="207">
        <f t="shared" si="94"/>
        <v>27.848042328042336</v>
      </c>
      <c r="AJ73" s="207">
        <f t="shared" si="94"/>
        <v>27.310479278975745</v>
      </c>
      <c r="AK73" s="207">
        <f t="shared" si="94"/>
        <v>30.018111725341871</v>
      </c>
      <c r="AL73" s="207">
        <f t="shared" si="94"/>
        <v>29.658340481689216</v>
      </c>
      <c r="AM73" s="207">
        <f t="shared" si="94"/>
        <v>0</v>
      </c>
      <c r="AN73" s="207">
        <f t="shared" si="94"/>
        <v>0</v>
      </c>
      <c r="AO73" s="207">
        <f t="shared" si="94"/>
        <v>0</v>
      </c>
      <c r="AP73" s="207">
        <f t="shared" si="94"/>
        <v>0</v>
      </c>
      <c r="AQ73" s="207">
        <f t="shared" si="94"/>
        <v>0</v>
      </c>
      <c r="AR73" s="207">
        <f t="shared" si="94"/>
        <v>0</v>
      </c>
      <c r="AS73" s="207">
        <f t="shared" si="94"/>
        <v>0</v>
      </c>
      <c r="AT73" s="207">
        <f t="shared" si="94"/>
        <v>0</v>
      </c>
      <c r="AU73" s="207">
        <f t="shared" si="94"/>
        <v>0</v>
      </c>
      <c r="AV73" s="207">
        <f t="shared" si="94"/>
        <v>0</v>
      </c>
      <c r="AW73" s="207">
        <f t="shared" si="94"/>
        <v>0</v>
      </c>
      <c r="AX73" s="207">
        <f t="shared" si="94"/>
        <v>178.54332884097039</v>
      </c>
      <c r="AY73" s="207">
        <f t="shared" si="94"/>
        <v>0</v>
      </c>
      <c r="AZ73" s="207">
        <f t="shared" si="94"/>
        <v>21.24323035714286</v>
      </c>
      <c r="BA73" s="207">
        <f t="shared" si="94"/>
        <v>121.82649136577709</v>
      </c>
      <c r="BB73" s="207">
        <f t="shared" si="94"/>
        <v>5.1265714285714292</v>
      </c>
      <c r="BC73" s="207">
        <f t="shared" si="94"/>
        <v>9.2993621262458497</v>
      </c>
      <c r="BD73" s="207">
        <f t="shared" si="94"/>
        <v>3.6491220238095243</v>
      </c>
      <c r="BE73" s="207">
        <f t="shared" si="94"/>
        <v>25.44711180124224</v>
      </c>
      <c r="BF73" s="207">
        <f t="shared" si="94"/>
        <v>27.494570773263437</v>
      </c>
      <c r="BG73" s="207">
        <f t="shared" si="94"/>
        <v>88.487511066398397</v>
      </c>
      <c r="BH73" s="207">
        <f t="shared" si="94"/>
        <v>111.43674044265596</v>
      </c>
      <c r="BI73" s="207">
        <f t="shared" si="94"/>
        <v>20.360110561536228</v>
      </c>
      <c r="BJ73" s="207">
        <f t="shared" si="94"/>
        <v>67.769823173569122</v>
      </c>
      <c r="BK73" s="207">
        <f t="shared" si="94"/>
        <v>143.0478801843318</v>
      </c>
      <c r="BL73" s="207">
        <f t="shared" si="94"/>
        <v>92.541583944756169</v>
      </c>
      <c r="BM73" s="207">
        <f t="shared" si="94"/>
        <v>56.516889880952391</v>
      </c>
      <c r="BN73" s="207">
        <f t="shared" ref="BN73:CF73" si="95">(BN45*BN18)/1000</f>
        <v>122.6461011904762</v>
      </c>
      <c r="BO73" s="207">
        <f t="shared" si="95"/>
        <v>15.041502976190477</v>
      </c>
      <c r="BP73" s="207">
        <f t="shared" si="95"/>
        <v>35.790558510638292</v>
      </c>
      <c r="BQ73" s="207">
        <f t="shared" si="95"/>
        <v>26.048525096525101</v>
      </c>
      <c r="BR73" s="207">
        <f t="shared" si="95"/>
        <v>18.284771428571432</v>
      </c>
      <c r="BS73" s="207">
        <f t="shared" si="95"/>
        <v>28.541200549450551</v>
      </c>
      <c r="BT73" s="207">
        <f t="shared" si="95"/>
        <v>103.67238238668963</v>
      </c>
      <c r="BU73" s="207">
        <f t="shared" si="95"/>
        <v>34.663814801178205</v>
      </c>
      <c r="BV73" s="207">
        <f t="shared" si="95"/>
        <v>11.749681199379632</v>
      </c>
      <c r="BW73" s="207">
        <f t="shared" si="95"/>
        <v>60.063790664780768</v>
      </c>
      <c r="BX73" s="207">
        <f t="shared" si="95"/>
        <v>46.247961590296498</v>
      </c>
      <c r="BY73" s="207">
        <f t="shared" si="95"/>
        <v>8.672771213748657</v>
      </c>
      <c r="BZ73" s="207">
        <f t="shared" si="95"/>
        <v>127.26383405821348</v>
      </c>
      <c r="CA73" s="207">
        <f t="shared" si="95"/>
        <v>38.919521579123462</v>
      </c>
      <c r="CB73" s="207">
        <f t="shared" si="95"/>
        <v>65.450070372976796</v>
      </c>
      <c r="CC73" s="207">
        <f t="shared" si="95"/>
        <v>9.5968426501035218</v>
      </c>
      <c r="CD73" s="207">
        <f t="shared" si="95"/>
        <v>41.058618477331059</v>
      </c>
      <c r="CE73" s="207">
        <f t="shared" si="95"/>
        <v>13.72963846963847</v>
      </c>
      <c r="CF73" s="207">
        <f t="shared" si="95"/>
        <v>21.098297648297649</v>
      </c>
      <c r="CG73" s="207">
        <f>(CG45*CG18)/1000</f>
        <v>89.75001756440281</v>
      </c>
      <c r="CH73" s="207">
        <f>(CH45*CH18)/1000</f>
        <v>85.332465854558876</v>
      </c>
      <c r="CI73" s="207">
        <f>(CI45*CI18)/1000</f>
        <v>99.104452187379025</v>
      </c>
      <c r="CJ73" s="207">
        <f t="shared" ref="CJ73:DE73" si="96">(CJ45*CJ18)/1000</f>
        <v>106.910375</v>
      </c>
      <c r="CK73" s="207">
        <f t="shared" si="96"/>
        <v>278.94579831932776</v>
      </c>
      <c r="CL73" s="207">
        <f t="shared" si="96"/>
        <v>133.8185924369748</v>
      </c>
      <c r="CM73" s="207">
        <f t="shared" si="96"/>
        <v>316.48942374051069</v>
      </c>
      <c r="CN73" s="207">
        <f t="shared" si="96"/>
        <v>58.398400000000002</v>
      </c>
      <c r="CO73" s="207">
        <f t="shared" si="96"/>
        <v>107.70895522388058</v>
      </c>
      <c r="CP73" s="771">
        <f t="shared" si="96"/>
        <v>66.269786729857799</v>
      </c>
      <c r="CQ73" s="771">
        <f t="shared" si="96"/>
        <v>87.023203592814369</v>
      </c>
      <c r="CR73" s="771">
        <f t="shared" si="96"/>
        <v>92.855172413793085</v>
      </c>
      <c r="CS73" s="771">
        <f t="shared" si="96"/>
        <v>28.23391812865497</v>
      </c>
      <c r="CT73" s="207">
        <f t="shared" si="96"/>
        <v>35.794195250659627</v>
      </c>
      <c r="CU73" s="207">
        <f t="shared" si="96"/>
        <v>37.399999999999991</v>
      </c>
      <c r="CV73" s="771">
        <f t="shared" si="96"/>
        <v>14.734290999999999</v>
      </c>
      <c r="CW73" s="771">
        <f t="shared" si="96"/>
        <v>28.843253999999998</v>
      </c>
      <c r="CX73" s="771">
        <f t="shared" si="96"/>
        <v>57.954545454545446</v>
      </c>
      <c r="CY73" s="771">
        <f t="shared" si="96"/>
        <v>51.529552715654951</v>
      </c>
      <c r="CZ73" s="207">
        <f t="shared" si="96"/>
        <v>0</v>
      </c>
      <c r="DA73" s="207">
        <f t="shared" si="96"/>
        <v>0</v>
      </c>
      <c r="DB73" s="771">
        <f t="shared" si="96"/>
        <v>0</v>
      </c>
      <c r="DC73" s="771">
        <f t="shared" si="96"/>
        <v>21.126649076517147</v>
      </c>
      <c r="DD73" s="771">
        <f t="shared" si="96"/>
        <v>0</v>
      </c>
      <c r="DE73" s="771">
        <f t="shared" si="96"/>
        <v>0</v>
      </c>
      <c r="DF73" s="207">
        <v>0</v>
      </c>
      <c r="DG73" s="207">
        <f>(DG45*DG18)/1000</f>
        <v>2.2764675052410897</v>
      </c>
      <c r="DH73" s="771">
        <f t="shared" ref="DH73:DU73" si="97">(DH45*DH18)/1000</f>
        <v>12.643749999999997</v>
      </c>
      <c r="DI73" s="771">
        <f t="shared" si="97"/>
        <v>5.2212635869565212</v>
      </c>
      <c r="DJ73" s="771">
        <f t="shared" si="97"/>
        <v>69.1265060240964</v>
      </c>
      <c r="DK73" s="771">
        <f t="shared" si="97"/>
        <v>18.385433070866139</v>
      </c>
      <c r="DL73" s="207">
        <f t="shared" si="97"/>
        <v>53.103448275862071</v>
      </c>
      <c r="DM73" s="207">
        <f t="shared" si="97"/>
        <v>53.022177419354826</v>
      </c>
      <c r="DN73" s="771">
        <f t="shared" si="97"/>
        <v>37.788876485467505</v>
      </c>
      <c r="DO73" s="771">
        <f t="shared" si="97"/>
        <v>41.486750927698687</v>
      </c>
      <c r="DP73" s="771">
        <f t="shared" si="97"/>
        <v>50.848660461777811</v>
      </c>
      <c r="DQ73" s="771">
        <f t="shared" si="97"/>
        <v>47.471953988856356</v>
      </c>
      <c r="DR73" s="191">
        <f t="shared" si="97"/>
        <v>31.690866510538644</v>
      </c>
      <c r="DS73" s="191">
        <f t="shared" si="97"/>
        <v>56.323232323232325</v>
      </c>
      <c r="DT73" s="774">
        <f t="shared" si="97"/>
        <v>39.582089552238806</v>
      </c>
      <c r="DU73" s="774">
        <f t="shared" si="97"/>
        <v>37.386847195357831</v>
      </c>
      <c r="DV73" s="771">
        <f>(DV40*DV13)/1000</f>
        <v>61.350696486928108</v>
      </c>
      <c r="DW73" s="771">
        <f>(DW45*DW18)/1000</f>
        <v>94.995999999999995</v>
      </c>
      <c r="DX73" s="191">
        <f t="shared" ref="DX73:EA73" si="98">(DX45*DX18)/1000</f>
        <v>28.70232558139535</v>
      </c>
      <c r="DY73" s="191">
        <f t="shared" si="98"/>
        <v>28.273684210526309</v>
      </c>
      <c r="DZ73" s="774">
        <f t="shared" si="98"/>
        <v>15.266447368421051</v>
      </c>
      <c r="EA73" s="774">
        <f t="shared" si="98"/>
        <v>27.090643274853797</v>
      </c>
      <c r="EB73" s="771">
        <f>(EB40*EB13)/1000</f>
        <v>88.948439620081416</v>
      </c>
      <c r="EC73" s="771">
        <f>(EC45*EC18)/1000</f>
        <v>41.008771929824555</v>
      </c>
    </row>
    <row r="74" spans="1:138" s="178" customFormat="1">
      <c r="A74" s="850" t="s">
        <v>446</v>
      </c>
      <c r="B74" s="877">
        <f>SUM(B75:B83)</f>
        <v>563.10536344725597</v>
      </c>
      <c r="C74" s="877">
        <f t="shared" ref="C74:BN74" si="99">SUM(C75:C83)</f>
        <v>201.91996732056839</v>
      </c>
      <c r="D74" s="877">
        <f t="shared" si="99"/>
        <v>141.33588280814683</v>
      </c>
      <c r="E74" s="877">
        <f t="shared" si="99"/>
        <v>105.54255016478808</v>
      </c>
      <c r="F74" s="877">
        <f t="shared" si="99"/>
        <v>470.9507985726828</v>
      </c>
      <c r="G74" s="877">
        <f t="shared" si="99"/>
        <v>840.92259656325155</v>
      </c>
      <c r="H74" s="877">
        <f t="shared" si="99"/>
        <v>108.97985892719545</v>
      </c>
      <c r="I74" s="877">
        <f t="shared" si="99"/>
        <v>380.02132189058364</v>
      </c>
      <c r="J74" s="877">
        <f t="shared" si="99"/>
        <v>528.53195227871902</v>
      </c>
      <c r="K74" s="877">
        <f t="shared" si="99"/>
        <v>775.81990505000147</v>
      </c>
      <c r="L74" s="877">
        <f t="shared" si="99"/>
        <v>0</v>
      </c>
      <c r="M74" s="877">
        <f t="shared" si="99"/>
        <v>461.20020579424352</v>
      </c>
      <c r="N74" s="877">
        <f t="shared" si="99"/>
        <v>456.55495299774344</v>
      </c>
      <c r="O74" s="877">
        <f t="shared" si="99"/>
        <v>0</v>
      </c>
      <c r="P74" s="877">
        <f t="shared" si="99"/>
        <v>1024.4257478528743</v>
      </c>
      <c r="Q74" s="877">
        <f t="shared" si="99"/>
        <v>770.83030138497202</v>
      </c>
      <c r="R74" s="877">
        <f t="shared" si="99"/>
        <v>67.184559125207699</v>
      </c>
      <c r="S74" s="877">
        <f t="shared" si="99"/>
        <v>1392.8623540382353</v>
      </c>
      <c r="T74" s="877">
        <f t="shared" si="99"/>
        <v>0</v>
      </c>
      <c r="U74" s="877">
        <f t="shared" si="99"/>
        <v>0</v>
      </c>
      <c r="V74" s="877">
        <f t="shared" si="99"/>
        <v>0</v>
      </c>
      <c r="W74" s="877">
        <f t="shared" si="99"/>
        <v>0</v>
      </c>
      <c r="X74" s="877">
        <f t="shared" si="99"/>
        <v>237.9147519813684</v>
      </c>
      <c r="Y74" s="877">
        <f t="shared" si="99"/>
        <v>0</v>
      </c>
      <c r="Z74" s="877">
        <f t="shared" si="99"/>
        <v>1503.8243367272698</v>
      </c>
      <c r="AA74" s="877">
        <f t="shared" si="99"/>
        <v>472.56707701357459</v>
      </c>
      <c r="AB74" s="877">
        <f t="shared" si="99"/>
        <v>254.3634233883555</v>
      </c>
      <c r="AC74" s="877">
        <f t="shared" si="99"/>
        <v>0</v>
      </c>
      <c r="AD74" s="877">
        <f t="shared" si="99"/>
        <v>7209.8676371639258</v>
      </c>
      <c r="AE74" s="877">
        <f t="shared" si="99"/>
        <v>213.13445735886921</v>
      </c>
      <c r="AF74" s="877">
        <f t="shared" si="99"/>
        <v>0</v>
      </c>
      <c r="AG74" s="877">
        <f t="shared" si="99"/>
        <v>203.06976121276813</v>
      </c>
      <c r="AH74" s="877">
        <f t="shared" si="99"/>
        <v>105.55330687403195</v>
      </c>
      <c r="AI74" s="877">
        <f t="shared" si="99"/>
        <v>211.12495652559116</v>
      </c>
      <c r="AJ74" s="877">
        <f t="shared" si="99"/>
        <v>802.32376196690757</v>
      </c>
      <c r="AK74" s="877">
        <f t="shared" si="99"/>
        <v>511.66747958945183</v>
      </c>
      <c r="AL74" s="877">
        <f t="shared" si="99"/>
        <v>263.71016989675093</v>
      </c>
      <c r="AM74" s="877">
        <f t="shared" si="99"/>
        <v>623.15270585255644</v>
      </c>
      <c r="AN74" s="877">
        <f t="shared" si="99"/>
        <v>0</v>
      </c>
      <c r="AO74" s="877">
        <f t="shared" si="99"/>
        <v>0</v>
      </c>
      <c r="AP74" s="877">
        <f t="shared" si="99"/>
        <v>0</v>
      </c>
      <c r="AQ74" s="877">
        <f t="shared" si="99"/>
        <v>0</v>
      </c>
      <c r="AR74" s="877">
        <f t="shared" si="99"/>
        <v>0</v>
      </c>
      <c r="AS74" s="877">
        <f t="shared" si="99"/>
        <v>0</v>
      </c>
      <c r="AT74" s="877">
        <f t="shared" si="99"/>
        <v>0</v>
      </c>
      <c r="AU74" s="877">
        <f t="shared" si="99"/>
        <v>0</v>
      </c>
      <c r="AV74" s="877">
        <f t="shared" si="99"/>
        <v>0</v>
      </c>
      <c r="AW74" s="877">
        <f t="shared" si="99"/>
        <v>0</v>
      </c>
      <c r="AX74" s="877">
        <f t="shared" si="99"/>
        <v>791.78222328476056</v>
      </c>
      <c r="AY74" s="877">
        <f t="shared" si="99"/>
        <v>0</v>
      </c>
      <c r="AZ74" s="877">
        <f t="shared" si="99"/>
        <v>346.58388170573386</v>
      </c>
      <c r="BA74" s="877">
        <f t="shared" si="99"/>
        <v>372.8654354793569</v>
      </c>
      <c r="BB74" s="877">
        <f t="shared" si="99"/>
        <v>367.58890825929245</v>
      </c>
      <c r="BC74" s="877">
        <f t="shared" si="99"/>
        <v>374.58929902066649</v>
      </c>
      <c r="BD74" s="877">
        <f t="shared" si="99"/>
        <v>84.720863134579091</v>
      </c>
      <c r="BE74" s="877">
        <f t="shared" si="99"/>
        <v>301.05608383642038</v>
      </c>
      <c r="BF74" s="877">
        <f t="shared" si="99"/>
        <v>533.58715972788411</v>
      </c>
      <c r="BG74" s="877">
        <f t="shared" si="99"/>
        <v>625.25763253977948</v>
      </c>
      <c r="BH74" s="877">
        <f t="shared" si="99"/>
        <v>341.54571240995296</v>
      </c>
      <c r="BI74" s="877">
        <f t="shared" si="99"/>
        <v>155.43050556906874</v>
      </c>
      <c r="BJ74" s="877">
        <f t="shared" si="99"/>
        <v>529.74148624744953</v>
      </c>
      <c r="BK74" s="877">
        <f t="shared" si="99"/>
        <v>398.72762203352846</v>
      </c>
      <c r="BL74" s="877">
        <f t="shared" si="99"/>
        <v>1151.2177859191197</v>
      </c>
      <c r="BM74" s="877">
        <f t="shared" si="99"/>
        <v>1371.7484394602261</v>
      </c>
      <c r="BN74" s="877">
        <f t="shared" si="99"/>
        <v>2267.918578594416</v>
      </c>
      <c r="BO74" s="877">
        <f t="shared" ref="BO74:DV74" si="100">SUM(BO75:BO83)</f>
        <v>472.51825225269801</v>
      </c>
      <c r="BP74" s="877">
        <f t="shared" si="100"/>
        <v>491.81618515793184</v>
      </c>
      <c r="BQ74" s="877">
        <f t="shared" si="100"/>
        <v>684.45225325638773</v>
      </c>
      <c r="BR74" s="877">
        <f t="shared" si="100"/>
        <v>711.72237837030229</v>
      </c>
      <c r="BS74" s="877">
        <f t="shared" si="100"/>
        <v>644.36212879970299</v>
      </c>
      <c r="BT74" s="877">
        <f t="shared" si="100"/>
        <v>603.51918584487623</v>
      </c>
      <c r="BU74" s="877">
        <f t="shared" si="100"/>
        <v>828.32650546586319</v>
      </c>
      <c r="BV74" s="877">
        <f t="shared" si="100"/>
        <v>514.38179699227919</v>
      </c>
      <c r="BW74" s="877">
        <f t="shared" si="100"/>
        <v>579.25898218091754</v>
      </c>
      <c r="BX74" s="877">
        <f t="shared" si="100"/>
        <v>201.03104920965404</v>
      </c>
      <c r="BY74" s="877">
        <f t="shared" si="100"/>
        <v>119.75710449649083</v>
      </c>
      <c r="BZ74" s="877">
        <f t="shared" si="100"/>
        <v>157.93158453314891</v>
      </c>
      <c r="CA74" s="877">
        <f t="shared" si="100"/>
        <v>81.178872685789159</v>
      </c>
      <c r="CB74" s="877">
        <f t="shared" si="100"/>
        <v>306.56116926857806</v>
      </c>
      <c r="CC74" s="877">
        <f t="shared" si="100"/>
        <v>131.92173176186151</v>
      </c>
      <c r="CD74" s="877">
        <f t="shared" si="100"/>
        <v>392.13681678927469</v>
      </c>
      <c r="CE74" s="877">
        <f t="shared" si="100"/>
        <v>340.72176002447316</v>
      </c>
      <c r="CF74" s="877">
        <f t="shared" si="100"/>
        <v>464.43014502647503</v>
      </c>
      <c r="CG74" s="877">
        <f t="shared" si="100"/>
        <v>595.384024497101</v>
      </c>
      <c r="CH74" s="877">
        <f t="shared" si="100"/>
        <v>869.99166416966239</v>
      </c>
      <c r="CI74" s="877">
        <f t="shared" si="100"/>
        <v>1016.0980599999547</v>
      </c>
      <c r="CJ74" s="877">
        <f t="shared" si="100"/>
        <v>957.24374337612483</v>
      </c>
      <c r="CK74" s="877">
        <f t="shared" si="100"/>
        <v>1081.2534199306324</v>
      </c>
      <c r="CL74" s="877">
        <f t="shared" si="100"/>
        <v>811.23769320158772</v>
      </c>
      <c r="CM74" s="877">
        <f t="shared" si="100"/>
        <v>1193.3387755667677</v>
      </c>
      <c r="CN74" s="877">
        <f t="shared" si="100"/>
        <v>662.93815207926127</v>
      </c>
      <c r="CO74" s="877">
        <f t="shared" si="100"/>
        <v>871.83262995541281</v>
      </c>
      <c r="CP74" s="877">
        <f t="shared" si="100"/>
        <v>596.58200524022504</v>
      </c>
      <c r="CQ74" s="877">
        <f t="shared" si="100"/>
        <v>1355.8231773175155</v>
      </c>
      <c r="CR74" s="877">
        <f t="shared" si="100"/>
        <v>437.31031485168722</v>
      </c>
      <c r="CS74" s="877">
        <f t="shared" si="100"/>
        <v>726.10993758455766</v>
      </c>
      <c r="CT74" s="877">
        <f t="shared" si="100"/>
        <v>210.03491933426596</v>
      </c>
      <c r="CU74" s="877">
        <f t="shared" si="100"/>
        <v>194.05096007501515</v>
      </c>
      <c r="CV74" s="877">
        <f t="shared" si="100"/>
        <v>393.23378053253435</v>
      </c>
      <c r="CW74" s="877">
        <f t="shared" si="100"/>
        <v>94.130202029723392</v>
      </c>
      <c r="CX74" s="877">
        <f t="shared" si="100"/>
        <v>201.99107036616857</v>
      </c>
      <c r="CY74" s="877">
        <f t="shared" si="100"/>
        <v>305.07061705756132</v>
      </c>
      <c r="CZ74" s="877">
        <f t="shared" si="100"/>
        <v>0</v>
      </c>
      <c r="DA74" s="877">
        <f t="shared" si="100"/>
        <v>0</v>
      </c>
      <c r="DB74" s="877">
        <f t="shared" si="100"/>
        <v>0</v>
      </c>
      <c r="DC74" s="877">
        <f t="shared" si="100"/>
        <v>74.94622930565987</v>
      </c>
      <c r="DD74" s="877">
        <f t="shared" si="100"/>
        <v>223.59949410051635</v>
      </c>
      <c r="DE74" s="877">
        <f t="shared" si="100"/>
        <v>251.14419585573975</v>
      </c>
      <c r="DF74" s="877">
        <f t="shared" si="100"/>
        <v>196.39425038927439</v>
      </c>
      <c r="DG74" s="877">
        <f t="shared" si="100"/>
        <v>144.09921931512531</v>
      </c>
      <c r="DH74" s="877">
        <f t="shared" si="100"/>
        <v>521.48694313905366</v>
      </c>
      <c r="DI74" s="877">
        <f t="shared" si="100"/>
        <v>439.75530348489559</v>
      </c>
      <c r="DJ74" s="877">
        <f t="shared" si="100"/>
        <v>389.78642921320233</v>
      </c>
      <c r="DK74" s="877">
        <f t="shared" si="100"/>
        <v>283.19075739636901</v>
      </c>
      <c r="DL74" s="877">
        <f t="shared" si="100"/>
        <v>581.79237349007587</v>
      </c>
      <c r="DM74" s="877">
        <f t="shared" si="100"/>
        <v>515.12006913919095</v>
      </c>
      <c r="DN74" s="877">
        <f t="shared" si="100"/>
        <v>462.27849264140457</v>
      </c>
      <c r="DO74" s="877">
        <f t="shared" si="100"/>
        <v>448.5291310475352</v>
      </c>
      <c r="DP74" s="877">
        <f t="shared" si="100"/>
        <v>449.72872828138065</v>
      </c>
      <c r="DQ74" s="877">
        <f t="shared" si="100"/>
        <v>455.6000682415285</v>
      </c>
      <c r="DR74" s="877">
        <f t="shared" si="100"/>
        <v>101.57671120635499</v>
      </c>
      <c r="DS74" s="877">
        <f t="shared" si="100"/>
        <v>30.793947491062458</v>
      </c>
      <c r="DT74" s="877">
        <f t="shared" si="100"/>
        <v>98.823611909331788</v>
      </c>
      <c r="DU74" s="877">
        <f t="shared" si="100"/>
        <v>137.05071423410689</v>
      </c>
      <c r="DV74" s="877">
        <f t="shared" si="100"/>
        <v>178.66358159532643</v>
      </c>
      <c r="DW74" s="878">
        <f>SUM(DW75:DW83)</f>
        <v>100.38615068837602</v>
      </c>
      <c r="DX74" s="877">
        <f t="shared" ref="DX74:EB74" si="101">SUM(DX75:DX83)</f>
        <v>158.11613087142004</v>
      </c>
      <c r="DY74" s="877">
        <f t="shared" si="101"/>
        <v>159.1403075359872</v>
      </c>
      <c r="DZ74" s="877">
        <f t="shared" si="101"/>
        <v>107.09248385704026</v>
      </c>
      <c r="EA74" s="877">
        <f t="shared" si="101"/>
        <v>240.24840414208089</v>
      </c>
      <c r="EB74" s="877">
        <f t="shared" si="101"/>
        <v>248.92950087205514</v>
      </c>
      <c r="EC74" s="878">
        <f>SUM(EC75:EC83)</f>
        <v>351.54173883314621</v>
      </c>
      <c r="ED74" s="852"/>
      <c r="EE74" s="852"/>
      <c r="EF74" s="852"/>
      <c r="EG74" s="852"/>
      <c r="EH74" s="852"/>
    </row>
    <row r="75" spans="1:138">
      <c r="A75" s="189" t="s">
        <v>33</v>
      </c>
      <c r="B75" s="207">
        <f t="shared" ref="B75:AG75" si="102">(B47*B20)/1000</f>
        <v>153.26751282051285</v>
      </c>
      <c r="C75" s="207">
        <f t="shared" si="102"/>
        <v>0</v>
      </c>
      <c r="D75" s="207">
        <f t="shared" si="102"/>
        <v>0</v>
      </c>
      <c r="E75" s="207">
        <f t="shared" si="102"/>
        <v>0</v>
      </c>
      <c r="F75" s="207">
        <f t="shared" si="102"/>
        <v>22.630102564102565</v>
      </c>
      <c r="G75" s="207">
        <f t="shared" si="102"/>
        <v>263.46796081277211</v>
      </c>
      <c r="H75" s="207">
        <f t="shared" si="102"/>
        <v>0</v>
      </c>
      <c r="I75" s="207">
        <f t="shared" si="102"/>
        <v>12.809492017416545</v>
      </c>
      <c r="J75" s="207">
        <f t="shared" si="102"/>
        <v>14.143814102564104</v>
      </c>
      <c r="K75" s="207">
        <f t="shared" si="102"/>
        <v>0</v>
      </c>
      <c r="L75" s="207">
        <f t="shared" si="102"/>
        <v>0</v>
      </c>
      <c r="M75" s="207">
        <f t="shared" si="102"/>
        <v>42.059988603988607</v>
      </c>
      <c r="N75" s="207">
        <f t="shared" si="102"/>
        <v>87.206560940665</v>
      </c>
      <c r="O75" s="207">
        <f t="shared" si="102"/>
        <v>0</v>
      </c>
      <c r="P75" s="207">
        <f t="shared" si="102"/>
        <v>214.03400222965439</v>
      </c>
      <c r="Q75" s="207">
        <f t="shared" si="102"/>
        <v>76.688298725814064</v>
      </c>
      <c r="R75" s="207">
        <f t="shared" si="102"/>
        <v>17.885124766264752</v>
      </c>
      <c r="S75" s="207">
        <f t="shared" si="102"/>
        <v>110.56258946418208</v>
      </c>
      <c r="T75" s="207">
        <f t="shared" si="102"/>
        <v>0</v>
      </c>
      <c r="U75" s="207">
        <f t="shared" si="102"/>
        <v>0</v>
      </c>
      <c r="V75" s="207">
        <f t="shared" si="102"/>
        <v>0</v>
      </c>
      <c r="W75" s="207">
        <f t="shared" si="102"/>
        <v>0</v>
      </c>
      <c r="X75" s="207">
        <f t="shared" si="102"/>
        <v>89.725696940650209</v>
      </c>
      <c r="Y75" s="207">
        <f t="shared" si="102"/>
        <v>0</v>
      </c>
      <c r="Z75" s="207">
        <f t="shared" si="102"/>
        <v>416.54309664694284</v>
      </c>
      <c r="AA75" s="207">
        <f t="shared" si="102"/>
        <v>46.944706229353471</v>
      </c>
      <c r="AB75" s="207">
        <f t="shared" si="102"/>
        <v>0</v>
      </c>
      <c r="AC75" s="207">
        <f t="shared" si="102"/>
        <v>0</v>
      </c>
      <c r="AD75" s="207">
        <f t="shared" si="102"/>
        <v>0</v>
      </c>
      <c r="AE75" s="207">
        <f t="shared" si="102"/>
        <v>0</v>
      </c>
      <c r="AF75" s="207">
        <f t="shared" si="102"/>
        <v>0</v>
      </c>
      <c r="AG75" s="207">
        <f t="shared" si="102"/>
        <v>0</v>
      </c>
      <c r="AH75" s="207">
        <f t="shared" ref="AH75:BM75" si="103">(AH47*AH20)/1000</f>
        <v>0</v>
      </c>
      <c r="AI75" s="207">
        <f t="shared" si="103"/>
        <v>5.9726089350322482</v>
      </c>
      <c r="AJ75" s="207">
        <f t="shared" si="103"/>
        <v>66.975724335832638</v>
      </c>
      <c r="AK75" s="207">
        <f t="shared" si="103"/>
        <v>120.72554605887942</v>
      </c>
      <c r="AL75" s="207">
        <f t="shared" si="103"/>
        <v>10.531699846860644</v>
      </c>
      <c r="AM75" s="207">
        <f t="shared" si="103"/>
        <v>0</v>
      </c>
      <c r="AN75" s="207">
        <f t="shared" si="103"/>
        <v>0</v>
      </c>
      <c r="AO75" s="207">
        <f t="shared" si="103"/>
        <v>0</v>
      </c>
      <c r="AP75" s="207">
        <f t="shared" si="103"/>
        <v>0</v>
      </c>
      <c r="AQ75" s="207">
        <f t="shared" si="103"/>
        <v>0</v>
      </c>
      <c r="AR75" s="207">
        <f t="shared" si="103"/>
        <v>0</v>
      </c>
      <c r="AS75" s="207">
        <f t="shared" si="103"/>
        <v>0</v>
      </c>
      <c r="AT75" s="207">
        <f t="shared" si="103"/>
        <v>0</v>
      </c>
      <c r="AU75" s="207">
        <f t="shared" si="103"/>
        <v>0</v>
      </c>
      <c r="AV75" s="207">
        <f t="shared" si="103"/>
        <v>0</v>
      </c>
      <c r="AW75" s="207">
        <f t="shared" si="103"/>
        <v>0</v>
      </c>
      <c r="AX75" s="207">
        <f t="shared" si="103"/>
        <v>61.040236686390536</v>
      </c>
      <c r="AY75" s="207">
        <f t="shared" si="103"/>
        <v>0</v>
      </c>
      <c r="AZ75" s="207">
        <f t="shared" si="103"/>
        <v>0</v>
      </c>
      <c r="BA75" s="207">
        <f t="shared" si="103"/>
        <v>27.038564102564102</v>
      </c>
      <c r="BB75" s="207">
        <f t="shared" si="103"/>
        <v>0</v>
      </c>
      <c r="BC75" s="207">
        <f t="shared" si="103"/>
        <v>0</v>
      </c>
      <c r="BD75" s="207">
        <f t="shared" si="103"/>
        <v>0</v>
      </c>
      <c r="BE75" s="207">
        <f t="shared" si="103"/>
        <v>0</v>
      </c>
      <c r="BF75" s="207">
        <f t="shared" si="103"/>
        <v>0</v>
      </c>
      <c r="BG75" s="207">
        <f t="shared" si="103"/>
        <v>131.33073875756386</v>
      </c>
      <c r="BH75" s="207">
        <f t="shared" si="103"/>
        <v>40.151505199781063</v>
      </c>
      <c r="BI75" s="207">
        <f t="shared" si="103"/>
        <v>130.22526115859452</v>
      </c>
      <c r="BJ75" s="207">
        <f t="shared" si="103"/>
        <v>181.17055902055901</v>
      </c>
      <c r="BK75" s="207">
        <f t="shared" si="103"/>
        <v>88.701171829678628</v>
      </c>
      <c r="BL75" s="207">
        <f t="shared" si="103"/>
        <v>279.54261072261073</v>
      </c>
      <c r="BM75" s="207">
        <f t="shared" si="103"/>
        <v>221.85379622471334</v>
      </c>
      <c r="BN75" s="207">
        <f t="shared" ref="BN75:CS75" si="104">(BN47*BN20)/1000</f>
        <v>1342.8617464925012</v>
      </c>
      <c r="BO75" s="207">
        <f t="shared" si="104"/>
        <v>182.21641025641028</v>
      </c>
      <c r="BP75" s="207">
        <f t="shared" si="104"/>
        <v>121.50320360557889</v>
      </c>
      <c r="BQ75" s="207">
        <f t="shared" si="104"/>
        <v>101.61160508027798</v>
      </c>
      <c r="BR75" s="207">
        <f t="shared" si="104"/>
        <v>79.702045641025649</v>
      </c>
      <c r="BS75" s="207">
        <f t="shared" si="104"/>
        <v>86.432830748758917</v>
      </c>
      <c r="BT75" s="207">
        <f t="shared" si="104"/>
        <v>180.24562644713149</v>
      </c>
      <c r="BU75" s="207">
        <f t="shared" si="104"/>
        <v>160.07148841907122</v>
      </c>
      <c r="BV75" s="207">
        <f t="shared" si="104"/>
        <v>63.694160020581428</v>
      </c>
      <c r="BW75" s="207">
        <f t="shared" si="104"/>
        <v>61.785555402520487</v>
      </c>
      <c r="BX75" s="207">
        <f t="shared" si="104"/>
        <v>0</v>
      </c>
      <c r="BY75" s="207">
        <f t="shared" si="104"/>
        <v>0</v>
      </c>
      <c r="BZ75" s="207">
        <f t="shared" si="104"/>
        <v>0</v>
      </c>
      <c r="CA75" s="207">
        <f t="shared" si="104"/>
        <v>0</v>
      </c>
      <c r="CB75" s="207">
        <f t="shared" si="104"/>
        <v>0</v>
      </c>
      <c r="CC75" s="207">
        <f t="shared" si="104"/>
        <v>1.7811965811965811</v>
      </c>
      <c r="CD75" s="207">
        <f t="shared" si="104"/>
        <v>38.310207768744363</v>
      </c>
      <c r="CE75" s="207">
        <f t="shared" si="104"/>
        <v>83.679131054131062</v>
      </c>
      <c r="CF75" s="207">
        <f t="shared" si="104"/>
        <v>44.900997150997156</v>
      </c>
      <c r="CG75" s="207">
        <f t="shared" si="104"/>
        <v>155.2949304620906</v>
      </c>
      <c r="CH75" s="207">
        <f t="shared" si="104"/>
        <v>148.61400218371375</v>
      </c>
      <c r="CI75" s="207">
        <f t="shared" si="104"/>
        <v>205.46657536331128</v>
      </c>
      <c r="CJ75" s="207">
        <f t="shared" si="104"/>
        <v>134.90299869621904</v>
      </c>
      <c r="CK75" s="207">
        <f t="shared" si="104"/>
        <v>169.25249301503095</v>
      </c>
      <c r="CL75" s="207">
        <f t="shared" si="104"/>
        <v>311.69716821639901</v>
      </c>
      <c r="CM75" s="207">
        <f t="shared" si="104"/>
        <v>438.94512512596566</v>
      </c>
      <c r="CN75" s="207">
        <f t="shared" si="104"/>
        <v>188.50602382251321</v>
      </c>
      <c r="CO75" s="207">
        <f t="shared" si="104"/>
        <v>268.25541320789523</v>
      </c>
      <c r="CP75" s="771">
        <f t="shared" si="104"/>
        <v>286.85563377277191</v>
      </c>
      <c r="CQ75" s="771">
        <f t="shared" si="104"/>
        <v>275.26056100666619</v>
      </c>
      <c r="CR75" s="771">
        <f t="shared" si="104"/>
        <v>133.79168157423968</v>
      </c>
      <c r="CS75" s="771">
        <f t="shared" si="104"/>
        <v>570.77975708502026</v>
      </c>
      <c r="CT75" s="207">
        <f t="shared" ref="CT75:DR75" si="105">(CT47*CT20)/1000</f>
        <v>9.9940929142542068</v>
      </c>
      <c r="CU75" s="207">
        <f t="shared" si="105"/>
        <v>30.917506252232943</v>
      </c>
      <c r="CV75" s="771">
        <f t="shared" si="105"/>
        <v>18.77082163578514</v>
      </c>
      <c r="CW75" s="771">
        <f t="shared" si="105"/>
        <v>3.5753798666666667</v>
      </c>
      <c r="CX75" s="771">
        <f t="shared" si="105"/>
        <v>41.116868466666673</v>
      </c>
      <c r="CY75" s="771">
        <f t="shared" si="105"/>
        <v>0</v>
      </c>
      <c r="CZ75" s="207">
        <f t="shared" si="105"/>
        <v>0</v>
      </c>
      <c r="DA75" s="207">
        <f t="shared" si="105"/>
        <v>0</v>
      </c>
      <c r="DB75" s="771">
        <f t="shared" si="105"/>
        <v>0</v>
      </c>
      <c r="DC75" s="771">
        <f t="shared" si="105"/>
        <v>0</v>
      </c>
      <c r="DD75" s="771">
        <f t="shared" si="105"/>
        <v>7.3733071505958838</v>
      </c>
      <c r="DE75" s="771">
        <f t="shared" si="105"/>
        <v>32.225869429262858</v>
      </c>
      <c r="DF75" s="207">
        <f t="shared" si="105"/>
        <v>7.77310598721178</v>
      </c>
      <c r="DG75" s="207">
        <f t="shared" si="105"/>
        <v>16.393966346153846</v>
      </c>
      <c r="DH75" s="771">
        <f t="shared" si="105"/>
        <v>94.522165242165244</v>
      </c>
      <c r="DI75" s="771">
        <f t="shared" si="105"/>
        <v>85.685590465872167</v>
      </c>
      <c r="DJ75" s="771">
        <f t="shared" si="105"/>
        <v>95.921753436677392</v>
      </c>
      <c r="DK75" s="771">
        <f t="shared" si="105"/>
        <v>25.382282887015901</v>
      </c>
      <c r="DL75" s="207">
        <f t="shared" si="105"/>
        <v>45.414614818588326</v>
      </c>
      <c r="DM75" s="207">
        <f t="shared" si="105"/>
        <v>78.055054671014773</v>
      </c>
      <c r="DN75" s="771">
        <f t="shared" si="105"/>
        <v>73.280128301780522</v>
      </c>
      <c r="DO75" s="771">
        <f t="shared" si="105"/>
        <v>68.218986671048668</v>
      </c>
      <c r="DP75" s="771">
        <f t="shared" si="105"/>
        <v>64.887145658995507</v>
      </c>
      <c r="DQ75" s="771">
        <f t="shared" si="105"/>
        <v>59.037829795861164</v>
      </c>
      <c r="DR75" s="191">
        <f t="shared" si="105"/>
        <v>40.738258441228737</v>
      </c>
      <c r="DS75" s="191">
        <v>0</v>
      </c>
      <c r="DT75" s="774">
        <v>0</v>
      </c>
      <c r="DU75" s="774">
        <v>0</v>
      </c>
      <c r="DV75" s="771">
        <v>0</v>
      </c>
      <c r="DW75" s="771">
        <v>0</v>
      </c>
      <c r="DX75" s="191">
        <f t="shared" ref="DX75" si="106">(DX47*DX20)/1000</f>
        <v>0</v>
      </c>
      <c r="DY75" s="191">
        <v>0</v>
      </c>
      <c r="DZ75" s="774">
        <v>0</v>
      </c>
      <c r="EA75" s="774">
        <v>0</v>
      </c>
      <c r="EB75" s="771">
        <v>0</v>
      </c>
      <c r="EC75" s="771">
        <v>0</v>
      </c>
    </row>
    <row r="76" spans="1:138">
      <c r="A76" s="189" t="s">
        <v>34</v>
      </c>
      <c r="B76" s="207">
        <f t="shared" ref="B76:AG76" si="107">(B48*B21)/1000</f>
        <v>19.609714285714286</v>
      </c>
      <c r="C76" s="207">
        <f t="shared" si="107"/>
        <v>0</v>
      </c>
      <c r="D76" s="207">
        <f t="shared" si="107"/>
        <v>0</v>
      </c>
      <c r="E76" s="207">
        <f t="shared" si="107"/>
        <v>0</v>
      </c>
      <c r="F76" s="207">
        <f t="shared" si="107"/>
        <v>0</v>
      </c>
      <c r="G76" s="207">
        <f t="shared" si="107"/>
        <v>49.296642857142864</v>
      </c>
      <c r="H76" s="207">
        <f t="shared" si="107"/>
        <v>0</v>
      </c>
      <c r="I76" s="207">
        <f t="shared" si="107"/>
        <v>0</v>
      </c>
      <c r="J76" s="207">
        <f t="shared" si="107"/>
        <v>0</v>
      </c>
      <c r="K76" s="207">
        <f t="shared" si="107"/>
        <v>0</v>
      </c>
      <c r="L76" s="207">
        <f t="shared" si="107"/>
        <v>0</v>
      </c>
      <c r="M76" s="207">
        <f t="shared" si="107"/>
        <v>0</v>
      </c>
      <c r="N76" s="207">
        <f t="shared" si="107"/>
        <v>28.051469979296073</v>
      </c>
      <c r="O76" s="207">
        <f t="shared" si="107"/>
        <v>0</v>
      </c>
      <c r="P76" s="207">
        <f t="shared" si="107"/>
        <v>16.396870229007632</v>
      </c>
      <c r="Q76" s="207">
        <f t="shared" si="107"/>
        <v>100.16609777777779</v>
      </c>
      <c r="R76" s="207">
        <f t="shared" si="107"/>
        <v>3.6264471879286697</v>
      </c>
      <c r="S76" s="207">
        <f t="shared" si="107"/>
        <v>140.97813443072701</v>
      </c>
      <c r="T76" s="207">
        <f t="shared" si="107"/>
        <v>0</v>
      </c>
      <c r="U76" s="207">
        <f t="shared" si="107"/>
        <v>0</v>
      </c>
      <c r="V76" s="207">
        <f t="shared" si="107"/>
        <v>0</v>
      </c>
      <c r="W76" s="207">
        <f t="shared" si="107"/>
        <v>0</v>
      </c>
      <c r="X76" s="207">
        <f t="shared" si="107"/>
        <v>10.320672672672673</v>
      </c>
      <c r="Y76" s="207">
        <f t="shared" si="107"/>
        <v>0</v>
      </c>
      <c r="Z76" s="207">
        <f t="shared" si="107"/>
        <v>15.481009009009009</v>
      </c>
      <c r="AA76" s="207">
        <f t="shared" si="107"/>
        <v>0</v>
      </c>
      <c r="AB76" s="207">
        <f t="shared" si="107"/>
        <v>14.415964444444445</v>
      </c>
      <c r="AC76" s="207">
        <f t="shared" si="107"/>
        <v>0</v>
      </c>
      <c r="AD76" s="207">
        <f t="shared" si="107"/>
        <v>1347.1470222222224</v>
      </c>
      <c r="AE76" s="207">
        <f t="shared" si="107"/>
        <v>0</v>
      </c>
      <c r="AF76" s="207">
        <f t="shared" si="107"/>
        <v>0</v>
      </c>
      <c r="AG76" s="207">
        <f t="shared" si="107"/>
        <v>0</v>
      </c>
      <c r="AH76" s="207">
        <f t="shared" ref="AH76:BM76" si="108">(AH48*AH21)/1000</f>
        <v>0</v>
      </c>
      <c r="AI76" s="207">
        <f t="shared" si="108"/>
        <v>0</v>
      </c>
      <c r="AJ76" s="207">
        <f t="shared" si="108"/>
        <v>0</v>
      </c>
      <c r="AK76" s="207">
        <f t="shared" si="108"/>
        <v>0</v>
      </c>
      <c r="AL76" s="207">
        <f t="shared" si="108"/>
        <v>0</v>
      </c>
      <c r="AM76" s="207">
        <f t="shared" si="108"/>
        <v>0</v>
      </c>
      <c r="AN76" s="207">
        <f t="shared" si="108"/>
        <v>0</v>
      </c>
      <c r="AO76" s="207">
        <f t="shared" si="108"/>
        <v>0</v>
      </c>
      <c r="AP76" s="207">
        <f t="shared" si="108"/>
        <v>0</v>
      </c>
      <c r="AQ76" s="207">
        <f t="shared" si="108"/>
        <v>0</v>
      </c>
      <c r="AR76" s="207">
        <f t="shared" si="108"/>
        <v>0</v>
      </c>
      <c r="AS76" s="207">
        <f t="shared" si="108"/>
        <v>0</v>
      </c>
      <c r="AT76" s="207">
        <f t="shared" si="108"/>
        <v>0</v>
      </c>
      <c r="AU76" s="207">
        <f t="shared" si="108"/>
        <v>0</v>
      </c>
      <c r="AV76" s="207">
        <f t="shared" si="108"/>
        <v>0</v>
      </c>
      <c r="AW76" s="207">
        <f t="shared" si="108"/>
        <v>0</v>
      </c>
      <c r="AX76" s="207">
        <f t="shared" si="108"/>
        <v>34.340474934036941</v>
      </c>
      <c r="AY76" s="207">
        <f t="shared" si="108"/>
        <v>0</v>
      </c>
      <c r="AZ76" s="207">
        <f t="shared" si="108"/>
        <v>0</v>
      </c>
      <c r="BA76" s="207">
        <f t="shared" si="108"/>
        <v>0</v>
      </c>
      <c r="BB76" s="207">
        <f t="shared" si="108"/>
        <v>0</v>
      </c>
      <c r="BC76" s="207">
        <f t="shared" si="108"/>
        <v>0</v>
      </c>
      <c r="BD76" s="207">
        <f t="shared" si="108"/>
        <v>0</v>
      </c>
      <c r="BE76" s="207">
        <f t="shared" si="108"/>
        <v>0</v>
      </c>
      <c r="BF76" s="207">
        <f t="shared" si="108"/>
        <v>0</v>
      </c>
      <c r="BG76" s="207">
        <f t="shared" si="108"/>
        <v>0</v>
      </c>
      <c r="BH76" s="207">
        <f t="shared" si="108"/>
        <v>0</v>
      </c>
      <c r="BI76" s="207">
        <f t="shared" si="108"/>
        <v>0</v>
      </c>
      <c r="BJ76" s="207">
        <f t="shared" si="108"/>
        <v>0</v>
      </c>
      <c r="BK76" s="207">
        <f t="shared" si="108"/>
        <v>0</v>
      </c>
      <c r="BL76" s="207">
        <f t="shared" si="108"/>
        <v>22.310106382978727</v>
      </c>
      <c r="BM76" s="207">
        <f t="shared" si="108"/>
        <v>39.739459962756051</v>
      </c>
      <c r="BN76" s="207">
        <f t="shared" ref="BN76:CS76" si="109">(BN48*BN21)/1000</f>
        <v>79.203787167449121</v>
      </c>
      <c r="BO76" s="207">
        <f t="shared" si="109"/>
        <v>54.400224089635856</v>
      </c>
      <c r="BP76" s="207">
        <f t="shared" si="109"/>
        <v>15.635606494746897</v>
      </c>
      <c r="BQ76" s="207">
        <f t="shared" si="109"/>
        <v>38.218633193863326</v>
      </c>
      <c r="BR76" s="207">
        <f t="shared" si="109"/>
        <v>45.297981981981991</v>
      </c>
      <c r="BS76" s="207">
        <f t="shared" si="109"/>
        <v>29.536506927465364</v>
      </c>
      <c r="BT76" s="207">
        <f t="shared" si="109"/>
        <v>6.945107142857144</v>
      </c>
      <c r="BU76" s="207">
        <f t="shared" si="109"/>
        <v>20.124166666666667</v>
      </c>
      <c r="BV76" s="207">
        <f t="shared" si="109"/>
        <v>18.384107142857143</v>
      </c>
      <c r="BW76" s="207">
        <f t="shared" si="109"/>
        <v>37.996678321678324</v>
      </c>
      <c r="BX76" s="207">
        <f t="shared" si="109"/>
        <v>0</v>
      </c>
      <c r="BY76" s="207">
        <f t="shared" si="109"/>
        <v>0</v>
      </c>
      <c r="BZ76" s="207">
        <f t="shared" si="109"/>
        <v>0</v>
      </c>
      <c r="CA76" s="207">
        <f t="shared" si="109"/>
        <v>0</v>
      </c>
      <c r="CB76" s="207">
        <f t="shared" si="109"/>
        <v>0</v>
      </c>
      <c r="CC76" s="207">
        <f t="shared" si="109"/>
        <v>0</v>
      </c>
      <c r="CD76" s="207">
        <f t="shared" si="109"/>
        <v>0</v>
      </c>
      <c r="CE76" s="207">
        <f t="shared" si="109"/>
        <v>0</v>
      </c>
      <c r="CF76" s="207">
        <f t="shared" si="109"/>
        <v>0</v>
      </c>
      <c r="CG76" s="207">
        <f t="shared" si="109"/>
        <v>0</v>
      </c>
      <c r="CH76" s="207">
        <f t="shared" si="109"/>
        <v>0</v>
      </c>
      <c r="CI76" s="207">
        <f t="shared" si="109"/>
        <v>3.6500512820512827</v>
      </c>
      <c r="CJ76" s="207">
        <f t="shared" si="109"/>
        <v>19.498029465930017</v>
      </c>
      <c r="CK76" s="207">
        <f t="shared" si="109"/>
        <v>18.283154574132496</v>
      </c>
      <c r="CL76" s="207">
        <f t="shared" si="109"/>
        <v>61.346584277377282</v>
      </c>
      <c r="CM76" s="207">
        <f t="shared" si="109"/>
        <v>14.67618784530387</v>
      </c>
      <c r="CN76" s="207">
        <f t="shared" si="109"/>
        <v>25.181189979123168</v>
      </c>
      <c r="CO76" s="207">
        <f t="shared" si="109"/>
        <v>50.584522613065317</v>
      </c>
      <c r="CP76" s="771">
        <f t="shared" si="109"/>
        <v>47.485076142131973</v>
      </c>
      <c r="CQ76" s="771">
        <f t="shared" si="109"/>
        <v>24.799999999999997</v>
      </c>
      <c r="CR76" s="771">
        <f t="shared" si="109"/>
        <v>1.2046000924641702</v>
      </c>
      <c r="CS76" s="771">
        <f t="shared" si="109"/>
        <v>0.55822931114193264</v>
      </c>
      <c r="CT76" s="207">
        <f t="shared" ref="CT76:DE76" si="110">(CT48*CT21)/1000</f>
        <v>0.44070735090152574</v>
      </c>
      <c r="CU76" s="207">
        <f t="shared" si="110"/>
        <v>0</v>
      </c>
      <c r="CV76" s="771">
        <f t="shared" si="110"/>
        <v>0</v>
      </c>
      <c r="CW76" s="771">
        <f t="shared" si="110"/>
        <v>0</v>
      </c>
      <c r="CX76" s="771">
        <f t="shared" si="110"/>
        <v>0</v>
      </c>
      <c r="CY76" s="771">
        <f t="shared" si="110"/>
        <v>0</v>
      </c>
      <c r="CZ76" s="207">
        <f t="shared" si="110"/>
        <v>0</v>
      </c>
      <c r="DA76" s="207">
        <f t="shared" si="110"/>
        <v>0</v>
      </c>
      <c r="DB76" s="771">
        <f t="shared" si="110"/>
        <v>0</v>
      </c>
      <c r="DC76" s="771">
        <f t="shared" si="110"/>
        <v>0</v>
      </c>
      <c r="DD76" s="771">
        <f t="shared" si="110"/>
        <v>0</v>
      </c>
      <c r="DE76" s="771">
        <f t="shared" si="110"/>
        <v>0</v>
      </c>
      <c r="DF76" s="207">
        <v>0</v>
      </c>
      <c r="DG76" s="207">
        <v>0</v>
      </c>
      <c r="DH76" s="771">
        <f t="shared" ref="DH76:DQ76" si="111">(DH48*DH21)/1000</f>
        <v>20.429968132568515</v>
      </c>
      <c r="DI76" s="771">
        <f t="shared" si="111"/>
        <v>6.0375102375102365</v>
      </c>
      <c r="DJ76" s="771">
        <f t="shared" si="111"/>
        <v>24.397924773022048</v>
      </c>
      <c r="DK76" s="771">
        <f t="shared" si="111"/>
        <v>21.375909090909094</v>
      </c>
      <c r="DL76" s="207">
        <f t="shared" si="111"/>
        <v>8.1202777777777762</v>
      </c>
      <c r="DM76" s="207">
        <f t="shared" si="111"/>
        <v>14.235200000000001</v>
      </c>
      <c r="DN76" s="771">
        <f t="shared" si="111"/>
        <v>17.461870312454373</v>
      </c>
      <c r="DO76" s="771">
        <f t="shared" si="111"/>
        <v>16.959760576955752</v>
      </c>
      <c r="DP76" s="771">
        <f t="shared" si="111"/>
        <v>18.297756045993403</v>
      </c>
      <c r="DQ76" s="771">
        <f t="shared" si="111"/>
        <v>16.048405863988823</v>
      </c>
      <c r="DR76" s="191">
        <v>0</v>
      </c>
      <c r="DS76" s="191">
        <v>0</v>
      </c>
      <c r="DT76" s="774">
        <v>0</v>
      </c>
      <c r="DU76" s="774">
        <v>0</v>
      </c>
      <c r="DV76" s="771">
        <v>0</v>
      </c>
      <c r="DW76" s="771">
        <v>0</v>
      </c>
      <c r="DX76" s="191">
        <v>0</v>
      </c>
      <c r="DY76" s="191">
        <v>0</v>
      </c>
      <c r="DZ76" s="774">
        <v>0</v>
      </c>
      <c r="EA76" s="774">
        <v>0</v>
      </c>
      <c r="EB76" s="771">
        <v>0</v>
      </c>
      <c r="EC76" s="771">
        <v>0</v>
      </c>
    </row>
    <row r="77" spans="1:138">
      <c r="A77" s="189" t="s">
        <v>35</v>
      </c>
      <c r="B77" s="207">
        <f t="shared" ref="B77:AG77" si="112">(B49*B22)/1000</f>
        <v>3.0603174603174601</v>
      </c>
      <c r="C77" s="207">
        <f t="shared" si="112"/>
        <v>3.5831497797356828</v>
      </c>
      <c r="D77" s="207">
        <f t="shared" si="112"/>
        <v>2.1897026431718065</v>
      </c>
      <c r="E77" s="207">
        <f t="shared" si="112"/>
        <v>0</v>
      </c>
      <c r="F77" s="207">
        <f t="shared" si="112"/>
        <v>0</v>
      </c>
      <c r="G77" s="207">
        <f t="shared" si="112"/>
        <v>1.9906387665198237</v>
      </c>
      <c r="H77" s="207">
        <f t="shared" si="112"/>
        <v>0</v>
      </c>
      <c r="I77" s="207">
        <f t="shared" si="112"/>
        <v>0</v>
      </c>
      <c r="J77" s="207">
        <f t="shared" si="112"/>
        <v>0</v>
      </c>
      <c r="K77" s="207">
        <f t="shared" si="112"/>
        <v>0</v>
      </c>
      <c r="L77" s="207">
        <f t="shared" si="112"/>
        <v>0</v>
      </c>
      <c r="M77" s="207">
        <f t="shared" si="112"/>
        <v>0</v>
      </c>
      <c r="N77" s="207">
        <f t="shared" si="112"/>
        <v>43.492968750000003</v>
      </c>
      <c r="O77" s="207">
        <f t="shared" si="112"/>
        <v>0</v>
      </c>
      <c r="P77" s="207">
        <f t="shared" si="112"/>
        <v>97.099330357142875</v>
      </c>
      <c r="Q77" s="207">
        <f t="shared" si="112"/>
        <v>19.901728723404261</v>
      </c>
      <c r="R77" s="207">
        <f t="shared" si="112"/>
        <v>0</v>
      </c>
      <c r="S77" s="207">
        <f t="shared" si="112"/>
        <v>212.59609854294476</v>
      </c>
      <c r="T77" s="207">
        <f t="shared" si="112"/>
        <v>0</v>
      </c>
      <c r="U77" s="207">
        <f t="shared" si="112"/>
        <v>0</v>
      </c>
      <c r="V77" s="207">
        <f t="shared" si="112"/>
        <v>0</v>
      </c>
      <c r="W77" s="207">
        <f t="shared" si="112"/>
        <v>0</v>
      </c>
      <c r="X77" s="207">
        <f t="shared" si="112"/>
        <v>10.758928571428571</v>
      </c>
      <c r="Y77" s="207">
        <f t="shared" si="112"/>
        <v>0</v>
      </c>
      <c r="Z77" s="207">
        <f t="shared" si="112"/>
        <v>97.099330357142875</v>
      </c>
      <c r="AA77" s="207">
        <f t="shared" si="112"/>
        <v>3.6053856382978728</v>
      </c>
      <c r="AB77" s="207">
        <f t="shared" si="112"/>
        <v>0</v>
      </c>
      <c r="AC77" s="207">
        <f t="shared" si="112"/>
        <v>0</v>
      </c>
      <c r="AD77" s="207">
        <f t="shared" si="112"/>
        <v>0</v>
      </c>
      <c r="AE77" s="207">
        <f t="shared" si="112"/>
        <v>0</v>
      </c>
      <c r="AF77" s="207">
        <f t="shared" si="112"/>
        <v>0</v>
      </c>
      <c r="AG77" s="207">
        <f t="shared" si="112"/>
        <v>0</v>
      </c>
      <c r="AH77" s="207">
        <f t="shared" ref="AH77:BM77" si="113">(AH49*AH22)/1000</f>
        <v>0</v>
      </c>
      <c r="AI77" s="207">
        <f t="shared" si="113"/>
        <v>4.0380319148936179</v>
      </c>
      <c r="AJ77" s="207">
        <f t="shared" si="113"/>
        <v>0</v>
      </c>
      <c r="AK77" s="207">
        <f t="shared" si="113"/>
        <v>7.9742647058823533</v>
      </c>
      <c r="AL77" s="207">
        <f t="shared" si="113"/>
        <v>11.591576086956522</v>
      </c>
      <c r="AM77" s="207">
        <f t="shared" si="113"/>
        <v>84.450416666666683</v>
      </c>
      <c r="AN77" s="207">
        <f t="shared" si="113"/>
        <v>0</v>
      </c>
      <c r="AO77" s="207">
        <f t="shared" si="113"/>
        <v>0</v>
      </c>
      <c r="AP77" s="207">
        <f t="shared" si="113"/>
        <v>0</v>
      </c>
      <c r="AQ77" s="207">
        <f t="shared" si="113"/>
        <v>0</v>
      </c>
      <c r="AR77" s="207">
        <f t="shared" si="113"/>
        <v>0</v>
      </c>
      <c r="AS77" s="207">
        <f t="shared" si="113"/>
        <v>0</v>
      </c>
      <c r="AT77" s="207">
        <f t="shared" si="113"/>
        <v>0</v>
      </c>
      <c r="AU77" s="207">
        <f t="shared" si="113"/>
        <v>0</v>
      </c>
      <c r="AV77" s="207">
        <f t="shared" si="113"/>
        <v>0</v>
      </c>
      <c r="AW77" s="207">
        <f t="shared" si="113"/>
        <v>0</v>
      </c>
      <c r="AX77" s="207">
        <f t="shared" si="113"/>
        <v>97.099330357142875</v>
      </c>
      <c r="AY77" s="207">
        <f t="shared" si="113"/>
        <v>0</v>
      </c>
      <c r="AZ77" s="207">
        <f t="shared" si="113"/>
        <v>0</v>
      </c>
      <c r="BA77" s="207">
        <f t="shared" si="113"/>
        <v>0</v>
      </c>
      <c r="BB77" s="207">
        <f t="shared" si="113"/>
        <v>0</v>
      </c>
      <c r="BC77" s="207">
        <f t="shared" si="113"/>
        <v>0</v>
      </c>
      <c r="BD77" s="207">
        <f t="shared" si="113"/>
        <v>0</v>
      </c>
      <c r="BE77" s="207">
        <f t="shared" si="113"/>
        <v>0</v>
      </c>
      <c r="BF77" s="207">
        <f t="shared" si="113"/>
        <v>0</v>
      </c>
      <c r="BG77" s="207">
        <f t="shared" si="113"/>
        <v>0</v>
      </c>
      <c r="BH77" s="207">
        <f t="shared" si="113"/>
        <v>0</v>
      </c>
      <c r="BI77" s="207">
        <f t="shared" si="113"/>
        <v>1.3290441176470591</v>
      </c>
      <c r="BJ77" s="207">
        <f t="shared" si="113"/>
        <v>0.90375000000000016</v>
      </c>
      <c r="BK77" s="207">
        <f t="shared" si="113"/>
        <v>3.8944866920152093</v>
      </c>
      <c r="BL77" s="207">
        <f t="shared" si="113"/>
        <v>108.67239932885906</v>
      </c>
      <c r="BM77" s="207">
        <f t="shared" si="113"/>
        <v>88.603650000000002</v>
      </c>
      <c r="BN77" s="207">
        <f t="shared" ref="BN77:CS77" si="114">(BN49*BN22)/1000</f>
        <v>235.02769679300295</v>
      </c>
      <c r="BO77" s="207">
        <f t="shared" si="114"/>
        <v>8.4350000000000005</v>
      </c>
      <c r="BP77" s="207">
        <f t="shared" si="114"/>
        <v>2.7469604863221884</v>
      </c>
      <c r="BQ77" s="207">
        <f t="shared" si="114"/>
        <v>2.1909090909090909</v>
      </c>
      <c r="BR77" s="207">
        <f t="shared" si="114"/>
        <v>144.09791666666669</v>
      </c>
      <c r="BS77" s="207">
        <f t="shared" si="114"/>
        <v>77.788527397260282</v>
      </c>
      <c r="BT77" s="207">
        <f t="shared" si="114"/>
        <v>27.174613402061858</v>
      </c>
      <c r="BU77" s="207">
        <f t="shared" si="114"/>
        <v>44.716796875</v>
      </c>
      <c r="BV77" s="207">
        <f t="shared" si="114"/>
        <v>33.280952380952378</v>
      </c>
      <c r="BW77" s="207">
        <f t="shared" si="114"/>
        <v>7.3653634361233484</v>
      </c>
      <c r="BX77" s="207">
        <f t="shared" si="114"/>
        <v>0</v>
      </c>
      <c r="BY77" s="207">
        <f t="shared" si="114"/>
        <v>0</v>
      </c>
      <c r="BZ77" s="207">
        <f t="shared" si="114"/>
        <v>0</v>
      </c>
      <c r="CA77" s="207">
        <f t="shared" si="114"/>
        <v>0</v>
      </c>
      <c r="CB77" s="207">
        <f t="shared" si="114"/>
        <v>2.7522840531561465</v>
      </c>
      <c r="CC77" s="207">
        <f t="shared" si="114"/>
        <v>0</v>
      </c>
      <c r="CD77" s="207">
        <f t="shared" si="114"/>
        <v>0</v>
      </c>
      <c r="CE77" s="207">
        <f t="shared" si="114"/>
        <v>0</v>
      </c>
      <c r="CF77" s="207">
        <f t="shared" si="114"/>
        <v>0</v>
      </c>
      <c r="CG77" s="207">
        <f t="shared" si="114"/>
        <v>2.0602203647416415</v>
      </c>
      <c r="CH77" s="207">
        <f t="shared" si="114"/>
        <v>6.6296214788732399</v>
      </c>
      <c r="CI77" s="207">
        <f t="shared" si="114"/>
        <v>7.7396245059288526</v>
      </c>
      <c r="CJ77" s="207">
        <f t="shared" si="114"/>
        <v>7.4937810945273631</v>
      </c>
      <c r="CK77" s="207">
        <f t="shared" si="114"/>
        <v>12.739427860696519</v>
      </c>
      <c r="CL77" s="207">
        <f t="shared" si="114"/>
        <v>15.174906716417912</v>
      </c>
      <c r="CM77" s="207">
        <f t="shared" si="114"/>
        <v>0.37468905472636821</v>
      </c>
      <c r="CN77" s="207">
        <f t="shared" si="114"/>
        <v>19.190038615560642</v>
      </c>
      <c r="CO77" s="207">
        <f t="shared" si="114"/>
        <v>20.763726635514018</v>
      </c>
      <c r="CP77" s="771">
        <f t="shared" si="114"/>
        <v>3.2846573208722747</v>
      </c>
      <c r="CQ77" s="771">
        <f t="shared" si="114"/>
        <v>40.179125310173696</v>
      </c>
      <c r="CR77" s="771">
        <f t="shared" si="114"/>
        <v>15.558570359281436</v>
      </c>
      <c r="CS77" s="771">
        <f t="shared" si="114"/>
        <v>0.42310393258426965</v>
      </c>
      <c r="CT77" s="207">
        <f t="shared" ref="CT77:DE77" si="115">(CT49*CT22)/1000</f>
        <v>1.8711180124223603</v>
      </c>
      <c r="CU77" s="207">
        <f t="shared" si="115"/>
        <v>7.0882352941176476</v>
      </c>
      <c r="CV77" s="771">
        <f t="shared" si="115"/>
        <v>1.5505638750000004</v>
      </c>
      <c r="CW77" s="771">
        <f t="shared" si="115"/>
        <v>0</v>
      </c>
      <c r="CX77" s="771">
        <f t="shared" si="115"/>
        <v>0</v>
      </c>
      <c r="CY77" s="771">
        <f t="shared" si="115"/>
        <v>0</v>
      </c>
      <c r="CZ77" s="207">
        <f t="shared" si="115"/>
        <v>0</v>
      </c>
      <c r="DA77" s="207">
        <f t="shared" si="115"/>
        <v>0</v>
      </c>
      <c r="DB77" s="771">
        <f t="shared" si="115"/>
        <v>0</v>
      </c>
      <c r="DC77" s="771">
        <f t="shared" si="115"/>
        <v>0</v>
      </c>
      <c r="DD77" s="771">
        <f t="shared" si="115"/>
        <v>0</v>
      </c>
      <c r="DE77" s="771">
        <f t="shared" si="115"/>
        <v>0</v>
      </c>
      <c r="DF77" s="207">
        <v>0</v>
      </c>
      <c r="DG77" s="207">
        <v>0</v>
      </c>
      <c r="DH77" s="771">
        <f t="shared" ref="DH77:DQ77" si="116">(DH49*DH22)/1000</f>
        <v>7.8684701492537314</v>
      </c>
      <c r="DI77" s="771">
        <f t="shared" si="116"/>
        <v>48.266574585635368</v>
      </c>
      <c r="DJ77" s="771">
        <f t="shared" si="116"/>
        <v>7.2523148148148158</v>
      </c>
      <c r="DK77" s="771">
        <f t="shared" si="116"/>
        <v>17.761954066265062</v>
      </c>
      <c r="DL77" s="207">
        <f t="shared" si="116"/>
        <v>25.913978494623656</v>
      </c>
      <c r="DM77" s="207">
        <f t="shared" si="116"/>
        <v>50.554597701149433</v>
      </c>
      <c r="DN77" s="771">
        <f t="shared" si="116"/>
        <v>27.233472783437499</v>
      </c>
      <c r="DO77" s="771">
        <f t="shared" si="116"/>
        <v>30.612816602256657</v>
      </c>
      <c r="DP77" s="771">
        <f t="shared" si="116"/>
        <v>27.191076480106052</v>
      </c>
      <c r="DQ77" s="771">
        <f t="shared" si="116"/>
        <v>30.877087961172411</v>
      </c>
      <c r="DR77" s="191">
        <f t="shared" ref="DR77:DR83" si="117">(DR49*DR22)/1000</f>
        <v>1.613839285714286</v>
      </c>
      <c r="DS77" s="191">
        <v>0</v>
      </c>
      <c r="DT77" s="774">
        <v>0</v>
      </c>
      <c r="DU77" s="774">
        <v>0</v>
      </c>
      <c r="DV77" s="771">
        <v>0</v>
      </c>
      <c r="DW77" s="771">
        <v>0</v>
      </c>
      <c r="DX77" s="191">
        <f t="shared" ref="DX77:DX83" si="118">(DX49*DX22)/1000</f>
        <v>0</v>
      </c>
      <c r="DY77" s="191">
        <v>0</v>
      </c>
      <c r="DZ77" s="774">
        <v>0</v>
      </c>
      <c r="EA77" s="774">
        <v>0</v>
      </c>
      <c r="EB77" s="771">
        <v>0</v>
      </c>
      <c r="EC77" s="771">
        <v>0</v>
      </c>
    </row>
    <row r="78" spans="1:138">
      <c r="A78" s="189" t="s">
        <v>37</v>
      </c>
      <c r="B78" s="207">
        <f t="shared" ref="B78:AG78" si="119">(B50*B23)/1000</f>
        <v>111.15804953560371</v>
      </c>
      <c r="C78" s="207">
        <f t="shared" si="119"/>
        <v>4.8965843023255813</v>
      </c>
      <c r="D78" s="207">
        <f t="shared" si="119"/>
        <v>0</v>
      </c>
      <c r="E78" s="207">
        <f t="shared" si="119"/>
        <v>3.6378424657534247</v>
      </c>
      <c r="F78" s="207">
        <f t="shared" si="119"/>
        <v>295.32884615384614</v>
      </c>
      <c r="G78" s="207">
        <f t="shared" si="119"/>
        <v>104.33756218905472</v>
      </c>
      <c r="H78" s="207">
        <f t="shared" si="119"/>
        <v>17.360446247464505</v>
      </c>
      <c r="I78" s="207">
        <f t="shared" si="119"/>
        <v>267.62300319488816</v>
      </c>
      <c r="J78" s="207">
        <f t="shared" si="119"/>
        <v>325.67112132352941</v>
      </c>
      <c r="K78" s="207">
        <f t="shared" si="119"/>
        <v>353.07166666666666</v>
      </c>
      <c r="L78" s="207">
        <f t="shared" si="119"/>
        <v>0</v>
      </c>
      <c r="M78" s="207">
        <f t="shared" si="119"/>
        <v>162.20348062953997</v>
      </c>
      <c r="N78" s="207">
        <f t="shared" si="119"/>
        <v>85.806282722513089</v>
      </c>
      <c r="O78" s="207">
        <f t="shared" si="119"/>
        <v>0</v>
      </c>
      <c r="P78" s="207">
        <f t="shared" si="119"/>
        <v>78.68023767605635</v>
      </c>
      <c r="Q78" s="207">
        <f t="shared" si="119"/>
        <v>22.780871670702176</v>
      </c>
      <c r="R78" s="207">
        <f t="shared" si="119"/>
        <v>7.2904804270462638</v>
      </c>
      <c r="S78" s="207">
        <f t="shared" si="119"/>
        <v>12.960854092526692</v>
      </c>
      <c r="T78" s="207">
        <f t="shared" si="119"/>
        <v>0</v>
      </c>
      <c r="U78" s="207">
        <f t="shared" si="119"/>
        <v>0</v>
      </c>
      <c r="V78" s="207">
        <f t="shared" si="119"/>
        <v>0</v>
      </c>
      <c r="W78" s="207">
        <f t="shared" si="119"/>
        <v>0</v>
      </c>
      <c r="X78" s="207">
        <f t="shared" si="119"/>
        <v>4.0325174825174832</v>
      </c>
      <c r="Y78" s="207">
        <f t="shared" si="119"/>
        <v>0</v>
      </c>
      <c r="Z78" s="207">
        <f t="shared" si="119"/>
        <v>78.68023767605635</v>
      </c>
      <c r="AA78" s="207">
        <f t="shared" si="119"/>
        <v>75.691283292978198</v>
      </c>
      <c r="AB78" s="207">
        <f t="shared" si="119"/>
        <v>71.580475000000007</v>
      </c>
      <c r="AC78" s="207">
        <f t="shared" si="119"/>
        <v>0</v>
      </c>
      <c r="AD78" s="207">
        <f t="shared" si="119"/>
        <v>5036.5611267605627</v>
      </c>
      <c r="AE78" s="207">
        <f t="shared" si="119"/>
        <v>29.785640495867767</v>
      </c>
      <c r="AF78" s="207">
        <f t="shared" si="119"/>
        <v>0</v>
      </c>
      <c r="AG78" s="207">
        <f t="shared" si="119"/>
        <v>56.717192691029901</v>
      </c>
      <c r="AH78" s="207">
        <f t="shared" ref="AH78:BM78" si="120">(AH50*AH23)/1000</f>
        <v>0</v>
      </c>
      <c r="AI78" s="207">
        <f t="shared" si="120"/>
        <v>34.355024213075055</v>
      </c>
      <c r="AJ78" s="207">
        <f t="shared" si="120"/>
        <v>120.113074204947</v>
      </c>
      <c r="AK78" s="207">
        <f t="shared" si="120"/>
        <v>75.742813588850169</v>
      </c>
      <c r="AL78" s="207">
        <f t="shared" si="120"/>
        <v>24.139079965606189</v>
      </c>
      <c r="AM78" s="207">
        <f t="shared" si="120"/>
        <v>167.68375</v>
      </c>
      <c r="AN78" s="207">
        <f t="shared" si="120"/>
        <v>0</v>
      </c>
      <c r="AO78" s="207">
        <f t="shared" si="120"/>
        <v>0</v>
      </c>
      <c r="AP78" s="207">
        <f t="shared" si="120"/>
        <v>0</v>
      </c>
      <c r="AQ78" s="207">
        <f t="shared" si="120"/>
        <v>0</v>
      </c>
      <c r="AR78" s="207">
        <f t="shared" si="120"/>
        <v>0</v>
      </c>
      <c r="AS78" s="207">
        <f t="shared" si="120"/>
        <v>0</v>
      </c>
      <c r="AT78" s="207">
        <f t="shared" si="120"/>
        <v>0</v>
      </c>
      <c r="AU78" s="207">
        <f t="shared" si="120"/>
        <v>0</v>
      </c>
      <c r="AV78" s="207">
        <f t="shared" si="120"/>
        <v>0</v>
      </c>
      <c r="AW78" s="207">
        <f t="shared" si="120"/>
        <v>0</v>
      </c>
      <c r="AX78" s="207">
        <f t="shared" si="120"/>
        <v>76.943661971830991</v>
      </c>
      <c r="AY78" s="207">
        <f t="shared" si="120"/>
        <v>0</v>
      </c>
      <c r="AZ78" s="207">
        <f t="shared" si="120"/>
        <v>72.721271393643036</v>
      </c>
      <c r="BA78" s="207">
        <f t="shared" si="120"/>
        <v>110.78117433414045</v>
      </c>
      <c r="BB78" s="207">
        <f t="shared" si="120"/>
        <v>218.0530769230769</v>
      </c>
      <c r="BC78" s="207">
        <f t="shared" si="120"/>
        <v>104.33756218905472</v>
      </c>
      <c r="BD78" s="207">
        <f t="shared" si="120"/>
        <v>43.783606557377055</v>
      </c>
      <c r="BE78" s="207">
        <f t="shared" si="120"/>
        <v>57.46060991105464</v>
      </c>
      <c r="BF78" s="207">
        <f t="shared" si="120"/>
        <v>137.69009584664539</v>
      </c>
      <c r="BG78" s="207">
        <f t="shared" si="120"/>
        <v>130.06611519607844</v>
      </c>
      <c r="BH78" s="207">
        <f t="shared" si="120"/>
        <v>41.038161057692307</v>
      </c>
      <c r="BI78" s="207">
        <f t="shared" si="120"/>
        <v>2.2471689895470379</v>
      </c>
      <c r="BJ78" s="207">
        <f t="shared" si="120"/>
        <v>30.315154994259473</v>
      </c>
      <c r="BK78" s="207">
        <f t="shared" si="120"/>
        <v>101.02576601671311</v>
      </c>
      <c r="BL78" s="207">
        <f t="shared" si="120"/>
        <v>233.22651006711408</v>
      </c>
      <c r="BM78" s="207">
        <f t="shared" si="120"/>
        <v>375.30117449664431</v>
      </c>
      <c r="BN78" s="207">
        <f t="shared" ref="BN78:CS78" si="121">(BN50*BN23)/1000</f>
        <v>82.52731893265566</v>
      </c>
      <c r="BO78" s="207">
        <f t="shared" si="121"/>
        <v>33.938946015424165</v>
      </c>
      <c r="BP78" s="207">
        <f t="shared" si="121"/>
        <v>53.929210069444444</v>
      </c>
      <c r="BQ78" s="207">
        <f t="shared" si="121"/>
        <v>96.469642857142858</v>
      </c>
      <c r="BR78" s="207">
        <f t="shared" si="121"/>
        <v>48.105561497326207</v>
      </c>
      <c r="BS78" s="207">
        <f t="shared" si="121"/>
        <v>31.406051437216338</v>
      </c>
      <c r="BT78" s="207">
        <f t="shared" si="121"/>
        <v>29.360326086956519</v>
      </c>
      <c r="BU78" s="207">
        <f t="shared" si="121"/>
        <v>52.864542483660131</v>
      </c>
      <c r="BV78" s="207">
        <f t="shared" si="121"/>
        <v>208.26865325077398</v>
      </c>
      <c r="BW78" s="207">
        <f t="shared" si="121"/>
        <v>245.53471731448764</v>
      </c>
      <c r="BX78" s="207">
        <f t="shared" si="121"/>
        <v>0</v>
      </c>
      <c r="BY78" s="207">
        <f t="shared" si="121"/>
        <v>3.6378424657534247</v>
      </c>
      <c r="BZ78" s="207">
        <f t="shared" si="121"/>
        <v>50.828214826021181</v>
      </c>
      <c r="CA78" s="207">
        <f t="shared" si="121"/>
        <v>42.43855932203391</v>
      </c>
      <c r="CB78" s="207">
        <f t="shared" si="121"/>
        <v>129.38684210526316</v>
      </c>
      <c r="CC78" s="207">
        <f t="shared" si="121"/>
        <v>12.204232804232806</v>
      </c>
      <c r="CD78" s="207">
        <f t="shared" si="121"/>
        <v>94.695169712793742</v>
      </c>
      <c r="CE78" s="207">
        <f t="shared" si="121"/>
        <v>142.74406528189911</v>
      </c>
      <c r="CF78" s="207">
        <f t="shared" si="121"/>
        <v>162.55712166172106</v>
      </c>
      <c r="CG78" s="207">
        <f t="shared" si="121"/>
        <v>141.55280265339971</v>
      </c>
      <c r="CH78" s="207">
        <f t="shared" si="121"/>
        <v>83.5839</v>
      </c>
      <c r="CI78" s="207">
        <f t="shared" si="121"/>
        <v>142.85712365591394</v>
      </c>
      <c r="CJ78" s="207">
        <f t="shared" si="121"/>
        <v>117.04504437869822</v>
      </c>
      <c r="CK78" s="207">
        <f t="shared" si="121"/>
        <v>157.65643712574848</v>
      </c>
      <c r="CL78" s="207">
        <f t="shared" si="121"/>
        <v>36.74212271973466</v>
      </c>
      <c r="CM78" s="207">
        <f t="shared" si="121"/>
        <v>89.30323741007193</v>
      </c>
      <c r="CN78" s="207">
        <f t="shared" si="121"/>
        <v>47.331547619047626</v>
      </c>
      <c r="CO78" s="207">
        <f t="shared" si="121"/>
        <v>50.054850746268663</v>
      </c>
      <c r="CP78" s="771">
        <f t="shared" si="121"/>
        <v>22.992424242424242</v>
      </c>
      <c r="CQ78" s="771">
        <f t="shared" si="121"/>
        <v>99.186888454011736</v>
      </c>
      <c r="CR78" s="771">
        <f t="shared" si="121"/>
        <v>30.212045454545454</v>
      </c>
      <c r="CS78" s="771">
        <f t="shared" si="121"/>
        <v>5.8294207317073168</v>
      </c>
      <c r="CT78" s="207">
        <f t="shared" ref="CT78:DE78" si="122">(CT50*CT23)/1000</f>
        <v>10.943509615384617</v>
      </c>
      <c r="CU78" s="207">
        <f t="shared" si="122"/>
        <v>14.591369500000001</v>
      </c>
      <c r="CV78" s="771">
        <f t="shared" si="122"/>
        <v>13.861801025</v>
      </c>
      <c r="CW78" s="771">
        <f t="shared" si="122"/>
        <v>0</v>
      </c>
      <c r="CX78" s="771">
        <f t="shared" si="122"/>
        <v>29.182739000000002</v>
      </c>
      <c r="CY78" s="771">
        <f t="shared" si="122"/>
        <v>34.289718325000003</v>
      </c>
      <c r="CZ78" s="207">
        <f t="shared" si="122"/>
        <v>0</v>
      </c>
      <c r="DA78" s="207">
        <f t="shared" si="122"/>
        <v>0</v>
      </c>
      <c r="DB78" s="771">
        <f t="shared" si="122"/>
        <v>0</v>
      </c>
      <c r="DC78" s="771">
        <f t="shared" si="122"/>
        <v>3.9426033934252387</v>
      </c>
      <c r="DD78" s="771">
        <f t="shared" si="122"/>
        <v>73.298996913580254</v>
      </c>
      <c r="DE78" s="771">
        <f t="shared" si="122"/>
        <v>54.782704402515733</v>
      </c>
      <c r="DF78" s="207">
        <f t="shared" ref="DF78:DG83" si="123">(DF50*DF23)/1000</f>
        <v>54.196428571428569</v>
      </c>
      <c r="DG78" s="207">
        <f t="shared" si="123"/>
        <v>21.279390934844191</v>
      </c>
      <c r="DH78" s="771">
        <f t="shared" ref="DH78:DQ78" si="124">(DH50*DH23)/1000</f>
        <v>94.546941678520639</v>
      </c>
      <c r="DI78" s="771">
        <f t="shared" si="124"/>
        <v>47.80125000000001</v>
      </c>
      <c r="DJ78" s="771">
        <f t="shared" si="124"/>
        <v>40.238363892806774</v>
      </c>
      <c r="DK78" s="771">
        <f t="shared" si="124"/>
        <v>23.642210144927539</v>
      </c>
      <c r="DL78" s="207">
        <f t="shared" si="124"/>
        <v>71.845220030349012</v>
      </c>
      <c r="DM78" s="207">
        <f t="shared" si="124"/>
        <v>17.449385749385748</v>
      </c>
      <c r="DN78" s="771">
        <f t="shared" si="124"/>
        <v>53.709301347342546</v>
      </c>
      <c r="DO78" s="771">
        <f t="shared" si="124"/>
        <v>45.651616471130211</v>
      </c>
      <c r="DP78" s="771">
        <f t="shared" si="124"/>
        <v>44.761312293005574</v>
      </c>
      <c r="DQ78" s="771">
        <f t="shared" si="124"/>
        <v>45.387999845113939</v>
      </c>
      <c r="DR78" s="191">
        <f t="shared" si="117"/>
        <v>3.6030027932960893</v>
      </c>
      <c r="DS78" s="191">
        <v>0</v>
      </c>
      <c r="DT78" s="774">
        <v>0</v>
      </c>
      <c r="DU78" s="774">
        <f>(DU50*DU23)/1000</f>
        <v>2.3547413793103447</v>
      </c>
      <c r="DV78" s="771">
        <f>(DV50*DV23)/1000</f>
        <v>23.423153034300789</v>
      </c>
      <c r="DW78" s="771">
        <f>(DW50*DW23)/1000</f>
        <v>39.24568965517242</v>
      </c>
      <c r="DX78" s="191">
        <f t="shared" si="118"/>
        <v>38.411718750000006</v>
      </c>
      <c r="DY78" s="191">
        <v>0</v>
      </c>
      <c r="DZ78" s="774">
        <v>0</v>
      </c>
      <c r="EA78" s="774">
        <f>(EA50*EA23)/1000</f>
        <v>59.424225663716818</v>
      </c>
      <c r="EB78" s="771">
        <f>(EB50*EB23)/1000</f>
        <v>51.875245579567789</v>
      </c>
      <c r="EC78" s="771">
        <f>(EC50*EC23)/1000</f>
        <v>67.23368055555558</v>
      </c>
    </row>
    <row r="79" spans="1:138">
      <c r="A79" s="189" t="s">
        <v>38</v>
      </c>
      <c r="B79" s="207">
        <f t="shared" ref="B79:AG79" si="125">(B51*B24)/1000</f>
        <v>101.14241036208419</v>
      </c>
      <c r="C79" s="207">
        <f t="shared" si="125"/>
        <v>81.197950686903809</v>
      </c>
      <c r="D79" s="207">
        <f t="shared" si="125"/>
        <v>0</v>
      </c>
      <c r="E79" s="207">
        <f t="shared" si="125"/>
        <v>24.242872353010764</v>
      </c>
      <c r="F79" s="207">
        <f t="shared" si="125"/>
        <v>100.97281012658227</v>
      </c>
      <c r="G79" s="207">
        <f t="shared" si="125"/>
        <v>268.4192430700208</v>
      </c>
      <c r="H79" s="207">
        <f t="shared" si="125"/>
        <v>43.512045732952231</v>
      </c>
      <c r="I79" s="207">
        <f t="shared" si="125"/>
        <v>30.046185425932265</v>
      </c>
      <c r="J79" s="207">
        <f t="shared" si="125"/>
        <v>111.38264014466546</v>
      </c>
      <c r="K79" s="207">
        <f t="shared" si="125"/>
        <v>254.42592895059207</v>
      </c>
      <c r="L79" s="207">
        <f t="shared" si="125"/>
        <v>0</v>
      </c>
      <c r="M79" s="207">
        <f t="shared" si="125"/>
        <v>133.77039253292418</v>
      </c>
      <c r="N79" s="207">
        <f t="shared" si="125"/>
        <v>27.45593405946423</v>
      </c>
      <c r="O79" s="207">
        <f t="shared" si="125"/>
        <v>0</v>
      </c>
      <c r="P79" s="207">
        <f t="shared" si="125"/>
        <v>264.66882069028327</v>
      </c>
      <c r="Q79" s="207">
        <f t="shared" si="125"/>
        <v>39.159729172799523</v>
      </c>
      <c r="R79" s="207">
        <f t="shared" si="125"/>
        <v>6.6531936935478662</v>
      </c>
      <c r="S79" s="207">
        <f t="shared" si="125"/>
        <v>97.247391557650545</v>
      </c>
      <c r="T79" s="207">
        <f t="shared" si="125"/>
        <v>0</v>
      </c>
      <c r="U79" s="207">
        <f t="shared" si="125"/>
        <v>0</v>
      </c>
      <c r="V79" s="207">
        <f t="shared" si="125"/>
        <v>0</v>
      </c>
      <c r="W79" s="207">
        <f t="shared" si="125"/>
        <v>0</v>
      </c>
      <c r="X79" s="207">
        <f t="shared" si="125"/>
        <v>32.838169425511204</v>
      </c>
      <c r="Y79" s="207">
        <f t="shared" si="125"/>
        <v>0</v>
      </c>
      <c r="Z79" s="207">
        <f t="shared" si="125"/>
        <v>661.67205172570823</v>
      </c>
      <c r="AA79" s="207">
        <f t="shared" si="125"/>
        <v>34.686426776655757</v>
      </c>
      <c r="AB79" s="207">
        <f t="shared" si="125"/>
        <v>79.220373417721518</v>
      </c>
      <c r="AC79" s="207">
        <f t="shared" si="125"/>
        <v>0</v>
      </c>
      <c r="AD79" s="207">
        <f t="shared" si="125"/>
        <v>710.16193631329111</v>
      </c>
      <c r="AE79" s="207">
        <f t="shared" si="125"/>
        <v>125.41583351212185</v>
      </c>
      <c r="AF79" s="207">
        <f t="shared" si="125"/>
        <v>0</v>
      </c>
      <c r="AG79" s="207">
        <f t="shared" si="125"/>
        <v>40.340139595409923</v>
      </c>
      <c r="AH79" s="207">
        <f t="shared" ref="AH79:BM79" si="126">(AH51*AH24)/1000</f>
        <v>78.486112375922048</v>
      </c>
      <c r="AI79" s="207">
        <f t="shared" si="126"/>
        <v>90.624396719290758</v>
      </c>
      <c r="AJ79" s="207">
        <f t="shared" si="126"/>
        <v>450.98996547756042</v>
      </c>
      <c r="AK79" s="207">
        <f t="shared" si="126"/>
        <v>265.59635015862045</v>
      </c>
      <c r="AL79" s="207">
        <f t="shared" si="126"/>
        <v>49.041268732722244</v>
      </c>
      <c r="AM79" s="207">
        <f t="shared" si="126"/>
        <v>79.59357288689263</v>
      </c>
      <c r="AN79" s="207">
        <f t="shared" si="126"/>
        <v>0</v>
      </c>
      <c r="AO79" s="207">
        <f t="shared" si="126"/>
        <v>0</v>
      </c>
      <c r="AP79" s="207">
        <f t="shared" si="126"/>
        <v>0</v>
      </c>
      <c r="AQ79" s="207">
        <f t="shared" si="126"/>
        <v>0</v>
      </c>
      <c r="AR79" s="207">
        <f t="shared" si="126"/>
        <v>0</v>
      </c>
      <c r="AS79" s="207">
        <f t="shared" si="126"/>
        <v>0</v>
      </c>
      <c r="AT79" s="207">
        <f t="shared" si="126"/>
        <v>0</v>
      </c>
      <c r="AU79" s="207">
        <f t="shared" si="126"/>
        <v>0</v>
      </c>
      <c r="AV79" s="207">
        <f t="shared" si="126"/>
        <v>0</v>
      </c>
      <c r="AW79" s="207">
        <f t="shared" si="126"/>
        <v>0</v>
      </c>
      <c r="AX79" s="207">
        <f t="shared" si="126"/>
        <v>288.00990802294876</v>
      </c>
      <c r="AY79" s="207">
        <f t="shared" si="126"/>
        <v>0</v>
      </c>
      <c r="AZ79" s="207">
        <f t="shared" si="126"/>
        <v>149.10832151898737</v>
      </c>
      <c r="BA79" s="207">
        <f t="shared" si="126"/>
        <v>132.71632783531521</v>
      </c>
      <c r="BB79" s="207">
        <f t="shared" si="126"/>
        <v>100.97281012658227</v>
      </c>
      <c r="BC79" s="207">
        <f t="shared" si="126"/>
        <v>223.23188976125621</v>
      </c>
      <c r="BD79" s="207">
        <f t="shared" si="126"/>
        <v>22.559555418338995</v>
      </c>
      <c r="BE79" s="207">
        <f t="shared" si="126"/>
        <v>201.5101095532724</v>
      </c>
      <c r="BF79" s="207">
        <f t="shared" si="126"/>
        <v>289.81508860759493</v>
      </c>
      <c r="BG79" s="207">
        <f t="shared" si="126"/>
        <v>155.14032726150049</v>
      </c>
      <c r="BH79" s="207">
        <f t="shared" si="126"/>
        <v>29.594012107870117</v>
      </c>
      <c r="BI79" s="207">
        <f t="shared" si="126"/>
        <v>5.4950968998335261</v>
      </c>
      <c r="BJ79" s="207">
        <f t="shared" si="126"/>
        <v>23.366601147888982</v>
      </c>
      <c r="BK79" s="207">
        <f t="shared" si="126"/>
        <v>43.787899073995405</v>
      </c>
      <c r="BL79" s="207">
        <f t="shared" si="126"/>
        <v>19.993523697380041</v>
      </c>
      <c r="BM79" s="207">
        <f t="shared" si="126"/>
        <v>16.12773011158848</v>
      </c>
      <c r="BN79" s="207">
        <f t="shared" ref="BN79:CS79" si="127">(BN51*BN24)/1000</f>
        <v>45.19176306704621</v>
      </c>
      <c r="BO79" s="207">
        <f t="shared" si="127"/>
        <v>30.465040650406507</v>
      </c>
      <c r="BP79" s="207">
        <f t="shared" si="127"/>
        <v>46.707954231385777</v>
      </c>
      <c r="BQ79" s="207">
        <f t="shared" si="127"/>
        <v>112.96219716148831</v>
      </c>
      <c r="BR79" s="207">
        <f t="shared" si="127"/>
        <v>71.939915611814357</v>
      </c>
      <c r="BS79" s="207">
        <f t="shared" si="127"/>
        <v>103.05122986750729</v>
      </c>
      <c r="BT79" s="207">
        <f t="shared" si="127"/>
        <v>141.32408531298768</v>
      </c>
      <c r="BU79" s="207">
        <f t="shared" si="127"/>
        <v>94.166320580287305</v>
      </c>
      <c r="BV79" s="207">
        <f t="shared" si="127"/>
        <v>21.777773329408305</v>
      </c>
      <c r="BW79" s="207">
        <f t="shared" si="127"/>
        <v>14.74129461875337</v>
      </c>
      <c r="BX79" s="207">
        <f t="shared" si="127"/>
        <v>48.811775095672658</v>
      </c>
      <c r="BY79" s="207">
        <f t="shared" si="127"/>
        <v>29.09144682361292</v>
      </c>
      <c r="BZ79" s="207">
        <f t="shared" si="127"/>
        <v>62.525201380897592</v>
      </c>
      <c r="CA79" s="207">
        <f t="shared" si="127"/>
        <v>15.095040041332988</v>
      </c>
      <c r="CB79" s="207">
        <f t="shared" si="127"/>
        <v>91.631760644418875</v>
      </c>
      <c r="CC79" s="207">
        <f t="shared" si="127"/>
        <v>47.213314580403178</v>
      </c>
      <c r="CD79" s="207">
        <f t="shared" si="127"/>
        <v>167.08079099340841</v>
      </c>
      <c r="CE79" s="207">
        <f t="shared" si="127"/>
        <v>14.980087832601395</v>
      </c>
      <c r="CF79" s="207">
        <f t="shared" si="127"/>
        <v>19.457173856884523</v>
      </c>
      <c r="CG79" s="207">
        <f t="shared" si="127"/>
        <v>106.43962819375029</v>
      </c>
      <c r="CH79" s="207">
        <f t="shared" si="127"/>
        <v>375.04276833196013</v>
      </c>
      <c r="CI79" s="207">
        <f t="shared" si="127"/>
        <v>288.06544064962981</v>
      </c>
      <c r="CJ79" s="207">
        <f t="shared" si="127"/>
        <v>257.61849514875024</v>
      </c>
      <c r="CK79" s="207">
        <f t="shared" si="127"/>
        <v>151.46909704641348</v>
      </c>
      <c r="CL79" s="207">
        <f t="shared" si="127"/>
        <v>74.074396624472556</v>
      </c>
      <c r="CM79" s="207">
        <f t="shared" si="127"/>
        <v>180.4951347627659</v>
      </c>
      <c r="CN79" s="207">
        <f t="shared" si="127"/>
        <v>25.364908894817503</v>
      </c>
      <c r="CO79" s="207">
        <f t="shared" si="127"/>
        <v>130.56983263953785</v>
      </c>
      <c r="CP79" s="771">
        <f t="shared" si="127"/>
        <v>85.675696202531626</v>
      </c>
      <c r="CQ79" s="771">
        <f t="shared" si="127"/>
        <v>163.16180379746837</v>
      </c>
      <c r="CR79" s="771">
        <f t="shared" si="127"/>
        <v>42.661951054852324</v>
      </c>
      <c r="CS79" s="771">
        <f t="shared" si="127"/>
        <v>55.700052198877728</v>
      </c>
      <c r="CT79" s="207">
        <f t="shared" ref="CT79:DE79" si="128">(CT51*CT24)/1000</f>
        <v>88.662212845757139</v>
      </c>
      <c r="CU79" s="207">
        <f t="shared" si="128"/>
        <v>49.837893345534027</v>
      </c>
      <c r="CV79" s="771">
        <f t="shared" si="128"/>
        <v>265.96311030741413</v>
      </c>
      <c r="CW79" s="771">
        <f t="shared" si="128"/>
        <v>13.475258918296893</v>
      </c>
      <c r="CX79" s="771">
        <f t="shared" si="128"/>
        <v>50.876885156870124</v>
      </c>
      <c r="CY79" s="771">
        <f t="shared" si="128"/>
        <v>232.88402593393022</v>
      </c>
      <c r="CZ79" s="207">
        <f t="shared" si="128"/>
        <v>0</v>
      </c>
      <c r="DA79" s="207">
        <f t="shared" si="128"/>
        <v>0</v>
      </c>
      <c r="DB79" s="771">
        <f t="shared" si="128"/>
        <v>0</v>
      </c>
      <c r="DC79" s="771">
        <f t="shared" si="128"/>
        <v>45.264392873886543</v>
      </c>
      <c r="DD79" s="771">
        <f t="shared" si="128"/>
        <v>76.968000628980249</v>
      </c>
      <c r="DE79" s="771">
        <f t="shared" si="128"/>
        <v>122.22852501184593</v>
      </c>
      <c r="DF79" s="207">
        <f t="shared" si="123"/>
        <v>30.633755274261606</v>
      </c>
      <c r="DG79" s="207">
        <f t="shared" si="123"/>
        <v>39.483638293034183</v>
      </c>
      <c r="DH79" s="771">
        <f t="shared" ref="DH79:DQ79" si="129">(DH51*DH24)/1000</f>
        <v>194.36577251747934</v>
      </c>
      <c r="DI79" s="771">
        <f t="shared" si="129"/>
        <v>50.990379746835437</v>
      </c>
      <c r="DJ79" s="771">
        <f t="shared" si="129"/>
        <v>38.909810126582279</v>
      </c>
      <c r="DK79" s="771">
        <f t="shared" si="129"/>
        <v>35.535156118143462</v>
      </c>
      <c r="DL79" s="207">
        <f t="shared" si="129"/>
        <v>196.05603375527426</v>
      </c>
      <c r="DM79" s="207">
        <f t="shared" si="129"/>
        <v>166.06543660158766</v>
      </c>
      <c r="DN79" s="771">
        <f t="shared" si="129"/>
        <v>101.85222320729913</v>
      </c>
      <c r="DO79" s="771">
        <f t="shared" si="129"/>
        <v>89.041896800748134</v>
      </c>
      <c r="DP79" s="771">
        <f t="shared" si="129"/>
        <v>95.93388902043975</v>
      </c>
      <c r="DQ79" s="771">
        <f t="shared" si="129"/>
        <v>107.89621124003975</v>
      </c>
      <c r="DR79" s="191">
        <f t="shared" si="117"/>
        <v>12.091607864260704</v>
      </c>
      <c r="DS79" s="191">
        <f>(DS51*DS24)/1000</f>
        <v>8.0429719317556412</v>
      </c>
      <c r="DT79" s="774">
        <f>(DT51*DT24)/1000</f>
        <v>73.767221626260465</v>
      </c>
      <c r="DU79" s="774">
        <f>(DU51*DU24)/1000</f>
        <v>108.27077600440285</v>
      </c>
      <c r="DV79" s="771">
        <f>(DV50*DV23)/1000</f>
        <v>23.423153034300789</v>
      </c>
      <c r="DW79" s="771">
        <f>(DW51*DW24)/1000</f>
        <v>32.100593354430373</v>
      </c>
      <c r="DX79" s="191">
        <f t="shared" si="118"/>
        <v>60.156703317010077</v>
      </c>
      <c r="DY79" s="191">
        <f>(DY51*DY24)/1000</f>
        <v>97.952002596559552</v>
      </c>
      <c r="DZ79" s="774">
        <f>(DZ51*DZ24)/1000</f>
        <v>62.562374508948061</v>
      </c>
      <c r="EA79" s="774">
        <f>(EA51*EA24)/1000</f>
        <v>150.035187652676</v>
      </c>
      <c r="EB79" s="771">
        <f>(EB50*EB23)/1000</f>
        <v>51.875245579567789</v>
      </c>
      <c r="EC79" s="771">
        <f>(EC51*EC24)/1000</f>
        <v>219.63028712565603</v>
      </c>
    </row>
    <row r="80" spans="1:138">
      <c r="A80" s="192" t="s">
        <v>39</v>
      </c>
      <c r="B80" s="207">
        <f t="shared" ref="B80:AG80" si="130">(B52*B25)/1000</f>
        <v>13.20021551724138</v>
      </c>
      <c r="C80" s="207">
        <f t="shared" si="130"/>
        <v>0</v>
      </c>
      <c r="D80" s="207">
        <f t="shared" si="130"/>
        <v>8.9661841249186729</v>
      </c>
      <c r="E80" s="207">
        <f t="shared" si="130"/>
        <v>0.38983409238776839</v>
      </c>
      <c r="F80" s="207">
        <f t="shared" si="130"/>
        <v>31.680517241379313</v>
      </c>
      <c r="G80" s="207">
        <f t="shared" si="130"/>
        <v>14.002244673841425</v>
      </c>
      <c r="H80" s="207">
        <f t="shared" si="130"/>
        <v>0</v>
      </c>
      <c r="I80" s="207">
        <f t="shared" si="130"/>
        <v>0</v>
      </c>
      <c r="J80" s="207">
        <f t="shared" si="130"/>
        <v>40.950139794967377</v>
      </c>
      <c r="K80" s="207">
        <f t="shared" si="130"/>
        <v>20.494584260289212</v>
      </c>
      <c r="L80" s="207">
        <f t="shared" si="130"/>
        <v>0</v>
      </c>
      <c r="M80" s="207">
        <f t="shared" si="130"/>
        <v>5.8043368915218245</v>
      </c>
      <c r="N80" s="207">
        <f t="shared" si="130"/>
        <v>4.7860368663594475</v>
      </c>
      <c r="O80" s="207">
        <f t="shared" si="130"/>
        <v>0</v>
      </c>
      <c r="P80" s="207">
        <f t="shared" si="130"/>
        <v>17.163465988629547</v>
      </c>
      <c r="Q80" s="207">
        <f t="shared" si="130"/>
        <v>3.3812678318375058</v>
      </c>
      <c r="R80" s="207">
        <f t="shared" si="130"/>
        <v>2.3860711376595165</v>
      </c>
      <c r="S80" s="207">
        <f t="shared" si="130"/>
        <v>0</v>
      </c>
      <c r="T80" s="207">
        <f t="shared" si="130"/>
        <v>0</v>
      </c>
      <c r="U80" s="207">
        <f t="shared" si="130"/>
        <v>0</v>
      </c>
      <c r="V80" s="207">
        <f t="shared" si="130"/>
        <v>0</v>
      </c>
      <c r="W80" s="207">
        <f t="shared" si="130"/>
        <v>0</v>
      </c>
      <c r="X80" s="207">
        <f t="shared" si="130"/>
        <v>1.7120397428404439</v>
      </c>
      <c r="Y80" s="207">
        <f t="shared" si="130"/>
        <v>0</v>
      </c>
      <c r="Z80" s="207">
        <f t="shared" si="130"/>
        <v>17.163465988629547</v>
      </c>
      <c r="AA80" s="207">
        <f t="shared" si="130"/>
        <v>3.3812678318375058</v>
      </c>
      <c r="AB80" s="207">
        <f t="shared" si="130"/>
        <v>4.9070366379310348</v>
      </c>
      <c r="AC80" s="207">
        <f t="shared" si="130"/>
        <v>0</v>
      </c>
      <c r="AD80" s="207">
        <f t="shared" si="130"/>
        <v>0</v>
      </c>
      <c r="AE80" s="207">
        <f t="shared" si="130"/>
        <v>37.543846328481699</v>
      </c>
      <c r="AF80" s="207">
        <f t="shared" si="130"/>
        <v>0</v>
      </c>
      <c r="AG80" s="207">
        <f t="shared" si="130"/>
        <v>42.512771392081724</v>
      </c>
      <c r="AH80" s="207">
        <f t="shared" ref="AH80:BM80" si="131">(AH52*AH25)/1000</f>
        <v>1.4607205096705995</v>
      </c>
      <c r="AI80" s="207">
        <f t="shared" si="131"/>
        <v>1.9321530467642889</v>
      </c>
      <c r="AJ80" s="207">
        <f t="shared" si="131"/>
        <v>19.185406403940888</v>
      </c>
      <c r="AK80" s="207">
        <f t="shared" si="131"/>
        <v>0</v>
      </c>
      <c r="AL80" s="207">
        <f t="shared" si="131"/>
        <v>53.337537598960459</v>
      </c>
      <c r="AM80" s="207">
        <f t="shared" si="131"/>
        <v>133.89743384121888</v>
      </c>
      <c r="AN80" s="207">
        <f t="shared" si="131"/>
        <v>0</v>
      </c>
      <c r="AO80" s="207">
        <f t="shared" si="131"/>
        <v>0</v>
      </c>
      <c r="AP80" s="207">
        <f t="shared" si="131"/>
        <v>0</v>
      </c>
      <c r="AQ80" s="207">
        <f t="shared" si="131"/>
        <v>0</v>
      </c>
      <c r="AR80" s="207">
        <f t="shared" si="131"/>
        <v>0</v>
      </c>
      <c r="AS80" s="207">
        <f t="shared" si="131"/>
        <v>0</v>
      </c>
      <c r="AT80" s="207">
        <f t="shared" si="131"/>
        <v>0</v>
      </c>
      <c r="AU80" s="207">
        <f t="shared" si="131"/>
        <v>0</v>
      </c>
      <c r="AV80" s="207">
        <f t="shared" si="131"/>
        <v>0</v>
      </c>
      <c r="AW80" s="207">
        <f t="shared" si="131"/>
        <v>0</v>
      </c>
      <c r="AX80" s="207">
        <f t="shared" si="131"/>
        <v>17.163465988629547</v>
      </c>
      <c r="AY80" s="207">
        <f t="shared" si="131"/>
        <v>0</v>
      </c>
      <c r="AZ80" s="207">
        <f t="shared" si="131"/>
        <v>6.8698512931034479</v>
      </c>
      <c r="BA80" s="207">
        <f t="shared" si="131"/>
        <v>5.8043368915218245</v>
      </c>
      <c r="BB80" s="207">
        <f t="shared" si="131"/>
        <v>31.680517241379313</v>
      </c>
      <c r="BC80" s="207">
        <f t="shared" si="131"/>
        <v>14.002244673841425</v>
      </c>
      <c r="BD80" s="207">
        <f t="shared" si="131"/>
        <v>2.922438000968314</v>
      </c>
      <c r="BE80" s="207">
        <f t="shared" si="131"/>
        <v>9.3198147195059189</v>
      </c>
      <c r="BF80" s="207">
        <f t="shared" si="131"/>
        <v>37.014671814671814</v>
      </c>
      <c r="BG80" s="207">
        <f t="shared" si="131"/>
        <v>116.45407523510971</v>
      </c>
      <c r="BH80" s="207">
        <f t="shared" si="131"/>
        <v>126.82672998643149</v>
      </c>
      <c r="BI80" s="207">
        <f t="shared" si="131"/>
        <v>0</v>
      </c>
      <c r="BJ80" s="207">
        <f t="shared" si="131"/>
        <v>86.015243541020197</v>
      </c>
      <c r="BK80" s="207">
        <f t="shared" si="131"/>
        <v>35.650709939148072</v>
      </c>
      <c r="BL80" s="207">
        <f t="shared" si="131"/>
        <v>96.63176820999611</v>
      </c>
      <c r="BM80" s="207">
        <f t="shared" si="131"/>
        <v>114.62326859744283</v>
      </c>
      <c r="BN80" s="207">
        <f t="shared" ref="BN80:CS80" si="132">(BN52*BN25)/1000</f>
        <v>82.223996110053065</v>
      </c>
      <c r="BO80" s="207">
        <f t="shared" si="132"/>
        <v>26.206740344437069</v>
      </c>
      <c r="BP80" s="207">
        <f t="shared" si="132"/>
        <v>13.492869070132377</v>
      </c>
      <c r="BQ80" s="207">
        <f t="shared" si="132"/>
        <v>23.367352498386978</v>
      </c>
      <c r="BR80" s="207">
        <f t="shared" si="132"/>
        <v>27.351502463054182</v>
      </c>
      <c r="BS80" s="207">
        <f t="shared" si="132"/>
        <v>24.736120592684532</v>
      </c>
      <c r="BT80" s="207">
        <f t="shared" si="132"/>
        <v>49.94363681468618</v>
      </c>
      <c r="BU80" s="207">
        <f t="shared" si="132"/>
        <v>97.843506998444795</v>
      </c>
      <c r="BV80" s="207">
        <f t="shared" si="132"/>
        <v>0</v>
      </c>
      <c r="BW80" s="207">
        <f t="shared" si="132"/>
        <v>66.133521220159153</v>
      </c>
      <c r="BX80" s="207">
        <f t="shared" si="132"/>
        <v>8.9661841249186729</v>
      </c>
      <c r="BY80" s="207">
        <f t="shared" si="132"/>
        <v>0</v>
      </c>
      <c r="BZ80" s="207">
        <f t="shared" si="132"/>
        <v>2.1667183262301433</v>
      </c>
      <c r="CA80" s="207">
        <f t="shared" si="132"/>
        <v>0</v>
      </c>
      <c r="CB80" s="207">
        <f t="shared" si="132"/>
        <v>23.228366279585142</v>
      </c>
      <c r="CC80" s="207">
        <f t="shared" si="132"/>
        <v>27.295103884014342</v>
      </c>
      <c r="CD80" s="207">
        <f t="shared" si="132"/>
        <v>34.198215207516007</v>
      </c>
      <c r="CE80" s="207">
        <f t="shared" si="132"/>
        <v>45.582285572015437</v>
      </c>
      <c r="CF80" s="207">
        <f t="shared" si="132"/>
        <v>103.59610357276235</v>
      </c>
      <c r="CG80" s="207">
        <f t="shared" si="132"/>
        <v>31.112089039568179</v>
      </c>
      <c r="CH80" s="207">
        <f t="shared" si="132"/>
        <v>58.182488395225477</v>
      </c>
      <c r="CI80" s="207">
        <f t="shared" si="132"/>
        <v>81.187614001563446</v>
      </c>
      <c r="CJ80" s="207">
        <f t="shared" si="132"/>
        <v>90.35834482758618</v>
      </c>
      <c r="CK80" s="207">
        <f t="shared" si="132"/>
        <v>100.73524720563626</v>
      </c>
      <c r="CL80" s="207">
        <f t="shared" si="132"/>
        <v>67.343897853350157</v>
      </c>
      <c r="CM80" s="207">
        <f t="shared" si="132"/>
        <v>31.475211662461451</v>
      </c>
      <c r="CN80" s="207">
        <f t="shared" si="132"/>
        <v>28.596170865071592</v>
      </c>
      <c r="CO80" s="207">
        <f t="shared" si="132"/>
        <v>72.214617768595019</v>
      </c>
      <c r="CP80" s="771">
        <f t="shared" si="132"/>
        <v>32.727807067540603</v>
      </c>
      <c r="CQ80" s="771">
        <f t="shared" si="132"/>
        <v>43.755655101168415</v>
      </c>
      <c r="CR80" s="771">
        <f t="shared" si="132"/>
        <v>51.226132801367903</v>
      </c>
      <c r="CS80" s="771">
        <f t="shared" si="132"/>
        <v>0.75682076544145516</v>
      </c>
      <c r="CT80" s="207">
        <f t="shared" ref="CT80:DE80" si="133">(CT52*CT25)/1000</f>
        <v>24.33001933612633</v>
      </c>
      <c r="CU80" s="207">
        <f t="shared" si="133"/>
        <v>6.4527493010251638</v>
      </c>
      <c r="CV80" s="771">
        <f t="shared" si="133"/>
        <v>19.358724413793102</v>
      </c>
      <c r="CW80" s="771">
        <f t="shared" si="133"/>
        <v>3.0113571310344822</v>
      </c>
      <c r="CX80" s="771">
        <f t="shared" si="133"/>
        <v>37.035617215189873</v>
      </c>
      <c r="CY80" s="771">
        <f t="shared" si="133"/>
        <v>1.7207755034482757</v>
      </c>
      <c r="CZ80" s="207">
        <f t="shared" si="133"/>
        <v>0</v>
      </c>
      <c r="DA80" s="207">
        <f t="shared" si="133"/>
        <v>0</v>
      </c>
      <c r="DB80" s="771">
        <f t="shared" si="133"/>
        <v>0</v>
      </c>
      <c r="DC80" s="771">
        <f t="shared" si="133"/>
        <v>0</v>
      </c>
      <c r="DD80" s="771">
        <f t="shared" si="133"/>
        <v>0</v>
      </c>
      <c r="DE80" s="771">
        <f t="shared" si="133"/>
        <v>0</v>
      </c>
      <c r="DF80" s="207">
        <f t="shared" si="123"/>
        <v>17.555815078432726</v>
      </c>
      <c r="DG80" s="207">
        <f t="shared" si="123"/>
        <v>10.7746121924711</v>
      </c>
      <c r="DH80" s="771">
        <f t="shared" ref="DH80:DQ80" si="134">(DH52*DH25)/1000</f>
        <v>18.837156452714236</v>
      </c>
      <c r="DI80" s="771">
        <f t="shared" si="134"/>
        <v>53.851431911163068</v>
      </c>
      <c r="DJ80" s="771">
        <f t="shared" si="134"/>
        <v>26.862885371118615</v>
      </c>
      <c r="DK80" s="771">
        <f t="shared" si="134"/>
        <v>7.3190199212820541</v>
      </c>
      <c r="DL80" s="207">
        <f t="shared" si="134"/>
        <v>23.15319118334472</v>
      </c>
      <c r="DM80" s="207">
        <f t="shared" si="134"/>
        <v>24.93801648738313</v>
      </c>
      <c r="DN80" s="771">
        <f t="shared" si="134"/>
        <v>24.859865309002195</v>
      </c>
      <c r="DO80" s="771">
        <f t="shared" si="134"/>
        <v>25.125986626966682</v>
      </c>
      <c r="DP80" s="771">
        <f t="shared" si="134"/>
        <v>21.372992335571851</v>
      </c>
      <c r="DQ80" s="771">
        <f t="shared" si="134"/>
        <v>20.512333874374001</v>
      </c>
      <c r="DR80" s="191">
        <f t="shared" si="117"/>
        <v>10.055644421135437</v>
      </c>
      <c r="DS80" s="191">
        <f>(DS52*DS25)/1000</f>
        <v>8.2551019609378038</v>
      </c>
      <c r="DT80" s="774">
        <f>(DT52*DT25)/1000</f>
        <v>10.414592094196802</v>
      </c>
      <c r="DU80" s="774">
        <v>0</v>
      </c>
      <c r="DV80" s="771">
        <f>(DV52*DV23)/1000</f>
        <v>7.8214757709251108</v>
      </c>
      <c r="DW80" s="771">
        <v>0</v>
      </c>
      <c r="DX80" s="191">
        <f t="shared" si="118"/>
        <v>10.755455105239589</v>
      </c>
      <c r="DY80" s="191">
        <f>(DY52*DY25)/1000</f>
        <v>28.394655001537885</v>
      </c>
      <c r="DZ80" s="774">
        <f>(DZ52*DZ25)/1000</f>
        <v>31.506825766002635</v>
      </c>
      <c r="EA80" s="774">
        <v>0</v>
      </c>
      <c r="EB80" s="771">
        <f>(EB52*EB23)/1000</f>
        <v>38.901657458563541</v>
      </c>
      <c r="EC80" s="771">
        <v>0</v>
      </c>
    </row>
    <row r="81" spans="1:138">
      <c r="A81" s="192" t="s">
        <v>40</v>
      </c>
      <c r="B81" s="207">
        <f t="shared" ref="B81:AG81" si="135">(B53*B26)/1000</f>
        <v>92.821012658227843</v>
      </c>
      <c r="C81" s="207">
        <f t="shared" si="135"/>
        <v>83.739972752043599</v>
      </c>
      <c r="D81" s="207">
        <f t="shared" si="135"/>
        <v>35.633204633204635</v>
      </c>
      <c r="E81" s="207">
        <f t="shared" si="135"/>
        <v>51.624515503875976</v>
      </c>
      <c r="F81" s="207">
        <f t="shared" si="135"/>
        <v>13.21425</v>
      </c>
      <c r="G81" s="207">
        <f t="shared" si="135"/>
        <v>26.4285</v>
      </c>
      <c r="H81" s="207">
        <f t="shared" si="135"/>
        <v>48.107366946778711</v>
      </c>
      <c r="I81" s="207">
        <f t="shared" si="135"/>
        <v>67.281824925816039</v>
      </c>
      <c r="J81" s="207">
        <f t="shared" si="135"/>
        <v>18.643360465116281</v>
      </c>
      <c r="K81" s="207">
        <f t="shared" si="135"/>
        <v>90.338837209302326</v>
      </c>
      <c r="L81" s="207">
        <f t="shared" si="135"/>
        <v>0</v>
      </c>
      <c r="M81" s="207">
        <f t="shared" si="135"/>
        <v>70.220652173913052</v>
      </c>
      <c r="N81" s="207">
        <f t="shared" si="135"/>
        <v>74.446478873239457</v>
      </c>
      <c r="O81" s="207">
        <f t="shared" si="135"/>
        <v>0</v>
      </c>
      <c r="P81" s="207">
        <f t="shared" si="135"/>
        <v>84.23947976878614</v>
      </c>
      <c r="Q81" s="207">
        <f t="shared" si="135"/>
        <v>119.05012468827931</v>
      </c>
      <c r="R81" s="207">
        <f t="shared" si="135"/>
        <v>17.287954070981215</v>
      </c>
      <c r="S81" s="207">
        <f t="shared" si="135"/>
        <v>75.536719745222939</v>
      </c>
      <c r="T81" s="207">
        <f t="shared" si="135"/>
        <v>0</v>
      </c>
      <c r="U81" s="207">
        <f t="shared" si="135"/>
        <v>0</v>
      </c>
      <c r="V81" s="207">
        <f t="shared" si="135"/>
        <v>0</v>
      </c>
      <c r="W81" s="207">
        <f t="shared" si="135"/>
        <v>0</v>
      </c>
      <c r="X81" s="207">
        <f t="shared" si="135"/>
        <v>29.625273722627739</v>
      </c>
      <c r="Y81" s="207">
        <f t="shared" si="135"/>
        <v>0</v>
      </c>
      <c r="Z81" s="207">
        <f t="shared" si="135"/>
        <v>56.159653179190755</v>
      </c>
      <c r="AA81" s="207">
        <f t="shared" si="135"/>
        <v>95.478200000000001</v>
      </c>
      <c r="AB81" s="207">
        <f t="shared" si="135"/>
        <v>69.133600000000001</v>
      </c>
      <c r="AC81" s="207">
        <f t="shared" si="135"/>
        <v>0</v>
      </c>
      <c r="AD81" s="207">
        <f t="shared" si="135"/>
        <v>0</v>
      </c>
      <c r="AE81" s="207">
        <f t="shared" si="135"/>
        <v>20.389137022397897</v>
      </c>
      <c r="AF81" s="207">
        <f t="shared" si="135"/>
        <v>0</v>
      </c>
      <c r="AG81" s="207">
        <f t="shared" si="135"/>
        <v>63.49965753424658</v>
      </c>
      <c r="AH81" s="207">
        <f t="shared" ref="AH81:BM81" si="136">(AH53*AH26)/1000</f>
        <v>25.606473988439308</v>
      </c>
      <c r="AI81" s="207">
        <f t="shared" si="136"/>
        <v>61.750399999999999</v>
      </c>
      <c r="AJ81" s="207">
        <f t="shared" si="136"/>
        <v>36.906925956738768</v>
      </c>
      <c r="AK81" s="207">
        <f t="shared" si="136"/>
        <v>26.829810298102981</v>
      </c>
      <c r="AL81" s="207">
        <f t="shared" si="136"/>
        <v>3.0432241813602019</v>
      </c>
      <c r="AM81" s="207">
        <f t="shared" si="136"/>
        <v>86.739692307692309</v>
      </c>
      <c r="AN81" s="207">
        <f t="shared" si="136"/>
        <v>0</v>
      </c>
      <c r="AO81" s="207">
        <f t="shared" si="136"/>
        <v>0</v>
      </c>
      <c r="AP81" s="207">
        <f t="shared" si="136"/>
        <v>0</v>
      </c>
      <c r="AQ81" s="207">
        <f t="shared" si="136"/>
        <v>0</v>
      </c>
      <c r="AR81" s="207">
        <f t="shared" si="136"/>
        <v>0</v>
      </c>
      <c r="AS81" s="207">
        <f t="shared" si="136"/>
        <v>0</v>
      </c>
      <c r="AT81" s="207">
        <f t="shared" si="136"/>
        <v>0</v>
      </c>
      <c r="AU81" s="207">
        <f t="shared" si="136"/>
        <v>0</v>
      </c>
      <c r="AV81" s="207">
        <f t="shared" si="136"/>
        <v>0</v>
      </c>
      <c r="AW81" s="207">
        <f t="shared" si="136"/>
        <v>0</v>
      </c>
      <c r="AX81" s="207">
        <f t="shared" si="136"/>
        <v>56.159653179190755</v>
      </c>
      <c r="AY81" s="207">
        <f t="shared" si="136"/>
        <v>0</v>
      </c>
      <c r="AZ81" s="207">
        <f t="shared" si="136"/>
        <v>31.934437500000001</v>
      </c>
      <c r="BA81" s="207">
        <f t="shared" si="136"/>
        <v>66.709619565217409</v>
      </c>
      <c r="BB81" s="207">
        <f t="shared" si="136"/>
        <v>13.21425</v>
      </c>
      <c r="BC81" s="207">
        <f t="shared" si="136"/>
        <v>26.4285</v>
      </c>
      <c r="BD81" s="207">
        <f t="shared" si="136"/>
        <v>15.455263157894738</v>
      </c>
      <c r="BE81" s="207">
        <f t="shared" si="136"/>
        <v>18.289543676662323</v>
      </c>
      <c r="BF81" s="207">
        <f t="shared" si="136"/>
        <v>37.128987993138942</v>
      </c>
      <c r="BG81" s="207">
        <f t="shared" si="136"/>
        <v>31.68825831702544</v>
      </c>
      <c r="BH81" s="207">
        <f t="shared" si="136"/>
        <v>22.611347517730493</v>
      </c>
      <c r="BI81" s="207">
        <f t="shared" si="136"/>
        <v>5.0021680216802169</v>
      </c>
      <c r="BJ81" s="207">
        <f t="shared" si="136"/>
        <v>8.3265595463137991</v>
      </c>
      <c r="BK81" s="207">
        <f t="shared" si="136"/>
        <v>19.391981132075475</v>
      </c>
      <c r="BL81" s="207">
        <f t="shared" si="136"/>
        <v>25.589500000000005</v>
      </c>
      <c r="BM81" s="207">
        <f t="shared" si="136"/>
        <v>26.342132352941178</v>
      </c>
      <c r="BN81" s="207">
        <f t="shared" ref="BN81:CS81" si="137">(BN53*BN26)/1000</f>
        <v>21.345583038869268</v>
      </c>
      <c r="BO81" s="207">
        <f t="shared" si="137"/>
        <v>52.660638297872339</v>
      </c>
      <c r="BP81" s="207">
        <f t="shared" si="137"/>
        <v>59.506167400881061</v>
      </c>
      <c r="BQ81" s="207">
        <f t="shared" si="137"/>
        <v>143.07157894736844</v>
      </c>
      <c r="BR81" s="207">
        <f t="shared" si="137"/>
        <v>23.065292096219931</v>
      </c>
      <c r="BS81" s="207">
        <f t="shared" si="137"/>
        <v>62.380194805194805</v>
      </c>
      <c r="BT81" s="207">
        <f t="shared" si="137"/>
        <v>38.799324894514768</v>
      </c>
      <c r="BU81" s="207">
        <f t="shared" si="137"/>
        <v>29.391055900621119</v>
      </c>
      <c r="BV81" s="207">
        <f t="shared" si="137"/>
        <v>50.764810126582276</v>
      </c>
      <c r="BW81" s="207">
        <f t="shared" si="137"/>
        <v>4.7322343324250689</v>
      </c>
      <c r="BX81" s="207">
        <f t="shared" si="137"/>
        <v>51.830115830115844</v>
      </c>
      <c r="BY81" s="207">
        <f t="shared" si="137"/>
        <v>61.38032945736434</v>
      </c>
      <c r="BZ81" s="207">
        <f t="shared" si="137"/>
        <v>42.411450000000002</v>
      </c>
      <c r="CA81" s="207">
        <f t="shared" si="137"/>
        <v>13.81123076923077</v>
      </c>
      <c r="CB81" s="207">
        <f t="shared" si="137"/>
        <v>42.2171974522293</v>
      </c>
      <c r="CC81" s="207">
        <f t="shared" si="137"/>
        <v>25.768447552447558</v>
      </c>
      <c r="CD81" s="207">
        <f t="shared" si="137"/>
        <v>25.715479876160995</v>
      </c>
      <c r="CE81" s="207">
        <f t="shared" si="137"/>
        <v>34.252204836415366</v>
      </c>
      <c r="CF81" s="207">
        <f t="shared" si="137"/>
        <v>16.350355618776675</v>
      </c>
      <c r="CG81" s="207">
        <f t="shared" si="137"/>
        <v>38.461257606490875</v>
      </c>
      <c r="CH81" s="207">
        <f t="shared" si="137"/>
        <v>28.675299806576405</v>
      </c>
      <c r="CI81" s="207">
        <f t="shared" si="137"/>
        <v>29.947956403269753</v>
      </c>
      <c r="CJ81" s="207">
        <f t="shared" si="137"/>
        <v>48.038437001594893</v>
      </c>
      <c r="CK81" s="207">
        <f t="shared" si="137"/>
        <v>22.752542372881358</v>
      </c>
      <c r="CL81" s="207">
        <f t="shared" si="137"/>
        <v>16.275683060109287</v>
      </c>
      <c r="CM81" s="207">
        <f t="shared" si="137"/>
        <v>49.363201663201657</v>
      </c>
      <c r="CN81" s="207">
        <f t="shared" si="137"/>
        <v>12.647611940298509</v>
      </c>
      <c r="CO81" s="207">
        <f t="shared" si="137"/>
        <v>18.073320158102764</v>
      </c>
      <c r="CP81" s="771">
        <f t="shared" si="137"/>
        <v>34.395785440613025</v>
      </c>
      <c r="CQ81" s="771">
        <f t="shared" si="137"/>
        <v>51.336831683168327</v>
      </c>
      <c r="CR81" s="771">
        <f t="shared" si="137"/>
        <v>44.167230443974638</v>
      </c>
      <c r="CS81" s="771">
        <f t="shared" si="137"/>
        <v>60.315207373271903</v>
      </c>
      <c r="CT81" s="207">
        <f t="shared" ref="CT81:DE81" si="138">(CT53*CT26)/1000</f>
        <v>33.164011799410034</v>
      </c>
      <c r="CU81" s="207">
        <f t="shared" si="138"/>
        <v>52.632189141856387</v>
      </c>
      <c r="CV81" s="771">
        <f t="shared" si="138"/>
        <v>44.638058252427186</v>
      </c>
      <c r="CW81" s="771">
        <f t="shared" si="138"/>
        <v>34.242113821138219</v>
      </c>
      <c r="CX81" s="771">
        <f t="shared" si="138"/>
        <v>43.535319767441877</v>
      </c>
      <c r="CY81" s="771">
        <f t="shared" si="138"/>
        <v>34.120771208226223</v>
      </c>
      <c r="CZ81" s="207">
        <f t="shared" si="138"/>
        <v>0</v>
      </c>
      <c r="DA81" s="207">
        <f t="shared" si="138"/>
        <v>0</v>
      </c>
      <c r="DB81" s="771">
        <f t="shared" si="138"/>
        <v>0</v>
      </c>
      <c r="DC81" s="771">
        <f t="shared" si="138"/>
        <v>25.73923303834809</v>
      </c>
      <c r="DD81" s="771">
        <f t="shared" si="138"/>
        <v>18.536046511627909</v>
      </c>
      <c r="DE81" s="771">
        <f t="shared" si="138"/>
        <v>41.085736925515057</v>
      </c>
      <c r="DF81" s="207">
        <f t="shared" si="123"/>
        <v>8.8094999999999999</v>
      </c>
      <c r="DG81" s="207">
        <f t="shared" si="123"/>
        <v>11.682278481012661</v>
      </c>
      <c r="DH81" s="771">
        <f t="shared" ref="DH81:DQ81" si="139">(DH53*DH26)/1000</f>
        <v>7.8896788990825693</v>
      </c>
      <c r="DI81" s="771">
        <f t="shared" si="139"/>
        <v>9.7463233190271836</v>
      </c>
      <c r="DJ81" s="771">
        <f t="shared" si="139"/>
        <v>24.101003861003861</v>
      </c>
      <c r="DK81" s="771">
        <f t="shared" si="139"/>
        <v>22.746222222222222</v>
      </c>
      <c r="DL81" s="207">
        <f t="shared" si="139"/>
        <v>19.36669329073483</v>
      </c>
      <c r="DM81" s="207">
        <f t="shared" si="139"/>
        <v>25.694375000000001</v>
      </c>
      <c r="DN81" s="771">
        <f t="shared" si="139"/>
        <v>19.520265213455723</v>
      </c>
      <c r="DO81" s="771">
        <f t="shared" si="139"/>
        <v>20.379253846044882</v>
      </c>
      <c r="DP81" s="771">
        <f t="shared" si="139"/>
        <v>22.520252838218013</v>
      </c>
      <c r="DQ81" s="771">
        <f t="shared" si="139"/>
        <v>22.232994031986781</v>
      </c>
      <c r="DR81" s="191">
        <f t="shared" si="117"/>
        <v>24.096496894409945</v>
      </c>
      <c r="DS81" s="191">
        <f>(DS53*DS26)/1000</f>
        <v>12.161651376146789</v>
      </c>
      <c r="DT81" s="774">
        <f>(DT53*DT26)/1000</f>
        <v>14.641798188874516</v>
      </c>
      <c r="DU81" s="774">
        <f>(DU53*DU26)/1000</f>
        <v>26.4251968503937</v>
      </c>
      <c r="DV81" s="771">
        <f>(DV53*DV26)/1000</f>
        <v>16.718534798534797</v>
      </c>
      <c r="DW81" s="771">
        <f>(DW53*DW26)/1000</f>
        <v>19.860386473429955</v>
      </c>
      <c r="DX81" s="191">
        <f t="shared" si="118"/>
        <v>19.567557003257331</v>
      </c>
      <c r="DY81" s="191">
        <f>(DY53*DY26)/1000</f>
        <v>30.366791044776122</v>
      </c>
      <c r="DZ81" s="774">
        <f>(DZ53*DZ26)/1000</f>
        <v>13.023283582089554</v>
      </c>
      <c r="EA81" s="774">
        <f>(EA53*EA26)/1000</f>
        <v>30.788990825688078</v>
      </c>
      <c r="EB81" s="771">
        <f>(EB53*EB26)/1000</f>
        <v>20.903412969283281</v>
      </c>
      <c r="EC81" s="771">
        <f>(EC53*EC26)/1000</f>
        <v>12.096012269938653</v>
      </c>
    </row>
    <row r="82" spans="1:138">
      <c r="A82" s="192" t="s">
        <v>41</v>
      </c>
      <c r="B82" s="207">
        <f t="shared" ref="B82:AG82" si="140">(B54*B27)/1000</f>
        <v>28.326845093268449</v>
      </c>
      <c r="C82" s="207">
        <f t="shared" si="140"/>
        <v>22.991686942416869</v>
      </c>
      <c r="D82" s="207">
        <f t="shared" si="140"/>
        <v>3.1238172479048383</v>
      </c>
      <c r="E82" s="207">
        <f t="shared" si="140"/>
        <v>0</v>
      </c>
      <c r="F82" s="207">
        <f t="shared" si="140"/>
        <v>7.1242724867724858</v>
      </c>
      <c r="G82" s="207">
        <f t="shared" si="140"/>
        <v>112.97980419389977</v>
      </c>
      <c r="H82" s="207">
        <f t="shared" si="140"/>
        <v>0</v>
      </c>
      <c r="I82" s="207">
        <f t="shared" si="140"/>
        <v>0</v>
      </c>
      <c r="J82" s="207">
        <f t="shared" si="140"/>
        <v>0</v>
      </c>
      <c r="K82" s="207">
        <f t="shared" si="140"/>
        <v>35.447192982456144</v>
      </c>
      <c r="L82" s="207">
        <f t="shared" si="140"/>
        <v>0</v>
      </c>
      <c r="M82" s="207">
        <f t="shared" si="140"/>
        <v>21.296466253331161</v>
      </c>
      <c r="N82" s="207">
        <f t="shared" si="140"/>
        <v>19.851294065149482</v>
      </c>
      <c r="O82" s="207">
        <f t="shared" si="140"/>
        <v>0</v>
      </c>
      <c r="P82" s="207">
        <f t="shared" si="140"/>
        <v>64.780965404616936</v>
      </c>
      <c r="Q82" s="207">
        <f t="shared" si="140"/>
        <v>30.054145011947426</v>
      </c>
      <c r="R82" s="207">
        <f t="shared" si="140"/>
        <v>1.9701378691466793</v>
      </c>
      <c r="S82" s="207">
        <f t="shared" si="140"/>
        <v>215.57900238948628</v>
      </c>
      <c r="T82" s="207">
        <f t="shared" si="140"/>
        <v>0</v>
      </c>
      <c r="U82" s="207">
        <f t="shared" si="140"/>
        <v>0</v>
      </c>
      <c r="V82" s="207">
        <f t="shared" si="140"/>
        <v>0</v>
      </c>
      <c r="W82" s="207">
        <f t="shared" si="140"/>
        <v>0</v>
      </c>
      <c r="X82" s="207">
        <f t="shared" si="140"/>
        <v>8.191124205013093</v>
      </c>
      <c r="Y82" s="207">
        <f t="shared" si="140"/>
        <v>0</v>
      </c>
      <c r="Z82" s="207">
        <f t="shared" si="140"/>
        <v>42.327840849979182</v>
      </c>
      <c r="AA82" s="207">
        <f t="shared" si="140"/>
        <v>30.054145011947426</v>
      </c>
      <c r="AB82" s="207">
        <f t="shared" si="140"/>
        <v>0.72356182795698909</v>
      </c>
      <c r="AC82" s="207">
        <f t="shared" si="140"/>
        <v>0</v>
      </c>
      <c r="AD82" s="207">
        <f t="shared" si="140"/>
        <v>18.678512544802864</v>
      </c>
      <c r="AE82" s="207">
        <f t="shared" si="140"/>
        <v>0</v>
      </c>
      <c r="AF82" s="207">
        <f t="shared" si="140"/>
        <v>0</v>
      </c>
      <c r="AG82" s="207">
        <f t="shared" si="140"/>
        <v>0</v>
      </c>
      <c r="AH82" s="207">
        <f t="shared" ref="AH82:BM82" si="141">(AH54*AH27)/1000</f>
        <v>0</v>
      </c>
      <c r="AI82" s="207">
        <f t="shared" si="141"/>
        <v>12.452341696535241</v>
      </c>
      <c r="AJ82" s="207">
        <f t="shared" si="141"/>
        <v>44.423056097032699</v>
      </c>
      <c r="AK82" s="207">
        <f t="shared" si="141"/>
        <v>14.798694779116467</v>
      </c>
      <c r="AL82" s="207">
        <f t="shared" si="141"/>
        <v>48.891120134530993</v>
      </c>
      <c r="AM82" s="207">
        <f t="shared" si="141"/>
        <v>14.784175084175084</v>
      </c>
      <c r="AN82" s="207">
        <f t="shared" si="141"/>
        <v>0</v>
      </c>
      <c r="AO82" s="207">
        <f t="shared" si="141"/>
        <v>0</v>
      </c>
      <c r="AP82" s="207">
        <f t="shared" si="141"/>
        <v>0</v>
      </c>
      <c r="AQ82" s="207">
        <f t="shared" si="141"/>
        <v>0</v>
      </c>
      <c r="AR82" s="207">
        <f t="shared" si="141"/>
        <v>0</v>
      </c>
      <c r="AS82" s="207">
        <f t="shared" si="141"/>
        <v>0</v>
      </c>
      <c r="AT82" s="207">
        <f t="shared" si="141"/>
        <v>0</v>
      </c>
      <c r="AU82" s="207">
        <f t="shared" si="141"/>
        <v>0</v>
      </c>
      <c r="AV82" s="207">
        <f t="shared" si="141"/>
        <v>0</v>
      </c>
      <c r="AW82" s="207">
        <f t="shared" si="141"/>
        <v>0</v>
      </c>
      <c r="AX82" s="207">
        <f t="shared" si="141"/>
        <v>42.327840849979182</v>
      </c>
      <c r="AY82" s="207">
        <f t="shared" si="141"/>
        <v>0</v>
      </c>
      <c r="AZ82" s="207">
        <f t="shared" si="141"/>
        <v>0</v>
      </c>
      <c r="BA82" s="207">
        <f t="shared" si="141"/>
        <v>9.1122804155109591</v>
      </c>
      <c r="BB82" s="207">
        <f t="shared" si="141"/>
        <v>3.6682539682539677</v>
      </c>
      <c r="BC82" s="207">
        <f t="shared" si="141"/>
        <v>6.5891023965141615</v>
      </c>
      <c r="BD82" s="207">
        <f t="shared" si="141"/>
        <v>0</v>
      </c>
      <c r="BE82" s="207">
        <f t="shared" si="141"/>
        <v>2.8530864197530863</v>
      </c>
      <c r="BF82" s="207">
        <f t="shared" si="141"/>
        <v>8.3544740024183817</v>
      </c>
      <c r="BG82" s="207">
        <f t="shared" si="141"/>
        <v>36.925711757463837</v>
      </c>
      <c r="BH82" s="207">
        <f t="shared" si="141"/>
        <v>27.605206540447504</v>
      </c>
      <c r="BI82" s="207">
        <f t="shared" si="141"/>
        <v>11.131766381766381</v>
      </c>
      <c r="BJ82" s="207">
        <f t="shared" si="141"/>
        <v>48.944119817028195</v>
      </c>
      <c r="BK82" s="207">
        <f t="shared" si="141"/>
        <v>43.008159149248257</v>
      </c>
      <c r="BL82" s="207">
        <f t="shared" si="141"/>
        <v>54.253083401249654</v>
      </c>
      <c r="BM82" s="207">
        <f t="shared" si="141"/>
        <v>298.04127647714608</v>
      </c>
      <c r="BN82" s="207">
        <f t="shared" ref="BN82:CS82" si="142">(BN54*BN27)/1000</f>
        <v>17.905159320672709</v>
      </c>
      <c r="BO82" s="207">
        <f t="shared" si="142"/>
        <v>56.008275575770703</v>
      </c>
      <c r="BP82" s="207">
        <f t="shared" si="142"/>
        <v>56.365045055773891</v>
      </c>
      <c r="BQ82" s="207">
        <f t="shared" si="142"/>
        <v>37.143600217864922</v>
      </c>
      <c r="BR82" s="207">
        <f t="shared" si="142"/>
        <v>41.744738841405507</v>
      </c>
      <c r="BS82" s="207">
        <f t="shared" si="142"/>
        <v>45.261246073081999</v>
      </c>
      <c r="BT82" s="207">
        <f t="shared" si="142"/>
        <v>54.8923611111111</v>
      </c>
      <c r="BU82" s="207">
        <f t="shared" si="142"/>
        <v>40.322500605180345</v>
      </c>
      <c r="BV82" s="207">
        <f t="shared" si="142"/>
        <v>18.742903487429032</v>
      </c>
      <c r="BW82" s="207">
        <f t="shared" si="142"/>
        <v>16.868613138686129</v>
      </c>
      <c r="BX82" s="207">
        <f t="shared" si="142"/>
        <v>0</v>
      </c>
      <c r="BY82" s="207">
        <f t="shared" si="142"/>
        <v>0</v>
      </c>
      <c r="BZ82" s="207">
        <f t="shared" si="142"/>
        <v>0</v>
      </c>
      <c r="CA82" s="207">
        <f t="shared" si="142"/>
        <v>9.8340425531914892</v>
      </c>
      <c r="CB82" s="207">
        <f t="shared" si="142"/>
        <v>14.998494894071024</v>
      </c>
      <c r="CC82" s="207">
        <f t="shared" si="142"/>
        <v>0.1519675925925926</v>
      </c>
      <c r="CD82" s="207">
        <f t="shared" si="142"/>
        <v>14.824018295403834</v>
      </c>
      <c r="CE82" s="207">
        <f t="shared" si="142"/>
        <v>11.625699733125041</v>
      </c>
      <c r="CF82" s="207">
        <f t="shared" si="142"/>
        <v>31.328435201458046</v>
      </c>
      <c r="CG82" s="207">
        <f t="shared" si="142"/>
        <v>16.689363458165687</v>
      </c>
      <c r="CH82" s="207">
        <f t="shared" si="142"/>
        <v>47.281188765073203</v>
      </c>
      <c r="CI82" s="207">
        <f t="shared" si="142"/>
        <v>79.849716914366596</v>
      </c>
      <c r="CJ82" s="207">
        <f t="shared" si="142"/>
        <v>66.670142524723659</v>
      </c>
      <c r="CK82" s="207">
        <f t="shared" si="142"/>
        <v>58.560664881749219</v>
      </c>
      <c r="CL82" s="207">
        <f t="shared" si="142"/>
        <v>37.257197330791229</v>
      </c>
      <c r="CM82" s="207">
        <f t="shared" si="142"/>
        <v>54.032864387004132</v>
      </c>
      <c r="CN82" s="207">
        <f t="shared" si="142"/>
        <v>26.639670404349307</v>
      </c>
      <c r="CO82" s="207">
        <f t="shared" si="142"/>
        <v>34.385687964524386</v>
      </c>
      <c r="CP82" s="771">
        <f t="shared" si="142"/>
        <v>18.765629427241446</v>
      </c>
      <c r="CQ82" s="771">
        <f t="shared" si="142"/>
        <v>451.45998677248684</v>
      </c>
      <c r="CR82" s="771">
        <f t="shared" si="142"/>
        <v>33.40309442343478</v>
      </c>
      <c r="CS82" s="771">
        <f t="shared" si="142"/>
        <v>0</v>
      </c>
      <c r="CT82" s="207">
        <f t="shared" ref="CT82:DE82" si="143">(CT54*CT27)/1000</f>
        <v>1.2068971726994415</v>
      </c>
      <c r="CU82" s="207">
        <f t="shared" si="143"/>
        <v>8.5712677831802626</v>
      </c>
      <c r="CV82" s="771">
        <f t="shared" si="143"/>
        <v>0</v>
      </c>
      <c r="CW82" s="771">
        <f t="shared" si="143"/>
        <v>0</v>
      </c>
      <c r="CX82" s="771">
        <f t="shared" si="143"/>
        <v>0</v>
      </c>
      <c r="CY82" s="771">
        <f t="shared" si="143"/>
        <v>0</v>
      </c>
      <c r="CZ82" s="207">
        <f t="shared" si="143"/>
        <v>0</v>
      </c>
      <c r="DA82" s="207">
        <f t="shared" si="143"/>
        <v>0</v>
      </c>
      <c r="DB82" s="771">
        <f t="shared" si="143"/>
        <v>0</v>
      </c>
      <c r="DC82" s="771">
        <f t="shared" si="143"/>
        <v>0</v>
      </c>
      <c r="DD82" s="771">
        <f t="shared" si="143"/>
        <v>47.423142895732042</v>
      </c>
      <c r="DE82" s="771">
        <f t="shared" si="143"/>
        <v>0.8213600866001699</v>
      </c>
      <c r="DF82" s="207">
        <f t="shared" si="123"/>
        <v>74.571907299741596</v>
      </c>
      <c r="DG82" s="207">
        <f t="shared" si="123"/>
        <v>20.753792678634287</v>
      </c>
      <c r="DH82" s="771">
        <f t="shared" ref="DH82:DQ82" si="144">(DH54*DH27)/1000</f>
        <v>21.982620898100173</v>
      </c>
      <c r="DI82" s="771">
        <f t="shared" si="144"/>
        <v>38.355574712643687</v>
      </c>
      <c r="DJ82" s="771">
        <f t="shared" si="144"/>
        <v>7.7032274590163912</v>
      </c>
      <c r="DK82" s="771">
        <f t="shared" si="144"/>
        <v>4.0065598932265596</v>
      </c>
      <c r="DL82" s="207">
        <f t="shared" si="144"/>
        <v>92.450035040774722</v>
      </c>
      <c r="DM82" s="207">
        <f t="shared" si="144"/>
        <v>18.234550658666112</v>
      </c>
      <c r="DN82" s="771">
        <f t="shared" si="144"/>
        <v>35.110303826876837</v>
      </c>
      <c r="DO82" s="771">
        <f t="shared" si="144"/>
        <v>37.485103819892103</v>
      </c>
      <c r="DP82" s="771">
        <f t="shared" si="144"/>
        <v>36.926478487738521</v>
      </c>
      <c r="DQ82" s="771">
        <f t="shared" si="144"/>
        <v>38.006153015387007</v>
      </c>
      <c r="DR82" s="191">
        <f t="shared" si="117"/>
        <v>1.9423076923076923</v>
      </c>
      <c r="DS82" s="191">
        <f>(DS54*DS27)/1000</f>
        <v>2.334222222222222</v>
      </c>
      <c r="DT82" s="774">
        <v>0</v>
      </c>
      <c r="DU82" s="774">
        <v>0</v>
      </c>
      <c r="DV82" s="771">
        <f>(DV53*DV26)/1000</f>
        <v>16.718534798534797</v>
      </c>
      <c r="DW82" s="771">
        <v>0</v>
      </c>
      <c r="DX82" s="191">
        <f t="shared" si="118"/>
        <v>22.789397240377635</v>
      </c>
      <c r="DY82" s="191">
        <f>(DY54*DY27)/1000</f>
        <v>2.4268588931136459</v>
      </c>
      <c r="DZ82" s="774">
        <v>0</v>
      </c>
      <c r="EA82" s="774">
        <v>0</v>
      </c>
      <c r="EB82" s="771">
        <f>(EB53*EB26)/1000</f>
        <v>20.903412969283281</v>
      </c>
      <c r="EC82" s="771">
        <v>0</v>
      </c>
    </row>
    <row r="83" spans="1:138">
      <c r="A83" s="192" t="s">
        <v>43</v>
      </c>
      <c r="B83" s="207">
        <f t="shared" ref="B83:AG83" si="145">(B55*B28)/1000</f>
        <v>40.519285714285715</v>
      </c>
      <c r="C83" s="207">
        <f t="shared" si="145"/>
        <v>5.5106228571428577</v>
      </c>
      <c r="D83" s="207">
        <f t="shared" si="145"/>
        <v>91.422974158946872</v>
      </c>
      <c r="E83" s="207">
        <f t="shared" si="145"/>
        <v>25.647485749760143</v>
      </c>
      <c r="F83" s="207">
        <f t="shared" si="145"/>
        <v>0</v>
      </c>
      <c r="G83" s="207">
        <f t="shared" si="145"/>
        <v>0</v>
      </c>
      <c r="H83" s="207">
        <f t="shared" si="145"/>
        <v>0</v>
      </c>
      <c r="I83" s="207">
        <f t="shared" si="145"/>
        <v>2.2608163265306125</v>
      </c>
      <c r="J83" s="207">
        <f t="shared" si="145"/>
        <v>17.740876447876445</v>
      </c>
      <c r="K83" s="207">
        <f t="shared" si="145"/>
        <v>22.041694980694981</v>
      </c>
      <c r="L83" s="207">
        <f t="shared" si="145"/>
        <v>0</v>
      </c>
      <c r="M83" s="207">
        <f t="shared" si="145"/>
        <v>25.844888709024691</v>
      </c>
      <c r="N83" s="207">
        <f t="shared" si="145"/>
        <v>85.457926741056681</v>
      </c>
      <c r="O83" s="207">
        <f t="shared" si="145"/>
        <v>0</v>
      </c>
      <c r="P83" s="207">
        <f t="shared" si="145"/>
        <v>187.3625755086972</v>
      </c>
      <c r="Q83" s="207">
        <f t="shared" si="145"/>
        <v>359.64803778241003</v>
      </c>
      <c r="R83" s="207">
        <f t="shared" si="145"/>
        <v>10.085149972632731</v>
      </c>
      <c r="S83" s="207">
        <f t="shared" si="145"/>
        <v>527.40156381549491</v>
      </c>
      <c r="T83" s="207">
        <f t="shared" si="145"/>
        <v>0</v>
      </c>
      <c r="U83" s="207">
        <f t="shared" si="145"/>
        <v>0</v>
      </c>
      <c r="V83" s="207">
        <f t="shared" si="145"/>
        <v>0</v>
      </c>
      <c r="W83" s="207">
        <f t="shared" si="145"/>
        <v>0</v>
      </c>
      <c r="X83" s="207">
        <f t="shared" si="145"/>
        <v>50.710329218106992</v>
      </c>
      <c r="Y83" s="207">
        <f t="shared" si="145"/>
        <v>0</v>
      </c>
      <c r="Z83" s="207">
        <f t="shared" si="145"/>
        <v>118.69765129461098</v>
      </c>
      <c r="AA83" s="207">
        <f t="shared" si="145"/>
        <v>182.72566223250439</v>
      </c>
      <c r="AB83" s="207">
        <f t="shared" si="145"/>
        <v>14.382412060301508</v>
      </c>
      <c r="AC83" s="207">
        <f t="shared" si="145"/>
        <v>0</v>
      </c>
      <c r="AD83" s="207">
        <f t="shared" si="145"/>
        <v>97.319039323046297</v>
      </c>
      <c r="AE83" s="207">
        <f t="shared" si="145"/>
        <v>0</v>
      </c>
      <c r="AF83" s="207">
        <f t="shared" si="145"/>
        <v>0</v>
      </c>
      <c r="AG83" s="207">
        <f t="shared" si="145"/>
        <v>0</v>
      </c>
      <c r="AH83" s="207">
        <f t="shared" ref="AH83:BM83" si="146">(AH55*AH28)/1000</f>
        <v>0</v>
      </c>
      <c r="AI83" s="207">
        <f t="shared" si="146"/>
        <v>0</v>
      </c>
      <c r="AJ83" s="207">
        <f t="shared" si="146"/>
        <v>63.729609490855182</v>
      </c>
      <c r="AK83" s="207">
        <f t="shared" si="146"/>
        <v>0</v>
      </c>
      <c r="AL83" s="207">
        <f t="shared" si="146"/>
        <v>63.134663349753701</v>
      </c>
      <c r="AM83" s="207">
        <f t="shared" si="146"/>
        <v>56.003665065910781</v>
      </c>
      <c r="AN83" s="207">
        <f t="shared" si="146"/>
        <v>0</v>
      </c>
      <c r="AO83" s="207">
        <f t="shared" si="146"/>
        <v>0</v>
      </c>
      <c r="AP83" s="207">
        <f t="shared" si="146"/>
        <v>0</v>
      </c>
      <c r="AQ83" s="207">
        <f t="shared" si="146"/>
        <v>0</v>
      </c>
      <c r="AR83" s="207">
        <f t="shared" si="146"/>
        <v>0</v>
      </c>
      <c r="AS83" s="207">
        <f t="shared" si="146"/>
        <v>0</v>
      </c>
      <c r="AT83" s="207">
        <f t="shared" si="146"/>
        <v>0</v>
      </c>
      <c r="AU83" s="207">
        <f t="shared" si="146"/>
        <v>0</v>
      </c>
      <c r="AV83" s="207">
        <f t="shared" si="146"/>
        <v>0</v>
      </c>
      <c r="AW83" s="207">
        <f t="shared" si="146"/>
        <v>0</v>
      </c>
      <c r="AX83" s="207">
        <f t="shared" si="146"/>
        <v>118.69765129461098</v>
      </c>
      <c r="AY83" s="207">
        <f t="shared" si="146"/>
        <v>0</v>
      </c>
      <c r="AZ83" s="207">
        <f t="shared" si="146"/>
        <v>85.95</v>
      </c>
      <c r="BA83" s="207">
        <f t="shared" si="146"/>
        <v>20.703132335087012</v>
      </c>
      <c r="BB83" s="207">
        <f t="shared" si="146"/>
        <v>0</v>
      </c>
      <c r="BC83" s="207">
        <f t="shared" si="146"/>
        <v>0</v>
      </c>
      <c r="BD83" s="207">
        <f t="shared" si="146"/>
        <v>0</v>
      </c>
      <c r="BE83" s="207">
        <f t="shared" si="146"/>
        <v>11.622919556171984</v>
      </c>
      <c r="BF83" s="207">
        <f t="shared" si="146"/>
        <v>23.583841463414636</v>
      </c>
      <c r="BG83" s="207">
        <f t="shared" si="146"/>
        <v>23.652406015037595</v>
      </c>
      <c r="BH83" s="207">
        <f t="shared" si="146"/>
        <v>53.718750000000007</v>
      </c>
      <c r="BI83" s="207">
        <f t="shared" si="146"/>
        <v>0</v>
      </c>
      <c r="BJ83" s="207">
        <f t="shared" si="146"/>
        <v>150.69949818037998</v>
      </c>
      <c r="BK83" s="207">
        <f t="shared" si="146"/>
        <v>63.267448200654322</v>
      </c>
      <c r="BL83" s="207">
        <f t="shared" si="146"/>
        <v>310.99828410893116</v>
      </c>
      <c r="BM83" s="207">
        <f t="shared" si="146"/>
        <v>191.11595123699382</v>
      </c>
      <c r="BN83" s="207">
        <f t="shared" ref="BN83:CS83" si="147">(BN55*BN28)/1000</f>
        <v>361.63152767216587</v>
      </c>
      <c r="BO83" s="207">
        <f t="shared" si="147"/>
        <v>28.186977022741079</v>
      </c>
      <c r="BP83" s="207">
        <f t="shared" si="147"/>
        <v>121.92916874366632</v>
      </c>
      <c r="BQ83" s="207">
        <f t="shared" si="147"/>
        <v>129.41673420908594</v>
      </c>
      <c r="BR83" s="207">
        <f t="shared" si="147"/>
        <v>230.4174235708077</v>
      </c>
      <c r="BS83" s="207">
        <f t="shared" si="147"/>
        <v>183.76942095053349</v>
      </c>
      <c r="BT83" s="207">
        <f t="shared" si="147"/>
        <v>74.834104632569478</v>
      </c>
      <c r="BU83" s="207">
        <f t="shared" si="147"/>
        <v>288.82612693693159</v>
      </c>
      <c r="BV83" s="207">
        <f t="shared" si="147"/>
        <v>99.468437253694574</v>
      </c>
      <c r="BW83" s="207">
        <f t="shared" si="147"/>
        <v>124.10100439608405</v>
      </c>
      <c r="BX83" s="207">
        <f t="shared" si="147"/>
        <v>91.422974158946872</v>
      </c>
      <c r="BY83" s="207">
        <f t="shared" si="147"/>
        <v>25.647485749760143</v>
      </c>
      <c r="BZ83" s="207">
        <f t="shared" si="147"/>
        <v>0</v>
      </c>
      <c r="CA83" s="207">
        <f t="shared" si="147"/>
        <v>0</v>
      </c>
      <c r="CB83" s="207">
        <f t="shared" si="147"/>
        <v>2.3462238398544137</v>
      </c>
      <c r="CC83" s="207">
        <f t="shared" si="147"/>
        <v>17.507468766974469</v>
      </c>
      <c r="CD83" s="207">
        <f t="shared" si="147"/>
        <v>17.312934935247306</v>
      </c>
      <c r="CE83" s="207">
        <f t="shared" si="147"/>
        <v>7.8582857142857154</v>
      </c>
      <c r="CF83" s="207">
        <f t="shared" si="147"/>
        <v>86.239957963875213</v>
      </c>
      <c r="CG83" s="207">
        <f t="shared" si="147"/>
        <v>103.77373271889401</v>
      </c>
      <c r="CH83" s="207">
        <f t="shared" si="147"/>
        <v>121.98239520824008</v>
      </c>
      <c r="CI83" s="207">
        <f t="shared" si="147"/>
        <v>177.3339572239197</v>
      </c>
      <c r="CJ83" s="207">
        <f t="shared" si="147"/>
        <v>215.61847023809528</v>
      </c>
      <c r="CK83" s="207">
        <f t="shared" si="147"/>
        <v>389.80435584834356</v>
      </c>
      <c r="CL83" s="207">
        <f t="shared" si="147"/>
        <v>191.32573640293555</v>
      </c>
      <c r="CM83" s="207">
        <f t="shared" si="147"/>
        <v>334.67312365526669</v>
      </c>
      <c r="CN83" s="207">
        <f t="shared" si="147"/>
        <v>289.48098993847975</v>
      </c>
      <c r="CO83" s="207">
        <f t="shared" si="147"/>
        <v>226.93065822190948</v>
      </c>
      <c r="CP83" s="771">
        <f t="shared" si="147"/>
        <v>64.399295624097959</v>
      </c>
      <c r="CQ83" s="771">
        <f t="shared" si="147"/>
        <v>206.68232519237208</v>
      </c>
      <c r="CR83" s="771">
        <f t="shared" si="147"/>
        <v>85.08500864752682</v>
      </c>
      <c r="CS83" s="771">
        <f t="shared" si="147"/>
        <v>31.747346186512665</v>
      </c>
      <c r="CT83" s="207">
        <f t="shared" ref="CT83:DE83" si="148">(CT55*CT28)/1000</f>
        <v>39.422350287310351</v>
      </c>
      <c r="CU83" s="207">
        <f t="shared" si="148"/>
        <v>23.9597494570687</v>
      </c>
      <c r="CV83" s="771">
        <f t="shared" si="148"/>
        <v>29.090701023114818</v>
      </c>
      <c r="CW83" s="771">
        <f t="shared" si="148"/>
        <v>39.826092292587141</v>
      </c>
      <c r="CX83" s="771">
        <f t="shared" si="148"/>
        <v>0.24364076000000004</v>
      </c>
      <c r="CY83" s="771">
        <f t="shared" si="148"/>
        <v>2.0553260869565215</v>
      </c>
      <c r="CZ83" s="207">
        <f t="shared" si="148"/>
        <v>0</v>
      </c>
      <c r="DA83" s="207">
        <f t="shared" si="148"/>
        <v>0</v>
      </c>
      <c r="DB83" s="771">
        <f t="shared" si="148"/>
        <v>0</v>
      </c>
      <c r="DC83" s="771">
        <f t="shared" si="148"/>
        <v>0</v>
      </c>
      <c r="DD83" s="771">
        <f t="shared" si="148"/>
        <v>0</v>
      </c>
      <c r="DE83" s="771">
        <f t="shared" si="148"/>
        <v>0</v>
      </c>
      <c r="DF83" s="207">
        <f t="shared" si="123"/>
        <v>2.8537381781981095</v>
      </c>
      <c r="DG83" s="207">
        <f t="shared" si="123"/>
        <v>23.731540388975066</v>
      </c>
      <c r="DH83" s="771">
        <f t="shared" ref="DH83:DQ83" si="149">(DH55*DH28)/1000</f>
        <v>61.04416916916918</v>
      </c>
      <c r="DI83" s="771">
        <f t="shared" si="149"/>
        <v>99.020668506208452</v>
      </c>
      <c r="DJ83" s="771">
        <f t="shared" si="149"/>
        <v>124.39914547816016</v>
      </c>
      <c r="DK83" s="771">
        <f t="shared" si="149"/>
        <v>125.4214430523771</v>
      </c>
      <c r="DL83" s="207">
        <f t="shared" si="149"/>
        <v>99.472329098608597</v>
      </c>
      <c r="DM83" s="207">
        <f t="shared" si="149"/>
        <v>119.89345227000399</v>
      </c>
      <c r="DN83" s="771">
        <f t="shared" si="149"/>
        <v>109.25106233975579</v>
      </c>
      <c r="DO83" s="771">
        <f t="shared" si="149"/>
        <v>115.05370963249206</v>
      </c>
      <c r="DP83" s="771">
        <f t="shared" si="149"/>
        <v>117.83782512131199</v>
      </c>
      <c r="DQ83" s="771">
        <f t="shared" si="149"/>
        <v>115.60105261360462</v>
      </c>
      <c r="DR83" s="191">
        <f t="shared" si="117"/>
        <v>7.4355538140020911</v>
      </c>
      <c r="DS83" s="191">
        <f>(DS55*DS28)/1000</f>
        <v>0</v>
      </c>
      <c r="DT83" s="774">
        <v>0</v>
      </c>
      <c r="DU83" s="774">
        <v>0</v>
      </c>
      <c r="DV83" s="771">
        <f>(DV55*DV26)/1000</f>
        <v>90.558730158730157</v>
      </c>
      <c r="DW83" s="771">
        <f>(DW55*DW28)/1000</f>
        <v>9.1794812053432775</v>
      </c>
      <c r="DX83" s="191">
        <f t="shared" si="118"/>
        <v>6.4352994555353913</v>
      </c>
      <c r="DY83" s="191">
        <f>(DY55*DY28)/1000</f>
        <v>0</v>
      </c>
      <c r="DZ83" s="774">
        <v>0</v>
      </c>
      <c r="EA83" s="774">
        <v>0</v>
      </c>
      <c r="EB83" s="771">
        <f>(EB55*EB26)/1000</f>
        <v>64.470526315789471</v>
      </c>
      <c r="EC83" s="771">
        <f>(EC55*EC28)/1000</f>
        <v>52.581758881996002</v>
      </c>
    </row>
    <row r="84" spans="1:138">
      <c r="A84" s="208"/>
      <c r="B84" s="209">
        <f>SUM(B62:B68,B70:B73,B75:B83)</f>
        <v>1182.5049715089788</v>
      </c>
      <c r="C84" s="209">
        <f>SUM(C62:C68,C70:C73,C75:C83)</f>
        <v>1115.6641772260923</v>
      </c>
      <c r="D84" s="209">
        <f>SUM(D62:D68,D70:D73,D75:D83)</f>
        <v>727.31419154048456</v>
      </c>
      <c r="E84" s="209">
        <f>SUM(E62:E68,E70:E73,E75:E83)</f>
        <v>597.19791757483767</v>
      </c>
      <c r="F84" s="209">
        <f t="shared" ref="F84:V84" si="150">SUM(F62:F68,F70:F73,F75:F83)</f>
        <v>764.72750918154895</v>
      </c>
      <c r="G84" s="209">
        <f t="shared" si="150"/>
        <v>1397.7304295759693</v>
      </c>
      <c r="H84" s="209">
        <f t="shared" si="150"/>
        <v>699.61338471920453</v>
      </c>
      <c r="I84" s="209">
        <f t="shared" si="150"/>
        <v>1131.6714310691807</v>
      </c>
      <c r="J84" s="209">
        <f t="shared" si="150"/>
        <v>863.85781611187451</v>
      </c>
      <c r="K84" s="209">
        <f t="shared" si="150"/>
        <v>1205.0522385426445</v>
      </c>
      <c r="L84" s="209">
        <f t="shared" si="150"/>
        <v>0</v>
      </c>
      <c r="M84" s="209">
        <f t="shared" si="150"/>
        <v>1395.97706361634</v>
      </c>
      <c r="N84" s="209">
        <f t="shared" si="150"/>
        <v>3253.2015354622245</v>
      </c>
      <c r="O84" s="209">
        <f t="shared" si="150"/>
        <v>0</v>
      </c>
      <c r="P84" s="209">
        <f t="shared" si="150"/>
        <v>2589.6584780859439</v>
      </c>
      <c r="Q84" s="209">
        <f t="shared" si="150"/>
        <v>1384.3509197587443</v>
      </c>
      <c r="R84" s="209">
        <f t="shared" si="150"/>
        <v>297.62173310458547</v>
      </c>
      <c r="S84" s="209">
        <f t="shared" si="150"/>
        <v>2007.9650483519506</v>
      </c>
      <c r="T84" s="209">
        <f t="shared" si="150"/>
        <v>0</v>
      </c>
      <c r="U84" s="209">
        <f t="shared" si="150"/>
        <v>0</v>
      </c>
      <c r="V84" s="209">
        <f t="shared" si="150"/>
        <v>0</v>
      </c>
      <c r="W84" s="209">
        <f t="shared" ref="W84" si="151">SUM(W62:W68,W70:W73,W75:W83)</f>
        <v>0</v>
      </c>
      <c r="X84" s="209">
        <f t="shared" ref="X84" si="152">SUM(X62:X68,X70:X73,X75:X83)</f>
        <v>1708.1981511588729</v>
      </c>
      <c r="Y84" s="209">
        <f t="shared" ref="Y84" si="153">SUM(Y62:Y68,Y70:Y73,Y75:Y83)</f>
        <v>0</v>
      </c>
      <c r="Z84" s="209">
        <f t="shared" ref="Z84" si="154">SUM(Z62:Z68,Z70:Z73,Z75:Z83)</f>
        <v>2887.231050310661</v>
      </c>
      <c r="AA84" s="209">
        <f t="shared" ref="AA84" si="155">SUM(AA62:AA68,AA70:AA73,AA75:AA83)</f>
        <v>6186.6747708776002</v>
      </c>
      <c r="AB84" s="209">
        <f t="shared" ref="AB84" si="156">SUM(AB62:AB68,AB70:AB73,AB75:AB83)</f>
        <v>2338.2587351950438</v>
      </c>
      <c r="AC84" s="209">
        <f t="shared" ref="AC84" si="157">SUM(AC62:AC68,AC70:AC73,AC75:AC83)</f>
        <v>0</v>
      </c>
      <c r="AD84" s="209">
        <f t="shared" ref="AD84" si="158">SUM(AD62:AD68,AD70:AD73,AD75:AD83)</f>
        <v>7334.8085687954235</v>
      </c>
      <c r="AE84" s="209">
        <f t="shared" ref="AE84" si="159">SUM(AE62:AE68,AE70:AE73,AE75:AE83)</f>
        <v>927.62025833950554</v>
      </c>
      <c r="AF84" s="209">
        <f t="shared" ref="AF84" si="160">SUM(AF62:AF68,AF70:AF73,AF75:AF83)</f>
        <v>0</v>
      </c>
      <c r="AG84" s="209">
        <f t="shared" ref="AG84" si="161">SUM(AG62:AG68,AG70:AG73,AG75:AG83)</f>
        <v>1144.0234781621816</v>
      </c>
      <c r="AH84" s="209">
        <f t="shared" ref="AH84" si="162">SUM(AH62:AH68,AH70:AH73,AH75:AH83)</f>
        <v>1167.0352894901368</v>
      </c>
      <c r="AI84" s="209">
        <f t="shared" ref="AI84:AM84" si="163">SUM(AI62:AI68,AI70:AI73,AI75:AI83)</f>
        <v>1158.5188582889721</v>
      </c>
      <c r="AJ84" s="209">
        <f t="shared" si="163"/>
        <v>1943.2154896237719</v>
      </c>
      <c r="AK84" s="209">
        <f t="shared" si="163"/>
        <v>1769.4741913345822</v>
      </c>
      <c r="AL84" s="209">
        <f t="shared" si="163"/>
        <v>1488.4881743101423</v>
      </c>
      <c r="AM84" s="209">
        <f t="shared" si="163"/>
        <v>1044.3047997384724</v>
      </c>
      <c r="AN84" s="209">
        <f t="shared" ref="AN84" si="164">SUM(AN62:AN68,AN70:AN73,AN75:AN83)</f>
        <v>0</v>
      </c>
      <c r="AO84" s="209">
        <f t="shared" ref="AO84" si="165">SUM(AO62:AO68,AO70:AO73,AO75:AO83)</f>
        <v>0</v>
      </c>
      <c r="AP84" s="209">
        <f t="shared" ref="AP84" si="166">SUM(AP62:AP68,AP70:AP73,AP75:AP83)</f>
        <v>0</v>
      </c>
      <c r="AQ84" s="209">
        <f t="shared" ref="AQ84" si="167">SUM(AQ62:AQ68,AQ70:AQ73,AQ75:AQ83)</f>
        <v>0</v>
      </c>
      <c r="AR84" s="209">
        <f t="shared" ref="AR84" si="168">SUM(AR62:AR68,AR70:AR73,AR75:AR83)</f>
        <v>0</v>
      </c>
      <c r="AS84" s="209">
        <f t="shared" ref="AS84" si="169">SUM(AS62:AS68,AS70:AS73,AS75:AS83)</f>
        <v>0</v>
      </c>
      <c r="AT84" s="209">
        <f t="shared" ref="AT84" si="170">SUM(AT62:AT68,AT70:AT73,AT75:AT83)</f>
        <v>0</v>
      </c>
      <c r="AU84" s="209">
        <f t="shared" ref="AU84" si="171">SUM(AU62:AU68,AU70:AU73,AU75:AU83)</f>
        <v>0</v>
      </c>
      <c r="AV84" s="209">
        <f t="shared" ref="AV84" si="172">SUM(AV62:AV68,AV70:AV73,AV75:AV83)</f>
        <v>0</v>
      </c>
      <c r="AW84" s="209">
        <f t="shared" ref="AW84" si="173">SUM(AW62:AW68,AW70:AW73,AW75:AW83)</f>
        <v>0</v>
      </c>
      <c r="AX84" s="209">
        <f t="shared" ref="AX84" si="174">SUM(AX62:AX68,AX70:AX73,AX75:AX83)</f>
        <v>1910.0840213121317</v>
      </c>
      <c r="AY84" s="209">
        <f t="shared" ref="AY84" si="175">SUM(AY62:AY68,AY70:AY73,AY75:AY83)</f>
        <v>0</v>
      </c>
      <c r="AZ84" s="209">
        <f t="shared" ref="AZ84:BD84" si="176">SUM(AZ62:AZ68,AZ70:AZ73,AZ75:AZ83)</f>
        <v>1829.9270436821284</v>
      </c>
      <c r="BA84" s="209">
        <f t="shared" si="176"/>
        <v>1260.6769718551477</v>
      </c>
      <c r="BB84" s="209">
        <f t="shared" si="176"/>
        <v>653.8574710804005</v>
      </c>
      <c r="BC84" s="209">
        <f t="shared" si="176"/>
        <v>885.87234637338599</v>
      </c>
      <c r="BD84" s="209">
        <f t="shared" si="176"/>
        <v>712.08388117548043</v>
      </c>
      <c r="BE84" s="209">
        <f t="shared" ref="BE84" si="177">SUM(BE62:BE68,BE70:BE73,BE75:BE83)</f>
        <v>1487.7217275951803</v>
      </c>
      <c r="BF84" s="209">
        <f t="shared" ref="BF84" si="178">SUM(BF62:BF68,BF70:BF73,BF75:BF83)</f>
        <v>1900.2449367526897</v>
      </c>
      <c r="BG84" s="209">
        <f t="shared" ref="BG84" si="179">SUM(BG62:BG68,BG70:BG73,BG75:BG83)</f>
        <v>1909.0163786231412</v>
      </c>
      <c r="BH84" s="209">
        <f t="shared" ref="BH84" si="180">SUM(BH62:BH68,BH70:BH73,BH75:BH83)</f>
        <v>1522.7601919223548</v>
      </c>
      <c r="BI84" s="209">
        <f t="shared" ref="BI84" si="181">SUM(BI62:BI68,BI70:BI73,BI75:BI83)</f>
        <v>1777.1344806919178</v>
      </c>
      <c r="BJ84" s="209">
        <f t="shared" ref="BJ84" si="182">SUM(BJ62:BJ68,BJ70:BJ73,BJ75:BJ83)</f>
        <v>1765.4932712459181</v>
      </c>
      <c r="BK84" s="209">
        <f t="shared" ref="BK84" si="183">SUM(BK62:BK68,BK70:BK73,BK75:BK83)</f>
        <v>1739.8721605627538</v>
      </c>
      <c r="BL84" s="209">
        <f t="shared" ref="BL84" si="184">SUM(BL62:BL68,BL70:BL73,BL75:BL83)</f>
        <v>2496.1424877051127</v>
      </c>
      <c r="BM84" s="209">
        <f t="shared" ref="BM84" si="185">SUM(BM62:BM68,BM70:BM73,BM75:BM83)</f>
        <v>2620.0225897351688</v>
      </c>
      <c r="BN84" s="209">
        <f t="shared" ref="BN84" si="186">SUM(BN62:BN68,BN70:BN73,BN75:BN83)</f>
        <v>3450.2593541820424</v>
      </c>
      <c r="BO84" s="209">
        <f t="shared" ref="BO84" si="187">SUM(BO62:BO68,BO70:BO73,BO75:BO83)</f>
        <v>1181.4144446994856</v>
      </c>
      <c r="BP84" s="209">
        <f t="shared" ref="BP84" si="188">SUM(BP62:BP68,BP70:BP73,BP75:BP83)</f>
        <v>2261.6691766102576</v>
      </c>
      <c r="BQ84" s="209">
        <f t="shared" ref="BQ84:BU84" si="189">SUM(BQ62:BQ68,BQ70:BQ73,BQ75:BQ83)</f>
        <v>2533.9883692994381</v>
      </c>
      <c r="BR84" s="209">
        <f t="shared" si="189"/>
        <v>1614.9053090005532</v>
      </c>
      <c r="BS84" s="209">
        <f t="shared" si="189"/>
        <v>1167.2411308014703</v>
      </c>
      <c r="BT84" s="209">
        <f t="shared" si="189"/>
        <v>2633.2277456405131</v>
      </c>
      <c r="BU84" s="209">
        <f t="shared" si="189"/>
        <v>2187.3552343268648</v>
      </c>
      <c r="BV84" s="209">
        <f t="shared" ref="BV84" si="190">SUM(BV62:BV68,BV70:BV73,BV75:BV83)</f>
        <v>1664.7774676952984</v>
      </c>
      <c r="BW84" s="209">
        <f t="shared" ref="BW84" si="191">SUM(BW62:BW68,BW70:BW73,BW75:BW83)</f>
        <v>1885.0182637061389</v>
      </c>
      <c r="BX84" s="209">
        <f t="shared" ref="BX84" si="192">SUM(BX62:BX68,BX70:BX73,BX75:BX83)</f>
        <v>592.91614479576344</v>
      </c>
      <c r="BY84" s="209">
        <f t="shared" ref="BY84" si="193">SUM(BY62:BY68,BY70:BY73,BY75:BY83)</f>
        <v>564.65333202405031</v>
      </c>
      <c r="BZ84" s="209">
        <f t="shared" ref="BZ84" si="194">SUM(BZ62:BZ68,BZ70:BZ73,BZ75:BZ83)</f>
        <v>2109.1571094012616</v>
      </c>
      <c r="CA84" s="209">
        <f t="shared" ref="CA84" si="195">SUM(CA62:CA68,CA70:CA73,CA75:CA83)</f>
        <v>1197.3877723233136</v>
      </c>
      <c r="CB84" s="209">
        <f t="shared" ref="CB84" si="196">SUM(CB62:CB68,CB70:CB73,CB75:CB83)</f>
        <v>1534.2536348481133</v>
      </c>
      <c r="CC84" s="209">
        <f t="shared" ref="CC84" si="197">SUM(CC62:CC68,CC70:CC73,CC75:CC83)</f>
        <v>1578.9811362815433</v>
      </c>
      <c r="CD84" s="209">
        <f t="shared" ref="CD84" si="198">SUM(CD62:CD68,CD70:CD73,CD75:CD83)</f>
        <v>1601.618341379218</v>
      </c>
      <c r="CE84" s="209">
        <f t="shared" ref="CE84" si="199">SUM(CE62:CE68,CE70:CE73,CE75:CE83)</f>
        <v>2360.8666470836706</v>
      </c>
      <c r="CF84" s="209">
        <f t="shared" ref="CF84" si="200">SUM(CF62:CF68,CF70:CF73,CF75:CF83)</f>
        <v>1483.6793799978484</v>
      </c>
      <c r="CG84" s="209">
        <f t="shared" ref="CG84" si="201">SUM(CG62:CG68,CG70:CG73,CG75:CG83)</f>
        <v>2899.5248708136692</v>
      </c>
      <c r="CH84" s="209">
        <f t="shared" ref="CH84:CL84" si="202">SUM(CH62:CH68,CH70:CH73,CH75:CH83)</f>
        <v>2689.4098909837735</v>
      </c>
      <c r="CI84" s="209">
        <f t="shared" si="202"/>
        <v>2347.9265781221102</v>
      </c>
      <c r="CJ84" s="209">
        <f t="shared" si="202"/>
        <v>2717.4330067664528</v>
      </c>
      <c r="CK84" s="209">
        <f t="shared" si="202"/>
        <v>2493.9757813619908</v>
      </c>
      <c r="CL84" s="209">
        <f t="shared" si="202"/>
        <v>2283.2853074242298</v>
      </c>
      <c r="CM84" s="209">
        <f t="shared" ref="CM84" si="203">SUM(CM62:CM68,CM70:CM73,CM75:CM83)</f>
        <v>2666.4123223788251</v>
      </c>
      <c r="CN84" s="209">
        <f t="shared" ref="CN84" si="204">SUM(CN62:CN68,CN70:CN73,CN75:CN83)</f>
        <v>1978.1081508876889</v>
      </c>
      <c r="CO84" s="209">
        <f t="shared" ref="CO84" si="205">SUM(CO62:CO68,CO70:CO73,CO75:CO83)</f>
        <v>2354.0491327193081</v>
      </c>
      <c r="CP84" s="209">
        <f t="shared" ref="CP84" si="206">SUM(CP62:CP68,CP70:CP73,CP75:CP83)</f>
        <v>1686.83330038087</v>
      </c>
      <c r="CQ84" s="209">
        <f t="shared" ref="CQ84" si="207">SUM(CQ62:CQ68,CQ70:CQ73,CQ75:CQ83)</f>
        <v>5214.3473652822649</v>
      </c>
      <c r="CR84" s="209">
        <f t="shared" ref="CR84" si="208">SUM(CR62:CR68,CR70:CR73,CR75:CR83)</f>
        <v>1460.4101679449736</v>
      </c>
      <c r="CS84" s="209">
        <f t="shared" ref="CS84" si="209">SUM(CS62:CS68,CS70:CS73,CS75:CS83)</f>
        <v>2585.2123314806122</v>
      </c>
      <c r="CT84" s="209">
        <f t="shared" ref="CT84" si="210">SUM(CT62:CT68,CT70:CT73,CT75:CT83)</f>
        <v>2465.2738457244131</v>
      </c>
      <c r="CU84" s="209">
        <f t="shared" ref="CU84" si="211">SUM(CU62:CU68,CU70:CU73,CU75:CU83)</f>
        <v>2801.3329854196463</v>
      </c>
      <c r="CV84" s="209">
        <f t="shared" ref="CV84" si="212">SUM(CV62:CV68,CV70:CV73,CV75:CV83)</f>
        <v>3182.0260325589211</v>
      </c>
      <c r="CW84" s="209">
        <f t="shared" ref="CW84" si="213">SUM(CW62:CW68,CW70:CW73,CW75:CW83)</f>
        <v>3048.3326087333576</v>
      </c>
      <c r="CX84" s="209">
        <f t="shared" ref="CX84" si="214">SUM(CX62:CX68,CX70:CX73,CX75:CX83)</f>
        <v>1721.9509370426335</v>
      </c>
      <c r="CY84" s="209">
        <f t="shared" ref="CY84:DC84" si="215">SUM(CY62:CY68,CY70:CY73,CY75:CY83)</f>
        <v>2013.9378430348445</v>
      </c>
      <c r="CZ84" s="209">
        <f t="shared" si="215"/>
        <v>0</v>
      </c>
      <c r="DA84" s="209">
        <f t="shared" si="215"/>
        <v>0</v>
      </c>
      <c r="DB84" s="209">
        <f t="shared" si="215"/>
        <v>0</v>
      </c>
      <c r="DC84" s="209">
        <f t="shared" si="215"/>
        <v>139.74637512443232</v>
      </c>
      <c r="DD84" s="209">
        <f t="shared" ref="DD84" si="216">SUM(DD62:DD68,DD70:DD73,DD75:DD83)</f>
        <v>246.41342469519802</v>
      </c>
      <c r="DE84" s="209">
        <f t="shared" ref="DE84" si="217">SUM(DE62:DE68,DE70:DE73,DE75:DE83)</f>
        <v>418.96176441086436</v>
      </c>
      <c r="DF84" s="209">
        <f t="shared" ref="DF84" si="218">SUM(DF62:DF68,DF70:DF73,DF75:DF83)</f>
        <v>213.55910015507368</v>
      </c>
      <c r="DG84" s="209">
        <f t="shared" ref="DG84" si="219">SUM(DG62:DG68,DG70:DG73,DG75:DG83)</f>
        <v>181.22708637373705</v>
      </c>
      <c r="DH84" s="209">
        <f t="shared" ref="DH84" si="220">SUM(DH62:DH68,DH70:DH73,DH75:DH83)</f>
        <v>1102.7225635881059</v>
      </c>
      <c r="DI84" s="209">
        <f t="shared" ref="DI84" si="221">SUM(DI62:DI68,DI70:DI73,DI75:DI83)</f>
        <v>658.97294623158041</v>
      </c>
      <c r="DJ84" s="209">
        <f t="shared" ref="DJ84" si="222">SUM(DJ62:DJ68,DJ70:DJ73,DJ75:DJ83)</f>
        <v>931.03370487769575</v>
      </c>
      <c r="DK84" s="209">
        <f t="shared" ref="DK84" si="223">SUM(DK62:DK68,DK70:DK73,DK75:DK83)</f>
        <v>624.43472698244659</v>
      </c>
      <c r="DL84" s="209">
        <f t="shared" ref="DL84" si="224">SUM(DL62:DL68,DL70:DL73,DL75:DL83)</f>
        <v>1017.2094198946039</v>
      </c>
      <c r="DM84" s="209">
        <f t="shared" ref="DM84" si="225">SUM(DM62:DM68,DM70:DM73,DM75:DM83)</f>
        <v>1008.7734221290655</v>
      </c>
      <c r="DN84" s="209">
        <f t="shared" ref="DN84" si="226">SUM(DN62:DN68,DN70:DN73,DN75:DN83)</f>
        <v>868.12613641864539</v>
      </c>
      <c r="DO84" s="209">
        <f t="shared" ref="DO84" si="227">SUM(DO62:DO68,DO70:DO73,DO75:DO83)</f>
        <v>855.89712150957325</v>
      </c>
      <c r="DP84" s="209">
        <f t="shared" ref="DP84:DT84" si="228">SUM(DP62:DP68,DP70:DP73,DP75:DP83)</f>
        <v>889.13152701035472</v>
      </c>
      <c r="DQ84" s="209">
        <f t="shared" si="228"/>
        <v>880.41708398334981</v>
      </c>
      <c r="DR84" s="209">
        <f t="shared" si="228"/>
        <v>1788.9452389457188</v>
      </c>
      <c r="DS84" s="209">
        <f t="shared" si="228"/>
        <v>839.46035455057051</v>
      </c>
      <c r="DT84" s="209">
        <f t="shared" si="228"/>
        <v>1551.8982266475589</v>
      </c>
      <c r="DU84" s="209">
        <f t="shared" ref="DU84" si="229">SUM(DU62:DU68,DU70:DU73,DU75:DU83)</f>
        <v>863.8670536236865</v>
      </c>
      <c r="DV84" s="209">
        <f t="shared" ref="DV84" si="230">SUM(DV62:DV68,DV70:DV73,DV75:DV83)</f>
        <v>708.33254112463101</v>
      </c>
      <c r="DW84" s="209">
        <f>SUM(DW62:DW68,DW70:DW73,DW75:DW83)</f>
        <v>881.45713417529987</v>
      </c>
      <c r="DX84" s="209">
        <f t="shared" ref="DX84:EB84" si="231">SUM(DX62:DX68,DX70:DX73,DX75:DX83)</f>
        <v>950.2195865482355</v>
      </c>
      <c r="DY84" s="209">
        <f t="shared" si="231"/>
        <v>660.2607127343183</v>
      </c>
      <c r="DZ84" s="209">
        <f t="shared" si="231"/>
        <v>532.59952985978225</v>
      </c>
      <c r="EA84" s="209">
        <f t="shared" si="231"/>
        <v>982.95071336514604</v>
      </c>
      <c r="EB84" s="209">
        <f t="shared" si="231"/>
        <v>980.91057127342128</v>
      </c>
      <c r="EC84" s="209">
        <f>SUM(EC62:EC68,EC70:EC73,EC75:EC83)</f>
        <v>1291.5694653477437</v>
      </c>
    </row>
    <row r="85" spans="1:138">
      <c r="A85" s="210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  <c r="BR85" s="178"/>
      <c r="BS85" s="178"/>
      <c r="BT85" s="178"/>
      <c r="BU85" s="178"/>
      <c r="BV85" s="178"/>
      <c r="BW85" s="178"/>
      <c r="BX85" s="178"/>
      <c r="BY85" s="178"/>
      <c r="BZ85" s="178"/>
      <c r="CA85" s="178"/>
      <c r="CF85" s="178"/>
      <c r="CG85" s="178"/>
      <c r="CH85" s="178"/>
      <c r="CI85" s="178"/>
      <c r="CJ85" s="178"/>
      <c r="CK85" s="178"/>
      <c r="CL85" s="178"/>
      <c r="CM85" s="178"/>
      <c r="CN85" s="178"/>
      <c r="CO85" s="178"/>
    </row>
    <row r="86" spans="1:138">
      <c r="A86" s="181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9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  <c r="BR86" s="178"/>
      <c r="BS86" s="178"/>
      <c r="BT86" s="178"/>
      <c r="BU86" s="178"/>
      <c r="BV86" s="178"/>
      <c r="BW86" s="178"/>
      <c r="BX86" s="178"/>
      <c r="BY86" s="178"/>
      <c r="BZ86" s="178"/>
      <c r="CA86" s="178"/>
      <c r="CF86" s="178"/>
      <c r="CG86" s="178"/>
      <c r="CH86" s="178"/>
      <c r="CI86" s="178"/>
      <c r="CJ86" s="178"/>
      <c r="CK86" s="178"/>
      <c r="CL86" s="178"/>
      <c r="CM86" s="178"/>
      <c r="CN86" s="178"/>
      <c r="CO86" s="178"/>
    </row>
    <row r="87" spans="1:138">
      <c r="A87" s="211" t="s">
        <v>222</v>
      </c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</row>
    <row r="88" spans="1:138">
      <c r="A88" s="181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  <c r="BW88" s="178"/>
      <c r="BX88" s="178"/>
      <c r="BY88" s="178"/>
      <c r="BZ88" s="178"/>
      <c r="CA88" s="178"/>
      <c r="CF88" s="178"/>
      <c r="CG88" s="178"/>
      <c r="CH88" s="178"/>
      <c r="CI88" s="178"/>
      <c r="CJ88" s="178"/>
      <c r="CK88" s="178"/>
      <c r="CL88" s="178"/>
      <c r="CM88" s="178"/>
      <c r="CN88" s="178"/>
      <c r="CO88" s="178"/>
    </row>
    <row r="89" spans="1:138">
      <c r="A89" s="182" t="s">
        <v>56</v>
      </c>
      <c r="B89" s="655" t="s">
        <v>277</v>
      </c>
      <c r="C89" s="655" t="s">
        <v>278</v>
      </c>
      <c r="D89" s="655" t="s">
        <v>279</v>
      </c>
      <c r="E89" s="655" t="s">
        <v>280</v>
      </c>
      <c r="F89" s="655" t="s">
        <v>281</v>
      </c>
      <c r="G89" s="655" t="s">
        <v>282</v>
      </c>
      <c r="H89" s="601" t="s">
        <v>283</v>
      </c>
      <c r="I89" s="601" t="s">
        <v>284</v>
      </c>
      <c r="J89" s="601" t="s">
        <v>285</v>
      </c>
      <c r="K89" s="601" t="s">
        <v>286</v>
      </c>
      <c r="L89" s="601" t="s">
        <v>287</v>
      </c>
      <c r="M89" s="601" t="s">
        <v>288</v>
      </c>
      <c r="N89" s="185" t="s">
        <v>289</v>
      </c>
      <c r="O89" s="185" t="s">
        <v>290</v>
      </c>
      <c r="P89" s="185" t="s">
        <v>291</v>
      </c>
      <c r="Q89" s="185" t="s">
        <v>292</v>
      </c>
      <c r="R89" s="185" t="s">
        <v>293</v>
      </c>
      <c r="S89" s="185" t="s">
        <v>294</v>
      </c>
      <c r="T89" s="227" t="s">
        <v>295</v>
      </c>
      <c r="U89" s="227" t="s">
        <v>296</v>
      </c>
      <c r="V89" s="227" t="s">
        <v>297</v>
      </c>
      <c r="W89" s="227" t="s">
        <v>298</v>
      </c>
      <c r="X89" s="227" t="s">
        <v>299</v>
      </c>
      <c r="Y89" s="227" t="s">
        <v>333</v>
      </c>
      <c r="Z89" s="600" t="s">
        <v>255</v>
      </c>
      <c r="AA89" s="600" t="s">
        <v>256</v>
      </c>
      <c r="AB89" s="600" t="s">
        <v>257</v>
      </c>
      <c r="AC89" s="600" t="s">
        <v>258</v>
      </c>
      <c r="AD89" s="600" t="s">
        <v>259</v>
      </c>
      <c r="AE89" s="600" t="s">
        <v>260</v>
      </c>
      <c r="AF89" s="657" t="s">
        <v>261</v>
      </c>
      <c r="AG89" s="657" t="s">
        <v>262</v>
      </c>
      <c r="AH89" s="657" t="s">
        <v>263</v>
      </c>
      <c r="AI89" s="657" t="s">
        <v>264</v>
      </c>
      <c r="AJ89" s="657" t="s">
        <v>265</v>
      </c>
      <c r="AK89" s="657" t="s">
        <v>266</v>
      </c>
      <c r="AL89" s="658" t="s">
        <v>267</v>
      </c>
      <c r="AM89" s="658" t="s">
        <v>268</v>
      </c>
      <c r="AN89" s="658" t="s">
        <v>269</v>
      </c>
      <c r="AO89" s="658" t="s">
        <v>270</v>
      </c>
      <c r="AP89" s="658" t="s">
        <v>271</v>
      </c>
      <c r="AQ89" s="658" t="s">
        <v>272</v>
      </c>
      <c r="AR89" s="184" t="s">
        <v>273</v>
      </c>
      <c r="AS89" s="184" t="s">
        <v>274</v>
      </c>
      <c r="AT89" s="184" t="s">
        <v>275</v>
      </c>
      <c r="AU89" s="184" t="s">
        <v>276</v>
      </c>
      <c r="AV89" s="184" t="s">
        <v>254</v>
      </c>
      <c r="AW89" s="184" t="s">
        <v>332</v>
      </c>
      <c r="AX89" s="602" t="s">
        <v>123</v>
      </c>
      <c r="AY89" s="602" t="s">
        <v>124</v>
      </c>
      <c r="AZ89" s="602" t="s">
        <v>125</v>
      </c>
      <c r="BA89" s="602" t="s">
        <v>126</v>
      </c>
      <c r="BB89" s="602" t="s">
        <v>127</v>
      </c>
      <c r="BC89" s="602" t="s">
        <v>128</v>
      </c>
      <c r="BD89" s="654" t="s">
        <v>129</v>
      </c>
      <c r="BE89" s="654" t="s">
        <v>130</v>
      </c>
      <c r="BF89" s="654" t="s">
        <v>131</v>
      </c>
      <c r="BG89" s="654" t="s">
        <v>132</v>
      </c>
      <c r="BH89" s="654" t="s">
        <v>133</v>
      </c>
      <c r="BI89" s="654" t="s">
        <v>134</v>
      </c>
      <c r="BJ89" s="659" t="s">
        <v>135</v>
      </c>
      <c r="BK89" s="659" t="s">
        <v>136</v>
      </c>
      <c r="BL89" s="659" t="s">
        <v>137</v>
      </c>
      <c r="BM89" s="659" t="s">
        <v>138</v>
      </c>
      <c r="BN89" s="659" t="s">
        <v>139</v>
      </c>
      <c r="BO89" s="659" t="s">
        <v>140</v>
      </c>
      <c r="BP89" s="228" t="s">
        <v>141</v>
      </c>
      <c r="BQ89" s="228" t="s">
        <v>142</v>
      </c>
      <c r="BR89" s="228" t="s">
        <v>143</v>
      </c>
      <c r="BS89" s="228" t="s">
        <v>144</v>
      </c>
      <c r="BT89" s="228" t="s">
        <v>145</v>
      </c>
      <c r="BU89" s="228" t="s">
        <v>146</v>
      </c>
      <c r="BV89" s="183" t="s">
        <v>147</v>
      </c>
      <c r="BW89" s="183" t="s">
        <v>148</v>
      </c>
      <c r="BX89" s="183" t="s">
        <v>149</v>
      </c>
      <c r="BY89" s="183" t="s">
        <v>150</v>
      </c>
      <c r="BZ89" s="183" t="s">
        <v>151</v>
      </c>
      <c r="CA89" s="183" t="s">
        <v>152</v>
      </c>
      <c r="CB89" s="656" t="s">
        <v>153</v>
      </c>
      <c r="CC89" s="656" t="s">
        <v>154</v>
      </c>
      <c r="CD89" s="656" t="s">
        <v>155</v>
      </c>
      <c r="CE89" s="656" t="s">
        <v>156</v>
      </c>
      <c r="CF89" s="656" t="s">
        <v>324</v>
      </c>
      <c r="CG89" s="656" t="s">
        <v>325</v>
      </c>
      <c r="CH89" s="660" t="s">
        <v>326</v>
      </c>
      <c r="CI89" s="660" t="s">
        <v>327</v>
      </c>
      <c r="CJ89" s="660" t="s">
        <v>328</v>
      </c>
      <c r="CK89" s="660" t="s">
        <v>329</v>
      </c>
      <c r="CL89" s="660" t="s">
        <v>330</v>
      </c>
      <c r="CM89" s="660" t="s">
        <v>331</v>
      </c>
      <c r="CN89" s="609" t="s">
        <v>339</v>
      </c>
      <c r="CO89" s="609" t="s">
        <v>340</v>
      </c>
      <c r="CP89" s="609" t="s">
        <v>385</v>
      </c>
      <c r="CQ89" s="763" t="s">
        <v>386</v>
      </c>
      <c r="CR89" s="609" t="s">
        <v>387</v>
      </c>
      <c r="CS89" s="609" t="s">
        <v>388</v>
      </c>
      <c r="CT89" s="785" t="s">
        <v>394</v>
      </c>
      <c r="CU89" s="785" t="s">
        <v>395</v>
      </c>
      <c r="CV89" s="785" t="s">
        <v>396</v>
      </c>
      <c r="CW89" s="785" t="s">
        <v>397</v>
      </c>
      <c r="CX89" s="785" t="s">
        <v>398</v>
      </c>
      <c r="CY89" s="785" t="s">
        <v>399</v>
      </c>
      <c r="CZ89" s="795" t="s">
        <v>405</v>
      </c>
      <c r="DA89" s="795" t="s">
        <v>406</v>
      </c>
      <c r="DB89" s="795" t="s">
        <v>407</v>
      </c>
      <c r="DC89" s="795" t="s">
        <v>408</v>
      </c>
      <c r="DD89" s="795" t="s">
        <v>409</v>
      </c>
      <c r="DE89" s="795" t="s">
        <v>410</v>
      </c>
      <c r="DF89" s="804" t="s">
        <v>418</v>
      </c>
      <c r="DG89" s="804" t="s">
        <v>419</v>
      </c>
      <c r="DH89" s="804" t="s">
        <v>420</v>
      </c>
      <c r="DI89" s="804" t="s">
        <v>421</v>
      </c>
      <c r="DJ89" s="804" t="s">
        <v>422</v>
      </c>
      <c r="DK89" s="804" t="s">
        <v>423</v>
      </c>
      <c r="DL89" s="807" t="s">
        <v>424</v>
      </c>
      <c r="DM89" s="807" t="s">
        <v>425</v>
      </c>
      <c r="DN89" s="807" t="s">
        <v>424</v>
      </c>
      <c r="DO89" s="807" t="s">
        <v>425</v>
      </c>
      <c r="DP89" s="807" t="s">
        <v>422</v>
      </c>
      <c r="DQ89" s="807" t="s">
        <v>423</v>
      </c>
      <c r="DR89" s="831" t="s">
        <v>436</v>
      </c>
      <c r="DS89" s="831" t="s">
        <v>437</v>
      </c>
      <c r="DT89" s="831" t="s">
        <v>438</v>
      </c>
      <c r="DU89" s="831" t="s">
        <v>439</v>
      </c>
      <c r="DV89" s="831" t="s">
        <v>440</v>
      </c>
      <c r="DW89" s="831" t="s">
        <v>441</v>
      </c>
      <c r="DX89" s="922" t="s">
        <v>451</v>
      </c>
      <c r="DY89" s="922" t="s">
        <v>452</v>
      </c>
      <c r="DZ89" s="922" t="s">
        <v>453</v>
      </c>
      <c r="EA89" s="922" t="s">
        <v>454</v>
      </c>
      <c r="EB89" s="922" t="s">
        <v>455</v>
      </c>
      <c r="EC89" s="922" t="s">
        <v>456</v>
      </c>
    </row>
    <row r="90" spans="1:138" s="178" customFormat="1">
      <c r="A90" s="850" t="s">
        <v>445</v>
      </c>
      <c r="B90" s="880">
        <f>(B6/$B$6)*100</f>
        <v>100</v>
      </c>
      <c r="C90" s="880">
        <f>(C6/$B$6)*100</f>
        <v>160.20159853460908</v>
      </c>
      <c r="D90" s="880">
        <f>(D6/$B$6)*100</f>
        <v>68.527850075615419</v>
      </c>
      <c r="E90" s="880">
        <f>(E6/$B$6)*100</f>
        <v>53.154605303440114</v>
      </c>
      <c r="F90" s="880">
        <f t="shared" ref="F90:BO90" si="232">(F6/$B$6)*100</f>
        <v>85.288212502455508</v>
      </c>
      <c r="G90" s="880">
        <f t="shared" si="232"/>
        <v>107.4345518643387</v>
      </c>
      <c r="H90" s="880">
        <f t="shared" si="232"/>
        <v>67.766677730461197</v>
      </c>
      <c r="I90" s="880">
        <f t="shared" si="232"/>
        <v>90.856484171026665</v>
      </c>
      <c r="J90" s="880">
        <f t="shared" si="232"/>
        <v>81.796155587986732</v>
      </c>
      <c r="K90" s="880">
        <f t="shared" si="232"/>
        <v>71.486441027198651</v>
      </c>
      <c r="L90" s="880">
        <f t="shared" si="232"/>
        <v>0</v>
      </c>
      <c r="M90" s="880">
        <f t="shared" si="232"/>
        <v>80.203198836674645</v>
      </c>
      <c r="N90" s="880">
        <f t="shared" si="232"/>
        <v>230.28192800900285</v>
      </c>
      <c r="O90" s="880">
        <f t="shared" si="232"/>
        <v>0</v>
      </c>
      <c r="P90" s="880">
        <f t="shared" si="232"/>
        <v>162.50864210698015</v>
      </c>
      <c r="Q90" s="880">
        <f t="shared" si="232"/>
        <v>60.251291611684145</v>
      </c>
      <c r="R90" s="880">
        <f t="shared" si="232"/>
        <v>62.054299592963169</v>
      </c>
      <c r="S90" s="880">
        <f t="shared" si="232"/>
        <v>55.746822316189501</v>
      </c>
      <c r="T90" s="880">
        <f t="shared" si="232"/>
        <v>0</v>
      </c>
      <c r="U90" s="880">
        <f t="shared" si="232"/>
        <v>0</v>
      </c>
      <c r="V90" s="880">
        <f t="shared" si="232"/>
        <v>0</v>
      </c>
      <c r="W90" s="880">
        <f t="shared" si="232"/>
        <v>0</v>
      </c>
      <c r="X90" s="880">
        <f t="shared" si="232"/>
        <v>197.67957865514097</v>
      </c>
      <c r="Y90" s="880">
        <f t="shared" si="232"/>
        <v>0</v>
      </c>
      <c r="Z90" s="880">
        <f t="shared" si="232"/>
        <v>162.50864210698015</v>
      </c>
      <c r="AA90" s="880">
        <f t="shared" si="232"/>
        <v>62.512205949315373</v>
      </c>
      <c r="AB90" s="880">
        <f t="shared" si="232"/>
        <v>169.5099640508335</v>
      </c>
      <c r="AC90" s="880">
        <f t="shared" si="232"/>
        <v>0</v>
      </c>
      <c r="AD90" s="880">
        <f t="shared" si="232"/>
        <v>33.773502560086293</v>
      </c>
      <c r="AE90" s="880">
        <f t="shared" si="232"/>
        <v>191.59409467069858</v>
      </c>
      <c r="AF90" s="880">
        <f t="shared" si="232"/>
        <v>0</v>
      </c>
      <c r="AG90" s="880">
        <f t="shared" si="232"/>
        <v>246.47357605899521</v>
      </c>
      <c r="AH90" s="880">
        <f t="shared" si="232"/>
        <v>194.0656847784949</v>
      </c>
      <c r="AI90" s="880">
        <f t="shared" si="232"/>
        <v>145.9418118598075</v>
      </c>
      <c r="AJ90" s="880">
        <f t="shared" si="232"/>
        <v>408.00198841062763</v>
      </c>
      <c r="AK90" s="880">
        <f t="shared" si="232"/>
        <v>295.15824203181114</v>
      </c>
      <c r="AL90" s="880">
        <f t="shared" si="232"/>
        <v>244.01073614095674</v>
      </c>
      <c r="AM90" s="880">
        <f t="shared" si="232"/>
        <v>91.520394146017892</v>
      </c>
      <c r="AN90" s="880">
        <f t="shared" si="232"/>
        <v>0</v>
      </c>
      <c r="AO90" s="880">
        <f t="shared" si="232"/>
        <v>0</v>
      </c>
      <c r="AP90" s="880">
        <f t="shared" si="232"/>
        <v>0</v>
      </c>
      <c r="AQ90" s="880">
        <f t="shared" si="232"/>
        <v>0</v>
      </c>
      <c r="AR90" s="880">
        <f t="shared" si="232"/>
        <v>0</v>
      </c>
      <c r="AS90" s="880">
        <f t="shared" si="232"/>
        <v>0</v>
      </c>
      <c r="AT90" s="880">
        <f t="shared" si="232"/>
        <v>0</v>
      </c>
      <c r="AU90" s="880">
        <f t="shared" si="232"/>
        <v>0</v>
      </c>
      <c r="AV90" s="880">
        <f t="shared" si="232"/>
        <v>0</v>
      </c>
      <c r="AW90" s="880">
        <f t="shared" si="232"/>
        <v>0</v>
      </c>
      <c r="AX90" s="880">
        <f t="shared" si="232"/>
        <v>127.48305744267662</v>
      </c>
      <c r="AY90" s="880">
        <f t="shared" si="232"/>
        <v>0</v>
      </c>
      <c r="AZ90" s="880">
        <f t="shared" si="232"/>
        <v>169.05159571612842</v>
      </c>
      <c r="BA90" s="880">
        <f t="shared" si="232"/>
        <v>72.282278620846995</v>
      </c>
      <c r="BB90" s="880">
        <f t="shared" si="232"/>
        <v>83.690567234071437</v>
      </c>
      <c r="BC90" s="880">
        <f t="shared" si="232"/>
        <v>104.10091031671547</v>
      </c>
      <c r="BD90" s="880">
        <f t="shared" si="232"/>
        <v>158.80204920577927</v>
      </c>
      <c r="BE90" s="880">
        <f t="shared" si="232"/>
        <v>242.47129595464085</v>
      </c>
      <c r="BF90" s="880">
        <f t="shared" si="232"/>
        <v>232.7815515015912</v>
      </c>
      <c r="BG90" s="880">
        <f t="shared" si="232"/>
        <v>255.42033963575275</v>
      </c>
      <c r="BH90" s="880">
        <f t="shared" si="232"/>
        <v>199.47330270940665</v>
      </c>
      <c r="BI90" s="880">
        <f t="shared" si="232"/>
        <v>216.26273955033773</v>
      </c>
      <c r="BJ90" s="880">
        <f t="shared" si="232"/>
        <v>196.96210693188388</v>
      </c>
      <c r="BK90" s="880">
        <f t="shared" si="232"/>
        <v>183.30005480678921</v>
      </c>
      <c r="BL90" s="880">
        <f t="shared" si="232"/>
        <v>219.08354693511237</v>
      </c>
      <c r="BM90" s="880">
        <f t="shared" si="232"/>
        <v>237.1552152701895</v>
      </c>
      <c r="BN90" s="880">
        <f t="shared" si="232"/>
        <v>134.29386338800114</v>
      </c>
      <c r="BO90" s="880">
        <f t="shared" si="232"/>
        <v>99.017810994962716</v>
      </c>
      <c r="BP90" s="880">
        <f t="shared" ref="BP90:DV90" si="233">(BP6/$B$6)*100</f>
        <v>154.99649077510176</v>
      </c>
      <c r="BQ90" s="880">
        <f t="shared" si="233"/>
        <v>110.80555082000836</v>
      </c>
      <c r="BR90" s="880">
        <f t="shared" si="233"/>
        <v>160.28856793273408</v>
      </c>
      <c r="BS90" s="880">
        <f t="shared" si="233"/>
        <v>69.88300384922735</v>
      </c>
      <c r="BT90" s="880">
        <f t="shared" si="233"/>
        <v>297.39954184385147</v>
      </c>
      <c r="BU90" s="880">
        <f t="shared" si="233"/>
        <v>234.46291677751302</v>
      </c>
      <c r="BV90" s="880">
        <f t="shared" si="233"/>
        <v>92.568249816133857</v>
      </c>
      <c r="BW90" s="880">
        <f t="shared" si="233"/>
        <v>165.45192752404949</v>
      </c>
      <c r="BX90" s="880">
        <f t="shared" si="233"/>
        <v>67.707807860493077</v>
      </c>
      <c r="BY90" s="880">
        <f t="shared" si="233"/>
        <v>47.956465184682557</v>
      </c>
      <c r="BZ90" s="880">
        <f t="shared" si="233"/>
        <v>218.91311492493628</v>
      </c>
      <c r="CA90" s="880">
        <f t="shared" si="233"/>
        <v>238.88314613532108</v>
      </c>
      <c r="CB90" s="880">
        <f t="shared" si="233"/>
        <v>221.25679288240869</v>
      </c>
      <c r="CC90" s="880">
        <f t="shared" si="233"/>
        <v>209.94115064858309</v>
      </c>
      <c r="CD90" s="880">
        <f t="shared" si="233"/>
        <v>185.74933003785148</v>
      </c>
      <c r="CE90" s="880">
        <f t="shared" si="233"/>
        <v>277.34928502148881</v>
      </c>
      <c r="CF90" s="880">
        <f t="shared" si="233"/>
        <v>109.02616874098288</v>
      </c>
      <c r="CG90" s="880">
        <f t="shared" si="233"/>
        <v>294.74506588702252</v>
      </c>
      <c r="CH90" s="880">
        <f t="shared" si="233"/>
        <v>319.69239278093909</v>
      </c>
      <c r="CI90" s="880">
        <f t="shared" si="233"/>
        <v>172.26863179851864</v>
      </c>
      <c r="CJ90" s="880">
        <f t="shared" si="233"/>
        <v>280.24508342895354</v>
      </c>
      <c r="CK90" s="880">
        <f t="shared" si="233"/>
        <v>208.60987854312052</v>
      </c>
      <c r="CL90" s="880">
        <f t="shared" si="233"/>
        <v>116.47275521720766</v>
      </c>
      <c r="CM90" s="880">
        <f t="shared" si="233"/>
        <v>140.62453688461792</v>
      </c>
      <c r="CN90" s="880">
        <f t="shared" si="233"/>
        <v>68.004248375557765</v>
      </c>
      <c r="CO90" s="880">
        <f t="shared" si="233"/>
        <v>166.49688125010712</v>
      </c>
      <c r="CP90" s="880">
        <f t="shared" si="233"/>
        <v>192.37780875882359</v>
      </c>
      <c r="CQ90" s="880">
        <f t="shared" si="233"/>
        <v>586.57366975826335</v>
      </c>
      <c r="CR90" s="880">
        <f t="shared" si="233"/>
        <v>138.87961513294357</v>
      </c>
      <c r="CS90" s="880">
        <f t="shared" si="233"/>
        <v>130.12338934979209</v>
      </c>
      <c r="CT90" s="880">
        <f t="shared" si="233"/>
        <v>57.034579667612007</v>
      </c>
      <c r="CU90" s="880">
        <f t="shared" si="233"/>
        <v>117.42250613835957</v>
      </c>
      <c r="CV90" s="880">
        <f t="shared" si="233"/>
        <v>123.1649278668733</v>
      </c>
      <c r="CW90" s="880">
        <f t="shared" si="233"/>
        <v>139.81378528748016</v>
      </c>
      <c r="CX90" s="880">
        <f t="shared" si="233"/>
        <v>110.99770579588596</v>
      </c>
      <c r="CY90" s="880">
        <f t="shared" si="233"/>
        <v>112.72452067247714</v>
      </c>
      <c r="CZ90" s="880">
        <f t="shared" si="233"/>
        <v>0</v>
      </c>
      <c r="DA90" s="880">
        <f t="shared" si="233"/>
        <v>0</v>
      </c>
      <c r="DB90" s="880">
        <f t="shared" si="233"/>
        <v>0</v>
      </c>
      <c r="DC90" s="880">
        <f t="shared" si="233"/>
        <v>5.2985228954408905</v>
      </c>
      <c r="DD90" s="880">
        <f t="shared" si="233"/>
        <v>11.465000374810801</v>
      </c>
      <c r="DE90" s="880">
        <f t="shared" si="233"/>
        <v>34.790484168758709</v>
      </c>
      <c r="DF90" s="880">
        <f t="shared" si="233"/>
        <v>7.4790049173329436</v>
      </c>
      <c r="DG90" s="880">
        <f t="shared" si="233"/>
        <v>18.448349884231881</v>
      </c>
      <c r="DH90" s="880">
        <f t="shared" si="233"/>
        <v>37.64779214546887</v>
      </c>
      <c r="DI90" s="880">
        <f t="shared" si="233"/>
        <v>39.102674843717786</v>
      </c>
      <c r="DJ90" s="880">
        <f t="shared" si="233"/>
        <v>82.577802373550583</v>
      </c>
      <c r="DK90" s="880">
        <f t="shared" si="233"/>
        <v>69.376020987489909</v>
      </c>
      <c r="DL90" s="880">
        <f t="shared" si="233"/>
        <v>89.957716877978498</v>
      </c>
      <c r="DM90" s="880">
        <f t="shared" si="233"/>
        <v>73.869932144920426</v>
      </c>
      <c r="DN90" s="880">
        <f t="shared" si="233"/>
        <v>65.421989895521023</v>
      </c>
      <c r="DO90" s="880">
        <f t="shared" si="233"/>
        <v>70.051022853863046</v>
      </c>
      <c r="DP90" s="880">
        <f t="shared" si="233"/>
        <v>75.209080855553907</v>
      </c>
      <c r="DQ90" s="880">
        <f t="shared" si="233"/>
        <v>73.980960602554461</v>
      </c>
      <c r="DR90" s="880">
        <f t="shared" si="233"/>
        <v>217.37563751205596</v>
      </c>
      <c r="DS90" s="880">
        <f t="shared" si="233"/>
        <v>160.0648098308499</v>
      </c>
      <c r="DT90" s="880">
        <f t="shared" si="233"/>
        <v>137.75465759293013</v>
      </c>
      <c r="DU90" s="880">
        <f t="shared" si="233"/>
        <v>137.17290331358549</v>
      </c>
      <c r="DV90" s="880">
        <f t="shared" si="233"/>
        <v>126.57780039936988</v>
      </c>
      <c r="DW90" s="880">
        <f>(DW6/$B$6)*100</f>
        <v>151.16836651731168</v>
      </c>
      <c r="DX90" s="880">
        <f t="shared" ref="DX90:EB90" si="234">(DX6/$B$6)*100</f>
        <v>146.92089718218284</v>
      </c>
      <c r="DY90" s="880">
        <f t="shared" si="234"/>
        <v>99.726028241805693</v>
      </c>
      <c r="DZ90" s="880">
        <f t="shared" si="234"/>
        <v>102.83665041200116</v>
      </c>
      <c r="EA90" s="880">
        <f t="shared" si="234"/>
        <v>143.03710272380897</v>
      </c>
      <c r="EB90" s="880">
        <f t="shared" si="234"/>
        <v>166.89054118111187</v>
      </c>
      <c r="EC90" s="880">
        <f>(EC6/$B$6)*100</f>
        <v>158.36414343123317</v>
      </c>
      <c r="ED90" s="852"/>
      <c r="EE90" s="852"/>
      <c r="EF90" s="852"/>
      <c r="EG90" s="852"/>
      <c r="EH90" s="852"/>
    </row>
    <row r="91" spans="1:138">
      <c r="A91" s="186" t="s">
        <v>9</v>
      </c>
      <c r="B91" s="191">
        <f t="shared" ref="B91:AG91" si="235">(B7/$B$7)*100</f>
        <v>100</v>
      </c>
      <c r="C91" s="191">
        <f t="shared" si="235"/>
        <v>0</v>
      </c>
      <c r="D91" s="191">
        <f t="shared" si="235"/>
        <v>191.9554022763316</v>
      </c>
      <c r="E91" s="191">
        <f t="shared" si="235"/>
        <v>0</v>
      </c>
      <c r="F91" s="191">
        <f t="shared" si="235"/>
        <v>569.92567046055262</v>
      </c>
      <c r="G91" s="191">
        <f t="shared" si="235"/>
        <v>1156.8067431974368</v>
      </c>
      <c r="H91" s="191">
        <f t="shared" si="235"/>
        <v>725</v>
      </c>
      <c r="I91" s="191">
        <f t="shared" si="235"/>
        <v>349.99999999999994</v>
      </c>
      <c r="J91" s="191">
        <f t="shared" si="235"/>
        <v>675</v>
      </c>
      <c r="K91" s="191">
        <f t="shared" si="235"/>
        <v>764.85134092110525</v>
      </c>
      <c r="L91" s="191">
        <f t="shared" si="235"/>
        <v>0</v>
      </c>
      <c r="M91" s="191">
        <f t="shared" si="235"/>
        <v>311.88107273688416</v>
      </c>
      <c r="N91" s="191">
        <f t="shared" si="235"/>
        <v>1263.6134863948739</v>
      </c>
      <c r="O91" s="191">
        <f t="shared" si="235"/>
        <v>0</v>
      </c>
      <c r="P91" s="191">
        <f t="shared" si="235"/>
        <v>2129.7026818422109</v>
      </c>
      <c r="Q91" s="191">
        <f t="shared" si="235"/>
        <v>2075</v>
      </c>
      <c r="R91" s="191">
        <f t="shared" si="235"/>
        <v>750</v>
      </c>
      <c r="S91" s="191">
        <f t="shared" si="235"/>
        <v>311.88107273688416</v>
      </c>
      <c r="T91" s="191">
        <f t="shared" si="235"/>
        <v>0</v>
      </c>
      <c r="U91" s="191">
        <f t="shared" si="235"/>
        <v>0</v>
      </c>
      <c r="V91" s="191">
        <f t="shared" si="235"/>
        <v>0</v>
      </c>
      <c r="W91" s="191">
        <f t="shared" si="235"/>
        <v>0</v>
      </c>
      <c r="X91" s="191">
        <f t="shared" si="235"/>
        <v>194.92567046055262</v>
      </c>
      <c r="Y91" s="191">
        <f t="shared" si="235"/>
        <v>0</v>
      </c>
      <c r="Z91" s="191">
        <f t="shared" si="235"/>
        <v>2129.7026818422109</v>
      </c>
      <c r="AA91" s="191">
        <f t="shared" si="235"/>
        <v>475</v>
      </c>
      <c r="AB91" s="191">
        <f t="shared" si="235"/>
        <v>405.94053636844211</v>
      </c>
      <c r="AC91" s="191">
        <f t="shared" si="235"/>
        <v>0</v>
      </c>
      <c r="AD91" s="191">
        <f t="shared" si="235"/>
        <v>1286.5094250396473</v>
      </c>
      <c r="AE91" s="191">
        <f t="shared" si="235"/>
        <v>1905.5688886712055</v>
      </c>
      <c r="AF91" s="191">
        <f t="shared" si="235"/>
        <v>0</v>
      </c>
      <c r="AG91" s="191">
        <f t="shared" si="235"/>
        <v>2379.7026818422105</v>
      </c>
      <c r="AH91" s="191">
        <f t="shared" ref="AH91:BM91" si="236">(AH7/$B$7)*100</f>
        <v>3641.5837545790951</v>
      </c>
      <c r="AI91" s="191">
        <f t="shared" si="236"/>
        <v>3228.0931796187424</v>
      </c>
      <c r="AJ91" s="191">
        <f t="shared" si="236"/>
        <v>8991.7066660136152</v>
      </c>
      <c r="AK91" s="191">
        <f t="shared" si="236"/>
        <v>2981.4350955002001</v>
      </c>
      <c r="AL91" s="191">
        <f t="shared" si="236"/>
        <v>9027.9673547905477</v>
      </c>
      <c r="AM91" s="191">
        <f t="shared" si="236"/>
        <v>764.85134092110525</v>
      </c>
      <c r="AN91" s="191">
        <f t="shared" si="236"/>
        <v>0</v>
      </c>
      <c r="AO91" s="191">
        <f t="shared" si="236"/>
        <v>0</v>
      </c>
      <c r="AP91" s="191">
        <f t="shared" si="236"/>
        <v>0</v>
      </c>
      <c r="AQ91" s="191">
        <f t="shared" si="236"/>
        <v>0</v>
      </c>
      <c r="AR91" s="191">
        <f t="shared" si="236"/>
        <v>0</v>
      </c>
      <c r="AS91" s="191">
        <f t="shared" si="236"/>
        <v>0</v>
      </c>
      <c r="AT91" s="191">
        <f t="shared" si="236"/>
        <v>0</v>
      </c>
      <c r="AU91" s="191">
        <f t="shared" si="236"/>
        <v>0</v>
      </c>
      <c r="AV91" s="191">
        <f t="shared" si="236"/>
        <v>0</v>
      </c>
      <c r="AW91" s="191">
        <f t="shared" si="236"/>
        <v>0</v>
      </c>
      <c r="AX91" s="191">
        <f t="shared" si="236"/>
        <v>2129.7026818422109</v>
      </c>
      <c r="AY91" s="191">
        <f t="shared" si="236"/>
        <v>0</v>
      </c>
      <c r="AZ91" s="191">
        <f t="shared" si="236"/>
        <v>250.00000000000006</v>
      </c>
      <c r="BA91" s="191">
        <f t="shared" si="236"/>
        <v>0</v>
      </c>
      <c r="BB91" s="191">
        <f t="shared" si="236"/>
        <v>375</v>
      </c>
      <c r="BC91" s="191">
        <f t="shared" si="236"/>
        <v>1156.8067431974368</v>
      </c>
      <c r="BD91" s="191">
        <f t="shared" si="236"/>
        <v>766.9554022763316</v>
      </c>
      <c r="BE91" s="191">
        <f t="shared" si="236"/>
        <v>1075</v>
      </c>
      <c r="BF91" s="191">
        <f t="shared" si="236"/>
        <v>1030.9405363684421</v>
      </c>
      <c r="BG91" s="191">
        <f t="shared" si="236"/>
        <v>4649.7512637372847</v>
      </c>
      <c r="BH91" s="191">
        <f t="shared" si="236"/>
        <v>6073.0188500792956</v>
      </c>
      <c r="BI91" s="191">
        <f t="shared" si="236"/>
        <v>4649.7512637372847</v>
      </c>
      <c r="BJ91" s="191">
        <f t="shared" si="236"/>
        <v>2739.4796932238687</v>
      </c>
      <c r="BK91" s="191">
        <f t="shared" si="236"/>
        <v>6244.3052865006002</v>
      </c>
      <c r="BL91" s="191">
        <f t="shared" si="236"/>
        <v>8206.1863592374848</v>
      </c>
      <c r="BM91" s="191">
        <f t="shared" si="236"/>
        <v>3361.1377773424101</v>
      </c>
      <c r="BN91" s="191">
        <f t="shared" ref="BN91:CS91" si="237">(BN7/$B$7)*100</f>
        <v>2435.6432182106523</v>
      </c>
      <c r="BO91" s="191">
        <f t="shared" si="237"/>
        <v>2246.2864364213056</v>
      </c>
      <c r="BP91" s="191">
        <f t="shared" si="237"/>
        <v>1598.7621454737687</v>
      </c>
      <c r="BQ91" s="191">
        <f t="shared" si="237"/>
        <v>1663.9851340921105</v>
      </c>
      <c r="BR91" s="191">
        <f t="shared" si="237"/>
        <v>4498.8850569082888</v>
      </c>
      <c r="BS91" s="191">
        <f t="shared" si="237"/>
        <v>291.95540227633154</v>
      </c>
      <c r="BT91" s="191">
        <f t="shared" si="237"/>
        <v>4253.0931796187415</v>
      </c>
      <c r="BU91" s="191">
        <f t="shared" si="237"/>
        <v>14090.342986659189</v>
      </c>
      <c r="BV91" s="191">
        <f t="shared" si="237"/>
        <v>100</v>
      </c>
      <c r="BW91" s="191">
        <f t="shared" si="237"/>
        <v>0</v>
      </c>
      <c r="BX91" s="191">
        <f t="shared" si="237"/>
        <v>191.9554022763316</v>
      </c>
      <c r="BY91" s="191">
        <f t="shared" si="237"/>
        <v>0</v>
      </c>
      <c r="BZ91" s="191">
        <f t="shared" si="237"/>
        <v>545.79187728954741</v>
      </c>
      <c r="CA91" s="191">
        <f t="shared" si="237"/>
        <v>1748.3904977765317</v>
      </c>
      <c r="CB91" s="191">
        <f t="shared" si="237"/>
        <v>244.92567046055265</v>
      </c>
      <c r="CC91" s="191">
        <f t="shared" si="237"/>
        <v>225</v>
      </c>
      <c r="CD91" s="191">
        <f t="shared" si="237"/>
        <v>3662.0039841714051</v>
      </c>
      <c r="CE91" s="191">
        <f t="shared" si="237"/>
        <v>3908.5391568554264</v>
      </c>
      <c r="CF91" s="191">
        <f t="shared" si="237"/>
        <v>1983.9108045526632</v>
      </c>
      <c r="CG91" s="191">
        <f t="shared" si="237"/>
        <v>2671.6580841185423</v>
      </c>
      <c r="CH91" s="191">
        <f t="shared" si="237"/>
        <v>11608.662068289948</v>
      </c>
      <c r="CI91" s="191">
        <f t="shared" si="237"/>
        <v>950</v>
      </c>
      <c r="CJ91" s="191">
        <f t="shared" si="237"/>
        <v>4129.70268184221</v>
      </c>
      <c r="CK91" s="191">
        <f t="shared" si="237"/>
        <v>2546.2864364213056</v>
      </c>
      <c r="CL91" s="191">
        <f t="shared" si="237"/>
        <v>2845.7918772895473</v>
      </c>
      <c r="CM91" s="191">
        <f t="shared" si="237"/>
        <v>3124.2567046055265</v>
      </c>
      <c r="CN91" s="191">
        <f t="shared" si="237"/>
        <v>2097.5242909475364</v>
      </c>
      <c r="CO91" s="191">
        <f t="shared" si="237"/>
        <v>3139.4796932238683</v>
      </c>
      <c r="CP91" s="771">
        <f t="shared" si="237"/>
        <v>4792.5728728426111</v>
      </c>
      <c r="CQ91" s="771">
        <f t="shared" si="237"/>
        <v>20725.866206828992</v>
      </c>
      <c r="CR91" s="771">
        <f t="shared" si="237"/>
        <v>1546.6580841185423</v>
      </c>
      <c r="CS91" s="771">
        <f t="shared" si="237"/>
        <v>982.67295002643175</v>
      </c>
      <c r="CT91" s="191">
        <f t="shared" ref="CT91:DW91" si="238">(CT7/$B$7)*100</f>
        <v>138.98513409211054</v>
      </c>
      <c r="CU91" s="191">
        <f t="shared" si="238"/>
        <v>194.92567046055262</v>
      </c>
      <c r="CV91" s="771">
        <f t="shared" si="238"/>
        <v>1572.5242909475367</v>
      </c>
      <c r="CW91" s="771">
        <f t="shared" si="238"/>
        <v>288.98513409211051</v>
      </c>
      <c r="CX91" s="771">
        <f t="shared" si="238"/>
        <v>77.970268184221041</v>
      </c>
      <c r="CY91" s="771">
        <f t="shared" si="238"/>
        <v>0</v>
      </c>
      <c r="CZ91" s="191">
        <f t="shared" si="238"/>
        <v>0</v>
      </c>
      <c r="DA91" s="191">
        <f t="shared" si="238"/>
        <v>0</v>
      </c>
      <c r="DB91" s="771">
        <f t="shared" si="238"/>
        <v>0</v>
      </c>
      <c r="DC91" s="771">
        <f t="shared" si="238"/>
        <v>0</v>
      </c>
      <c r="DD91" s="771">
        <f t="shared" si="238"/>
        <v>38.98513409211052</v>
      </c>
      <c r="DE91" s="771">
        <f t="shared" si="238"/>
        <v>688.98513409211057</v>
      </c>
      <c r="DF91" s="191">
        <f t="shared" si="238"/>
        <v>0</v>
      </c>
      <c r="DG91" s="191">
        <f t="shared" si="238"/>
        <v>272.89593864477371</v>
      </c>
      <c r="DH91" s="771">
        <f t="shared" si="238"/>
        <v>968.68781593432107</v>
      </c>
      <c r="DI91" s="771">
        <f t="shared" si="238"/>
        <v>2247.1526432503001</v>
      </c>
      <c r="DJ91" s="771">
        <f t="shared" si="238"/>
        <v>2489.4796932238683</v>
      </c>
      <c r="DK91" s="771">
        <f t="shared" si="238"/>
        <v>2021.6580841185423</v>
      </c>
      <c r="DL91" s="191">
        <f t="shared" si="238"/>
        <v>3142.9445205398474</v>
      </c>
      <c r="DM91" s="191">
        <f t="shared" si="238"/>
        <v>2380.1972409739683</v>
      </c>
      <c r="DN91" s="771">
        <f t="shared" si="238"/>
        <v>2208.353333006808</v>
      </c>
      <c r="DO91" s="771">
        <f t="shared" si="238"/>
        <v>2414.9642525188892</v>
      </c>
      <c r="DP91" s="771">
        <f t="shared" si="238"/>
        <v>2442.9328540636543</v>
      </c>
      <c r="DQ91" s="771">
        <f t="shared" si="238"/>
        <v>2435.1750475369513</v>
      </c>
      <c r="DR91" s="191">
        <f t="shared" si="238"/>
        <v>1091.5837545790948</v>
      </c>
      <c r="DS91" s="191">
        <f t="shared" si="238"/>
        <v>759.77701138165787</v>
      </c>
      <c r="DT91" s="771">
        <f t="shared" si="238"/>
        <v>706.80674319743684</v>
      </c>
      <c r="DU91" s="774">
        <f t="shared" si="238"/>
        <v>3469.1823750660787</v>
      </c>
      <c r="DV91" s="774">
        <f t="shared" si="238"/>
        <v>2380.1972409739683</v>
      </c>
      <c r="DW91" s="771">
        <f t="shared" si="238"/>
        <v>5977.8444433560262</v>
      </c>
      <c r="DX91" s="191">
        <f t="shared" ref="DX91:EC91" si="239">(DX7/$B$7)*100</f>
        <v>5065.0971637901475</v>
      </c>
      <c r="DY91" s="191">
        <f t="shared" si="239"/>
        <v>1775.4945591317576</v>
      </c>
      <c r="DZ91" s="771">
        <f t="shared" si="239"/>
        <v>1845.4202295923108</v>
      </c>
      <c r="EA91" s="774">
        <f t="shared" si="239"/>
        <v>4725.6174705662788</v>
      </c>
      <c r="EB91" s="774">
        <f t="shared" si="239"/>
        <v>1325.4945591317578</v>
      </c>
      <c r="EC91" s="771">
        <f t="shared" si="239"/>
        <v>4756.1863592374839</v>
      </c>
    </row>
    <row r="92" spans="1:138">
      <c r="A92" s="189" t="s">
        <v>12</v>
      </c>
      <c r="B92" s="191">
        <f t="shared" ref="B92:AG92" si="240">(B8/$B$8)*100</f>
        <v>100</v>
      </c>
      <c r="C92" s="191">
        <f t="shared" si="240"/>
        <v>81.729971477151338</v>
      </c>
      <c r="D92" s="191">
        <f t="shared" si="240"/>
        <v>146.85254377528628</v>
      </c>
      <c r="E92" s="191">
        <f t="shared" si="240"/>
        <v>99.497356580879881</v>
      </c>
      <c r="F92" s="191">
        <f t="shared" si="240"/>
        <v>57.721026822552403</v>
      </c>
      <c r="G92" s="191">
        <f t="shared" si="240"/>
        <v>218.51126705838274</v>
      </c>
      <c r="H92" s="191">
        <f t="shared" si="240"/>
        <v>388.33428209952262</v>
      </c>
      <c r="I92" s="191">
        <f t="shared" si="240"/>
        <v>341.13379399158811</v>
      </c>
      <c r="J92" s="191">
        <f t="shared" si="240"/>
        <v>63.493129504807641</v>
      </c>
      <c r="K92" s="191">
        <f t="shared" si="240"/>
        <v>527.36560335636887</v>
      </c>
      <c r="L92" s="191">
        <f t="shared" si="240"/>
        <v>0</v>
      </c>
      <c r="M92" s="191">
        <f t="shared" si="240"/>
        <v>248.74339145219966</v>
      </c>
      <c r="N92" s="191">
        <f t="shared" si="240"/>
        <v>1240.8741756444017</v>
      </c>
      <c r="O92" s="191">
        <f t="shared" si="240"/>
        <v>0</v>
      </c>
      <c r="P92" s="191">
        <f t="shared" si="240"/>
        <v>643.97657560818482</v>
      </c>
      <c r="Q92" s="191">
        <f t="shared" si="240"/>
        <v>99.184385335136454</v>
      </c>
      <c r="R92" s="191">
        <f t="shared" si="240"/>
        <v>14.21390808298284</v>
      </c>
      <c r="S92" s="191">
        <f t="shared" si="240"/>
        <v>17.316308046765723</v>
      </c>
      <c r="T92" s="191">
        <f t="shared" si="240"/>
        <v>0</v>
      </c>
      <c r="U92" s="191">
        <f t="shared" si="240"/>
        <v>0</v>
      </c>
      <c r="V92" s="191">
        <f t="shared" si="240"/>
        <v>0</v>
      </c>
      <c r="W92" s="191">
        <f t="shared" si="240"/>
        <v>0</v>
      </c>
      <c r="X92" s="191">
        <f t="shared" si="240"/>
        <v>975.07409449262286</v>
      </c>
      <c r="Y92" s="191">
        <f t="shared" si="240"/>
        <v>0</v>
      </c>
      <c r="Z92" s="191">
        <f t="shared" si="240"/>
        <v>643.97657560818482</v>
      </c>
      <c r="AA92" s="191">
        <f t="shared" si="240"/>
        <v>89.547620922791893</v>
      </c>
      <c r="AB92" s="191">
        <f t="shared" si="240"/>
        <v>686.88021918837364</v>
      </c>
      <c r="AC92" s="191">
        <f t="shared" si="240"/>
        <v>0</v>
      </c>
      <c r="AD92" s="191">
        <f t="shared" si="240"/>
        <v>109.6699509628496</v>
      </c>
      <c r="AE92" s="191">
        <f t="shared" si="240"/>
        <v>108.28353324145607</v>
      </c>
      <c r="AF92" s="191">
        <f t="shared" si="240"/>
        <v>0</v>
      </c>
      <c r="AG92" s="191">
        <f t="shared" si="240"/>
        <v>97.797967613742969</v>
      </c>
      <c r="AH92" s="191">
        <f t="shared" ref="AH92:BM92" si="241">(AH8/$B$8)*100</f>
        <v>418.33282855105915</v>
      </c>
      <c r="AI92" s="191">
        <f t="shared" si="241"/>
        <v>146.48800616738555</v>
      </c>
      <c r="AJ92" s="191">
        <f t="shared" si="241"/>
        <v>1355.3642953498236</v>
      </c>
      <c r="AK92" s="191">
        <f t="shared" si="241"/>
        <v>446.50638597903793</v>
      </c>
      <c r="AL92" s="191">
        <f t="shared" si="241"/>
        <v>485.36998794695921</v>
      </c>
      <c r="AM92" s="191">
        <f t="shared" si="241"/>
        <v>527.36560335636887</v>
      </c>
      <c r="AN92" s="191">
        <f t="shared" si="241"/>
        <v>0</v>
      </c>
      <c r="AO92" s="191">
        <f t="shared" si="241"/>
        <v>0</v>
      </c>
      <c r="AP92" s="191">
        <f t="shared" si="241"/>
        <v>0</v>
      </c>
      <c r="AQ92" s="191">
        <f t="shared" si="241"/>
        <v>0</v>
      </c>
      <c r="AR92" s="191">
        <f t="shared" si="241"/>
        <v>0</v>
      </c>
      <c r="AS92" s="191">
        <f t="shared" si="241"/>
        <v>0</v>
      </c>
      <c r="AT92" s="191">
        <f t="shared" si="241"/>
        <v>0</v>
      </c>
      <c r="AU92" s="191">
        <f t="shared" si="241"/>
        <v>0</v>
      </c>
      <c r="AV92" s="191">
        <f t="shared" si="241"/>
        <v>0</v>
      </c>
      <c r="AW92" s="191">
        <f t="shared" si="241"/>
        <v>0</v>
      </c>
      <c r="AX92" s="191">
        <f t="shared" si="241"/>
        <v>638.20447292592951</v>
      </c>
      <c r="AY92" s="191">
        <f t="shared" si="241"/>
        <v>0</v>
      </c>
      <c r="AZ92" s="191">
        <f t="shared" si="241"/>
        <v>686.88021918837364</v>
      </c>
      <c r="BA92" s="191">
        <f t="shared" si="241"/>
        <v>248.74339145219966</v>
      </c>
      <c r="BB92" s="191">
        <f t="shared" si="241"/>
        <v>57.721026822552403</v>
      </c>
      <c r="BC92" s="191">
        <f t="shared" si="241"/>
        <v>218.51126705838274</v>
      </c>
      <c r="BD92" s="191">
        <f t="shared" si="241"/>
        <v>4.974867829043994</v>
      </c>
      <c r="BE92" s="191">
        <f t="shared" si="241"/>
        <v>49.74867829043994</v>
      </c>
      <c r="BF92" s="191">
        <f t="shared" si="241"/>
        <v>283.56746625550767</v>
      </c>
      <c r="BG92" s="191">
        <f t="shared" si="241"/>
        <v>302.31639877662479</v>
      </c>
      <c r="BH92" s="191">
        <f t="shared" si="241"/>
        <v>387.25904908747276</v>
      </c>
      <c r="BI92" s="191">
        <f t="shared" si="241"/>
        <v>302.31639877662479</v>
      </c>
      <c r="BJ92" s="191">
        <f t="shared" si="241"/>
        <v>279.85750361189025</v>
      </c>
      <c r="BK92" s="191">
        <f t="shared" si="241"/>
        <v>113.00056925971359</v>
      </c>
      <c r="BL92" s="191">
        <f t="shared" si="241"/>
        <v>576.96315563313635</v>
      </c>
      <c r="BM92" s="191">
        <f t="shared" si="241"/>
        <v>621.82350554359448</v>
      </c>
      <c r="BN92" s="191">
        <f t="shared" ref="BN92:CS92" si="242">(BN8/$B$8)*100</f>
        <v>192.47336891565095</v>
      </c>
      <c r="BO92" s="191">
        <f t="shared" si="242"/>
        <v>311.28458701732421</v>
      </c>
      <c r="BP92" s="191">
        <f t="shared" si="242"/>
        <v>1255.9718580296581</v>
      </c>
      <c r="BQ92" s="191">
        <f t="shared" si="242"/>
        <v>7.6961369096736538</v>
      </c>
      <c r="BR92" s="191">
        <f t="shared" si="242"/>
        <v>1012.7225711008751</v>
      </c>
      <c r="BS92" s="191">
        <f t="shared" si="242"/>
        <v>34.581049731374144</v>
      </c>
      <c r="BT92" s="191">
        <f t="shared" si="242"/>
        <v>115.13265547216101</v>
      </c>
      <c r="BU92" s="191">
        <f t="shared" si="242"/>
        <v>167.324604684392</v>
      </c>
      <c r="BV92" s="191">
        <f t="shared" si="242"/>
        <v>267.44075761115954</v>
      </c>
      <c r="BW92" s="191">
        <f t="shared" si="242"/>
        <v>221.26393615311756</v>
      </c>
      <c r="BX92" s="191">
        <f t="shared" si="242"/>
        <v>85.283448497897027</v>
      </c>
      <c r="BY92" s="191">
        <f t="shared" si="242"/>
        <v>0</v>
      </c>
      <c r="BZ92" s="191">
        <f t="shared" si="242"/>
        <v>751.20504218564315</v>
      </c>
      <c r="CA92" s="191">
        <f t="shared" si="242"/>
        <v>397.78137433849054</v>
      </c>
      <c r="CB92" s="191">
        <f t="shared" si="242"/>
        <v>661.57675587064273</v>
      </c>
      <c r="CC92" s="191">
        <f t="shared" si="242"/>
        <v>408.45125253038094</v>
      </c>
      <c r="CD92" s="191">
        <f t="shared" si="242"/>
        <v>449.24603487131992</v>
      </c>
      <c r="CE92" s="191">
        <f t="shared" si="242"/>
        <v>759.49036196349891</v>
      </c>
      <c r="CF92" s="191">
        <f t="shared" si="242"/>
        <v>194.52248875183588</v>
      </c>
      <c r="CG92" s="191">
        <f t="shared" si="242"/>
        <v>465.38397718172109</v>
      </c>
      <c r="CH92" s="191">
        <f t="shared" si="242"/>
        <v>349.4706801316014</v>
      </c>
      <c r="CI92" s="191">
        <f t="shared" si="242"/>
        <v>260.73510080087334</v>
      </c>
      <c r="CJ92" s="191">
        <f t="shared" si="242"/>
        <v>405.99674794253684</v>
      </c>
      <c r="CK92" s="191">
        <f t="shared" si="242"/>
        <v>102.94591434091119</v>
      </c>
      <c r="CL92" s="191">
        <f t="shared" si="242"/>
        <v>197.6764550777761</v>
      </c>
      <c r="CM92" s="191">
        <f t="shared" si="242"/>
        <v>50.562506418903688</v>
      </c>
      <c r="CN92" s="191">
        <f t="shared" si="242"/>
        <v>94.40097621586898</v>
      </c>
      <c r="CO92" s="191">
        <f t="shared" si="242"/>
        <v>332.60544914179843</v>
      </c>
      <c r="CP92" s="771">
        <f t="shared" si="242"/>
        <v>219.15380282512206</v>
      </c>
      <c r="CQ92" s="771">
        <f t="shared" si="242"/>
        <v>346.8193572247813</v>
      </c>
      <c r="CR92" s="771">
        <f t="shared" si="242"/>
        <v>128.42781616596571</v>
      </c>
      <c r="CS92" s="771">
        <f t="shared" si="242"/>
        <v>165.9731600499033</v>
      </c>
      <c r="CT92" s="191">
        <f t="shared" ref="CT92:CY92" si="243">(CT8/$B$8)*100</f>
        <v>142.1390808298284</v>
      </c>
      <c r="CU92" s="191">
        <f t="shared" si="243"/>
        <v>261.62244817594637</v>
      </c>
      <c r="CV92" s="771">
        <f t="shared" si="243"/>
        <v>30.941033261566325</v>
      </c>
      <c r="CW92" s="771">
        <f t="shared" si="243"/>
        <v>133.50403018292451</v>
      </c>
      <c r="CX92" s="771">
        <f t="shared" si="243"/>
        <v>36.921187928850578</v>
      </c>
      <c r="CY92" s="771">
        <f t="shared" si="243"/>
        <v>367.72411537919754</v>
      </c>
      <c r="CZ92" s="191">
        <f t="shared" ref="CZ92:CZ97" si="244">(CZ8/$B$7)*100</f>
        <v>0</v>
      </c>
      <c r="DA92" s="191">
        <f>(DA8/$B$8)*100</f>
        <v>0</v>
      </c>
      <c r="DB92" s="771">
        <f>(DB8/$B$8)*100</f>
        <v>0</v>
      </c>
      <c r="DC92" s="771">
        <f>(DC8/$B$8)*100</f>
        <v>1.9240342274184135</v>
      </c>
      <c r="DD92" s="771">
        <f>(DD8/$B$8)*100</f>
        <v>1.9240342274184135</v>
      </c>
      <c r="DE92" s="771">
        <f>(DE8/$B$8)*100</f>
        <v>78.176494456405621</v>
      </c>
      <c r="DF92" s="191">
        <f>(DF8/$B$7)*100</f>
        <v>0</v>
      </c>
      <c r="DG92" s="191">
        <f t="shared" ref="DG92:DW92" si="245">(DG8/$B$8)*100</f>
        <v>0</v>
      </c>
      <c r="DH92" s="771">
        <f t="shared" si="245"/>
        <v>47.789670976116724</v>
      </c>
      <c r="DI92" s="771">
        <f t="shared" si="245"/>
        <v>39.798942632351952</v>
      </c>
      <c r="DJ92" s="771">
        <f t="shared" si="245"/>
        <v>70.15079302573605</v>
      </c>
      <c r="DK92" s="771">
        <f t="shared" si="245"/>
        <v>25.585034549369112</v>
      </c>
      <c r="DL92" s="191">
        <f t="shared" si="245"/>
        <v>23.834079220074909</v>
      </c>
      <c r="DM92" s="191">
        <f t="shared" si="245"/>
        <v>3.8480684548368269</v>
      </c>
      <c r="DN92" s="771">
        <f t="shared" si="245"/>
        <v>35.167764809747595</v>
      </c>
      <c r="DO92" s="771">
        <f t="shared" si="245"/>
        <v>33.064113782019405</v>
      </c>
      <c r="DP92" s="771">
        <f t="shared" si="245"/>
        <v>31.941642306963981</v>
      </c>
      <c r="DQ92" s="771">
        <f t="shared" si="245"/>
        <v>25.573450520501972</v>
      </c>
      <c r="DR92" s="191">
        <f t="shared" si="245"/>
        <v>231.02399963782884</v>
      </c>
      <c r="DS92" s="191">
        <f t="shared" si="245"/>
        <v>38.845222156268996</v>
      </c>
      <c r="DT92" s="771">
        <f t="shared" si="245"/>
        <v>115.20081510957081</v>
      </c>
      <c r="DU92" s="771">
        <f t="shared" si="245"/>
        <v>116.06799613659166</v>
      </c>
      <c r="DV92" s="771">
        <f t="shared" si="245"/>
        <v>90.812526108218464</v>
      </c>
      <c r="DW92" s="771">
        <f t="shared" si="245"/>
        <v>171.10094042901937</v>
      </c>
      <c r="DX92" s="191">
        <f t="shared" ref="DX92:EC92" si="246">(DX8/$B$8)*100</f>
        <v>98.144125409991403</v>
      </c>
      <c r="DY92" s="191">
        <f t="shared" si="246"/>
        <v>140.64774384772051</v>
      </c>
      <c r="DZ92" s="771">
        <f t="shared" si="246"/>
        <v>74.448152001135895</v>
      </c>
      <c r="EA92" s="771">
        <f t="shared" si="246"/>
        <v>160.54542862749665</v>
      </c>
      <c r="EB92" s="771">
        <f t="shared" si="246"/>
        <v>420.98951106707869</v>
      </c>
      <c r="EC92" s="771">
        <f t="shared" si="246"/>
        <v>272.95860155542783</v>
      </c>
    </row>
    <row r="93" spans="1:138">
      <c r="A93" s="189" t="s">
        <v>15</v>
      </c>
      <c r="B93" s="191">
        <f t="shared" ref="B93:AG93" si="247">(B9/$B$9)*100</f>
        <v>100</v>
      </c>
      <c r="C93" s="191">
        <f t="shared" si="247"/>
        <v>139.76150906356492</v>
      </c>
      <c r="D93" s="191">
        <f t="shared" si="247"/>
        <v>83.890150762756534</v>
      </c>
      <c r="E93" s="191">
        <f t="shared" si="247"/>
        <v>56.060606060606055</v>
      </c>
      <c r="F93" s="191">
        <f t="shared" si="247"/>
        <v>103.3678934451472</v>
      </c>
      <c r="G93" s="191">
        <f t="shared" si="247"/>
        <v>128.78787878787878</v>
      </c>
      <c r="H93" s="191">
        <f t="shared" si="247"/>
        <v>28.270126012953973</v>
      </c>
      <c r="I93" s="191">
        <f t="shared" si="247"/>
        <v>159.60826468317742</v>
      </c>
      <c r="J93" s="191">
        <f t="shared" si="247"/>
        <v>91.670049680179915</v>
      </c>
      <c r="K93" s="191">
        <f t="shared" si="247"/>
        <v>63.176051406982701</v>
      </c>
      <c r="L93" s="191">
        <f t="shared" si="247"/>
        <v>0</v>
      </c>
      <c r="M93" s="191">
        <f t="shared" si="247"/>
        <v>123.48823149836174</v>
      </c>
      <c r="N93" s="191">
        <f t="shared" si="247"/>
        <v>272.5489508174449</v>
      </c>
      <c r="O93" s="191">
        <f t="shared" si="247"/>
        <v>0</v>
      </c>
      <c r="P93" s="191">
        <f t="shared" si="247"/>
        <v>164.64893628956793</v>
      </c>
      <c r="Q93" s="191">
        <f t="shared" si="247"/>
        <v>118.94441881183175</v>
      </c>
      <c r="R93" s="191">
        <f t="shared" si="247"/>
        <v>122.72727272727271</v>
      </c>
      <c r="S93" s="191">
        <f t="shared" si="247"/>
        <v>53.030303030303031</v>
      </c>
      <c r="T93" s="191">
        <f t="shared" si="247"/>
        <v>0</v>
      </c>
      <c r="U93" s="191">
        <f t="shared" si="247"/>
        <v>0</v>
      </c>
      <c r="V93" s="191">
        <f t="shared" si="247"/>
        <v>0</v>
      </c>
      <c r="W93" s="191">
        <f t="shared" si="247"/>
        <v>0</v>
      </c>
      <c r="X93" s="191">
        <f t="shared" si="247"/>
        <v>135.36255672290406</v>
      </c>
      <c r="Y93" s="191">
        <f t="shared" si="247"/>
        <v>0</v>
      </c>
      <c r="Z93" s="191">
        <f t="shared" si="247"/>
        <v>164.64893628956793</v>
      </c>
      <c r="AA93" s="191">
        <f t="shared" si="247"/>
        <v>101.51515151515152</v>
      </c>
      <c r="AB93" s="191">
        <f t="shared" si="247"/>
        <v>139.73152980878356</v>
      </c>
      <c r="AC93" s="191">
        <f t="shared" si="247"/>
        <v>0</v>
      </c>
      <c r="AD93" s="191">
        <f t="shared" si="247"/>
        <v>70.562554722659428</v>
      </c>
      <c r="AE93" s="191">
        <f t="shared" si="247"/>
        <v>338.76903590011187</v>
      </c>
      <c r="AF93" s="191">
        <f t="shared" si="247"/>
        <v>0</v>
      </c>
      <c r="AG93" s="191">
        <f t="shared" si="247"/>
        <v>448.06988801455481</v>
      </c>
      <c r="AH93" s="191">
        <f t="shared" ref="AH93:BM93" si="248">(AH9/$B$9)*100</f>
        <v>193.93939393939391</v>
      </c>
      <c r="AI93" s="191">
        <f t="shared" si="248"/>
        <v>184.77295524328807</v>
      </c>
      <c r="AJ93" s="191">
        <f t="shared" si="248"/>
        <v>514.68327395862093</v>
      </c>
      <c r="AK93" s="191">
        <f t="shared" si="248"/>
        <v>351.5151515151515</v>
      </c>
      <c r="AL93" s="191">
        <f t="shared" si="248"/>
        <v>387.87878787878782</v>
      </c>
      <c r="AM93" s="191">
        <f t="shared" si="248"/>
        <v>63.176051406982701</v>
      </c>
      <c r="AN93" s="191">
        <f t="shared" si="248"/>
        <v>0</v>
      </c>
      <c r="AO93" s="191">
        <f t="shared" si="248"/>
        <v>0</v>
      </c>
      <c r="AP93" s="191">
        <f t="shared" si="248"/>
        <v>0</v>
      </c>
      <c r="AQ93" s="191">
        <f t="shared" si="248"/>
        <v>0</v>
      </c>
      <c r="AR93" s="191">
        <f t="shared" si="248"/>
        <v>0</v>
      </c>
      <c r="AS93" s="191">
        <f t="shared" si="248"/>
        <v>0</v>
      </c>
      <c r="AT93" s="191">
        <f t="shared" si="248"/>
        <v>0</v>
      </c>
      <c r="AU93" s="191">
        <f t="shared" si="248"/>
        <v>0</v>
      </c>
      <c r="AV93" s="191">
        <f t="shared" si="248"/>
        <v>0</v>
      </c>
      <c r="AW93" s="191">
        <f t="shared" si="248"/>
        <v>0</v>
      </c>
      <c r="AX93" s="191">
        <f t="shared" si="248"/>
        <v>133.40005786992251</v>
      </c>
      <c r="AY93" s="191">
        <f t="shared" si="248"/>
        <v>0</v>
      </c>
      <c r="AZ93" s="191">
        <f t="shared" si="248"/>
        <v>139.73152980878356</v>
      </c>
      <c r="BA93" s="191">
        <f t="shared" si="248"/>
        <v>5.3064133165435621</v>
      </c>
      <c r="BB93" s="191">
        <f t="shared" si="248"/>
        <v>96.969696969696955</v>
      </c>
      <c r="BC93" s="191">
        <f t="shared" si="248"/>
        <v>128.78787878787878</v>
      </c>
      <c r="BD93" s="191">
        <f t="shared" si="248"/>
        <v>85.102137772181166</v>
      </c>
      <c r="BE93" s="191">
        <f t="shared" si="248"/>
        <v>274.24242424242425</v>
      </c>
      <c r="BF93" s="191">
        <f t="shared" si="248"/>
        <v>182.34578574665406</v>
      </c>
      <c r="BG93" s="191">
        <f t="shared" si="248"/>
        <v>164.73907264524019</v>
      </c>
      <c r="BH93" s="191">
        <f t="shared" si="248"/>
        <v>157.76064692128364</v>
      </c>
      <c r="BI93" s="191">
        <f t="shared" si="248"/>
        <v>150</v>
      </c>
      <c r="BJ93" s="191">
        <f t="shared" si="248"/>
        <v>108.77525861606902</v>
      </c>
      <c r="BK93" s="191">
        <f t="shared" si="248"/>
        <v>60.606060606060609</v>
      </c>
      <c r="BL93" s="191">
        <f t="shared" si="248"/>
        <v>148.12820466519284</v>
      </c>
      <c r="BM93" s="191">
        <f t="shared" si="248"/>
        <v>182.83279351296719</v>
      </c>
      <c r="BN93" s="191">
        <f t="shared" ref="BN93:CS93" si="249">(BN9/$B$9)*100</f>
        <v>142.42424242424241</v>
      </c>
      <c r="BO93" s="191">
        <f t="shared" si="249"/>
        <v>47.812951373009263</v>
      </c>
      <c r="BP93" s="191">
        <f t="shared" si="249"/>
        <v>53.030303030303031</v>
      </c>
      <c r="BQ93" s="191">
        <f t="shared" si="249"/>
        <v>92.424242424242408</v>
      </c>
      <c r="BR93" s="191">
        <f t="shared" si="249"/>
        <v>72.72727272727272</v>
      </c>
      <c r="BS93" s="191">
        <f t="shared" si="249"/>
        <v>60.276878077167517</v>
      </c>
      <c r="BT93" s="191">
        <f t="shared" si="249"/>
        <v>237.87878787878785</v>
      </c>
      <c r="BU93" s="191">
        <f t="shared" si="249"/>
        <v>292.42424242424238</v>
      </c>
      <c r="BV93" s="191">
        <f t="shared" si="249"/>
        <v>100</v>
      </c>
      <c r="BW93" s="191">
        <f t="shared" si="249"/>
        <v>146.83672681895632</v>
      </c>
      <c r="BX93" s="191">
        <f t="shared" si="249"/>
        <v>83.890150762756519</v>
      </c>
      <c r="BY93" s="191">
        <f t="shared" si="249"/>
        <v>56.060606060606055</v>
      </c>
      <c r="BZ93" s="191">
        <f t="shared" si="249"/>
        <v>185.39437642793814</v>
      </c>
      <c r="CA93" s="191">
        <f t="shared" si="249"/>
        <v>209.09090909090909</v>
      </c>
      <c r="CB93" s="191">
        <f t="shared" si="249"/>
        <v>186.48615958684485</v>
      </c>
      <c r="CC93" s="191">
        <f t="shared" si="249"/>
        <v>101.51515151515152</v>
      </c>
      <c r="CD93" s="191">
        <f t="shared" si="249"/>
        <v>129.21288900304816</v>
      </c>
      <c r="CE93" s="191">
        <f t="shared" si="249"/>
        <v>160.60606060606059</v>
      </c>
      <c r="CF93" s="191">
        <f t="shared" si="249"/>
        <v>38.470031217328398</v>
      </c>
      <c r="CG93" s="191">
        <f t="shared" si="249"/>
        <v>71.212121212121204</v>
      </c>
      <c r="CH93" s="191">
        <f t="shared" si="249"/>
        <v>221.13659160692441</v>
      </c>
      <c r="CI93" s="191">
        <f t="shared" si="249"/>
        <v>95.797260037491583</v>
      </c>
      <c r="CJ93" s="191">
        <f t="shared" si="249"/>
        <v>255.07045226984357</v>
      </c>
      <c r="CK93" s="191">
        <f t="shared" si="249"/>
        <v>229.74156762794286</v>
      </c>
      <c r="CL93" s="191">
        <f t="shared" si="249"/>
        <v>132.61936818025603</v>
      </c>
      <c r="CM93" s="191">
        <f t="shared" si="249"/>
        <v>101.1792029592319</v>
      </c>
      <c r="CN93" s="191">
        <f t="shared" si="249"/>
        <v>55.894174345906698</v>
      </c>
      <c r="CO93" s="191">
        <f t="shared" si="249"/>
        <v>26.758456806979829</v>
      </c>
      <c r="CP93" s="771">
        <f t="shared" si="249"/>
        <v>110.39775944145143</v>
      </c>
      <c r="CQ93" s="771">
        <f t="shared" si="249"/>
        <v>12.331155144745846</v>
      </c>
      <c r="CR93" s="771">
        <f t="shared" si="249"/>
        <v>19.696969696969695</v>
      </c>
      <c r="CS93" s="771">
        <f t="shared" si="249"/>
        <v>36.36363636363636</v>
      </c>
      <c r="CT93" s="191">
        <f t="shared" ref="CT93:CY93" si="250">(CT9/$B$9)*100</f>
        <v>15.151515151515152</v>
      </c>
      <c r="CU93" s="191">
        <f t="shared" si="250"/>
        <v>23.234578574665406</v>
      </c>
      <c r="CV93" s="771">
        <f t="shared" si="250"/>
        <v>116.45324133395553</v>
      </c>
      <c r="CW93" s="771">
        <f t="shared" si="250"/>
        <v>110.02486701239573</v>
      </c>
      <c r="CX93" s="771">
        <f t="shared" si="250"/>
        <v>21.880536014783054</v>
      </c>
      <c r="CY93" s="771">
        <f t="shared" si="250"/>
        <v>10.056686717429884</v>
      </c>
      <c r="CZ93" s="191">
        <f t="shared" si="244"/>
        <v>0</v>
      </c>
      <c r="DA93" s="191">
        <f t="shared" ref="DA93:DW93" si="251">(DA9/$B$9)*100</f>
        <v>0</v>
      </c>
      <c r="DB93" s="771">
        <f t="shared" si="251"/>
        <v>0</v>
      </c>
      <c r="DC93" s="771">
        <f t="shared" si="251"/>
        <v>4.545454545454545</v>
      </c>
      <c r="DD93" s="771">
        <f t="shared" si="251"/>
        <v>22.727272727272727</v>
      </c>
      <c r="DE93" s="771">
        <f t="shared" si="251"/>
        <v>44.362563704310524</v>
      </c>
      <c r="DF93" s="191">
        <f t="shared" si="251"/>
        <v>12.121212121212119</v>
      </c>
      <c r="DG93" s="191">
        <f t="shared" si="251"/>
        <v>27.27272727272727</v>
      </c>
      <c r="DH93" s="771">
        <f t="shared" si="251"/>
        <v>130.30303030303031</v>
      </c>
      <c r="DI93" s="771">
        <f t="shared" si="251"/>
        <v>8.1653590553735285</v>
      </c>
      <c r="DJ93" s="771">
        <f t="shared" si="251"/>
        <v>66.666666666666657</v>
      </c>
      <c r="DK93" s="771">
        <f t="shared" si="251"/>
        <v>31.818181818181817</v>
      </c>
      <c r="DL93" s="191">
        <f t="shared" si="251"/>
        <v>98.148899928928884</v>
      </c>
      <c r="DM93" s="191">
        <f t="shared" si="251"/>
        <v>44.061917162602441</v>
      </c>
      <c r="DN93" s="771">
        <f t="shared" si="251"/>
        <v>63.194009155797268</v>
      </c>
      <c r="DO93" s="771">
        <f t="shared" si="251"/>
        <v>52.009172297925097</v>
      </c>
      <c r="DP93" s="771">
        <f t="shared" si="251"/>
        <v>59.316474505017027</v>
      </c>
      <c r="DQ93" s="771">
        <f t="shared" si="251"/>
        <v>58.091442478075415</v>
      </c>
      <c r="DR93" s="191">
        <f t="shared" si="251"/>
        <v>154.63451620470434</v>
      </c>
      <c r="DS93" s="191">
        <f t="shared" si="251"/>
        <v>100</v>
      </c>
      <c r="DT93" s="771">
        <f t="shared" si="251"/>
        <v>67.252785837105222</v>
      </c>
      <c r="DU93" s="771">
        <f t="shared" si="251"/>
        <v>209.89209545298334</v>
      </c>
      <c r="DV93" s="771">
        <f t="shared" si="251"/>
        <v>111.98660011154691</v>
      </c>
      <c r="DW93" s="771">
        <f t="shared" si="251"/>
        <v>168.43711296443908</v>
      </c>
      <c r="DX93" s="191">
        <f t="shared" ref="DX93:EC93" si="252">(DX9/$B$9)*100</f>
        <v>77.937659766211738</v>
      </c>
      <c r="DY93" s="191">
        <f t="shared" si="252"/>
        <v>110.35056723211144</v>
      </c>
      <c r="DZ93" s="771">
        <f t="shared" si="252"/>
        <v>221.21212121212119</v>
      </c>
      <c r="EA93" s="771">
        <f t="shared" si="252"/>
        <v>153.96261909286511</v>
      </c>
      <c r="EB93" s="771">
        <f t="shared" si="252"/>
        <v>155.0527603928472</v>
      </c>
      <c r="EC93" s="771">
        <f t="shared" si="252"/>
        <v>181.06398907411932</v>
      </c>
    </row>
    <row r="94" spans="1:138">
      <c r="A94" s="189" t="s">
        <v>19</v>
      </c>
      <c r="B94" s="191">
        <f t="shared" ref="B94:AG94" si="253">(B10/$B$10)*100</f>
        <v>100</v>
      </c>
      <c r="C94" s="191">
        <f t="shared" si="253"/>
        <v>233.65836439506333</v>
      </c>
      <c r="D94" s="191">
        <f t="shared" si="253"/>
        <v>85.613206223744086</v>
      </c>
      <c r="E94" s="191">
        <f t="shared" si="253"/>
        <v>87.736914749269957</v>
      </c>
      <c r="F94" s="191">
        <f t="shared" si="253"/>
        <v>50.455922059399924</v>
      </c>
      <c r="G94" s="191">
        <f t="shared" si="253"/>
        <v>115.72254153114396</v>
      </c>
      <c r="H94" s="191">
        <f t="shared" si="253"/>
        <v>5.8873754389508601</v>
      </c>
      <c r="I94" s="191">
        <f t="shared" si="253"/>
        <v>34.412408514905295</v>
      </c>
      <c r="J94" s="191">
        <f t="shared" si="253"/>
        <v>50.400265902946252</v>
      </c>
      <c r="K94" s="191">
        <f t="shared" si="253"/>
        <v>43.862171857007624</v>
      </c>
      <c r="L94" s="191">
        <f t="shared" si="253"/>
        <v>0</v>
      </c>
      <c r="M94" s="191">
        <f t="shared" si="253"/>
        <v>84.020523302128822</v>
      </c>
      <c r="N94" s="191">
        <f t="shared" si="253"/>
        <v>181.32270405149336</v>
      </c>
      <c r="O94" s="191">
        <f t="shared" si="253"/>
        <v>0</v>
      </c>
      <c r="P94" s="191">
        <f t="shared" si="253"/>
        <v>101.59687326670014</v>
      </c>
      <c r="Q94" s="191">
        <f t="shared" si="253"/>
        <v>27.552948565499356</v>
      </c>
      <c r="R94" s="191">
        <f t="shared" si="253"/>
        <v>90.451495380245035</v>
      </c>
      <c r="S94" s="191">
        <f t="shared" si="253"/>
        <v>100.08538246216463</v>
      </c>
      <c r="T94" s="191">
        <f t="shared" si="253"/>
        <v>0</v>
      </c>
      <c r="U94" s="191">
        <f t="shared" si="253"/>
        <v>0</v>
      </c>
      <c r="V94" s="191">
        <f t="shared" si="253"/>
        <v>0</v>
      </c>
      <c r="W94" s="191">
        <f t="shared" si="253"/>
        <v>0</v>
      </c>
      <c r="X94" s="191">
        <f t="shared" si="253"/>
        <v>232.11675339470023</v>
      </c>
      <c r="Y94" s="191">
        <f t="shared" si="253"/>
        <v>0</v>
      </c>
      <c r="Z94" s="191">
        <f t="shared" si="253"/>
        <v>101.59687326670014</v>
      </c>
      <c r="AA94" s="191">
        <f t="shared" si="253"/>
        <v>61.344364779127837</v>
      </c>
      <c r="AB94" s="191">
        <f t="shared" si="253"/>
        <v>75.833696288004646</v>
      </c>
      <c r="AC94" s="191">
        <f t="shared" si="253"/>
        <v>0</v>
      </c>
      <c r="AD94" s="191">
        <f t="shared" si="253"/>
        <v>41.725892296227045</v>
      </c>
      <c r="AE94" s="191">
        <f t="shared" si="253"/>
        <v>244.64973873752876</v>
      </c>
      <c r="AF94" s="191">
        <f t="shared" si="253"/>
        <v>0</v>
      </c>
      <c r="AG94" s="191">
        <f t="shared" si="253"/>
        <v>299.06602248542566</v>
      </c>
      <c r="AH94" s="191">
        <f t="shared" ref="AH94:BM94" si="254">(AH10/$B$10)*100</f>
        <v>81.383338333265243</v>
      </c>
      <c r="AI94" s="191">
        <f t="shared" si="254"/>
        <v>28.07559347924018</v>
      </c>
      <c r="AJ94" s="191">
        <f t="shared" si="254"/>
        <v>167.24090868848177</v>
      </c>
      <c r="AK94" s="191">
        <f t="shared" si="254"/>
        <v>113.12765390324601</v>
      </c>
      <c r="AL94" s="191">
        <f t="shared" si="254"/>
        <v>192.51994163943385</v>
      </c>
      <c r="AM94" s="191">
        <f t="shared" si="254"/>
        <v>43.862171857007624</v>
      </c>
      <c r="AN94" s="191">
        <f t="shared" si="254"/>
        <v>0</v>
      </c>
      <c r="AO94" s="191">
        <f t="shared" si="254"/>
        <v>0</v>
      </c>
      <c r="AP94" s="191">
        <f t="shared" si="254"/>
        <v>0</v>
      </c>
      <c r="AQ94" s="191">
        <f t="shared" si="254"/>
        <v>0</v>
      </c>
      <c r="AR94" s="191">
        <f t="shared" si="254"/>
        <v>0</v>
      </c>
      <c r="AS94" s="191">
        <f t="shared" si="254"/>
        <v>0</v>
      </c>
      <c r="AT94" s="191">
        <f t="shared" si="254"/>
        <v>0</v>
      </c>
      <c r="AU94" s="191">
        <f t="shared" si="254"/>
        <v>0</v>
      </c>
      <c r="AV94" s="191">
        <f t="shared" si="254"/>
        <v>0</v>
      </c>
      <c r="AW94" s="191">
        <f t="shared" si="254"/>
        <v>0</v>
      </c>
      <c r="AX94" s="191">
        <f t="shared" si="254"/>
        <v>101.59687326670014</v>
      </c>
      <c r="AY94" s="191">
        <f t="shared" si="254"/>
        <v>0</v>
      </c>
      <c r="AZ94" s="191">
        <f t="shared" si="254"/>
        <v>75.833696288004646</v>
      </c>
      <c r="BA94" s="191">
        <f t="shared" si="254"/>
        <v>70.1132893184148</v>
      </c>
      <c r="BB94" s="191">
        <f t="shared" si="254"/>
        <v>50.455922059399924</v>
      </c>
      <c r="BC94" s="191">
        <f t="shared" si="254"/>
        <v>115.72254153114396</v>
      </c>
      <c r="BD94" s="191">
        <f t="shared" si="254"/>
        <v>128.64472607903159</v>
      </c>
      <c r="BE94" s="191">
        <f t="shared" si="254"/>
        <v>245.43769950816659</v>
      </c>
      <c r="BF94" s="191">
        <f t="shared" si="254"/>
        <v>230.18175284419314</v>
      </c>
      <c r="BG94" s="191">
        <f t="shared" si="254"/>
        <v>139.41766614076724</v>
      </c>
      <c r="BH94" s="191">
        <f t="shared" si="254"/>
        <v>77.777865308914812</v>
      </c>
      <c r="BI94" s="191">
        <f t="shared" si="254"/>
        <v>139.41766614076724</v>
      </c>
      <c r="BJ94" s="191">
        <f t="shared" si="254"/>
        <v>105.43754195211994</v>
      </c>
      <c r="BK94" s="191">
        <f t="shared" si="254"/>
        <v>154.14219331071342</v>
      </c>
      <c r="BL94" s="191">
        <f t="shared" si="254"/>
        <v>130.04071422557487</v>
      </c>
      <c r="BM94" s="191">
        <f t="shared" si="254"/>
        <v>136.10343882405652</v>
      </c>
      <c r="BN94" s="191">
        <f t="shared" ref="BN94:CS94" si="255">(BN10/$B$10)*100</f>
        <v>65.729023993829642</v>
      </c>
      <c r="BO94" s="191">
        <f t="shared" si="255"/>
        <v>69.907819963056369</v>
      </c>
      <c r="BP94" s="191">
        <f t="shared" si="255"/>
        <v>101.07462224307595</v>
      </c>
      <c r="BQ94" s="191">
        <f t="shared" si="255"/>
        <v>68.589227478624565</v>
      </c>
      <c r="BR94" s="191">
        <f t="shared" si="255"/>
        <v>157.91463480442488</v>
      </c>
      <c r="BS94" s="191">
        <f t="shared" si="255"/>
        <v>116.94697697312468</v>
      </c>
      <c r="BT94" s="191">
        <f t="shared" si="255"/>
        <v>337.73462263166914</v>
      </c>
      <c r="BU94" s="191">
        <f t="shared" si="255"/>
        <v>136.18083448616801</v>
      </c>
      <c r="BV94" s="191">
        <f t="shared" si="255"/>
        <v>100</v>
      </c>
      <c r="BW94" s="191">
        <f t="shared" si="255"/>
        <v>233.65836439506333</v>
      </c>
      <c r="BX94" s="191">
        <f t="shared" si="255"/>
        <v>85.613206223744086</v>
      </c>
      <c r="BY94" s="191">
        <f t="shared" si="255"/>
        <v>87.736914749269957</v>
      </c>
      <c r="BZ94" s="191">
        <f t="shared" si="255"/>
        <v>137.90617533623174</v>
      </c>
      <c r="CA94" s="191">
        <f t="shared" si="255"/>
        <v>198.56511707734262</v>
      </c>
      <c r="CB94" s="191">
        <f t="shared" si="255"/>
        <v>144.48277026816777</v>
      </c>
      <c r="CC94" s="191">
        <f t="shared" si="255"/>
        <v>76.548845631732547</v>
      </c>
      <c r="CD94" s="191">
        <f t="shared" si="255"/>
        <v>52.644061321665923</v>
      </c>
      <c r="CE94" s="191">
        <f t="shared" si="255"/>
        <v>72.892300686129985</v>
      </c>
      <c r="CF94" s="191">
        <f t="shared" si="255"/>
        <v>7.2147425036691137</v>
      </c>
      <c r="CG94" s="191">
        <f t="shared" si="255"/>
        <v>90.194954103634487</v>
      </c>
      <c r="CH94" s="191">
        <f t="shared" si="255"/>
        <v>119.65317691392995</v>
      </c>
      <c r="CI94" s="191">
        <f t="shared" si="255"/>
        <v>26.512636863335903</v>
      </c>
      <c r="CJ94" s="191">
        <f t="shared" si="255"/>
        <v>65.1938080448341</v>
      </c>
      <c r="CK94" s="191">
        <f t="shared" si="255"/>
        <v>62.534883570312694</v>
      </c>
      <c r="CL94" s="191">
        <f t="shared" si="255"/>
        <v>31.753484040383888</v>
      </c>
      <c r="CM94" s="191">
        <f t="shared" si="255"/>
        <v>107.71983825683704</v>
      </c>
      <c r="CN94" s="191">
        <f t="shared" si="255"/>
        <v>60.000236334069982</v>
      </c>
      <c r="CO94" s="191">
        <f t="shared" si="255"/>
        <v>110.33607150027613</v>
      </c>
      <c r="CP94" s="771">
        <f t="shared" si="255"/>
        <v>158.28707262914432</v>
      </c>
      <c r="CQ94" s="771">
        <f t="shared" si="255"/>
        <v>753.88944848907101</v>
      </c>
      <c r="CR94" s="771">
        <f t="shared" si="255"/>
        <v>94.879239716145776</v>
      </c>
      <c r="CS94" s="771">
        <f t="shared" si="255"/>
        <v>65.296345777455002</v>
      </c>
      <c r="CT94" s="191">
        <f t="shared" ref="CT94:CY94" si="256">(CT10/$B$10)*100</f>
        <v>51.748978583205677</v>
      </c>
      <c r="CU94" s="191">
        <f t="shared" si="256"/>
        <v>72.511088281124117</v>
      </c>
      <c r="CV94" s="771">
        <f t="shared" si="256"/>
        <v>141.84519140918752</v>
      </c>
      <c r="CW94" s="771">
        <f t="shared" si="256"/>
        <v>147.34716409804761</v>
      </c>
      <c r="CX94" s="771">
        <f t="shared" si="256"/>
        <v>109.9762047108114</v>
      </c>
      <c r="CY94" s="771">
        <f t="shared" si="256"/>
        <v>10.314725884734971</v>
      </c>
      <c r="CZ94" s="191">
        <f t="shared" si="244"/>
        <v>0</v>
      </c>
      <c r="DA94" s="191">
        <f t="shared" ref="DA94:DW94" si="257">(DA10/$B$10)*100</f>
        <v>0</v>
      </c>
      <c r="DB94" s="771">
        <f t="shared" si="257"/>
        <v>0</v>
      </c>
      <c r="DC94" s="771">
        <f t="shared" si="257"/>
        <v>2.0582148576382511</v>
      </c>
      <c r="DD94" s="771">
        <f t="shared" si="257"/>
        <v>3.7465116429687293</v>
      </c>
      <c r="DE94" s="771">
        <f t="shared" si="257"/>
        <v>8.6919227672921178</v>
      </c>
      <c r="DF94" s="191">
        <f t="shared" si="257"/>
        <v>0</v>
      </c>
      <c r="DG94" s="191">
        <f t="shared" si="257"/>
        <v>32.112956939731966</v>
      </c>
      <c r="DH94" s="771">
        <f t="shared" si="257"/>
        <v>9.4669186125585814</v>
      </c>
      <c r="DI94" s="771">
        <f t="shared" si="257"/>
        <v>29.248563109852139</v>
      </c>
      <c r="DJ94" s="771">
        <f t="shared" si="257"/>
        <v>111.10229276525614</v>
      </c>
      <c r="DK94" s="771">
        <f t="shared" si="257"/>
        <v>126.38377538985566</v>
      </c>
      <c r="DL94" s="191">
        <f t="shared" si="257"/>
        <v>135.2727868223364</v>
      </c>
      <c r="DM94" s="191">
        <f t="shared" si="257"/>
        <v>116.39879609875778</v>
      </c>
      <c r="DN94" s="771">
        <f t="shared" si="257"/>
        <v>87.978855466436116</v>
      </c>
      <c r="DO94" s="771">
        <f t="shared" si="257"/>
        <v>101.0641782754157</v>
      </c>
      <c r="DP94" s="771">
        <f t="shared" si="257"/>
        <v>113.03344746967629</v>
      </c>
      <c r="DQ94" s="771">
        <f t="shared" si="257"/>
        <v>113.35530658707967</v>
      </c>
      <c r="DR94" s="191">
        <f t="shared" si="257"/>
        <v>215.09696499466554</v>
      </c>
      <c r="DS94" s="191">
        <f t="shared" si="257"/>
        <v>143.15959354853445</v>
      </c>
      <c r="DT94" s="771">
        <f t="shared" si="257"/>
        <v>120.47505433536362</v>
      </c>
      <c r="DU94" s="771">
        <f t="shared" si="257"/>
        <v>62.247828207757891</v>
      </c>
      <c r="DV94" s="771">
        <f t="shared" si="257"/>
        <v>61.267363007133014</v>
      </c>
      <c r="DW94" s="771">
        <f t="shared" si="257"/>
        <v>35.726810654252198</v>
      </c>
      <c r="DX94" s="191">
        <f t="shared" ref="DX94:EC94" si="258">(DX10/$B$10)*100</f>
        <v>68.691765211245453</v>
      </c>
      <c r="DY94" s="191">
        <f t="shared" si="258"/>
        <v>17.679281587308836</v>
      </c>
      <c r="DZ94" s="771">
        <f t="shared" si="258"/>
        <v>4.2817275919642617</v>
      </c>
      <c r="EA94" s="771">
        <f t="shared" si="258"/>
        <v>4.2817275919642617</v>
      </c>
      <c r="EB94" s="771">
        <f t="shared" si="258"/>
        <v>26.760797449776636</v>
      </c>
      <c r="EC94" s="771">
        <f t="shared" si="258"/>
        <v>50.31029920558008</v>
      </c>
    </row>
    <row r="95" spans="1:138">
      <c r="A95" s="189" t="s">
        <v>22</v>
      </c>
      <c r="B95" s="191">
        <f t="shared" ref="B95:AG95" si="259">(B11/$B$11)*100</f>
        <v>100</v>
      </c>
      <c r="C95" s="191">
        <f t="shared" si="259"/>
        <v>100</v>
      </c>
      <c r="D95" s="191">
        <f t="shared" si="259"/>
        <v>494.23770711888733</v>
      </c>
      <c r="E95" s="191">
        <f t="shared" si="259"/>
        <v>0</v>
      </c>
      <c r="F95" s="191">
        <f t="shared" si="259"/>
        <v>1777.7689370653004</v>
      </c>
      <c r="G95" s="191">
        <f t="shared" si="259"/>
        <v>2492.7420918243051</v>
      </c>
      <c r="H95" s="191">
        <f t="shared" si="259"/>
        <v>691.92398323455348</v>
      </c>
      <c r="I95" s="191">
        <f t="shared" si="259"/>
        <v>368.87481171010245</v>
      </c>
      <c r="J95" s="191">
        <f t="shared" si="259"/>
        <v>1886.9797989431922</v>
      </c>
      <c r="K95" s="191">
        <f t="shared" si="259"/>
        <v>943.19517977862404</v>
      </c>
      <c r="L95" s="191">
        <f t="shared" si="259"/>
        <v>0</v>
      </c>
      <c r="M95" s="191">
        <f t="shared" si="259"/>
        <v>1311.2518828989751</v>
      </c>
      <c r="N95" s="191">
        <f t="shared" si="259"/>
        <v>4809.3954974222552</v>
      </c>
      <c r="O95" s="191">
        <f t="shared" si="259"/>
        <v>0</v>
      </c>
      <c r="P95" s="191">
        <f t="shared" si="259"/>
        <v>5217.7001833915092</v>
      </c>
      <c r="Q95" s="191">
        <f t="shared" si="259"/>
        <v>590.47240159941441</v>
      </c>
      <c r="R95" s="191">
        <f t="shared" si="259"/>
        <v>524.50075315958986</v>
      </c>
      <c r="S95" s="191">
        <f t="shared" si="259"/>
        <v>78.675112973938496</v>
      </c>
      <c r="T95" s="191">
        <f t="shared" si="259"/>
        <v>0</v>
      </c>
      <c r="U95" s="191">
        <f t="shared" si="259"/>
        <v>0</v>
      </c>
      <c r="V95" s="191">
        <f t="shared" si="259"/>
        <v>0</v>
      </c>
      <c r="W95" s="191">
        <f t="shared" si="259"/>
        <v>0</v>
      </c>
      <c r="X95" s="191">
        <f t="shared" si="259"/>
        <v>299.99999999999994</v>
      </c>
      <c r="Y95" s="191">
        <f t="shared" si="259"/>
        <v>0</v>
      </c>
      <c r="Z95" s="191">
        <f t="shared" si="259"/>
        <v>5217.7001833915092</v>
      </c>
      <c r="AA95" s="191">
        <f t="shared" si="259"/>
        <v>0</v>
      </c>
      <c r="AB95" s="191">
        <f t="shared" si="259"/>
        <v>3959.2591459906293</v>
      </c>
      <c r="AC95" s="191">
        <f t="shared" si="259"/>
        <v>0</v>
      </c>
      <c r="AD95" s="191">
        <f t="shared" si="259"/>
        <v>0</v>
      </c>
      <c r="AE95" s="191">
        <f t="shared" si="259"/>
        <v>1756.1713471759883</v>
      </c>
      <c r="AF95" s="191">
        <f t="shared" si="259"/>
        <v>0</v>
      </c>
      <c r="AG95" s="191">
        <f t="shared" si="259"/>
        <v>3353.5408867689612</v>
      </c>
      <c r="AH95" s="191">
        <f t="shared" ref="AH95:BM95" si="260">(AH11/$B$11)*100</f>
        <v>4340.3360501677889</v>
      </c>
      <c r="AI95" s="191">
        <f t="shared" si="260"/>
        <v>2314.9291210995616</v>
      </c>
      <c r="AJ95" s="191">
        <f t="shared" si="260"/>
        <v>7722.6003340234256</v>
      </c>
      <c r="AK95" s="191">
        <f t="shared" si="260"/>
        <v>5078.5430119956081</v>
      </c>
      <c r="AL95" s="191">
        <f t="shared" si="260"/>
        <v>2177.4962342020499</v>
      </c>
      <c r="AM95" s="191">
        <f t="shared" si="260"/>
        <v>916.97014212064437</v>
      </c>
      <c r="AN95" s="191">
        <f t="shared" si="260"/>
        <v>0</v>
      </c>
      <c r="AO95" s="191">
        <f t="shared" si="260"/>
        <v>0</v>
      </c>
      <c r="AP95" s="191">
        <f t="shared" si="260"/>
        <v>0</v>
      </c>
      <c r="AQ95" s="191">
        <f t="shared" si="260"/>
        <v>0</v>
      </c>
      <c r="AR95" s="191">
        <f t="shared" si="260"/>
        <v>0</v>
      </c>
      <c r="AS95" s="191">
        <f t="shared" si="260"/>
        <v>0</v>
      </c>
      <c r="AT95" s="191">
        <f t="shared" si="260"/>
        <v>0</v>
      </c>
      <c r="AU95" s="191">
        <f t="shared" si="260"/>
        <v>0</v>
      </c>
      <c r="AV95" s="191">
        <f t="shared" si="260"/>
        <v>0</v>
      </c>
      <c r="AW95" s="191">
        <f t="shared" si="260"/>
        <v>0</v>
      </c>
      <c r="AX95" s="191">
        <f t="shared" si="260"/>
        <v>419.60060252767198</v>
      </c>
      <c r="AY95" s="191">
        <f t="shared" si="260"/>
        <v>0</v>
      </c>
      <c r="AZ95" s="191">
        <f t="shared" si="260"/>
        <v>3198.7330539092245</v>
      </c>
      <c r="BA95" s="191">
        <f t="shared" si="260"/>
        <v>1311.2518828989751</v>
      </c>
      <c r="BB95" s="191">
        <f t="shared" si="260"/>
        <v>1777.7689370653004</v>
      </c>
      <c r="BC95" s="191">
        <f t="shared" si="260"/>
        <v>2492.7420918243051</v>
      </c>
      <c r="BD95" s="191">
        <f t="shared" si="260"/>
        <v>1575.7719497036603</v>
      </c>
      <c r="BE95" s="191">
        <f t="shared" si="260"/>
        <v>5167.0624598928262</v>
      </c>
      <c r="BF95" s="191">
        <f t="shared" si="260"/>
        <v>5222.6003340234265</v>
      </c>
      <c r="BG95" s="191">
        <f t="shared" si="260"/>
        <v>7707.627179264422</v>
      </c>
      <c r="BH95" s="191">
        <f t="shared" si="260"/>
        <v>6010.9791800357234</v>
      </c>
      <c r="BI95" s="191">
        <f t="shared" si="260"/>
        <v>7707.627179264422</v>
      </c>
      <c r="BJ95" s="191">
        <f t="shared" si="260"/>
        <v>6596.2346944805277</v>
      </c>
      <c r="BK95" s="191">
        <f t="shared" si="260"/>
        <v>4970.0096568225472</v>
      </c>
      <c r="BL95" s="191">
        <f t="shared" si="260"/>
        <v>891.65128037130296</v>
      </c>
      <c r="BM95" s="191">
        <f t="shared" si="260"/>
        <v>4135.6205350802347</v>
      </c>
      <c r="BN95" s="191">
        <f t="shared" ref="BN95:CS95" si="261">(BN11/$B$11)*100</f>
        <v>4607.7592802427525</v>
      </c>
      <c r="BO95" s="191">
        <f t="shared" si="261"/>
        <v>463.11251882898972</v>
      </c>
      <c r="BP95" s="191">
        <f t="shared" si="261"/>
        <v>131.12518828989747</v>
      </c>
      <c r="BQ95" s="191">
        <f t="shared" si="261"/>
        <v>0</v>
      </c>
      <c r="BR95" s="191">
        <f t="shared" si="261"/>
        <v>1928.7674307461202</v>
      </c>
      <c r="BS95" s="191">
        <f t="shared" si="261"/>
        <v>794.51040998213762</v>
      </c>
      <c r="BT95" s="191">
        <f t="shared" si="261"/>
        <v>5129.5415056764286</v>
      </c>
      <c r="BU95" s="191">
        <f t="shared" si="261"/>
        <v>1993.9209705961937</v>
      </c>
      <c r="BV95" s="191">
        <f t="shared" si="261"/>
        <v>0</v>
      </c>
      <c r="BW95" s="191">
        <f t="shared" si="261"/>
        <v>78.675112973938496</v>
      </c>
      <c r="BX95" s="191">
        <f t="shared" si="261"/>
        <v>0</v>
      </c>
      <c r="BY95" s="191">
        <f t="shared" si="261"/>
        <v>0</v>
      </c>
      <c r="BZ95" s="191">
        <f t="shared" si="261"/>
        <v>2052.678744519766</v>
      </c>
      <c r="CA95" s="191">
        <f t="shared" si="261"/>
        <v>2864.7927696679362</v>
      </c>
      <c r="CB95" s="191">
        <f t="shared" si="261"/>
        <v>3299.9559663405571</v>
      </c>
      <c r="CC95" s="191">
        <f t="shared" si="261"/>
        <v>4358.6697066046863</v>
      </c>
      <c r="CD95" s="191">
        <f t="shared" si="261"/>
        <v>5796.9647357513923</v>
      </c>
      <c r="CE95" s="191">
        <f t="shared" si="261"/>
        <v>9019.0636977077611</v>
      </c>
      <c r="CF95" s="191">
        <f t="shared" si="261"/>
        <v>1691.6072467118597</v>
      </c>
      <c r="CG95" s="191">
        <f t="shared" si="261"/>
        <v>21121.297855179801</v>
      </c>
      <c r="CH95" s="191">
        <f t="shared" si="261"/>
        <v>7703.3164680184482</v>
      </c>
      <c r="CI95" s="191">
        <f t="shared" si="261"/>
        <v>9885.6247855335296</v>
      </c>
      <c r="CJ95" s="191">
        <f t="shared" si="261"/>
        <v>12924.421186747293</v>
      </c>
      <c r="CK95" s="191">
        <f t="shared" si="261"/>
        <v>2190.1556650767207</v>
      </c>
      <c r="CL95" s="191">
        <f t="shared" si="261"/>
        <v>2193.3315312102491</v>
      </c>
      <c r="CM95" s="191">
        <f t="shared" si="261"/>
        <v>913.24887026061492</v>
      </c>
      <c r="CN95" s="191">
        <f t="shared" si="261"/>
        <v>264.83680332737924</v>
      </c>
      <c r="CO95" s="191">
        <f t="shared" si="261"/>
        <v>1534.5737572866763</v>
      </c>
      <c r="CP95" s="771">
        <f t="shared" si="261"/>
        <v>2401.7242844983889</v>
      </c>
      <c r="CQ95" s="771">
        <f t="shared" si="261"/>
        <v>1324.4567195001468</v>
      </c>
      <c r="CR95" s="771">
        <f t="shared" si="261"/>
        <v>843.5119163013178</v>
      </c>
      <c r="CS95" s="771">
        <f t="shared" si="261"/>
        <v>307.48657737950225</v>
      </c>
      <c r="CT95" s="191">
        <f t="shared" ref="CT95:CY95" si="262">(CT11/$B$11)*100</f>
        <v>723.9113137736457</v>
      </c>
      <c r="CU95" s="191">
        <f t="shared" si="262"/>
        <v>1314.700451895754</v>
      </c>
      <c r="CV95" s="771">
        <f t="shared" si="262"/>
        <v>1965.9716484398241</v>
      </c>
      <c r="CW95" s="771">
        <f t="shared" si="262"/>
        <v>900.54540572650092</v>
      </c>
      <c r="CX95" s="771">
        <f t="shared" si="262"/>
        <v>2792.4253553016115</v>
      </c>
      <c r="CY95" s="771">
        <f t="shared" si="262"/>
        <v>1057.8956316743779</v>
      </c>
      <c r="CZ95" s="191">
        <f t="shared" si="244"/>
        <v>0</v>
      </c>
      <c r="DA95" s="191">
        <f t="shared" ref="DA95:DW95" si="263">(DA11/$B$11)*100</f>
        <v>0</v>
      </c>
      <c r="DB95" s="771">
        <f t="shared" si="263"/>
        <v>0</v>
      </c>
      <c r="DC95" s="771">
        <f t="shared" si="263"/>
        <v>104.900150631918</v>
      </c>
      <c r="DD95" s="771">
        <f t="shared" si="263"/>
        <v>714.11101250980971</v>
      </c>
      <c r="DE95" s="771">
        <f t="shared" si="263"/>
        <v>1025.9083011352857</v>
      </c>
      <c r="DF95" s="191">
        <f t="shared" si="263"/>
        <v>95.961991617276738</v>
      </c>
      <c r="DG95" s="191">
        <f t="shared" si="263"/>
        <v>236.02533892181549</v>
      </c>
      <c r="DH95" s="771">
        <f t="shared" si="263"/>
        <v>708.07601676544641</v>
      </c>
      <c r="DI95" s="771">
        <f t="shared" si="263"/>
        <v>758.21236819707178</v>
      </c>
      <c r="DJ95" s="771">
        <f t="shared" si="263"/>
        <v>1449.0015063191797</v>
      </c>
      <c r="DK95" s="771">
        <f t="shared" si="263"/>
        <v>976.95082847554886</v>
      </c>
      <c r="DL95" s="191">
        <f t="shared" si="263"/>
        <v>131.12518828989747</v>
      </c>
      <c r="DM95" s="191">
        <f t="shared" si="263"/>
        <v>409.80030126383599</v>
      </c>
      <c r="DN95" s="771">
        <f t="shared" si="263"/>
        <v>738.86103488516335</v>
      </c>
      <c r="DO95" s="771">
        <f t="shared" si="263"/>
        <v>743.99187123844956</v>
      </c>
      <c r="DP95" s="771">
        <f t="shared" si="263"/>
        <v>741.62178841201251</v>
      </c>
      <c r="DQ95" s="771">
        <f t="shared" si="263"/>
        <v>623.72516876081806</v>
      </c>
      <c r="DR95" s="191">
        <f t="shared" si="263"/>
        <v>635.16319667262064</v>
      </c>
      <c r="DS95" s="191">
        <f t="shared" si="263"/>
        <v>761.3882343306002</v>
      </c>
      <c r="DT95" s="771">
        <f t="shared" si="263"/>
        <v>1827.9052884969258</v>
      </c>
      <c r="DU95" s="771">
        <f t="shared" si="263"/>
        <v>206.62443513030749</v>
      </c>
      <c r="DV95" s="771">
        <f t="shared" si="263"/>
        <v>2420.4627447768667</v>
      </c>
      <c r="DW95" s="771">
        <f t="shared" si="263"/>
        <v>3832.7614054693995</v>
      </c>
      <c r="DX95" s="191">
        <f t="shared" ref="DX95:EC95" si="264">(DX11/$B$11)*100</f>
        <v>4885.1674471259148</v>
      </c>
      <c r="DY95" s="191">
        <f t="shared" si="264"/>
        <v>4484.0326020134708</v>
      </c>
      <c r="DZ95" s="771">
        <f t="shared" si="264"/>
        <v>1077.8129707247438</v>
      </c>
      <c r="EA95" s="771">
        <f t="shared" si="264"/>
        <v>3760.4380247625195</v>
      </c>
      <c r="EB95" s="771">
        <f t="shared" si="264"/>
        <v>7521.9668609780401</v>
      </c>
      <c r="EC95" s="771">
        <f t="shared" si="264"/>
        <v>4728.4066605639819</v>
      </c>
    </row>
    <row r="96" spans="1:138">
      <c r="A96" s="192" t="s">
        <v>25</v>
      </c>
      <c r="B96" s="191">
        <f t="shared" ref="B96:AG96" si="265">(B12/$B$12)*100</f>
        <v>100</v>
      </c>
      <c r="C96" s="191">
        <f t="shared" si="265"/>
        <v>66.80858891548435</v>
      </c>
      <c r="D96" s="191">
        <f t="shared" si="265"/>
        <v>56.853700743346678</v>
      </c>
      <c r="E96" s="191">
        <f t="shared" si="265"/>
        <v>36.252983455825891</v>
      </c>
      <c r="F96" s="191">
        <f t="shared" si="265"/>
        <v>0</v>
      </c>
      <c r="G96" s="191">
        <f t="shared" si="265"/>
        <v>55.496952118612477</v>
      </c>
      <c r="H96" s="191">
        <f t="shared" si="265"/>
        <v>97.551864169050035</v>
      </c>
      <c r="I96" s="191">
        <f t="shared" si="265"/>
        <v>60.565010962315469</v>
      </c>
      <c r="J96" s="191">
        <f t="shared" si="265"/>
        <v>0</v>
      </c>
      <c r="K96" s="191">
        <f t="shared" si="265"/>
        <v>0</v>
      </c>
      <c r="L96" s="191">
        <f t="shared" si="265"/>
        <v>0</v>
      </c>
      <c r="M96" s="191">
        <f t="shared" si="265"/>
        <v>47.361457349681409</v>
      </c>
      <c r="N96" s="191">
        <f t="shared" si="265"/>
        <v>125.78931122608783</v>
      </c>
      <c r="O96" s="191">
        <f t="shared" si="265"/>
        <v>0</v>
      </c>
      <c r="P96" s="191">
        <f t="shared" si="265"/>
        <v>73.929043713236965</v>
      </c>
      <c r="Q96" s="191">
        <f t="shared" si="265"/>
        <v>61.246332018224351</v>
      </c>
      <c r="R96" s="191">
        <f t="shared" si="265"/>
        <v>66.02075134004788</v>
      </c>
      <c r="S96" s="191">
        <f t="shared" si="265"/>
        <v>47.445270957405263</v>
      </c>
      <c r="T96" s="191">
        <f t="shared" si="265"/>
        <v>0</v>
      </c>
      <c r="U96" s="191">
        <f t="shared" si="265"/>
        <v>0</v>
      </c>
      <c r="V96" s="191">
        <f t="shared" si="265"/>
        <v>0</v>
      </c>
      <c r="W96" s="191">
        <f t="shared" si="265"/>
        <v>0</v>
      </c>
      <c r="X96" s="191">
        <f t="shared" si="265"/>
        <v>151.85213777659092</v>
      </c>
      <c r="Y96" s="191">
        <f t="shared" si="265"/>
        <v>0</v>
      </c>
      <c r="Z96" s="191">
        <f t="shared" si="265"/>
        <v>73.929043713236965</v>
      </c>
      <c r="AA96" s="191">
        <f t="shared" si="265"/>
        <v>61.246332018224351</v>
      </c>
      <c r="AB96" s="191">
        <f t="shared" si="265"/>
        <v>316.58502135425539</v>
      </c>
      <c r="AC96" s="191">
        <f t="shared" si="265"/>
        <v>0</v>
      </c>
      <c r="AD96" s="191">
        <f t="shared" si="265"/>
        <v>0</v>
      </c>
      <c r="AE96" s="191">
        <f t="shared" si="265"/>
        <v>0</v>
      </c>
      <c r="AF96" s="191">
        <f t="shared" si="265"/>
        <v>0</v>
      </c>
      <c r="AG96" s="191">
        <f t="shared" si="265"/>
        <v>328.97485933303847</v>
      </c>
      <c r="AH96" s="191">
        <f t="shared" ref="AH96:BM96" si="266">(AH12/$B$12)*100</f>
        <v>123.98167895412895</v>
      </c>
      <c r="AI96" s="191">
        <f t="shared" si="266"/>
        <v>162.27903181350214</v>
      </c>
      <c r="AJ96" s="191">
        <f t="shared" si="266"/>
        <v>354.53505764654551</v>
      </c>
      <c r="AK96" s="191">
        <f t="shared" si="266"/>
        <v>246.42372080156102</v>
      </c>
      <c r="AL96" s="191">
        <f t="shared" si="266"/>
        <v>174.36756440525451</v>
      </c>
      <c r="AM96" s="191">
        <f t="shared" si="266"/>
        <v>0</v>
      </c>
      <c r="AN96" s="191">
        <f t="shared" si="266"/>
        <v>0</v>
      </c>
      <c r="AO96" s="191">
        <f t="shared" si="266"/>
        <v>0</v>
      </c>
      <c r="AP96" s="191">
        <f t="shared" si="266"/>
        <v>0</v>
      </c>
      <c r="AQ96" s="191">
        <f t="shared" si="266"/>
        <v>0</v>
      </c>
      <c r="AR96" s="191">
        <f t="shared" si="266"/>
        <v>0</v>
      </c>
      <c r="AS96" s="191">
        <f t="shared" si="266"/>
        <v>0</v>
      </c>
      <c r="AT96" s="191">
        <f t="shared" si="266"/>
        <v>0</v>
      </c>
      <c r="AU96" s="191">
        <f t="shared" si="266"/>
        <v>0</v>
      </c>
      <c r="AV96" s="191">
        <f t="shared" si="266"/>
        <v>0</v>
      </c>
      <c r="AW96" s="191">
        <f t="shared" si="266"/>
        <v>0</v>
      </c>
      <c r="AX96" s="191">
        <f t="shared" si="266"/>
        <v>77.781987260902042</v>
      </c>
      <c r="AY96" s="191">
        <f t="shared" si="266"/>
        <v>0</v>
      </c>
      <c r="AZ96" s="191">
        <f t="shared" si="266"/>
        <v>316.58502135425539</v>
      </c>
      <c r="BA96" s="191">
        <f t="shared" si="266"/>
        <v>0</v>
      </c>
      <c r="BB96" s="191">
        <f t="shared" si="266"/>
        <v>0</v>
      </c>
      <c r="BC96" s="191">
        <f t="shared" si="266"/>
        <v>29.708749721098656</v>
      </c>
      <c r="BD96" s="191">
        <f t="shared" si="266"/>
        <v>417.71496601041622</v>
      </c>
      <c r="BE96" s="191">
        <f t="shared" si="266"/>
        <v>360.86652365046297</v>
      </c>
      <c r="BF96" s="191">
        <f t="shared" si="266"/>
        <v>420.96654221887951</v>
      </c>
      <c r="BG96" s="191">
        <f t="shared" si="266"/>
        <v>470.06683612965901</v>
      </c>
      <c r="BH96" s="191">
        <f t="shared" si="266"/>
        <v>322.30555869652386</v>
      </c>
      <c r="BI96" s="191">
        <f t="shared" si="266"/>
        <v>462.15245561084896</v>
      </c>
      <c r="BJ96" s="191">
        <f t="shared" si="266"/>
        <v>332.07879735947171</v>
      </c>
      <c r="BK96" s="191">
        <f t="shared" si="266"/>
        <v>298.3636202031073</v>
      </c>
      <c r="BL96" s="191">
        <f t="shared" si="266"/>
        <v>332.14192529047358</v>
      </c>
      <c r="BM96" s="191">
        <f t="shared" si="266"/>
        <v>206.93045412124448</v>
      </c>
      <c r="BN96" s="191">
        <f t="shared" ref="BN96:CS96" si="267">(BN12/$B$12)*100</f>
        <v>190.16197778592095</v>
      </c>
      <c r="BO96" s="191">
        <f t="shared" si="267"/>
        <v>203.16650615145986</v>
      </c>
      <c r="BP96" s="191">
        <f t="shared" si="267"/>
        <v>18.763420876483362</v>
      </c>
      <c r="BQ96" s="191">
        <f t="shared" si="267"/>
        <v>6.7756797609523263</v>
      </c>
      <c r="BR96" s="191">
        <f t="shared" si="267"/>
        <v>32.670823319922484</v>
      </c>
      <c r="BS96" s="191">
        <f t="shared" si="267"/>
        <v>23.973650172583202</v>
      </c>
      <c r="BT96" s="191">
        <f t="shared" si="267"/>
        <v>253.9309911166601</v>
      </c>
      <c r="BU96" s="191">
        <f t="shared" si="267"/>
        <v>123.98789854539076</v>
      </c>
      <c r="BV96" s="191">
        <f t="shared" si="267"/>
        <v>59.303239900600545</v>
      </c>
      <c r="BW96" s="191">
        <f t="shared" si="267"/>
        <v>21.450108049153393</v>
      </c>
      <c r="BX96" s="191">
        <f t="shared" si="267"/>
        <v>50.470842468596224</v>
      </c>
      <c r="BY96" s="191">
        <f t="shared" si="267"/>
        <v>36.252983455825891</v>
      </c>
      <c r="BZ96" s="191">
        <f t="shared" si="267"/>
        <v>450.07982701203343</v>
      </c>
      <c r="CA96" s="191">
        <f t="shared" si="267"/>
        <v>567.88576642031171</v>
      </c>
      <c r="CB96" s="191">
        <f t="shared" si="267"/>
        <v>406.07454629589563</v>
      </c>
      <c r="CC96" s="191">
        <f t="shared" si="267"/>
        <v>407.1717669369433</v>
      </c>
      <c r="CD96" s="191">
        <f t="shared" si="267"/>
        <v>305.39069226203708</v>
      </c>
      <c r="CE96" s="191">
        <f t="shared" si="267"/>
        <v>386.61209545644914</v>
      </c>
      <c r="CF96" s="191">
        <f t="shared" si="267"/>
        <v>272.5668543173108</v>
      </c>
      <c r="CG96" s="191">
        <f t="shared" si="267"/>
        <v>243.63007629237003</v>
      </c>
      <c r="CH96" s="191">
        <f t="shared" si="267"/>
        <v>511.78393325504936</v>
      </c>
      <c r="CI96" s="191">
        <f t="shared" si="267"/>
        <v>336.36551840086798</v>
      </c>
      <c r="CJ96" s="191">
        <f t="shared" si="267"/>
        <v>402.53369299909758</v>
      </c>
      <c r="CK96" s="191">
        <f t="shared" si="267"/>
        <v>361.32938335278368</v>
      </c>
      <c r="CL96" s="191">
        <f t="shared" si="267"/>
        <v>196.69313370194897</v>
      </c>
      <c r="CM96" s="191">
        <f t="shared" si="267"/>
        <v>249.09660729746744</v>
      </c>
      <c r="CN96" s="191">
        <f t="shared" si="267"/>
        <v>165.86178243222764</v>
      </c>
      <c r="CO96" s="191">
        <f t="shared" si="267"/>
        <v>403.45668625461428</v>
      </c>
      <c r="CP96" s="771">
        <f t="shared" si="267"/>
        <v>353.53127849513044</v>
      </c>
      <c r="CQ96" s="771">
        <f t="shared" si="267"/>
        <v>1823.2417573120549</v>
      </c>
      <c r="CR96" s="771">
        <f t="shared" si="267"/>
        <v>340.90622644372581</v>
      </c>
      <c r="CS96" s="771">
        <f t="shared" si="267"/>
        <v>388.90819943721675</v>
      </c>
      <c r="CT96" s="191">
        <f t="shared" ref="CT96:CY96" si="268">(CT12/$B$12)*100</f>
        <v>162.12010585326752</v>
      </c>
      <c r="CU96" s="191">
        <f t="shared" si="268"/>
        <v>166.10254250692202</v>
      </c>
      <c r="CV96" s="771">
        <f t="shared" si="268"/>
        <v>198.46407572137531</v>
      </c>
      <c r="CW96" s="771">
        <f t="shared" si="268"/>
        <v>274.23776955064409</v>
      </c>
      <c r="CX96" s="771">
        <f t="shared" si="268"/>
        <v>249.91986268701248</v>
      </c>
      <c r="CY96" s="771">
        <f t="shared" si="268"/>
        <v>190.80131897129633</v>
      </c>
      <c r="CZ96" s="191">
        <f t="shared" si="244"/>
        <v>0</v>
      </c>
      <c r="DA96" s="191">
        <f t="shared" ref="DA96:DW96" si="269">(DA12/$B$12)*100</f>
        <v>0</v>
      </c>
      <c r="DB96" s="771">
        <f t="shared" si="269"/>
        <v>0</v>
      </c>
      <c r="DC96" s="771">
        <f t="shared" si="269"/>
        <v>12.639401564846784</v>
      </c>
      <c r="DD96" s="771">
        <f t="shared" si="269"/>
        <v>7.5542705910623553</v>
      </c>
      <c r="DE96" s="771">
        <f t="shared" si="269"/>
        <v>32.186283081439896</v>
      </c>
      <c r="DF96" s="191">
        <f t="shared" si="269"/>
        <v>9.723058778286914</v>
      </c>
      <c r="DG96" s="191">
        <f t="shared" si="269"/>
        <v>12.784333677142701</v>
      </c>
      <c r="DH96" s="771">
        <f t="shared" si="269"/>
        <v>13.555348813439178</v>
      </c>
      <c r="DI96" s="771">
        <f t="shared" si="269"/>
        <v>52.332460413430162</v>
      </c>
      <c r="DJ96" s="771">
        <f t="shared" si="269"/>
        <v>50.637730650914889</v>
      </c>
      <c r="DK96" s="771">
        <f t="shared" si="269"/>
        <v>28.872228175606622</v>
      </c>
      <c r="DL96" s="191">
        <f t="shared" si="269"/>
        <v>45.685501445607365</v>
      </c>
      <c r="DM96" s="191">
        <f t="shared" si="269"/>
        <v>54.093131266765063</v>
      </c>
      <c r="DN96" s="771">
        <f t="shared" si="269"/>
        <v>40.862733460960548</v>
      </c>
      <c r="DO96" s="771">
        <f t="shared" si="269"/>
        <v>45.413964235547446</v>
      </c>
      <c r="DP96" s="771">
        <f t="shared" si="269"/>
        <v>44.260881539233658</v>
      </c>
      <c r="DQ96" s="771">
        <f t="shared" si="269"/>
        <v>43.19807335395344</v>
      </c>
      <c r="DR96" s="191">
        <f t="shared" si="269"/>
        <v>355.74409074641153</v>
      </c>
      <c r="DS96" s="191">
        <f t="shared" si="269"/>
        <v>379.91455966415896</v>
      </c>
      <c r="DT96" s="771">
        <f t="shared" si="269"/>
        <v>245.39758975583848</v>
      </c>
      <c r="DU96" s="771">
        <f t="shared" si="269"/>
        <v>278.78212646499634</v>
      </c>
      <c r="DV96" s="771">
        <f t="shared" si="269"/>
        <v>291.79112100759835</v>
      </c>
      <c r="DW96" s="771">
        <f t="shared" si="269"/>
        <v>245.54297012193925</v>
      </c>
      <c r="DX96" s="191">
        <f t="shared" ref="DX96:EC96" si="270">(DX12/$B$12)*100</f>
        <v>236.6925030975296</v>
      </c>
      <c r="DY96" s="191">
        <f t="shared" si="270"/>
        <v>158.58151855289128</v>
      </c>
      <c r="DZ96" s="771">
        <f t="shared" si="270"/>
        <v>108.97948119974741</v>
      </c>
      <c r="EA96" s="771">
        <f t="shared" si="270"/>
        <v>218.57798398518744</v>
      </c>
      <c r="EB96" s="771">
        <f t="shared" si="270"/>
        <v>143.33051781232803</v>
      </c>
      <c r="EC96" s="771">
        <f t="shared" si="270"/>
        <v>192.90028516769235</v>
      </c>
    </row>
    <row r="97" spans="1:138">
      <c r="A97" s="859" t="s">
        <v>48</v>
      </c>
      <c r="B97" s="191">
        <f t="shared" ref="B97:AG97" si="271">(B13/$B$13)*100</f>
        <v>100</v>
      </c>
      <c r="C97" s="191">
        <f t="shared" si="271"/>
        <v>152.77777777777777</v>
      </c>
      <c r="D97" s="191">
        <f t="shared" si="271"/>
        <v>29.938271604938272</v>
      </c>
      <c r="E97" s="191">
        <f t="shared" si="271"/>
        <v>21.296296296296298</v>
      </c>
      <c r="F97" s="191">
        <f t="shared" si="271"/>
        <v>110.49382716049382</v>
      </c>
      <c r="G97" s="191">
        <f t="shared" si="271"/>
        <v>40.432098765432094</v>
      </c>
      <c r="H97" s="191">
        <f t="shared" si="271"/>
        <v>60.185185185185176</v>
      </c>
      <c r="I97" s="191">
        <f t="shared" si="271"/>
        <v>76.543209876543202</v>
      </c>
      <c r="J97" s="191">
        <f t="shared" si="271"/>
        <v>101.54320987654322</v>
      </c>
      <c r="K97" s="191">
        <f t="shared" si="271"/>
        <v>31.481481481481481</v>
      </c>
      <c r="L97" s="191">
        <f t="shared" si="271"/>
        <v>0</v>
      </c>
      <c r="M97" s="191">
        <f t="shared" si="271"/>
        <v>20.061728395061728</v>
      </c>
      <c r="N97" s="191">
        <f t="shared" si="271"/>
        <v>43.518518518518512</v>
      </c>
      <c r="O97" s="191">
        <f t="shared" si="271"/>
        <v>0</v>
      </c>
      <c r="P97" s="191">
        <f t="shared" si="271"/>
        <v>64.197530864197532</v>
      </c>
      <c r="Q97" s="191">
        <f t="shared" si="271"/>
        <v>29.320987654320991</v>
      </c>
      <c r="R97" s="191">
        <f t="shared" si="271"/>
        <v>2.4691358024691357</v>
      </c>
      <c r="S97" s="191">
        <f t="shared" si="271"/>
        <v>23.456790123456788</v>
      </c>
      <c r="T97" s="191">
        <f t="shared" si="271"/>
        <v>0</v>
      </c>
      <c r="U97" s="191">
        <f t="shared" si="271"/>
        <v>0</v>
      </c>
      <c r="V97" s="191">
        <f t="shared" si="271"/>
        <v>0</v>
      </c>
      <c r="W97" s="191">
        <f t="shared" si="271"/>
        <v>0</v>
      </c>
      <c r="X97" s="191">
        <f t="shared" si="271"/>
        <v>84.259259259259252</v>
      </c>
      <c r="Y97" s="191">
        <f t="shared" si="271"/>
        <v>0</v>
      </c>
      <c r="Z97" s="191">
        <f t="shared" si="271"/>
        <v>64.197530864197532</v>
      </c>
      <c r="AA97" s="191">
        <f t="shared" si="271"/>
        <v>40.432098765432094</v>
      </c>
      <c r="AB97" s="191">
        <f t="shared" si="271"/>
        <v>59.876543209876544</v>
      </c>
      <c r="AC97" s="191">
        <f t="shared" si="271"/>
        <v>0</v>
      </c>
      <c r="AD97" s="191">
        <f t="shared" si="271"/>
        <v>0</v>
      </c>
      <c r="AE97" s="191">
        <f t="shared" si="271"/>
        <v>122.53086419753086</v>
      </c>
      <c r="AF97" s="191">
        <f t="shared" si="271"/>
        <v>0</v>
      </c>
      <c r="AG97" s="191">
        <f t="shared" si="271"/>
        <v>32.407407407407405</v>
      </c>
      <c r="AH97" s="191">
        <f t="shared" ref="AH97:BM97" si="272">(AH13/$B$13)*100</f>
        <v>178.70370370370367</v>
      </c>
      <c r="AI97" s="191">
        <f t="shared" si="272"/>
        <v>160.80246913580248</v>
      </c>
      <c r="AJ97" s="191">
        <f t="shared" si="272"/>
        <v>235.18518518518522</v>
      </c>
      <c r="AK97" s="191">
        <f t="shared" si="272"/>
        <v>318.20987654320987</v>
      </c>
      <c r="AL97" s="191">
        <f t="shared" si="272"/>
        <v>97.222222222222214</v>
      </c>
      <c r="AM97" s="191">
        <f t="shared" si="272"/>
        <v>89.506172839506164</v>
      </c>
      <c r="AN97" s="191">
        <f t="shared" si="272"/>
        <v>0</v>
      </c>
      <c r="AO97" s="191">
        <f t="shared" si="272"/>
        <v>0</v>
      </c>
      <c r="AP97" s="191">
        <f t="shared" si="272"/>
        <v>0</v>
      </c>
      <c r="AQ97" s="191">
        <f t="shared" si="272"/>
        <v>0</v>
      </c>
      <c r="AR97" s="191">
        <f t="shared" si="272"/>
        <v>0</v>
      </c>
      <c r="AS97" s="191">
        <f t="shared" si="272"/>
        <v>0</v>
      </c>
      <c r="AT97" s="191">
        <f t="shared" si="272"/>
        <v>0</v>
      </c>
      <c r="AU97" s="191">
        <f t="shared" si="272"/>
        <v>0</v>
      </c>
      <c r="AV97" s="191">
        <f t="shared" si="272"/>
        <v>0</v>
      </c>
      <c r="AW97" s="191">
        <f t="shared" si="272"/>
        <v>0</v>
      </c>
      <c r="AX97" s="191">
        <f t="shared" si="272"/>
        <v>60.493827160493815</v>
      </c>
      <c r="AY97" s="191">
        <f t="shared" si="272"/>
        <v>0</v>
      </c>
      <c r="AZ97" s="191">
        <f t="shared" si="272"/>
        <v>73.456790123456784</v>
      </c>
      <c r="BA97" s="191">
        <f t="shared" si="272"/>
        <v>79.938271604938265</v>
      </c>
      <c r="BB97" s="191">
        <f t="shared" si="272"/>
        <v>110.49382716049382</v>
      </c>
      <c r="BC97" s="191">
        <f t="shared" si="272"/>
        <v>40.432098765432094</v>
      </c>
      <c r="BD97" s="191">
        <f t="shared" si="272"/>
        <v>114.19753086419753</v>
      </c>
      <c r="BE97" s="191">
        <f t="shared" si="272"/>
        <v>118.5185185185185</v>
      </c>
      <c r="BF97" s="191">
        <f t="shared" si="272"/>
        <v>82.716049382716051</v>
      </c>
      <c r="BG97" s="191">
        <f t="shared" si="272"/>
        <v>136.11111111111111</v>
      </c>
      <c r="BH97" s="191">
        <f t="shared" si="272"/>
        <v>90.740740740740733</v>
      </c>
      <c r="BI97" s="191">
        <f t="shared" si="272"/>
        <v>32.716049382716051</v>
      </c>
      <c r="BJ97" s="191">
        <f t="shared" si="272"/>
        <v>115.12345679012346</v>
      </c>
      <c r="BK97" s="191">
        <f t="shared" si="272"/>
        <v>85.802469135802468</v>
      </c>
      <c r="BL97" s="191">
        <f t="shared" si="272"/>
        <v>139.50617283950618</v>
      </c>
      <c r="BM97" s="191">
        <f t="shared" si="272"/>
        <v>201.23456790123458</v>
      </c>
      <c r="BN97" s="191">
        <f t="shared" ref="BN97:CS97" si="273">(BN13/$B$13)*100</f>
        <v>61.111111111111107</v>
      </c>
      <c r="BO97" s="191">
        <f t="shared" si="273"/>
        <v>46.604938271604937</v>
      </c>
      <c r="BP97" s="191">
        <f t="shared" si="273"/>
        <v>107.40740740740739</v>
      </c>
      <c r="BQ97" s="191">
        <f t="shared" si="273"/>
        <v>198.14814814814815</v>
      </c>
      <c r="BR97" s="191">
        <f t="shared" si="273"/>
        <v>37.037037037037038</v>
      </c>
      <c r="BS97" s="191">
        <f t="shared" si="273"/>
        <v>39.506172839506171</v>
      </c>
      <c r="BT97" s="191">
        <f t="shared" si="273"/>
        <v>207.71604938271602</v>
      </c>
      <c r="BU97" s="191">
        <f t="shared" si="273"/>
        <v>183.33333333333331</v>
      </c>
      <c r="BV97" s="191">
        <f t="shared" si="273"/>
        <v>68.827160493827165</v>
      </c>
      <c r="BW97" s="191">
        <f t="shared" si="273"/>
        <v>159.87654320987653</v>
      </c>
      <c r="BX97" s="191">
        <f t="shared" si="273"/>
        <v>48.456790123456791</v>
      </c>
      <c r="BY97" s="191">
        <f t="shared" si="273"/>
        <v>22.222222222222221</v>
      </c>
      <c r="BZ97" s="191">
        <f t="shared" si="273"/>
        <v>99.382716049382708</v>
      </c>
      <c r="CA97" s="191">
        <f t="shared" si="273"/>
        <v>79.012345679012341</v>
      </c>
      <c r="CB97" s="191">
        <f t="shared" si="273"/>
        <v>111.41975308641976</v>
      </c>
      <c r="CC97" s="191">
        <f t="shared" si="273"/>
        <v>196.91358024691357</v>
      </c>
      <c r="CD97" s="191">
        <f t="shared" si="273"/>
        <v>109.5679012345679</v>
      </c>
      <c r="CE97" s="191">
        <f t="shared" si="273"/>
        <v>202.77777777777777</v>
      </c>
      <c r="CF97" s="191">
        <f t="shared" si="273"/>
        <v>109.25925925925925</v>
      </c>
      <c r="CG97" s="191">
        <f t="shared" si="273"/>
        <v>174.07407407407405</v>
      </c>
      <c r="CH97" s="191">
        <f t="shared" si="273"/>
        <v>223.76543209876542</v>
      </c>
      <c r="CI97" s="191">
        <f t="shared" si="273"/>
        <v>81.481481481481481</v>
      </c>
      <c r="CJ97" s="191">
        <f t="shared" si="273"/>
        <v>158.02469135802468</v>
      </c>
      <c r="CK97" s="191">
        <f t="shared" si="273"/>
        <v>233.02469135802468</v>
      </c>
      <c r="CL97" s="191">
        <f t="shared" si="273"/>
        <v>79.629629629629633</v>
      </c>
      <c r="CM97" s="191">
        <f t="shared" si="273"/>
        <v>117.90123456790123</v>
      </c>
      <c r="CN97" s="191">
        <f t="shared" si="273"/>
        <v>16.358024691358025</v>
      </c>
      <c r="CO97" s="191">
        <f t="shared" si="273"/>
        <v>107.71604938271604</v>
      </c>
      <c r="CP97" s="771">
        <f t="shared" si="273"/>
        <v>109.25925925925925</v>
      </c>
      <c r="CQ97" s="771">
        <f t="shared" si="273"/>
        <v>45.987654320987652</v>
      </c>
      <c r="CR97" s="771">
        <f t="shared" si="273"/>
        <v>128.7037037037037</v>
      </c>
      <c r="CS97" s="771">
        <f t="shared" si="273"/>
        <v>114.19753086419753</v>
      </c>
      <c r="CT97" s="191">
        <f t="shared" ref="CT97:CY97" si="274">(CT13/$B$13)*100</f>
        <v>14.19753086419753</v>
      </c>
      <c r="CU97" s="191">
        <f t="shared" si="274"/>
        <v>134.25925925925927</v>
      </c>
      <c r="CV97" s="771">
        <f t="shared" si="274"/>
        <v>49.382716049382715</v>
      </c>
      <c r="CW97" s="771">
        <f t="shared" si="274"/>
        <v>81.790123456790127</v>
      </c>
      <c r="CX97" s="771">
        <f t="shared" si="274"/>
        <v>62.654320987654323</v>
      </c>
      <c r="CY97" s="771">
        <f t="shared" si="274"/>
        <v>162.34567901234567</v>
      </c>
      <c r="CZ97" s="191">
        <f t="shared" si="244"/>
        <v>0</v>
      </c>
      <c r="DA97" s="191">
        <f t="shared" ref="DA97:DW97" si="275">(DA13/$B$13)*100</f>
        <v>0</v>
      </c>
      <c r="DB97" s="771">
        <f t="shared" si="275"/>
        <v>0</v>
      </c>
      <c r="DC97" s="771">
        <f t="shared" si="275"/>
        <v>4.6296296296296298</v>
      </c>
      <c r="DD97" s="771">
        <f t="shared" si="275"/>
        <v>4.0123456790123457</v>
      </c>
      <c r="DE97" s="771">
        <f t="shared" si="275"/>
        <v>24.382716049382715</v>
      </c>
      <c r="DF97" s="191">
        <f t="shared" si="275"/>
        <v>11.111111111111111</v>
      </c>
      <c r="DG97" s="191">
        <f t="shared" si="275"/>
        <v>1.2345679012345678</v>
      </c>
      <c r="DH97" s="771">
        <f t="shared" si="275"/>
        <v>10.493827160493826</v>
      </c>
      <c r="DI97" s="771">
        <f t="shared" si="275"/>
        <v>21.60493827160494</v>
      </c>
      <c r="DJ97" s="771">
        <f t="shared" si="275"/>
        <v>29.938271604938272</v>
      </c>
      <c r="DK97" s="771">
        <f t="shared" si="275"/>
        <v>20.987654320987652</v>
      </c>
      <c r="DL97" s="191">
        <f t="shared" si="275"/>
        <v>42.283950617283949</v>
      </c>
      <c r="DM97" s="191">
        <f t="shared" si="275"/>
        <v>38.271604938271601</v>
      </c>
      <c r="DN97" s="771">
        <f t="shared" si="275"/>
        <v>27.26337448559671</v>
      </c>
      <c r="DO97" s="771">
        <f t="shared" si="275"/>
        <v>30.058299039780522</v>
      </c>
      <c r="DP97" s="771">
        <f t="shared" si="275"/>
        <v>31.467192501143128</v>
      </c>
      <c r="DQ97" s="771">
        <f t="shared" si="275"/>
        <v>31.722012650510596</v>
      </c>
      <c r="DR97" s="191">
        <f t="shared" si="275"/>
        <v>176.23456790123456</v>
      </c>
      <c r="DS97" s="191">
        <f t="shared" si="275"/>
        <v>121.60493827160492</v>
      </c>
      <c r="DT97" s="771">
        <f t="shared" si="275"/>
        <v>111.11111111111111</v>
      </c>
      <c r="DU97" s="771">
        <f t="shared" si="275"/>
        <v>90.740740740740733</v>
      </c>
      <c r="DV97" s="771">
        <f t="shared" si="275"/>
        <v>73.148148148148138</v>
      </c>
      <c r="DW97" s="771">
        <f t="shared" si="275"/>
        <v>87.34567901234567</v>
      </c>
      <c r="DX97" s="191">
        <f t="shared" ref="DX97:EC97" si="276">(DX13/$B$13)*100</f>
        <v>88.888888888888886</v>
      </c>
      <c r="DY97" s="191">
        <f t="shared" si="276"/>
        <v>46.913580246913575</v>
      </c>
      <c r="DZ97" s="771">
        <f t="shared" si="276"/>
        <v>109.5679012345679</v>
      </c>
      <c r="EA97" s="771">
        <f t="shared" si="276"/>
        <v>123.45679012345678</v>
      </c>
      <c r="EB97" s="771">
        <f t="shared" si="276"/>
        <v>125</v>
      </c>
      <c r="EC97" s="771">
        <f t="shared" si="276"/>
        <v>89.197530864197518</v>
      </c>
    </row>
    <row r="98" spans="1:138" s="178" customFormat="1">
      <c r="A98" s="850" t="s">
        <v>186</v>
      </c>
      <c r="B98" s="880">
        <f>(B14/$B$14)*100</f>
        <v>100</v>
      </c>
      <c r="C98" s="880">
        <f>(C14/$B$14)*100</f>
        <v>127.94920481532075</v>
      </c>
      <c r="D98" s="880">
        <f t="shared" ref="D98:BO98" si="277">(D14/$B$14)*100</f>
        <v>114.92011021515493</v>
      </c>
      <c r="E98" s="880">
        <f t="shared" si="277"/>
        <v>77.046687786301305</v>
      </c>
      <c r="F98" s="880">
        <f t="shared" si="277"/>
        <v>2.9135814295748195</v>
      </c>
      <c r="G98" s="880">
        <f t="shared" si="277"/>
        <v>5.3051143875924165</v>
      </c>
      <c r="H98" s="880">
        <f t="shared" si="277"/>
        <v>103.842281888945</v>
      </c>
      <c r="I98" s="880">
        <f t="shared" si="277"/>
        <v>182.99208659649045</v>
      </c>
      <c r="J98" s="880">
        <f t="shared" si="277"/>
        <v>1.2119887357064865</v>
      </c>
      <c r="K98" s="880">
        <f t="shared" si="277"/>
        <v>8.5278753186039467</v>
      </c>
      <c r="L98" s="880">
        <f t="shared" si="277"/>
        <v>0</v>
      </c>
      <c r="M98" s="880">
        <f t="shared" si="277"/>
        <v>208.38270523086621</v>
      </c>
      <c r="N98" s="880">
        <f t="shared" si="277"/>
        <v>456.35889879747441</v>
      </c>
      <c r="O98" s="880">
        <f t="shared" si="277"/>
        <v>0</v>
      </c>
      <c r="P98" s="880">
        <f t="shared" si="277"/>
        <v>231.14944274060082</v>
      </c>
      <c r="Q98" s="880">
        <f t="shared" si="277"/>
        <v>128.90460616329051</v>
      </c>
      <c r="R98" s="880">
        <f t="shared" si="277"/>
        <v>46.977302906883324</v>
      </c>
      <c r="S98" s="880">
        <f t="shared" si="277"/>
        <v>145.36649967269599</v>
      </c>
      <c r="T98" s="880">
        <f t="shared" si="277"/>
        <v>0</v>
      </c>
      <c r="U98" s="880">
        <f t="shared" si="277"/>
        <v>0</v>
      </c>
      <c r="V98" s="880">
        <f t="shared" si="277"/>
        <v>0</v>
      </c>
      <c r="W98" s="880">
        <f t="shared" si="277"/>
        <v>0</v>
      </c>
      <c r="X98" s="880">
        <f t="shared" si="277"/>
        <v>276.39309547317652</v>
      </c>
      <c r="Y98" s="880">
        <f t="shared" si="277"/>
        <v>0</v>
      </c>
      <c r="Z98" s="880">
        <f t="shared" si="277"/>
        <v>231.14944274060082</v>
      </c>
      <c r="AA98" s="880">
        <f t="shared" si="277"/>
        <v>1477.7229567140034</v>
      </c>
      <c r="AB98" s="880">
        <f t="shared" si="277"/>
        <v>227.96957203774636</v>
      </c>
      <c r="AC98" s="880">
        <f t="shared" si="277"/>
        <v>0</v>
      </c>
      <c r="AD98" s="880">
        <f t="shared" si="277"/>
        <v>0.13202663971462741</v>
      </c>
      <c r="AE98" s="880">
        <f t="shared" si="277"/>
        <v>99.671655928644313</v>
      </c>
      <c r="AF98" s="880">
        <f t="shared" si="277"/>
        <v>0</v>
      </c>
      <c r="AG98" s="880">
        <f t="shared" si="277"/>
        <v>151.89033308178711</v>
      </c>
      <c r="AH98" s="880">
        <f t="shared" si="277"/>
        <v>31.830837379249903</v>
      </c>
      <c r="AI98" s="880">
        <f t="shared" si="277"/>
        <v>113.12618453293028</v>
      </c>
      <c r="AJ98" s="880">
        <f t="shared" si="277"/>
        <v>116.61170366392616</v>
      </c>
      <c r="AK98" s="880">
        <f t="shared" si="277"/>
        <v>65.03754477896635</v>
      </c>
      <c r="AL98" s="880">
        <f t="shared" si="277"/>
        <v>68.957382308087674</v>
      </c>
      <c r="AM98" s="880">
        <f t="shared" si="277"/>
        <v>0</v>
      </c>
      <c r="AN98" s="880">
        <f t="shared" si="277"/>
        <v>0</v>
      </c>
      <c r="AO98" s="880">
        <f t="shared" si="277"/>
        <v>0</v>
      </c>
      <c r="AP98" s="880">
        <f t="shared" si="277"/>
        <v>0</v>
      </c>
      <c r="AQ98" s="880">
        <f t="shared" si="277"/>
        <v>0</v>
      </c>
      <c r="AR98" s="880">
        <f t="shared" si="277"/>
        <v>0</v>
      </c>
      <c r="AS98" s="880">
        <f t="shared" si="277"/>
        <v>0</v>
      </c>
      <c r="AT98" s="880">
        <f t="shared" si="277"/>
        <v>0</v>
      </c>
      <c r="AU98" s="880">
        <f t="shared" si="277"/>
        <v>0</v>
      </c>
      <c r="AV98" s="880">
        <f t="shared" si="277"/>
        <v>0</v>
      </c>
      <c r="AW98" s="880">
        <f t="shared" si="277"/>
        <v>0</v>
      </c>
      <c r="AX98" s="880">
        <f t="shared" si="277"/>
        <v>214.52365835977312</v>
      </c>
      <c r="AY98" s="880">
        <f t="shared" si="277"/>
        <v>0</v>
      </c>
      <c r="AZ98" s="880">
        <f t="shared" si="277"/>
        <v>227.44146547888784</v>
      </c>
      <c r="BA98" s="880">
        <f t="shared" si="277"/>
        <v>203.082482367891</v>
      </c>
      <c r="BB98" s="880">
        <f t="shared" si="277"/>
        <v>2.8236815515793787</v>
      </c>
      <c r="BC98" s="880">
        <f t="shared" si="277"/>
        <v>4.9455148756106544</v>
      </c>
      <c r="BD98" s="880">
        <f t="shared" si="277"/>
        <v>154.3603717141705</v>
      </c>
      <c r="BE98" s="880">
        <f t="shared" si="277"/>
        <v>232.1198881688062</v>
      </c>
      <c r="BF98" s="880">
        <f t="shared" si="277"/>
        <v>324.0198593966914</v>
      </c>
      <c r="BG98" s="880">
        <f t="shared" si="277"/>
        <v>278.88833142905224</v>
      </c>
      <c r="BH98" s="880">
        <f t="shared" si="277"/>
        <v>172.73216001174774</v>
      </c>
      <c r="BI98" s="880">
        <f t="shared" si="277"/>
        <v>226.75225462741957</v>
      </c>
      <c r="BJ98" s="880">
        <f t="shared" si="277"/>
        <v>205.69160317272238</v>
      </c>
      <c r="BK98" s="880">
        <f t="shared" si="277"/>
        <v>173.23694543162264</v>
      </c>
      <c r="BL98" s="880">
        <f t="shared" si="277"/>
        <v>305.02050858586574</v>
      </c>
      <c r="BM98" s="880">
        <f t="shared" si="277"/>
        <v>210.65791201072361</v>
      </c>
      <c r="BN98" s="880">
        <f t="shared" si="277"/>
        <v>267.75738563946095</v>
      </c>
      <c r="BO98" s="880">
        <f t="shared" si="277"/>
        <v>183.93817784120165</v>
      </c>
      <c r="BP98" s="880">
        <f t="shared" ref="BP98:DW98" si="278">(BP14/$B$14)*100</f>
        <v>197.33582203247241</v>
      </c>
      <c r="BQ98" s="880">
        <f t="shared" si="278"/>
        <v>219.12533028042907</v>
      </c>
      <c r="BR98" s="880">
        <f t="shared" si="278"/>
        <v>35.325904649713422</v>
      </c>
      <c r="BS98" s="880">
        <f t="shared" si="278"/>
        <v>42.750562084336323</v>
      </c>
      <c r="BT98" s="880">
        <f t="shared" si="278"/>
        <v>476.27120783768379</v>
      </c>
      <c r="BU98" s="880">
        <f t="shared" si="278"/>
        <v>100.7099873917003</v>
      </c>
      <c r="BV98" s="880">
        <f t="shared" si="278"/>
        <v>190.28890476397345</v>
      </c>
      <c r="BW98" s="880">
        <f t="shared" si="278"/>
        <v>219.48551503672894</v>
      </c>
      <c r="BX98" s="880">
        <f t="shared" si="278"/>
        <v>65.921538860520116</v>
      </c>
      <c r="BY98" s="880">
        <f t="shared" si="278"/>
        <v>77.046687786301305</v>
      </c>
      <c r="BZ98" s="880">
        <f t="shared" si="278"/>
        <v>352.38707981622997</v>
      </c>
      <c r="CA98" s="880">
        <f t="shared" si="278"/>
        <v>184.05090712521087</v>
      </c>
      <c r="CB98" s="880">
        <f t="shared" si="278"/>
        <v>207.76517037515299</v>
      </c>
      <c r="CC98" s="880">
        <f t="shared" si="278"/>
        <v>228.18824713913165</v>
      </c>
      <c r="CD98" s="880">
        <f t="shared" si="278"/>
        <v>212.57710136242375</v>
      </c>
      <c r="CE98" s="880">
        <f t="shared" si="278"/>
        <v>280.5898679304924</v>
      </c>
      <c r="CF98" s="880">
        <f t="shared" si="278"/>
        <v>221.55111887622289</v>
      </c>
      <c r="CG98" s="880">
        <f t="shared" si="278"/>
        <v>127.88380940782058</v>
      </c>
      <c r="CH98" s="880">
        <f t="shared" si="278"/>
        <v>155.32059744581537</v>
      </c>
      <c r="CI98" s="880">
        <f t="shared" si="278"/>
        <v>136.35798618333709</v>
      </c>
      <c r="CJ98" s="880">
        <f t="shared" si="278"/>
        <v>189.18246653566996</v>
      </c>
      <c r="CK98" s="880">
        <f t="shared" si="278"/>
        <v>339.03275902943528</v>
      </c>
      <c r="CL98" s="880">
        <f t="shared" si="278"/>
        <v>383.63387498394951</v>
      </c>
      <c r="CM98" s="880">
        <f t="shared" si="278"/>
        <v>354.47945803510561</v>
      </c>
      <c r="CN98" s="880">
        <f t="shared" si="278"/>
        <v>320.03974288417101</v>
      </c>
      <c r="CO98" s="880">
        <f t="shared" si="278"/>
        <v>291.82910355316852</v>
      </c>
      <c r="CP98" s="880">
        <f t="shared" si="278"/>
        <v>198.44852958578437</v>
      </c>
      <c r="CQ98" s="880">
        <f t="shared" si="278"/>
        <v>318.9149040267227</v>
      </c>
      <c r="CR98" s="880">
        <f t="shared" si="278"/>
        <v>205.79333068275068</v>
      </c>
      <c r="CS98" s="880">
        <f t="shared" si="278"/>
        <v>483.27347463440276</v>
      </c>
      <c r="CT98" s="880">
        <f t="shared" si="278"/>
        <v>568.73966194547131</v>
      </c>
      <c r="CU98" s="880">
        <f t="shared" si="278"/>
        <v>651.38030873676644</v>
      </c>
      <c r="CV98" s="880">
        <f t="shared" si="278"/>
        <v>667.35089837905309</v>
      </c>
      <c r="CW98" s="880">
        <f t="shared" si="278"/>
        <v>673.08994143048517</v>
      </c>
      <c r="CX98" s="880">
        <f t="shared" si="278"/>
        <v>312.84271747959025</v>
      </c>
      <c r="CY98" s="880">
        <f t="shared" si="278"/>
        <v>309.63475726005248</v>
      </c>
      <c r="CZ98" s="880">
        <f t="shared" si="278"/>
        <v>0</v>
      </c>
      <c r="DA98" s="880">
        <f t="shared" si="278"/>
        <v>0</v>
      </c>
      <c r="DB98" s="880">
        <f t="shared" si="278"/>
        <v>0</v>
      </c>
      <c r="DC98" s="880">
        <f t="shared" si="278"/>
        <v>13.478322449094213</v>
      </c>
      <c r="DD98" s="880">
        <f t="shared" si="278"/>
        <v>1.9896045544605845</v>
      </c>
      <c r="DE98" s="880">
        <f t="shared" si="278"/>
        <v>4.4220655401847742</v>
      </c>
      <c r="DF98" s="880">
        <f t="shared" si="278"/>
        <v>9.8373335186581254</v>
      </c>
      <c r="DG98" s="880">
        <f t="shared" si="278"/>
        <v>8.9794414211008906</v>
      </c>
      <c r="DH98" s="880">
        <f t="shared" si="278"/>
        <v>82.831899456728863</v>
      </c>
      <c r="DI98" s="880">
        <f t="shared" si="278"/>
        <v>28.650461520308777</v>
      </c>
      <c r="DJ98" s="880">
        <f t="shared" si="278"/>
        <v>55.000468966399922</v>
      </c>
      <c r="DK98" s="880">
        <f t="shared" si="278"/>
        <v>28.155717482393989</v>
      </c>
      <c r="DL98" s="880">
        <f t="shared" si="278"/>
        <v>79.446809415080523</v>
      </c>
      <c r="DM98" s="880">
        <f t="shared" si="278"/>
        <v>108.39954615766565</v>
      </c>
      <c r="DN98" s="880">
        <f t="shared" si="278"/>
        <v>63.747483833096283</v>
      </c>
      <c r="DO98" s="880">
        <f t="shared" si="278"/>
        <v>60.566747895824193</v>
      </c>
      <c r="DP98" s="880">
        <f t="shared" si="278"/>
        <v>65.886128958410083</v>
      </c>
      <c r="DQ98" s="880">
        <f t="shared" si="278"/>
        <v>67.700405623745127</v>
      </c>
      <c r="DR98" s="880">
        <f t="shared" si="278"/>
        <v>325.3371033043793</v>
      </c>
      <c r="DS98" s="880">
        <f t="shared" si="278"/>
        <v>155.09697798353676</v>
      </c>
      <c r="DT98" s="880">
        <f t="shared" si="278"/>
        <v>310.7451173788553</v>
      </c>
      <c r="DU98" s="880">
        <f t="shared" si="278"/>
        <v>135.40518732699749</v>
      </c>
      <c r="DV98" s="880">
        <f t="shared" si="278"/>
        <v>116.68715547552335</v>
      </c>
      <c r="DW98" s="880">
        <f t="shared" si="278"/>
        <v>72.998161388330459</v>
      </c>
      <c r="DX98" s="880">
        <f t="shared" ref="DX98:EC98" si="279">(DX14/$B$14)*100</f>
        <v>105.00656261026857</v>
      </c>
      <c r="DY98" s="880">
        <f t="shared" si="279"/>
        <v>101.6519982788496</v>
      </c>
      <c r="DZ98" s="880">
        <f t="shared" si="279"/>
        <v>66.000410953609773</v>
      </c>
      <c r="EA98" s="880">
        <f t="shared" si="279"/>
        <v>120.30127778460076</v>
      </c>
      <c r="EB98" s="880">
        <f t="shared" si="279"/>
        <v>154.3528605591728</v>
      </c>
      <c r="EC98" s="880">
        <f t="shared" si="279"/>
        <v>120.45201874927147</v>
      </c>
      <c r="ED98" s="852"/>
      <c r="EE98" s="852"/>
      <c r="EF98" s="852"/>
      <c r="EG98" s="852"/>
      <c r="EH98" s="852"/>
    </row>
    <row r="99" spans="1:138">
      <c r="A99" s="193" t="s">
        <v>30</v>
      </c>
      <c r="B99" s="191">
        <f t="shared" ref="B99:AG99" si="280">(B15/$B$15)*100</f>
        <v>100</v>
      </c>
      <c r="C99" s="191">
        <f t="shared" si="280"/>
        <v>101.52601974059917</v>
      </c>
      <c r="D99" s="191">
        <f t="shared" si="280"/>
        <v>78.868118501574088</v>
      </c>
      <c r="E99" s="191">
        <f t="shared" si="280"/>
        <v>45.157720389336163</v>
      </c>
      <c r="F99" s="191">
        <f t="shared" si="280"/>
        <v>0</v>
      </c>
      <c r="G99" s="191">
        <f t="shared" si="280"/>
        <v>0</v>
      </c>
      <c r="H99" s="191">
        <f t="shared" si="280"/>
        <v>63.975270767885775</v>
      </c>
      <c r="I99" s="191">
        <f t="shared" si="280"/>
        <v>66.146132722332055</v>
      </c>
      <c r="J99" s="191">
        <f t="shared" si="280"/>
        <v>0</v>
      </c>
      <c r="K99" s="191">
        <f t="shared" si="280"/>
        <v>0</v>
      </c>
      <c r="L99" s="191">
        <f t="shared" si="280"/>
        <v>0</v>
      </c>
      <c r="M99" s="191">
        <f t="shared" si="280"/>
        <v>72.91003724497007</v>
      </c>
      <c r="N99" s="191">
        <f t="shared" si="280"/>
        <v>56.341301411808644</v>
      </c>
      <c r="O99" s="191">
        <f t="shared" si="280"/>
        <v>0</v>
      </c>
      <c r="P99" s="191">
        <f t="shared" si="280"/>
        <v>74.792779809363623</v>
      </c>
      <c r="Q99" s="191">
        <f t="shared" si="280"/>
        <v>65.259372006669224</v>
      </c>
      <c r="R99" s="191">
        <f t="shared" si="280"/>
        <v>10.937413391788603</v>
      </c>
      <c r="S99" s="191">
        <f t="shared" si="280"/>
        <v>44.777486434931227</v>
      </c>
      <c r="T99" s="191">
        <f t="shared" si="280"/>
        <v>0</v>
      </c>
      <c r="U99" s="191">
        <f t="shared" si="280"/>
        <v>0</v>
      </c>
      <c r="V99" s="191">
        <f t="shared" si="280"/>
        <v>0</v>
      </c>
      <c r="W99" s="191">
        <f t="shared" si="280"/>
        <v>0</v>
      </c>
      <c r="X99" s="191">
        <f t="shared" si="280"/>
        <v>101.14783653442876</v>
      </c>
      <c r="Y99" s="191">
        <f t="shared" si="280"/>
        <v>0</v>
      </c>
      <c r="Z99" s="191">
        <f t="shared" si="280"/>
        <v>74.792779809363623</v>
      </c>
      <c r="AA99" s="191">
        <f t="shared" si="280"/>
        <v>49.499157086106877</v>
      </c>
      <c r="AB99" s="191">
        <f t="shared" si="280"/>
        <v>92.069635786845112</v>
      </c>
      <c r="AC99" s="191">
        <f t="shared" si="280"/>
        <v>0</v>
      </c>
      <c r="AD99" s="191">
        <f t="shared" si="280"/>
        <v>0.21251012791810536</v>
      </c>
      <c r="AE99" s="191">
        <f t="shared" si="280"/>
        <v>0</v>
      </c>
      <c r="AF99" s="191">
        <f t="shared" si="280"/>
        <v>0</v>
      </c>
      <c r="AG99" s="191">
        <f t="shared" si="280"/>
        <v>121.89545237184198</v>
      </c>
      <c r="AH99" s="191">
        <f t="shared" ref="AH99:BM99" si="281">(AH15/$B$15)*100</f>
        <v>40.398239738642346</v>
      </c>
      <c r="AI99" s="191">
        <f t="shared" si="281"/>
        <v>47.971889180679113</v>
      </c>
      <c r="AJ99" s="191">
        <f t="shared" si="281"/>
        <v>60.042510078259937</v>
      </c>
      <c r="AK99" s="191">
        <f t="shared" si="281"/>
        <v>44.886680725744768</v>
      </c>
      <c r="AL99" s="191">
        <f t="shared" si="281"/>
        <v>40.993324465547239</v>
      </c>
      <c r="AM99" s="191">
        <f t="shared" si="281"/>
        <v>0</v>
      </c>
      <c r="AN99" s="191">
        <f t="shared" si="281"/>
        <v>0</v>
      </c>
      <c r="AO99" s="191">
        <f t="shared" si="281"/>
        <v>0</v>
      </c>
      <c r="AP99" s="191">
        <f t="shared" si="281"/>
        <v>0</v>
      </c>
      <c r="AQ99" s="191">
        <f t="shared" si="281"/>
        <v>0</v>
      </c>
      <c r="AR99" s="191">
        <f t="shared" si="281"/>
        <v>0</v>
      </c>
      <c r="AS99" s="191">
        <f t="shared" si="281"/>
        <v>0</v>
      </c>
      <c r="AT99" s="191">
        <f t="shared" si="281"/>
        <v>0</v>
      </c>
      <c r="AU99" s="191">
        <f t="shared" si="281"/>
        <v>0</v>
      </c>
      <c r="AV99" s="191">
        <f t="shared" si="281"/>
        <v>0</v>
      </c>
      <c r="AW99" s="191">
        <f t="shared" si="281"/>
        <v>0</v>
      </c>
      <c r="AX99" s="191">
        <f t="shared" si="281"/>
        <v>48.031911145695879</v>
      </c>
      <c r="AY99" s="191">
        <f t="shared" si="281"/>
        <v>0</v>
      </c>
      <c r="AZ99" s="191">
        <f t="shared" si="281"/>
        <v>91.219595275172708</v>
      </c>
      <c r="BA99" s="191">
        <f t="shared" si="281"/>
        <v>66.527969159323405</v>
      </c>
      <c r="BB99" s="191">
        <f t="shared" si="281"/>
        <v>0</v>
      </c>
      <c r="BC99" s="191">
        <f t="shared" si="281"/>
        <v>0</v>
      </c>
      <c r="BD99" s="191">
        <f t="shared" si="281"/>
        <v>139.37006597423496</v>
      </c>
      <c r="BE99" s="191">
        <f t="shared" si="281"/>
        <v>216.08428145767937</v>
      </c>
      <c r="BF99" s="191">
        <f t="shared" si="281"/>
        <v>274.50858207267572</v>
      </c>
      <c r="BG99" s="191">
        <f t="shared" si="281"/>
        <v>286.70178349332889</v>
      </c>
      <c r="BH99" s="191">
        <f t="shared" si="281"/>
        <v>123.00721023215999</v>
      </c>
      <c r="BI99" s="191">
        <f t="shared" si="281"/>
        <v>244.9021284431399</v>
      </c>
      <c r="BJ99" s="191">
        <f t="shared" si="281"/>
        <v>168.97343006029175</v>
      </c>
      <c r="BK99" s="191">
        <f t="shared" si="281"/>
        <v>35.91477530550177</v>
      </c>
      <c r="BL99" s="191">
        <f t="shared" si="281"/>
        <v>273.86958341760692</v>
      </c>
      <c r="BM99" s="191">
        <f t="shared" si="281"/>
        <v>170.63640435118313</v>
      </c>
      <c r="BN99" s="191">
        <f t="shared" ref="BN99:CS99" si="282">(BN15/$B$15)*100</f>
        <v>225.94095052985938</v>
      </c>
      <c r="BO99" s="191">
        <f t="shared" si="282"/>
        <v>114.55525806881523</v>
      </c>
      <c r="BP99" s="191">
        <f t="shared" si="282"/>
        <v>9.3711168484938607</v>
      </c>
      <c r="BQ99" s="191">
        <f t="shared" si="282"/>
        <v>4.5120192233488972</v>
      </c>
      <c r="BR99" s="191">
        <f t="shared" si="282"/>
        <v>4.4396015052599411</v>
      </c>
      <c r="BS99" s="191">
        <f t="shared" si="282"/>
        <v>10.729036971044856</v>
      </c>
      <c r="BT99" s="191">
        <f t="shared" si="282"/>
        <v>222.71855131279429</v>
      </c>
      <c r="BU99" s="191">
        <f t="shared" si="282"/>
        <v>38.042131334050652</v>
      </c>
      <c r="BV99" s="191">
        <f t="shared" si="282"/>
        <v>15.168638476304796</v>
      </c>
      <c r="BW99" s="191">
        <f t="shared" si="282"/>
        <v>7.029369049994906</v>
      </c>
      <c r="BX99" s="191">
        <f t="shared" si="282"/>
        <v>0</v>
      </c>
      <c r="BY99" s="191">
        <f t="shared" si="282"/>
        <v>45.157720389336163</v>
      </c>
      <c r="BZ99" s="191">
        <f t="shared" si="282"/>
        <v>163.15965007900348</v>
      </c>
      <c r="CA99" s="191">
        <f t="shared" si="282"/>
        <v>165.55092452105703</v>
      </c>
      <c r="CB99" s="191">
        <f t="shared" si="282"/>
        <v>173.85300564130239</v>
      </c>
      <c r="CC99" s="191">
        <f t="shared" si="282"/>
        <v>94.457839474997712</v>
      </c>
      <c r="CD99" s="191">
        <f t="shared" si="282"/>
        <v>185.22082116093023</v>
      </c>
      <c r="CE99" s="191">
        <f t="shared" si="282"/>
        <v>295.86243827791378</v>
      </c>
      <c r="CF99" s="191">
        <f t="shared" si="282"/>
        <v>102.69952283866506</v>
      </c>
      <c r="CG99" s="191">
        <f t="shared" si="282"/>
        <v>102.38160854625168</v>
      </c>
      <c r="CH99" s="191">
        <f t="shared" si="282"/>
        <v>114.43798694365907</v>
      </c>
      <c r="CI99" s="191">
        <f t="shared" si="282"/>
        <v>122.76710626674037</v>
      </c>
      <c r="CJ99" s="191">
        <f t="shared" si="282"/>
        <v>136.99806695505092</v>
      </c>
      <c r="CK99" s="191">
        <f t="shared" si="282"/>
        <v>301.47782447286181</v>
      </c>
      <c r="CL99" s="191">
        <f t="shared" si="282"/>
        <v>138.71014378187772</v>
      </c>
      <c r="CM99" s="191">
        <f t="shared" si="282"/>
        <v>170.50552957150774</v>
      </c>
      <c r="CN99" s="191">
        <f t="shared" si="282"/>
        <v>158.6487582303385</v>
      </c>
      <c r="CO99" s="191">
        <f t="shared" si="282"/>
        <v>181.7808413140948</v>
      </c>
      <c r="CP99" s="771">
        <f t="shared" si="282"/>
        <v>163.58669692504532</v>
      </c>
      <c r="CQ99" s="771">
        <f t="shared" si="282"/>
        <v>155.34559872252345</v>
      </c>
      <c r="CR99" s="771">
        <f t="shared" si="282"/>
        <v>194.30700211074068</v>
      </c>
      <c r="CS99" s="771">
        <f t="shared" si="282"/>
        <v>243.65299192491045</v>
      </c>
      <c r="CT99" s="191">
        <f t="shared" ref="CT99:CY99" si="283">(CT15/$B$15)*100</f>
        <v>160.80557631729374</v>
      </c>
      <c r="CU99" s="191">
        <f t="shared" si="283"/>
        <v>159.70744895374932</v>
      </c>
      <c r="CV99" s="771">
        <f t="shared" si="283"/>
        <v>143.56647933904711</v>
      </c>
      <c r="CW99" s="771">
        <f t="shared" si="283"/>
        <v>171.55814052430171</v>
      </c>
      <c r="CX99" s="771">
        <f t="shared" si="283"/>
        <v>154.25074342978786</v>
      </c>
      <c r="CY99" s="771">
        <f t="shared" si="283"/>
        <v>109.22017748367018</v>
      </c>
      <c r="CZ99" s="191">
        <f>(CZ15/$B$7)*100</f>
        <v>0</v>
      </c>
      <c r="DA99" s="191">
        <f t="shared" ref="DA99:DW99" si="284">(DA15/$B$15)*100</f>
        <v>0</v>
      </c>
      <c r="DB99" s="771">
        <f t="shared" si="284"/>
        <v>0</v>
      </c>
      <c r="DC99" s="771">
        <f t="shared" si="284"/>
        <v>9.6875870276216212</v>
      </c>
      <c r="DD99" s="771">
        <f t="shared" si="284"/>
        <v>1.2513858991464031</v>
      </c>
      <c r="DE99" s="771">
        <f t="shared" si="284"/>
        <v>5.5269892828273068</v>
      </c>
      <c r="DF99" s="191">
        <f t="shared" si="284"/>
        <v>1.0979099412839108</v>
      </c>
      <c r="DG99" s="191">
        <f t="shared" si="284"/>
        <v>1.8269455702160491</v>
      </c>
      <c r="DH99" s="771">
        <f t="shared" si="284"/>
        <v>5.8885437124099402</v>
      </c>
      <c r="DI99" s="771">
        <f t="shared" si="284"/>
        <v>22.486400707347094</v>
      </c>
      <c r="DJ99" s="771">
        <f t="shared" si="284"/>
        <v>20.879711939662908</v>
      </c>
      <c r="DK99" s="771">
        <f t="shared" si="284"/>
        <v>14.272829236690839</v>
      </c>
      <c r="DL99" s="191">
        <f t="shared" si="284"/>
        <v>35.174954458760169</v>
      </c>
      <c r="DM99" s="191">
        <f t="shared" si="284"/>
        <v>57.432817528099491</v>
      </c>
      <c r="DN99" s="771">
        <f t="shared" si="284"/>
        <v>26.022542930495074</v>
      </c>
      <c r="DO99" s="771">
        <f t="shared" si="284"/>
        <v>29.378209466842598</v>
      </c>
      <c r="DP99" s="771">
        <f t="shared" si="284"/>
        <v>30.526844260091845</v>
      </c>
      <c r="DQ99" s="771">
        <f t="shared" si="284"/>
        <v>32.134699646830015</v>
      </c>
      <c r="DR99" s="191">
        <f t="shared" si="284"/>
        <v>207.08921117190732</v>
      </c>
      <c r="DS99" s="191">
        <f t="shared" si="284"/>
        <v>89.854017057447422</v>
      </c>
      <c r="DT99" s="771">
        <f t="shared" si="284"/>
        <v>107.01443401965847</v>
      </c>
      <c r="DU99" s="771">
        <f t="shared" si="284"/>
        <v>133.84122726008093</v>
      </c>
      <c r="DV99" s="771">
        <f t="shared" si="284"/>
        <v>110.40718760413959</v>
      </c>
      <c r="DW99" s="771">
        <f t="shared" si="284"/>
        <v>54.52966397926491</v>
      </c>
      <c r="DX99" s="191">
        <f t="shared" ref="DX99:EC99" si="285">(DX15/$B$15)*100</f>
        <v>78.41696194264911</v>
      </c>
      <c r="DY99" s="191">
        <f t="shared" si="285"/>
        <v>105.31122318945303</v>
      </c>
      <c r="DZ99" s="771">
        <f t="shared" si="285"/>
        <v>69.767560840318239</v>
      </c>
      <c r="EA99" s="771">
        <f t="shared" si="285"/>
        <v>97.784008163266407</v>
      </c>
      <c r="EB99" s="771">
        <f t="shared" si="285"/>
        <v>140.25586305296557</v>
      </c>
      <c r="EC99" s="771">
        <f t="shared" si="285"/>
        <v>122.85169157873928</v>
      </c>
    </row>
    <row r="100" spans="1:138">
      <c r="A100" s="192" t="s">
        <v>31</v>
      </c>
      <c r="B100" s="191">
        <f t="shared" ref="B100:AG100" si="286">(B16/$B$16)*100</f>
        <v>100</v>
      </c>
      <c r="C100" s="191">
        <f t="shared" si="286"/>
        <v>150</v>
      </c>
      <c r="D100" s="191">
        <f t="shared" si="286"/>
        <v>205.22388059701493</v>
      </c>
      <c r="E100" s="191">
        <f t="shared" si="286"/>
        <v>192.1641791044776</v>
      </c>
      <c r="F100" s="191">
        <f t="shared" si="286"/>
        <v>0.37313432835820892</v>
      </c>
      <c r="G100" s="191">
        <f t="shared" si="286"/>
        <v>1.4925373134328357</v>
      </c>
      <c r="H100" s="191">
        <f t="shared" si="286"/>
        <v>259.32835820895525</v>
      </c>
      <c r="I100" s="191">
        <f t="shared" si="286"/>
        <v>561.94029850746267</v>
      </c>
      <c r="J100" s="191">
        <f t="shared" si="286"/>
        <v>0.37313432835820892</v>
      </c>
      <c r="K100" s="191">
        <f t="shared" si="286"/>
        <v>0</v>
      </c>
      <c r="L100" s="191">
        <f t="shared" si="286"/>
        <v>0</v>
      </c>
      <c r="M100" s="191">
        <f t="shared" si="286"/>
        <v>283.58208955223881</v>
      </c>
      <c r="N100" s="191">
        <f t="shared" si="286"/>
        <v>209.32835820895522</v>
      </c>
      <c r="O100" s="191">
        <f t="shared" si="286"/>
        <v>0</v>
      </c>
      <c r="P100" s="191">
        <f t="shared" si="286"/>
        <v>304.1044776119403</v>
      </c>
      <c r="Q100" s="191">
        <f t="shared" si="286"/>
        <v>216.41791044776119</v>
      </c>
      <c r="R100" s="191">
        <f t="shared" si="286"/>
        <v>158.20895522388059</v>
      </c>
      <c r="S100" s="191">
        <f t="shared" si="286"/>
        <v>245.14925373134329</v>
      </c>
      <c r="T100" s="191">
        <f t="shared" si="286"/>
        <v>0</v>
      </c>
      <c r="U100" s="191">
        <f t="shared" si="286"/>
        <v>0</v>
      </c>
      <c r="V100" s="191">
        <f t="shared" si="286"/>
        <v>0</v>
      </c>
      <c r="W100" s="191">
        <f t="shared" si="286"/>
        <v>0</v>
      </c>
      <c r="X100" s="191">
        <f t="shared" si="286"/>
        <v>82.835820895522389</v>
      </c>
      <c r="Y100" s="191">
        <f t="shared" si="286"/>
        <v>0</v>
      </c>
      <c r="Z100" s="191">
        <f t="shared" si="286"/>
        <v>304.1044776119403</v>
      </c>
      <c r="AA100" s="191">
        <f t="shared" si="286"/>
        <v>247.01492537313433</v>
      </c>
      <c r="AB100" s="191">
        <f t="shared" si="286"/>
        <v>111.19402985074626</v>
      </c>
      <c r="AC100" s="191">
        <f t="shared" si="286"/>
        <v>0</v>
      </c>
      <c r="AD100" s="191">
        <f t="shared" si="286"/>
        <v>0</v>
      </c>
      <c r="AE100" s="191">
        <f t="shared" si="286"/>
        <v>260.82089552238801</v>
      </c>
      <c r="AF100" s="191">
        <f t="shared" si="286"/>
        <v>0</v>
      </c>
      <c r="AG100" s="191">
        <f t="shared" si="286"/>
        <v>231.71641791044775</v>
      </c>
      <c r="AH100" s="191">
        <f t="shared" ref="AH100:BM100" si="287">(AH16/$B$16)*100</f>
        <v>0</v>
      </c>
      <c r="AI100" s="191">
        <f t="shared" si="287"/>
        <v>304.85074626865674</v>
      </c>
      <c r="AJ100" s="191">
        <f t="shared" si="287"/>
        <v>251.49253731343282</v>
      </c>
      <c r="AK100" s="191">
        <f t="shared" si="287"/>
        <v>89.925373134328353</v>
      </c>
      <c r="AL100" s="191">
        <f t="shared" si="287"/>
        <v>118.28358208955223</v>
      </c>
      <c r="AM100" s="191">
        <f t="shared" si="287"/>
        <v>0</v>
      </c>
      <c r="AN100" s="191">
        <f t="shared" si="287"/>
        <v>0</v>
      </c>
      <c r="AO100" s="191">
        <f t="shared" si="287"/>
        <v>0</v>
      </c>
      <c r="AP100" s="191">
        <f t="shared" si="287"/>
        <v>0</v>
      </c>
      <c r="AQ100" s="191">
        <f t="shared" si="287"/>
        <v>0</v>
      </c>
      <c r="AR100" s="191">
        <f t="shared" si="287"/>
        <v>0</v>
      </c>
      <c r="AS100" s="191">
        <f t="shared" si="287"/>
        <v>0</v>
      </c>
      <c r="AT100" s="191">
        <f t="shared" si="287"/>
        <v>0</v>
      </c>
      <c r="AU100" s="191">
        <f t="shared" si="287"/>
        <v>0</v>
      </c>
      <c r="AV100" s="191">
        <f t="shared" si="287"/>
        <v>0</v>
      </c>
      <c r="AW100" s="191">
        <f t="shared" si="287"/>
        <v>0</v>
      </c>
      <c r="AX100" s="191">
        <f t="shared" si="287"/>
        <v>304.1044776119403</v>
      </c>
      <c r="AY100" s="191">
        <f t="shared" si="287"/>
        <v>0</v>
      </c>
      <c r="AZ100" s="191">
        <f t="shared" si="287"/>
        <v>111.19402985074626</v>
      </c>
      <c r="BA100" s="191">
        <f t="shared" si="287"/>
        <v>315.29850746268659</v>
      </c>
      <c r="BB100" s="191">
        <f t="shared" si="287"/>
        <v>0</v>
      </c>
      <c r="BC100" s="191">
        <f t="shared" si="287"/>
        <v>0</v>
      </c>
      <c r="BD100" s="191">
        <f t="shared" si="287"/>
        <v>250.74626865671638</v>
      </c>
      <c r="BE100" s="191">
        <f t="shared" si="287"/>
        <v>205.97014925373136</v>
      </c>
      <c r="BF100" s="191">
        <f t="shared" si="287"/>
        <v>274.62686567164178</v>
      </c>
      <c r="BG100" s="191">
        <f t="shared" si="287"/>
        <v>266.04477611940297</v>
      </c>
      <c r="BH100" s="191">
        <f t="shared" si="287"/>
        <v>227.23880597014926</v>
      </c>
      <c r="BI100" s="191">
        <f t="shared" si="287"/>
        <v>266.04477611940297</v>
      </c>
      <c r="BJ100" s="191">
        <f t="shared" si="287"/>
        <v>236.56716417910445</v>
      </c>
      <c r="BK100" s="191">
        <f t="shared" si="287"/>
        <v>286.56716417910451</v>
      </c>
      <c r="BL100" s="191">
        <f t="shared" si="287"/>
        <v>279.85074626865674</v>
      </c>
      <c r="BM100" s="191">
        <f t="shared" si="287"/>
        <v>316.04477611940302</v>
      </c>
      <c r="BN100" s="191">
        <f t="shared" ref="BN100:CS100" si="288">(BN16/$B$16)*100</f>
        <v>272.0149253731343</v>
      </c>
      <c r="BO100" s="191">
        <f t="shared" si="288"/>
        <v>436.56716417910451</v>
      </c>
      <c r="BP100" s="191">
        <f t="shared" si="288"/>
        <v>130.59701492537312</v>
      </c>
      <c r="BQ100" s="191">
        <f t="shared" si="288"/>
        <v>135.82089552238804</v>
      </c>
      <c r="BR100" s="191">
        <f t="shared" si="288"/>
        <v>0</v>
      </c>
      <c r="BS100" s="191">
        <f t="shared" si="288"/>
        <v>0</v>
      </c>
      <c r="BT100" s="191">
        <f t="shared" si="288"/>
        <v>297.76119402985074</v>
      </c>
      <c r="BU100" s="191">
        <f t="shared" si="288"/>
        <v>186.94029850746267</v>
      </c>
      <c r="BV100" s="191">
        <f t="shared" si="288"/>
        <v>4.1044776119402986</v>
      </c>
      <c r="BW100" s="191">
        <f t="shared" si="288"/>
        <v>5.9701492537313428</v>
      </c>
      <c r="BX100" s="191">
        <f t="shared" si="288"/>
        <v>205.22388059701493</v>
      </c>
      <c r="BY100" s="191">
        <f t="shared" si="288"/>
        <v>192.1641791044776</v>
      </c>
      <c r="BZ100" s="191">
        <f t="shared" si="288"/>
        <v>235.82089552238804</v>
      </c>
      <c r="CA100" s="191">
        <f t="shared" si="288"/>
        <v>264.55223880597015</v>
      </c>
      <c r="CB100" s="191">
        <f t="shared" si="288"/>
        <v>222.76119402985074</v>
      </c>
      <c r="CC100" s="191">
        <f t="shared" si="288"/>
        <v>85.820895522388057</v>
      </c>
      <c r="CD100" s="191">
        <f t="shared" si="288"/>
        <v>277.9850746268657</v>
      </c>
      <c r="CE100" s="191">
        <f t="shared" si="288"/>
        <v>279.85074626865674</v>
      </c>
      <c r="CF100" s="191">
        <f t="shared" si="288"/>
        <v>254.1044776119403</v>
      </c>
      <c r="CG100" s="191">
        <f t="shared" si="288"/>
        <v>136.56716417910445</v>
      </c>
      <c r="CH100" s="191">
        <f t="shared" si="288"/>
        <v>61.567164179104481</v>
      </c>
      <c r="CI100" s="191">
        <f t="shared" si="288"/>
        <v>89.925373134328353</v>
      </c>
      <c r="CJ100" s="191">
        <f t="shared" si="288"/>
        <v>185.07462686567163</v>
      </c>
      <c r="CK100" s="191">
        <f t="shared" si="288"/>
        <v>211.94029850746267</v>
      </c>
      <c r="CL100" s="191">
        <f t="shared" si="288"/>
        <v>435.82089552238807</v>
      </c>
      <c r="CM100" s="191">
        <f t="shared" si="288"/>
        <v>251.1194029850746</v>
      </c>
      <c r="CN100" s="191">
        <f t="shared" si="288"/>
        <v>319.02985074626866</v>
      </c>
      <c r="CO100" s="191">
        <f t="shared" si="288"/>
        <v>381.71641791044777</v>
      </c>
      <c r="CP100" s="771">
        <f t="shared" si="288"/>
        <v>200</v>
      </c>
      <c r="CQ100" s="771">
        <f t="shared" si="288"/>
        <v>229.85074626865668</v>
      </c>
      <c r="CR100" s="771">
        <f t="shared" si="288"/>
        <v>103.35820895522387</v>
      </c>
      <c r="CS100" s="771">
        <f t="shared" si="288"/>
        <v>258.95522388059698</v>
      </c>
      <c r="CT100" s="191">
        <f t="shared" ref="CT100:CY100" si="289">(CT16/$B$16)*100</f>
        <v>246.26865671641792</v>
      </c>
      <c r="CU100" s="191">
        <f t="shared" si="289"/>
        <v>195.14925373134326</v>
      </c>
      <c r="CV100" s="771">
        <f t="shared" si="289"/>
        <v>138.80597014925374</v>
      </c>
      <c r="CW100" s="771">
        <f t="shared" si="289"/>
        <v>123.13432835820896</v>
      </c>
      <c r="CX100" s="771">
        <f t="shared" si="289"/>
        <v>195.52238805970148</v>
      </c>
      <c r="CY100" s="771">
        <f t="shared" si="289"/>
        <v>151.49253731343285</v>
      </c>
      <c r="CZ100" s="191">
        <f>(CZ16/$B$7)*100</f>
        <v>0</v>
      </c>
      <c r="DA100" s="191">
        <f t="shared" ref="DA100:DW100" si="290">(DA16/$B$16)*100</f>
        <v>0</v>
      </c>
      <c r="DB100" s="771">
        <f t="shared" si="290"/>
        <v>0</v>
      </c>
      <c r="DC100" s="771">
        <f t="shared" si="290"/>
        <v>1.8656716417910497</v>
      </c>
      <c r="DD100" s="771">
        <f t="shared" si="290"/>
        <v>4.1044776119402986</v>
      </c>
      <c r="DE100" s="771">
        <f t="shared" si="290"/>
        <v>3.7313432835820892</v>
      </c>
      <c r="DF100" s="191">
        <f t="shared" si="290"/>
        <v>1.119402985074627</v>
      </c>
      <c r="DG100" s="191">
        <f t="shared" si="290"/>
        <v>19.029850746268657</v>
      </c>
      <c r="DH100" s="771">
        <f t="shared" si="290"/>
        <v>22.014925373134325</v>
      </c>
      <c r="DI100" s="771">
        <f t="shared" si="290"/>
        <v>29.850746268656714</v>
      </c>
      <c r="DJ100" s="771">
        <f t="shared" si="290"/>
        <v>91.044776119402982</v>
      </c>
      <c r="DK100" s="771">
        <f t="shared" si="290"/>
        <v>55.223880597014919</v>
      </c>
      <c r="DL100" s="191">
        <f t="shared" si="290"/>
        <v>114.92537313432834</v>
      </c>
      <c r="DM100" s="191">
        <f t="shared" si="290"/>
        <v>113.80597014925374</v>
      </c>
      <c r="DN100" s="771">
        <f t="shared" si="290"/>
        <v>71.144278606965173</v>
      </c>
      <c r="DO100" s="771">
        <f t="shared" si="290"/>
        <v>79.332504145936994</v>
      </c>
      <c r="DP100" s="771">
        <f t="shared" si="290"/>
        <v>87.579463792150349</v>
      </c>
      <c r="DQ100" s="771">
        <f t="shared" si="290"/>
        <v>87.001911737608268</v>
      </c>
      <c r="DR100" s="191">
        <f t="shared" si="290"/>
        <v>51.119402985074622</v>
      </c>
      <c r="DS100" s="191">
        <f t="shared" si="290"/>
        <v>42.910447761194028</v>
      </c>
      <c r="DT100" s="771">
        <f t="shared" si="290"/>
        <v>115.67164179104476</v>
      </c>
      <c r="DU100" s="771">
        <f t="shared" si="290"/>
        <v>146.64179104477611</v>
      </c>
      <c r="DV100" s="771">
        <f t="shared" si="290"/>
        <v>142.53731343283582</v>
      </c>
      <c r="DW100" s="771">
        <f t="shared" si="290"/>
        <v>115.29850746268654</v>
      </c>
      <c r="DX100" s="191">
        <f t="shared" ref="DX100:EC100" si="291">(DX16/$B$16)*100</f>
        <v>184.70149253731341</v>
      </c>
      <c r="DY100" s="191">
        <f t="shared" si="291"/>
        <v>91.791044776119406</v>
      </c>
      <c r="DZ100" s="771">
        <f t="shared" si="291"/>
        <v>66.791044776119406</v>
      </c>
      <c r="EA100" s="771">
        <f t="shared" si="291"/>
        <v>186.56716417910445</v>
      </c>
      <c r="EB100" s="771">
        <f t="shared" si="291"/>
        <v>93.656716417910445</v>
      </c>
      <c r="EC100" s="771">
        <f t="shared" si="291"/>
        <v>91.417910447761201</v>
      </c>
    </row>
    <row r="101" spans="1:138">
      <c r="A101" s="192" t="s">
        <v>32</v>
      </c>
      <c r="B101" s="191">
        <f t="shared" ref="B101:AG101" si="292">(B17/$B$17)*100</f>
        <v>100</v>
      </c>
      <c r="C101" s="191">
        <f t="shared" si="292"/>
        <v>145.45454545454547</v>
      </c>
      <c r="D101" s="191">
        <f t="shared" si="292"/>
        <v>72.727272727272734</v>
      </c>
      <c r="E101" s="191">
        <f t="shared" si="292"/>
        <v>0</v>
      </c>
      <c r="F101" s="191">
        <f t="shared" si="292"/>
        <v>27.272727272727277</v>
      </c>
      <c r="G101" s="191">
        <f t="shared" si="292"/>
        <v>45.454545454545453</v>
      </c>
      <c r="H101" s="191">
        <f t="shared" si="292"/>
        <v>0</v>
      </c>
      <c r="I101" s="191">
        <f t="shared" si="292"/>
        <v>0</v>
      </c>
      <c r="J101" s="191">
        <f t="shared" si="292"/>
        <v>0</v>
      </c>
      <c r="K101" s="191">
        <f t="shared" si="292"/>
        <v>0</v>
      </c>
      <c r="L101" s="191">
        <f t="shared" si="292"/>
        <v>0</v>
      </c>
      <c r="M101" s="191">
        <f t="shared" si="292"/>
        <v>1245.4545454545453</v>
      </c>
      <c r="N101" s="191">
        <f t="shared" si="292"/>
        <v>9090.9090909090901</v>
      </c>
      <c r="O101" s="191">
        <f t="shared" si="292"/>
        <v>0</v>
      </c>
      <c r="P101" s="191">
        <f t="shared" si="292"/>
        <v>318.18181818181819</v>
      </c>
      <c r="Q101" s="191">
        <f t="shared" si="292"/>
        <v>527.27272727272725</v>
      </c>
      <c r="R101" s="191">
        <f t="shared" si="292"/>
        <v>0</v>
      </c>
      <c r="S101" s="191">
        <f t="shared" si="292"/>
        <v>0</v>
      </c>
      <c r="T101" s="191">
        <f t="shared" si="292"/>
        <v>0</v>
      </c>
      <c r="U101" s="191">
        <f t="shared" si="292"/>
        <v>0</v>
      </c>
      <c r="V101" s="191">
        <f t="shared" si="292"/>
        <v>0</v>
      </c>
      <c r="W101" s="191">
        <f t="shared" si="292"/>
        <v>0</v>
      </c>
      <c r="X101" s="191">
        <f t="shared" si="292"/>
        <v>3400</v>
      </c>
      <c r="Y101" s="191">
        <f t="shared" si="292"/>
        <v>0</v>
      </c>
      <c r="Z101" s="191">
        <f t="shared" si="292"/>
        <v>318.18181818181819</v>
      </c>
      <c r="AA101" s="191">
        <f t="shared" si="292"/>
        <v>36363.63636363636</v>
      </c>
      <c r="AB101" s="191">
        <f t="shared" si="292"/>
        <v>3636.3636363636365</v>
      </c>
      <c r="AC101" s="191">
        <f t="shared" si="292"/>
        <v>0</v>
      </c>
      <c r="AD101" s="191">
        <f t="shared" si="292"/>
        <v>0</v>
      </c>
      <c r="AE101" s="191">
        <f t="shared" si="292"/>
        <v>736.36363636363637</v>
      </c>
      <c r="AF101" s="191">
        <f t="shared" si="292"/>
        <v>0</v>
      </c>
      <c r="AG101" s="191">
        <f t="shared" si="292"/>
        <v>0</v>
      </c>
      <c r="AH101" s="191">
        <f t="shared" ref="AH101:BM101" si="293">(AH17/$B$17)*100</f>
        <v>0</v>
      </c>
      <c r="AI101" s="191">
        <f t="shared" si="293"/>
        <v>0</v>
      </c>
      <c r="AJ101" s="191">
        <f t="shared" si="293"/>
        <v>0</v>
      </c>
      <c r="AK101" s="191">
        <f t="shared" si="293"/>
        <v>0</v>
      </c>
      <c r="AL101" s="191">
        <f t="shared" si="293"/>
        <v>0</v>
      </c>
      <c r="AM101" s="191">
        <f t="shared" si="293"/>
        <v>0</v>
      </c>
      <c r="AN101" s="191">
        <f t="shared" si="293"/>
        <v>0</v>
      </c>
      <c r="AO101" s="191">
        <f t="shared" si="293"/>
        <v>0</v>
      </c>
      <c r="AP101" s="191">
        <f t="shared" si="293"/>
        <v>0</v>
      </c>
      <c r="AQ101" s="191">
        <f t="shared" si="293"/>
        <v>0</v>
      </c>
      <c r="AR101" s="191">
        <f t="shared" si="293"/>
        <v>0</v>
      </c>
      <c r="AS101" s="191">
        <f t="shared" si="293"/>
        <v>0</v>
      </c>
      <c r="AT101" s="191">
        <f t="shared" si="293"/>
        <v>0</v>
      </c>
      <c r="AU101" s="191">
        <f t="shared" si="293"/>
        <v>0</v>
      </c>
      <c r="AV101" s="191">
        <f t="shared" si="293"/>
        <v>0</v>
      </c>
      <c r="AW101" s="191">
        <f t="shared" si="293"/>
        <v>0</v>
      </c>
      <c r="AX101" s="191">
        <f t="shared" si="293"/>
        <v>318.18181818181819</v>
      </c>
      <c r="AY101" s="191">
        <f t="shared" si="293"/>
        <v>0</v>
      </c>
      <c r="AZ101" s="191">
        <f t="shared" si="293"/>
        <v>3636.3636363636365</v>
      </c>
      <c r="BA101" s="191">
        <f t="shared" si="293"/>
        <v>1245.4545454545453</v>
      </c>
      <c r="BB101" s="191">
        <f t="shared" si="293"/>
        <v>27.272727272727277</v>
      </c>
      <c r="BC101" s="191">
        <f t="shared" si="293"/>
        <v>45.454545454545453</v>
      </c>
      <c r="BD101" s="191">
        <f t="shared" si="293"/>
        <v>0</v>
      </c>
      <c r="BE101" s="191">
        <f t="shared" si="293"/>
        <v>627.27272727272725</v>
      </c>
      <c r="BF101" s="191">
        <f t="shared" si="293"/>
        <v>645.4545454545455</v>
      </c>
      <c r="BG101" s="191">
        <f t="shared" si="293"/>
        <v>0</v>
      </c>
      <c r="BH101" s="191">
        <f t="shared" si="293"/>
        <v>0</v>
      </c>
      <c r="BI101" s="191">
        <f t="shared" si="293"/>
        <v>0</v>
      </c>
      <c r="BJ101" s="191">
        <f t="shared" si="293"/>
        <v>0</v>
      </c>
      <c r="BK101" s="191">
        <f t="shared" si="293"/>
        <v>318.18181818181819</v>
      </c>
      <c r="BL101" s="191">
        <f t="shared" si="293"/>
        <v>81.818181818181813</v>
      </c>
      <c r="BM101" s="191">
        <f t="shared" si="293"/>
        <v>0</v>
      </c>
      <c r="BN101" s="191">
        <f t="shared" ref="BN101:CS101" si="294">(BN17/$B$17)*100</f>
        <v>0</v>
      </c>
      <c r="BO101" s="191">
        <f t="shared" si="294"/>
        <v>0</v>
      </c>
      <c r="BP101" s="191">
        <f t="shared" si="294"/>
        <v>4036.363636363636</v>
      </c>
      <c r="BQ101" s="191">
        <f t="shared" si="294"/>
        <v>4645.454545454545</v>
      </c>
      <c r="BR101" s="191">
        <f t="shared" si="294"/>
        <v>736.36363636363637</v>
      </c>
      <c r="BS101" s="191">
        <f t="shared" si="294"/>
        <v>727.27272727272725</v>
      </c>
      <c r="BT101" s="191">
        <f t="shared" si="294"/>
        <v>4181.8181818181811</v>
      </c>
      <c r="BU101" s="191">
        <f t="shared" si="294"/>
        <v>281.81818181818181</v>
      </c>
      <c r="BV101" s="191">
        <f t="shared" si="294"/>
        <v>4318.181818181818</v>
      </c>
      <c r="BW101" s="191">
        <f t="shared" si="294"/>
        <v>4990.909090909091</v>
      </c>
      <c r="BX101" s="191">
        <f t="shared" si="294"/>
        <v>72.727272727272734</v>
      </c>
      <c r="BY101" s="191">
        <f t="shared" si="294"/>
        <v>0</v>
      </c>
      <c r="BZ101" s="191">
        <f t="shared" si="294"/>
        <v>3636.3636363636365</v>
      </c>
      <c r="CA101" s="191">
        <f t="shared" si="294"/>
        <v>0</v>
      </c>
      <c r="CB101" s="191">
        <f t="shared" si="294"/>
        <v>481.81818181818181</v>
      </c>
      <c r="CC101" s="191">
        <f t="shared" si="294"/>
        <v>3836.3636363636365</v>
      </c>
      <c r="CD101" s="191">
        <f t="shared" si="294"/>
        <v>45.454545454545453</v>
      </c>
      <c r="CE101" s="191">
        <f t="shared" si="294"/>
        <v>0</v>
      </c>
      <c r="CF101" s="191">
        <f t="shared" si="294"/>
        <v>1363.6363636363635</v>
      </c>
      <c r="CG101" s="191">
        <f t="shared" si="294"/>
        <v>0</v>
      </c>
      <c r="CH101" s="191">
        <f t="shared" si="294"/>
        <v>0</v>
      </c>
      <c r="CI101" s="191">
        <f t="shared" si="294"/>
        <v>0</v>
      </c>
      <c r="CJ101" s="191">
        <f t="shared" si="294"/>
        <v>45.454545454545453</v>
      </c>
      <c r="CK101" s="191">
        <f t="shared" si="294"/>
        <v>27.272727272727277</v>
      </c>
      <c r="CL101" s="191">
        <f t="shared" si="294"/>
        <v>3836.3636363636365</v>
      </c>
      <c r="CM101" s="191">
        <f t="shared" si="294"/>
        <v>1336.3636363636363</v>
      </c>
      <c r="CN101" s="191">
        <f t="shared" si="294"/>
        <v>3300</v>
      </c>
      <c r="CO101" s="191">
        <f t="shared" si="294"/>
        <v>1299.9999999999998</v>
      </c>
      <c r="CP101" s="771">
        <f t="shared" si="294"/>
        <v>109.09090909090911</v>
      </c>
      <c r="CQ101" s="771">
        <f t="shared" si="294"/>
        <v>3272.7272727272725</v>
      </c>
      <c r="CR101" s="771">
        <f t="shared" si="294"/>
        <v>572.72727272727263</v>
      </c>
      <c r="CS101" s="771">
        <f t="shared" si="294"/>
        <v>6727.272727272727</v>
      </c>
      <c r="CT101" s="191">
        <f t="shared" ref="CT101:CY101" si="295">(CT17/$B$17)*100</f>
        <v>10545.454545454546</v>
      </c>
      <c r="CU101" s="191">
        <f t="shared" si="295"/>
        <v>12263.636363636362</v>
      </c>
      <c r="CV101" s="771">
        <f t="shared" si="295"/>
        <v>14000</v>
      </c>
      <c r="CW101" s="771">
        <f t="shared" si="295"/>
        <v>13363.636363636362</v>
      </c>
      <c r="CX101" s="771">
        <f t="shared" si="295"/>
        <v>3990.9090909090914</v>
      </c>
      <c r="CY101" s="771">
        <f t="shared" si="295"/>
        <v>4545.454545454545</v>
      </c>
      <c r="CZ101" s="191">
        <f>(CZ17/$B$7)*100</f>
        <v>0</v>
      </c>
      <c r="DA101" s="191">
        <f t="shared" ref="DA101:DW101" si="296">(DA17/$B$17)*100</f>
        <v>0</v>
      </c>
      <c r="DB101" s="771">
        <f t="shared" si="296"/>
        <v>0</v>
      </c>
      <c r="DC101" s="771">
        <f t="shared" si="296"/>
        <v>0</v>
      </c>
      <c r="DD101" s="771">
        <f t="shared" si="296"/>
        <v>0</v>
      </c>
      <c r="DE101" s="771">
        <f t="shared" si="296"/>
        <v>0</v>
      </c>
      <c r="DF101" s="191">
        <f t="shared" si="296"/>
        <v>0</v>
      </c>
      <c r="DG101" s="191">
        <f t="shared" si="296"/>
        <v>0</v>
      </c>
      <c r="DH101" s="771">
        <f t="shared" si="296"/>
        <v>1818.1818181818182</v>
      </c>
      <c r="DI101" s="771">
        <f t="shared" si="296"/>
        <v>36.363636363636367</v>
      </c>
      <c r="DJ101" s="771">
        <f t="shared" si="296"/>
        <v>0</v>
      </c>
      <c r="DK101" s="771">
        <f t="shared" si="296"/>
        <v>0</v>
      </c>
      <c r="DL101" s="191">
        <f t="shared" si="296"/>
        <v>63.636363636363633</v>
      </c>
      <c r="DM101" s="191">
        <f t="shared" si="296"/>
        <v>154.54545454545453</v>
      </c>
      <c r="DN101" s="771">
        <f t="shared" si="296"/>
        <v>345.4545454545455</v>
      </c>
      <c r="DO101" s="771">
        <f t="shared" si="296"/>
        <v>100</v>
      </c>
      <c r="DP101" s="771">
        <f t="shared" si="296"/>
        <v>110.60606060606062</v>
      </c>
      <c r="DQ101" s="771">
        <f t="shared" si="296"/>
        <v>129.04040404040404</v>
      </c>
      <c r="DR101" s="191">
        <f t="shared" si="296"/>
        <v>4418.181818181818</v>
      </c>
      <c r="DS101" s="191">
        <f t="shared" si="296"/>
        <v>1581.8181818181818</v>
      </c>
      <c r="DT101" s="771">
        <f t="shared" si="296"/>
        <v>4999.9999999999991</v>
      </c>
      <c r="DU101" s="771">
        <f t="shared" si="296"/>
        <v>0</v>
      </c>
      <c r="DV101" s="771">
        <f t="shared" si="296"/>
        <v>0</v>
      </c>
      <c r="DW101" s="771">
        <f t="shared" si="296"/>
        <v>0</v>
      </c>
      <c r="DX101" s="191">
        <f t="shared" ref="DX101:EC101" si="297">(DX17/$B$17)*100</f>
        <v>0</v>
      </c>
      <c r="DY101" s="191">
        <f t="shared" si="297"/>
        <v>0</v>
      </c>
      <c r="DZ101" s="771">
        <f t="shared" si="297"/>
        <v>0</v>
      </c>
      <c r="EA101" s="771">
        <f t="shared" si="297"/>
        <v>0</v>
      </c>
      <c r="EB101" s="771">
        <f t="shared" si="297"/>
        <v>0</v>
      </c>
      <c r="EC101" s="771">
        <f t="shared" si="297"/>
        <v>0</v>
      </c>
    </row>
    <row r="102" spans="1:138">
      <c r="A102" s="858" t="s">
        <v>49</v>
      </c>
      <c r="B102" s="191">
        <f t="shared" ref="B102:AG102" si="298">(B18/$B$18)*100</f>
        <v>100</v>
      </c>
      <c r="C102" s="191">
        <f t="shared" si="298"/>
        <v>232.28699551569508</v>
      </c>
      <c r="D102" s="191">
        <f t="shared" si="298"/>
        <v>137.21973094170403</v>
      </c>
      <c r="E102" s="191">
        <f t="shared" si="298"/>
        <v>26.905829596412556</v>
      </c>
      <c r="F102" s="191">
        <f t="shared" si="298"/>
        <v>17.937219730941703</v>
      </c>
      <c r="G102" s="191">
        <f t="shared" si="298"/>
        <v>32.286995515695068</v>
      </c>
      <c r="H102" s="191">
        <f t="shared" si="298"/>
        <v>16.143497757847534</v>
      </c>
      <c r="I102" s="191">
        <f t="shared" si="298"/>
        <v>65.02242152466367</v>
      </c>
      <c r="J102" s="191">
        <f t="shared" si="298"/>
        <v>11.210762331838565</v>
      </c>
      <c r="K102" s="191">
        <f t="shared" si="298"/>
        <v>85.20179372197309</v>
      </c>
      <c r="L102" s="191">
        <f t="shared" si="298"/>
        <v>0</v>
      </c>
      <c r="M102" s="191">
        <f t="shared" si="298"/>
        <v>477.57847533632287</v>
      </c>
      <c r="N102" s="191">
        <f t="shared" si="298"/>
        <v>281.1659192825112</v>
      </c>
      <c r="O102" s="191">
        <f t="shared" si="298"/>
        <v>0</v>
      </c>
      <c r="P102" s="191">
        <f t="shared" si="298"/>
        <v>993.27354260089692</v>
      </c>
      <c r="Q102" s="191">
        <f t="shared" si="298"/>
        <v>163.22869955156952</v>
      </c>
      <c r="R102" s="191">
        <f t="shared" si="298"/>
        <v>20.627802690582961</v>
      </c>
      <c r="S102" s="191">
        <f t="shared" si="298"/>
        <v>584.30493273542595</v>
      </c>
      <c r="T102" s="191">
        <f t="shared" si="298"/>
        <v>0</v>
      </c>
      <c r="U102" s="191">
        <f t="shared" si="298"/>
        <v>0</v>
      </c>
      <c r="V102" s="191">
        <f t="shared" si="298"/>
        <v>0</v>
      </c>
      <c r="W102" s="191">
        <f t="shared" si="298"/>
        <v>0</v>
      </c>
      <c r="X102" s="191">
        <f t="shared" si="298"/>
        <v>653.36322869955166</v>
      </c>
      <c r="Y102" s="191">
        <f t="shared" si="298"/>
        <v>0</v>
      </c>
      <c r="Z102" s="191">
        <f t="shared" si="298"/>
        <v>993.27354260089692</v>
      </c>
      <c r="AA102" s="191">
        <f t="shared" si="298"/>
        <v>163.22869955156952</v>
      </c>
      <c r="AB102" s="191">
        <f t="shared" si="298"/>
        <v>68.609865470852014</v>
      </c>
      <c r="AC102" s="191">
        <f t="shared" si="298"/>
        <v>0</v>
      </c>
      <c r="AD102" s="191">
        <f t="shared" si="298"/>
        <v>0</v>
      </c>
      <c r="AE102" s="191">
        <f t="shared" si="298"/>
        <v>90.582959641255599</v>
      </c>
      <c r="AF102" s="191">
        <f t="shared" si="298"/>
        <v>0</v>
      </c>
      <c r="AG102" s="191">
        <f t="shared" si="298"/>
        <v>203.13901345291478</v>
      </c>
      <c r="AH102" s="191">
        <f t="shared" ref="AH102:BM102" si="299">(AH18/$B$18)*100</f>
        <v>67.264573991031398</v>
      </c>
      <c r="AI102" s="191">
        <f t="shared" si="299"/>
        <v>98.654708520179369</v>
      </c>
      <c r="AJ102" s="191">
        <f t="shared" si="299"/>
        <v>186.99551569506727</v>
      </c>
      <c r="AK102" s="191">
        <f t="shared" si="299"/>
        <v>154.70852017937219</v>
      </c>
      <c r="AL102" s="191">
        <f t="shared" si="299"/>
        <v>149.77578475336321</v>
      </c>
      <c r="AM102" s="191">
        <f t="shared" si="299"/>
        <v>0</v>
      </c>
      <c r="AN102" s="191">
        <f t="shared" si="299"/>
        <v>0</v>
      </c>
      <c r="AO102" s="191">
        <f t="shared" si="299"/>
        <v>0</v>
      </c>
      <c r="AP102" s="191">
        <f t="shared" si="299"/>
        <v>0</v>
      </c>
      <c r="AQ102" s="191">
        <f t="shared" si="299"/>
        <v>0</v>
      </c>
      <c r="AR102" s="191">
        <f t="shared" si="299"/>
        <v>0</v>
      </c>
      <c r="AS102" s="191">
        <f t="shared" si="299"/>
        <v>0</v>
      </c>
      <c r="AT102" s="191">
        <f t="shared" si="299"/>
        <v>0</v>
      </c>
      <c r="AU102" s="191">
        <f t="shared" si="299"/>
        <v>0</v>
      </c>
      <c r="AV102" s="191">
        <f t="shared" si="299"/>
        <v>0</v>
      </c>
      <c r="AW102" s="191">
        <f t="shared" si="299"/>
        <v>0</v>
      </c>
      <c r="AX102" s="191">
        <f t="shared" si="299"/>
        <v>993.27354260089692</v>
      </c>
      <c r="AY102" s="191">
        <f t="shared" si="299"/>
        <v>0</v>
      </c>
      <c r="AZ102" s="191">
        <f t="shared" si="299"/>
        <v>68.609865470852014</v>
      </c>
      <c r="BA102" s="191">
        <f t="shared" si="299"/>
        <v>387.89237668161439</v>
      </c>
      <c r="BB102" s="191">
        <f t="shared" si="299"/>
        <v>17.937219730941703</v>
      </c>
      <c r="BC102" s="191">
        <f t="shared" si="299"/>
        <v>32.286995515695068</v>
      </c>
      <c r="BD102" s="191">
        <f t="shared" si="299"/>
        <v>73.542600896860989</v>
      </c>
      <c r="BE102" s="191">
        <f t="shared" si="299"/>
        <v>245.73991031390133</v>
      </c>
      <c r="BF102" s="191">
        <f t="shared" si="299"/>
        <v>629.14798206278022</v>
      </c>
      <c r="BG102" s="191">
        <f t="shared" si="299"/>
        <v>366.3677130044843</v>
      </c>
      <c r="BH102" s="191">
        <f t="shared" si="299"/>
        <v>415.24663677130047</v>
      </c>
      <c r="BI102" s="191">
        <f t="shared" si="299"/>
        <v>104.93273542600896</v>
      </c>
      <c r="BJ102" s="191">
        <f t="shared" si="299"/>
        <v>436.77130044843057</v>
      </c>
      <c r="BK102" s="191">
        <f t="shared" si="299"/>
        <v>698.20627802690581</v>
      </c>
      <c r="BL102" s="191">
        <f t="shared" si="299"/>
        <v>643.04932735426007</v>
      </c>
      <c r="BM102" s="191">
        <f t="shared" si="299"/>
        <v>284.75336322869953</v>
      </c>
      <c r="BN102" s="191">
        <f t="shared" ref="BN102:CS102" si="300">(BN18/$B$18)*100</f>
        <v>617.93721973094171</v>
      </c>
      <c r="BO102" s="191">
        <f t="shared" si="300"/>
        <v>75.784753363228702</v>
      </c>
      <c r="BP102" s="191">
        <f t="shared" si="300"/>
        <v>78.47533632286995</v>
      </c>
      <c r="BQ102" s="191">
        <f t="shared" si="300"/>
        <v>84.304932735426007</v>
      </c>
      <c r="BR102" s="191">
        <f t="shared" si="300"/>
        <v>47.982062780269061</v>
      </c>
      <c r="BS102" s="191">
        <f t="shared" si="300"/>
        <v>86.54708520179372</v>
      </c>
      <c r="BT102" s="191">
        <f t="shared" si="300"/>
        <v>1083.8565022421524</v>
      </c>
      <c r="BU102" s="191">
        <f t="shared" si="300"/>
        <v>213.9013452914798</v>
      </c>
      <c r="BV102" s="191">
        <f t="shared" si="300"/>
        <v>170.40358744394618</v>
      </c>
      <c r="BW102" s="191">
        <f t="shared" si="300"/>
        <v>254.70852017937221</v>
      </c>
      <c r="BX102" s="191">
        <f t="shared" si="300"/>
        <v>137.21973094170403</v>
      </c>
      <c r="BY102" s="191">
        <f t="shared" si="300"/>
        <v>26.905829596412556</v>
      </c>
      <c r="BZ102" s="191">
        <f t="shared" si="300"/>
        <v>570.40358744394609</v>
      </c>
      <c r="CA102" s="191">
        <f t="shared" si="300"/>
        <v>174.43946188340806</v>
      </c>
      <c r="CB102" s="191">
        <f t="shared" si="300"/>
        <v>278.92376681614348</v>
      </c>
      <c r="CC102" s="191">
        <f t="shared" si="300"/>
        <v>41.704035874439462</v>
      </c>
      <c r="CD102" s="191">
        <f t="shared" si="300"/>
        <v>287.89237668161434</v>
      </c>
      <c r="CE102" s="191">
        <f t="shared" si="300"/>
        <v>293.27354260089686</v>
      </c>
      <c r="CF102" s="191">
        <f t="shared" si="300"/>
        <v>450.67264573991031</v>
      </c>
      <c r="CG102" s="191">
        <f t="shared" si="300"/>
        <v>313.45291479820622</v>
      </c>
      <c r="CH102" s="191">
        <f t="shared" si="300"/>
        <v>693.27354260089692</v>
      </c>
      <c r="CI102" s="191">
        <f t="shared" si="300"/>
        <v>383.85650224215249</v>
      </c>
      <c r="CJ102" s="191">
        <f t="shared" si="300"/>
        <v>577.13004484304929</v>
      </c>
      <c r="CK102" s="191">
        <f t="shared" si="300"/>
        <v>995.51569506726469</v>
      </c>
      <c r="CL102" s="191">
        <f t="shared" si="300"/>
        <v>477.57847533632287</v>
      </c>
      <c r="CM102" s="191">
        <f t="shared" si="300"/>
        <v>1375.336322869955</v>
      </c>
      <c r="CN102" s="191">
        <f t="shared" si="300"/>
        <v>201.64002150307061</v>
      </c>
      <c r="CO102" s="191">
        <f t="shared" si="300"/>
        <v>378.7441996816525</v>
      </c>
      <c r="CP102" s="771">
        <f t="shared" si="300"/>
        <v>444.76792353664018</v>
      </c>
      <c r="CQ102" s="771">
        <f t="shared" si="300"/>
        <v>435.84579869137167</v>
      </c>
      <c r="CR102" s="771">
        <f t="shared" si="300"/>
        <v>385.43579331560397</v>
      </c>
      <c r="CS102" s="771">
        <f t="shared" si="300"/>
        <v>158.36771600351784</v>
      </c>
      <c r="CT102" s="191">
        <f t="shared" ref="CT102:CY102" si="301">(CT18/$B$18)*100</f>
        <v>118.66426044207252</v>
      </c>
      <c r="CU102" s="191">
        <f t="shared" si="301"/>
        <v>426.92367384610304</v>
      </c>
      <c r="CV102" s="771">
        <f t="shared" si="301"/>
        <v>168.18205333331332</v>
      </c>
      <c r="CW102" s="771">
        <f t="shared" si="301"/>
        <v>329.22640679041172</v>
      </c>
      <c r="CX102" s="771">
        <f t="shared" si="301"/>
        <v>194.05621538459229</v>
      </c>
      <c r="CY102" s="771">
        <f t="shared" si="301"/>
        <v>338.5946378779438</v>
      </c>
      <c r="CZ102" s="191">
        <f>(CZ18/$B$7)*100</f>
        <v>0</v>
      </c>
      <c r="DA102" s="191">
        <f t="shared" ref="DA102:DW102" si="302">(DA18/$B$18)*100</f>
        <v>0</v>
      </c>
      <c r="DB102" s="771">
        <f t="shared" si="302"/>
        <v>0</v>
      </c>
      <c r="DC102" s="771">
        <f t="shared" si="302"/>
        <v>70.038680035358595</v>
      </c>
      <c r="DD102" s="771">
        <f t="shared" si="302"/>
        <v>2.2305312113171527</v>
      </c>
      <c r="DE102" s="771">
        <f t="shared" si="302"/>
        <v>0.89221248452686108</v>
      </c>
      <c r="DF102" s="191">
        <f t="shared" si="302"/>
        <v>88.775142210422686</v>
      </c>
      <c r="DG102" s="191">
        <f t="shared" si="302"/>
        <v>32.565755685230428</v>
      </c>
      <c r="DH102" s="771">
        <f t="shared" si="302"/>
        <v>53.086642829348229</v>
      </c>
      <c r="DI102" s="771">
        <f t="shared" si="302"/>
        <v>61.116555190089983</v>
      </c>
      <c r="DJ102" s="771">
        <f t="shared" si="302"/>
        <v>200.74780901854376</v>
      </c>
      <c r="DK102" s="771">
        <f t="shared" si="302"/>
        <v>59.778236463299692</v>
      </c>
      <c r="DL102" s="191">
        <f t="shared" si="302"/>
        <v>274.80144523427322</v>
      </c>
      <c r="DM102" s="191">
        <f t="shared" si="302"/>
        <v>394.3579181608726</v>
      </c>
      <c r="DN102" s="771">
        <f t="shared" si="302"/>
        <v>173.98143448273791</v>
      </c>
      <c r="DO102" s="771">
        <f t="shared" si="302"/>
        <v>194.13056642496954</v>
      </c>
      <c r="DP102" s="771">
        <f t="shared" si="302"/>
        <v>216.29956829744947</v>
      </c>
      <c r="DQ102" s="771">
        <f t="shared" si="302"/>
        <v>218.89152817726711</v>
      </c>
      <c r="DR102" s="191">
        <f t="shared" si="302"/>
        <v>177.55028442084537</v>
      </c>
      <c r="DS102" s="191">
        <f t="shared" si="302"/>
        <v>292.64569492481047</v>
      </c>
      <c r="DT102" s="771">
        <f t="shared" si="302"/>
        <v>278.37029517238062</v>
      </c>
      <c r="DU102" s="771">
        <f t="shared" si="302"/>
        <v>169.07426581784017</v>
      </c>
      <c r="DV102" s="771">
        <f t="shared" si="302"/>
        <v>137.40072261713661</v>
      </c>
      <c r="DW102" s="771">
        <f t="shared" si="302"/>
        <v>113.31098553491137</v>
      </c>
      <c r="DX102" s="191">
        <f t="shared" ref="DX102:EC102" si="303">(DX18/$B$18)*100</f>
        <v>117.77204795754568</v>
      </c>
      <c r="DY102" s="191">
        <f t="shared" si="303"/>
        <v>140.96957255524401</v>
      </c>
      <c r="DZ102" s="771">
        <f t="shared" si="303"/>
        <v>65.577617612724296</v>
      </c>
      <c r="EA102" s="771">
        <f t="shared" si="303"/>
        <v>145.87674122014178</v>
      </c>
      <c r="EB102" s="771">
        <f t="shared" si="303"/>
        <v>446.10624226343054</v>
      </c>
      <c r="EC102" s="771">
        <f t="shared" si="303"/>
        <v>220.82258992039812</v>
      </c>
    </row>
    <row r="103" spans="1:138" s="178" customFormat="1">
      <c r="A103" s="850" t="s">
        <v>446</v>
      </c>
      <c r="B103" s="880">
        <f>(B19/$B$19)*100</f>
        <v>100</v>
      </c>
      <c r="C103" s="880">
        <f>(C19/$B$19)*100</f>
        <v>48.547668012722518</v>
      </c>
      <c r="D103" s="880">
        <f t="shared" ref="D103:BO103" si="304">(D19/$B$19)*100</f>
        <v>21.212063834716499</v>
      </c>
      <c r="E103" s="880">
        <f t="shared" si="304"/>
        <v>20.14838247930463</v>
      </c>
      <c r="F103" s="880">
        <f t="shared" si="304"/>
        <v>164.22148310265084</v>
      </c>
      <c r="G103" s="880">
        <f t="shared" si="304"/>
        <v>301.28999155455114</v>
      </c>
      <c r="H103" s="880">
        <f t="shared" si="304"/>
        <v>23.508496717851717</v>
      </c>
      <c r="I103" s="880">
        <f t="shared" si="304"/>
        <v>59.223470573972982</v>
      </c>
      <c r="J103" s="880">
        <f t="shared" si="304"/>
        <v>164.27766948959845</v>
      </c>
      <c r="K103" s="880">
        <f t="shared" si="304"/>
        <v>240.20367427963868</v>
      </c>
      <c r="L103" s="880">
        <f t="shared" si="304"/>
        <v>0</v>
      </c>
      <c r="M103" s="880">
        <f t="shared" si="304"/>
        <v>160.69496037437128</v>
      </c>
      <c r="N103" s="880">
        <f t="shared" si="304"/>
        <v>130.94558094646553</v>
      </c>
      <c r="O103" s="880">
        <f t="shared" si="304"/>
        <v>0</v>
      </c>
      <c r="P103" s="880">
        <f t="shared" si="304"/>
        <v>349.32951972534414</v>
      </c>
      <c r="Q103" s="880">
        <f t="shared" si="304"/>
        <v>225.47041955459107</v>
      </c>
      <c r="R103" s="880">
        <f t="shared" si="304"/>
        <v>43.796605732063632</v>
      </c>
      <c r="S103" s="880">
        <f t="shared" si="304"/>
        <v>296.80927554944827</v>
      </c>
      <c r="T103" s="880">
        <f t="shared" si="304"/>
        <v>0</v>
      </c>
      <c r="U103" s="880">
        <f t="shared" si="304"/>
        <v>0</v>
      </c>
      <c r="V103" s="880">
        <f t="shared" si="304"/>
        <v>0</v>
      </c>
      <c r="W103" s="880">
        <f t="shared" si="304"/>
        <v>0</v>
      </c>
      <c r="X103" s="880">
        <f t="shared" si="304"/>
        <v>87.493836497514096</v>
      </c>
      <c r="Y103" s="880">
        <f t="shared" si="304"/>
        <v>0</v>
      </c>
      <c r="Z103" s="880">
        <f t="shared" si="304"/>
        <v>349.32951972534414</v>
      </c>
      <c r="AA103" s="880">
        <f t="shared" si="304"/>
        <v>151.58723605532666</v>
      </c>
      <c r="AB103" s="880">
        <f t="shared" si="304"/>
        <v>81.754456753792198</v>
      </c>
      <c r="AC103" s="880">
        <f t="shared" si="304"/>
        <v>0</v>
      </c>
      <c r="AD103" s="880">
        <f t="shared" si="304"/>
        <v>1185.0637763943507</v>
      </c>
      <c r="AE103" s="880">
        <f t="shared" si="304"/>
        <v>67.076290417189895</v>
      </c>
      <c r="AF103" s="880">
        <f t="shared" si="304"/>
        <v>0</v>
      </c>
      <c r="AG103" s="880">
        <f t="shared" si="304"/>
        <v>68.144031280843421</v>
      </c>
      <c r="AH103" s="880">
        <f t="shared" si="304"/>
        <v>16.780140947298712</v>
      </c>
      <c r="AI103" s="880">
        <f t="shared" si="304"/>
        <v>67.49103986852198</v>
      </c>
      <c r="AJ103" s="880">
        <f t="shared" si="304"/>
        <v>230.66417840432942</v>
      </c>
      <c r="AK103" s="880">
        <f t="shared" si="304"/>
        <v>163.25759835682453</v>
      </c>
      <c r="AL103" s="880">
        <f t="shared" si="304"/>
        <v>118.91472863193458</v>
      </c>
      <c r="AM103" s="880">
        <f t="shared" si="304"/>
        <v>151.64133389080706</v>
      </c>
      <c r="AN103" s="880">
        <f t="shared" si="304"/>
        <v>0</v>
      </c>
      <c r="AO103" s="880">
        <f t="shared" si="304"/>
        <v>0</v>
      </c>
      <c r="AP103" s="880">
        <f t="shared" si="304"/>
        <v>0</v>
      </c>
      <c r="AQ103" s="880">
        <f t="shared" si="304"/>
        <v>0</v>
      </c>
      <c r="AR103" s="880">
        <f t="shared" si="304"/>
        <v>0</v>
      </c>
      <c r="AS103" s="880">
        <f t="shared" si="304"/>
        <v>0</v>
      </c>
      <c r="AT103" s="880">
        <f t="shared" si="304"/>
        <v>0</v>
      </c>
      <c r="AU103" s="880">
        <f t="shared" si="304"/>
        <v>0</v>
      </c>
      <c r="AV103" s="880">
        <f t="shared" si="304"/>
        <v>0</v>
      </c>
      <c r="AW103" s="880">
        <f t="shared" si="304"/>
        <v>0</v>
      </c>
      <c r="AX103" s="880">
        <f t="shared" si="304"/>
        <v>208.56008443200852</v>
      </c>
      <c r="AY103" s="880">
        <f t="shared" si="304"/>
        <v>0</v>
      </c>
      <c r="AZ103" s="880">
        <f t="shared" si="304"/>
        <v>77.130363739918906</v>
      </c>
      <c r="BA103" s="880">
        <f t="shared" si="304"/>
        <v>127.77601974723622</v>
      </c>
      <c r="BB103" s="880">
        <f t="shared" si="304"/>
        <v>131.70294724545658</v>
      </c>
      <c r="BC103" s="880">
        <f t="shared" si="304"/>
        <v>174.23908177422126</v>
      </c>
      <c r="BD103" s="880">
        <f t="shared" si="304"/>
        <v>22.847380247533788</v>
      </c>
      <c r="BE103" s="880">
        <f t="shared" si="304"/>
        <v>88.226660096729418</v>
      </c>
      <c r="BF103" s="880">
        <f t="shared" si="304"/>
        <v>130.81226430816042</v>
      </c>
      <c r="BG103" s="880">
        <f t="shared" si="304"/>
        <v>163.30295545156255</v>
      </c>
      <c r="BH103" s="880">
        <f t="shared" si="304"/>
        <v>116.81262557167412</v>
      </c>
      <c r="BI103" s="880">
        <f t="shared" si="304"/>
        <v>33.988439862101835</v>
      </c>
      <c r="BJ103" s="880">
        <f t="shared" si="304"/>
        <v>206.43952247529808</v>
      </c>
      <c r="BK103" s="880">
        <f t="shared" si="304"/>
        <v>142.99232856101219</v>
      </c>
      <c r="BL103" s="880">
        <f t="shared" si="304"/>
        <v>364.90403093415483</v>
      </c>
      <c r="BM103" s="880">
        <f t="shared" si="304"/>
        <v>352.1727895122404</v>
      </c>
      <c r="BN103" s="880">
        <f t="shared" si="304"/>
        <v>487.18959576546314</v>
      </c>
      <c r="BO103" s="880">
        <f t="shared" si="304"/>
        <v>151.51090114531371</v>
      </c>
      <c r="BP103" s="880">
        <f t="shared" ref="BP103:DW103" si="305">(BP19/$B$19)*100</f>
        <v>168.51911928524345</v>
      </c>
      <c r="BQ103" s="880">
        <f t="shared" si="305"/>
        <v>204.3888803121412</v>
      </c>
      <c r="BR103" s="880">
        <f t="shared" si="305"/>
        <v>411.26084236118874</v>
      </c>
      <c r="BS103" s="880">
        <f t="shared" si="305"/>
        <v>283.16460826339716</v>
      </c>
      <c r="BT103" s="880">
        <f t="shared" si="305"/>
        <v>171.33620102123948</v>
      </c>
      <c r="BU103" s="880">
        <f t="shared" si="305"/>
        <v>274.22315908358524</v>
      </c>
      <c r="BV103" s="880">
        <f t="shared" si="305"/>
        <v>103.09199756489056</v>
      </c>
      <c r="BW103" s="880">
        <f t="shared" si="305"/>
        <v>143.43481703612181</v>
      </c>
      <c r="BX103" s="880">
        <f t="shared" si="305"/>
        <v>27.46411585798359</v>
      </c>
      <c r="BY103" s="880">
        <f t="shared" si="305"/>
        <v>22.317072372739858</v>
      </c>
      <c r="BZ103" s="880">
        <f t="shared" si="305"/>
        <v>63.056457817030335</v>
      </c>
      <c r="CA103" s="880">
        <f t="shared" si="305"/>
        <v>36.165374165463064</v>
      </c>
      <c r="CB103" s="880">
        <f t="shared" si="305"/>
        <v>113.1760546932323</v>
      </c>
      <c r="CC103" s="880">
        <f t="shared" si="305"/>
        <v>51.860345838367458</v>
      </c>
      <c r="CD103" s="880">
        <f t="shared" si="305"/>
        <v>105.91674599983045</v>
      </c>
      <c r="CE103" s="880">
        <f t="shared" si="305"/>
        <v>82.828737264234988</v>
      </c>
      <c r="CF103" s="880">
        <f t="shared" si="305"/>
        <v>99.475550979884346</v>
      </c>
      <c r="CG103" s="880">
        <f t="shared" si="305"/>
        <v>185.61402858892257</v>
      </c>
      <c r="CH103" s="880">
        <f t="shared" si="305"/>
        <v>218.0839866070778</v>
      </c>
      <c r="CI103" s="880">
        <f t="shared" si="305"/>
        <v>306.47804263503355</v>
      </c>
      <c r="CJ103" s="880">
        <f t="shared" si="305"/>
        <v>370.54805228208215</v>
      </c>
      <c r="CK103" s="880">
        <f t="shared" si="305"/>
        <v>429.83598338928476</v>
      </c>
      <c r="CL103" s="880">
        <f t="shared" si="305"/>
        <v>373.07672401854711</v>
      </c>
      <c r="CM103" s="880">
        <f t="shared" si="305"/>
        <v>465.00236223956</v>
      </c>
      <c r="CN103" s="880">
        <f t="shared" si="305"/>
        <v>276.22049443385407</v>
      </c>
      <c r="CO103" s="880">
        <f t="shared" si="305"/>
        <v>485.72474304064394</v>
      </c>
      <c r="CP103" s="880">
        <f t="shared" si="305"/>
        <v>249.04306376666102</v>
      </c>
      <c r="CQ103" s="880">
        <f t="shared" si="305"/>
        <v>379.55570359938906</v>
      </c>
      <c r="CR103" s="880">
        <f t="shared" si="305"/>
        <v>122.98077299784687</v>
      </c>
      <c r="CS103" s="880">
        <f t="shared" si="305"/>
        <v>58.087331470684674</v>
      </c>
      <c r="CT103" s="880">
        <f t="shared" si="305"/>
        <v>40.103111850604492</v>
      </c>
      <c r="CU103" s="880">
        <f t="shared" si="305"/>
        <v>54.02070163700273</v>
      </c>
      <c r="CV103" s="880">
        <f t="shared" si="305"/>
        <v>37.525436428601445</v>
      </c>
      <c r="CW103" s="880">
        <f t="shared" si="305"/>
        <v>21.040778683573727</v>
      </c>
      <c r="CX103" s="880">
        <f t="shared" si="305"/>
        <v>51.33891419546552</v>
      </c>
      <c r="CY103" s="880">
        <f t="shared" si="305"/>
        <v>92.364636103241054</v>
      </c>
      <c r="CZ103" s="880">
        <f t="shared" si="305"/>
        <v>0</v>
      </c>
      <c r="DA103" s="880">
        <f t="shared" si="305"/>
        <v>0</v>
      </c>
      <c r="DB103" s="880">
        <f t="shared" si="305"/>
        <v>0</v>
      </c>
      <c r="DC103" s="880">
        <f t="shared" si="305"/>
        <v>16.88559108112457</v>
      </c>
      <c r="DD103" s="880">
        <f t="shared" si="305"/>
        <v>55.491826210624573</v>
      </c>
      <c r="DE103" s="880">
        <f t="shared" si="305"/>
        <v>77.119866772337389</v>
      </c>
      <c r="DF103" s="880">
        <f t="shared" si="305"/>
        <v>88.386241738616064</v>
      </c>
      <c r="DG103" s="880">
        <f t="shared" si="305"/>
        <v>80.596711938153547</v>
      </c>
      <c r="DH103" s="880">
        <f t="shared" si="305"/>
        <v>163.49667187262062</v>
      </c>
      <c r="DI103" s="880">
        <f t="shared" si="305"/>
        <v>186.09007567555707</v>
      </c>
      <c r="DJ103" s="880">
        <f t="shared" si="305"/>
        <v>184.35923700309203</v>
      </c>
      <c r="DK103" s="880">
        <f t="shared" si="305"/>
        <v>110.14574614039017</v>
      </c>
      <c r="DL103" s="880">
        <f t="shared" si="305"/>
        <v>181.82353033895976</v>
      </c>
      <c r="DM103" s="880">
        <f t="shared" si="305"/>
        <v>173.61550632547412</v>
      </c>
      <c r="DN103" s="880">
        <f t="shared" si="305"/>
        <v>166.5884612260156</v>
      </c>
      <c r="DO103" s="880">
        <f t="shared" si="305"/>
        <v>167.10375945158148</v>
      </c>
      <c r="DP103" s="880">
        <f t="shared" si="305"/>
        <v>163.93937341425223</v>
      </c>
      <c r="DQ103" s="880">
        <f t="shared" si="305"/>
        <v>160.53606281611221</v>
      </c>
      <c r="DR103" s="880">
        <f t="shared" si="305"/>
        <v>42.532440782163576</v>
      </c>
      <c r="DS103" s="880">
        <f t="shared" si="305"/>
        <v>13.334341103525704</v>
      </c>
      <c r="DT103" s="880">
        <f t="shared" si="305"/>
        <v>30.313179453022755</v>
      </c>
      <c r="DU103" s="880">
        <f t="shared" si="305"/>
        <v>32.384232391748405</v>
      </c>
      <c r="DV103" s="880">
        <f t="shared" si="305"/>
        <v>13.345529113502904</v>
      </c>
      <c r="DW103" s="880">
        <f t="shared" si="305"/>
        <v>28.308327880606534</v>
      </c>
      <c r="DX103" s="880">
        <f t="shared" ref="DX103:EC103" si="306">(DX19/$B$19)*100</f>
        <v>40.615111519620172</v>
      </c>
      <c r="DY103" s="880">
        <f t="shared" si="306"/>
        <v>73.037922145753171</v>
      </c>
      <c r="DZ103" s="880">
        <f t="shared" si="306"/>
        <v>60.289965527176392</v>
      </c>
      <c r="EA103" s="880">
        <f t="shared" si="306"/>
        <v>85.480296095263824</v>
      </c>
      <c r="EB103" s="880">
        <f t="shared" si="306"/>
        <v>134.41525867385081</v>
      </c>
      <c r="EC103" s="880">
        <f t="shared" si="306"/>
        <v>119.69133642445445</v>
      </c>
      <c r="ED103" s="852"/>
      <c r="EE103" s="852"/>
      <c r="EF103" s="852"/>
      <c r="EG103" s="852"/>
      <c r="EH103" s="852"/>
    </row>
    <row r="104" spans="1:138">
      <c r="A104" s="189" t="s">
        <v>33</v>
      </c>
      <c r="B104" s="191">
        <f t="shared" ref="B104:AG104" si="307">(B20/$B$20)*100</f>
        <v>100</v>
      </c>
      <c r="C104" s="191">
        <f t="shared" si="307"/>
        <v>0</v>
      </c>
      <c r="D104" s="191">
        <f t="shared" si="307"/>
        <v>0</v>
      </c>
      <c r="E104" s="191">
        <f t="shared" si="307"/>
        <v>0</v>
      </c>
      <c r="F104" s="191">
        <f t="shared" si="307"/>
        <v>14.76510067114094</v>
      </c>
      <c r="G104" s="191">
        <f t="shared" si="307"/>
        <v>303.69127516778525</v>
      </c>
      <c r="H104" s="191">
        <f t="shared" si="307"/>
        <v>0</v>
      </c>
      <c r="I104" s="191">
        <f t="shared" si="307"/>
        <v>14.76510067114094</v>
      </c>
      <c r="J104" s="191">
        <f t="shared" si="307"/>
        <v>7.3825503355704702</v>
      </c>
      <c r="K104" s="191">
        <f t="shared" si="307"/>
        <v>0</v>
      </c>
      <c r="L104" s="191">
        <f t="shared" si="307"/>
        <v>0</v>
      </c>
      <c r="M104" s="191">
        <f t="shared" si="307"/>
        <v>28.187919463087248</v>
      </c>
      <c r="N104" s="191">
        <f t="shared" si="307"/>
        <v>103.35570469798658</v>
      </c>
      <c r="O104" s="191">
        <f t="shared" si="307"/>
        <v>0</v>
      </c>
      <c r="P104" s="191">
        <f t="shared" si="307"/>
        <v>494.63087248322148</v>
      </c>
      <c r="Q104" s="191">
        <f t="shared" si="307"/>
        <v>215.43624161073822</v>
      </c>
      <c r="R104" s="191">
        <f t="shared" si="307"/>
        <v>44.29530201342282</v>
      </c>
      <c r="S104" s="191">
        <f t="shared" si="307"/>
        <v>273.82550335570465</v>
      </c>
      <c r="T104" s="191">
        <f t="shared" si="307"/>
        <v>0</v>
      </c>
      <c r="U104" s="191">
        <f t="shared" si="307"/>
        <v>0</v>
      </c>
      <c r="V104" s="191">
        <f t="shared" si="307"/>
        <v>0</v>
      </c>
      <c r="W104" s="191">
        <f t="shared" si="307"/>
        <v>0</v>
      </c>
      <c r="X104" s="191">
        <f t="shared" si="307"/>
        <v>93.959731543624159</v>
      </c>
      <c r="Y104" s="191">
        <f t="shared" si="307"/>
        <v>0</v>
      </c>
      <c r="Z104" s="191">
        <f t="shared" si="307"/>
        <v>494.63087248322148</v>
      </c>
      <c r="AA104" s="191">
        <f t="shared" si="307"/>
        <v>131.87919463087246</v>
      </c>
      <c r="AB104" s="191">
        <f t="shared" si="307"/>
        <v>0</v>
      </c>
      <c r="AC104" s="191">
        <f t="shared" si="307"/>
        <v>0</v>
      </c>
      <c r="AD104" s="191">
        <f t="shared" si="307"/>
        <v>0</v>
      </c>
      <c r="AE104" s="191">
        <f t="shared" si="307"/>
        <v>0</v>
      </c>
      <c r="AF104" s="191">
        <f t="shared" si="307"/>
        <v>0</v>
      </c>
      <c r="AG104" s="191">
        <f t="shared" si="307"/>
        <v>0</v>
      </c>
      <c r="AH104" s="191">
        <f t="shared" ref="AH104:BM104" si="308">(AH20/$B$20)*100</f>
        <v>0</v>
      </c>
      <c r="AI104" s="191">
        <f t="shared" si="308"/>
        <v>16.778523489932887</v>
      </c>
      <c r="AJ104" s="191">
        <f t="shared" si="308"/>
        <v>33.892617449664428</v>
      </c>
      <c r="AK104" s="191">
        <f t="shared" si="308"/>
        <v>102.34899328859059</v>
      </c>
      <c r="AL104" s="191">
        <f t="shared" si="308"/>
        <v>52.348993288590606</v>
      </c>
      <c r="AM104" s="191">
        <f t="shared" si="308"/>
        <v>0</v>
      </c>
      <c r="AN104" s="191">
        <f t="shared" si="308"/>
        <v>0</v>
      </c>
      <c r="AO104" s="191">
        <f t="shared" si="308"/>
        <v>0</v>
      </c>
      <c r="AP104" s="191">
        <f t="shared" si="308"/>
        <v>0</v>
      </c>
      <c r="AQ104" s="191">
        <f t="shared" si="308"/>
        <v>0</v>
      </c>
      <c r="AR104" s="191">
        <f t="shared" si="308"/>
        <v>0</v>
      </c>
      <c r="AS104" s="191">
        <f t="shared" si="308"/>
        <v>0</v>
      </c>
      <c r="AT104" s="191">
        <f t="shared" si="308"/>
        <v>0</v>
      </c>
      <c r="AU104" s="191">
        <f t="shared" si="308"/>
        <v>0</v>
      </c>
      <c r="AV104" s="191">
        <f t="shared" si="308"/>
        <v>0</v>
      </c>
      <c r="AW104" s="191">
        <f t="shared" si="308"/>
        <v>0</v>
      </c>
      <c r="AX104" s="191">
        <f t="shared" si="308"/>
        <v>72.483221476510067</v>
      </c>
      <c r="AY104" s="191">
        <f t="shared" si="308"/>
        <v>0</v>
      </c>
      <c r="AZ104" s="191">
        <f t="shared" si="308"/>
        <v>0</v>
      </c>
      <c r="BA104" s="191">
        <f t="shared" si="308"/>
        <v>18.120805369127517</v>
      </c>
      <c r="BB104" s="191">
        <f t="shared" si="308"/>
        <v>0</v>
      </c>
      <c r="BC104" s="191">
        <f t="shared" si="308"/>
        <v>0</v>
      </c>
      <c r="BD104" s="191">
        <f t="shared" si="308"/>
        <v>0</v>
      </c>
      <c r="BE104" s="191">
        <f t="shared" si="308"/>
        <v>0</v>
      </c>
      <c r="BF104" s="191">
        <f t="shared" si="308"/>
        <v>0</v>
      </c>
      <c r="BG104" s="191">
        <f t="shared" si="308"/>
        <v>110.40268456375838</v>
      </c>
      <c r="BH104" s="191">
        <f t="shared" si="308"/>
        <v>34.899328859060404</v>
      </c>
      <c r="BI104" s="191">
        <f t="shared" si="308"/>
        <v>110.40268456375838</v>
      </c>
      <c r="BJ104" s="191">
        <f t="shared" si="308"/>
        <v>262.41610738255031</v>
      </c>
      <c r="BK104" s="191">
        <f t="shared" si="308"/>
        <v>116.77852348993287</v>
      </c>
      <c r="BL104" s="191">
        <f t="shared" si="308"/>
        <v>454.36241610738256</v>
      </c>
      <c r="BM104" s="191">
        <f t="shared" si="308"/>
        <v>424.49664429530196</v>
      </c>
      <c r="BN104" s="191">
        <f t="shared" ref="BN104:CS104" si="309">(BN20/$B$20)*100</f>
        <v>956.04026845637588</v>
      </c>
      <c r="BO104" s="191">
        <f t="shared" si="309"/>
        <v>260.06711409395973</v>
      </c>
      <c r="BP104" s="191">
        <f t="shared" si="309"/>
        <v>197.98657718120805</v>
      </c>
      <c r="BQ104" s="191">
        <f t="shared" si="309"/>
        <v>234.22818791946307</v>
      </c>
      <c r="BR104" s="191">
        <f t="shared" si="309"/>
        <v>387.24832214765098</v>
      </c>
      <c r="BS104" s="191">
        <f t="shared" si="309"/>
        <v>373.1543624161074</v>
      </c>
      <c r="BT104" s="191">
        <f t="shared" si="309"/>
        <v>273.48993288590606</v>
      </c>
      <c r="BU104" s="191">
        <f t="shared" si="309"/>
        <v>263.42281879194627</v>
      </c>
      <c r="BV104" s="191">
        <f t="shared" si="309"/>
        <v>96.644295302013418</v>
      </c>
      <c r="BW104" s="191">
        <f t="shared" si="309"/>
        <v>101.6778523489933</v>
      </c>
      <c r="BX104" s="191">
        <f t="shared" si="309"/>
        <v>0</v>
      </c>
      <c r="BY104" s="191">
        <f t="shared" si="309"/>
        <v>0</v>
      </c>
      <c r="BZ104" s="191">
        <f t="shared" si="309"/>
        <v>0</v>
      </c>
      <c r="CA104" s="191">
        <f t="shared" si="309"/>
        <v>0</v>
      </c>
      <c r="CB104" s="191">
        <f t="shared" si="309"/>
        <v>0</v>
      </c>
      <c r="CC104" s="191">
        <f t="shared" si="309"/>
        <v>0.67114093959731547</v>
      </c>
      <c r="CD104" s="191">
        <f t="shared" si="309"/>
        <v>24.832214765100673</v>
      </c>
      <c r="CE104" s="191">
        <f t="shared" si="309"/>
        <v>41.275167785234892</v>
      </c>
      <c r="CF104" s="191">
        <f t="shared" si="309"/>
        <v>22.14765100671141</v>
      </c>
      <c r="CG104" s="191">
        <f t="shared" si="309"/>
        <v>202.68456375838926</v>
      </c>
      <c r="CH104" s="191">
        <f t="shared" si="309"/>
        <v>197.65100671140939</v>
      </c>
      <c r="CI104" s="191">
        <f t="shared" si="309"/>
        <v>395.30201342281879</v>
      </c>
      <c r="CJ104" s="191">
        <f t="shared" si="309"/>
        <v>333.22147651006713</v>
      </c>
      <c r="CK104" s="191">
        <f t="shared" si="309"/>
        <v>412.08053691275165</v>
      </c>
      <c r="CL104" s="191">
        <f t="shared" si="309"/>
        <v>750</v>
      </c>
      <c r="CM104" s="191">
        <f t="shared" si="309"/>
        <v>1080.2013422818791</v>
      </c>
      <c r="CN104" s="191">
        <f t="shared" si="309"/>
        <v>485.57046979865771</v>
      </c>
      <c r="CO104" s="191">
        <f t="shared" si="309"/>
        <v>896.30872483221469</v>
      </c>
      <c r="CP104" s="771">
        <f t="shared" si="309"/>
        <v>562.41610738255042</v>
      </c>
      <c r="CQ104" s="771">
        <f t="shared" si="309"/>
        <v>516.44295302013427</v>
      </c>
      <c r="CR104" s="771">
        <f t="shared" si="309"/>
        <v>145.9731543624161</v>
      </c>
      <c r="CS104" s="771">
        <f t="shared" si="309"/>
        <v>120.80536912751676</v>
      </c>
      <c r="CT104" s="191">
        <f t="shared" ref="CT104:CY104" si="310">(CT20/$B$20)*100</f>
        <v>7.7181208053691277</v>
      </c>
      <c r="CU104" s="191">
        <f t="shared" si="310"/>
        <v>50.671140939597315</v>
      </c>
      <c r="CV104" s="771">
        <f t="shared" si="310"/>
        <v>7.0469798657718119</v>
      </c>
      <c r="CW104" s="771">
        <f t="shared" si="310"/>
        <v>1.3422818791946309</v>
      </c>
      <c r="CX104" s="771">
        <f t="shared" si="310"/>
        <v>15.436241610738255</v>
      </c>
      <c r="CY104" s="771">
        <f t="shared" si="310"/>
        <v>0</v>
      </c>
      <c r="CZ104" s="191">
        <f t="shared" ref="CZ104:CZ112" si="311">(CZ20/$B$7)*100</f>
        <v>0</v>
      </c>
      <c r="DA104" s="191">
        <f t="shared" ref="DA104:DW104" si="312">(DA20/$B$20)*100</f>
        <v>0</v>
      </c>
      <c r="DB104" s="771">
        <f t="shared" si="312"/>
        <v>0</v>
      </c>
      <c r="DC104" s="771">
        <f t="shared" si="312"/>
        <v>0</v>
      </c>
      <c r="DD104" s="771">
        <f t="shared" si="312"/>
        <v>5.0335570469798663</v>
      </c>
      <c r="DE104" s="771">
        <f t="shared" si="312"/>
        <v>31.543624161073826</v>
      </c>
      <c r="DF104" s="191">
        <f t="shared" si="312"/>
        <v>23.48993288590604</v>
      </c>
      <c r="DG104" s="191">
        <f t="shared" si="312"/>
        <v>22.818791946308721</v>
      </c>
      <c r="DH104" s="771">
        <f t="shared" si="312"/>
        <v>133.55704697986576</v>
      </c>
      <c r="DI104" s="771">
        <f t="shared" si="312"/>
        <v>231.54362416107381</v>
      </c>
      <c r="DJ104" s="771">
        <f t="shared" si="312"/>
        <v>256.04026845637583</v>
      </c>
      <c r="DK104" s="771">
        <f t="shared" si="312"/>
        <v>123.8255033557047</v>
      </c>
      <c r="DL104" s="191">
        <f t="shared" si="312"/>
        <v>93.959731543624159</v>
      </c>
      <c r="DM104" s="191">
        <f t="shared" si="312"/>
        <v>142.95302013422818</v>
      </c>
      <c r="DN104" s="771">
        <f t="shared" si="312"/>
        <v>163.64653243847874</v>
      </c>
      <c r="DO104" s="771">
        <f t="shared" si="312"/>
        <v>168.66144668158091</v>
      </c>
      <c r="DP104" s="771">
        <f t="shared" si="312"/>
        <v>158.18108376833212</v>
      </c>
      <c r="DQ104" s="771">
        <f t="shared" si="312"/>
        <v>141.87121965365813</v>
      </c>
      <c r="DR104" s="191">
        <f t="shared" si="312"/>
        <v>18.791946308724832</v>
      </c>
      <c r="DS104" s="191">
        <f t="shared" si="312"/>
        <v>1.006711409395973</v>
      </c>
      <c r="DT104" s="771">
        <f t="shared" si="312"/>
        <v>0</v>
      </c>
      <c r="DU104" s="771">
        <f t="shared" si="312"/>
        <v>0</v>
      </c>
      <c r="DV104" s="771">
        <f t="shared" si="312"/>
        <v>0</v>
      </c>
      <c r="DW104" s="771">
        <f t="shared" si="312"/>
        <v>0</v>
      </c>
      <c r="DX104" s="191">
        <f t="shared" ref="DX104:EC104" si="313">(DX20/$B$20)*100</f>
        <v>0</v>
      </c>
      <c r="DY104" s="191">
        <f t="shared" si="313"/>
        <v>0</v>
      </c>
      <c r="DZ104" s="771">
        <f t="shared" si="313"/>
        <v>0</v>
      </c>
      <c r="EA104" s="771">
        <f t="shared" si="313"/>
        <v>5.7046979865771803</v>
      </c>
      <c r="EB104" s="771">
        <f t="shared" si="313"/>
        <v>0</v>
      </c>
      <c r="EC104" s="771">
        <f t="shared" si="313"/>
        <v>25.503355704697984</v>
      </c>
    </row>
    <row r="105" spans="1:138">
      <c r="A105" s="189" t="s">
        <v>34</v>
      </c>
      <c r="B105" s="191">
        <f t="shared" ref="B105:AG105" si="314">(B21/$B$21)*100</f>
        <v>100</v>
      </c>
      <c r="C105" s="191">
        <f t="shared" si="314"/>
        <v>0</v>
      </c>
      <c r="D105" s="191">
        <f t="shared" si="314"/>
        <v>0</v>
      </c>
      <c r="E105" s="191">
        <f t="shared" si="314"/>
        <v>0</v>
      </c>
      <c r="F105" s="191">
        <f t="shared" si="314"/>
        <v>0</v>
      </c>
      <c r="G105" s="191">
        <f t="shared" si="314"/>
        <v>251.38888888888889</v>
      </c>
      <c r="H105" s="191">
        <f t="shared" si="314"/>
        <v>0</v>
      </c>
      <c r="I105" s="191">
        <f t="shared" si="314"/>
        <v>0</v>
      </c>
      <c r="J105" s="191">
        <f t="shared" si="314"/>
        <v>0</v>
      </c>
      <c r="K105" s="191">
        <f t="shared" si="314"/>
        <v>0</v>
      </c>
      <c r="L105" s="191">
        <f t="shared" si="314"/>
        <v>0</v>
      </c>
      <c r="M105" s="191">
        <f t="shared" si="314"/>
        <v>0</v>
      </c>
      <c r="N105" s="191">
        <f t="shared" si="314"/>
        <v>113.88888888888889</v>
      </c>
      <c r="O105" s="191">
        <f t="shared" si="314"/>
        <v>0</v>
      </c>
      <c r="P105" s="191">
        <f t="shared" si="314"/>
        <v>108.33333333333333</v>
      </c>
      <c r="Q105" s="191">
        <f t="shared" si="314"/>
        <v>559.72222222222229</v>
      </c>
      <c r="R105" s="191">
        <f t="shared" si="314"/>
        <v>22.222222222222225</v>
      </c>
      <c r="S105" s="191">
        <f t="shared" si="314"/>
        <v>863.88888888888891</v>
      </c>
      <c r="T105" s="191">
        <f t="shared" si="314"/>
        <v>0</v>
      </c>
      <c r="U105" s="191">
        <f t="shared" si="314"/>
        <v>0</v>
      </c>
      <c r="V105" s="191">
        <f t="shared" si="314"/>
        <v>0</v>
      </c>
      <c r="W105" s="191">
        <f t="shared" si="314"/>
        <v>0</v>
      </c>
      <c r="X105" s="191">
        <f t="shared" si="314"/>
        <v>72.222222222222214</v>
      </c>
      <c r="Y105" s="191">
        <f t="shared" si="314"/>
        <v>0</v>
      </c>
      <c r="Z105" s="191">
        <f t="shared" si="314"/>
        <v>108.33333333333333</v>
      </c>
      <c r="AA105" s="191">
        <f t="shared" si="314"/>
        <v>0</v>
      </c>
      <c r="AB105" s="191">
        <f t="shared" si="314"/>
        <v>80.555555555555543</v>
      </c>
      <c r="AC105" s="191">
        <f t="shared" si="314"/>
        <v>0</v>
      </c>
      <c r="AD105" s="191">
        <f t="shared" si="314"/>
        <v>7527.7777777777783</v>
      </c>
      <c r="AE105" s="191">
        <f t="shared" si="314"/>
        <v>0</v>
      </c>
      <c r="AF105" s="191">
        <f t="shared" si="314"/>
        <v>0</v>
      </c>
      <c r="AG105" s="191">
        <f t="shared" si="314"/>
        <v>0</v>
      </c>
      <c r="AH105" s="191">
        <f t="shared" ref="AH105:BM105" si="315">(AH21/$B$21)*100</f>
        <v>0</v>
      </c>
      <c r="AI105" s="191">
        <f t="shared" si="315"/>
        <v>0</v>
      </c>
      <c r="AJ105" s="191">
        <f t="shared" si="315"/>
        <v>0</v>
      </c>
      <c r="AK105" s="191">
        <f t="shared" si="315"/>
        <v>0</v>
      </c>
      <c r="AL105" s="191">
        <f t="shared" si="315"/>
        <v>0</v>
      </c>
      <c r="AM105" s="191">
        <f t="shared" si="315"/>
        <v>0</v>
      </c>
      <c r="AN105" s="191">
        <f t="shared" si="315"/>
        <v>0</v>
      </c>
      <c r="AO105" s="191">
        <f t="shared" si="315"/>
        <v>0</v>
      </c>
      <c r="AP105" s="191">
        <f t="shared" si="315"/>
        <v>0</v>
      </c>
      <c r="AQ105" s="191">
        <f t="shared" si="315"/>
        <v>0</v>
      </c>
      <c r="AR105" s="191">
        <f t="shared" si="315"/>
        <v>0</v>
      </c>
      <c r="AS105" s="191">
        <f t="shared" si="315"/>
        <v>0</v>
      </c>
      <c r="AT105" s="191">
        <f t="shared" si="315"/>
        <v>0</v>
      </c>
      <c r="AU105" s="191">
        <f t="shared" si="315"/>
        <v>0</v>
      </c>
      <c r="AV105" s="191">
        <f t="shared" si="315"/>
        <v>0</v>
      </c>
      <c r="AW105" s="191">
        <f t="shared" si="315"/>
        <v>0</v>
      </c>
      <c r="AX105" s="191">
        <f t="shared" si="315"/>
        <v>177.7777777777778</v>
      </c>
      <c r="AY105" s="191">
        <f t="shared" si="315"/>
        <v>0</v>
      </c>
      <c r="AZ105" s="191">
        <f t="shared" si="315"/>
        <v>0</v>
      </c>
      <c r="BA105" s="191">
        <f t="shared" si="315"/>
        <v>0</v>
      </c>
      <c r="BB105" s="191">
        <f t="shared" si="315"/>
        <v>0</v>
      </c>
      <c r="BC105" s="191">
        <f t="shared" si="315"/>
        <v>0</v>
      </c>
      <c r="BD105" s="191">
        <f t="shared" si="315"/>
        <v>0</v>
      </c>
      <c r="BE105" s="191">
        <f t="shared" si="315"/>
        <v>0</v>
      </c>
      <c r="BF105" s="191">
        <f t="shared" si="315"/>
        <v>0</v>
      </c>
      <c r="BG105" s="191">
        <f t="shared" si="315"/>
        <v>0</v>
      </c>
      <c r="BH105" s="191">
        <f t="shared" si="315"/>
        <v>0</v>
      </c>
      <c r="BI105" s="191">
        <f t="shared" si="315"/>
        <v>0</v>
      </c>
      <c r="BJ105" s="191">
        <f t="shared" si="315"/>
        <v>0</v>
      </c>
      <c r="BK105" s="191">
        <f t="shared" si="315"/>
        <v>0</v>
      </c>
      <c r="BL105" s="191">
        <f t="shared" si="315"/>
        <v>125</v>
      </c>
      <c r="BM105" s="191">
        <f t="shared" si="315"/>
        <v>202.77777777777777</v>
      </c>
      <c r="BN105" s="191">
        <f t="shared" ref="BN105:CS105" si="316">(BN21/$B$21)*100</f>
        <v>251.38888888888889</v>
      </c>
      <c r="BO105" s="191">
        <f t="shared" si="316"/>
        <v>265.27777777777777</v>
      </c>
      <c r="BP105" s="191">
        <f t="shared" si="316"/>
        <v>255.55555555555554</v>
      </c>
      <c r="BQ105" s="191">
        <f t="shared" si="316"/>
        <v>272.22222222222223</v>
      </c>
      <c r="BR105" s="191">
        <f t="shared" si="316"/>
        <v>895.83333333333337</v>
      </c>
      <c r="BS105" s="191">
        <f t="shared" si="316"/>
        <v>373.61111111111114</v>
      </c>
      <c r="BT105" s="191">
        <f t="shared" si="316"/>
        <v>70.833333333333343</v>
      </c>
      <c r="BU105" s="191">
        <f t="shared" si="316"/>
        <v>198.61111111111109</v>
      </c>
      <c r="BV105" s="191">
        <f t="shared" si="316"/>
        <v>187.5</v>
      </c>
      <c r="BW105" s="191">
        <f t="shared" si="316"/>
        <v>375</v>
      </c>
      <c r="BX105" s="191">
        <f t="shared" si="316"/>
        <v>0</v>
      </c>
      <c r="BY105" s="191">
        <f t="shared" si="316"/>
        <v>0</v>
      </c>
      <c r="BZ105" s="191">
        <f t="shared" si="316"/>
        <v>0</v>
      </c>
      <c r="CA105" s="191">
        <f t="shared" si="316"/>
        <v>0</v>
      </c>
      <c r="CB105" s="191">
        <f t="shared" si="316"/>
        <v>0</v>
      </c>
      <c r="CC105" s="191">
        <f t="shared" si="316"/>
        <v>0</v>
      </c>
      <c r="CD105" s="191">
        <f t="shared" si="316"/>
        <v>0</v>
      </c>
      <c r="CE105" s="191">
        <f t="shared" si="316"/>
        <v>0</v>
      </c>
      <c r="CF105" s="191">
        <f t="shared" si="316"/>
        <v>0</v>
      </c>
      <c r="CG105" s="191">
        <f t="shared" si="316"/>
        <v>0</v>
      </c>
      <c r="CH105" s="191">
        <f t="shared" si="316"/>
        <v>0</v>
      </c>
      <c r="CI105" s="191">
        <f t="shared" si="316"/>
        <v>13.888888888888889</v>
      </c>
      <c r="CJ105" s="191">
        <f t="shared" si="316"/>
        <v>68.055555555555557</v>
      </c>
      <c r="CK105" s="191">
        <f t="shared" si="316"/>
        <v>79.166666666666657</v>
      </c>
      <c r="CL105" s="191">
        <f t="shared" si="316"/>
        <v>513.88888888888891</v>
      </c>
      <c r="CM105" s="191">
        <f t="shared" si="316"/>
        <v>45.833333333333336</v>
      </c>
      <c r="CN105" s="191">
        <f t="shared" si="316"/>
        <v>304.16666666666663</v>
      </c>
      <c r="CO105" s="191">
        <f t="shared" si="316"/>
        <v>450</v>
      </c>
      <c r="CP105" s="771">
        <f t="shared" si="316"/>
        <v>255.55555555555554</v>
      </c>
      <c r="CQ105" s="771">
        <f t="shared" si="316"/>
        <v>150</v>
      </c>
      <c r="CR105" s="771">
        <f t="shared" si="316"/>
        <v>56.944444444444443</v>
      </c>
      <c r="CS105" s="771">
        <f t="shared" si="316"/>
        <v>26.388888888888889</v>
      </c>
      <c r="CT105" s="191">
        <f t="shared" ref="CT105:CY105" si="317">(CT21/$B$21)*100</f>
        <v>20.833333333333336</v>
      </c>
      <c r="CU105" s="191">
        <f t="shared" si="317"/>
        <v>0</v>
      </c>
      <c r="CV105" s="771">
        <f t="shared" si="317"/>
        <v>0</v>
      </c>
      <c r="CW105" s="771">
        <f t="shared" si="317"/>
        <v>0</v>
      </c>
      <c r="CX105" s="771">
        <f t="shared" si="317"/>
        <v>0</v>
      </c>
      <c r="CY105" s="771">
        <f t="shared" si="317"/>
        <v>0</v>
      </c>
      <c r="CZ105" s="191">
        <f t="shared" si="311"/>
        <v>0</v>
      </c>
      <c r="DA105" s="191">
        <f t="shared" ref="DA105:DW105" si="318">(DA21/$B$21)*100</f>
        <v>0</v>
      </c>
      <c r="DB105" s="771">
        <f t="shared" si="318"/>
        <v>0</v>
      </c>
      <c r="DC105" s="771">
        <f t="shared" si="318"/>
        <v>0</v>
      </c>
      <c r="DD105" s="771">
        <f t="shared" si="318"/>
        <v>40.277777777777771</v>
      </c>
      <c r="DE105" s="771">
        <f t="shared" si="318"/>
        <v>0</v>
      </c>
      <c r="DF105" s="191">
        <f t="shared" si="318"/>
        <v>44.44444444444445</v>
      </c>
      <c r="DG105" s="191">
        <f t="shared" si="318"/>
        <v>151.38888888888889</v>
      </c>
      <c r="DH105" s="771">
        <f t="shared" si="318"/>
        <v>134.7222222222222</v>
      </c>
      <c r="DI105" s="771">
        <f t="shared" si="318"/>
        <v>40.277777777777771</v>
      </c>
      <c r="DJ105" s="771">
        <f t="shared" si="318"/>
        <v>308.33333333333337</v>
      </c>
      <c r="DK105" s="771">
        <f t="shared" si="318"/>
        <v>154.16666666666669</v>
      </c>
      <c r="DL105" s="191">
        <f t="shared" si="318"/>
        <v>63.888888888888886</v>
      </c>
      <c r="DM105" s="191">
        <f t="shared" si="318"/>
        <v>116.66666666666667</v>
      </c>
      <c r="DN105" s="771">
        <f t="shared" si="318"/>
        <v>136.34259259259261</v>
      </c>
      <c r="DO105" s="771">
        <f t="shared" si="318"/>
        <v>136.61265432098764</v>
      </c>
      <c r="DP105" s="771">
        <f t="shared" si="318"/>
        <v>152.66846707818931</v>
      </c>
      <c r="DQ105" s="771">
        <f t="shared" si="318"/>
        <v>126.72432270233199</v>
      </c>
      <c r="DR105" s="191">
        <f t="shared" si="318"/>
        <v>2.7777777777777781</v>
      </c>
      <c r="DS105" s="191">
        <f t="shared" si="318"/>
        <v>0</v>
      </c>
      <c r="DT105" s="771">
        <f t="shared" si="318"/>
        <v>0</v>
      </c>
      <c r="DU105" s="771">
        <f t="shared" si="318"/>
        <v>0</v>
      </c>
      <c r="DV105" s="771">
        <f t="shared" si="318"/>
        <v>9.7222222222222232</v>
      </c>
      <c r="DW105" s="771">
        <f t="shared" si="318"/>
        <v>0</v>
      </c>
      <c r="DX105" s="191">
        <f t="shared" ref="DX105:EC105" si="319">(DX21/$B$21)*100</f>
        <v>0</v>
      </c>
      <c r="DY105" s="191">
        <f t="shared" si="319"/>
        <v>0</v>
      </c>
      <c r="DZ105" s="771">
        <f t="shared" si="319"/>
        <v>0</v>
      </c>
      <c r="EA105" s="771">
        <f t="shared" si="319"/>
        <v>0</v>
      </c>
      <c r="EB105" s="771">
        <f t="shared" si="319"/>
        <v>0</v>
      </c>
      <c r="EC105" s="771">
        <f t="shared" si="319"/>
        <v>0</v>
      </c>
    </row>
    <row r="106" spans="1:138">
      <c r="A106" s="189" t="s">
        <v>35</v>
      </c>
      <c r="B106" s="191">
        <f t="shared" ref="B106:AG106" si="320">(B22/$B$22)*100</f>
        <v>100</v>
      </c>
      <c r="C106" s="191">
        <f t="shared" si="320"/>
        <v>112.5</v>
      </c>
      <c r="D106" s="191">
        <f t="shared" si="320"/>
        <v>68.75</v>
      </c>
      <c r="E106" s="191">
        <f t="shared" si="320"/>
        <v>0</v>
      </c>
      <c r="F106" s="191">
        <f t="shared" si="320"/>
        <v>0</v>
      </c>
      <c r="G106" s="191">
        <f t="shared" si="320"/>
        <v>62.5</v>
      </c>
      <c r="H106" s="191">
        <f t="shared" si="320"/>
        <v>0</v>
      </c>
      <c r="I106" s="191">
        <f t="shared" si="320"/>
        <v>0</v>
      </c>
      <c r="J106" s="191">
        <f t="shared" si="320"/>
        <v>0</v>
      </c>
      <c r="K106" s="191">
        <f t="shared" si="320"/>
        <v>0</v>
      </c>
      <c r="L106" s="191">
        <f t="shared" si="320"/>
        <v>0</v>
      </c>
      <c r="M106" s="191">
        <f t="shared" si="320"/>
        <v>0</v>
      </c>
      <c r="N106" s="191">
        <f t="shared" si="320"/>
        <v>1706.25</v>
      </c>
      <c r="O106" s="191">
        <f t="shared" si="320"/>
        <v>0</v>
      </c>
      <c r="P106" s="191">
        <f t="shared" si="320"/>
        <v>4512.5</v>
      </c>
      <c r="Q106" s="191">
        <f t="shared" si="320"/>
        <v>862.5</v>
      </c>
      <c r="R106" s="191">
        <f t="shared" si="320"/>
        <v>0</v>
      </c>
      <c r="S106" s="191">
        <f t="shared" si="320"/>
        <v>7668.75</v>
      </c>
      <c r="T106" s="191">
        <f t="shared" si="320"/>
        <v>0</v>
      </c>
      <c r="U106" s="191">
        <f t="shared" si="320"/>
        <v>0</v>
      </c>
      <c r="V106" s="191">
        <f t="shared" si="320"/>
        <v>0</v>
      </c>
      <c r="W106" s="191">
        <f t="shared" si="320"/>
        <v>0</v>
      </c>
      <c r="X106" s="191">
        <f t="shared" si="320"/>
        <v>475</v>
      </c>
      <c r="Y106" s="191">
        <f t="shared" si="320"/>
        <v>0</v>
      </c>
      <c r="Z106" s="191">
        <f t="shared" si="320"/>
        <v>4512.5</v>
      </c>
      <c r="AA106" s="191">
        <f t="shared" si="320"/>
        <v>156.25</v>
      </c>
      <c r="AB106" s="191">
        <f t="shared" si="320"/>
        <v>0</v>
      </c>
      <c r="AC106" s="191">
        <f t="shared" si="320"/>
        <v>0</v>
      </c>
      <c r="AD106" s="191">
        <f t="shared" si="320"/>
        <v>0</v>
      </c>
      <c r="AE106" s="191">
        <f t="shared" si="320"/>
        <v>0</v>
      </c>
      <c r="AF106" s="191">
        <f t="shared" si="320"/>
        <v>0</v>
      </c>
      <c r="AG106" s="191">
        <f t="shared" si="320"/>
        <v>0</v>
      </c>
      <c r="AH106" s="191">
        <f t="shared" ref="AH106:BM106" si="321">(AH22/$B$22)*100</f>
        <v>0</v>
      </c>
      <c r="AI106" s="191">
        <f t="shared" si="321"/>
        <v>175</v>
      </c>
      <c r="AJ106" s="191">
        <f t="shared" si="321"/>
        <v>0</v>
      </c>
      <c r="AK106" s="191">
        <f t="shared" si="321"/>
        <v>225</v>
      </c>
      <c r="AL106" s="191">
        <f t="shared" si="321"/>
        <v>368.75</v>
      </c>
      <c r="AM106" s="191">
        <f t="shared" si="321"/>
        <v>5256.25</v>
      </c>
      <c r="AN106" s="191">
        <f t="shared" si="321"/>
        <v>0</v>
      </c>
      <c r="AO106" s="191">
        <f t="shared" si="321"/>
        <v>0</v>
      </c>
      <c r="AP106" s="191">
        <f t="shared" si="321"/>
        <v>0</v>
      </c>
      <c r="AQ106" s="191">
        <f t="shared" si="321"/>
        <v>0</v>
      </c>
      <c r="AR106" s="191">
        <f t="shared" si="321"/>
        <v>0</v>
      </c>
      <c r="AS106" s="191">
        <f t="shared" si="321"/>
        <v>0</v>
      </c>
      <c r="AT106" s="191">
        <f t="shared" si="321"/>
        <v>0</v>
      </c>
      <c r="AU106" s="191">
        <f t="shared" si="321"/>
        <v>0</v>
      </c>
      <c r="AV106" s="191">
        <f t="shared" si="321"/>
        <v>0</v>
      </c>
      <c r="AW106" s="191">
        <f t="shared" si="321"/>
        <v>0</v>
      </c>
      <c r="AX106" s="191">
        <f t="shared" si="321"/>
        <v>4512.5</v>
      </c>
      <c r="AY106" s="191">
        <f t="shared" si="321"/>
        <v>0</v>
      </c>
      <c r="AZ106" s="191">
        <f t="shared" si="321"/>
        <v>0</v>
      </c>
      <c r="BA106" s="191">
        <f t="shared" si="321"/>
        <v>0</v>
      </c>
      <c r="BB106" s="191">
        <f t="shared" si="321"/>
        <v>0</v>
      </c>
      <c r="BC106" s="191">
        <f t="shared" si="321"/>
        <v>0</v>
      </c>
      <c r="BD106" s="191">
        <f t="shared" si="321"/>
        <v>0</v>
      </c>
      <c r="BE106" s="191">
        <f t="shared" si="321"/>
        <v>0</v>
      </c>
      <c r="BF106" s="191">
        <f t="shared" si="321"/>
        <v>0</v>
      </c>
      <c r="BG106" s="191">
        <f t="shared" si="321"/>
        <v>0</v>
      </c>
      <c r="BH106" s="191">
        <f t="shared" si="321"/>
        <v>0</v>
      </c>
      <c r="BI106" s="191">
        <f t="shared" si="321"/>
        <v>37.500000000000007</v>
      </c>
      <c r="BJ106" s="191">
        <f t="shared" si="321"/>
        <v>18.750000000000004</v>
      </c>
      <c r="BK106" s="191">
        <f t="shared" si="321"/>
        <v>106.25</v>
      </c>
      <c r="BL106" s="191">
        <f t="shared" si="321"/>
        <v>2687.5</v>
      </c>
      <c r="BM106" s="191">
        <f t="shared" si="321"/>
        <v>2137.5</v>
      </c>
      <c r="BN106" s="191">
        <f t="shared" ref="BN106:CS106" si="322">(BN22/$B$22)*100</f>
        <v>8362.5</v>
      </c>
      <c r="BO106" s="191">
        <f t="shared" si="322"/>
        <v>175</v>
      </c>
      <c r="BP106" s="191">
        <f t="shared" si="322"/>
        <v>125</v>
      </c>
      <c r="BQ106" s="191">
        <f t="shared" si="322"/>
        <v>100</v>
      </c>
      <c r="BR106" s="191">
        <f t="shared" si="322"/>
        <v>7175</v>
      </c>
      <c r="BS106" s="191">
        <f t="shared" si="322"/>
        <v>2175</v>
      </c>
      <c r="BT106" s="191">
        <f t="shared" si="322"/>
        <v>1312.5</v>
      </c>
      <c r="BU106" s="191">
        <f t="shared" si="322"/>
        <v>2018.75</v>
      </c>
      <c r="BV106" s="191">
        <f t="shared" si="322"/>
        <v>1087.5</v>
      </c>
      <c r="BW106" s="191">
        <f t="shared" si="322"/>
        <v>231.25</v>
      </c>
      <c r="BX106" s="191">
        <f t="shared" si="322"/>
        <v>0</v>
      </c>
      <c r="BY106" s="191">
        <f t="shared" si="322"/>
        <v>0</v>
      </c>
      <c r="BZ106" s="191">
        <f t="shared" si="322"/>
        <v>0</v>
      </c>
      <c r="CA106" s="191">
        <f t="shared" si="322"/>
        <v>0</v>
      </c>
      <c r="CB106" s="191">
        <f t="shared" si="322"/>
        <v>68.75</v>
      </c>
      <c r="CC106" s="191">
        <f t="shared" si="322"/>
        <v>0</v>
      </c>
      <c r="CD106" s="191">
        <f t="shared" si="322"/>
        <v>0</v>
      </c>
      <c r="CE106" s="191">
        <f t="shared" si="322"/>
        <v>0</v>
      </c>
      <c r="CF106" s="191">
        <f t="shared" si="322"/>
        <v>0</v>
      </c>
      <c r="CG106" s="191">
        <f t="shared" si="322"/>
        <v>75.000000000000014</v>
      </c>
      <c r="CH106" s="191">
        <f t="shared" si="322"/>
        <v>156.25</v>
      </c>
      <c r="CI106" s="191">
        <f t="shared" si="322"/>
        <v>162.5</v>
      </c>
      <c r="CJ106" s="191">
        <f t="shared" si="322"/>
        <v>250</v>
      </c>
      <c r="CK106" s="191">
        <f t="shared" si="322"/>
        <v>425</v>
      </c>
      <c r="CL106" s="191">
        <f t="shared" si="322"/>
        <v>506.25</v>
      </c>
      <c r="CM106" s="191">
        <f t="shared" si="322"/>
        <v>12.5</v>
      </c>
      <c r="CN106" s="191">
        <f t="shared" si="322"/>
        <v>818.75</v>
      </c>
      <c r="CO106" s="191">
        <f t="shared" si="322"/>
        <v>1106.2499999999998</v>
      </c>
      <c r="CP106" s="771">
        <f t="shared" si="322"/>
        <v>175</v>
      </c>
      <c r="CQ106" s="771">
        <f t="shared" si="322"/>
        <v>1343.75</v>
      </c>
      <c r="CR106" s="771">
        <f t="shared" si="322"/>
        <v>431.25</v>
      </c>
      <c r="CS106" s="771">
        <f t="shared" si="322"/>
        <v>6.25</v>
      </c>
      <c r="CT106" s="191">
        <f t="shared" ref="CT106:CY106" si="323">(CT22/$B$22)*100</f>
        <v>50</v>
      </c>
      <c r="CU106" s="191">
        <f t="shared" si="323"/>
        <v>200</v>
      </c>
      <c r="CV106" s="771">
        <f t="shared" si="323"/>
        <v>43.75</v>
      </c>
      <c r="CW106" s="771">
        <f t="shared" si="323"/>
        <v>0</v>
      </c>
      <c r="CX106" s="771">
        <f t="shared" si="323"/>
        <v>0</v>
      </c>
      <c r="CY106" s="771">
        <f t="shared" si="323"/>
        <v>0</v>
      </c>
      <c r="CZ106" s="191">
        <f t="shared" si="311"/>
        <v>0</v>
      </c>
      <c r="DA106" s="191">
        <f t="shared" ref="DA106:DW106" si="324">(DA22/$B$22)*100</f>
        <v>0</v>
      </c>
      <c r="DB106" s="771">
        <f t="shared" si="324"/>
        <v>0</v>
      </c>
      <c r="DC106" s="771">
        <f t="shared" si="324"/>
        <v>0</v>
      </c>
      <c r="DD106" s="771">
        <f t="shared" si="324"/>
        <v>0</v>
      </c>
      <c r="DE106" s="771">
        <f t="shared" si="324"/>
        <v>0</v>
      </c>
      <c r="DF106" s="191">
        <f t="shared" si="324"/>
        <v>0</v>
      </c>
      <c r="DG106" s="191">
        <f t="shared" si="324"/>
        <v>0</v>
      </c>
      <c r="DH106" s="771">
        <f t="shared" si="324"/>
        <v>218.75</v>
      </c>
      <c r="DI106" s="771">
        <f t="shared" si="324"/>
        <v>725.00000000000011</v>
      </c>
      <c r="DJ106" s="771">
        <f t="shared" si="324"/>
        <v>243.75</v>
      </c>
      <c r="DK106" s="771">
        <f t="shared" si="324"/>
        <v>543.75</v>
      </c>
      <c r="DL106" s="191">
        <f t="shared" si="324"/>
        <v>800</v>
      </c>
      <c r="DM106" s="191">
        <f t="shared" si="324"/>
        <v>1825</v>
      </c>
      <c r="DN106" s="771">
        <f t="shared" si="324"/>
        <v>726.04166666666674</v>
      </c>
      <c r="DO106" s="771">
        <f t="shared" si="324"/>
        <v>810.59027777777771</v>
      </c>
      <c r="DP106" s="771">
        <f t="shared" si="324"/>
        <v>824.85532407407402</v>
      </c>
      <c r="DQ106" s="771">
        <f t="shared" si="324"/>
        <v>921.706211419753</v>
      </c>
      <c r="DR106" s="191">
        <f t="shared" si="324"/>
        <v>50</v>
      </c>
      <c r="DS106" s="191">
        <f t="shared" si="324"/>
        <v>0</v>
      </c>
      <c r="DT106" s="771">
        <f t="shared" si="324"/>
        <v>0</v>
      </c>
      <c r="DU106" s="771">
        <f t="shared" si="324"/>
        <v>18.750000000000004</v>
      </c>
      <c r="DV106" s="771">
        <f t="shared" si="324"/>
        <v>0</v>
      </c>
      <c r="DW106" s="771">
        <f t="shared" si="324"/>
        <v>87.5</v>
      </c>
      <c r="DX106" s="191">
        <f t="shared" ref="DX106:EC106" si="325">(DX22/$B$22)*100</f>
        <v>0</v>
      </c>
      <c r="DY106" s="191">
        <f t="shared" si="325"/>
        <v>0</v>
      </c>
      <c r="DZ106" s="771">
        <f t="shared" si="325"/>
        <v>0</v>
      </c>
      <c r="EA106" s="771">
        <f t="shared" si="325"/>
        <v>18.750000000000004</v>
      </c>
      <c r="EB106" s="771">
        <f t="shared" si="325"/>
        <v>0</v>
      </c>
      <c r="EC106" s="771">
        <f t="shared" si="325"/>
        <v>18.750000000000004</v>
      </c>
    </row>
    <row r="107" spans="1:138">
      <c r="A107" s="189" t="s">
        <v>37</v>
      </c>
      <c r="B107" s="191">
        <f t="shared" ref="B107:AG107" si="326">(B23/$B$23)*100</f>
        <v>100</v>
      </c>
      <c r="C107" s="191">
        <f t="shared" si="326"/>
        <v>20.329670329670328</v>
      </c>
      <c r="D107" s="191">
        <f t="shared" si="326"/>
        <v>0</v>
      </c>
      <c r="E107" s="191">
        <f t="shared" si="326"/>
        <v>3.8461538461538463</v>
      </c>
      <c r="F107" s="191">
        <f t="shared" si="326"/>
        <v>695.05494505494505</v>
      </c>
      <c r="G107" s="191">
        <f t="shared" si="326"/>
        <v>379.67032967032964</v>
      </c>
      <c r="H107" s="191">
        <f t="shared" si="326"/>
        <v>25.824175824175828</v>
      </c>
      <c r="I107" s="191">
        <f t="shared" si="326"/>
        <v>252.74725274725279</v>
      </c>
      <c r="J107" s="191">
        <f t="shared" si="326"/>
        <v>697.25274725274721</v>
      </c>
      <c r="K107" s="191">
        <f t="shared" si="326"/>
        <v>958.79120879120876</v>
      </c>
      <c r="L107" s="191">
        <f t="shared" si="326"/>
        <v>0</v>
      </c>
      <c r="M107" s="191">
        <f t="shared" si="326"/>
        <v>539.01098901098908</v>
      </c>
      <c r="N107" s="191">
        <f t="shared" si="326"/>
        <v>296.7032967032967</v>
      </c>
      <c r="O107" s="191">
        <f t="shared" si="326"/>
        <v>0</v>
      </c>
      <c r="P107" s="191">
        <f t="shared" si="326"/>
        <v>323.62637362637361</v>
      </c>
      <c r="Q107" s="191">
        <f t="shared" si="326"/>
        <v>170.32967032967034</v>
      </c>
      <c r="R107" s="191">
        <f t="shared" si="326"/>
        <v>89.010989010989022</v>
      </c>
      <c r="S107" s="191">
        <f t="shared" si="326"/>
        <v>158.24175824175825</v>
      </c>
      <c r="T107" s="191">
        <f t="shared" si="326"/>
        <v>0</v>
      </c>
      <c r="U107" s="191">
        <f t="shared" si="326"/>
        <v>0</v>
      </c>
      <c r="V107" s="191">
        <f t="shared" si="326"/>
        <v>0</v>
      </c>
      <c r="W107" s="191">
        <f t="shared" si="326"/>
        <v>0</v>
      </c>
      <c r="X107" s="191">
        <f t="shared" si="326"/>
        <v>10.43956043956044</v>
      </c>
      <c r="Y107" s="191">
        <f t="shared" si="326"/>
        <v>0</v>
      </c>
      <c r="Z107" s="191">
        <f t="shared" si="326"/>
        <v>323.62637362637361</v>
      </c>
      <c r="AA107" s="191">
        <f t="shared" si="326"/>
        <v>226.37362637362637</v>
      </c>
      <c r="AB107" s="191">
        <f t="shared" si="326"/>
        <v>97.80219780219781</v>
      </c>
      <c r="AC107" s="191">
        <f t="shared" si="326"/>
        <v>0</v>
      </c>
      <c r="AD107" s="191">
        <f t="shared" si="326"/>
        <v>4624.1758241758243</v>
      </c>
      <c r="AE107" s="191">
        <f t="shared" si="326"/>
        <v>52.19780219780219</v>
      </c>
      <c r="AF107" s="191">
        <f t="shared" si="326"/>
        <v>0</v>
      </c>
      <c r="AG107" s="191">
        <f t="shared" si="326"/>
        <v>68.681318681318686</v>
      </c>
      <c r="AH107" s="191">
        <f t="shared" ref="AH107:BM107" si="327">(AH23/$B$23)*100</f>
        <v>0</v>
      </c>
      <c r="AI107" s="191">
        <f t="shared" si="327"/>
        <v>102.74725274725276</v>
      </c>
      <c r="AJ107" s="191">
        <f t="shared" si="327"/>
        <v>492.30769230769232</v>
      </c>
      <c r="AK107" s="191">
        <f t="shared" si="327"/>
        <v>314.83516483516485</v>
      </c>
      <c r="AL107" s="191">
        <f t="shared" si="327"/>
        <v>203.2967032967033</v>
      </c>
      <c r="AM107" s="191">
        <f t="shared" si="327"/>
        <v>221.42857142857144</v>
      </c>
      <c r="AN107" s="191">
        <f t="shared" si="327"/>
        <v>0</v>
      </c>
      <c r="AO107" s="191">
        <f t="shared" si="327"/>
        <v>0</v>
      </c>
      <c r="AP107" s="191">
        <f t="shared" si="327"/>
        <v>0</v>
      </c>
      <c r="AQ107" s="191">
        <f t="shared" si="327"/>
        <v>0</v>
      </c>
      <c r="AR107" s="191">
        <f t="shared" si="327"/>
        <v>0</v>
      </c>
      <c r="AS107" s="191">
        <f t="shared" si="327"/>
        <v>0</v>
      </c>
      <c r="AT107" s="191">
        <f t="shared" si="327"/>
        <v>0</v>
      </c>
      <c r="AU107" s="191">
        <f t="shared" si="327"/>
        <v>0</v>
      </c>
      <c r="AV107" s="191">
        <f t="shared" si="327"/>
        <v>0</v>
      </c>
      <c r="AW107" s="191">
        <f t="shared" si="327"/>
        <v>0</v>
      </c>
      <c r="AX107" s="191">
        <f t="shared" si="327"/>
        <v>316.4835164835165</v>
      </c>
      <c r="AY107" s="191">
        <f t="shared" si="327"/>
        <v>0</v>
      </c>
      <c r="AZ107" s="191">
        <f t="shared" si="327"/>
        <v>107.69230769230769</v>
      </c>
      <c r="BA107" s="191">
        <f t="shared" si="327"/>
        <v>368.13186813186815</v>
      </c>
      <c r="BB107" s="191">
        <f t="shared" si="327"/>
        <v>513.1868131868132</v>
      </c>
      <c r="BC107" s="191">
        <f t="shared" si="327"/>
        <v>379.67032967032964</v>
      </c>
      <c r="BD107" s="191">
        <f t="shared" si="327"/>
        <v>35.164835164835168</v>
      </c>
      <c r="BE107" s="191">
        <f t="shared" si="327"/>
        <v>163.73626373626377</v>
      </c>
      <c r="BF107" s="191">
        <f t="shared" si="327"/>
        <v>312.08791208791212</v>
      </c>
      <c r="BG107" s="191">
        <f t="shared" si="327"/>
        <v>295.60439560439562</v>
      </c>
      <c r="BH107" s="191">
        <f t="shared" si="327"/>
        <v>123.62637362637363</v>
      </c>
      <c r="BI107" s="191">
        <f t="shared" si="327"/>
        <v>9.3406593406593412</v>
      </c>
      <c r="BJ107" s="191">
        <f t="shared" si="327"/>
        <v>95.604395604395606</v>
      </c>
      <c r="BK107" s="191">
        <f t="shared" si="327"/>
        <v>262.63736263736263</v>
      </c>
      <c r="BL107" s="191">
        <f t="shared" si="327"/>
        <v>251.64835164835165</v>
      </c>
      <c r="BM107" s="191">
        <f t="shared" si="327"/>
        <v>404.94505494505495</v>
      </c>
      <c r="BN107" s="191">
        <f t="shared" ref="BN107:CS107" si="328">(BN23/$B$23)*100</f>
        <v>235.16483516483518</v>
      </c>
      <c r="BO107" s="191">
        <f t="shared" si="328"/>
        <v>95.604395604395606</v>
      </c>
      <c r="BP107" s="191">
        <f t="shared" si="328"/>
        <v>48.901098901098905</v>
      </c>
      <c r="BQ107" s="191">
        <f t="shared" si="328"/>
        <v>97.80219780219781</v>
      </c>
      <c r="BR107" s="191">
        <f t="shared" si="328"/>
        <v>171.42857142857144</v>
      </c>
      <c r="BS107" s="191">
        <f t="shared" si="328"/>
        <v>83.516483516483518</v>
      </c>
      <c r="BT107" s="191">
        <f t="shared" si="328"/>
        <v>97.80219780219781</v>
      </c>
      <c r="BU107" s="191">
        <f t="shared" si="328"/>
        <v>180.21978021978023</v>
      </c>
      <c r="BV107" s="191">
        <f t="shared" si="328"/>
        <v>187.36263736263734</v>
      </c>
      <c r="BW107" s="191">
        <f t="shared" si="328"/>
        <v>264.83516483516485</v>
      </c>
      <c r="BX107" s="191">
        <f t="shared" si="328"/>
        <v>0</v>
      </c>
      <c r="BY107" s="191">
        <f t="shared" si="328"/>
        <v>3.8461538461538463</v>
      </c>
      <c r="BZ107" s="191">
        <f t="shared" si="328"/>
        <v>90.109890109890117</v>
      </c>
      <c r="CA107" s="191">
        <f t="shared" si="328"/>
        <v>54.395604395604401</v>
      </c>
      <c r="CB107" s="191">
        <f t="shared" si="328"/>
        <v>267.03296703296701</v>
      </c>
      <c r="CC107" s="191">
        <f t="shared" si="328"/>
        <v>31.318681318681318</v>
      </c>
      <c r="CD107" s="191">
        <f t="shared" si="328"/>
        <v>131.31868131868131</v>
      </c>
      <c r="CE107" s="191">
        <f t="shared" si="328"/>
        <v>174.17582417582418</v>
      </c>
      <c r="CF107" s="191">
        <f t="shared" si="328"/>
        <v>198.35164835164835</v>
      </c>
      <c r="CG107" s="191">
        <f t="shared" si="328"/>
        <v>391.20879120879124</v>
      </c>
      <c r="CH107" s="191">
        <f t="shared" si="328"/>
        <v>222.52747252747253</v>
      </c>
      <c r="CI107" s="191">
        <f t="shared" si="328"/>
        <v>396.15384615384619</v>
      </c>
      <c r="CJ107" s="191">
        <f t="shared" si="328"/>
        <v>477.47252747252747</v>
      </c>
      <c r="CK107" s="191">
        <f t="shared" si="328"/>
        <v>381.31868131868129</v>
      </c>
      <c r="CL107" s="191">
        <f t="shared" si="328"/>
        <v>160.43956043956044</v>
      </c>
      <c r="CM107" s="191">
        <f t="shared" si="328"/>
        <v>224.72527472527472</v>
      </c>
      <c r="CN107" s="191">
        <f t="shared" si="328"/>
        <v>71.978021978021985</v>
      </c>
      <c r="CO107" s="191">
        <f t="shared" si="328"/>
        <v>121.42857142857142</v>
      </c>
      <c r="CP107" s="771">
        <f t="shared" si="328"/>
        <v>38.461538461538467</v>
      </c>
      <c r="CQ107" s="771">
        <f t="shared" si="328"/>
        <v>183.51648351648353</v>
      </c>
      <c r="CR107" s="771">
        <f t="shared" si="328"/>
        <v>40.109890109890109</v>
      </c>
      <c r="CS107" s="771">
        <f t="shared" si="328"/>
        <v>4.9450549450549453</v>
      </c>
      <c r="CT107" s="191">
        <f t="shared" ref="CT107:CY107" si="329">(CT23/$B$23)*100</f>
        <v>8.2417582417582427</v>
      </c>
      <c r="CU107" s="191">
        <f t="shared" si="329"/>
        <v>10.989010989010989</v>
      </c>
      <c r="CV107" s="771">
        <f t="shared" si="329"/>
        <v>10.43956043956044</v>
      </c>
      <c r="CW107" s="771">
        <f t="shared" si="329"/>
        <v>0</v>
      </c>
      <c r="CX107" s="771">
        <f t="shared" si="329"/>
        <v>21.978021978021978</v>
      </c>
      <c r="CY107" s="771">
        <f t="shared" si="329"/>
        <v>25.824175824175828</v>
      </c>
      <c r="CZ107" s="191">
        <f t="shared" si="311"/>
        <v>0</v>
      </c>
      <c r="DA107" s="191">
        <f t="shared" ref="DA107:DW107" si="330">(DA23/$B$23)*100</f>
        <v>0</v>
      </c>
      <c r="DB107" s="771">
        <f t="shared" si="330"/>
        <v>0</v>
      </c>
      <c r="DC107" s="771">
        <f t="shared" si="330"/>
        <v>53.846153846153847</v>
      </c>
      <c r="DD107" s="771">
        <f t="shared" si="330"/>
        <v>171.97802197802199</v>
      </c>
      <c r="DE107" s="771">
        <f t="shared" si="330"/>
        <v>157.69230769230771</v>
      </c>
      <c r="DF107" s="191">
        <f t="shared" si="330"/>
        <v>120.87912087912089</v>
      </c>
      <c r="DG107" s="191">
        <f t="shared" si="330"/>
        <v>108.7912087912088</v>
      </c>
      <c r="DH107" s="771">
        <f t="shared" si="330"/>
        <v>240.6593406593407</v>
      </c>
      <c r="DI107" s="771">
        <f t="shared" si="330"/>
        <v>130.76923076923077</v>
      </c>
      <c r="DJ107" s="771">
        <f t="shared" si="330"/>
        <v>103.29670329670331</v>
      </c>
      <c r="DK107" s="771">
        <f t="shared" si="330"/>
        <v>47.252747252747248</v>
      </c>
      <c r="DL107" s="191">
        <f t="shared" si="330"/>
        <v>171.42857142857144</v>
      </c>
      <c r="DM107" s="191">
        <f t="shared" si="330"/>
        <v>28.571428571428569</v>
      </c>
      <c r="DN107" s="771">
        <f t="shared" si="330"/>
        <v>120.32967032967035</v>
      </c>
      <c r="DO107" s="771">
        <f t="shared" si="330"/>
        <v>100.27472527472527</v>
      </c>
      <c r="DP107" s="771">
        <f t="shared" si="330"/>
        <v>95.192307692307722</v>
      </c>
      <c r="DQ107" s="771">
        <f t="shared" si="330"/>
        <v>93.841575091575095</v>
      </c>
      <c r="DR107" s="191">
        <f t="shared" si="330"/>
        <v>9.3406593406593412</v>
      </c>
      <c r="DS107" s="191">
        <f t="shared" si="330"/>
        <v>0</v>
      </c>
      <c r="DT107" s="771">
        <f t="shared" si="330"/>
        <v>0</v>
      </c>
      <c r="DU107" s="771">
        <f t="shared" si="330"/>
        <v>1.6483516483516485</v>
      </c>
      <c r="DV107" s="771">
        <f t="shared" si="330"/>
        <v>21.428571428571431</v>
      </c>
      <c r="DW107" s="771">
        <f t="shared" si="330"/>
        <v>46.703296703296708</v>
      </c>
      <c r="DX107" s="191">
        <f t="shared" ref="DX107:EC107" si="331">(DX23/$B$23)*100</f>
        <v>59.340659340659343</v>
      </c>
      <c r="DY107" s="191">
        <f t="shared" si="331"/>
        <v>154.94505494505495</v>
      </c>
      <c r="DZ107" s="771">
        <f t="shared" si="331"/>
        <v>75.27472527472527</v>
      </c>
      <c r="EA107" s="771">
        <f t="shared" si="331"/>
        <v>162.08791208791209</v>
      </c>
      <c r="EB107" s="771">
        <f t="shared" si="331"/>
        <v>95.604395604395606</v>
      </c>
      <c r="EC107" s="771">
        <f t="shared" si="331"/>
        <v>175.27472527472528</v>
      </c>
    </row>
    <row r="108" spans="1:138">
      <c r="A108" s="189" t="s">
        <v>38</v>
      </c>
      <c r="B108" s="191">
        <f t="shared" ref="B108:AG108" si="332">(B24/$B$24)*100</f>
        <v>100</v>
      </c>
      <c r="C108" s="191">
        <f t="shared" si="332"/>
        <v>97.109826589595386</v>
      </c>
      <c r="D108" s="191">
        <f t="shared" si="332"/>
        <v>0</v>
      </c>
      <c r="E108" s="191">
        <f t="shared" si="332"/>
        <v>25.289017341040466</v>
      </c>
      <c r="F108" s="191">
        <f t="shared" si="332"/>
        <v>151.4450867052023</v>
      </c>
      <c r="G108" s="191">
        <f t="shared" si="332"/>
        <v>487.57225433526014</v>
      </c>
      <c r="H108" s="191">
        <f t="shared" si="332"/>
        <v>46.965317919075147</v>
      </c>
      <c r="I108" s="191">
        <f t="shared" si="332"/>
        <v>18.063583815028906</v>
      </c>
      <c r="J108" s="191">
        <f t="shared" si="332"/>
        <v>152.02312138728325</v>
      </c>
      <c r="K108" s="191">
        <f t="shared" si="332"/>
        <v>226.15606936416185</v>
      </c>
      <c r="L108" s="191">
        <f t="shared" si="332"/>
        <v>0</v>
      </c>
      <c r="M108" s="191">
        <f t="shared" si="332"/>
        <v>201.73410404624278</v>
      </c>
      <c r="N108" s="191">
        <f t="shared" si="332"/>
        <v>37.861271676300575</v>
      </c>
      <c r="O108" s="191">
        <f t="shared" si="332"/>
        <v>0</v>
      </c>
      <c r="P108" s="191">
        <f t="shared" si="332"/>
        <v>280.20231213872836</v>
      </c>
      <c r="Q108" s="191">
        <f t="shared" si="332"/>
        <v>41.040462427745666</v>
      </c>
      <c r="R108" s="191">
        <f t="shared" si="332"/>
        <v>19.508670520231213</v>
      </c>
      <c r="S108" s="191">
        <f t="shared" si="332"/>
        <v>80.924855491329467</v>
      </c>
      <c r="T108" s="191">
        <f t="shared" si="332"/>
        <v>0</v>
      </c>
      <c r="U108" s="191">
        <f t="shared" si="332"/>
        <v>0</v>
      </c>
      <c r="V108" s="191">
        <f t="shared" si="332"/>
        <v>0</v>
      </c>
      <c r="W108" s="191">
        <f t="shared" si="332"/>
        <v>0</v>
      </c>
      <c r="X108" s="191">
        <f t="shared" si="332"/>
        <v>41.618497109826592</v>
      </c>
      <c r="Y108" s="191">
        <f t="shared" si="332"/>
        <v>0</v>
      </c>
      <c r="Z108" s="191">
        <f t="shared" si="332"/>
        <v>280.20231213872836</v>
      </c>
      <c r="AA108" s="191">
        <f t="shared" si="332"/>
        <v>41.040462427745666</v>
      </c>
      <c r="AB108" s="191">
        <f t="shared" si="332"/>
        <v>147.10982658959537</v>
      </c>
      <c r="AC108" s="191">
        <f t="shared" si="332"/>
        <v>0</v>
      </c>
      <c r="AD108" s="191">
        <f t="shared" si="332"/>
        <v>805.63583815028915</v>
      </c>
      <c r="AE108" s="191">
        <f t="shared" si="332"/>
        <v>90.173410404624292</v>
      </c>
      <c r="AF108" s="191">
        <f t="shared" si="332"/>
        <v>0</v>
      </c>
      <c r="AG108" s="191">
        <f t="shared" si="332"/>
        <v>26.300578034682083</v>
      </c>
      <c r="AH108" s="191">
        <f t="shared" ref="AH108:BM108" si="333">(AH24/$B$24)*100</f>
        <v>33.236994219653184</v>
      </c>
      <c r="AI108" s="191">
        <f t="shared" si="333"/>
        <v>107.22543352601157</v>
      </c>
      <c r="AJ108" s="191">
        <f t="shared" si="333"/>
        <v>403.03468208092488</v>
      </c>
      <c r="AK108" s="191">
        <f t="shared" si="333"/>
        <v>314.30635838150295</v>
      </c>
      <c r="AL108" s="191">
        <f t="shared" si="333"/>
        <v>74.27745664739885</v>
      </c>
      <c r="AM108" s="191">
        <f t="shared" si="333"/>
        <v>117.34104046242774</v>
      </c>
      <c r="AN108" s="191">
        <f t="shared" si="333"/>
        <v>0</v>
      </c>
      <c r="AO108" s="191">
        <f t="shared" si="333"/>
        <v>0</v>
      </c>
      <c r="AP108" s="191">
        <f t="shared" si="333"/>
        <v>0</v>
      </c>
      <c r="AQ108" s="191">
        <f t="shared" si="333"/>
        <v>0</v>
      </c>
      <c r="AR108" s="191">
        <f t="shared" si="333"/>
        <v>0</v>
      </c>
      <c r="AS108" s="191">
        <f t="shared" si="333"/>
        <v>0</v>
      </c>
      <c r="AT108" s="191">
        <f t="shared" si="333"/>
        <v>0</v>
      </c>
      <c r="AU108" s="191">
        <f t="shared" si="333"/>
        <v>0</v>
      </c>
      <c r="AV108" s="191">
        <f t="shared" si="333"/>
        <v>0</v>
      </c>
      <c r="AW108" s="191">
        <f t="shared" si="333"/>
        <v>0</v>
      </c>
      <c r="AX108" s="191">
        <f t="shared" si="333"/>
        <v>121.96531791907516</v>
      </c>
      <c r="AY108" s="191">
        <f t="shared" si="333"/>
        <v>0</v>
      </c>
      <c r="AZ108" s="191">
        <f t="shared" si="333"/>
        <v>137.13872832369944</v>
      </c>
      <c r="BA108" s="191">
        <f t="shared" si="333"/>
        <v>200.14450867052025</v>
      </c>
      <c r="BB108" s="191">
        <f t="shared" si="333"/>
        <v>151.4450867052023</v>
      </c>
      <c r="BC108" s="191">
        <f t="shared" si="333"/>
        <v>405.49132947976886</v>
      </c>
      <c r="BD108" s="191">
        <f t="shared" si="333"/>
        <v>17.341040462427745</v>
      </c>
      <c r="BE108" s="191">
        <f t="shared" si="333"/>
        <v>168.49710982658962</v>
      </c>
      <c r="BF108" s="191">
        <f t="shared" si="333"/>
        <v>176.58959537572255</v>
      </c>
      <c r="BG108" s="191">
        <f t="shared" si="333"/>
        <v>86.127167630057812</v>
      </c>
      <c r="BH108" s="191">
        <f t="shared" si="333"/>
        <v>82.947976878612721</v>
      </c>
      <c r="BI108" s="191">
        <f t="shared" si="333"/>
        <v>6.5028901734104059</v>
      </c>
      <c r="BJ108" s="191">
        <f t="shared" si="333"/>
        <v>61.127167630057812</v>
      </c>
      <c r="BK108" s="191">
        <f t="shared" si="333"/>
        <v>113.58381502890174</v>
      </c>
      <c r="BL108" s="191">
        <f t="shared" si="333"/>
        <v>83.815028901734109</v>
      </c>
      <c r="BM108" s="191">
        <f t="shared" si="333"/>
        <v>61.849710982658969</v>
      </c>
      <c r="BN108" s="191">
        <f t="shared" ref="BN108:CS108" si="334">(BN24/$B$24)*100</f>
        <v>25.578034682080926</v>
      </c>
      <c r="BO108" s="191">
        <f t="shared" si="334"/>
        <v>91.329479768786143</v>
      </c>
      <c r="BP108" s="191">
        <f t="shared" si="334"/>
        <v>65.173410404624292</v>
      </c>
      <c r="BQ108" s="191">
        <f t="shared" si="334"/>
        <v>78.323699421965316</v>
      </c>
      <c r="BR108" s="191">
        <f t="shared" si="334"/>
        <v>78.901734104046255</v>
      </c>
      <c r="BS108" s="191">
        <f t="shared" si="334"/>
        <v>124.13294797687861</v>
      </c>
      <c r="BT108" s="191">
        <f t="shared" si="334"/>
        <v>83.815028901734109</v>
      </c>
      <c r="BU108" s="191">
        <f t="shared" si="334"/>
        <v>74.27745664739885</v>
      </c>
      <c r="BV108" s="191">
        <f t="shared" si="334"/>
        <v>21.531791907514453</v>
      </c>
      <c r="BW108" s="191">
        <f t="shared" si="334"/>
        <v>17.630057803468208</v>
      </c>
      <c r="BX108" s="191">
        <f t="shared" si="334"/>
        <v>21.676300578034681</v>
      </c>
      <c r="BY108" s="191">
        <f t="shared" si="334"/>
        <v>30.346820809248555</v>
      </c>
      <c r="BZ108" s="191">
        <f t="shared" si="334"/>
        <v>67.052023121387293</v>
      </c>
      <c r="CA108" s="191">
        <f t="shared" si="334"/>
        <v>72.109826589595386</v>
      </c>
      <c r="CB108" s="191">
        <f t="shared" si="334"/>
        <v>137.57225433526011</v>
      </c>
      <c r="CC108" s="191">
        <f t="shared" si="334"/>
        <v>37.283236994219656</v>
      </c>
      <c r="CD108" s="191">
        <f t="shared" si="334"/>
        <v>176.73410404624278</v>
      </c>
      <c r="CE108" s="191">
        <f t="shared" si="334"/>
        <v>89.450867052023128</v>
      </c>
      <c r="CF108" s="191">
        <f t="shared" si="334"/>
        <v>116.1849710982659</v>
      </c>
      <c r="CG108" s="191">
        <f t="shared" si="334"/>
        <v>140.60693641618499</v>
      </c>
      <c r="CH108" s="191">
        <f t="shared" si="334"/>
        <v>308.95953757225436</v>
      </c>
      <c r="CI108" s="191">
        <f t="shared" si="334"/>
        <v>297.6878612716763</v>
      </c>
      <c r="CJ108" s="191">
        <f t="shared" si="334"/>
        <v>294.50867052023125</v>
      </c>
      <c r="CK108" s="191">
        <f t="shared" si="334"/>
        <v>276.87861271676303</v>
      </c>
      <c r="CL108" s="191">
        <f t="shared" si="334"/>
        <v>135.40462427745666</v>
      </c>
      <c r="CM108" s="191">
        <f t="shared" si="334"/>
        <v>129.33526011560696</v>
      </c>
      <c r="CN108" s="191">
        <f t="shared" si="334"/>
        <v>45.953757225433527</v>
      </c>
      <c r="CO108" s="191">
        <f t="shared" si="334"/>
        <v>270.95375722543355</v>
      </c>
      <c r="CP108" s="771">
        <f t="shared" si="334"/>
        <v>125.28901734104045</v>
      </c>
      <c r="CQ108" s="771">
        <f t="shared" si="334"/>
        <v>272.6878612716763</v>
      </c>
      <c r="CR108" s="771">
        <f t="shared" si="334"/>
        <v>72.543352601156073</v>
      </c>
      <c r="CS108" s="771">
        <f t="shared" si="334"/>
        <v>35.115606936416185</v>
      </c>
      <c r="CT108" s="191">
        <f t="shared" ref="CT108:CY108" si="335">(CT24/$B$24)*100</f>
        <v>27.456647398843931</v>
      </c>
      <c r="CU108" s="191">
        <f t="shared" si="335"/>
        <v>46.531791907514453</v>
      </c>
      <c r="CV108" s="771">
        <f t="shared" si="335"/>
        <v>45.375722543352602</v>
      </c>
      <c r="CW108" s="771">
        <f t="shared" si="335"/>
        <v>10.115606936416183</v>
      </c>
      <c r="CX108" s="771">
        <f t="shared" si="335"/>
        <v>57.80346820809249</v>
      </c>
      <c r="CY108" s="771">
        <f t="shared" si="335"/>
        <v>282.08092485549133</v>
      </c>
      <c r="CZ108" s="191">
        <f t="shared" si="311"/>
        <v>0</v>
      </c>
      <c r="DA108" s="191">
        <f t="shared" ref="DA108:DW108" si="336">(DA24/$B$24)*100</f>
        <v>0</v>
      </c>
      <c r="DB108" s="771">
        <f t="shared" si="336"/>
        <v>0</v>
      </c>
      <c r="DC108" s="771">
        <f t="shared" si="336"/>
        <v>14.017341040462428</v>
      </c>
      <c r="DD108" s="771">
        <f t="shared" si="336"/>
        <v>54.913294797687861</v>
      </c>
      <c r="DE108" s="771">
        <f t="shared" si="336"/>
        <v>111.41618497109826</v>
      </c>
      <c r="DF108" s="191">
        <f t="shared" si="336"/>
        <v>129.91329479768788</v>
      </c>
      <c r="DG108" s="191">
        <f t="shared" si="336"/>
        <v>146.09826589595377</v>
      </c>
      <c r="DH108" s="771">
        <f t="shared" si="336"/>
        <v>238.58381502890174</v>
      </c>
      <c r="DI108" s="771">
        <f t="shared" si="336"/>
        <v>130.49132947976878</v>
      </c>
      <c r="DJ108" s="771">
        <f t="shared" si="336"/>
        <v>91.040462427745666</v>
      </c>
      <c r="DK108" s="771">
        <f t="shared" si="336"/>
        <v>71.676300578034684</v>
      </c>
      <c r="DL108" s="191">
        <f t="shared" si="336"/>
        <v>215.02890173410404</v>
      </c>
      <c r="DM108" s="191">
        <f t="shared" si="336"/>
        <v>191.04046242774567</v>
      </c>
      <c r="DN108" s="771">
        <f t="shared" si="336"/>
        <v>156.31021194605012</v>
      </c>
      <c r="DO108" s="771">
        <f t="shared" si="336"/>
        <v>142.59794476557482</v>
      </c>
      <c r="DP108" s="771">
        <f t="shared" si="336"/>
        <v>144.61571397987584</v>
      </c>
      <c r="DQ108" s="771">
        <f t="shared" si="336"/>
        <v>153.5449225718975</v>
      </c>
      <c r="DR108" s="191">
        <f t="shared" si="336"/>
        <v>30.78034682080925</v>
      </c>
      <c r="DS108" s="191">
        <f t="shared" si="336"/>
        <v>6.9364161849710992</v>
      </c>
      <c r="DT108" s="771">
        <f t="shared" si="336"/>
        <v>80.057803468208107</v>
      </c>
      <c r="DU108" s="771">
        <f t="shared" si="336"/>
        <v>95.375722543352609</v>
      </c>
      <c r="DV108" s="771">
        <f t="shared" si="336"/>
        <v>4.1907514450867058</v>
      </c>
      <c r="DW108" s="771">
        <f t="shared" si="336"/>
        <v>14.306358381502893</v>
      </c>
      <c r="DX108" s="191">
        <f t="shared" ref="DX108:EC108" si="337">(DX24/$B$24)*100</f>
        <v>40.173410404624285</v>
      </c>
      <c r="DY108" s="191">
        <f t="shared" si="337"/>
        <v>109.53757225433527</v>
      </c>
      <c r="DZ108" s="771">
        <f t="shared" si="337"/>
        <v>88.439306358381515</v>
      </c>
      <c r="EA108" s="771">
        <f t="shared" si="337"/>
        <v>151.58959537572255</v>
      </c>
      <c r="EB108" s="771">
        <f t="shared" si="337"/>
        <v>467.05202312138738</v>
      </c>
      <c r="EC108" s="771">
        <f t="shared" si="337"/>
        <v>292.63005780346822</v>
      </c>
    </row>
    <row r="109" spans="1:138">
      <c r="A109" s="192" t="s">
        <v>39</v>
      </c>
      <c r="B109" s="191">
        <f t="shared" ref="B109:AG109" si="338">(B25/$B$25)*100</f>
        <v>100</v>
      </c>
      <c r="C109" s="191">
        <f t="shared" si="338"/>
        <v>0</v>
      </c>
      <c r="D109" s="191">
        <f t="shared" si="338"/>
        <v>100</v>
      </c>
      <c r="E109" s="191">
        <f t="shared" si="338"/>
        <v>4.3478260869565215</v>
      </c>
      <c r="F109" s="191">
        <f t="shared" si="338"/>
        <v>308.69565217391306</v>
      </c>
      <c r="G109" s="191">
        <f t="shared" si="338"/>
        <v>273.91304347826087</v>
      </c>
      <c r="H109" s="191">
        <f t="shared" si="338"/>
        <v>0</v>
      </c>
      <c r="I109" s="191">
        <f t="shared" si="338"/>
        <v>0</v>
      </c>
      <c r="J109" s="191">
        <f t="shared" si="338"/>
        <v>286.95652173913049</v>
      </c>
      <c r="K109" s="191">
        <f t="shared" si="338"/>
        <v>195.65217391304347</v>
      </c>
      <c r="L109" s="191">
        <f t="shared" si="338"/>
        <v>0</v>
      </c>
      <c r="M109" s="191">
        <f t="shared" si="338"/>
        <v>56.521739130434788</v>
      </c>
      <c r="N109" s="191">
        <f t="shared" si="338"/>
        <v>56.521739130434788</v>
      </c>
      <c r="O109" s="191">
        <f t="shared" si="338"/>
        <v>0</v>
      </c>
      <c r="P109" s="191">
        <f t="shared" si="338"/>
        <v>204.34782608695653</v>
      </c>
      <c r="Q109" s="191">
        <f t="shared" si="338"/>
        <v>60.869565217391312</v>
      </c>
      <c r="R109" s="191">
        <f t="shared" si="338"/>
        <v>34.782608695652172</v>
      </c>
      <c r="S109" s="191">
        <f t="shared" si="338"/>
        <v>0</v>
      </c>
      <c r="T109" s="191">
        <f t="shared" si="338"/>
        <v>0</v>
      </c>
      <c r="U109" s="191">
        <f t="shared" si="338"/>
        <v>0</v>
      </c>
      <c r="V109" s="191">
        <f t="shared" si="338"/>
        <v>0</v>
      </c>
      <c r="W109" s="191">
        <f t="shared" si="338"/>
        <v>0</v>
      </c>
      <c r="X109" s="191">
        <f t="shared" si="338"/>
        <v>21.739130434782609</v>
      </c>
      <c r="Y109" s="191">
        <f t="shared" si="338"/>
        <v>0</v>
      </c>
      <c r="Z109" s="191">
        <f t="shared" si="338"/>
        <v>204.34782608695653</v>
      </c>
      <c r="AA109" s="191">
        <f t="shared" si="338"/>
        <v>60.869565217391312</v>
      </c>
      <c r="AB109" s="191">
        <f t="shared" si="338"/>
        <v>82.608695652173907</v>
      </c>
      <c r="AC109" s="191">
        <f t="shared" si="338"/>
        <v>0</v>
      </c>
      <c r="AD109" s="191">
        <f t="shared" si="338"/>
        <v>0</v>
      </c>
      <c r="AE109" s="191">
        <f t="shared" si="338"/>
        <v>352.17391304347825</v>
      </c>
      <c r="AF109" s="191">
        <f t="shared" si="338"/>
        <v>0</v>
      </c>
      <c r="AG109" s="191">
        <f t="shared" si="338"/>
        <v>543.47826086956513</v>
      </c>
      <c r="AH109" s="191">
        <f t="shared" ref="AH109:BM109" si="339">(AH25/$B$25)*100</f>
        <v>17.391304347826086</v>
      </c>
      <c r="AI109" s="191">
        <f t="shared" si="339"/>
        <v>34.782608695652172</v>
      </c>
      <c r="AJ109" s="191">
        <f t="shared" si="339"/>
        <v>169.56521739130434</v>
      </c>
      <c r="AK109" s="191">
        <f t="shared" si="339"/>
        <v>0</v>
      </c>
      <c r="AL109" s="191">
        <f t="shared" si="339"/>
        <v>778.26086956521738</v>
      </c>
      <c r="AM109" s="191">
        <f t="shared" si="339"/>
        <v>908.69565217391312</v>
      </c>
      <c r="AN109" s="191">
        <f t="shared" si="339"/>
        <v>0</v>
      </c>
      <c r="AO109" s="191">
        <f t="shared" si="339"/>
        <v>0</v>
      </c>
      <c r="AP109" s="191">
        <f t="shared" si="339"/>
        <v>0</v>
      </c>
      <c r="AQ109" s="191">
        <f t="shared" si="339"/>
        <v>0</v>
      </c>
      <c r="AR109" s="191">
        <f t="shared" si="339"/>
        <v>0</v>
      </c>
      <c r="AS109" s="191">
        <f t="shared" si="339"/>
        <v>0</v>
      </c>
      <c r="AT109" s="191">
        <f t="shared" si="339"/>
        <v>0</v>
      </c>
      <c r="AU109" s="191">
        <f t="shared" si="339"/>
        <v>0</v>
      </c>
      <c r="AV109" s="191">
        <f t="shared" si="339"/>
        <v>0</v>
      </c>
      <c r="AW109" s="191">
        <f t="shared" si="339"/>
        <v>0</v>
      </c>
      <c r="AX109" s="191">
        <f t="shared" si="339"/>
        <v>204.34782608695653</v>
      </c>
      <c r="AY109" s="191">
        <f t="shared" si="339"/>
        <v>0</v>
      </c>
      <c r="AZ109" s="191">
        <f t="shared" si="339"/>
        <v>82.608695652173907</v>
      </c>
      <c r="BA109" s="191">
        <f t="shared" si="339"/>
        <v>56.521739130434788</v>
      </c>
      <c r="BB109" s="191">
        <f t="shared" si="339"/>
        <v>308.69565217391306</v>
      </c>
      <c r="BC109" s="191">
        <f t="shared" si="339"/>
        <v>273.91304347826087</v>
      </c>
      <c r="BD109" s="191">
        <f t="shared" si="339"/>
        <v>34.782608695652172</v>
      </c>
      <c r="BE109" s="191">
        <f t="shared" si="339"/>
        <v>69.565217391304344</v>
      </c>
      <c r="BF109" s="191">
        <f t="shared" si="339"/>
        <v>378.26086956521738</v>
      </c>
      <c r="BG109" s="191">
        <f t="shared" si="339"/>
        <v>1213.0434782608697</v>
      </c>
      <c r="BH109" s="191">
        <f t="shared" si="339"/>
        <v>1513.0434782608695</v>
      </c>
      <c r="BI109" s="191">
        <f t="shared" si="339"/>
        <v>0</v>
      </c>
      <c r="BJ109" s="191">
        <f t="shared" si="339"/>
        <v>1678.2608695652175</v>
      </c>
      <c r="BK109" s="191">
        <f t="shared" si="339"/>
        <v>695.6521739130435</v>
      </c>
      <c r="BL109" s="191">
        <f t="shared" si="339"/>
        <v>1447.8260869565217</v>
      </c>
      <c r="BM109" s="191">
        <f t="shared" si="339"/>
        <v>1717.3913043478258</v>
      </c>
      <c r="BN109" s="191">
        <f t="shared" ref="BN109:CS109" si="340">(BN25/$B$25)*100</f>
        <v>1104.3478260869567</v>
      </c>
      <c r="BO109" s="191">
        <f t="shared" si="340"/>
        <v>304.3478260869565</v>
      </c>
      <c r="BP109" s="191">
        <f t="shared" si="340"/>
        <v>317.39130434782606</v>
      </c>
      <c r="BQ109" s="191">
        <f t="shared" si="340"/>
        <v>443.47826086956525</v>
      </c>
      <c r="BR109" s="191">
        <f t="shared" si="340"/>
        <v>604.3478260869565</v>
      </c>
      <c r="BS109" s="191">
        <f t="shared" si="340"/>
        <v>447.82608695652175</v>
      </c>
      <c r="BT109" s="191">
        <f t="shared" si="340"/>
        <v>608.695652173913</v>
      </c>
      <c r="BU109" s="191">
        <f t="shared" si="340"/>
        <v>1891.3043478260868</v>
      </c>
      <c r="BV109" s="191">
        <f t="shared" si="340"/>
        <v>0</v>
      </c>
      <c r="BW109" s="191">
        <f t="shared" si="340"/>
        <v>930.43478260869574</v>
      </c>
      <c r="BX109" s="191">
        <f t="shared" si="340"/>
        <v>100</v>
      </c>
      <c r="BY109" s="191">
        <f t="shared" si="340"/>
        <v>0</v>
      </c>
      <c r="BZ109" s="191">
        <f t="shared" si="340"/>
        <v>30.434782608695656</v>
      </c>
      <c r="CA109" s="191">
        <f t="shared" si="340"/>
        <v>0</v>
      </c>
      <c r="CB109" s="191">
        <f t="shared" si="340"/>
        <v>178.26086956521738</v>
      </c>
      <c r="CC109" s="191">
        <f t="shared" si="340"/>
        <v>300</v>
      </c>
      <c r="CD109" s="191">
        <f t="shared" si="340"/>
        <v>465.21739130434787</v>
      </c>
      <c r="CE109" s="191">
        <f t="shared" si="340"/>
        <v>239.13043478260869</v>
      </c>
      <c r="CF109" s="191">
        <f t="shared" si="340"/>
        <v>543.47826086956513</v>
      </c>
      <c r="CG109" s="191">
        <f t="shared" si="340"/>
        <v>421.73913043478262</v>
      </c>
      <c r="CH109" s="191">
        <f t="shared" si="340"/>
        <v>830.43478260869574</v>
      </c>
      <c r="CI109" s="191">
        <f t="shared" si="340"/>
        <v>1017.3913043478261</v>
      </c>
      <c r="CJ109" s="191">
        <f t="shared" si="340"/>
        <v>1426.086956521739</v>
      </c>
      <c r="CK109" s="191">
        <f t="shared" si="340"/>
        <v>1560.8695652173915</v>
      </c>
      <c r="CL109" s="191">
        <f t="shared" si="340"/>
        <v>1043.4782608695652</v>
      </c>
      <c r="CM109" s="191">
        <f t="shared" si="340"/>
        <v>591.30434782608688</v>
      </c>
      <c r="CN109" s="191">
        <f t="shared" si="340"/>
        <v>656.52173913043475</v>
      </c>
      <c r="CO109" s="191">
        <f t="shared" si="340"/>
        <v>882.60869565217399</v>
      </c>
      <c r="CP109" s="771">
        <f t="shared" si="340"/>
        <v>400</v>
      </c>
      <c r="CQ109" s="771">
        <f t="shared" si="340"/>
        <v>534.78260869565213</v>
      </c>
      <c r="CR109" s="771">
        <f t="shared" si="340"/>
        <v>626.08695652173913</v>
      </c>
      <c r="CS109" s="771">
        <f t="shared" si="340"/>
        <v>4.3478260869565215</v>
      </c>
      <c r="CT109" s="191">
        <f t="shared" ref="CT109:CY109" si="341">(CT25/$B$25)*100</f>
        <v>273.91304347826087</v>
      </c>
      <c r="CU109" s="191">
        <f t="shared" si="341"/>
        <v>65.217391304347828</v>
      </c>
      <c r="CV109" s="771">
        <f t="shared" si="341"/>
        <v>195.65217391304347</v>
      </c>
      <c r="CW109" s="771">
        <f t="shared" si="341"/>
        <v>30.434782608695656</v>
      </c>
      <c r="CX109" s="771">
        <f t="shared" si="341"/>
        <v>374.30663640215812</v>
      </c>
      <c r="CY109" s="771">
        <f t="shared" si="341"/>
        <v>17.391304347826086</v>
      </c>
      <c r="CZ109" s="191">
        <f t="shared" si="311"/>
        <v>0</v>
      </c>
      <c r="DA109" s="191">
        <f t="shared" ref="DA109:DW109" si="342">(DA25/$B$25)*100</f>
        <v>0</v>
      </c>
      <c r="DB109" s="771">
        <f t="shared" si="342"/>
        <v>0</v>
      </c>
      <c r="DC109" s="771">
        <f t="shared" si="342"/>
        <v>0</v>
      </c>
      <c r="DD109" s="771">
        <f t="shared" si="342"/>
        <v>26.086956521739129</v>
      </c>
      <c r="DE109" s="771">
        <f t="shared" si="342"/>
        <v>30.434782608695656</v>
      </c>
      <c r="DF109" s="191">
        <f t="shared" si="342"/>
        <v>230.43478260869566</v>
      </c>
      <c r="DG109" s="191">
        <f t="shared" si="342"/>
        <v>169.56521739130434</v>
      </c>
      <c r="DH109" s="771">
        <f t="shared" si="342"/>
        <v>282.60869565217388</v>
      </c>
      <c r="DI109" s="771">
        <f t="shared" si="342"/>
        <v>752.17391304347825</v>
      </c>
      <c r="DJ109" s="771">
        <f t="shared" si="342"/>
        <v>586.95652173913038</v>
      </c>
      <c r="DK109" s="771">
        <f t="shared" si="342"/>
        <v>269.56521739130437</v>
      </c>
      <c r="DL109" s="191">
        <f t="shared" si="342"/>
        <v>539.13043478260875</v>
      </c>
      <c r="DM109" s="191">
        <f t="shared" si="342"/>
        <v>586.95652173913038</v>
      </c>
      <c r="DN109" s="771">
        <f t="shared" si="342"/>
        <v>502.89855072463769</v>
      </c>
      <c r="DO109" s="771">
        <f t="shared" si="342"/>
        <v>539.61352657004829</v>
      </c>
      <c r="DP109" s="771">
        <f t="shared" si="342"/>
        <v>504.18679549114336</v>
      </c>
      <c r="DQ109" s="771">
        <f t="shared" si="342"/>
        <v>490.39184111647876</v>
      </c>
      <c r="DR109" s="191">
        <f t="shared" si="342"/>
        <v>417.39130434782606</v>
      </c>
      <c r="DS109" s="191">
        <f t="shared" si="342"/>
        <v>104.34782608695652</v>
      </c>
      <c r="DT109" s="771">
        <f t="shared" si="342"/>
        <v>134.78260869565219</v>
      </c>
      <c r="DU109" s="771">
        <f t="shared" si="342"/>
        <v>0</v>
      </c>
      <c r="DV109" s="771">
        <f t="shared" si="342"/>
        <v>13.043478260869565</v>
      </c>
      <c r="DW109" s="771">
        <f t="shared" si="342"/>
        <v>265.21739130434787</v>
      </c>
      <c r="DX109" s="191">
        <f t="shared" ref="DX109:EC109" si="343">(DX25/$B$25)*100</f>
        <v>321.73913043478262</v>
      </c>
      <c r="DY109" s="191">
        <f t="shared" si="343"/>
        <v>226.08695652173915</v>
      </c>
      <c r="DZ109" s="771">
        <f t="shared" si="343"/>
        <v>452.17391304347831</v>
      </c>
      <c r="EA109" s="771">
        <f t="shared" si="343"/>
        <v>234.78260869565216</v>
      </c>
      <c r="EB109" s="771">
        <f t="shared" si="343"/>
        <v>17.391304347826086</v>
      </c>
      <c r="EC109" s="771">
        <f t="shared" si="343"/>
        <v>47.826086956521742</v>
      </c>
    </row>
    <row r="110" spans="1:138">
      <c r="A110" s="192" t="s">
        <v>40</v>
      </c>
      <c r="B110" s="191">
        <f t="shared" ref="B110:AG110" si="344">(B26/$B$26)*100</f>
        <v>100</v>
      </c>
      <c r="C110" s="191">
        <f t="shared" si="344"/>
        <v>93.135011441647592</v>
      </c>
      <c r="D110" s="191">
        <f t="shared" si="344"/>
        <v>20.137299771167051</v>
      </c>
      <c r="E110" s="191">
        <f t="shared" si="344"/>
        <v>29.061784897025174</v>
      </c>
      <c r="F110" s="191">
        <f t="shared" si="344"/>
        <v>20.823798627002287</v>
      </c>
      <c r="G110" s="191">
        <f t="shared" si="344"/>
        <v>41.647597254004573</v>
      </c>
      <c r="H110" s="191">
        <f t="shared" si="344"/>
        <v>40.732265446224261</v>
      </c>
      <c r="I110" s="191">
        <f t="shared" si="344"/>
        <v>53.775743707093824</v>
      </c>
      <c r="J110" s="191">
        <f t="shared" si="344"/>
        <v>20.823798627002287</v>
      </c>
      <c r="K110" s="191">
        <f t="shared" si="344"/>
        <v>105.94965675057209</v>
      </c>
      <c r="L110" s="191">
        <f t="shared" si="344"/>
        <v>0</v>
      </c>
      <c r="M110" s="191">
        <f t="shared" si="344"/>
        <v>64.073226544622429</v>
      </c>
      <c r="N110" s="191">
        <f t="shared" si="344"/>
        <v>72.082379862700236</v>
      </c>
      <c r="O110" s="191">
        <f t="shared" si="344"/>
        <v>0</v>
      </c>
      <c r="P110" s="191">
        <f t="shared" si="344"/>
        <v>88.329519450800916</v>
      </c>
      <c r="Q110" s="191">
        <f t="shared" si="344"/>
        <v>130.20594965675056</v>
      </c>
      <c r="R110" s="191">
        <f t="shared" si="344"/>
        <v>32.265446224256294</v>
      </c>
      <c r="S110" s="191">
        <f t="shared" si="344"/>
        <v>58.810068649885579</v>
      </c>
      <c r="T110" s="191">
        <f t="shared" si="344"/>
        <v>0</v>
      </c>
      <c r="U110" s="191">
        <f t="shared" si="344"/>
        <v>0</v>
      </c>
      <c r="V110" s="191">
        <f t="shared" si="344"/>
        <v>0</v>
      </c>
      <c r="W110" s="191">
        <f t="shared" si="344"/>
        <v>0</v>
      </c>
      <c r="X110" s="191">
        <f t="shared" si="344"/>
        <v>147.59725400457666</v>
      </c>
      <c r="Y110" s="191">
        <f t="shared" si="344"/>
        <v>0</v>
      </c>
      <c r="Z110" s="191">
        <f t="shared" si="344"/>
        <v>88.329519450800916</v>
      </c>
      <c r="AA110" s="191">
        <f t="shared" si="344"/>
        <v>130.20594965675056</v>
      </c>
      <c r="AB110" s="191">
        <f t="shared" si="344"/>
        <v>94.279176201372991</v>
      </c>
      <c r="AC110" s="191">
        <f t="shared" si="344"/>
        <v>0</v>
      </c>
      <c r="AD110" s="191">
        <f t="shared" si="344"/>
        <v>0</v>
      </c>
      <c r="AE110" s="191">
        <f t="shared" si="344"/>
        <v>120.59496567505721</v>
      </c>
      <c r="AF110" s="191">
        <f t="shared" si="344"/>
        <v>0</v>
      </c>
      <c r="AG110" s="191">
        <f t="shared" si="344"/>
        <v>151.71624713958812</v>
      </c>
      <c r="AH110" s="191">
        <f t="shared" ref="AH110:BM110" si="345">(AH26/$B$26)*100</f>
        <v>40.274599542334101</v>
      </c>
      <c r="AI110" s="191">
        <f t="shared" si="345"/>
        <v>84.210526315789465</v>
      </c>
      <c r="AJ110" s="191">
        <f t="shared" si="345"/>
        <v>161.32723112128144</v>
      </c>
      <c r="AK110" s="191">
        <f t="shared" si="345"/>
        <v>54.004576659038904</v>
      </c>
      <c r="AL110" s="191">
        <f t="shared" si="345"/>
        <v>4.1189931350114417</v>
      </c>
      <c r="AM110" s="191">
        <f t="shared" si="345"/>
        <v>43.935926773455378</v>
      </c>
      <c r="AN110" s="191">
        <f t="shared" si="345"/>
        <v>0</v>
      </c>
      <c r="AO110" s="191">
        <f t="shared" si="345"/>
        <v>0</v>
      </c>
      <c r="AP110" s="191">
        <f t="shared" si="345"/>
        <v>0</v>
      </c>
      <c r="AQ110" s="191">
        <f t="shared" si="345"/>
        <v>0</v>
      </c>
      <c r="AR110" s="191">
        <f t="shared" si="345"/>
        <v>0</v>
      </c>
      <c r="AS110" s="191">
        <f t="shared" si="345"/>
        <v>0</v>
      </c>
      <c r="AT110" s="191">
        <f t="shared" si="345"/>
        <v>0</v>
      </c>
      <c r="AU110" s="191">
        <f t="shared" si="345"/>
        <v>0</v>
      </c>
      <c r="AV110" s="191">
        <f t="shared" si="345"/>
        <v>0</v>
      </c>
      <c r="AW110" s="191">
        <f t="shared" si="345"/>
        <v>0</v>
      </c>
      <c r="AX110" s="191">
        <f t="shared" si="345"/>
        <v>88.329519450800916</v>
      </c>
      <c r="AY110" s="191">
        <f t="shared" si="345"/>
        <v>0</v>
      </c>
      <c r="AZ110" s="191">
        <f t="shared" si="345"/>
        <v>92.906178489702512</v>
      </c>
      <c r="BA110" s="191">
        <f t="shared" si="345"/>
        <v>60.869565217391312</v>
      </c>
      <c r="BB110" s="191">
        <f t="shared" si="345"/>
        <v>20.823798627002287</v>
      </c>
      <c r="BC110" s="191">
        <f t="shared" si="345"/>
        <v>41.647597254004573</v>
      </c>
      <c r="BD110" s="191">
        <f t="shared" si="345"/>
        <v>57.665903890160187</v>
      </c>
      <c r="BE110" s="191">
        <f t="shared" si="345"/>
        <v>95.652173913043484</v>
      </c>
      <c r="BF110" s="191">
        <f t="shared" si="345"/>
        <v>118.07780320366132</v>
      </c>
      <c r="BG110" s="191">
        <f t="shared" si="345"/>
        <v>88.329519450800916</v>
      </c>
      <c r="BH110" s="191">
        <f t="shared" si="345"/>
        <v>34.782608695652172</v>
      </c>
      <c r="BI110" s="191">
        <f t="shared" si="345"/>
        <v>10.068649885583525</v>
      </c>
      <c r="BJ110" s="191">
        <f t="shared" si="345"/>
        <v>17.162471395881006</v>
      </c>
      <c r="BK110" s="191">
        <f t="shared" si="345"/>
        <v>33.638443935926773</v>
      </c>
      <c r="BL110" s="191">
        <f t="shared" si="345"/>
        <v>27.917620137299771</v>
      </c>
      <c r="BM110" s="191">
        <f t="shared" si="345"/>
        <v>27.917620137299771</v>
      </c>
      <c r="BN110" s="191">
        <f t="shared" ref="BN110:CS110" si="346">(BN26/$B$26)*100</f>
        <v>65.903890160183067</v>
      </c>
      <c r="BO110" s="191">
        <f t="shared" si="346"/>
        <v>81.006864988558362</v>
      </c>
      <c r="BP110" s="191">
        <f t="shared" si="346"/>
        <v>36.84210526315789</v>
      </c>
      <c r="BQ110" s="191">
        <f t="shared" si="346"/>
        <v>61.784897025171624</v>
      </c>
      <c r="BR110" s="191">
        <f t="shared" si="346"/>
        <v>18.306636155606405</v>
      </c>
      <c r="BS110" s="191">
        <f t="shared" si="346"/>
        <v>52.402745995423352</v>
      </c>
      <c r="BT110" s="191">
        <f t="shared" si="346"/>
        <v>62.700228832951943</v>
      </c>
      <c r="BU110" s="191">
        <f t="shared" si="346"/>
        <v>32.265446224256294</v>
      </c>
      <c r="BV110" s="191">
        <f t="shared" si="346"/>
        <v>54.691075514874143</v>
      </c>
      <c r="BW110" s="191">
        <f t="shared" si="346"/>
        <v>5.2631578947368416</v>
      </c>
      <c r="BX110" s="191">
        <f t="shared" si="346"/>
        <v>29.290617848970253</v>
      </c>
      <c r="BY110" s="191">
        <f t="shared" si="346"/>
        <v>34.553775743707092</v>
      </c>
      <c r="BZ110" s="191">
        <f t="shared" si="346"/>
        <v>154.23340961098398</v>
      </c>
      <c r="CA110" s="191">
        <f t="shared" si="346"/>
        <v>48.970251716247141</v>
      </c>
      <c r="CB110" s="191">
        <f t="shared" si="346"/>
        <v>144.62242562929063</v>
      </c>
      <c r="CC110" s="191">
        <f t="shared" si="346"/>
        <v>125.62929061784898</v>
      </c>
      <c r="CD110" s="191">
        <f t="shared" si="346"/>
        <v>90.617848970251714</v>
      </c>
      <c r="CE110" s="191">
        <f t="shared" si="346"/>
        <v>65.675057208237988</v>
      </c>
      <c r="CF110" s="191">
        <f t="shared" si="346"/>
        <v>31.350114416475972</v>
      </c>
      <c r="CG110" s="191">
        <f t="shared" si="346"/>
        <v>51.716247139588098</v>
      </c>
      <c r="CH110" s="191">
        <f t="shared" si="346"/>
        <v>42.562929061784892</v>
      </c>
      <c r="CI110" s="191">
        <f t="shared" si="346"/>
        <v>29.977116704805489</v>
      </c>
      <c r="CJ110" s="191">
        <f t="shared" si="346"/>
        <v>82.151029748283761</v>
      </c>
      <c r="CK110" s="191">
        <f t="shared" si="346"/>
        <v>25.629290617848969</v>
      </c>
      <c r="CL110" s="191">
        <f t="shared" si="346"/>
        <v>16.247139588100687</v>
      </c>
      <c r="CM110" s="191">
        <f t="shared" si="346"/>
        <v>64.759725400457668</v>
      </c>
      <c r="CN110" s="191">
        <f t="shared" si="346"/>
        <v>23.112128146453088</v>
      </c>
      <c r="CO110" s="191">
        <f t="shared" si="346"/>
        <v>24.94279176201373</v>
      </c>
      <c r="CP110" s="771">
        <f t="shared" si="346"/>
        <v>48.970251716247141</v>
      </c>
      <c r="CQ110" s="771">
        <f t="shared" si="346"/>
        <v>70.709382151029757</v>
      </c>
      <c r="CR110" s="771">
        <f t="shared" si="346"/>
        <v>56.979405034324948</v>
      </c>
      <c r="CS110" s="771">
        <f t="shared" si="346"/>
        <v>35.697940503432498</v>
      </c>
      <c r="CT110" s="191">
        <f t="shared" ref="CT110:CY110" si="347">(CT26/$B$26)*100</f>
        <v>30.663615560640732</v>
      </c>
      <c r="CU110" s="191">
        <f t="shared" si="347"/>
        <v>91.075514874141874</v>
      </c>
      <c r="CV110" s="771">
        <f t="shared" si="347"/>
        <v>62.700228832951943</v>
      </c>
      <c r="CW110" s="771">
        <f t="shared" si="347"/>
        <v>57.437070938215108</v>
      </c>
      <c r="CX110" s="771">
        <f t="shared" si="347"/>
        <v>81.693363844393602</v>
      </c>
      <c r="CY110" s="771">
        <f t="shared" si="347"/>
        <v>103.4324942791762</v>
      </c>
      <c r="CZ110" s="191">
        <f t="shared" si="311"/>
        <v>0</v>
      </c>
      <c r="DA110" s="191">
        <f t="shared" ref="DA110:DW110" si="348">(DA26/$B$26)*100</f>
        <v>0</v>
      </c>
      <c r="DB110" s="771">
        <f t="shared" si="348"/>
        <v>0</v>
      </c>
      <c r="DC110" s="771">
        <f t="shared" si="348"/>
        <v>23.798627002288331</v>
      </c>
      <c r="DD110" s="771">
        <f t="shared" si="348"/>
        <v>26.086956521739129</v>
      </c>
      <c r="DE110" s="771">
        <f t="shared" si="348"/>
        <v>70.709382151029757</v>
      </c>
      <c r="DF110" s="191">
        <f t="shared" si="348"/>
        <v>14.416475972540047</v>
      </c>
      <c r="DG110" s="191">
        <f t="shared" si="348"/>
        <v>15.102974828375284</v>
      </c>
      <c r="DH110" s="771">
        <f t="shared" si="348"/>
        <v>9.3821510297482824</v>
      </c>
      <c r="DI110" s="771">
        <f t="shared" si="348"/>
        <v>26.544622425629292</v>
      </c>
      <c r="DJ110" s="771">
        <f t="shared" si="348"/>
        <v>42.562929061784892</v>
      </c>
      <c r="DK110" s="771">
        <f t="shared" si="348"/>
        <v>27.917620137299771</v>
      </c>
      <c r="DL110" s="191">
        <f t="shared" si="348"/>
        <v>38.901601830663616</v>
      </c>
      <c r="DM110" s="191">
        <f t="shared" si="348"/>
        <v>49.65675057208238</v>
      </c>
      <c r="DN110" s="771">
        <f t="shared" si="348"/>
        <v>32.494279176201374</v>
      </c>
      <c r="DO110" s="771">
        <f t="shared" si="348"/>
        <v>36.346300533943555</v>
      </c>
      <c r="DP110" s="771">
        <f t="shared" si="348"/>
        <v>37.979913551995935</v>
      </c>
      <c r="DQ110" s="771">
        <f t="shared" si="348"/>
        <v>37.216077633697772</v>
      </c>
      <c r="DR110" s="191">
        <f t="shared" si="348"/>
        <v>62.242562929061783</v>
      </c>
      <c r="DS110" s="191">
        <f t="shared" si="348"/>
        <v>36.155606407322658</v>
      </c>
      <c r="DT110" s="771">
        <f t="shared" si="348"/>
        <v>32.494279176201374</v>
      </c>
      <c r="DU110" s="771">
        <f t="shared" si="348"/>
        <v>45.766590389016017</v>
      </c>
      <c r="DV110" s="771">
        <f t="shared" si="348"/>
        <v>31.121281464530892</v>
      </c>
      <c r="DW110" s="771">
        <f t="shared" si="348"/>
        <v>33.638443935926773</v>
      </c>
      <c r="DX110" s="191">
        <f t="shared" ref="DX110:EC110" si="349">(DX26/$B$26)*100</f>
        <v>40.961098398169341</v>
      </c>
      <c r="DY110" s="191">
        <f t="shared" si="349"/>
        <v>66.590389016018321</v>
      </c>
      <c r="DZ110" s="771">
        <f t="shared" si="349"/>
        <v>47.597254004576662</v>
      </c>
      <c r="EA110" s="771">
        <f t="shared" si="349"/>
        <v>45.766590389016017</v>
      </c>
      <c r="EB110" s="771">
        <f t="shared" si="349"/>
        <v>33.409610983981693</v>
      </c>
      <c r="EC110" s="771">
        <f t="shared" si="349"/>
        <v>21.510297482837533</v>
      </c>
    </row>
    <row r="111" spans="1:138">
      <c r="A111" s="192" t="s">
        <v>41</v>
      </c>
      <c r="B111" s="191">
        <f t="shared" ref="B111:AG111" si="350">(B27/$B$27)*100</f>
        <v>100</v>
      </c>
      <c r="C111" s="191">
        <f t="shared" si="350"/>
        <v>81.165717067025497</v>
      </c>
      <c r="D111" s="191">
        <f t="shared" si="350"/>
        <v>11.027762666895715</v>
      </c>
      <c r="E111" s="191">
        <f t="shared" si="350"/>
        <v>0</v>
      </c>
      <c r="F111" s="191">
        <f t="shared" si="350"/>
        <v>25.700985865758103</v>
      </c>
      <c r="G111" s="191">
        <f t="shared" si="350"/>
        <v>1112.1694295721552</v>
      </c>
      <c r="H111" s="191">
        <f t="shared" si="350"/>
        <v>0</v>
      </c>
      <c r="I111" s="191">
        <f t="shared" si="350"/>
        <v>0</v>
      </c>
      <c r="J111" s="191">
        <f t="shared" si="350"/>
        <v>0</v>
      </c>
      <c r="K111" s="191">
        <f t="shared" si="350"/>
        <v>192.82980693064582</v>
      </c>
      <c r="L111" s="191">
        <f t="shared" si="350"/>
        <v>0</v>
      </c>
      <c r="M111" s="191">
        <f t="shared" si="350"/>
        <v>149.48440079785456</v>
      </c>
      <c r="N111" s="191">
        <f t="shared" si="350"/>
        <v>97.044311468682281</v>
      </c>
      <c r="O111" s="191">
        <f t="shared" si="350"/>
        <v>0</v>
      </c>
      <c r="P111" s="191">
        <f t="shared" si="350"/>
        <v>330.46043652952341</v>
      </c>
      <c r="Q111" s="191">
        <f t="shared" si="350"/>
        <v>234.2197058627041</v>
      </c>
      <c r="R111" s="191">
        <f t="shared" si="350"/>
        <v>41.905498134203711</v>
      </c>
      <c r="S111" s="191">
        <f t="shared" si="350"/>
        <v>344.41287065403077</v>
      </c>
      <c r="T111" s="191">
        <f t="shared" si="350"/>
        <v>0</v>
      </c>
      <c r="U111" s="191">
        <f t="shared" si="350"/>
        <v>0</v>
      </c>
      <c r="V111" s="191">
        <f t="shared" si="350"/>
        <v>0</v>
      </c>
      <c r="W111" s="191">
        <f t="shared" si="350"/>
        <v>0</v>
      </c>
      <c r="X111" s="191">
        <f t="shared" si="350"/>
        <v>41.791689332989748</v>
      </c>
      <c r="Y111" s="191">
        <f t="shared" si="350"/>
        <v>0</v>
      </c>
      <c r="Z111" s="191">
        <f t="shared" si="350"/>
        <v>330.46043652952341</v>
      </c>
      <c r="AA111" s="191">
        <f t="shared" si="350"/>
        <v>234.2197058627041</v>
      </c>
      <c r="AB111" s="191">
        <f t="shared" si="350"/>
        <v>5.6389039997709505</v>
      </c>
      <c r="AC111" s="191">
        <f t="shared" si="350"/>
        <v>0</v>
      </c>
      <c r="AD111" s="191">
        <f t="shared" si="350"/>
        <v>145.56646720302345</v>
      </c>
      <c r="AE111" s="191">
        <f t="shared" si="350"/>
        <v>0</v>
      </c>
      <c r="AF111" s="191">
        <f t="shared" si="350"/>
        <v>0</v>
      </c>
      <c r="AG111" s="191">
        <f t="shared" si="350"/>
        <v>0</v>
      </c>
      <c r="AH111" s="191">
        <f t="shared" ref="AH111:BM111" si="351">(AH27/$B$27)*100</f>
        <v>0</v>
      </c>
      <c r="AI111" s="191">
        <f t="shared" si="351"/>
        <v>97.044311468682281</v>
      </c>
      <c r="AJ111" s="191">
        <f t="shared" si="351"/>
        <v>313.18845973983827</v>
      </c>
      <c r="AK111" s="191">
        <f t="shared" si="351"/>
        <v>98.468710930416776</v>
      </c>
      <c r="AL111" s="191">
        <f t="shared" si="351"/>
        <v>598.74977333676907</v>
      </c>
      <c r="AM111" s="191">
        <f t="shared" si="351"/>
        <v>83.810996268407422</v>
      </c>
      <c r="AN111" s="191">
        <f t="shared" si="351"/>
        <v>0</v>
      </c>
      <c r="AO111" s="191">
        <f t="shared" si="351"/>
        <v>0</v>
      </c>
      <c r="AP111" s="191">
        <f t="shared" si="351"/>
        <v>0</v>
      </c>
      <c r="AQ111" s="191">
        <f t="shared" si="351"/>
        <v>0</v>
      </c>
      <c r="AR111" s="191">
        <f t="shared" si="351"/>
        <v>0</v>
      </c>
      <c r="AS111" s="191">
        <f t="shared" si="351"/>
        <v>0</v>
      </c>
      <c r="AT111" s="191">
        <f t="shared" si="351"/>
        <v>0</v>
      </c>
      <c r="AU111" s="191">
        <f t="shared" si="351"/>
        <v>0</v>
      </c>
      <c r="AV111" s="191">
        <f t="shared" si="351"/>
        <v>0</v>
      </c>
      <c r="AW111" s="191">
        <f t="shared" si="351"/>
        <v>0</v>
      </c>
      <c r="AX111" s="191">
        <f t="shared" si="351"/>
        <v>330.46043652952341</v>
      </c>
      <c r="AY111" s="191">
        <f t="shared" si="351"/>
        <v>0</v>
      </c>
      <c r="AZ111" s="191">
        <f t="shared" si="351"/>
        <v>0</v>
      </c>
      <c r="BA111" s="191">
        <f t="shared" si="351"/>
        <v>63.961023467995147</v>
      </c>
      <c r="BB111" s="191">
        <f t="shared" si="351"/>
        <v>13.233315200274859</v>
      </c>
      <c r="BC111" s="191">
        <f t="shared" si="351"/>
        <v>64.862904534218984</v>
      </c>
      <c r="BD111" s="191">
        <f t="shared" si="351"/>
        <v>0</v>
      </c>
      <c r="BE111" s="191">
        <f t="shared" si="351"/>
        <v>8.8222101335165704</v>
      </c>
      <c r="BF111" s="191">
        <f t="shared" si="351"/>
        <v>65.938958398946383</v>
      </c>
      <c r="BG111" s="191">
        <f t="shared" si="351"/>
        <v>208.17729359330411</v>
      </c>
      <c r="BH111" s="191">
        <f t="shared" si="351"/>
        <v>183.68167893034041</v>
      </c>
      <c r="BI111" s="191">
        <f t="shared" si="351"/>
        <v>52.205552533379141</v>
      </c>
      <c r="BJ111" s="191">
        <f t="shared" si="351"/>
        <v>452.22798026359737</v>
      </c>
      <c r="BK111" s="191">
        <f t="shared" si="351"/>
        <v>319.80511733997571</v>
      </c>
      <c r="BL111" s="191">
        <f t="shared" si="351"/>
        <v>714.72499785266405</v>
      </c>
      <c r="BM111" s="191">
        <f t="shared" si="351"/>
        <v>1583.6559108998767</v>
      </c>
      <c r="BN111" s="191">
        <f t="shared" ref="BN111:CS111" si="352">(BN27/$B$27)*100</f>
        <v>657.67720292801164</v>
      </c>
      <c r="BO111" s="191">
        <f t="shared" si="352"/>
        <v>296.14934959582365</v>
      </c>
      <c r="BP111" s="191">
        <f t="shared" si="352"/>
        <v>797.12018400282489</v>
      </c>
      <c r="BQ111" s="191">
        <f t="shared" si="352"/>
        <v>325.41992345940577</v>
      </c>
      <c r="BR111" s="191">
        <f t="shared" si="352"/>
        <v>1048.7877096038403</v>
      </c>
      <c r="BS111" s="191">
        <f t="shared" si="352"/>
        <v>856.55629360284775</v>
      </c>
      <c r="BT111" s="191">
        <f t="shared" si="352"/>
        <v>226.31488533226442</v>
      </c>
      <c r="BU111" s="191">
        <f t="shared" si="352"/>
        <v>635.88723146371956</v>
      </c>
      <c r="BV111" s="191">
        <f t="shared" si="352"/>
        <v>66.166576001374295</v>
      </c>
      <c r="BW111" s="191">
        <f t="shared" si="352"/>
        <v>59.549918401236859</v>
      </c>
      <c r="BX111" s="191">
        <f t="shared" si="352"/>
        <v>0</v>
      </c>
      <c r="BY111" s="191">
        <f t="shared" si="352"/>
        <v>0</v>
      </c>
      <c r="BZ111" s="191">
        <f t="shared" si="352"/>
        <v>0</v>
      </c>
      <c r="CA111" s="191">
        <f t="shared" si="352"/>
        <v>26.466630400549718</v>
      </c>
      <c r="CB111" s="191">
        <f t="shared" si="352"/>
        <v>86.690812265582508</v>
      </c>
      <c r="CC111" s="191">
        <f t="shared" si="352"/>
        <v>0.93981733329515837</v>
      </c>
      <c r="CD111" s="191">
        <f t="shared" si="352"/>
        <v>50.727708267720281</v>
      </c>
      <c r="CE111" s="191">
        <f t="shared" si="352"/>
        <v>68.182447199396833</v>
      </c>
      <c r="CF111" s="191">
        <f t="shared" si="352"/>
        <v>183.73512373426479</v>
      </c>
      <c r="CG111" s="191">
        <f t="shared" si="352"/>
        <v>154.38867733654001</v>
      </c>
      <c r="CH111" s="191">
        <f t="shared" si="352"/>
        <v>453.09192506274991</v>
      </c>
      <c r="CI111" s="191">
        <f t="shared" si="352"/>
        <v>496.98227732127009</v>
      </c>
      <c r="CJ111" s="191">
        <f t="shared" si="352"/>
        <v>1163.5816607972818</v>
      </c>
      <c r="CK111" s="191">
        <f t="shared" si="352"/>
        <v>626.23209360475653</v>
      </c>
      <c r="CL111" s="191">
        <f t="shared" si="352"/>
        <v>629.42923812523247</v>
      </c>
      <c r="CM111" s="191">
        <f t="shared" si="352"/>
        <v>1013.9369255876542</v>
      </c>
      <c r="CN111" s="191">
        <f t="shared" si="352"/>
        <v>374.11625199225051</v>
      </c>
      <c r="CO111" s="191">
        <f t="shared" si="352"/>
        <v>525.42851280289358</v>
      </c>
      <c r="CP111" s="771">
        <f t="shared" si="352"/>
        <v>305.13881333447853</v>
      </c>
      <c r="CQ111" s="771">
        <f t="shared" si="352"/>
        <v>1954.3834282932974</v>
      </c>
      <c r="CR111" s="771">
        <f t="shared" si="352"/>
        <v>183.12814346112367</v>
      </c>
      <c r="CS111" s="771">
        <f t="shared" si="352"/>
        <v>0</v>
      </c>
      <c r="CT111" s="191">
        <f t="shared" ref="CT111:CY111" si="353">(CT27/$B$27)*100</f>
        <v>6.6166576001374295</v>
      </c>
      <c r="CU111" s="191">
        <f t="shared" si="353"/>
        <v>46.990866664757917</v>
      </c>
      <c r="CV111" s="771">
        <f t="shared" si="353"/>
        <v>0</v>
      </c>
      <c r="CW111" s="771">
        <f t="shared" si="353"/>
        <v>0</v>
      </c>
      <c r="CX111" s="771">
        <f t="shared" si="353"/>
        <v>0</v>
      </c>
      <c r="CY111" s="771">
        <f t="shared" si="353"/>
        <v>0</v>
      </c>
      <c r="CZ111" s="191">
        <f t="shared" si="311"/>
        <v>0</v>
      </c>
      <c r="DA111" s="191">
        <f t="shared" ref="DA111:DW111" si="354">(DA27/$B$27)*100</f>
        <v>0</v>
      </c>
      <c r="DB111" s="771">
        <f t="shared" si="354"/>
        <v>0</v>
      </c>
      <c r="DC111" s="771">
        <f t="shared" si="354"/>
        <v>8.8222101335165704</v>
      </c>
      <c r="DD111" s="771">
        <f t="shared" si="354"/>
        <v>264.55249520428322</v>
      </c>
      <c r="DE111" s="771">
        <f t="shared" si="354"/>
        <v>101.37954400129794</v>
      </c>
      <c r="DF111" s="191">
        <f t="shared" si="354"/>
        <v>881.36064744562464</v>
      </c>
      <c r="DG111" s="191">
        <f t="shared" si="354"/>
        <v>241.16228132963036</v>
      </c>
      <c r="DH111" s="771">
        <f t="shared" si="354"/>
        <v>242.94361573185975</v>
      </c>
      <c r="DI111" s="771">
        <f t="shared" si="354"/>
        <v>477.70134852692757</v>
      </c>
      <c r="DJ111" s="771">
        <f t="shared" si="354"/>
        <v>46.126921865605397</v>
      </c>
      <c r="DK111" s="771">
        <f t="shared" si="354"/>
        <v>40.927744533837242</v>
      </c>
      <c r="DL111" s="191">
        <f t="shared" si="354"/>
        <v>1065.2957120088565</v>
      </c>
      <c r="DM111" s="191">
        <f t="shared" si="354"/>
        <v>252.31936133459308</v>
      </c>
      <c r="DN111" s="771">
        <f t="shared" si="354"/>
        <v>354.21911733361327</v>
      </c>
      <c r="DO111" s="771">
        <f t="shared" si="354"/>
        <v>372.76503426723883</v>
      </c>
      <c r="DP111" s="771">
        <f t="shared" si="354"/>
        <v>355.27564855729071</v>
      </c>
      <c r="DQ111" s="771">
        <f t="shared" si="354"/>
        <v>406.80043633923833</v>
      </c>
      <c r="DR111" s="191">
        <f t="shared" si="354"/>
        <v>8.4583559996564261</v>
      </c>
      <c r="DS111" s="191">
        <f t="shared" si="354"/>
        <v>7.518538666361267</v>
      </c>
      <c r="DT111" s="771">
        <f t="shared" si="354"/>
        <v>0</v>
      </c>
      <c r="DU111" s="771">
        <f t="shared" si="354"/>
        <v>0</v>
      </c>
      <c r="DV111" s="771">
        <f t="shared" si="354"/>
        <v>0.93981733329515837</v>
      </c>
      <c r="DW111" s="771">
        <f t="shared" si="354"/>
        <v>0</v>
      </c>
      <c r="DX111" s="191">
        <f t="shared" ref="DX111:EC111" si="355">(DX27/$B$27)*100</f>
        <v>59.898263998243948</v>
      </c>
      <c r="DY111" s="191">
        <f t="shared" si="355"/>
        <v>6.5787213330661096</v>
      </c>
      <c r="DZ111" s="771">
        <f t="shared" si="355"/>
        <v>18.796346665903169</v>
      </c>
      <c r="EA111" s="771">
        <f t="shared" si="355"/>
        <v>96.126921865605411</v>
      </c>
      <c r="EB111" s="771">
        <f t="shared" si="355"/>
        <v>23.495433332378958</v>
      </c>
      <c r="EC111" s="771">
        <f t="shared" si="355"/>
        <v>162.15726133554745</v>
      </c>
    </row>
    <row r="112" spans="1:138">
      <c r="A112" s="192" t="s">
        <v>43</v>
      </c>
      <c r="B112" s="191">
        <f t="shared" ref="B112:AG112" si="356">(B28/$B$28)*100</f>
        <v>100</v>
      </c>
      <c r="C112" s="191">
        <f t="shared" si="356"/>
        <v>13.599999999999998</v>
      </c>
      <c r="D112" s="191">
        <f t="shared" si="356"/>
        <v>242.4</v>
      </c>
      <c r="E112" s="191">
        <f t="shared" si="356"/>
        <v>141.8063429018475</v>
      </c>
      <c r="F112" s="191">
        <f t="shared" si="356"/>
        <v>0</v>
      </c>
      <c r="G112" s="191">
        <f t="shared" si="356"/>
        <v>0</v>
      </c>
      <c r="H112" s="191">
        <f t="shared" si="356"/>
        <v>0</v>
      </c>
      <c r="I112" s="191">
        <f t="shared" si="356"/>
        <v>8</v>
      </c>
      <c r="J112" s="191">
        <f t="shared" si="356"/>
        <v>52.800000000000004</v>
      </c>
      <c r="K112" s="191">
        <f t="shared" si="356"/>
        <v>65.599999999999994</v>
      </c>
      <c r="L112" s="191">
        <f t="shared" si="356"/>
        <v>0</v>
      </c>
      <c r="M112" s="191">
        <f t="shared" si="356"/>
        <v>61.918479736280787</v>
      </c>
      <c r="N112" s="191">
        <f t="shared" si="356"/>
        <v>284.76552713753654</v>
      </c>
      <c r="O112" s="191">
        <f t="shared" si="356"/>
        <v>0</v>
      </c>
      <c r="P112" s="191">
        <f t="shared" si="356"/>
        <v>805.20899266480797</v>
      </c>
      <c r="Q112" s="191">
        <f t="shared" si="356"/>
        <v>1444.3230480164223</v>
      </c>
      <c r="R112" s="191">
        <f t="shared" si="356"/>
        <v>86.967723816974583</v>
      </c>
      <c r="S112" s="191">
        <f t="shared" si="356"/>
        <v>1574.943587891918</v>
      </c>
      <c r="T112" s="191">
        <f t="shared" si="356"/>
        <v>0</v>
      </c>
      <c r="U112" s="191">
        <f t="shared" si="356"/>
        <v>0</v>
      </c>
      <c r="V112" s="191">
        <f t="shared" si="356"/>
        <v>0</v>
      </c>
      <c r="W112" s="191">
        <f t="shared" si="356"/>
        <v>0</v>
      </c>
      <c r="X112" s="191">
        <f t="shared" si="356"/>
        <v>276.85148141461553</v>
      </c>
      <c r="Y112" s="191">
        <f t="shared" si="356"/>
        <v>0</v>
      </c>
      <c r="Z112" s="191">
        <f t="shared" si="356"/>
        <v>805.20899266480797</v>
      </c>
      <c r="AA112" s="191">
        <f t="shared" si="356"/>
        <v>726.07857281365136</v>
      </c>
      <c r="AB112" s="191">
        <f t="shared" si="356"/>
        <v>124.31847973628078</v>
      </c>
      <c r="AC112" s="191">
        <f t="shared" si="356"/>
        <v>0</v>
      </c>
      <c r="AD112" s="191">
        <f t="shared" si="356"/>
        <v>121.31949583090945</v>
      </c>
      <c r="AE112" s="191">
        <f t="shared" si="356"/>
        <v>0</v>
      </c>
      <c r="AF112" s="191">
        <f t="shared" si="356"/>
        <v>0</v>
      </c>
      <c r="AG112" s="191">
        <f t="shared" si="356"/>
        <v>0</v>
      </c>
      <c r="AH112" s="191">
        <f t="shared" ref="AH112:BM112" si="357">(AH28/$B$28)*100</f>
        <v>0</v>
      </c>
      <c r="AI112" s="191">
        <f t="shared" si="357"/>
        <v>0</v>
      </c>
      <c r="AJ112" s="191">
        <f t="shared" si="357"/>
        <v>80</v>
      </c>
      <c r="AK112" s="191">
        <f t="shared" si="357"/>
        <v>0</v>
      </c>
      <c r="AL112" s="191">
        <f t="shared" si="357"/>
        <v>228.5269955132963</v>
      </c>
      <c r="AM112" s="191">
        <f t="shared" si="357"/>
        <v>185.29022353279441</v>
      </c>
      <c r="AN112" s="191">
        <f t="shared" si="357"/>
        <v>0</v>
      </c>
      <c r="AO112" s="191">
        <f t="shared" si="357"/>
        <v>0</v>
      </c>
      <c r="AP112" s="191">
        <f t="shared" si="357"/>
        <v>0</v>
      </c>
      <c r="AQ112" s="191">
        <f t="shared" si="357"/>
        <v>0</v>
      </c>
      <c r="AR112" s="191">
        <f t="shared" si="357"/>
        <v>0</v>
      </c>
      <c r="AS112" s="191">
        <f t="shared" si="357"/>
        <v>0</v>
      </c>
      <c r="AT112" s="191">
        <f t="shared" si="357"/>
        <v>0</v>
      </c>
      <c r="AU112" s="191">
        <f t="shared" si="357"/>
        <v>0</v>
      </c>
      <c r="AV112" s="191">
        <f t="shared" si="357"/>
        <v>0</v>
      </c>
      <c r="AW112" s="191">
        <f t="shared" si="357"/>
        <v>0</v>
      </c>
      <c r="AX112" s="191">
        <f t="shared" si="357"/>
        <v>805.20899266480797</v>
      </c>
      <c r="AY112" s="191">
        <f t="shared" si="357"/>
        <v>0</v>
      </c>
      <c r="AZ112" s="191">
        <f t="shared" si="357"/>
        <v>111.99999999999999</v>
      </c>
      <c r="BA112" s="191">
        <f t="shared" si="357"/>
        <v>49.6</v>
      </c>
      <c r="BB112" s="191">
        <f t="shared" si="357"/>
        <v>0</v>
      </c>
      <c r="BC112" s="191">
        <f t="shared" si="357"/>
        <v>0</v>
      </c>
      <c r="BD112" s="191">
        <f t="shared" si="357"/>
        <v>0</v>
      </c>
      <c r="BE112" s="191">
        <f t="shared" si="357"/>
        <v>10.4</v>
      </c>
      <c r="BF112" s="191">
        <f t="shared" si="357"/>
        <v>16.8</v>
      </c>
      <c r="BG112" s="191">
        <f t="shared" si="357"/>
        <v>48.8</v>
      </c>
      <c r="BH112" s="191">
        <f t="shared" si="357"/>
        <v>67.2</v>
      </c>
      <c r="BI112" s="191">
        <f t="shared" si="357"/>
        <v>0</v>
      </c>
      <c r="BJ112" s="191">
        <f t="shared" si="357"/>
        <v>718.74600175188721</v>
      </c>
      <c r="BK112" s="191">
        <f t="shared" si="357"/>
        <v>120</v>
      </c>
      <c r="BL112" s="191">
        <f t="shared" si="357"/>
        <v>1835.7160690858759</v>
      </c>
      <c r="BM112" s="191">
        <f t="shared" si="357"/>
        <v>841.54760920877538</v>
      </c>
      <c r="BN112" s="191">
        <f t="shared" ref="BN112:CS112" si="358">(BN28/$B$28)*100</f>
        <v>1376.7482083274826</v>
      </c>
      <c r="BO112" s="191">
        <f t="shared" si="358"/>
        <v>107.25152955808311</v>
      </c>
      <c r="BP112" s="191">
        <f t="shared" si="358"/>
        <v>952.5465096654699</v>
      </c>
      <c r="BQ112" s="191">
        <f t="shared" si="358"/>
        <v>1264.8057793558137</v>
      </c>
      <c r="BR112" s="191">
        <f t="shared" si="358"/>
        <v>2682.4410984734513</v>
      </c>
      <c r="BS112" s="191">
        <f t="shared" si="358"/>
        <v>1418.9098564388544</v>
      </c>
      <c r="BT112" s="191">
        <f t="shared" si="358"/>
        <v>321.73951548949208</v>
      </c>
      <c r="BU112" s="191">
        <f t="shared" si="358"/>
        <v>1018.4650664312986</v>
      </c>
      <c r="BV112" s="191">
        <f t="shared" si="358"/>
        <v>338.86444003129321</v>
      </c>
      <c r="BW112" s="191">
        <f t="shared" si="358"/>
        <v>417.49675365923781</v>
      </c>
      <c r="BX112" s="191">
        <f t="shared" si="358"/>
        <v>242.4</v>
      </c>
      <c r="BY112" s="191">
        <f t="shared" si="358"/>
        <v>141.8063429018475</v>
      </c>
      <c r="BZ112" s="191">
        <f t="shared" si="358"/>
        <v>0</v>
      </c>
      <c r="CA112" s="191">
        <f t="shared" si="358"/>
        <v>0</v>
      </c>
      <c r="CB112" s="191">
        <f t="shared" si="358"/>
        <v>3.2</v>
      </c>
      <c r="CC112" s="191">
        <f t="shared" si="358"/>
        <v>20</v>
      </c>
      <c r="CD112" s="191">
        <f t="shared" si="358"/>
        <v>20.774179053579665</v>
      </c>
      <c r="CE112" s="191">
        <f t="shared" si="358"/>
        <v>9.6</v>
      </c>
      <c r="CF112" s="191">
        <f t="shared" si="358"/>
        <v>105.35422438867825</v>
      </c>
      <c r="CG112" s="191">
        <f t="shared" si="358"/>
        <v>209.60000000000002</v>
      </c>
      <c r="CH112" s="191">
        <f t="shared" si="358"/>
        <v>228.06329903111271</v>
      </c>
      <c r="CI112" s="191">
        <f t="shared" si="358"/>
        <v>398.43115203305854</v>
      </c>
      <c r="CJ112" s="191">
        <f t="shared" si="358"/>
        <v>870.09694008144277</v>
      </c>
      <c r="CK112" s="191">
        <f t="shared" si="358"/>
        <v>2322.5522809973722</v>
      </c>
      <c r="CL112" s="191">
        <f t="shared" si="358"/>
        <v>1018.0295146202349</v>
      </c>
      <c r="CM112" s="191">
        <f t="shared" si="358"/>
        <v>1367.9220418179509</v>
      </c>
      <c r="CN112" s="191">
        <f t="shared" si="358"/>
        <v>1534.4847999037131</v>
      </c>
      <c r="CO112" s="191">
        <f t="shared" si="358"/>
        <v>2069.9666788362656</v>
      </c>
      <c r="CP112" s="771">
        <f t="shared" si="358"/>
        <v>616.24367548628243</v>
      </c>
      <c r="CQ112" s="771">
        <f t="shared" si="358"/>
        <v>1277.7940042660462</v>
      </c>
      <c r="CR112" s="771">
        <f t="shared" si="358"/>
        <v>381.5873725033934</v>
      </c>
      <c r="CS112" s="771">
        <f t="shared" si="358"/>
        <v>199.9522598677392</v>
      </c>
      <c r="CT112" s="191">
        <f t="shared" ref="CT112:CY112" si="359">(CT28/$B$28)*100</f>
        <v>248.29670498084292</v>
      </c>
      <c r="CU112" s="191">
        <f t="shared" si="359"/>
        <v>96.786794781783044</v>
      </c>
      <c r="CV112" s="771">
        <f t="shared" si="359"/>
        <v>59.546527050610806</v>
      </c>
      <c r="CW112" s="771">
        <f t="shared" si="359"/>
        <v>100.6796199340702</v>
      </c>
      <c r="CX112" s="771">
        <f t="shared" si="359"/>
        <v>0.61592398681403915</v>
      </c>
      <c r="CY112" s="771">
        <f t="shared" si="359"/>
        <v>5.6</v>
      </c>
      <c r="CZ112" s="191">
        <f t="shared" si="311"/>
        <v>0</v>
      </c>
      <c r="DA112" s="191">
        <f t="shared" ref="DA112:DW112" si="360">(DA28/$B$28)*100</f>
        <v>0</v>
      </c>
      <c r="DB112" s="771">
        <f t="shared" si="360"/>
        <v>0</v>
      </c>
      <c r="DC112" s="771">
        <f t="shared" si="360"/>
        <v>0</v>
      </c>
      <c r="DD112" s="771">
        <f t="shared" si="360"/>
        <v>15.2</v>
      </c>
      <c r="DE112" s="771">
        <f t="shared" si="360"/>
        <v>8</v>
      </c>
      <c r="DF112" s="191">
        <f t="shared" si="360"/>
        <v>17.787581927477216</v>
      </c>
      <c r="DG112" s="191">
        <f t="shared" si="360"/>
        <v>74.475712556752455</v>
      </c>
      <c r="DH112" s="771">
        <f t="shared" si="360"/>
        <v>249.89334884622841</v>
      </c>
      <c r="DI112" s="771">
        <f t="shared" si="360"/>
        <v>532.49144851657945</v>
      </c>
      <c r="DJ112" s="771">
        <f t="shared" si="360"/>
        <v>758.27916845533025</v>
      </c>
      <c r="DK112" s="771">
        <f t="shared" si="360"/>
        <v>566.07793304046061</v>
      </c>
      <c r="DL112" s="191">
        <f t="shared" si="360"/>
        <v>430.98889303457639</v>
      </c>
      <c r="DM112" s="191">
        <f t="shared" si="360"/>
        <v>674.39776293354191</v>
      </c>
      <c r="DN112" s="771">
        <f t="shared" si="360"/>
        <v>535.35475913778612</v>
      </c>
      <c r="DO112" s="771">
        <f t="shared" si="360"/>
        <v>582.93166085304586</v>
      </c>
      <c r="DP112" s="771">
        <f t="shared" si="360"/>
        <v>591.33836290912348</v>
      </c>
      <c r="DQ112" s="771">
        <f t="shared" si="360"/>
        <v>563.51489531808886</v>
      </c>
      <c r="DR112" s="191">
        <f t="shared" si="360"/>
        <v>10.658059684526556</v>
      </c>
      <c r="DS112" s="191">
        <f t="shared" si="360"/>
        <v>0</v>
      </c>
      <c r="DT112" s="771">
        <f t="shared" si="360"/>
        <v>0</v>
      </c>
      <c r="DU112" s="771">
        <f t="shared" si="360"/>
        <v>3.7935447633949169</v>
      </c>
      <c r="DV112" s="771">
        <f t="shared" si="360"/>
        <v>32.163463120097887</v>
      </c>
      <c r="DW112" s="771">
        <f t="shared" si="360"/>
        <v>8.8516044479214742</v>
      </c>
      <c r="DX112" s="191">
        <f t="shared" ref="DX112:EC112" si="361">(DX28/$B$28)*100</f>
        <v>8.8516044479214742</v>
      </c>
      <c r="DY112" s="191">
        <f t="shared" si="361"/>
        <v>18.400000000000002</v>
      </c>
      <c r="DZ112" s="771">
        <f t="shared" si="361"/>
        <v>22.845641612003771</v>
      </c>
      <c r="EA112" s="771">
        <f t="shared" si="361"/>
        <v>56.800000000000004</v>
      </c>
      <c r="EB112" s="771">
        <f t="shared" si="361"/>
        <v>43.999999999999993</v>
      </c>
      <c r="EC112" s="771">
        <f t="shared" si="361"/>
        <v>145.3161193690531</v>
      </c>
    </row>
    <row r="113" spans="1:138">
      <c r="A113" s="212"/>
      <c r="B113" s="213">
        <f t="shared" ref="B113:AG113" si="362">SUM(B91*$B$91,B92*$B$92,B93*$B$93,B94*$B$94,B95*$B$95,B96*$B$96,B99*$B$99,B100*$B$100,B101*$B$101,B104*$B$104,B105*$B$105,B106*$B$106,B107*$B$107,B108*$B$108,B109*$B$109,B110*$B$110,B111*$B$111,B112*$B$112,B97*$B$97,B102*$B$102)</f>
        <v>200000</v>
      </c>
      <c r="C113" s="213">
        <f t="shared" si="362"/>
        <v>182184.39977678203</v>
      </c>
      <c r="D113" s="213">
        <f t="shared" si="362"/>
        <v>202569.50477109192</v>
      </c>
      <c r="E113" s="213">
        <f t="shared" si="362"/>
        <v>76942.301130612803</v>
      </c>
      <c r="F113" s="213">
        <f t="shared" si="362"/>
        <v>393180.19274434348</v>
      </c>
      <c r="G113" s="213">
        <f t="shared" si="362"/>
        <v>720028.64699335501</v>
      </c>
      <c r="H113" s="213">
        <f t="shared" si="362"/>
        <v>245012.17020643794</v>
      </c>
      <c r="I113" s="213">
        <f t="shared" si="362"/>
        <v>243159.80334336066</v>
      </c>
      <c r="J113" s="213">
        <f t="shared" si="362"/>
        <v>409790.90899095999</v>
      </c>
      <c r="K113" s="213">
        <f t="shared" si="362"/>
        <v>420411.25382731744</v>
      </c>
      <c r="L113" s="213">
        <f t="shared" si="362"/>
        <v>0</v>
      </c>
      <c r="M113" s="213">
        <f t="shared" si="362"/>
        <v>532726.42939508811</v>
      </c>
      <c r="N113" s="213">
        <f t="shared" si="362"/>
        <v>2034328.043345327</v>
      </c>
      <c r="O113" s="213">
        <f t="shared" si="362"/>
        <v>0</v>
      </c>
      <c r="P113" s="213">
        <f t="shared" si="362"/>
        <v>1723374.4109493373</v>
      </c>
      <c r="Q113" s="213">
        <f t="shared" si="362"/>
        <v>769254.70486067992</v>
      </c>
      <c r="R113" s="213">
        <f t="shared" si="362"/>
        <v>213111.59484368117</v>
      </c>
      <c r="S113" s="213">
        <f t="shared" si="362"/>
        <v>1252991.9446406134</v>
      </c>
      <c r="T113" s="213">
        <f t="shared" si="362"/>
        <v>0</v>
      </c>
      <c r="U113" s="213">
        <f t="shared" si="362"/>
        <v>0</v>
      </c>
      <c r="V113" s="213">
        <f t="shared" si="362"/>
        <v>0</v>
      </c>
      <c r="W113" s="213">
        <f t="shared" si="362"/>
        <v>0</v>
      </c>
      <c r="X113" s="213">
        <f t="shared" si="362"/>
        <v>749215.6924738331</v>
      </c>
      <c r="Y113" s="213">
        <f t="shared" si="362"/>
        <v>0</v>
      </c>
      <c r="Z113" s="213">
        <f t="shared" si="362"/>
        <v>1723374.4109493373</v>
      </c>
      <c r="AA113" s="213">
        <f t="shared" si="362"/>
        <v>3935938.179063064</v>
      </c>
      <c r="AB113" s="213">
        <f t="shared" si="362"/>
        <v>1018465.6695217395</v>
      </c>
      <c r="AC113" s="213">
        <f t="shared" si="362"/>
        <v>0</v>
      </c>
      <c r="AD113" s="213">
        <f t="shared" si="362"/>
        <v>1473315.5736287124</v>
      </c>
      <c r="AE113" s="213">
        <f t="shared" si="362"/>
        <v>617888.0990772061</v>
      </c>
      <c r="AF113" s="213">
        <f t="shared" si="362"/>
        <v>0</v>
      </c>
      <c r="AG113" s="213">
        <f t="shared" si="362"/>
        <v>828648.7001925701</v>
      </c>
      <c r="AH113" s="213">
        <f t="shared" ref="AH113:BM113" si="363">SUM(AH91*$B$91,AH92*$B$92,AH93*$B$93,AH94*$B$94,AH95*$B$95,AH96*$B$96,AH99*$B$99,AH100*$B$100,AH101*$B$101,AH104*$B$104,AH105*$B$105,AH106*$B$106,AH107*$B$107,AH108*$B$108,AH109*$B$109,AH110*$B$110,AH111*$B$111,AH112*$B$112,AH97*$B$97,AH102*$B$102)</f>
        <v>917682.64600679197</v>
      </c>
      <c r="AI113" s="213">
        <f t="shared" si="363"/>
        <v>729470.6356770359</v>
      </c>
      <c r="AJ113" s="213">
        <f t="shared" si="363"/>
        <v>2149316.2184043163</v>
      </c>
      <c r="AK113" s="213">
        <f t="shared" si="363"/>
        <v>1093424.5274372171</v>
      </c>
      <c r="AL113" s="213">
        <f t="shared" si="363"/>
        <v>1516020.4569176708</v>
      </c>
      <c r="AM113" s="213">
        <f t="shared" si="363"/>
        <v>922248.38931411842</v>
      </c>
      <c r="AN113" s="213">
        <f t="shared" si="363"/>
        <v>0</v>
      </c>
      <c r="AO113" s="213">
        <f t="shared" si="363"/>
        <v>0</v>
      </c>
      <c r="AP113" s="213">
        <f t="shared" si="363"/>
        <v>0</v>
      </c>
      <c r="AQ113" s="213">
        <f t="shared" si="363"/>
        <v>0</v>
      </c>
      <c r="AR113" s="213">
        <f t="shared" si="363"/>
        <v>0</v>
      </c>
      <c r="AS113" s="213">
        <f t="shared" si="363"/>
        <v>0</v>
      </c>
      <c r="AT113" s="213">
        <f t="shared" si="363"/>
        <v>0</v>
      </c>
      <c r="AU113" s="213">
        <f t="shared" si="363"/>
        <v>0</v>
      </c>
      <c r="AV113" s="213">
        <f t="shared" si="363"/>
        <v>0</v>
      </c>
      <c r="AW113" s="213">
        <f t="shared" si="363"/>
        <v>0</v>
      </c>
      <c r="AX113" s="213">
        <f t="shared" si="363"/>
        <v>1185392.8860783149</v>
      </c>
      <c r="AY113" s="213">
        <f t="shared" si="363"/>
        <v>0</v>
      </c>
      <c r="AZ113" s="213">
        <f t="shared" si="363"/>
        <v>918095.33477903903</v>
      </c>
      <c r="BA113" s="213">
        <f t="shared" si="363"/>
        <v>454787.61573365785</v>
      </c>
      <c r="BB113" s="213">
        <f t="shared" si="363"/>
        <v>352100.40229743178</v>
      </c>
      <c r="BC113" s="213">
        <f t="shared" si="363"/>
        <v>542603.81162725028</v>
      </c>
      <c r="BD113" s="213">
        <f t="shared" si="363"/>
        <v>370197.49042757507</v>
      </c>
      <c r="BE113" s="213">
        <f t="shared" si="363"/>
        <v>910261.63474015961</v>
      </c>
      <c r="BF113" s="213">
        <f t="shared" si="363"/>
        <v>1034481.1580732921</v>
      </c>
      <c r="BG113" s="213">
        <f t="shared" si="363"/>
        <v>1653962.8339525512</v>
      </c>
      <c r="BH113" s="213">
        <f t="shared" si="363"/>
        <v>1592551.5989094472</v>
      </c>
      <c r="BI113" s="213">
        <f t="shared" si="363"/>
        <v>1428588.1089398011</v>
      </c>
      <c r="BJ113" s="213">
        <f t="shared" si="363"/>
        <v>1442359.3834315483</v>
      </c>
      <c r="BK113" s="213">
        <f t="shared" si="363"/>
        <v>1503344.532787702</v>
      </c>
      <c r="BL113" s="213">
        <f t="shared" si="363"/>
        <v>1933171.6221811203</v>
      </c>
      <c r="BM113" s="213">
        <f t="shared" si="363"/>
        <v>1701919.9248619596</v>
      </c>
      <c r="BN113" s="213">
        <f t="shared" ref="BN113:CS113" si="364">SUM(BN91*$B$91,BN92*$B$92,BN93*$B$93,BN94*$B$94,BN95*$B$95,BN96*$B$96,BN99*$B$99,BN100*$B$100,BN101*$B$101,BN104*$B$104,BN105*$B$105,BN106*$B$106,BN107*$B$107,BN108*$B$108,BN109*$B$109,BN110*$B$110,BN111*$B$111,BN112*$B$112,BN97*$B$97,BN102*$B$102)</f>
        <v>2184654.4473012909</v>
      </c>
      <c r="BO113" s="213">
        <f t="shared" si="364"/>
        <v>569111.72711122397</v>
      </c>
      <c r="BP113" s="213">
        <f t="shared" si="364"/>
        <v>1031745.8795132731</v>
      </c>
      <c r="BQ113" s="213">
        <f t="shared" si="364"/>
        <v>978577.61298252642</v>
      </c>
      <c r="BR113" s="213">
        <f t="shared" si="364"/>
        <v>2159180.5358626568</v>
      </c>
      <c r="BS113" s="213">
        <f t="shared" si="364"/>
        <v>809140.9277512019</v>
      </c>
      <c r="BT113" s="213">
        <f t="shared" si="364"/>
        <v>1937907.2995931935</v>
      </c>
      <c r="BU113" s="213">
        <f t="shared" si="364"/>
        <v>2402142.008639568</v>
      </c>
      <c r="BV113" s="213">
        <f t="shared" si="364"/>
        <v>724369.04958393017</v>
      </c>
      <c r="BW113" s="213">
        <f t="shared" si="364"/>
        <v>852351.56085438293</v>
      </c>
      <c r="BX113" s="213">
        <f t="shared" si="364"/>
        <v>135420.7643045779</v>
      </c>
      <c r="BY113" s="213">
        <f t="shared" si="364"/>
        <v>67705.354887910726</v>
      </c>
      <c r="BZ113" s="213">
        <f t="shared" si="364"/>
        <v>917001.66336804745</v>
      </c>
      <c r="CA113" s="213">
        <f t="shared" si="364"/>
        <v>687200.37183629675</v>
      </c>
      <c r="CB113" s="213">
        <f t="shared" si="364"/>
        <v>709840.70990428759</v>
      </c>
      <c r="CC113" s="213">
        <f t="shared" si="364"/>
        <v>1034845.8877904911</v>
      </c>
      <c r="CD113" s="213">
        <f t="shared" si="364"/>
        <v>1226180.524426532</v>
      </c>
      <c r="CE113" s="213">
        <f t="shared" si="364"/>
        <v>1606645.7976403898</v>
      </c>
      <c r="CF113" s="213">
        <f t="shared" si="364"/>
        <v>766926.64310064144</v>
      </c>
      <c r="CG113" s="213">
        <f t="shared" si="364"/>
        <v>2703679.7175980099</v>
      </c>
      <c r="CH113" s="213">
        <f t="shared" si="364"/>
        <v>2404660.7996613812</v>
      </c>
      <c r="CI113" s="213">
        <f t="shared" si="364"/>
        <v>1544138.0224904991</v>
      </c>
      <c r="CJ113" s="213">
        <f t="shared" si="364"/>
        <v>2425077.536252928</v>
      </c>
      <c r="CK113" s="213">
        <f t="shared" si="364"/>
        <v>1337195.2815120548</v>
      </c>
      <c r="CL113" s="213">
        <f t="shared" si="364"/>
        <v>1533913.5856943056</v>
      </c>
      <c r="CM113" s="213">
        <f t="shared" si="364"/>
        <v>1232780.8107244899</v>
      </c>
      <c r="CN113" s="213">
        <f t="shared" si="364"/>
        <v>1104884.8753615655</v>
      </c>
      <c r="CO113" s="213">
        <f t="shared" si="364"/>
        <v>1424505.5355042694</v>
      </c>
      <c r="CP113" s="772">
        <f t="shared" si="364"/>
        <v>1158944.6818821398</v>
      </c>
      <c r="CQ113" s="772">
        <f t="shared" si="364"/>
        <v>3543042.8436444928</v>
      </c>
      <c r="CR113" s="772">
        <f t="shared" si="364"/>
        <v>635321.49522936984</v>
      </c>
      <c r="CS113" s="772">
        <f t="shared" si="364"/>
        <v>988265.00053361012</v>
      </c>
      <c r="CT113" s="213">
        <f t="shared" ref="CT113:DW113" si="365">SUM(CT91*$B$91,CT92*$B$92,CT93*$B$93,CT94*$B$94,CT95*$B$95,CT96*$B$96,CT99*$B$99,CT100*$B$100,CT101*$B$101,CT104*$B$104,CT105*$B$105,CT106*$B$106,CT107*$B$107,CT108*$B$108,CT109*$B$109,CT110*$B$110,CT111*$B$111,CT112*$B$112,CT97*$B$97,CT102*$B$102)</f>
        <v>1299318.6579477289</v>
      </c>
      <c r="CU113" s="213">
        <f t="shared" si="365"/>
        <v>1582103.5290782934</v>
      </c>
      <c r="CV113" s="772">
        <f t="shared" si="365"/>
        <v>1895064.7892629732</v>
      </c>
      <c r="CW113" s="772">
        <f t="shared" si="365"/>
        <v>1612399.9095725291</v>
      </c>
      <c r="CX113" s="772">
        <f t="shared" si="365"/>
        <v>843831.98296283372</v>
      </c>
      <c r="CY113" s="772">
        <f t="shared" si="365"/>
        <v>737822.89550756442</v>
      </c>
      <c r="CZ113" s="213">
        <f t="shared" si="365"/>
        <v>0</v>
      </c>
      <c r="DA113" s="213">
        <f t="shared" si="365"/>
        <v>0</v>
      </c>
      <c r="DB113" s="772">
        <f t="shared" si="365"/>
        <v>0</v>
      </c>
      <c r="DC113" s="772">
        <f t="shared" si="365"/>
        <v>31277.315618409808</v>
      </c>
      <c r="DD113" s="772">
        <f t="shared" si="365"/>
        <v>140477.60360402879</v>
      </c>
      <c r="DE113" s="772">
        <f t="shared" si="365"/>
        <v>242401.97859226668</v>
      </c>
      <c r="DF113" s="213">
        <f t="shared" si="365"/>
        <v>168263.61097261653</v>
      </c>
      <c r="DG113" s="213">
        <f t="shared" si="365"/>
        <v>156515.17569875636</v>
      </c>
      <c r="DH113" s="772">
        <f t="shared" si="365"/>
        <v>553864.47948124597</v>
      </c>
      <c r="DI113" s="772">
        <f t="shared" si="365"/>
        <v>635332.59081601794</v>
      </c>
      <c r="DJ113" s="772">
        <f t="shared" si="365"/>
        <v>701603.55599701789</v>
      </c>
      <c r="DK113" s="772">
        <f t="shared" si="365"/>
        <v>520669.04661011527</v>
      </c>
      <c r="DL113" s="213">
        <f t="shared" si="365"/>
        <v>752645.57985795976</v>
      </c>
      <c r="DM113" s="213">
        <f t="shared" si="365"/>
        <v>763437.51949221373</v>
      </c>
      <c r="DN113" s="772">
        <f t="shared" si="365"/>
        <v>654592.12870909506</v>
      </c>
      <c r="DO113" s="772">
        <f t="shared" si="365"/>
        <v>671380.07024706982</v>
      </c>
      <c r="DP113" s="772">
        <f t="shared" si="365"/>
        <v>677387.98348557856</v>
      </c>
      <c r="DQ113" s="772">
        <f t="shared" si="365"/>
        <v>673352.05473367195</v>
      </c>
      <c r="DR113" s="213">
        <f t="shared" si="365"/>
        <v>832386.28207052487</v>
      </c>
      <c r="DS113" s="213">
        <f t="shared" si="365"/>
        <v>446788.29996694671</v>
      </c>
      <c r="DT113" s="772">
        <f t="shared" si="365"/>
        <v>894254.04501664953</v>
      </c>
      <c r="DU113" s="772">
        <f t="shared" si="365"/>
        <v>504842.90906662703</v>
      </c>
      <c r="DV113" s="772">
        <f t="shared" si="365"/>
        <v>593262.05530622648</v>
      </c>
      <c r="DW113" s="772">
        <f t="shared" si="365"/>
        <v>1125811.5613757279</v>
      </c>
      <c r="DX113" s="213">
        <f t="shared" ref="DX113:EC113" si="366">SUM(DX91*$B$91,DX92*$B$92,DX93*$B$93,DX94*$B$94,DX95*$B$95,DX96*$B$96,DX99*$B$99,DX100*$B$100,DX101*$B$101,DX104*$B$104,DX105*$B$105,DX106*$B$106,DX107*$B$107,DX108*$B$108,DX109*$B$109,DX110*$B$110,DX111*$B$111,DX112*$B$112,DX97*$B$97,DX102*$B$102)</f>
        <v>1143247.422275184</v>
      </c>
      <c r="DY113" s="213">
        <f t="shared" si="366"/>
        <v>765391.03872032033</v>
      </c>
      <c r="DZ113" s="772">
        <f t="shared" si="366"/>
        <v>434898.59937448229</v>
      </c>
      <c r="EA113" s="772">
        <f t="shared" si="366"/>
        <v>1034871.6284712766</v>
      </c>
      <c r="EB113" s="772">
        <f t="shared" si="366"/>
        <v>1107956.6595956103</v>
      </c>
      <c r="EC113" s="772">
        <f t="shared" si="366"/>
        <v>1159508.3821542235</v>
      </c>
    </row>
    <row r="114" spans="1:138">
      <c r="A114" s="214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  <c r="BR114" s="178"/>
      <c r="BS114" s="178"/>
      <c r="BT114" s="178"/>
      <c r="BU114" s="178"/>
      <c r="BV114" s="178"/>
      <c r="BW114" s="178"/>
      <c r="BX114" s="178"/>
      <c r="BY114" s="178"/>
      <c r="BZ114" s="178"/>
      <c r="CA114" s="178"/>
      <c r="CF114" s="178"/>
      <c r="CG114" s="178"/>
      <c r="CH114" s="178"/>
      <c r="CI114" s="178"/>
      <c r="CJ114" s="178"/>
      <c r="CK114" s="178"/>
      <c r="CL114" s="178"/>
      <c r="CM114" s="178"/>
      <c r="CN114" s="178"/>
      <c r="CO114" s="178"/>
      <c r="DG114" s="805"/>
    </row>
    <row r="115" spans="1:138">
      <c r="A115" s="181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  <c r="BR115" s="178"/>
      <c r="BS115" s="178"/>
      <c r="BT115" s="178"/>
      <c r="BU115" s="178"/>
      <c r="BV115" s="178"/>
      <c r="BW115" s="178"/>
      <c r="BX115" s="178"/>
      <c r="BY115" s="178"/>
      <c r="BZ115" s="178"/>
      <c r="CA115" s="178"/>
      <c r="CF115" s="178"/>
      <c r="CG115" s="178"/>
      <c r="CH115" s="178"/>
      <c r="CI115" s="178"/>
      <c r="CJ115" s="178"/>
      <c r="CK115" s="178"/>
      <c r="CL115" s="178"/>
      <c r="CM115" s="178"/>
      <c r="CN115" s="178"/>
      <c r="CO115" s="178"/>
    </row>
    <row r="116" spans="1:138">
      <c r="A116" s="180" t="s">
        <v>221</v>
      </c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  <c r="BR116" s="178"/>
      <c r="BS116" s="178"/>
      <c r="BT116" s="178"/>
      <c r="BU116" s="178"/>
      <c r="BV116" s="178"/>
      <c r="BW116" s="178"/>
      <c r="BX116" s="178"/>
      <c r="BY116" s="178"/>
      <c r="BZ116" s="178"/>
      <c r="CA116" s="178"/>
      <c r="CF116" s="178"/>
      <c r="CG116" s="178"/>
      <c r="CH116" s="178"/>
      <c r="CI116" s="178"/>
      <c r="CJ116" s="178"/>
      <c r="CK116" s="178"/>
      <c r="CL116" s="178"/>
      <c r="CM116" s="178"/>
      <c r="CN116" s="178"/>
      <c r="CO116" s="178"/>
      <c r="DE116" s="806"/>
      <c r="DF116" s="805"/>
    </row>
    <row r="117" spans="1:138">
      <c r="A117" s="181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F117" s="178"/>
      <c r="CG117" s="178"/>
      <c r="CH117" s="178"/>
      <c r="CI117" s="178"/>
      <c r="CJ117" s="178"/>
      <c r="CK117" s="178"/>
      <c r="CL117" s="178"/>
      <c r="CM117" s="178"/>
      <c r="CN117" s="178"/>
      <c r="CO117" s="178"/>
    </row>
    <row r="118" spans="1:138">
      <c r="A118" s="182" t="s">
        <v>56</v>
      </c>
      <c r="B118" s="655" t="s">
        <v>277</v>
      </c>
      <c r="C118" s="655" t="s">
        <v>278</v>
      </c>
      <c r="D118" s="655" t="s">
        <v>279</v>
      </c>
      <c r="E118" s="655" t="s">
        <v>280</v>
      </c>
      <c r="F118" s="655" t="s">
        <v>281</v>
      </c>
      <c r="G118" s="655" t="s">
        <v>282</v>
      </c>
      <c r="H118" s="601" t="s">
        <v>283</v>
      </c>
      <c r="I118" s="601" t="s">
        <v>284</v>
      </c>
      <c r="J118" s="601" t="s">
        <v>285</v>
      </c>
      <c r="K118" s="601" t="s">
        <v>286</v>
      </c>
      <c r="L118" s="601" t="s">
        <v>287</v>
      </c>
      <c r="M118" s="601" t="s">
        <v>288</v>
      </c>
      <c r="N118" s="185" t="s">
        <v>289</v>
      </c>
      <c r="O118" s="185" t="s">
        <v>290</v>
      </c>
      <c r="P118" s="185" t="s">
        <v>291</v>
      </c>
      <c r="Q118" s="185" t="s">
        <v>292</v>
      </c>
      <c r="R118" s="185" t="s">
        <v>293</v>
      </c>
      <c r="S118" s="185" t="s">
        <v>294</v>
      </c>
      <c r="T118" s="227" t="s">
        <v>295</v>
      </c>
      <c r="U118" s="227" t="s">
        <v>296</v>
      </c>
      <c r="V118" s="227" t="s">
        <v>297</v>
      </c>
      <c r="W118" s="227" t="s">
        <v>298</v>
      </c>
      <c r="X118" s="227" t="s">
        <v>299</v>
      </c>
      <c r="Y118" s="227" t="s">
        <v>333</v>
      </c>
      <c r="Z118" s="600" t="s">
        <v>255</v>
      </c>
      <c r="AA118" s="600" t="s">
        <v>256</v>
      </c>
      <c r="AB118" s="600" t="s">
        <v>257</v>
      </c>
      <c r="AC118" s="600" t="s">
        <v>258</v>
      </c>
      <c r="AD118" s="600" t="s">
        <v>259</v>
      </c>
      <c r="AE118" s="600" t="s">
        <v>260</v>
      </c>
      <c r="AF118" s="657" t="s">
        <v>261</v>
      </c>
      <c r="AG118" s="657" t="s">
        <v>262</v>
      </c>
      <c r="AH118" s="657" t="s">
        <v>263</v>
      </c>
      <c r="AI118" s="657" t="s">
        <v>264</v>
      </c>
      <c r="AJ118" s="657" t="s">
        <v>265</v>
      </c>
      <c r="AK118" s="657" t="s">
        <v>266</v>
      </c>
      <c r="AL118" s="658" t="s">
        <v>267</v>
      </c>
      <c r="AM118" s="658" t="s">
        <v>268</v>
      </c>
      <c r="AN118" s="658" t="s">
        <v>269</v>
      </c>
      <c r="AO118" s="658" t="s">
        <v>270</v>
      </c>
      <c r="AP118" s="658" t="s">
        <v>271</v>
      </c>
      <c r="AQ118" s="658" t="s">
        <v>272</v>
      </c>
      <c r="AR118" s="184" t="s">
        <v>273</v>
      </c>
      <c r="AS118" s="184" t="s">
        <v>274</v>
      </c>
      <c r="AT118" s="184" t="s">
        <v>275</v>
      </c>
      <c r="AU118" s="184" t="s">
        <v>276</v>
      </c>
      <c r="AV118" s="184" t="s">
        <v>254</v>
      </c>
      <c r="AW118" s="184" t="s">
        <v>332</v>
      </c>
      <c r="AX118" s="602" t="s">
        <v>123</v>
      </c>
      <c r="AY118" s="602" t="s">
        <v>124</v>
      </c>
      <c r="AZ118" s="602" t="s">
        <v>125</v>
      </c>
      <c r="BA118" s="602" t="s">
        <v>126</v>
      </c>
      <c r="BB118" s="602" t="s">
        <v>127</v>
      </c>
      <c r="BC118" s="602" t="s">
        <v>128</v>
      </c>
      <c r="BD118" s="654" t="s">
        <v>129</v>
      </c>
      <c r="BE118" s="654" t="s">
        <v>130</v>
      </c>
      <c r="BF118" s="654" t="s">
        <v>131</v>
      </c>
      <c r="BG118" s="654" t="s">
        <v>132</v>
      </c>
      <c r="BH118" s="654" t="s">
        <v>133</v>
      </c>
      <c r="BI118" s="654" t="s">
        <v>134</v>
      </c>
      <c r="BJ118" s="659" t="s">
        <v>135</v>
      </c>
      <c r="BK118" s="659" t="s">
        <v>136</v>
      </c>
      <c r="BL118" s="659" t="s">
        <v>137</v>
      </c>
      <c r="BM118" s="659" t="s">
        <v>138</v>
      </c>
      <c r="BN118" s="659" t="s">
        <v>139</v>
      </c>
      <c r="BO118" s="659" t="s">
        <v>140</v>
      </c>
      <c r="BP118" s="228" t="s">
        <v>141</v>
      </c>
      <c r="BQ118" s="228" t="s">
        <v>142</v>
      </c>
      <c r="BR118" s="228" t="s">
        <v>143</v>
      </c>
      <c r="BS118" s="228" t="s">
        <v>144</v>
      </c>
      <c r="BT118" s="228" t="s">
        <v>145</v>
      </c>
      <c r="BU118" s="228" t="s">
        <v>146</v>
      </c>
      <c r="BV118" s="183" t="s">
        <v>147</v>
      </c>
      <c r="BW118" s="183" t="s">
        <v>148</v>
      </c>
      <c r="BX118" s="183" t="s">
        <v>149</v>
      </c>
      <c r="BY118" s="183" t="s">
        <v>150</v>
      </c>
      <c r="BZ118" s="183" t="s">
        <v>151</v>
      </c>
      <c r="CA118" s="183" t="s">
        <v>152</v>
      </c>
      <c r="CB118" s="656" t="s">
        <v>153</v>
      </c>
      <c r="CC118" s="656" t="s">
        <v>154</v>
      </c>
      <c r="CD118" s="656" t="s">
        <v>155</v>
      </c>
      <c r="CE118" s="656" t="s">
        <v>156</v>
      </c>
      <c r="CF118" s="656" t="s">
        <v>324</v>
      </c>
      <c r="CG118" s="656" t="s">
        <v>325</v>
      </c>
      <c r="CH118" s="660" t="s">
        <v>326</v>
      </c>
      <c r="CI118" s="660" t="s">
        <v>327</v>
      </c>
      <c r="CJ118" s="660" t="s">
        <v>328</v>
      </c>
      <c r="CK118" s="660" t="s">
        <v>329</v>
      </c>
      <c r="CL118" s="660" t="s">
        <v>330</v>
      </c>
      <c r="CM118" s="660" t="s">
        <v>331</v>
      </c>
      <c r="CN118" s="609" t="s">
        <v>339</v>
      </c>
      <c r="CO118" s="609" t="s">
        <v>340</v>
      </c>
      <c r="CP118" s="609" t="s">
        <v>385</v>
      </c>
      <c r="CQ118" s="609" t="s">
        <v>386</v>
      </c>
      <c r="CR118" s="609" t="s">
        <v>387</v>
      </c>
      <c r="CS118" s="609" t="s">
        <v>388</v>
      </c>
      <c r="CT118" s="785" t="s">
        <v>394</v>
      </c>
      <c r="CU118" s="785" t="s">
        <v>395</v>
      </c>
      <c r="CV118" s="785" t="s">
        <v>396</v>
      </c>
      <c r="CW118" s="785" t="s">
        <v>397</v>
      </c>
      <c r="CX118" s="785" t="s">
        <v>398</v>
      </c>
      <c r="CY118" s="785" t="s">
        <v>399</v>
      </c>
      <c r="CZ118" s="795" t="s">
        <v>405</v>
      </c>
      <c r="DA118" s="795" t="s">
        <v>406</v>
      </c>
      <c r="DB118" s="795" t="s">
        <v>407</v>
      </c>
      <c r="DC118" s="795" t="s">
        <v>408</v>
      </c>
      <c r="DD118" s="795" t="s">
        <v>409</v>
      </c>
      <c r="DE118" s="795" t="s">
        <v>410</v>
      </c>
      <c r="DF118" s="804" t="s">
        <v>418</v>
      </c>
      <c r="DG118" s="804" t="s">
        <v>419</v>
      </c>
      <c r="DH118" s="804" t="s">
        <v>420</v>
      </c>
      <c r="DI118" s="804" t="s">
        <v>421</v>
      </c>
      <c r="DJ118" s="804" t="s">
        <v>422</v>
      </c>
      <c r="DK118" s="804" t="s">
        <v>423</v>
      </c>
      <c r="DL118" s="807" t="s">
        <v>424</v>
      </c>
      <c r="DM118" s="807" t="s">
        <v>425</v>
      </c>
      <c r="DN118" s="807" t="s">
        <v>426</v>
      </c>
      <c r="DO118" s="807" t="s">
        <v>427</v>
      </c>
      <c r="DP118" s="807" t="s">
        <v>428</v>
      </c>
      <c r="DQ118" s="807" t="s">
        <v>429</v>
      </c>
      <c r="DR118" s="831" t="s">
        <v>436</v>
      </c>
      <c r="DS118" s="831" t="s">
        <v>437</v>
      </c>
      <c r="DT118" s="831" t="s">
        <v>438</v>
      </c>
      <c r="DU118" s="831" t="s">
        <v>439</v>
      </c>
      <c r="DV118" s="831" t="s">
        <v>440</v>
      </c>
      <c r="DW118" s="831" t="s">
        <v>441</v>
      </c>
      <c r="DX118" s="922" t="s">
        <v>451</v>
      </c>
      <c r="DY118" s="922" t="s">
        <v>452</v>
      </c>
      <c r="DZ118" s="922" t="s">
        <v>453</v>
      </c>
      <c r="EA118" s="922" t="s">
        <v>454</v>
      </c>
      <c r="EB118" s="922" t="s">
        <v>455</v>
      </c>
      <c r="EC118" s="922" t="s">
        <v>456</v>
      </c>
    </row>
    <row r="119" spans="1:138" s="178" customFormat="1">
      <c r="A119" s="850" t="s">
        <v>445</v>
      </c>
      <c r="B119" s="880">
        <f>(B33/$B$33)*100</f>
        <v>100</v>
      </c>
      <c r="C119" s="880">
        <f>(C33/$B$33)*100</f>
        <v>102.46761515483023</v>
      </c>
      <c r="D119" s="880">
        <f t="shared" ref="D119:BO119" si="367">(D33/$B$33)*100</f>
        <v>95.525321229263724</v>
      </c>
      <c r="E119" s="880">
        <f t="shared" si="367"/>
        <v>121.6433840442058</v>
      </c>
      <c r="F119" s="880">
        <f t="shared" si="367"/>
        <v>116.28892572262195</v>
      </c>
      <c r="G119" s="880">
        <f t="shared" si="367"/>
        <v>108.56055658032577</v>
      </c>
      <c r="H119" s="880">
        <f t="shared" si="367"/>
        <v>117.56592867472324</v>
      </c>
      <c r="I119" s="880">
        <f t="shared" si="367"/>
        <v>120.10839065187622</v>
      </c>
      <c r="J119" s="880">
        <f t="shared" si="367"/>
        <v>97.001207777030558</v>
      </c>
      <c r="K119" s="880">
        <f t="shared" si="367"/>
        <v>106.2179133442839</v>
      </c>
      <c r="L119" s="880">
        <f t="shared" si="367"/>
        <v>0</v>
      </c>
      <c r="M119" s="880">
        <f t="shared" si="367"/>
        <v>95.79709230325804</v>
      </c>
      <c r="N119" s="880">
        <f t="shared" si="367"/>
        <v>103.33094779426821</v>
      </c>
      <c r="O119" s="880">
        <f t="shared" si="367"/>
        <v>0</v>
      </c>
      <c r="P119" s="880">
        <f t="shared" si="367"/>
        <v>108.49614317249203</v>
      </c>
      <c r="Q119" s="880">
        <f t="shared" si="367"/>
        <v>113.23426835191877</v>
      </c>
      <c r="R119" s="880">
        <f t="shared" si="367"/>
        <v>96.33699466266836</v>
      </c>
      <c r="S119" s="880">
        <f t="shared" si="367"/>
        <v>110.4297431915352</v>
      </c>
      <c r="T119" s="880">
        <f t="shared" si="367"/>
        <v>0</v>
      </c>
      <c r="U119" s="880">
        <f t="shared" si="367"/>
        <v>0</v>
      </c>
      <c r="V119" s="880">
        <f t="shared" si="367"/>
        <v>0</v>
      </c>
      <c r="W119" s="880">
        <f t="shared" si="367"/>
        <v>0</v>
      </c>
      <c r="X119" s="880">
        <f t="shared" si="367"/>
        <v>99.731874004989919</v>
      </c>
      <c r="Y119" s="880">
        <f t="shared" si="367"/>
        <v>0</v>
      </c>
      <c r="Z119" s="880">
        <f t="shared" si="367"/>
        <v>99.300340630253956</v>
      </c>
      <c r="AA119" s="880">
        <f t="shared" si="367"/>
        <v>103.46308335308984</v>
      </c>
      <c r="AB119" s="880">
        <f t="shared" si="367"/>
        <v>128.32772436450296</v>
      </c>
      <c r="AC119" s="880">
        <f t="shared" si="367"/>
        <v>0</v>
      </c>
      <c r="AD119" s="880">
        <f t="shared" si="367"/>
        <v>89.437391360149462</v>
      </c>
      <c r="AE119" s="880">
        <f t="shared" si="367"/>
        <v>90.800186316232541</v>
      </c>
      <c r="AF119" s="880">
        <f t="shared" si="367"/>
        <v>0</v>
      </c>
      <c r="AG119" s="880">
        <f t="shared" si="367"/>
        <v>80.869373664482779</v>
      </c>
      <c r="AH119" s="880">
        <f t="shared" si="367"/>
        <v>99.300340630253956</v>
      </c>
      <c r="AI119" s="880">
        <f t="shared" si="367"/>
        <v>103.46308335308984</v>
      </c>
      <c r="AJ119" s="880">
        <f t="shared" si="367"/>
        <v>45.159960683744345</v>
      </c>
      <c r="AK119" s="880">
        <f t="shared" si="367"/>
        <v>88.458910362374922</v>
      </c>
      <c r="AL119" s="880">
        <f t="shared" si="367"/>
        <v>97.312771842526459</v>
      </c>
      <c r="AM119" s="880">
        <f t="shared" si="367"/>
        <v>106.73964091106509</v>
      </c>
      <c r="AN119" s="880">
        <f t="shared" si="367"/>
        <v>99.252277764868609</v>
      </c>
      <c r="AO119" s="880">
        <f t="shared" si="367"/>
        <v>90.325874048040163</v>
      </c>
      <c r="AP119" s="880">
        <f t="shared" si="367"/>
        <v>0</v>
      </c>
      <c r="AQ119" s="880">
        <f t="shared" si="367"/>
        <v>0</v>
      </c>
      <c r="AR119" s="880">
        <f t="shared" si="367"/>
        <v>0</v>
      </c>
      <c r="AS119" s="880">
        <f t="shared" si="367"/>
        <v>0</v>
      </c>
      <c r="AT119" s="880">
        <f t="shared" si="367"/>
        <v>0</v>
      </c>
      <c r="AU119" s="880">
        <f t="shared" si="367"/>
        <v>0</v>
      </c>
      <c r="AV119" s="880">
        <f t="shared" si="367"/>
        <v>0</v>
      </c>
      <c r="AW119" s="880">
        <f t="shared" si="367"/>
        <v>0</v>
      </c>
      <c r="AX119" s="880">
        <f t="shared" si="367"/>
        <v>99.300340630253956</v>
      </c>
      <c r="AY119" s="880">
        <f t="shared" si="367"/>
        <v>92.574871121937761</v>
      </c>
      <c r="AZ119" s="880">
        <f t="shared" si="367"/>
        <v>113.41790090435961</v>
      </c>
      <c r="BA119" s="880">
        <f t="shared" si="367"/>
        <v>110.06537755230687</v>
      </c>
      <c r="BB119" s="880">
        <f t="shared" si="367"/>
        <v>85.741803841411624</v>
      </c>
      <c r="BC119" s="880">
        <f t="shared" si="367"/>
        <v>105.85284922248688</v>
      </c>
      <c r="BD119" s="880">
        <f t="shared" si="367"/>
        <v>87.433055041929109</v>
      </c>
      <c r="BE119" s="880">
        <f t="shared" si="367"/>
        <v>82.121214006782296</v>
      </c>
      <c r="BF119" s="880">
        <f t="shared" si="367"/>
        <v>87.534089072801521</v>
      </c>
      <c r="BG119" s="880">
        <f t="shared" si="367"/>
        <v>74.969354570932282</v>
      </c>
      <c r="BH119" s="880">
        <f t="shared" si="367"/>
        <v>84.21687840477648</v>
      </c>
      <c r="BI119" s="880">
        <f t="shared" si="367"/>
        <v>88.458910362374922</v>
      </c>
      <c r="BJ119" s="880">
        <f t="shared" si="367"/>
        <v>77.751593705473638</v>
      </c>
      <c r="BK119" s="880">
        <f t="shared" si="367"/>
        <v>94.782640558000637</v>
      </c>
      <c r="BL119" s="880">
        <f t="shared" si="367"/>
        <v>80.451810485373926</v>
      </c>
      <c r="BM119" s="880">
        <f t="shared" si="367"/>
        <v>81.309125125185872</v>
      </c>
      <c r="BN119" s="880">
        <f t="shared" si="367"/>
        <v>89.817452838075567</v>
      </c>
      <c r="BO119" s="880">
        <f t="shared" si="367"/>
        <v>96.47778931999018</v>
      </c>
      <c r="BP119" s="880">
        <f t="shared" ref="BP119:DW119" si="368">(BP33/$B$33)*100</f>
        <v>119.79041811385245</v>
      </c>
      <c r="BQ119" s="880">
        <f t="shared" si="368"/>
        <v>99.467007657055603</v>
      </c>
      <c r="BR119" s="880">
        <f t="shared" si="368"/>
        <v>119.27512027334208</v>
      </c>
      <c r="BS119" s="880">
        <f t="shared" si="368"/>
        <v>130.3176205935149</v>
      </c>
      <c r="BT119" s="880">
        <f t="shared" si="368"/>
        <v>97.720152305432123</v>
      </c>
      <c r="BU119" s="880">
        <f t="shared" si="368"/>
        <v>159.7960150157034</v>
      </c>
      <c r="BV119" s="880">
        <f t="shared" si="368"/>
        <v>189.69784836797388</v>
      </c>
      <c r="BW119" s="880">
        <f t="shared" si="368"/>
        <v>102.46761515483023</v>
      </c>
      <c r="BX119" s="880">
        <f t="shared" si="368"/>
        <v>95.525321229263724</v>
      </c>
      <c r="BY119" s="880">
        <f t="shared" si="368"/>
        <v>121.64338404420585</v>
      </c>
      <c r="BZ119" s="880">
        <f t="shared" si="368"/>
        <v>105.01709887407972</v>
      </c>
      <c r="CA119" s="880">
        <f t="shared" si="368"/>
        <v>95.61007777240404</v>
      </c>
      <c r="CB119" s="880">
        <f t="shared" si="368"/>
        <v>86.047530324387196</v>
      </c>
      <c r="CC119" s="880">
        <f t="shared" si="368"/>
        <v>93.494134750948646</v>
      </c>
      <c r="CD119" s="880">
        <f t="shared" si="368"/>
        <v>91.52440487051507</v>
      </c>
      <c r="CE119" s="880">
        <f t="shared" si="368"/>
        <v>108.79765312780643</v>
      </c>
      <c r="CF119" s="880">
        <f t="shared" si="368"/>
        <v>108.79765312780643</v>
      </c>
      <c r="CG119" s="880">
        <f t="shared" si="368"/>
        <v>97.113999133068191</v>
      </c>
      <c r="CH119" s="880">
        <f t="shared" si="368"/>
        <v>85.015637943757554</v>
      </c>
      <c r="CI119" s="880">
        <f t="shared" si="368"/>
        <v>85.387232082730634</v>
      </c>
      <c r="CJ119" s="880">
        <f t="shared" si="368"/>
        <v>99.012987545245423</v>
      </c>
      <c r="CK119" s="880">
        <f t="shared" si="368"/>
        <v>101.59089596677435</v>
      </c>
      <c r="CL119" s="880">
        <f t="shared" si="368"/>
        <v>90.914696563315729</v>
      </c>
      <c r="CM119" s="880">
        <f t="shared" si="368"/>
        <v>91.542310024016302</v>
      </c>
      <c r="CN119" s="880">
        <f t="shared" si="368"/>
        <v>100.02563378624565</v>
      </c>
      <c r="CO119" s="880">
        <f t="shared" si="368"/>
        <v>86.976405913407845</v>
      </c>
      <c r="CP119" s="880">
        <f t="shared" si="368"/>
        <v>82.167226269452755</v>
      </c>
      <c r="CQ119" s="880">
        <f t="shared" si="368"/>
        <v>90.758962775036579</v>
      </c>
      <c r="CR119" s="880">
        <f t="shared" si="368"/>
        <v>79.990763249553183</v>
      </c>
      <c r="CS119" s="880">
        <f t="shared" si="368"/>
        <v>120.10125475884369</v>
      </c>
      <c r="CT119" s="880">
        <f t="shared" si="368"/>
        <v>100.18449349228173</v>
      </c>
      <c r="CU119" s="880">
        <f t="shared" si="368"/>
        <v>90.900795995588709</v>
      </c>
      <c r="CV119" s="880">
        <f t="shared" si="368"/>
        <v>94.954087677564488</v>
      </c>
      <c r="CW119" s="880">
        <f t="shared" si="368"/>
        <v>68.636288341250093</v>
      </c>
      <c r="CX119" s="880">
        <f t="shared" si="368"/>
        <v>71.278637217769784</v>
      </c>
      <c r="CY119" s="880">
        <f t="shared" si="368"/>
        <v>105.38348974475534</v>
      </c>
      <c r="CZ119" s="880">
        <f t="shared" si="368"/>
        <v>0</v>
      </c>
      <c r="DA119" s="880">
        <f t="shared" si="368"/>
        <v>0</v>
      </c>
      <c r="DB119" s="880">
        <f t="shared" si="368"/>
        <v>0</v>
      </c>
      <c r="DC119" s="880">
        <f t="shared" si="368"/>
        <v>103.31516850366363</v>
      </c>
      <c r="DD119" s="880">
        <f t="shared" si="368"/>
        <v>32.193416161020082</v>
      </c>
      <c r="DE119" s="880">
        <f t="shared" si="368"/>
        <v>80.580323222870192</v>
      </c>
      <c r="DF119" s="880">
        <f t="shared" si="368"/>
        <v>95.026471832465717</v>
      </c>
      <c r="DG119" s="880">
        <f t="shared" si="368"/>
        <v>41.241841295915506</v>
      </c>
      <c r="DH119" s="880">
        <f t="shared" si="368"/>
        <v>103.32351972374425</v>
      </c>
      <c r="DI119" s="880">
        <f t="shared" si="368"/>
        <v>80.890480075846327</v>
      </c>
      <c r="DJ119" s="880">
        <f t="shared" si="368"/>
        <v>108.74574555141876</v>
      </c>
      <c r="DK119" s="880">
        <f t="shared" si="368"/>
        <v>107.06804580467045</v>
      </c>
      <c r="DL119" s="880">
        <f t="shared" si="368"/>
        <v>95.861549264208207</v>
      </c>
      <c r="DM119" s="880">
        <f t="shared" si="368"/>
        <v>101.25250296126626</v>
      </c>
      <c r="DN119" s="880">
        <f t="shared" si="368"/>
        <v>99.523640563525731</v>
      </c>
      <c r="DO119" s="880">
        <f t="shared" si="368"/>
        <v>98.890327370155944</v>
      </c>
      <c r="DP119" s="880">
        <f t="shared" si="368"/>
        <v>101.89030191920756</v>
      </c>
      <c r="DQ119" s="880">
        <f t="shared" si="368"/>
        <v>100.74772798050569</v>
      </c>
      <c r="DR119" s="880">
        <f t="shared" si="368"/>
        <v>111.81787313633774</v>
      </c>
      <c r="DS119" s="880">
        <f t="shared" si="368"/>
        <v>74.26546025811335</v>
      </c>
      <c r="DT119" s="880">
        <f t="shared" si="368"/>
        <v>100.08643282207321</v>
      </c>
      <c r="DU119" s="880">
        <f t="shared" si="368"/>
        <v>86.746854884616596</v>
      </c>
      <c r="DV119" s="880">
        <f t="shared" si="368"/>
        <v>86.82700861685403</v>
      </c>
      <c r="DW119" s="880">
        <f t="shared" si="368"/>
        <v>84.245455417016217</v>
      </c>
      <c r="DX119" s="880">
        <f t="shared" ref="DX119:EC119" si="369">(DX33/$B$33)*100</f>
        <v>79.651862845230852</v>
      </c>
      <c r="DY119" s="880">
        <f t="shared" si="369"/>
        <v>73.942115563726034</v>
      </c>
      <c r="DZ119" s="880">
        <f t="shared" si="369"/>
        <v>76.253492121172371</v>
      </c>
      <c r="EA119" s="880">
        <f t="shared" si="369"/>
        <v>65.742828497691917</v>
      </c>
      <c r="EB119" s="880">
        <f t="shared" si="369"/>
        <v>85.404780360586329</v>
      </c>
      <c r="EC119" s="880">
        <f t="shared" si="369"/>
        <v>83.085352673804934</v>
      </c>
      <c r="ED119" s="852"/>
      <c r="EE119" s="852"/>
      <c r="EF119" s="852"/>
      <c r="EG119" s="852"/>
      <c r="EH119" s="852"/>
    </row>
    <row r="120" spans="1:138">
      <c r="A120" s="186" t="s">
        <v>9</v>
      </c>
      <c r="B120" s="188">
        <f t="shared" ref="B120:AG120" si="370">(B34/$B$34)*100</f>
        <v>100</v>
      </c>
      <c r="C120" s="188">
        <f t="shared" si="370"/>
        <v>100</v>
      </c>
      <c r="D120" s="188">
        <f t="shared" si="370"/>
        <v>70.904589994842709</v>
      </c>
      <c r="E120" s="188">
        <f t="shared" si="370"/>
        <v>70.904589994842709</v>
      </c>
      <c r="F120" s="188">
        <f t="shared" si="370"/>
        <v>58.26666666666668</v>
      </c>
      <c r="G120" s="188">
        <f t="shared" si="370"/>
        <v>44.685386819484243</v>
      </c>
      <c r="H120" s="188">
        <f t="shared" si="370"/>
        <v>102.60000000000002</v>
      </c>
      <c r="I120" s="188">
        <f t="shared" si="370"/>
        <v>92.349234923492375</v>
      </c>
      <c r="J120" s="188">
        <f t="shared" si="370"/>
        <v>70.498159509202466</v>
      </c>
      <c r="K120" s="188">
        <f t="shared" si="370"/>
        <v>49.431932773109253</v>
      </c>
      <c r="L120" s="188">
        <f t="shared" si="370"/>
        <v>0</v>
      </c>
      <c r="M120" s="188">
        <f t="shared" si="370"/>
        <v>49.431932773109253</v>
      </c>
      <c r="N120" s="188">
        <f t="shared" si="370"/>
        <v>45.701559020044549</v>
      </c>
      <c r="O120" s="188">
        <f t="shared" si="370"/>
        <v>0</v>
      </c>
      <c r="P120" s="188">
        <f t="shared" si="370"/>
        <v>40.909090909090921</v>
      </c>
      <c r="Q120" s="188">
        <f t="shared" si="370"/>
        <v>51.777456049638069</v>
      </c>
      <c r="R120" s="188">
        <f t="shared" si="370"/>
        <v>24.202190395956201</v>
      </c>
      <c r="S120" s="188">
        <f t="shared" si="370"/>
        <v>65.889908256880759</v>
      </c>
      <c r="T120" s="188">
        <f t="shared" si="370"/>
        <v>0</v>
      </c>
      <c r="U120" s="188">
        <f t="shared" si="370"/>
        <v>0</v>
      </c>
      <c r="V120" s="188">
        <f t="shared" si="370"/>
        <v>0</v>
      </c>
      <c r="W120" s="188">
        <f t="shared" si="370"/>
        <v>0</v>
      </c>
      <c r="X120" s="188">
        <f t="shared" si="370"/>
        <v>53.472312703583071</v>
      </c>
      <c r="Y120" s="188">
        <f t="shared" si="370"/>
        <v>0</v>
      </c>
      <c r="Z120" s="188">
        <f t="shared" si="370"/>
        <v>33.23688569850912</v>
      </c>
      <c r="AA120" s="188">
        <f t="shared" si="370"/>
        <v>65.680949922560686</v>
      </c>
      <c r="AB120" s="188">
        <f t="shared" si="370"/>
        <v>73.866090712742988</v>
      </c>
      <c r="AC120" s="188">
        <f t="shared" si="370"/>
        <v>0</v>
      </c>
      <c r="AD120" s="188">
        <f t="shared" si="370"/>
        <v>70.523281596452335</v>
      </c>
      <c r="AE120" s="188">
        <f t="shared" si="370"/>
        <v>70.523281596452335</v>
      </c>
      <c r="AF120" s="188">
        <f t="shared" si="370"/>
        <v>0</v>
      </c>
      <c r="AG120" s="188">
        <f t="shared" si="370"/>
        <v>62.644227005870853</v>
      </c>
      <c r="AH120" s="188">
        <f t="shared" ref="AH120:BM120" si="371">(AH34/$B$34)*100</f>
        <v>33.23688569850912</v>
      </c>
      <c r="AI120" s="188">
        <f t="shared" si="371"/>
        <v>65.680949922560686</v>
      </c>
      <c r="AJ120" s="188">
        <f t="shared" si="371"/>
        <v>30.729329297435083</v>
      </c>
      <c r="AK120" s="188">
        <f t="shared" si="371"/>
        <v>51.423614457831334</v>
      </c>
      <c r="AL120" s="188">
        <f t="shared" si="371"/>
        <v>42.111251125112517</v>
      </c>
      <c r="AM120" s="188">
        <f t="shared" si="371"/>
        <v>49.431932773109253</v>
      </c>
      <c r="AN120" s="188">
        <f t="shared" si="371"/>
        <v>45.580888516345354</v>
      </c>
      <c r="AO120" s="188">
        <f t="shared" si="371"/>
        <v>39.94160583941607</v>
      </c>
      <c r="AP120" s="188">
        <f t="shared" si="371"/>
        <v>0</v>
      </c>
      <c r="AQ120" s="188">
        <f t="shared" si="371"/>
        <v>0</v>
      </c>
      <c r="AR120" s="188">
        <f t="shared" si="371"/>
        <v>0</v>
      </c>
      <c r="AS120" s="188">
        <f t="shared" si="371"/>
        <v>0</v>
      </c>
      <c r="AT120" s="188">
        <f t="shared" si="371"/>
        <v>0</v>
      </c>
      <c r="AU120" s="188">
        <f t="shared" si="371"/>
        <v>0</v>
      </c>
      <c r="AV120" s="188">
        <f t="shared" si="371"/>
        <v>0</v>
      </c>
      <c r="AW120" s="188">
        <f t="shared" si="371"/>
        <v>0</v>
      </c>
      <c r="AX120" s="188">
        <f t="shared" si="371"/>
        <v>33.23688569850912</v>
      </c>
      <c r="AY120" s="188">
        <f t="shared" si="371"/>
        <v>65.680949922560686</v>
      </c>
      <c r="AZ120" s="188">
        <f t="shared" si="371"/>
        <v>73.866090712742988</v>
      </c>
      <c r="BA120" s="188">
        <f t="shared" si="371"/>
        <v>73.866090712742988</v>
      </c>
      <c r="BB120" s="188">
        <f t="shared" si="371"/>
        <v>58.26666666666668</v>
      </c>
      <c r="BC120" s="188">
        <f t="shared" si="371"/>
        <v>44.685386819484243</v>
      </c>
      <c r="BD120" s="188">
        <f t="shared" si="371"/>
        <v>52.852543464262723</v>
      </c>
      <c r="BE120" s="188">
        <f t="shared" si="371"/>
        <v>81.88347964884278</v>
      </c>
      <c r="BF120" s="188">
        <f t="shared" si="371"/>
        <v>53.553719008264466</v>
      </c>
      <c r="BG120" s="188">
        <f t="shared" si="371"/>
        <v>52.435026488002492</v>
      </c>
      <c r="BH120" s="188">
        <f t="shared" si="371"/>
        <v>55.736954967834187</v>
      </c>
      <c r="BI120" s="188">
        <f t="shared" si="371"/>
        <v>51.423614457831334</v>
      </c>
      <c r="BJ120" s="188">
        <f t="shared" si="371"/>
        <v>43.852264808362378</v>
      </c>
      <c r="BK120" s="188">
        <f t="shared" si="371"/>
        <v>55.365935919055651</v>
      </c>
      <c r="BL120" s="188">
        <f t="shared" si="371"/>
        <v>46.881425633995896</v>
      </c>
      <c r="BM120" s="188">
        <f t="shared" si="371"/>
        <v>43.863194714341233</v>
      </c>
      <c r="BN120" s="188">
        <f t="shared" ref="BN120:CS120" si="372">(BN34/$B$34)*100</f>
        <v>54.273749173462647</v>
      </c>
      <c r="BO120" s="188">
        <f t="shared" si="372"/>
        <v>50.286571642910737</v>
      </c>
      <c r="BP120" s="188">
        <f t="shared" si="372"/>
        <v>57.385224889303203</v>
      </c>
      <c r="BQ120" s="188">
        <f t="shared" si="372"/>
        <v>53.264680851063837</v>
      </c>
      <c r="BR120" s="188">
        <f t="shared" si="372"/>
        <v>46.026168224299063</v>
      </c>
      <c r="BS120" s="188">
        <f t="shared" si="372"/>
        <v>49.548120041393595</v>
      </c>
      <c r="BT120" s="188">
        <f t="shared" si="372"/>
        <v>41.492647058823536</v>
      </c>
      <c r="BU120" s="188">
        <f t="shared" si="372"/>
        <v>39.94160583941607</v>
      </c>
      <c r="BV120" s="188">
        <f t="shared" si="372"/>
        <v>100</v>
      </c>
      <c r="BW120" s="188">
        <f t="shared" si="372"/>
        <v>100</v>
      </c>
      <c r="BX120" s="188">
        <f t="shared" si="372"/>
        <v>70.904589994842709</v>
      </c>
      <c r="BY120" s="188">
        <f t="shared" si="372"/>
        <v>70.904589994842851</v>
      </c>
      <c r="BZ120" s="188">
        <f t="shared" si="372"/>
        <v>53.057530704589539</v>
      </c>
      <c r="CA120" s="188">
        <f t="shared" si="372"/>
        <v>61.72142526608053</v>
      </c>
      <c r="CB120" s="188">
        <f t="shared" si="372"/>
        <v>67.729757607013923</v>
      </c>
      <c r="CC120" s="188">
        <f t="shared" si="372"/>
        <v>73.528865295288654</v>
      </c>
      <c r="CD120" s="188">
        <f t="shared" si="372"/>
        <v>62.649752741345964</v>
      </c>
      <c r="CE120" s="188">
        <f t="shared" si="372"/>
        <v>65.538166719897802</v>
      </c>
      <c r="CF120" s="188">
        <f t="shared" si="372"/>
        <v>65.538166719897802</v>
      </c>
      <c r="CG120" s="188">
        <f t="shared" si="372"/>
        <v>68.528952329652597</v>
      </c>
      <c r="CH120" s="188">
        <f t="shared" si="372"/>
        <v>58.480349344978166</v>
      </c>
      <c r="CI120" s="188">
        <f t="shared" si="372"/>
        <v>54.976557267247159</v>
      </c>
      <c r="CJ120" s="188">
        <f t="shared" si="372"/>
        <v>44.694888459511688</v>
      </c>
      <c r="CK120" s="188">
        <f t="shared" si="372"/>
        <v>51.104237798754767</v>
      </c>
      <c r="CL120" s="188">
        <f t="shared" si="372"/>
        <v>54.499407161489223</v>
      </c>
      <c r="CM120" s="188">
        <f t="shared" si="372"/>
        <v>50.616272130495332</v>
      </c>
      <c r="CN120" s="188">
        <f t="shared" si="372"/>
        <v>57.99501246882793</v>
      </c>
      <c r="CO120" s="188">
        <f t="shared" si="372"/>
        <v>52.189595375722554</v>
      </c>
      <c r="CP120" s="774">
        <f t="shared" si="372"/>
        <v>50.294117647058833</v>
      </c>
      <c r="CQ120" s="774">
        <f t="shared" si="372"/>
        <v>67.175447570332494</v>
      </c>
      <c r="CR120" s="774">
        <f t="shared" si="372"/>
        <v>38.737864077669911</v>
      </c>
      <c r="CS120" s="774">
        <f t="shared" si="372"/>
        <v>43.724696356275302</v>
      </c>
      <c r="CT120" s="188">
        <f t="shared" ref="CT120:DW120" si="373">(CT34/$B$34)*100</f>
        <v>31.544129340047711</v>
      </c>
      <c r="CU120" s="188">
        <f t="shared" si="373"/>
        <v>40.513326752221133</v>
      </c>
      <c r="CV120" s="774">
        <f t="shared" si="373"/>
        <v>40.514688000000007</v>
      </c>
      <c r="CW120" s="774">
        <f t="shared" si="373"/>
        <v>31.219017432646595</v>
      </c>
      <c r="CX120" s="774">
        <f t="shared" si="373"/>
        <v>31.219128000000001</v>
      </c>
      <c r="CY120" s="774">
        <f t="shared" si="373"/>
        <v>63.529411764705898</v>
      </c>
      <c r="CZ120" s="188">
        <f t="shared" si="373"/>
        <v>0</v>
      </c>
      <c r="DA120" s="188">
        <f t="shared" si="373"/>
        <v>0</v>
      </c>
      <c r="DB120" s="774">
        <f t="shared" si="373"/>
        <v>0</v>
      </c>
      <c r="DC120" s="774">
        <f t="shared" si="373"/>
        <v>42.080949811117115</v>
      </c>
      <c r="DD120" s="774">
        <f t="shared" si="373"/>
        <v>0</v>
      </c>
      <c r="DE120" s="774">
        <f t="shared" si="373"/>
        <v>52.28025477707007</v>
      </c>
      <c r="DF120" s="188">
        <f t="shared" si="373"/>
        <v>0</v>
      </c>
      <c r="DG120" s="188">
        <f t="shared" si="373"/>
        <v>52.427184466019426</v>
      </c>
      <c r="DH120" s="774">
        <f t="shared" si="373"/>
        <v>45.348066298342552</v>
      </c>
      <c r="DI120" s="774">
        <f t="shared" si="373"/>
        <v>59.494529540481409</v>
      </c>
      <c r="DJ120" s="774">
        <f t="shared" si="373"/>
        <v>49.409704487413357</v>
      </c>
      <c r="DK120" s="774">
        <f t="shared" si="373"/>
        <v>32.695183233239369</v>
      </c>
      <c r="DL120" s="188">
        <f t="shared" si="373"/>
        <v>56.0812894183602</v>
      </c>
      <c r="DM120" s="188">
        <f t="shared" si="373"/>
        <v>50.817236255572084</v>
      </c>
      <c r="DN120" s="774">
        <f t="shared" si="373"/>
        <v>48.974334872234827</v>
      </c>
      <c r="DO120" s="774">
        <f t="shared" si="373"/>
        <v>49.578712967883547</v>
      </c>
      <c r="DP120" s="774">
        <f t="shared" si="373"/>
        <v>47.926076872450565</v>
      </c>
      <c r="DQ120" s="774">
        <f t="shared" si="373"/>
        <v>47.678805603290101</v>
      </c>
      <c r="DR120" s="188">
        <f t="shared" si="373"/>
        <v>51.836881992060633</v>
      </c>
      <c r="DS120" s="188">
        <f t="shared" si="373"/>
        <v>51.774600504625745</v>
      </c>
      <c r="DT120" s="774">
        <f t="shared" si="373"/>
        <v>59.576377433190373</v>
      </c>
      <c r="DU120" s="774">
        <f t="shared" si="373"/>
        <v>36.701373363142778</v>
      </c>
      <c r="DV120" s="774">
        <f t="shared" si="373"/>
        <v>47.329574577139944</v>
      </c>
      <c r="DW120" s="774">
        <f t="shared" si="373"/>
        <v>44.754634678298814</v>
      </c>
      <c r="DX120" s="188">
        <f t="shared" ref="DX120:EC120" si="374">(DX34/$B$34)*100</f>
        <v>45.037037037037045</v>
      </c>
      <c r="DY120" s="188">
        <f t="shared" si="374"/>
        <v>64.376470588235307</v>
      </c>
      <c r="DZ120" s="774">
        <f t="shared" si="374"/>
        <v>48.745545911375068</v>
      </c>
      <c r="EA120" s="774">
        <f t="shared" si="374"/>
        <v>34.545454545454554</v>
      </c>
      <c r="EB120" s="774">
        <f t="shared" si="374"/>
        <v>43.382663847780137</v>
      </c>
      <c r="EC120" s="774">
        <f t="shared" si="374"/>
        <v>46.548204158790178</v>
      </c>
    </row>
    <row r="121" spans="1:138">
      <c r="A121" s="189" t="s">
        <v>12</v>
      </c>
      <c r="B121" s="191">
        <f t="shared" ref="B121:AG121" si="375">(B35/$B$35)*100</f>
        <v>100</v>
      </c>
      <c r="C121" s="191">
        <f t="shared" si="375"/>
        <v>119.31464174454828</v>
      </c>
      <c r="D121" s="191">
        <f t="shared" si="375"/>
        <v>147.30769230769229</v>
      </c>
      <c r="E121" s="191">
        <f t="shared" si="375"/>
        <v>147.30769230769229</v>
      </c>
      <c r="F121" s="191">
        <f t="shared" si="375"/>
        <v>70.275229357798153</v>
      </c>
      <c r="G121" s="191">
        <f t="shared" si="375"/>
        <v>100.32068543451653</v>
      </c>
      <c r="H121" s="191">
        <f t="shared" si="375"/>
        <v>136.78571428571428</v>
      </c>
      <c r="I121" s="191">
        <f t="shared" si="375"/>
        <v>152.71773347324239</v>
      </c>
      <c r="J121" s="191">
        <f t="shared" si="375"/>
        <v>86.899159663865532</v>
      </c>
      <c r="K121" s="191">
        <f t="shared" si="375"/>
        <v>109.23104693140793</v>
      </c>
      <c r="L121" s="191">
        <f t="shared" si="375"/>
        <v>0</v>
      </c>
      <c r="M121" s="191">
        <f t="shared" si="375"/>
        <v>123.90104662226452</v>
      </c>
      <c r="N121" s="191">
        <f t="shared" si="375"/>
        <v>166.08409986859397</v>
      </c>
      <c r="O121" s="191">
        <f t="shared" si="375"/>
        <v>0</v>
      </c>
      <c r="P121" s="191">
        <f t="shared" si="375"/>
        <v>179.89393939393935</v>
      </c>
      <c r="Q121" s="191">
        <f t="shared" si="375"/>
        <v>135.72535991140643</v>
      </c>
      <c r="R121" s="191">
        <f t="shared" si="375"/>
        <v>119.47415329768273</v>
      </c>
      <c r="S121" s="191">
        <f t="shared" si="375"/>
        <v>92.512077294685994</v>
      </c>
      <c r="T121" s="191">
        <f t="shared" si="375"/>
        <v>0</v>
      </c>
      <c r="U121" s="191">
        <f t="shared" si="375"/>
        <v>0</v>
      </c>
      <c r="V121" s="191">
        <f t="shared" si="375"/>
        <v>0</v>
      </c>
      <c r="W121" s="191">
        <f t="shared" si="375"/>
        <v>0</v>
      </c>
      <c r="X121" s="191">
        <f t="shared" si="375"/>
        <v>158.05051583066526</v>
      </c>
      <c r="Y121" s="191">
        <f t="shared" si="375"/>
        <v>0</v>
      </c>
      <c r="Z121" s="191">
        <f t="shared" si="375"/>
        <v>179.89393939393935</v>
      </c>
      <c r="AA121" s="191">
        <f t="shared" si="375"/>
        <v>131.78494623655914</v>
      </c>
      <c r="AB121" s="191">
        <f t="shared" si="375"/>
        <v>143.48703170028818</v>
      </c>
      <c r="AC121" s="191">
        <f t="shared" si="375"/>
        <v>0</v>
      </c>
      <c r="AD121" s="191">
        <f t="shared" si="375"/>
        <v>96.035253227408148</v>
      </c>
      <c r="AE121" s="191">
        <f t="shared" si="375"/>
        <v>100.93541847668695</v>
      </c>
      <c r="AF121" s="191">
        <f t="shared" si="375"/>
        <v>0</v>
      </c>
      <c r="AG121" s="191">
        <f t="shared" si="375"/>
        <v>97.73732562095951</v>
      </c>
      <c r="AH121" s="191">
        <f t="shared" ref="AH121:BM121" si="376">(AH35/$B$35)*100</f>
        <v>179.89393939393935</v>
      </c>
      <c r="AI121" s="191">
        <f t="shared" si="376"/>
        <v>131.78494623655914</v>
      </c>
      <c r="AJ121" s="191">
        <f t="shared" si="376"/>
        <v>65.52966872952311</v>
      </c>
      <c r="AK121" s="191">
        <f t="shared" si="376"/>
        <v>91.4270887389725</v>
      </c>
      <c r="AL121" s="191">
        <f t="shared" si="376"/>
        <v>101.63908835466751</v>
      </c>
      <c r="AM121" s="191">
        <f t="shared" si="376"/>
        <v>109.23104693140793</v>
      </c>
      <c r="AN121" s="191">
        <f t="shared" si="376"/>
        <v>84.175824175824161</v>
      </c>
      <c r="AO121" s="191">
        <f t="shared" si="376"/>
        <v>97.670487106017191</v>
      </c>
      <c r="AP121" s="191">
        <f t="shared" si="376"/>
        <v>0</v>
      </c>
      <c r="AQ121" s="191">
        <f t="shared" si="376"/>
        <v>0</v>
      </c>
      <c r="AR121" s="191">
        <f t="shared" si="376"/>
        <v>0</v>
      </c>
      <c r="AS121" s="191">
        <f t="shared" si="376"/>
        <v>0</v>
      </c>
      <c r="AT121" s="191">
        <f t="shared" si="376"/>
        <v>0</v>
      </c>
      <c r="AU121" s="191">
        <f t="shared" si="376"/>
        <v>0</v>
      </c>
      <c r="AV121" s="191">
        <f t="shared" si="376"/>
        <v>0</v>
      </c>
      <c r="AW121" s="191">
        <f t="shared" si="376"/>
        <v>0</v>
      </c>
      <c r="AX121" s="191">
        <f t="shared" si="376"/>
        <v>179.89393939393935</v>
      </c>
      <c r="AY121" s="191">
        <f t="shared" si="376"/>
        <v>131.78494623655914</v>
      </c>
      <c r="AZ121" s="191">
        <f t="shared" si="376"/>
        <v>143.48703170028818</v>
      </c>
      <c r="BA121" s="191">
        <f t="shared" si="376"/>
        <v>34.510722652730216</v>
      </c>
      <c r="BB121" s="191">
        <f t="shared" si="376"/>
        <v>70.275229357798153</v>
      </c>
      <c r="BC121" s="191">
        <f t="shared" si="376"/>
        <v>100.32068543451653</v>
      </c>
      <c r="BD121" s="191">
        <f t="shared" si="376"/>
        <v>155.20261437908496</v>
      </c>
      <c r="BE121" s="191">
        <f t="shared" si="376"/>
        <v>57.712328767123289</v>
      </c>
      <c r="BF121" s="191">
        <f t="shared" si="376"/>
        <v>155.27027027027026</v>
      </c>
      <c r="BG121" s="191">
        <f t="shared" si="376"/>
        <v>92.970470470470474</v>
      </c>
      <c r="BH121" s="191">
        <f t="shared" si="376"/>
        <v>95.114062951198378</v>
      </c>
      <c r="BI121" s="191">
        <f t="shared" si="376"/>
        <v>91.4270887389725</v>
      </c>
      <c r="BJ121" s="191">
        <f t="shared" si="376"/>
        <v>118.04355108877725</v>
      </c>
      <c r="BK121" s="191">
        <f t="shared" si="376"/>
        <v>155.15991471215352</v>
      </c>
      <c r="BL121" s="191">
        <f t="shared" si="376"/>
        <v>103.85226741467974</v>
      </c>
      <c r="BM121" s="191">
        <f t="shared" si="376"/>
        <v>117.84615384615384</v>
      </c>
      <c r="BN121" s="191">
        <f t="shared" ref="BN121:CS121" si="377">(BN35/$B$35)*100</f>
        <v>98.129643863694582</v>
      </c>
      <c r="BO121" s="191">
        <f t="shared" si="377"/>
        <v>160.20915032679738</v>
      </c>
      <c r="BP121" s="191">
        <f t="shared" si="377"/>
        <v>111.58048069919883</v>
      </c>
      <c r="BQ121" s="191">
        <f t="shared" si="377"/>
        <v>88.725868725868722</v>
      </c>
      <c r="BR121" s="191">
        <f t="shared" si="377"/>
        <v>114.05124653739611</v>
      </c>
      <c r="BS121" s="191">
        <f t="shared" si="377"/>
        <v>123.12585499316005</v>
      </c>
      <c r="BT121" s="191">
        <f t="shared" si="377"/>
        <v>186.1030126336249</v>
      </c>
      <c r="BU121" s="191">
        <f t="shared" si="377"/>
        <v>97.670487106017191</v>
      </c>
      <c r="BV121" s="191">
        <f t="shared" si="377"/>
        <v>100</v>
      </c>
      <c r="BW121" s="191">
        <f t="shared" si="377"/>
        <v>119.31464174454828</v>
      </c>
      <c r="BX121" s="191">
        <f t="shared" si="377"/>
        <v>147.30769230769229</v>
      </c>
      <c r="BY121" s="191">
        <f t="shared" si="377"/>
        <v>147.30769230769229</v>
      </c>
      <c r="BZ121" s="191">
        <f t="shared" si="377"/>
        <v>172.33514352211014</v>
      </c>
      <c r="CA121" s="191">
        <f t="shared" si="377"/>
        <v>145.33482142857144</v>
      </c>
      <c r="CB121" s="191">
        <f t="shared" si="377"/>
        <v>107.53779697624188</v>
      </c>
      <c r="CC121" s="191">
        <f t="shared" si="377"/>
        <v>109.72432432432433</v>
      </c>
      <c r="CD121" s="191">
        <f t="shared" si="377"/>
        <v>105.91340782122904</v>
      </c>
      <c r="CE121" s="191">
        <f t="shared" si="377"/>
        <v>201.57894736842104</v>
      </c>
      <c r="CF121" s="191">
        <f t="shared" si="377"/>
        <v>201.57894736842104</v>
      </c>
      <c r="CG121" s="191">
        <f t="shared" si="377"/>
        <v>128.63751584283904</v>
      </c>
      <c r="CH121" s="191">
        <f t="shared" si="377"/>
        <v>99.509237875288704</v>
      </c>
      <c r="CI121" s="191">
        <f t="shared" si="377"/>
        <v>100.64858820240426</v>
      </c>
      <c r="CJ121" s="191">
        <f t="shared" si="377"/>
        <v>170.44502617801047</v>
      </c>
      <c r="CK121" s="191">
        <f t="shared" si="377"/>
        <v>161.93014705882354</v>
      </c>
      <c r="CL121" s="191">
        <f t="shared" si="377"/>
        <v>130.75991189427313</v>
      </c>
      <c r="CM121" s="191">
        <f t="shared" si="377"/>
        <v>94.776844896155552</v>
      </c>
      <c r="CN121" s="191">
        <f t="shared" si="377"/>
        <v>133.06904231625833</v>
      </c>
      <c r="CO121" s="191">
        <f t="shared" si="377"/>
        <v>146.55612244897961</v>
      </c>
      <c r="CP121" s="774">
        <f t="shared" si="377"/>
        <v>82.26449831236576</v>
      </c>
      <c r="CQ121" s="774">
        <f t="shared" si="377"/>
        <v>79.718396082032456</v>
      </c>
      <c r="CR121" s="774">
        <f t="shared" si="377"/>
        <v>79.718396082032456</v>
      </c>
      <c r="CS121" s="774">
        <f t="shared" si="377"/>
        <v>188.22649572649573</v>
      </c>
      <c r="CT121" s="191">
        <f t="shared" ref="CT121:DW121" si="378">(CT35/$B$35)*100</f>
        <v>164.24951267056531</v>
      </c>
      <c r="CU121" s="191">
        <f t="shared" si="378"/>
        <v>176.66469544648135</v>
      </c>
      <c r="CV121" s="774">
        <f t="shared" si="378"/>
        <v>212.21635883905012</v>
      </c>
      <c r="CW121" s="774">
        <f t="shared" si="378"/>
        <v>40.469146238377</v>
      </c>
      <c r="CX121" s="774">
        <f t="shared" si="378"/>
        <v>98.876233864844352</v>
      </c>
      <c r="CY121" s="774">
        <f t="shared" si="378"/>
        <v>201.57894736842104</v>
      </c>
      <c r="CZ121" s="191">
        <f t="shared" si="378"/>
        <v>0</v>
      </c>
      <c r="DA121" s="191">
        <f t="shared" si="378"/>
        <v>0</v>
      </c>
      <c r="DB121" s="774">
        <f t="shared" si="378"/>
        <v>0</v>
      </c>
      <c r="DC121" s="774">
        <f t="shared" si="378"/>
        <v>164.24951267056531</v>
      </c>
      <c r="DD121" s="774">
        <f t="shared" si="378"/>
        <v>0</v>
      </c>
      <c r="DE121" s="774">
        <f t="shared" si="378"/>
        <v>0</v>
      </c>
      <c r="DF121" s="191">
        <f t="shared" si="378"/>
        <v>274.63178294573646</v>
      </c>
      <c r="DG121" s="191">
        <f t="shared" si="378"/>
        <v>0</v>
      </c>
      <c r="DH121" s="774">
        <f t="shared" si="378"/>
        <v>115.85648962363699</v>
      </c>
      <c r="DI121" s="774">
        <f t="shared" si="378"/>
        <v>0</v>
      </c>
      <c r="DJ121" s="774">
        <f t="shared" si="378"/>
        <v>171.90305206463194</v>
      </c>
      <c r="DK121" s="774">
        <f t="shared" si="378"/>
        <v>237.25663716814159</v>
      </c>
      <c r="DL121" s="191">
        <f t="shared" si="378"/>
        <v>147.67812238055325</v>
      </c>
      <c r="DM121" s="191">
        <f t="shared" si="378"/>
        <v>128.37988826815644</v>
      </c>
      <c r="DN121" s="774">
        <f t="shared" si="378"/>
        <v>133.51236491752005</v>
      </c>
      <c r="DO121" s="774">
        <f t="shared" si="378"/>
        <v>136.45501079983387</v>
      </c>
      <c r="DP121" s="774">
        <f t="shared" si="378"/>
        <v>159.19751259980615</v>
      </c>
      <c r="DQ121" s="774">
        <f t="shared" si="378"/>
        <v>157.07992268900188</v>
      </c>
      <c r="DR121" s="191">
        <f t="shared" si="378"/>
        <v>149.07557573791763</v>
      </c>
      <c r="DS121" s="191">
        <f t="shared" si="378"/>
        <v>131.42156862745097</v>
      </c>
      <c r="DT121" s="774">
        <f t="shared" si="378"/>
        <v>127.66666666666669</v>
      </c>
      <c r="DU121" s="774">
        <f t="shared" si="378"/>
        <v>132.42633794347563</v>
      </c>
      <c r="DV121" s="774">
        <f t="shared" si="378"/>
        <v>146.57237936772043</v>
      </c>
      <c r="DW121" s="774">
        <f t="shared" si="378"/>
        <v>112.94015611448395</v>
      </c>
      <c r="DX121" s="191">
        <f t="shared" ref="DX121:EC121" si="379">(DX35/$B$35)*100</f>
        <v>89.138867339022497</v>
      </c>
      <c r="DY121" s="191">
        <f t="shared" si="379"/>
        <v>88.657407407407405</v>
      </c>
      <c r="DZ121" s="774">
        <f t="shared" si="379"/>
        <v>91.901619676064783</v>
      </c>
      <c r="EA121" s="774">
        <f t="shared" si="379"/>
        <v>133.50762527233113</v>
      </c>
      <c r="EB121" s="774">
        <f t="shared" si="379"/>
        <v>123.68137782561897</v>
      </c>
      <c r="EC121" s="774">
        <f t="shared" si="379"/>
        <v>125.16339869281046</v>
      </c>
    </row>
    <row r="122" spans="1:138">
      <c r="A122" s="189" t="s">
        <v>15</v>
      </c>
      <c r="B122" s="191">
        <f t="shared" ref="B122:AG122" si="380">(B36/$B$36)*100</f>
        <v>100</v>
      </c>
      <c r="C122" s="191">
        <f t="shared" si="380"/>
        <v>85.380929739219496</v>
      </c>
      <c r="D122" s="191">
        <f t="shared" si="380"/>
        <v>85.051632245169884</v>
      </c>
      <c r="E122" s="191">
        <f t="shared" si="380"/>
        <v>49.770955165692001</v>
      </c>
      <c r="F122" s="191">
        <f t="shared" si="380"/>
        <v>112.86641801353778</v>
      </c>
      <c r="G122" s="191">
        <f t="shared" si="380"/>
        <v>97.820985584981571</v>
      </c>
      <c r="H122" s="191">
        <f t="shared" si="380"/>
        <v>66.796689008533846</v>
      </c>
      <c r="I122" s="191">
        <f t="shared" si="380"/>
        <v>95.619076426698939</v>
      </c>
      <c r="J122" s="191">
        <f t="shared" si="380"/>
        <v>116.59134747864428</v>
      </c>
      <c r="K122" s="191">
        <f t="shared" si="380"/>
        <v>121.98735127023261</v>
      </c>
      <c r="L122" s="191">
        <f t="shared" si="380"/>
        <v>0</v>
      </c>
      <c r="M122" s="191">
        <f t="shared" si="380"/>
        <v>69.192173080023906</v>
      </c>
      <c r="N122" s="191">
        <f t="shared" si="380"/>
        <v>71.25763125763126</v>
      </c>
      <c r="O122" s="191">
        <f t="shared" si="380"/>
        <v>0</v>
      </c>
      <c r="P122" s="191">
        <f t="shared" si="380"/>
        <v>68.869483124852493</v>
      </c>
      <c r="Q122" s="191">
        <f t="shared" si="380"/>
        <v>61.133883514601663</v>
      </c>
      <c r="R122" s="191">
        <f t="shared" si="380"/>
        <v>38.906282407087339</v>
      </c>
      <c r="S122" s="191">
        <f t="shared" si="380"/>
        <v>75.577625550385392</v>
      </c>
      <c r="T122" s="191">
        <f t="shared" si="380"/>
        <v>0</v>
      </c>
      <c r="U122" s="191">
        <f t="shared" si="380"/>
        <v>0</v>
      </c>
      <c r="V122" s="191">
        <f t="shared" si="380"/>
        <v>0</v>
      </c>
      <c r="W122" s="191">
        <f t="shared" si="380"/>
        <v>0</v>
      </c>
      <c r="X122" s="191">
        <f t="shared" si="380"/>
        <v>88.479877498730247</v>
      </c>
      <c r="Y122" s="191">
        <f t="shared" si="380"/>
        <v>0</v>
      </c>
      <c r="Z122" s="191">
        <f t="shared" si="380"/>
        <v>75.073507791825932</v>
      </c>
      <c r="AA122" s="191">
        <f t="shared" si="380"/>
        <v>70.242840911279288</v>
      </c>
      <c r="AB122" s="191">
        <f t="shared" si="380"/>
        <v>66.909626680717366</v>
      </c>
      <c r="AC122" s="191">
        <f t="shared" si="380"/>
        <v>0</v>
      </c>
      <c r="AD122" s="191">
        <f t="shared" si="380"/>
        <v>66.4684071322813</v>
      </c>
      <c r="AE122" s="191">
        <f t="shared" si="380"/>
        <v>54.913809031745927</v>
      </c>
      <c r="AF122" s="191">
        <f t="shared" si="380"/>
        <v>0</v>
      </c>
      <c r="AG122" s="191">
        <f t="shared" si="380"/>
        <v>53.298401914866936</v>
      </c>
      <c r="AH122" s="191">
        <f t="shared" ref="AH122:BM122" si="381">(AH36/$B$36)*100</f>
        <v>75.073507791825932</v>
      </c>
      <c r="AI122" s="191">
        <f t="shared" si="381"/>
        <v>70.242840911279288</v>
      </c>
      <c r="AJ122" s="191">
        <f t="shared" si="381"/>
        <v>55.512552985309767</v>
      </c>
      <c r="AK122" s="191">
        <f t="shared" si="381"/>
        <v>64.108760798305681</v>
      </c>
      <c r="AL122" s="191">
        <f t="shared" si="381"/>
        <v>72.442899702085413</v>
      </c>
      <c r="AM122" s="191">
        <f t="shared" si="381"/>
        <v>121.98735127023261</v>
      </c>
      <c r="AN122" s="191">
        <f t="shared" si="381"/>
        <v>66.235060743928074</v>
      </c>
      <c r="AO122" s="191">
        <f t="shared" si="381"/>
        <v>45.949350673410031</v>
      </c>
      <c r="AP122" s="191">
        <f t="shared" si="381"/>
        <v>0</v>
      </c>
      <c r="AQ122" s="191">
        <f t="shared" si="381"/>
        <v>0</v>
      </c>
      <c r="AR122" s="191">
        <f t="shared" si="381"/>
        <v>0</v>
      </c>
      <c r="AS122" s="191">
        <f t="shared" si="381"/>
        <v>0</v>
      </c>
      <c r="AT122" s="191">
        <f t="shared" si="381"/>
        <v>0</v>
      </c>
      <c r="AU122" s="191">
        <f t="shared" si="381"/>
        <v>0</v>
      </c>
      <c r="AV122" s="191">
        <f t="shared" si="381"/>
        <v>0</v>
      </c>
      <c r="AW122" s="191">
        <f t="shared" si="381"/>
        <v>0</v>
      </c>
      <c r="AX122" s="191">
        <f t="shared" si="381"/>
        <v>75.073507791825932</v>
      </c>
      <c r="AY122" s="191">
        <f t="shared" si="381"/>
        <v>70.242840911279288</v>
      </c>
      <c r="AZ122" s="191">
        <f t="shared" si="381"/>
        <v>66.909626680717366</v>
      </c>
      <c r="BA122" s="191">
        <f t="shared" si="381"/>
        <v>113.23406823996089</v>
      </c>
      <c r="BB122" s="191">
        <f t="shared" si="381"/>
        <v>112.86641801353778</v>
      </c>
      <c r="BC122" s="191">
        <f t="shared" si="381"/>
        <v>89.123534224161432</v>
      </c>
      <c r="BD122" s="191">
        <f t="shared" si="381"/>
        <v>72.002632035898046</v>
      </c>
      <c r="BE122" s="191">
        <f t="shared" si="381"/>
        <v>90.853612972326729</v>
      </c>
      <c r="BF122" s="191">
        <f t="shared" si="381"/>
        <v>61.39954440246278</v>
      </c>
      <c r="BG122" s="191">
        <f t="shared" si="381"/>
        <v>76.196831660186859</v>
      </c>
      <c r="BH122" s="191">
        <f t="shared" si="381"/>
        <v>107.46777439938333</v>
      </c>
      <c r="BI122" s="191">
        <f t="shared" si="381"/>
        <v>64.108760798305681</v>
      </c>
      <c r="BJ122" s="191">
        <f t="shared" si="381"/>
        <v>68.562030075187963</v>
      </c>
      <c r="BK122" s="191">
        <f t="shared" si="381"/>
        <v>93.145892387446054</v>
      </c>
      <c r="BL122" s="191">
        <f t="shared" si="381"/>
        <v>70.993441932414868</v>
      </c>
      <c r="BM122" s="191">
        <f t="shared" si="381"/>
        <v>72.587759163405693</v>
      </c>
      <c r="BN122" s="191">
        <f t="shared" ref="BN122:CS122" si="382">(BN36/$B$36)*100</f>
        <v>90.853612972326729</v>
      </c>
      <c r="BO122" s="191">
        <f t="shared" si="382"/>
        <v>85.921725669672909</v>
      </c>
      <c r="BP122" s="191">
        <f t="shared" si="382"/>
        <v>105.39318375543583</v>
      </c>
      <c r="BQ122" s="191">
        <f t="shared" si="382"/>
        <v>95.98684210526315</v>
      </c>
      <c r="BR122" s="191">
        <f t="shared" si="382"/>
        <v>92.306517589310062</v>
      </c>
      <c r="BS122" s="191">
        <f t="shared" si="382"/>
        <v>85.382451138537732</v>
      </c>
      <c r="BT122" s="191">
        <f t="shared" si="382"/>
        <v>58.144477802279546</v>
      </c>
      <c r="BU122" s="191">
        <f t="shared" si="382"/>
        <v>45.949350673410031</v>
      </c>
      <c r="BV122" s="191">
        <f t="shared" si="382"/>
        <v>93.740964823044379</v>
      </c>
      <c r="BW122" s="191">
        <f t="shared" si="382"/>
        <v>85.380929739219496</v>
      </c>
      <c r="BX122" s="191">
        <f t="shared" si="382"/>
        <v>85.051632245169884</v>
      </c>
      <c r="BY122" s="191">
        <f t="shared" si="382"/>
        <v>49.770955165692001</v>
      </c>
      <c r="BZ122" s="191">
        <f t="shared" si="382"/>
        <v>147.05843198782864</v>
      </c>
      <c r="CA122" s="191">
        <f t="shared" si="382"/>
        <v>78.228885171363615</v>
      </c>
      <c r="CB122" s="191">
        <f t="shared" si="382"/>
        <v>84.258912405569092</v>
      </c>
      <c r="CC122" s="191">
        <f t="shared" si="382"/>
        <v>70.812867654196353</v>
      </c>
      <c r="CD122" s="191">
        <f t="shared" si="382"/>
        <v>71.451058858098321</v>
      </c>
      <c r="CE122" s="191">
        <f t="shared" si="382"/>
        <v>92.96546450872944</v>
      </c>
      <c r="CF122" s="191">
        <f t="shared" si="382"/>
        <v>92.96546450872944</v>
      </c>
      <c r="CG122" s="191">
        <f t="shared" si="382"/>
        <v>95.33143846581072</v>
      </c>
      <c r="CH122" s="191">
        <f t="shared" si="382"/>
        <v>80.40782584734086</v>
      </c>
      <c r="CI122" s="191">
        <f t="shared" si="382"/>
        <v>76.294969253861424</v>
      </c>
      <c r="CJ122" s="191">
        <f t="shared" si="382"/>
        <v>93.569626747616411</v>
      </c>
      <c r="CK122" s="191">
        <f t="shared" si="382"/>
        <v>88.664134563212158</v>
      </c>
      <c r="CL122" s="191">
        <f t="shared" si="382"/>
        <v>78.500790926406168</v>
      </c>
      <c r="CM122" s="191">
        <f t="shared" si="382"/>
        <v>91.090716114128739</v>
      </c>
      <c r="CN122" s="191">
        <f t="shared" si="382"/>
        <v>77.119987918145412</v>
      </c>
      <c r="CO122" s="191">
        <f t="shared" si="382"/>
        <v>80.916199877987921</v>
      </c>
      <c r="CP122" s="774">
        <f t="shared" si="382"/>
        <v>91.17724256021198</v>
      </c>
      <c r="CQ122" s="774">
        <f t="shared" si="382"/>
        <v>116.4358964127529</v>
      </c>
      <c r="CR122" s="774">
        <f t="shared" si="382"/>
        <v>99.960262541278993</v>
      </c>
      <c r="CS122" s="774">
        <f t="shared" si="382"/>
        <v>69.055282090117373</v>
      </c>
      <c r="CT122" s="191">
        <f t="shared" ref="CT122:DW122" si="383">(CT36/$B$36)*100</f>
        <v>78.848290149217888</v>
      </c>
      <c r="CU122" s="191">
        <f t="shared" si="383"/>
        <v>71.790712931914271</v>
      </c>
      <c r="CV122" s="774">
        <f t="shared" si="383"/>
        <v>49.445894194597898</v>
      </c>
      <c r="CW122" s="774">
        <f t="shared" si="383"/>
        <v>49.452421052631585</v>
      </c>
      <c r="CX122" s="774">
        <f t="shared" si="383"/>
        <v>53.068053686392901</v>
      </c>
      <c r="CY122" s="774">
        <f t="shared" si="383"/>
        <v>103.5736089617083</v>
      </c>
      <c r="CZ122" s="191">
        <f t="shared" si="383"/>
        <v>0</v>
      </c>
      <c r="DA122" s="191">
        <f t="shared" si="383"/>
        <v>0</v>
      </c>
      <c r="DB122" s="774">
        <f t="shared" si="383"/>
        <v>0</v>
      </c>
      <c r="DC122" s="774">
        <f t="shared" si="383"/>
        <v>78.848290149217888</v>
      </c>
      <c r="DD122" s="774">
        <f t="shared" si="383"/>
        <v>91.155595541560459</v>
      </c>
      <c r="DE122" s="774">
        <f t="shared" si="383"/>
        <v>241.72971778870047</v>
      </c>
      <c r="DF122" s="191">
        <f t="shared" si="383"/>
        <v>98.321989352382246</v>
      </c>
      <c r="DG122" s="191">
        <f t="shared" si="383"/>
        <v>116.92749315148335</v>
      </c>
      <c r="DH122" s="774">
        <f t="shared" si="383"/>
        <v>209.87101826841626</v>
      </c>
      <c r="DI122" s="774">
        <f t="shared" si="383"/>
        <v>76.432787343275237</v>
      </c>
      <c r="DJ122" s="774">
        <f t="shared" si="383"/>
        <v>99.24093808223499</v>
      </c>
      <c r="DK122" s="774">
        <f t="shared" si="383"/>
        <v>54.23751496271403</v>
      </c>
      <c r="DL122" s="191">
        <f t="shared" si="383"/>
        <v>82.508836193046733</v>
      </c>
      <c r="DM122" s="191">
        <f t="shared" si="383"/>
        <v>85.387068130448824</v>
      </c>
      <c r="DN122" s="774">
        <f t="shared" si="383"/>
        <v>101.27969383002269</v>
      </c>
      <c r="DO122" s="774">
        <f t="shared" si="383"/>
        <v>83.18113975695708</v>
      </c>
      <c r="DP122" s="774">
        <f t="shared" si="383"/>
        <v>84.305865159237385</v>
      </c>
      <c r="DQ122" s="774">
        <f t="shared" si="383"/>
        <v>81.816686338737796</v>
      </c>
      <c r="DR122" s="191">
        <f t="shared" si="383"/>
        <v>76.382919435601679</v>
      </c>
      <c r="DS122" s="191">
        <f t="shared" si="383"/>
        <v>83.169784278117547</v>
      </c>
      <c r="DT122" s="774">
        <f t="shared" si="383"/>
        <v>76.437859530370815</v>
      </c>
      <c r="DU122" s="774">
        <f t="shared" si="383"/>
        <v>83.453860547969839</v>
      </c>
      <c r="DV122" s="774">
        <f t="shared" si="383"/>
        <v>89.414850587110521</v>
      </c>
      <c r="DW122" s="774">
        <f t="shared" si="383"/>
        <v>80.627334821724617</v>
      </c>
      <c r="DX122" s="191">
        <f t="shared" ref="DX122:EC122" si="384">(DX36/$B$36)*100</f>
        <v>99.211206310349525</v>
      </c>
      <c r="DY122" s="191">
        <f t="shared" si="384"/>
        <v>72.497614883129273</v>
      </c>
      <c r="DZ122" s="774">
        <f t="shared" si="384"/>
        <v>56.355110585799594</v>
      </c>
      <c r="EA122" s="774">
        <f t="shared" si="384"/>
        <v>66.071248867867567</v>
      </c>
      <c r="EB122" s="774">
        <f t="shared" si="384"/>
        <v>46.349463518461157</v>
      </c>
      <c r="EC122" s="774">
        <f t="shared" si="384"/>
        <v>82.145350539377986</v>
      </c>
    </row>
    <row r="123" spans="1:138">
      <c r="A123" s="189" t="s">
        <v>19</v>
      </c>
      <c r="B123" s="191">
        <f t="shared" ref="B123:AG123" si="385">(B37/$B$37)*100</f>
        <v>100</v>
      </c>
      <c r="C123" s="191">
        <f t="shared" si="385"/>
        <v>110.32629753149455</v>
      </c>
      <c r="D123" s="191">
        <f t="shared" si="385"/>
        <v>96.724680820905348</v>
      </c>
      <c r="E123" s="191">
        <f t="shared" si="385"/>
        <v>88.597699916896772</v>
      </c>
      <c r="F123" s="191">
        <f t="shared" si="385"/>
        <v>116.47906695274249</v>
      </c>
      <c r="G123" s="191">
        <f t="shared" si="385"/>
        <v>120.12406306539157</v>
      </c>
      <c r="H123" s="191">
        <f t="shared" si="385"/>
        <v>118.9966758513841</v>
      </c>
      <c r="I123" s="191">
        <f t="shared" si="385"/>
        <v>118.16810725912983</v>
      </c>
      <c r="J123" s="191">
        <f t="shared" si="385"/>
        <v>125.7000802755263</v>
      </c>
      <c r="K123" s="191">
        <f t="shared" si="385"/>
        <v>141.76877608762638</v>
      </c>
      <c r="L123" s="191">
        <f t="shared" si="385"/>
        <v>0</v>
      </c>
      <c r="M123" s="191">
        <f t="shared" si="385"/>
        <v>126.37222676433126</v>
      </c>
      <c r="N123" s="191">
        <f t="shared" si="385"/>
        <v>96.125631414622575</v>
      </c>
      <c r="O123" s="191">
        <f t="shared" si="385"/>
        <v>0</v>
      </c>
      <c r="P123" s="191">
        <f t="shared" si="385"/>
        <v>120.65742743464445</v>
      </c>
      <c r="Q123" s="191">
        <f t="shared" si="385"/>
        <v>93.695001360791068</v>
      </c>
      <c r="R123" s="191">
        <f t="shared" si="385"/>
        <v>83.181857369082564</v>
      </c>
      <c r="S123" s="191">
        <f t="shared" si="385"/>
        <v>123.75739332994623</v>
      </c>
      <c r="T123" s="191">
        <f t="shared" si="385"/>
        <v>0</v>
      </c>
      <c r="U123" s="191">
        <f t="shared" si="385"/>
        <v>0</v>
      </c>
      <c r="V123" s="191">
        <f t="shared" si="385"/>
        <v>0</v>
      </c>
      <c r="W123" s="191">
        <f t="shared" si="385"/>
        <v>0</v>
      </c>
      <c r="X123" s="191">
        <f t="shared" si="385"/>
        <v>75.526791801900046</v>
      </c>
      <c r="Y123" s="191">
        <f t="shared" si="385"/>
        <v>0</v>
      </c>
      <c r="Z123" s="191">
        <f t="shared" si="385"/>
        <v>102.73404194850224</v>
      </c>
      <c r="AA123" s="191">
        <f t="shared" si="385"/>
        <v>98.028833820737773</v>
      </c>
      <c r="AB123" s="191">
        <f t="shared" si="385"/>
        <v>71.434225441410987</v>
      </c>
      <c r="AC123" s="191">
        <f t="shared" si="385"/>
        <v>0</v>
      </c>
      <c r="AD123" s="191">
        <f t="shared" si="385"/>
        <v>86.649545321071841</v>
      </c>
      <c r="AE123" s="191">
        <f t="shared" si="385"/>
        <v>80.15144923275912</v>
      </c>
      <c r="AF123" s="191">
        <f t="shared" si="385"/>
        <v>0</v>
      </c>
      <c r="AG123" s="191">
        <f t="shared" si="385"/>
        <v>72.81381655970398</v>
      </c>
      <c r="AH123" s="191">
        <f t="shared" ref="AH123:BM123" si="386">(AH37/$B$37)*100</f>
        <v>102.73404194850224</v>
      </c>
      <c r="AI123" s="191">
        <f t="shared" si="386"/>
        <v>98.028833820737773</v>
      </c>
      <c r="AJ123" s="191">
        <f t="shared" si="386"/>
        <v>82.567523813711404</v>
      </c>
      <c r="AK123" s="191">
        <f t="shared" si="386"/>
        <v>155.77400809141884</v>
      </c>
      <c r="AL123" s="191">
        <f t="shared" si="386"/>
        <v>137.35869131533448</v>
      </c>
      <c r="AM123" s="191">
        <f t="shared" si="386"/>
        <v>141.76877608762638</v>
      </c>
      <c r="AN123" s="191">
        <f t="shared" si="386"/>
        <v>131.51092401449574</v>
      </c>
      <c r="AO123" s="191">
        <f t="shared" si="386"/>
        <v>87.102765049005455</v>
      </c>
      <c r="AP123" s="191">
        <f t="shared" si="386"/>
        <v>0</v>
      </c>
      <c r="AQ123" s="191">
        <f t="shared" si="386"/>
        <v>0</v>
      </c>
      <c r="AR123" s="191">
        <f t="shared" si="386"/>
        <v>0</v>
      </c>
      <c r="AS123" s="191">
        <f t="shared" si="386"/>
        <v>0</v>
      </c>
      <c r="AT123" s="191">
        <f t="shared" si="386"/>
        <v>0</v>
      </c>
      <c r="AU123" s="191">
        <f t="shared" si="386"/>
        <v>0</v>
      </c>
      <c r="AV123" s="191">
        <f t="shared" si="386"/>
        <v>0</v>
      </c>
      <c r="AW123" s="191">
        <f t="shared" si="386"/>
        <v>0</v>
      </c>
      <c r="AX123" s="191">
        <f t="shared" si="386"/>
        <v>102.73404194850224</v>
      </c>
      <c r="AY123" s="191">
        <f t="shared" si="386"/>
        <v>98.028833820737773</v>
      </c>
      <c r="AZ123" s="191">
        <f t="shared" si="386"/>
        <v>71.434225441410987</v>
      </c>
      <c r="BA123" s="191">
        <f t="shared" si="386"/>
        <v>190.28090861799893</v>
      </c>
      <c r="BB123" s="191">
        <f t="shared" si="386"/>
        <v>116.47906695274249</v>
      </c>
      <c r="BC123" s="191">
        <f t="shared" si="386"/>
        <v>120.12406306539157</v>
      </c>
      <c r="BD123" s="191">
        <f t="shared" si="386"/>
        <v>85.728885926025839</v>
      </c>
      <c r="BE123" s="191">
        <f t="shared" si="386"/>
        <v>71.36159132321383</v>
      </c>
      <c r="BF123" s="191">
        <f t="shared" si="386"/>
        <v>102.3518152525384</v>
      </c>
      <c r="BG123" s="191">
        <f t="shared" si="386"/>
        <v>106.69218452236935</v>
      </c>
      <c r="BH123" s="191">
        <f t="shared" si="386"/>
        <v>106.39603991779765</v>
      </c>
      <c r="BI123" s="191">
        <f t="shared" si="386"/>
        <v>155.77400809141884</v>
      </c>
      <c r="BJ123" s="191">
        <f t="shared" si="386"/>
        <v>105.21525933673365</v>
      </c>
      <c r="BK123" s="191">
        <f t="shared" si="386"/>
        <v>89.894079995715003</v>
      </c>
      <c r="BL123" s="191">
        <f t="shared" si="386"/>
        <v>97.89997670853711</v>
      </c>
      <c r="BM123" s="191">
        <f t="shared" si="386"/>
        <v>83.517976419595328</v>
      </c>
      <c r="BN123" s="191">
        <f t="shared" ref="BN123:CS123" si="387">(BN37/$B$37)*100</f>
        <v>84.136055801053956</v>
      </c>
      <c r="BO123" s="191">
        <f t="shared" si="387"/>
        <v>107.22151587236483</v>
      </c>
      <c r="BP123" s="191">
        <f t="shared" si="387"/>
        <v>123.75936163838885</v>
      </c>
      <c r="BQ123" s="191">
        <f t="shared" si="387"/>
        <v>110.57689562431834</v>
      </c>
      <c r="BR123" s="191">
        <f t="shared" si="387"/>
        <v>46.020267861689675</v>
      </c>
      <c r="BS123" s="191">
        <f t="shared" si="387"/>
        <v>113.96808614380225</v>
      </c>
      <c r="BT123" s="191">
        <f t="shared" si="387"/>
        <v>120.07591941845493</v>
      </c>
      <c r="BU123" s="191">
        <f t="shared" si="387"/>
        <v>87.102765049005455</v>
      </c>
      <c r="BV123" s="191">
        <f t="shared" si="387"/>
        <v>100</v>
      </c>
      <c r="BW123" s="191">
        <f t="shared" si="387"/>
        <v>110.32629753149455</v>
      </c>
      <c r="BX123" s="191">
        <f t="shared" si="387"/>
        <v>96.724680820905348</v>
      </c>
      <c r="BY123" s="191">
        <f t="shared" si="387"/>
        <v>88.597699916896772</v>
      </c>
      <c r="BZ123" s="191">
        <f t="shared" si="387"/>
        <v>95.422292303143792</v>
      </c>
      <c r="CA123" s="191">
        <f t="shared" si="387"/>
        <v>84.56109046968345</v>
      </c>
      <c r="CB123" s="191">
        <f t="shared" si="387"/>
        <v>122.18365584005393</v>
      </c>
      <c r="CC123" s="191">
        <f t="shared" si="387"/>
        <v>138.29858460879231</v>
      </c>
      <c r="CD123" s="191">
        <f t="shared" si="387"/>
        <v>113.002757232264</v>
      </c>
      <c r="CE123" s="191">
        <f t="shared" si="387"/>
        <v>121.51609378939408</v>
      </c>
      <c r="CF123" s="191">
        <f t="shared" si="387"/>
        <v>121.51609378939408</v>
      </c>
      <c r="CG123" s="191">
        <f t="shared" si="387"/>
        <v>118.54615879058042</v>
      </c>
      <c r="CH123" s="191">
        <f t="shared" si="387"/>
        <v>136.10562645841901</v>
      </c>
      <c r="CI123" s="191">
        <f t="shared" si="387"/>
        <v>138.99735640471042</v>
      </c>
      <c r="CJ123" s="191">
        <f t="shared" si="387"/>
        <v>132.69730325739593</v>
      </c>
      <c r="CK123" s="191">
        <f t="shared" si="387"/>
        <v>156.60900010018764</v>
      </c>
      <c r="CL123" s="191">
        <f t="shared" si="387"/>
        <v>143.435389179976</v>
      </c>
      <c r="CM123" s="191">
        <f t="shared" si="387"/>
        <v>150.8877468589402</v>
      </c>
      <c r="CN123" s="191">
        <f t="shared" si="387"/>
        <v>117.82590219012661</v>
      </c>
      <c r="CO123" s="191">
        <f t="shared" si="387"/>
        <v>120.89677594940787</v>
      </c>
      <c r="CP123" s="774">
        <f t="shared" si="387"/>
        <v>93.351544610934795</v>
      </c>
      <c r="CQ123" s="774">
        <f t="shared" si="387"/>
        <v>113.82095901431579</v>
      </c>
      <c r="CR123" s="774">
        <f t="shared" si="387"/>
        <v>85.290241171204812</v>
      </c>
      <c r="CS123" s="774">
        <f t="shared" si="387"/>
        <v>91.792028131460455</v>
      </c>
      <c r="CT123" s="191">
        <f t="shared" ref="CT123:DL123" si="388">(CT37/$B$37)*100</f>
        <v>114.47835127201564</v>
      </c>
      <c r="CU123" s="191">
        <f t="shared" si="388"/>
        <v>103.10243469580169</v>
      </c>
      <c r="CV123" s="774">
        <f t="shared" si="388"/>
        <v>95.620067622867353</v>
      </c>
      <c r="CW123" s="774">
        <f t="shared" si="388"/>
        <v>95.625961643835623</v>
      </c>
      <c r="CX123" s="774">
        <f t="shared" si="388"/>
        <v>82.096393842240516</v>
      </c>
      <c r="CY123" s="774">
        <f t="shared" si="388"/>
        <v>103.75159817351599</v>
      </c>
      <c r="CZ123" s="191">
        <f t="shared" si="388"/>
        <v>0</v>
      </c>
      <c r="DA123" s="191">
        <f t="shared" si="388"/>
        <v>0</v>
      </c>
      <c r="DB123" s="774">
        <f t="shared" si="388"/>
        <v>0</v>
      </c>
      <c r="DC123" s="774">
        <f t="shared" si="388"/>
        <v>114.47835127201564</v>
      </c>
      <c r="DD123" s="774">
        <f t="shared" si="388"/>
        <v>117.42982408266478</v>
      </c>
      <c r="DE123" s="774">
        <f t="shared" si="388"/>
        <v>98.352069554949267</v>
      </c>
      <c r="DF123" s="191">
        <f t="shared" si="388"/>
        <v>0</v>
      </c>
      <c r="DG123" s="191">
        <f t="shared" si="388"/>
        <v>0</v>
      </c>
      <c r="DH123" s="774">
        <f t="shared" si="388"/>
        <v>127.52859649844903</v>
      </c>
      <c r="DI123" s="774">
        <f t="shared" si="388"/>
        <v>132.10032871596127</v>
      </c>
      <c r="DJ123" s="774">
        <f t="shared" si="388"/>
        <v>123.74296098086984</v>
      </c>
      <c r="DK123" s="774">
        <f t="shared" si="388"/>
        <v>104.95508312670216</v>
      </c>
      <c r="DL123" s="191">
        <f t="shared" si="388"/>
        <v>89.006232347883312</v>
      </c>
      <c r="DM123" s="191">
        <f>(DM37/$B$35)*100</f>
        <v>61.516222293607449</v>
      </c>
      <c r="DN123" s="774">
        <f>(DN37/$B$37)*100</f>
        <v>115.15884393057492</v>
      </c>
      <c r="DO123" s="774">
        <f>(DO37/$B$37)*100</f>
        <v>113.09721850259589</v>
      </c>
      <c r="DP123" s="774">
        <f>(DP37/$B$37)*100</f>
        <v>109.93003346703499</v>
      </c>
      <c r="DQ123" s="774">
        <f>(DQ37/$B$37)*100</f>
        <v>107.62787888139584</v>
      </c>
      <c r="DR123" s="191">
        <f>(DR37/$B$37)*100</f>
        <v>73.288155055462198</v>
      </c>
      <c r="DS123" s="191">
        <f>(DS37/$B$35)*100</f>
        <v>59.131010145566833</v>
      </c>
      <c r="DT123" s="774">
        <f>(DT37/$B$37)*100</f>
        <v>104.58439987623413</v>
      </c>
      <c r="DU123" s="774">
        <f>(DU37/$B$37)*100</f>
        <v>120.96396379513894</v>
      </c>
      <c r="DV123" s="774">
        <f>(DV37/$B$37)*100</f>
        <v>90.436878071333751</v>
      </c>
      <c r="DW123" s="774">
        <f>(DW37/$B$37)*100</f>
        <v>115.19117934092023</v>
      </c>
      <c r="DX123" s="191">
        <f>(DX37/$B$37)*100</f>
        <v>104.70652165097285</v>
      </c>
      <c r="DY123" s="191">
        <f>(DY37/$B$35)*100</f>
        <v>69.983388704318926</v>
      </c>
      <c r="DZ123" s="774">
        <f>(DZ37/$B$37)*100</f>
        <v>113.00275723226399</v>
      </c>
      <c r="EA123" s="774">
        <f>(EA37/$B$37)*100</f>
        <v>0</v>
      </c>
      <c r="EB123" s="774">
        <f>(EB37/$B$37)*100</f>
        <v>123.85128572056713</v>
      </c>
      <c r="EC123" s="774">
        <f>(EC37/$B$37)*100</f>
        <v>86.83983062533423</v>
      </c>
    </row>
    <row r="124" spans="1:138">
      <c r="A124" s="189" t="s">
        <v>22</v>
      </c>
      <c r="B124" s="191">
        <f t="shared" ref="B124:AG124" si="389">(B38/$B$38)*100</f>
        <v>100</v>
      </c>
      <c r="C124" s="191">
        <f t="shared" si="389"/>
        <v>100</v>
      </c>
      <c r="D124" s="191">
        <f t="shared" si="389"/>
        <v>100</v>
      </c>
      <c r="E124" s="191">
        <f t="shared" si="389"/>
        <v>100</v>
      </c>
      <c r="F124" s="191">
        <f t="shared" si="389"/>
        <v>169.66911764705878</v>
      </c>
      <c r="G124" s="191">
        <f t="shared" si="389"/>
        <v>202.79105125977409</v>
      </c>
      <c r="H124" s="191">
        <f t="shared" si="389"/>
        <v>239.46037099494094</v>
      </c>
      <c r="I124" s="191">
        <f t="shared" si="389"/>
        <v>239.46037099494094</v>
      </c>
      <c r="J124" s="191">
        <f t="shared" si="389"/>
        <v>198.16316793893125</v>
      </c>
      <c r="K124" s="191">
        <f t="shared" si="389"/>
        <v>262.96296296296299</v>
      </c>
      <c r="L124" s="191">
        <f t="shared" si="389"/>
        <v>0</v>
      </c>
      <c r="M124" s="191">
        <f t="shared" si="389"/>
        <v>210.15482695810564</v>
      </c>
      <c r="N124" s="191">
        <f t="shared" si="389"/>
        <v>128.02679031427095</v>
      </c>
      <c r="O124" s="191">
        <f t="shared" si="389"/>
        <v>0</v>
      </c>
      <c r="P124" s="191">
        <f t="shared" si="389"/>
        <v>210.62296934595284</v>
      </c>
      <c r="Q124" s="191">
        <f t="shared" si="389"/>
        <v>291.45202833226011</v>
      </c>
      <c r="R124" s="191">
        <f t="shared" si="389"/>
        <v>305.50774526678134</v>
      </c>
      <c r="S124" s="191">
        <f t="shared" si="389"/>
        <v>238.64462209302323</v>
      </c>
      <c r="T124" s="191">
        <f t="shared" si="389"/>
        <v>0</v>
      </c>
      <c r="U124" s="191">
        <f t="shared" si="389"/>
        <v>0</v>
      </c>
      <c r="V124" s="191">
        <f t="shared" si="389"/>
        <v>0</v>
      </c>
      <c r="W124" s="191">
        <f t="shared" si="389"/>
        <v>0</v>
      </c>
      <c r="X124" s="191">
        <f t="shared" si="389"/>
        <v>213.48797250859107</v>
      </c>
      <c r="Y124" s="191">
        <f t="shared" si="389"/>
        <v>0</v>
      </c>
      <c r="Z124" s="191">
        <f t="shared" si="389"/>
        <v>140.74160447761196</v>
      </c>
      <c r="AA124" s="191">
        <f t="shared" si="389"/>
        <v>140.74160447761196</v>
      </c>
      <c r="AB124" s="191">
        <f t="shared" si="389"/>
        <v>300.73418674698792</v>
      </c>
      <c r="AC124" s="191">
        <f t="shared" si="389"/>
        <v>0</v>
      </c>
      <c r="AD124" s="191">
        <f t="shared" si="389"/>
        <v>209.0918826301135</v>
      </c>
      <c r="AE124" s="191">
        <f t="shared" si="389"/>
        <v>196.89406544647804</v>
      </c>
      <c r="AF124" s="191">
        <f t="shared" si="389"/>
        <v>0</v>
      </c>
      <c r="AG124" s="191">
        <f t="shared" si="389"/>
        <v>163.23814133591478</v>
      </c>
      <c r="AH124" s="191">
        <f t="shared" ref="AH124:BM124" si="390">(AH38/$B$38)*100</f>
        <v>140.74160447761196</v>
      </c>
      <c r="AI124" s="191">
        <f t="shared" si="390"/>
        <v>140.74160447761196</v>
      </c>
      <c r="AJ124" s="191">
        <f t="shared" si="390"/>
        <v>57.751862014896119</v>
      </c>
      <c r="AK124" s="191">
        <f t="shared" si="390"/>
        <v>151.58887785501486</v>
      </c>
      <c r="AL124" s="191">
        <f t="shared" si="390"/>
        <v>240.6882938551322</v>
      </c>
      <c r="AM124" s="191">
        <f t="shared" si="390"/>
        <v>262.96296296296299</v>
      </c>
      <c r="AN124" s="191">
        <f t="shared" si="390"/>
        <v>238.89636608344546</v>
      </c>
      <c r="AO124" s="191">
        <f t="shared" si="390"/>
        <v>250.84118438761774</v>
      </c>
      <c r="AP124" s="191">
        <f t="shared" si="390"/>
        <v>0</v>
      </c>
      <c r="AQ124" s="191">
        <f t="shared" si="390"/>
        <v>0</v>
      </c>
      <c r="AR124" s="191">
        <f t="shared" si="390"/>
        <v>0</v>
      </c>
      <c r="AS124" s="191">
        <f t="shared" si="390"/>
        <v>0</v>
      </c>
      <c r="AT124" s="191">
        <f t="shared" si="390"/>
        <v>0</v>
      </c>
      <c r="AU124" s="191">
        <f t="shared" si="390"/>
        <v>0</v>
      </c>
      <c r="AV124" s="191">
        <f t="shared" si="390"/>
        <v>0</v>
      </c>
      <c r="AW124" s="191">
        <f t="shared" si="390"/>
        <v>0</v>
      </c>
      <c r="AX124" s="191">
        <f t="shared" si="390"/>
        <v>140.74160447761196</v>
      </c>
      <c r="AY124" s="191">
        <f t="shared" si="390"/>
        <v>61.493445692883888</v>
      </c>
      <c r="AZ124" s="191">
        <f t="shared" si="390"/>
        <v>300.73418674698792</v>
      </c>
      <c r="BA124" s="191">
        <f t="shared" si="390"/>
        <v>282.90072859744993</v>
      </c>
      <c r="BB124" s="191">
        <f t="shared" si="390"/>
        <v>169.66911764705878</v>
      </c>
      <c r="BC124" s="191">
        <f t="shared" si="390"/>
        <v>202.79105125977409</v>
      </c>
      <c r="BD124" s="191">
        <f t="shared" si="390"/>
        <v>170.4389574759945</v>
      </c>
      <c r="BE124" s="191">
        <f t="shared" si="390"/>
        <v>158.30546265328874</v>
      </c>
      <c r="BF124" s="191">
        <f t="shared" si="390"/>
        <v>145.64420391061449</v>
      </c>
      <c r="BG124" s="191">
        <f t="shared" si="390"/>
        <v>136.03511835467597</v>
      </c>
      <c r="BH124" s="191">
        <f t="shared" si="390"/>
        <v>156.70144462279291</v>
      </c>
      <c r="BI124" s="191">
        <f t="shared" si="390"/>
        <v>151.58887785501486</v>
      </c>
      <c r="BJ124" s="191">
        <f t="shared" si="390"/>
        <v>135.41666666666669</v>
      </c>
      <c r="BK124" s="191">
        <f t="shared" si="390"/>
        <v>196.47678185745136</v>
      </c>
      <c r="BL124" s="191">
        <f t="shared" si="390"/>
        <v>154.88656195462477</v>
      </c>
      <c r="BM124" s="191">
        <f t="shared" si="390"/>
        <v>169.75740611149985</v>
      </c>
      <c r="BN124" s="191">
        <f t="shared" ref="BN124:CS124" si="391">(BN38/$B$38)*100</f>
        <v>193.23060410916898</v>
      </c>
      <c r="BO124" s="191">
        <f t="shared" si="391"/>
        <v>217.5722649103549</v>
      </c>
      <c r="BP124" s="191">
        <f t="shared" si="391"/>
        <v>118.96782841823055</v>
      </c>
      <c r="BQ124" s="191">
        <f t="shared" si="391"/>
        <v>118.96782841823055</v>
      </c>
      <c r="BR124" s="191">
        <f t="shared" si="391"/>
        <v>226.38632162661736</v>
      </c>
      <c r="BS124" s="191">
        <f t="shared" si="391"/>
        <v>204.62779973649538</v>
      </c>
      <c r="BT124" s="191">
        <f t="shared" si="391"/>
        <v>191.6806458377018</v>
      </c>
      <c r="BU124" s="191">
        <f t="shared" si="391"/>
        <v>756.46879756468786</v>
      </c>
      <c r="BV124" s="191">
        <f t="shared" si="391"/>
        <v>756.46879756468786</v>
      </c>
      <c r="BW124" s="191">
        <f t="shared" si="391"/>
        <v>100</v>
      </c>
      <c r="BX124" s="191">
        <f t="shared" si="391"/>
        <v>100</v>
      </c>
      <c r="BY124" s="191">
        <f t="shared" si="391"/>
        <v>100</v>
      </c>
      <c r="BZ124" s="191">
        <f t="shared" si="391"/>
        <v>211.94029850746267</v>
      </c>
      <c r="CA124" s="191">
        <f t="shared" si="391"/>
        <v>218.05896805896805</v>
      </c>
      <c r="CB124" s="191">
        <f t="shared" si="391"/>
        <v>139.38093498904308</v>
      </c>
      <c r="CC124" s="191">
        <f t="shared" si="391"/>
        <v>179.27534810747204</v>
      </c>
      <c r="CD124" s="191">
        <f t="shared" si="391"/>
        <v>212.15929401251117</v>
      </c>
      <c r="CE124" s="191">
        <f t="shared" si="391"/>
        <v>153.74015748031496</v>
      </c>
      <c r="CF124" s="191">
        <f t="shared" si="391"/>
        <v>153.74015748031496</v>
      </c>
      <c r="CG124" s="191">
        <f t="shared" si="391"/>
        <v>178.27745053617275</v>
      </c>
      <c r="CH124" s="191">
        <f t="shared" si="391"/>
        <v>148.32869080779943</v>
      </c>
      <c r="CI124" s="191">
        <f t="shared" si="391"/>
        <v>144.19729206963248</v>
      </c>
      <c r="CJ124" s="191">
        <f t="shared" si="391"/>
        <v>168.33733493397355</v>
      </c>
      <c r="CK124" s="191">
        <f t="shared" si="391"/>
        <v>193.89927791149785</v>
      </c>
      <c r="CL124" s="191">
        <f t="shared" si="391"/>
        <v>150.25395033860048</v>
      </c>
      <c r="CM124" s="191">
        <f t="shared" si="391"/>
        <v>176.76465901848312</v>
      </c>
      <c r="CN124" s="191">
        <f t="shared" si="391"/>
        <v>167.49000888099462</v>
      </c>
      <c r="CO124" s="191">
        <f t="shared" si="391"/>
        <v>128.59451627284886</v>
      </c>
      <c r="CP124" s="774">
        <f t="shared" si="391"/>
        <v>145.54482507288628</v>
      </c>
      <c r="CQ124" s="774">
        <f t="shared" si="391"/>
        <v>145.54482507288628</v>
      </c>
      <c r="CR124" s="774">
        <f t="shared" si="391"/>
        <v>131.58231083844578</v>
      </c>
      <c r="CS124" s="774">
        <f t="shared" si="391"/>
        <v>341.94395796847635</v>
      </c>
      <c r="CT124" s="191">
        <f t="shared" ref="CT124:DW124" si="392">(CT38/$B$38)*100</f>
        <v>231.06964634410932</v>
      </c>
      <c r="CU124" s="191">
        <f t="shared" si="392"/>
        <v>167.99167139882641</v>
      </c>
      <c r="CV124" s="774">
        <f t="shared" si="392"/>
        <v>167.99487499999998</v>
      </c>
      <c r="CW124" s="774">
        <f t="shared" si="392"/>
        <v>167.99487499999998</v>
      </c>
      <c r="CX124" s="774">
        <f t="shared" si="392"/>
        <v>128.2642280474434</v>
      </c>
      <c r="CY124" s="774">
        <f t="shared" si="392"/>
        <v>152.56630648330059</v>
      </c>
      <c r="CZ124" s="191">
        <f t="shared" si="392"/>
        <v>0</v>
      </c>
      <c r="DA124" s="191">
        <f t="shared" si="392"/>
        <v>0</v>
      </c>
      <c r="DB124" s="774">
        <f t="shared" si="392"/>
        <v>0</v>
      </c>
      <c r="DC124" s="774">
        <f t="shared" si="392"/>
        <v>231.06964634410932</v>
      </c>
      <c r="DD124" s="774">
        <f t="shared" si="392"/>
        <v>0</v>
      </c>
      <c r="DE124" s="774">
        <f t="shared" si="392"/>
        <v>0</v>
      </c>
      <c r="DF124" s="191">
        <f t="shared" si="392"/>
        <v>241.02812803103782</v>
      </c>
      <c r="DG124" s="191">
        <f t="shared" si="392"/>
        <v>0</v>
      </c>
      <c r="DH124" s="774">
        <f t="shared" si="392"/>
        <v>180.2734375</v>
      </c>
      <c r="DI124" s="774">
        <f t="shared" si="392"/>
        <v>236.8935260286093</v>
      </c>
      <c r="DJ124" s="774">
        <f t="shared" si="392"/>
        <v>220.14925373134324</v>
      </c>
      <c r="DK124" s="774">
        <f t="shared" si="392"/>
        <v>147.65866094190255</v>
      </c>
      <c r="DL124" s="191">
        <f t="shared" si="392"/>
        <v>186.21774945601487</v>
      </c>
      <c r="DM124" s="191">
        <f t="shared" si="392"/>
        <v>250.87630031659884</v>
      </c>
      <c r="DN124" s="774">
        <f t="shared" si="392"/>
        <v>203.67815466241149</v>
      </c>
      <c r="DO124" s="774">
        <f t="shared" si="392"/>
        <v>207.57894085614672</v>
      </c>
      <c r="DP124" s="774">
        <f t="shared" si="392"/>
        <v>202.69317666073627</v>
      </c>
      <c r="DQ124" s="774">
        <f t="shared" si="392"/>
        <v>199.78383048230182</v>
      </c>
      <c r="DR124" s="191">
        <f t="shared" si="392"/>
        <v>335.52328261871833</v>
      </c>
      <c r="DS124" s="191">
        <f t="shared" si="392"/>
        <v>76.684907834101381</v>
      </c>
      <c r="DT124" s="774">
        <f t="shared" si="392"/>
        <v>227.95855657106841</v>
      </c>
      <c r="DU124" s="774">
        <f t="shared" si="392"/>
        <v>178.11286145878287</v>
      </c>
      <c r="DV124" s="774">
        <f t="shared" si="392"/>
        <v>151.2874573838148</v>
      </c>
      <c r="DW124" s="774">
        <f t="shared" si="392"/>
        <v>189.5631067961165</v>
      </c>
      <c r="DX124" s="191">
        <f t="shared" ref="DX124:EC124" si="393">(DX38/$B$38)*100</f>
        <v>148.65323675871431</v>
      </c>
      <c r="DY124" s="191">
        <f t="shared" si="393"/>
        <v>109.62203557312252</v>
      </c>
      <c r="DZ124" s="774">
        <f t="shared" si="393"/>
        <v>157.33279613215149</v>
      </c>
      <c r="EA124" s="774">
        <f t="shared" si="393"/>
        <v>115.25974025974025</v>
      </c>
      <c r="EB124" s="774">
        <f t="shared" si="393"/>
        <v>141.90917812599935</v>
      </c>
      <c r="EC124" s="774">
        <f t="shared" si="393"/>
        <v>145.91145082203633</v>
      </c>
    </row>
    <row r="125" spans="1:138">
      <c r="A125" s="192" t="s">
        <v>25</v>
      </c>
      <c r="B125" s="191">
        <f t="shared" ref="B125:AG125" si="394">(B39/$B$39)*100</f>
        <v>100</v>
      </c>
      <c r="C125" s="191">
        <f t="shared" si="394"/>
        <v>101.390134529148</v>
      </c>
      <c r="D125" s="191">
        <f t="shared" si="394"/>
        <v>77.079545454545453</v>
      </c>
      <c r="E125" s="191">
        <f t="shared" si="394"/>
        <v>271.48453608247422</v>
      </c>
      <c r="F125" s="191">
        <f t="shared" si="394"/>
        <v>271.48453608247422</v>
      </c>
      <c r="G125" s="191">
        <f t="shared" si="394"/>
        <v>197.35483870967747</v>
      </c>
      <c r="H125" s="191">
        <f t="shared" si="394"/>
        <v>63.670212765957459</v>
      </c>
      <c r="I125" s="191">
        <f t="shared" si="394"/>
        <v>63.788968824940049</v>
      </c>
      <c r="J125" s="191">
        <f t="shared" si="394"/>
        <v>63.788968824940049</v>
      </c>
      <c r="K125" s="191">
        <f t="shared" si="394"/>
        <v>63.788968824940049</v>
      </c>
      <c r="L125" s="191">
        <f t="shared" si="394"/>
        <v>0</v>
      </c>
      <c r="M125" s="191">
        <f t="shared" si="394"/>
        <v>56.923762817654932</v>
      </c>
      <c r="N125" s="191">
        <f t="shared" si="394"/>
        <v>161.28506787330318</v>
      </c>
      <c r="O125" s="191">
        <f t="shared" si="394"/>
        <v>0</v>
      </c>
      <c r="P125" s="191">
        <f t="shared" si="394"/>
        <v>85.017301038062286</v>
      </c>
      <c r="Q125" s="191">
        <f t="shared" si="394"/>
        <v>82.134344528710727</v>
      </c>
      <c r="R125" s="191">
        <f t="shared" si="394"/>
        <v>53.503849019120928</v>
      </c>
      <c r="S125" s="191">
        <f t="shared" si="394"/>
        <v>118.14720812182742</v>
      </c>
      <c r="T125" s="191">
        <f t="shared" si="394"/>
        <v>0</v>
      </c>
      <c r="U125" s="191">
        <f t="shared" si="394"/>
        <v>0</v>
      </c>
      <c r="V125" s="191">
        <f t="shared" si="394"/>
        <v>0</v>
      </c>
      <c r="W125" s="191">
        <f t="shared" si="394"/>
        <v>0</v>
      </c>
      <c r="X125" s="191">
        <f t="shared" si="394"/>
        <v>74.199690059774198</v>
      </c>
      <c r="Y125" s="191">
        <f t="shared" si="394"/>
        <v>0</v>
      </c>
      <c r="Z125" s="191">
        <f t="shared" si="394"/>
        <v>108.68644067796612</v>
      </c>
      <c r="AA125" s="191">
        <f t="shared" si="394"/>
        <v>120.49180327868854</v>
      </c>
      <c r="AB125" s="191">
        <f t="shared" si="394"/>
        <v>71.573195876288665</v>
      </c>
      <c r="AC125" s="191">
        <f t="shared" si="394"/>
        <v>0</v>
      </c>
      <c r="AD125" s="191">
        <f t="shared" si="394"/>
        <v>48.309049866611957</v>
      </c>
      <c r="AE125" s="191">
        <f t="shared" si="394"/>
        <v>57.899408284023664</v>
      </c>
      <c r="AF125" s="191">
        <f t="shared" si="394"/>
        <v>0</v>
      </c>
      <c r="AG125" s="191">
        <f t="shared" si="394"/>
        <v>61.569439217162227</v>
      </c>
      <c r="AH125" s="191">
        <f t="shared" ref="AH125:BM125" si="395">(AH39/$B$39)*100</f>
        <v>108.68644067796612</v>
      </c>
      <c r="AI125" s="191">
        <f t="shared" si="395"/>
        <v>120.49180327868854</v>
      </c>
      <c r="AJ125" s="191">
        <f t="shared" si="395"/>
        <v>26.431518391539317</v>
      </c>
      <c r="AK125" s="191">
        <f t="shared" si="395"/>
        <v>89.615722056501156</v>
      </c>
      <c r="AL125" s="191">
        <f t="shared" si="395"/>
        <v>81.556072788827763</v>
      </c>
      <c r="AM125" s="191">
        <f t="shared" si="395"/>
        <v>81.556072788827763</v>
      </c>
      <c r="AN125" s="191">
        <f t="shared" si="395"/>
        <v>108.39884393063583</v>
      </c>
      <c r="AO125" s="191">
        <f t="shared" si="395"/>
        <v>63.450834879406315</v>
      </c>
      <c r="AP125" s="191">
        <f t="shared" si="395"/>
        <v>0</v>
      </c>
      <c r="AQ125" s="191">
        <f t="shared" si="395"/>
        <v>0</v>
      </c>
      <c r="AR125" s="191">
        <f t="shared" si="395"/>
        <v>0</v>
      </c>
      <c r="AS125" s="191">
        <f t="shared" si="395"/>
        <v>0</v>
      </c>
      <c r="AT125" s="191">
        <f t="shared" si="395"/>
        <v>0</v>
      </c>
      <c r="AU125" s="191">
        <f t="shared" si="395"/>
        <v>0</v>
      </c>
      <c r="AV125" s="191">
        <f t="shared" si="395"/>
        <v>0</v>
      </c>
      <c r="AW125" s="191">
        <f t="shared" si="395"/>
        <v>0</v>
      </c>
      <c r="AX125" s="191">
        <f t="shared" si="395"/>
        <v>108.68644067796612</v>
      </c>
      <c r="AY125" s="191">
        <f t="shared" si="395"/>
        <v>120.49180327868854</v>
      </c>
      <c r="AZ125" s="191">
        <f t="shared" si="395"/>
        <v>71.573195876288665</v>
      </c>
      <c r="BA125" s="191">
        <f t="shared" si="395"/>
        <v>71.573195876288665</v>
      </c>
      <c r="BB125" s="191">
        <f t="shared" si="395"/>
        <v>71.573195876288665</v>
      </c>
      <c r="BC125" s="191">
        <f t="shared" si="395"/>
        <v>184.15384615384619</v>
      </c>
      <c r="BD125" s="191">
        <f t="shared" si="395"/>
        <v>50.506329113924053</v>
      </c>
      <c r="BE125" s="191">
        <f t="shared" si="395"/>
        <v>56.748406081412469</v>
      </c>
      <c r="BF125" s="191">
        <f t="shared" si="395"/>
        <v>55.564202334630352</v>
      </c>
      <c r="BG125" s="191">
        <f t="shared" si="395"/>
        <v>46.247270283890479</v>
      </c>
      <c r="BH125" s="191">
        <f t="shared" si="395"/>
        <v>51.912568306010932</v>
      </c>
      <c r="BI125" s="191">
        <f t="shared" si="395"/>
        <v>89.615722056501156</v>
      </c>
      <c r="BJ125" s="191">
        <f t="shared" si="395"/>
        <v>48.387096774193552</v>
      </c>
      <c r="BK125" s="191">
        <f t="shared" si="395"/>
        <v>39.069767441860471</v>
      </c>
      <c r="BL125" s="191">
        <f t="shared" si="395"/>
        <v>60.627457990704329</v>
      </c>
      <c r="BM125" s="191">
        <f t="shared" si="395"/>
        <v>57.559145989613391</v>
      </c>
      <c r="BN125" s="191">
        <f t="shared" ref="BN125:CS125" si="396">(BN39/$B$39)*100</f>
        <v>73.986754966887432</v>
      </c>
      <c r="BO125" s="191">
        <f t="shared" si="396"/>
        <v>47.736789631106689</v>
      </c>
      <c r="BP125" s="191">
        <f t="shared" si="396"/>
        <v>254.34262948207174</v>
      </c>
      <c r="BQ125" s="191">
        <f t="shared" si="396"/>
        <v>180.59405940594061</v>
      </c>
      <c r="BR125" s="191">
        <f t="shared" si="396"/>
        <v>241.20906801007561</v>
      </c>
      <c r="BS125" s="191">
        <f t="shared" si="396"/>
        <v>294.91304347826087</v>
      </c>
      <c r="BT125" s="191">
        <f t="shared" si="396"/>
        <v>55.601332929415328</v>
      </c>
      <c r="BU125" s="191">
        <f t="shared" si="396"/>
        <v>63.450834879406315</v>
      </c>
      <c r="BV125" s="191">
        <f t="shared" si="396"/>
        <v>100</v>
      </c>
      <c r="BW125" s="191">
        <f t="shared" si="396"/>
        <v>101.390134529148</v>
      </c>
      <c r="BX125" s="191">
        <f t="shared" si="396"/>
        <v>77.079545454545453</v>
      </c>
      <c r="BY125" s="191">
        <f t="shared" si="396"/>
        <v>271.48453608247422</v>
      </c>
      <c r="BZ125" s="191">
        <f t="shared" si="396"/>
        <v>56.505780346820814</v>
      </c>
      <c r="CA125" s="191">
        <f t="shared" si="396"/>
        <v>45.874052782858641</v>
      </c>
      <c r="CB125" s="191">
        <f t="shared" si="396"/>
        <v>53.366533864541843</v>
      </c>
      <c r="CC125" s="191">
        <f t="shared" si="396"/>
        <v>51.469740634005767</v>
      </c>
      <c r="CD125" s="191">
        <f t="shared" si="396"/>
        <v>51.001575906146044</v>
      </c>
      <c r="CE125" s="191">
        <f t="shared" si="396"/>
        <v>78.445040214477217</v>
      </c>
      <c r="CF125" s="191">
        <f t="shared" si="396"/>
        <v>78.445040214477217</v>
      </c>
      <c r="CG125" s="191">
        <f t="shared" si="396"/>
        <v>55.327582826896695</v>
      </c>
      <c r="CH125" s="191">
        <f t="shared" si="396"/>
        <v>58.438914027149323</v>
      </c>
      <c r="CI125" s="191">
        <f t="shared" si="396"/>
        <v>54.800523217789411</v>
      </c>
      <c r="CJ125" s="191">
        <f t="shared" si="396"/>
        <v>60.988272499670593</v>
      </c>
      <c r="CK125" s="191">
        <f t="shared" si="396"/>
        <v>52.64583333333335</v>
      </c>
      <c r="CL125" s="191">
        <f t="shared" si="396"/>
        <v>60.174013921113698</v>
      </c>
      <c r="CM125" s="191">
        <f t="shared" si="396"/>
        <v>69.115433764021006</v>
      </c>
      <c r="CN125" s="191">
        <f t="shared" si="396"/>
        <v>82.66401590457258</v>
      </c>
      <c r="CO125" s="191">
        <f t="shared" si="396"/>
        <v>49.523272214386459</v>
      </c>
      <c r="CP125" s="774">
        <f t="shared" si="396"/>
        <v>78.675190633905885</v>
      </c>
      <c r="CQ125" s="774">
        <f t="shared" si="396"/>
        <v>86.420421581899049</v>
      </c>
      <c r="CR125" s="774">
        <f t="shared" si="396"/>
        <v>96.651805617476597</v>
      </c>
      <c r="CS125" s="774">
        <f t="shared" si="396"/>
        <v>74.001524390243915</v>
      </c>
      <c r="CT125" s="191">
        <f t="shared" ref="CT125:DW125" si="397">(CT39/$B$39)*100</f>
        <v>57.007336851589663</v>
      </c>
      <c r="CU125" s="191">
        <f t="shared" si="397"/>
        <v>54.867284937639901</v>
      </c>
      <c r="CV125" s="774">
        <f t="shared" si="397"/>
        <v>63.839999999999996</v>
      </c>
      <c r="CW125" s="774">
        <f t="shared" si="397"/>
        <v>63.857925031587811</v>
      </c>
      <c r="CX125" s="774">
        <f t="shared" si="397"/>
        <v>66.165829145728637</v>
      </c>
      <c r="CY125" s="774">
        <f t="shared" si="397"/>
        <v>68.48238482384825</v>
      </c>
      <c r="CZ125" s="191">
        <f t="shared" si="397"/>
        <v>0</v>
      </c>
      <c r="DA125" s="191">
        <f t="shared" si="397"/>
        <v>0</v>
      </c>
      <c r="DB125" s="774">
        <f t="shared" si="397"/>
        <v>0</v>
      </c>
      <c r="DC125" s="774">
        <f t="shared" si="397"/>
        <v>57.007336851589663</v>
      </c>
      <c r="DD125" s="774">
        <f t="shared" si="397"/>
        <v>70.582726326742986</v>
      </c>
      <c r="DE125" s="774">
        <f t="shared" si="397"/>
        <v>72.876712328767141</v>
      </c>
      <c r="DF125" s="191">
        <f t="shared" si="397"/>
        <v>67.972742759795565</v>
      </c>
      <c r="DG125" s="191">
        <f t="shared" si="397"/>
        <v>71.377459749552784</v>
      </c>
      <c r="DH125" s="774">
        <f t="shared" si="397"/>
        <v>71.038575667655806</v>
      </c>
      <c r="DI125" s="774">
        <f t="shared" si="397"/>
        <v>50.823193916349808</v>
      </c>
      <c r="DJ125" s="774">
        <f t="shared" si="397"/>
        <v>72.426819296811132</v>
      </c>
      <c r="DK125" s="774">
        <f t="shared" si="397"/>
        <v>101.92724333063867</v>
      </c>
      <c r="DL125" s="191">
        <f t="shared" si="397"/>
        <v>60.875970011837431</v>
      </c>
      <c r="DM125" s="191">
        <f t="shared" si="397"/>
        <v>58.595296371182293</v>
      </c>
      <c r="DN125" s="774">
        <f t="shared" si="397"/>
        <v>69.281183099079186</v>
      </c>
      <c r="DO125" s="774">
        <f t="shared" si="397"/>
        <v>68.988284337649759</v>
      </c>
      <c r="DP125" s="774">
        <f t="shared" si="397"/>
        <v>72.015799407866425</v>
      </c>
      <c r="DQ125" s="774">
        <f t="shared" si="397"/>
        <v>71.947296093042297</v>
      </c>
      <c r="DR125" s="191">
        <f t="shared" si="397"/>
        <v>52.814596189965123</v>
      </c>
      <c r="DS125" s="191">
        <f t="shared" si="397"/>
        <v>45.806421504573457</v>
      </c>
      <c r="DT125" s="774">
        <f t="shared" si="397"/>
        <v>67.20301021322345</v>
      </c>
      <c r="DU125" s="774">
        <f t="shared" si="397"/>
        <v>55.526838966202796</v>
      </c>
      <c r="DV125" s="774">
        <f t="shared" si="397"/>
        <v>47.460449625312251</v>
      </c>
      <c r="DW125" s="774">
        <f t="shared" si="397"/>
        <v>43.826694774215028</v>
      </c>
      <c r="DX125" s="191">
        <f t="shared" ref="DX125:EC125" si="398">(DX39/$B$39)*100</f>
        <v>67.269259168102394</v>
      </c>
      <c r="DY125" s="191">
        <f t="shared" si="398"/>
        <v>42.994170641229459</v>
      </c>
      <c r="DZ125" s="774">
        <f t="shared" si="398"/>
        <v>48.532492397792545</v>
      </c>
      <c r="EA125" s="774">
        <f t="shared" si="398"/>
        <v>62.605363984674348</v>
      </c>
      <c r="EB125" s="774">
        <f t="shared" si="398"/>
        <v>88.085245901639354</v>
      </c>
      <c r="EC125" s="774">
        <f t="shared" si="398"/>
        <v>51.483870967741943</v>
      </c>
    </row>
    <row r="126" spans="1:138">
      <c r="A126" s="859" t="s">
        <v>48</v>
      </c>
      <c r="B126" s="191">
        <f t="shared" ref="B126:AG126" si="399">(B40/$B$40)*100</f>
        <v>100</v>
      </c>
      <c r="C126" s="191">
        <f t="shared" si="399"/>
        <v>93.758449752140592</v>
      </c>
      <c r="D126" s="191">
        <f t="shared" si="399"/>
        <v>118.32227488151659</v>
      </c>
      <c r="E126" s="191">
        <f t="shared" si="399"/>
        <v>117.34348561759727</v>
      </c>
      <c r="F126" s="191">
        <f t="shared" si="399"/>
        <v>45.436206896551724</v>
      </c>
      <c r="G126" s="191">
        <f t="shared" si="399"/>
        <v>36.119791666666664</v>
      </c>
      <c r="H126" s="191">
        <f t="shared" si="399"/>
        <v>80.969060128429632</v>
      </c>
      <c r="I126" s="191">
        <f t="shared" si="399"/>
        <v>90.260303687635556</v>
      </c>
      <c r="J126" s="191">
        <f t="shared" si="399"/>
        <v>58.664652567975835</v>
      </c>
      <c r="K126" s="191">
        <f t="shared" si="399"/>
        <v>72.365217391304341</v>
      </c>
      <c r="L126" s="191">
        <f t="shared" si="399"/>
        <v>0</v>
      </c>
      <c r="M126" s="191">
        <f t="shared" si="399"/>
        <v>84.504467912266463</v>
      </c>
      <c r="N126" s="191">
        <f t="shared" si="399"/>
        <v>81.174404994147466</v>
      </c>
      <c r="O126" s="191">
        <f t="shared" si="399"/>
        <v>0</v>
      </c>
      <c r="P126" s="191">
        <f t="shared" si="399"/>
        <v>112.70314192849402</v>
      </c>
      <c r="Q126" s="191">
        <f t="shared" si="399"/>
        <v>121.95193434935518</v>
      </c>
      <c r="R126" s="191">
        <f t="shared" si="399"/>
        <v>110.5472901168969</v>
      </c>
      <c r="S126" s="191">
        <f t="shared" si="399"/>
        <v>98.021201413427534</v>
      </c>
      <c r="T126" s="191">
        <f t="shared" si="399"/>
        <v>0</v>
      </c>
      <c r="U126" s="191">
        <f t="shared" si="399"/>
        <v>0</v>
      </c>
      <c r="V126" s="191">
        <f t="shared" si="399"/>
        <v>0</v>
      </c>
      <c r="W126" s="191">
        <f t="shared" si="399"/>
        <v>0</v>
      </c>
      <c r="X126" s="191">
        <f t="shared" si="399"/>
        <v>50.963063237284842</v>
      </c>
      <c r="Y126" s="191">
        <f t="shared" si="399"/>
        <v>0</v>
      </c>
      <c r="Z126" s="191">
        <f t="shared" si="399"/>
        <v>114.07353652636669</v>
      </c>
      <c r="AA126" s="191">
        <f t="shared" si="399"/>
        <v>127.34243176178659</v>
      </c>
      <c r="AB126" s="191">
        <f t="shared" si="399"/>
        <v>225.38749999999999</v>
      </c>
      <c r="AC126" s="191">
        <f t="shared" si="399"/>
        <v>0</v>
      </c>
      <c r="AD126" s="191">
        <f t="shared" si="399"/>
        <v>49.377002491990027</v>
      </c>
      <c r="AE126" s="191">
        <f t="shared" si="399"/>
        <v>75.205267234701779</v>
      </c>
      <c r="AF126" s="191">
        <f t="shared" si="399"/>
        <v>0</v>
      </c>
      <c r="AG126" s="191">
        <f t="shared" si="399"/>
        <v>49.535714285714285</v>
      </c>
      <c r="AH126" s="191">
        <f t="shared" ref="AH126:BM126" si="400">(AH40/$B$40)*100</f>
        <v>114.07353652636669</v>
      </c>
      <c r="AI126" s="191">
        <f t="shared" si="400"/>
        <v>127.34243176178659</v>
      </c>
      <c r="AJ126" s="191">
        <f t="shared" si="400"/>
        <v>23.897312198483796</v>
      </c>
      <c r="AK126" s="191">
        <f t="shared" si="400"/>
        <v>63.577191052438579</v>
      </c>
      <c r="AL126" s="191">
        <f t="shared" si="400"/>
        <v>62.557989690721641</v>
      </c>
      <c r="AM126" s="191">
        <f t="shared" si="400"/>
        <v>47.418803418803414</v>
      </c>
      <c r="AN126" s="191">
        <f t="shared" si="400"/>
        <v>71.998516870596944</v>
      </c>
      <c r="AO126" s="191">
        <f t="shared" si="400"/>
        <v>86.399501661129563</v>
      </c>
      <c r="AP126" s="191">
        <f t="shared" si="400"/>
        <v>0</v>
      </c>
      <c r="AQ126" s="191">
        <f t="shared" si="400"/>
        <v>0</v>
      </c>
      <c r="AR126" s="191">
        <f t="shared" si="400"/>
        <v>0</v>
      </c>
      <c r="AS126" s="191">
        <f t="shared" si="400"/>
        <v>0</v>
      </c>
      <c r="AT126" s="191">
        <f t="shared" si="400"/>
        <v>0</v>
      </c>
      <c r="AU126" s="191">
        <f t="shared" si="400"/>
        <v>0</v>
      </c>
      <c r="AV126" s="191">
        <f t="shared" si="400"/>
        <v>0</v>
      </c>
      <c r="AW126" s="191">
        <f t="shared" si="400"/>
        <v>0</v>
      </c>
      <c r="AX126" s="191">
        <f t="shared" si="400"/>
        <v>114.07353652636669</v>
      </c>
      <c r="AY126" s="191">
        <f t="shared" si="400"/>
        <v>127.34243176178659</v>
      </c>
      <c r="AZ126" s="191">
        <f t="shared" si="400"/>
        <v>55.792437650844725</v>
      </c>
      <c r="BA126" s="191">
        <f t="shared" si="400"/>
        <v>84.504467912266463</v>
      </c>
      <c r="BB126" s="191">
        <f t="shared" si="400"/>
        <v>45.436206896551724</v>
      </c>
      <c r="BC126" s="191">
        <f t="shared" si="400"/>
        <v>36.119791666666664</v>
      </c>
      <c r="BD126" s="191">
        <f t="shared" si="400"/>
        <v>31.657029823493605</v>
      </c>
      <c r="BE126" s="191">
        <f t="shared" si="400"/>
        <v>54.822134387351781</v>
      </c>
      <c r="BF126" s="191">
        <f t="shared" si="400"/>
        <v>53.55212355212354</v>
      </c>
      <c r="BG126" s="191">
        <f t="shared" si="400"/>
        <v>40.811265237494744</v>
      </c>
      <c r="BH126" s="191">
        <f t="shared" si="400"/>
        <v>60.862993661628472</v>
      </c>
      <c r="BI126" s="191">
        <f t="shared" si="400"/>
        <v>63.577191052438579</v>
      </c>
      <c r="BJ126" s="191">
        <f t="shared" si="400"/>
        <v>61.655405405405396</v>
      </c>
      <c r="BK126" s="191">
        <f t="shared" si="400"/>
        <v>62.846729708431837</v>
      </c>
      <c r="BL126" s="191">
        <f t="shared" si="400"/>
        <v>61.101321585903079</v>
      </c>
      <c r="BM126" s="191">
        <f t="shared" si="400"/>
        <v>50.466949666464522</v>
      </c>
      <c r="BN126" s="191">
        <f t="shared" ref="BN126:CS126" si="401">(BN40/$B$40)*100</f>
        <v>65.424528301886781</v>
      </c>
      <c r="BO126" s="191">
        <f t="shared" si="401"/>
        <v>31.657029823493605</v>
      </c>
      <c r="BP126" s="191">
        <f t="shared" si="401"/>
        <v>122.0950704225352</v>
      </c>
      <c r="BQ126" s="191">
        <f t="shared" si="401"/>
        <v>95.831414094887151</v>
      </c>
      <c r="BR126" s="191">
        <f t="shared" si="401"/>
        <v>93.131894484412442</v>
      </c>
      <c r="BS126" s="191">
        <f t="shared" si="401"/>
        <v>70.705182667799477</v>
      </c>
      <c r="BT126" s="191">
        <f t="shared" si="401"/>
        <v>67.901436031331571</v>
      </c>
      <c r="BU126" s="191">
        <f t="shared" si="401"/>
        <v>86.399501661129563</v>
      </c>
      <c r="BV126" s="191">
        <f t="shared" si="401"/>
        <v>100</v>
      </c>
      <c r="BW126" s="191">
        <f t="shared" si="401"/>
        <v>93.758449752140592</v>
      </c>
      <c r="BX126" s="191">
        <f t="shared" si="401"/>
        <v>118.32227488151659</v>
      </c>
      <c r="BY126" s="191">
        <f t="shared" si="401"/>
        <v>117.34348561759727</v>
      </c>
      <c r="BZ126" s="191">
        <f t="shared" si="401"/>
        <v>47.381987577639748</v>
      </c>
      <c r="CA126" s="191">
        <f t="shared" si="401"/>
        <v>41.714285714285708</v>
      </c>
      <c r="CB126" s="191">
        <f t="shared" si="401"/>
        <v>48.683748683748682</v>
      </c>
      <c r="CC126" s="191">
        <f t="shared" si="401"/>
        <v>47.12297053517738</v>
      </c>
      <c r="CD126" s="191">
        <f t="shared" si="401"/>
        <v>42.030303030303031</v>
      </c>
      <c r="CE126" s="191">
        <f t="shared" si="401"/>
        <v>71.347736625514386</v>
      </c>
      <c r="CF126" s="191">
        <f t="shared" si="401"/>
        <v>71.347736625514386</v>
      </c>
      <c r="CG126" s="191">
        <f t="shared" si="401"/>
        <v>63.024991885751369</v>
      </c>
      <c r="CH126" s="191">
        <f t="shared" si="401"/>
        <v>49.772727272727266</v>
      </c>
      <c r="CI126" s="191">
        <f t="shared" si="401"/>
        <v>77.437965260545894</v>
      </c>
      <c r="CJ126" s="191">
        <f t="shared" si="401"/>
        <v>82.888446215139439</v>
      </c>
      <c r="CK126" s="191">
        <f t="shared" si="401"/>
        <v>61.507760532150769</v>
      </c>
      <c r="CL126" s="191">
        <f t="shared" si="401"/>
        <v>62.253141831238764</v>
      </c>
      <c r="CM126" s="191">
        <f t="shared" si="401"/>
        <v>72.021775544388603</v>
      </c>
      <c r="CN126" s="191">
        <f t="shared" si="401"/>
        <v>110.21932612841702</v>
      </c>
      <c r="CO126" s="191">
        <f t="shared" si="401"/>
        <v>68.936381709741539</v>
      </c>
      <c r="CP126" s="774">
        <f t="shared" si="401"/>
        <v>77.630597014925357</v>
      </c>
      <c r="CQ126" s="774">
        <f t="shared" si="401"/>
        <v>66.575999999999993</v>
      </c>
      <c r="CR126" s="774">
        <f t="shared" si="401"/>
        <v>87.086647132691496</v>
      </c>
      <c r="CS126" s="774">
        <f t="shared" si="401"/>
        <v>62.15085884988796</v>
      </c>
      <c r="CT126" s="191">
        <f t="shared" ref="CT126:DW126" si="402">(CT40/$B$40)*100</f>
        <v>91.913210773834948</v>
      </c>
      <c r="CU126" s="191">
        <f t="shared" si="402"/>
        <v>53.34615384615384</v>
      </c>
      <c r="CV126" s="774">
        <f t="shared" si="402"/>
        <v>46.987988912842617</v>
      </c>
      <c r="CW126" s="774">
        <f t="shared" si="402"/>
        <v>89.987024221453282</v>
      </c>
      <c r="CX126" s="774">
        <f t="shared" si="402"/>
        <v>82.36342042755345</v>
      </c>
      <c r="CY126" s="774">
        <f t="shared" si="402"/>
        <v>66.287079762689515</v>
      </c>
      <c r="CZ126" s="191">
        <f t="shared" si="402"/>
        <v>0</v>
      </c>
      <c r="DA126" s="191">
        <f t="shared" si="402"/>
        <v>0</v>
      </c>
      <c r="DB126" s="774">
        <f t="shared" si="402"/>
        <v>0</v>
      </c>
      <c r="DC126" s="774">
        <f t="shared" si="402"/>
        <v>91.913210773834948</v>
      </c>
      <c r="DD126" s="774">
        <f t="shared" si="402"/>
        <v>46.064430421786781</v>
      </c>
      <c r="DE126" s="774">
        <f t="shared" si="402"/>
        <v>298.49354375896701</v>
      </c>
      <c r="DF126" s="191">
        <f t="shared" si="402"/>
        <v>0</v>
      </c>
      <c r="DG126" s="191">
        <f t="shared" si="402"/>
        <v>62.269704023944129</v>
      </c>
      <c r="DH126" s="774">
        <f t="shared" si="402"/>
        <v>92.466666666666669</v>
      </c>
      <c r="DI126" s="774">
        <f t="shared" si="402"/>
        <v>61.947297900848575</v>
      </c>
      <c r="DJ126" s="774">
        <f t="shared" si="402"/>
        <v>77.824189526184526</v>
      </c>
      <c r="DK126" s="774">
        <f t="shared" si="402"/>
        <v>117.97083839611176</v>
      </c>
      <c r="DL126" s="191">
        <f t="shared" si="402"/>
        <v>74.857363145720896</v>
      </c>
      <c r="DM126" s="191">
        <f t="shared" si="402"/>
        <v>65.096996245306627</v>
      </c>
      <c r="DN126" s="774">
        <f t="shared" si="402"/>
        <v>81.693891980139838</v>
      </c>
      <c r="DO126" s="774">
        <f t="shared" si="402"/>
        <v>79.898429532385379</v>
      </c>
      <c r="DP126" s="774">
        <f t="shared" si="402"/>
        <v>82.89028480430818</v>
      </c>
      <c r="DQ126" s="774">
        <f t="shared" si="402"/>
        <v>83.734634017328773</v>
      </c>
      <c r="DR126" s="191">
        <f t="shared" si="402"/>
        <v>69.786163522012572</v>
      </c>
      <c r="DS126" s="191">
        <f t="shared" si="402"/>
        <v>50.162748643761304</v>
      </c>
      <c r="DT126" s="774">
        <f t="shared" si="402"/>
        <v>61.317418213969923</v>
      </c>
      <c r="DU126" s="774">
        <f t="shared" si="402"/>
        <v>54.074074074074062</v>
      </c>
      <c r="DV126" s="774">
        <f t="shared" si="402"/>
        <v>73.939338235294116</v>
      </c>
      <c r="DW126" s="774">
        <f t="shared" si="402"/>
        <v>44.341432225063933</v>
      </c>
      <c r="DX126" s="191">
        <f t="shared" ref="DX126:EC126" si="403">(DX40/$B$40)*100</f>
        <v>50.917767988252571</v>
      </c>
      <c r="DY126" s="191">
        <f t="shared" si="403"/>
        <v>24.72945736434108</v>
      </c>
      <c r="DZ126" s="774">
        <f t="shared" si="403"/>
        <v>44.298946023634613</v>
      </c>
      <c r="EA126" s="774">
        <f t="shared" si="403"/>
        <v>40.698356807511729</v>
      </c>
      <c r="EB126" s="774">
        <f t="shared" si="403"/>
        <v>62.731795567616466</v>
      </c>
      <c r="EC126" s="774">
        <f t="shared" si="403"/>
        <v>84.285367039377718</v>
      </c>
    </row>
    <row r="127" spans="1:138" s="178" customFormat="1">
      <c r="A127" s="850" t="s">
        <v>186</v>
      </c>
      <c r="B127" s="880">
        <f>(B41/$B$41)*100</f>
        <v>100</v>
      </c>
      <c r="C127" s="880">
        <f>(C41/$B$41)*100</f>
        <v>110.97942233408902</v>
      </c>
      <c r="D127" s="880">
        <f t="shared" ref="D127:BO127" si="404">(D41/$B$41)*100</f>
        <v>117.6644063841004</v>
      </c>
      <c r="E127" s="880">
        <f t="shared" si="404"/>
        <v>141.54421733502994</v>
      </c>
      <c r="F127" s="880">
        <f t="shared" si="404"/>
        <v>136.65237170536633</v>
      </c>
      <c r="G127" s="880">
        <f t="shared" si="404"/>
        <v>176.80587178927448</v>
      </c>
      <c r="H127" s="880">
        <f t="shared" si="404"/>
        <v>106.38531747795632</v>
      </c>
      <c r="I127" s="880">
        <f t="shared" si="404"/>
        <v>101.2576289619566</v>
      </c>
      <c r="J127" s="880">
        <f t="shared" si="404"/>
        <v>123.98437668140663</v>
      </c>
      <c r="K127" s="880">
        <f t="shared" si="404"/>
        <v>102.64099621444487</v>
      </c>
      <c r="L127" s="880">
        <f t="shared" si="404"/>
        <v>0</v>
      </c>
      <c r="M127" s="880">
        <f t="shared" si="404"/>
        <v>113.63193345063669</v>
      </c>
      <c r="N127" s="880">
        <f t="shared" si="404"/>
        <v>115.11209273578228</v>
      </c>
      <c r="O127" s="880">
        <f t="shared" si="404"/>
        <v>0</v>
      </c>
      <c r="P127" s="880">
        <f t="shared" si="404"/>
        <v>103.5649649934056</v>
      </c>
      <c r="Q127" s="880">
        <f t="shared" si="404"/>
        <v>117.1962555449423</v>
      </c>
      <c r="R127" s="880">
        <f t="shared" si="404"/>
        <v>104.37385000215664</v>
      </c>
      <c r="S127" s="880">
        <f t="shared" si="404"/>
        <v>120.03695742495847</v>
      </c>
      <c r="T127" s="880">
        <f t="shared" si="404"/>
        <v>0</v>
      </c>
      <c r="U127" s="880">
        <f t="shared" si="404"/>
        <v>0</v>
      </c>
      <c r="V127" s="880">
        <f t="shared" si="404"/>
        <v>0</v>
      </c>
      <c r="W127" s="880">
        <f t="shared" si="404"/>
        <v>0</v>
      </c>
      <c r="X127" s="880">
        <f t="shared" si="404"/>
        <v>66.786994328402457</v>
      </c>
      <c r="Y127" s="880">
        <f t="shared" si="404"/>
        <v>0</v>
      </c>
      <c r="Z127" s="880">
        <f t="shared" si="404"/>
        <v>93.403974196943878</v>
      </c>
      <c r="AA127" s="880">
        <f t="shared" si="404"/>
        <v>113.11915748914436</v>
      </c>
      <c r="AB127" s="880">
        <f t="shared" si="404"/>
        <v>132.47192346982567</v>
      </c>
      <c r="AC127" s="880">
        <f t="shared" si="404"/>
        <v>0</v>
      </c>
      <c r="AD127" s="880">
        <f t="shared" si="404"/>
        <v>111.82373168970034</v>
      </c>
      <c r="AE127" s="880">
        <f t="shared" si="404"/>
        <v>74.477400542659552</v>
      </c>
      <c r="AF127" s="880">
        <f t="shared" si="404"/>
        <v>0</v>
      </c>
      <c r="AG127" s="880">
        <f t="shared" si="404"/>
        <v>66.29171626750788</v>
      </c>
      <c r="AH127" s="880">
        <f t="shared" si="404"/>
        <v>82.691456546842673</v>
      </c>
      <c r="AI127" s="880">
        <f t="shared" si="404"/>
        <v>113.11915748914436</v>
      </c>
      <c r="AJ127" s="880">
        <f t="shared" si="404"/>
        <v>92.770248291009196</v>
      </c>
      <c r="AK127" s="880">
        <f t="shared" si="404"/>
        <v>108.30714519560527</v>
      </c>
      <c r="AL127" s="880">
        <f t="shared" si="404"/>
        <v>121.94565817142502</v>
      </c>
      <c r="AM127" s="880">
        <f t="shared" si="404"/>
        <v>121.94565817142502</v>
      </c>
      <c r="AN127" s="880">
        <f t="shared" si="404"/>
        <v>132.2620120067655</v>
      </c>
      <c r="AO127" s="880">
        <f t="shared" si="404"/>
        <v>97.668859253448488</v>
      </c>
      <c r="AP127" s="880">
        <f t="shared" si="404"/>
        <v>0</v>
      </c>
      <c r="AQ127" s="880">
        <f t="shared" si="404"/>
        <v>0</v>
      </c>
      <c r="AR127" s="880">
        <f t="shared" si="404"/>
        <v>0</v>
      </c>
      <c r="AS127" s="880">
        <f t="shared" si="404"/>
        <v>0</v>
      </c>
      <c r="AT127" s="880">
        <f t="shared" si="404"/>
        <v>0</v>
      </c>
      <c r="AU127" s="880">
        <f t="shared" si="404"/>
        <v>0</v>
      </c>
      <c r="AV127" s="880">
        <f t="shared" si="404"/>
        <v>0</v>
      </c>
      <c r="AW127" s="880">
        <f t="shared" si="404"/>
        <v>0</v>
      </c>
      <c r="AX127" s="880">
        <f t="shared" si="404"/>
        <v>111.04805826275997</v>
      </c>
      <c r="AY127" s="880">
        <f t="shared" si="404"/>
        <v>113.11915748914436</v>
      </c>
      <c r="AZ127" s="880">
        <f t="shared" si="404"/>
        <v>88.508292603645103</v>
      </c>
      <c r="BA127" s="880">
        <f t="shared" si="404"/>
        <v>113.63193345063669</v>
      </c>
      <c r="BB127" s="880">
        <f t="shared" si="404"/>
        <v>103.40997242922849</v>
      </c>
      <c r="BC127" s="880">
        <f t="shared" si="404"/>
        <v>124.56174874310912</v>
      </c>
      <c r="BD127" s="880">
        <f t="shared" si="404"/>
        <v>83.360460625348622</v>
      </c>
      <c r="BE127" s="880">
        <f t="shared" si="404"/>
        <v>74.276478766715982</v>
      </c>
      <c r="BF127" s="880">
        <f t="shared" si="404"/>
        <v>65.159340844578878</v>
      </c>
      <c r="BG127" s="880">
        <f t="shared" si="404"/>
        <v>72.371116928208068</v>
      </c>
      <c r="BH127" s="880">
        <f t="shared" si="404"/>
        <v>83.801790352818543</v>
      </c>
      <c r="BI127" s="880">
        <f t="shared" si="404"/>
        <v>86.419862708924398</v>
      </c>
      <c r="BJ127" s="880">
        <f t="shared" si="404"/>
        <v>90.198122131397085</v>
      </c>
      <c r="BK127" s="880">
        <f t="shared" si="404"/>
        <v>122.24610020501696</v>
      </c>
      <c r="BL127" s="880">
        <f t="shared" si="404"/>
        <v>129.81210599928974</v>
      </c>
      <c r="BM127" s="880">
        <f t="shared" si="404"/>
        <v>134.48298975567005</v>
      </c>
      <c r="BN127" s="880">
        <f t="shared" si="404"/>
        <v>142.49094299211927</v>
      </c>
      <c r="BO127" s="880">
        <f t="shared" si="404"/>
        <v>132.79458622423502</v>
      </c>
      <c r="BP127" s="880">
        <f t="shared" ref="BP127:DW127" si="405">(BP41/$B$41)*100</f>
        <v>212.92808017690126</v>
      </c>
      <c r="BQ127" s="880">
        <f t="shared" si="405"/>
        <v>238.06874224104232</v>
      </c>
      <c r="BR127" s="880">
        <f t="shared" si="405"/>
        <v>178.70541902242522</v>
      </c>
      <c r="BS127" s="880">
        <f t="shared" si="405"/>
        <v>213.86139890626771</v>
      </c>
      <c r="BT127" s="880">
        <f t="shared" si="405"/>
        <v>67.987375690515478</v>
      </c>
      <c r="BU127" s="880">
        <f t="shared" si="405"/>
        <v>97.668859253448488</v>
      </c>
      <c r="BV127" s="880">
        <f t="shared" si="405"/>
        <v>100</v>
      </c>
      <c r="BW127" s="880">
        <f t="shared" si="405"/>
        <v>110.97942233408902</v>
      </c>
      <c r="BX127" s="880">
        <f t="shared" si="405"/>
        <v>117.6644063841004</v>
      </c>
      <c r="BY127" s="880">
        <f t="shared" si="405"/>
        <v>141.54421733502994</v>
      </c>
      <c r="BZ127" s="880">
        <f t="shared" si="405"/>
        <v>92.971794466281779</v>
      </c>
      <c r="CA127" s="880">
        <f t="shared" si="405"/>
        <v>82.895908481334487</v>
      </c>
      <c r="CB127" s="880">
        <f t="shared" si="405"/>
        <v>101.04354019522381</v>
      </c>
      <c r="CC127" s="880">
        <f t="shared" si="405"/>
        <v>84.853434336039967</v>
      </c>
      <c r="CD127" s="880">
        <f t="shared" si="405"/>
        <v>84.106438929613176</v>
      </c>
      <c r="CE127" s="880">
        <f t="shared" si="405"/>
        <v>75.26377920702005</v>
      </c>
      <c r="CF127" s="880">
        <f t="shared" si="405"/>
        <v>89.382771227728398</v>
      </c>
      <c r="CG127" s="880">
        <f t="shared" si="405"/>
        <v>114.09934512159833</v>
      </c>
      <c r="CH127" s="880">
        <f t="shared" si="405"/>
        <v>98.440061207847691</v>
      </c>
      <c r="CI127" s="880">
        <f t="shared" si="405"/>
        <v>105.9400465467141</v>
      </c>
      <c r="CJ127" s="880">
        <f t="shared" si="405"/>
        <v>95.698178883394775</v>
      </c>
      <c r="CK127" s="880">
        <f t="shared" si="405"/>
        <v>102.48507376232561</v>
      </c>
      <c r="CL127" s="880">
        <f t="shared" si="405"/>
        <v>98.016089344731981</v>
      </c>
      <c r="CM127" s="880">
        <f t="shared" si="405"/>
        <v>119.67539181214926</v>
      </c>
      <c r="CN127" s="880">
        <f t="shared" si="405"/>
        <v>119.73638600882026</v>
      </c>
      <c r="CO127" s="880">
        <f t="shared" si="405"/>
        <v>115.83484687251764</v>
      </c>
      <c r="CP127" s="880">
        <f t="shared" si="405"/>
        <v>84.926481919320977</v>
      </c>
      <c r="CQ127" s="880">
        <f t="shared" si="405"/>
        <v>125.9922782450238</v>
      </c>
      <c r="CR127" s="880">
        <f t="shared" si="405"/>
        <v>108.45034500175026</v>
      </c>
      <c r="CS127" s="880">
        <f t="shared" si="405"/>
        <v>91.005832116678476</v>
      </c>
      <c r="CT127" s="880">
        <f t="shared" si="405"/>
        <v>117.60310972796502</v>
      </c>
      <c r="CU127" s="880">
        <f t="shared" si="405"/>
        <v>85.465462868857216</v>
      </c>
      <c r="CV127" s="880">
        <f t="shared" si="405"/>
        <v>85.261437429819537</v>
      </c>
      <c r="CW127" s="880">
        <f t="shared" si="405"/>
        <v>93.640861944355692</v>
      </c>
      <c r="CX127" s="880">
        <f t="shared" si="405"/>
        <v>139.97039894307846</v>
      </c>
      <c r="CY127" s="880">
        <f t="shared" si="405"/>
        <v>105.85238242651218</v>
      </c>
      <c r="CZ127" s="880">
        <f t="shared" si="405"/>
        <v>0</v>
      </c>
      <c r="DA127" s="880">
        <f t="shared" si="405"/>
        <v>0</v>
      </c>
      <c r="DB127" s="880">
        <f t="shared" si="405"/>
        <v>0</v>
      </c>
      <c r="DC127" s="880">
        <f t="shared" si="405"/>
        <v>117.60310972796502</v>
      </c>
      <c r="DD127" s="880">
        <f t="shared" si="405"/>
        <v>43.47327531824498</v>
      </c>
      <c r="DE127" s="880">
        <f t="shared" si="405"/>
        <v>0</v>
      </c>
      <c r="DF127" s="880">
        <f t="shared" si="405"/>
        <v>0</v>
      </c>
      <c r="DG127" s="880">
        <f t="shared" si="405"/>
        <v>25.013716043419837</v>
      </c>
      <c r="DH127" s="880">
        <f t="shared" si="405"/>
        <v>110.74906342087579</v>
      </c>
      <c r="DI127" s="880">
        <f t="shared" si="405"/>
        <v>43.328720781640499</v>
      </c>
      <c r="DJ127" s="880">
        <f t="shared" si="405"/>
        <v>73.754196341886683</v>
      </c>
      <c r="DK127" s="880">
        <f t="shared" si="405"/>
        <v>69.791103573408904</v>
      </c>
      <c r="DL127" s="880">
        <f t="shared" si="405"/>
        <v>87.626630625208364</v>
      </c>
      <c r="DM127" s="880">
        <f t="shared" si="405"/>
        <v>101.92448461540383</v>
      </c>
      <c r="DN127" s="880">
        <f t="shared" si="405"/>
        <v>81.195699893070667</v>
      </c>
      <c r="DO127" s="880">
        <f t="shared" si="405"/>
        <v>76.270139305103172</v>
      </c>
      <c r="DP127" s="880">
        <f t="shared" si="405"/>
        <v>81.760375725680262</v>
      </c>
      <c r="DQ127" s="880">
        <f t="shared" si="405"/>
        <v>83.09473895631254</v>
      </c>
      <c r="DR127" s="880">
        <f t="shared" si="405"/>
        <v>89.723102088367284</v>
      </c>
      <c r="DS127" s="880">
        <f t="shared" si="405"/>
        <v>89.497289756233712</v>
      </c>
      <c r="DT127" s="880">
        <f t="shared" si="405"/>
        <v>87.415163956935515</v>
      </c>
      <c r="DU127" s="880">
        <f t="shared" si="405"/>
        <v>99.248360902095399</v>
      </c>
      <c r="DV127" s="880">
        <f t="shared" si="405"/>
        <v>47.874966568226299</v>
      </c>
      <c r="DW127" s="880">
        <f t="shared" si="405"/>
        <v>108.2350233291953</v>
      </c>
      <c r="DX127" s="880">
        <f t="shared" ref="DX127:EC127" si="406">(DX41/$B$41)*100</f>
        <v>56.995545312135519</v>
      </c>
      <c r="DY127" s="880">
        <f t="shared" si="406"/>
        <v>48.880682212944819</v>
      </c>
      <c r="DZ127" s="880">
        <f t="shared" si="406"/>
        <v>95.32586733261877</v>
      </c>
      <c r="EA127" s="880">
        <f t="shared" si="406"/>
        <v>64.52110753901313</v>
      </c>
      <c r="EB127" s="880">
        <f t="shared" si="406"/>
        <v>54.63637264853066</v>
      </c>
      <c r="EC127" s="880">
        <f t="shared" si="406"/>
        <v>60.713095269347107</v>
      </c>
      <c r="ED127" s="852"/>
      <c r="EE127" s="852"/>
      <c r="EF127" s="852"/>
      <c r="EG127" s="852"/>
      <c r="EH127" s="852"/>
    </row>
    <row r="128" spans="1:138">
      <c r="A128" s="193" t="s">
        <v>30</v>
      </c>
      <c r="B128" s="191">
        <f t="shared" ref="B128:AG128" si="407">(B42/$B$42)*100</f>
        <v>100</v>
      </c>
      <c r="C128" s="191">
        <f t="shared" si="407"/>
        <v>115.55595581171951</v>
      </c>
      <c r="D128" s="191">
        <f t="shared" si="407"/>
        <v>115.55595581171951</v>
      </c>
      <c r="E128" s="191">
        <f t="shared" si="407"/>
        <v>203.07783018867923</v>
      </c>
      <c r="F128" s="191">
        <f t="shared" si="407"/>
        <v>203.07783018867923</v>
      </c>
      <c r="G128" s="191">
        <f t="shared" si="407"/>
        <v>266.09601449275362</v>
      </c>
      <c r="H128" s="191">
        <f t="shared" si="407"/>
        <v>93.35623324396785</v>
      </c>
      <c r="I128" s="191">
        <f t="shared" si="407"/>
        <v>40.198412698412703</v>
      </c>
      <c r="J128" s="191">
        <f t="shared" si="407"/>
        <v>40.198412698412703</v>
      </c>
      <c r="K128" s="191">
        <f t="shared" si="407"/>
        <v>40.198412698412703</v>
      </c>
      <c r="L128" s="191">
        <f t="shared" si="407"/>
        <v>0</v>
      </c>
      <c r="M128" s="191">
        <f t="shared" si="407"/>
        <v>97.793907322654476</v>
      </c>
      <c r="N128" s="191">
        <f t="shared" si="407"/>
        <v>120.75953678474114</v>
      </c>
      <c r="O128" s="191">
        <f t="shared" si="407"/>
        <v>0</v>
      </c>
      <c r="P128" s="191">
        <f t="shared" si="407"/>
        <v>102.81855090568395</v>
      </c>
      <c r="Q128" s="191">
        <f t="shared" si="407"/>
        <v>100.00609399375975</v>
      </c>
      <c r="R128" s="191">
        <f t="shared" si="407"/>
        <v>37.068208430913351</v>
      </c>
      <c r="S128" s="191">
        <f t="shared" si="407"/>
        <v>37.063558436127956</v>
      </c>
      <c r="T128" s="191">
        <f t="shared" si="407"/>
        <v>0</v>
      </c>
      <c r="U128" s="191">
        <f t="shared" si="407"/>
        <v>0</v>
      </c>
      <c r="V128" s="191">
        <f t="shared" si="407"/>
        <v>0</v>
      </c>
      <c r="W128" s="191">
        <f t="shared" si="407"/>
        <v>0</v>
      </c>
      <c r="X128" s="191">
        <f t="shared" si="407"/>
        <v>34.213791583627163</v>
      </c>
      <c r="Y128" s="191">
        <f t="shared" si="407"/>
        <v>0</v>
      </c>
      <c r="Z128" s="191">
        <f t="shared" si="407"/>
        <v>121.14704658901829</v>
      </c>
      <c r="AA128" s="191">
        <f t="shared" si="407"/>
        <v>95.357242469319445</v>
      </c>
      <c r="AB128" s="191">
        <f t="shared" si="407"/>
        <v>70.229189970171518</v>
      </c>
      <c r="AC128" s="191">
        <f t="shared" si="407"/>
        <v>0</v>
      </c>
      <c r="AD128" s="191">
        <f t="shared" si="407"/>
        <v>57.481267775103916</v>
      </c>
      <c r="AE128" s="191">
        <f t="shared" si="407"/>
        <v>68.851952545724174</v>
      </c>
      <c r="AF128" s="191">
        <f t="shared" si="407"/>
        <v>0</v>
      </c>
      <c r="AG128" s="191">
        <f t="shared" si="407"/>
        <v>45.189237415477088</v>
      </c>
      <c r="AH128" s="191">
        <f t="shared" ref="AH128:BM128" si="408">(AH42/$B$42)*100</f>
        <v>121.14704658901829</v>
      </c>
      <c r="AI128" s="191">
        <f t="shared" si="408"/>
        <v>95.357242469319445</v>
      </c>
      <c r="AJ128" s="191">
        <f t="shared" si="408"/>
        <v>77.152167085427138</v>
      </c>
      <c r="AK128" s="191">
        <f t="shared" si="408"/>
        <v>126.08845338983052</v>
      </c>
      <c r="AL128" s="191">
        <f t="shared" si="408"/>
        <v>125.19420903954803</v>
      </c>
      <c r="AM128" s="191">
        <f t="shared" si="408"/>
        <v>125.19420903954803</v>
      </c>
      <c r="AN128" s="191">
        <f t="shared" si="408"/>
        <v>161.03580990629186</v>
      </c>
      <c r="AO128" s="191">
        <f t="shared" si="408"/>
        <v>92.523486430062647</v>
      </c>
      <c r="AP128" s="191">
        <f t="shared" si="408"/>
        <v>0</v>
      </c>
      <c r="AQ128" s="191">
        <f t="shared" si="408"/>
        <v>0</v>
      </c>
      <c r="AR128" s="191">
        <f t="shared" si="408"/>
        <v>0</v>
      </c>
      <c r="AS128" s="191">
        <f t="shared" si="408"/>
        <v>0</v>
      </c>
      <c r="AT128" s="191">
        <f t="shared" si="408"/>
        <v>0</v>
      </c>
      <c r="AU128" s="191">
        <f t="shared" si="408"/>
        <v>0</v>
      </c>
      <c r="AV128" s="191">
        <f t="shared" si="408"/>
        <v>0</v>
      </c>
      <c r="AW128" s="191">
        <f t="shared" si="408"/>
        <v>0</v>
      </c>
      <c r="AX128" s="191">
        <f t="shared" si="408"/>
        <v>121.14704658901829</v>
      </c>
      <c r="AY128" s="191">
        <f t="shared" si="408"/>
        <v>95.357242469319445</v>
      </c>
      <c r="AZ128" s="191">
        <f t="shared" si="408"/>
        <v>70.229189970171518</v>
      </c>
      <c r="BA128" s="191">
        <f t="shared" si="408"/>
        <v>97.793907322654476</v>
      </c>
      <c r="BB128" s="191">
        <f t="shared" si="408"/>
        <v>97.793907322654476</v>
      </c>
      <c r="BC128" s="191">
        <f t="shared" si="408"/>
        <v>97.793907322654476</v>
      </c>
      <c r="BD128" s="191">
        <f t="shared" si="408"/>
        <v>38.007965827753402</v>
      </c>
      <c r="BE128" s="191">
        <f t="shared" si="408"/>
        <v>47.801425269645613</v>
      </c>
      <c r="BF128" s="191">
        <f t="shared" si="408"/>
        <v>48.040634984025566</v>
      </c>
      <c r="BG128" s="191">
        <f t="shared" si="408"/>
        <v>39.370798319327733</v>
      </c>
      <c r="BH128" s="191">
        <f t="shared" si="408"/>
        <v>50.746660305343518</v>
      </c>
      <c r="BI128" s="191">
        <f t="shared" si="408"/>
        <v>85.557432432432435</v>
      </c>
      <c r="BJ128" s="191">
        <f t="shared" si="408"/>
        <v>92.442001946787812</v>
      </c>
      <c r="BK128" s="191">
        <f t="shared" si="408"/>
        <v>37.09716796875</v>
      </c>
      <c r="BL128" s="191">
        <f t="shared" si="408"/>
        <v>64.947226099092802</v>
      </c>
      <c r="BM128" s="191">
        <f t="shared" si="408"/>
        <v>61.119068025983395</v>
      </c>
      <c r="BN128" s="191">
        <f t="shared" ref="BN128:CS128" si="409">(BN42/$B$42)*100</f>
        <v>64.038267026298044</v>
      </c>
      <c r="BO128" s="191">
        <f t="shared" si="409"/>
        <v>49.990964190391466</v>
      </c>
      <c r="BP128" s="191">
        <f t="shared" si="409"/>
        <v>177.13786101083033</v>
      </c>
      <c r="BQ128" s="191">
        <f t="shared" si="409"/>
        <v>221.59375</v>
      </c>
      <c r="BR128" s="191">
        <f t="shared" si="409"/>
        <v>127.1335341365462</v>
      </c>
      <c r="BS128" s="191">
        <f t="shared" si="409"/>
        <v>179.92895204262877</v>
      </c>
      <c r="BT128" s="191">
        <f t="shared" si="409"/>
        <v>46.499525499257302</v>
      </c>
      <c r="BU128" s="191">
        <f t="shared" si="409"/>
        <v>92.523486430062647</v>
      </c>
      <c r="BV128" s="191">
        <f t="shared" si="409"/>
        <v>100</v>
      </c>
      <c r="BW128" s="191">
        <f t="shared" si="409"/>
        <v>115.55595581171951</v>
      </c>
      <c r="BX128" s="191">
        <f t="shared" si="409"/>
        <v>115.55595581171951</v>
      </c>
      <c r="BY128" s="191">
        <f t="shared" si="409"/>
        <v>203.07783018867923</v>
      </c>
      <c r="BZ128" s="191">
        <f t="shared" si="409"/>
        <v>54.152471730936504</v>
      </c>
      <c r="CA128" s="191">
        <f t="shared" si="409"/>
        <v>29.770003083326905</v>
      </c>
      <c r="CB128" s="191">
        <f t="shared" si="409"/>
        <v>42.325905292479113</v>
      </c>
      <c r="CC128" s="191">
        <f t="shared" si="409"/>
        <v>40.66769473898858</v>
      </c>
      <c r="CD128" s="191">
        <f t="shared" si="409"/>
        <v>41.607338444687848</v>
      </c>
      <c r="CE128" s="191">
        <f t="shared" si="409"/>
        <v>62.99751243781094</v>
      </c>
      <c r="CF128" s="191">
        <f t="shared" si="409"/>
        <v>62.99751243781094</v>
      </c>
      <c r="CG128" s="191">
        <f t="shared" si="409"/>
        <v>43.862152186257809</v>
      </c>
      <c r="CH128" s="191">
        <f t="shared" si="409"/>
        <v>63.312500000000007</v>
      </c>
      <c r="CI128" s="191">
        <f t="shared" si="409"/>
        <v>48.801881413911055</v>
      </c>
      <c r="CJ128" s="191">
        <f t="shared" si="409"/>
        <v>35.243227362691734</v>
      </c>
      <c r="CK128" s="191">
        <f t="shared" si="409"/>
        <v>54.359217171717169</v>
      </c>
      <c r="CL128" s="191">
        <f t="shared" si="409"/>
        <v>41.738271249359954</v>
      </c>
      <c r="CM128" s="191">
        <f t="shared" si="409"/>
        <v>58.558136974234756</v>
      </c>
      <c r="CN128" s="191">
        <f t="shared" si="409"/>
        <v>118.71093749999999</v>
      </c>
      <c r="CO128" s="191">
        <f t="shared" si="409"/>
        <v>118.71093749999999</v>
      </c>
      <c r="CP128" s="774">
        <f t="shared" si="409"/>
        <v>61.999567972350235</v>
      </c>
      <c r="CQ128" s="774">
        <f t="shared" si="409"/>
        <v>165.06052141527002</v>
      </c>
      <c r="CR128" s="774">
        <f t="shared" si="409"/>
        <v>64.336027713625867</v>
      </c>
      <c r="CS128" s="774">
        <f t="shared" si="409"/>
        <v>50.322319778188543</v>
      </c>
      <c r="CT128" s="191">
        <f t="shared" ref="CT128:DW128" si="410">(CT42/$B$42)*100</f>
        <v>112.80623608017817</v>
      </c>
      <c r="CU128" s="191">
        <f t="shared" si="410"/>
        <v>72.120395055744041</v>
      </c>
      <c r="CV128" s="774">
        <f t="shared" si="410"/>
        <v>80.159039020340387</v>
      </c>
      <c r="CW128" s="774">
        <f t="shared" si="410"/>
        <v>96.056448014279354</v>
      </c>
      <c r="CX128" s="774">
        <f t="shared" si="410"/>
        <v>73.8436690044214</v>
      </c>
      <c r="CY128" s="774">
        <f t="shared" si="410"/>
        <v>46.33401329071333</v>
      </c>
      <c r="CZ128" s="191">
        <f t="shared" si="410"/>
        <v>0</v>
      </c>
      <c r="DA128" s="191">
        <f t="shared" si="410"/>
        <v>0</v>
      </c>
      <c r="DB128" s="774">
        <f t="shared" si="410"/>
        <v>0</v>
      </c>
      <c r="DC128" s="774">
        <f t="shared" si="410"/>
        <v>112.80623608017817</v>
      </c>
      <c r="DD128" s="774">
        <f t="shared" si="410"/>
        <v>118.3411214953271</v>
      </c>
      <c r="DE128" s="774">
        <f t="shared" si="410"/>
        <v>0</v>
      </c>
      <c r="DF128" s="191">
        <f t="shared" si="410"/>
        <v>0</v>
      </c>
      <c r="DG128" s="191">
        <f t="shared" si="410"/>
        <v>0</v>
      </c>
      <c r="DH128" s="774">
        <f t="shared" si="410"/>
        <v>49.5920365535248</v>
      </c>
      <c r="DI128" s="774">
        <f t="shared" si="410"/>
        <v>34.59699453551913</v>
      </c>
      <c r="DJ128" s="774">
        <f t="shared" si="410"/>
        <v>64.935897435897445</v>
      </c>
      <c r="DK128" s="774">
        <f t="shared" si="410"/>
        <v>57.822413958854078</v>
      </c>
      <c r="DL128" s="191">
        <f t="shared" si="410"/>
        <v>35.370111731843572</v>
      </c>
      <c r="DM128" s="191">
        <f t="shared" si="410"/>
        <v>95.606124161073836</v>
      </c>
      <c r="DN128" s="774">
        <f t="shared" si="410"/>
        <v>56.320596396118802</v>
      </c>
      <c r="DO128" s="774">
        <f t="shared" si="410"/>
        <v>57.442023036551163</v>
      </c>
      <c r="DP128" s="774">
        <f t="shared" si="410"/>
        <v>61.249527786723156</v>
      </c>
      <c r="DQ128" s="774">
        <f t="shared" si="410"/>
        <v>60.635132845194093</v>
      </c>
      <c r="DR128" s="191">
        <f t="shared" si="410"/>
        <v>43.009801113111806</v>
      </c>
      <c r="DS128" s="191">
        <f t="shared" si="410"/>
        <v>39.796834661578181</v>
      </c>
      <c r="DT128" s="774">
        <f t="shared" si="410"/>
        <v>70.719429747207528</v>
      </c>
      <c r="DU128" s="774">
        <f t="shared" si="410"/>
        <v>85.882392837764527</v>
      </c>
      <c r="DV128" s="774">
        <f t="shared" si="410"/>
        <v>33.755689206762021</v>
      </c>
      <c r="DW128" s="774">
        <f t="shared" si="410"/>
        <v>36.716780131114476</v>
      </c>
      <c r="DX128" s="191">
        <f t="shared" ref="DX128:EC128" si="411">(DX42/$B$42)*100</f>
        <v>42.770905605258349</v>
      </c>
      <c r="DY128" s="191">
        <f t="shared" si="411"/>
        <v>40.102441044630687</v>
      </c>
      <c r="DZ128" s="774">
        <f t="shared" si="411"/>
        <v>40.935998252512022</v>
      </c>
      <c r="EA128" s="774">
        <f t="shared" si="411"/>
        <v>89.19817423806785</v>
      </c>
      <c r="EB128" s="774">
        <f t="shared" si="411"/>
        <v>75.772938829787236</v>
      </c>
      <c r="EC128" s="774">
        <f t="shared" si="411"/>
        <v>80.321828358208961</v>
      </c>
    </row>
    <row r="129" spans="1:138">
      <c r="A129" s="192" t="s">
        <v>31</v>
      </c>
      <c r="B129" s="191">
        <f t="shared" ref="B129:AG129" si="412">(B43/$B$43)*100</f>
        <v>100</v>
      </c>
      <c r="C129" s="191">
        <f t="shared" si="412"/>
        <v>111.61094224924011</v>
      </c>
      <c r="D129" s="191">
        <f t="shared" si="412"/>
        <v>103.98878552312986</v>
      </c>
      <c r="E129" s="191">
        <f t="shared" si="412"/>
        <v>97.65145848915482</v>
      </c>
      <c r="F129" s="191">
        <f t="shared" si="412"/>
        <v>97.65145848915482</v>
      </c>
      <c r="G129" s="191">
        <f t="shared" si="412"/>
        <v>97.65145848915482</v>
      </c>
      <c r="H129" s="191">
        <f t="shared" si="412"/>
        <v>103.89610389610391</v>
      </c>
      <c r="I129" s="191">
        <f t="shared" si="412"/>
        <v>116.86358754027925</v>
      </c>
      <c r="J129" s="191">
        <f t="shared" si="412"/>
        <v>116.86358754027925</v>
      </c>
      <c r="K129" s="191">
        <f t="shared" si="412"/>
        <v>116.86358754027925</v>
      </c>
      <c r="L129" s="191">
        <f t="shared" si="412"/>
        <v>0</v>
      </c>
      <c r="M129" s="191">
        <f t="shared" si="412"/>
        <v>88.514121981170703</v>
      </c>
      <c r="N129" s="191">
        <f t="shared" si="412"/>
        <v>134.37628653766981</v>
      </c>
      <c r="O129" s="191">
        <f t="shared" si="412"/>
        <v>0</v>
      </c>
      <c r="P129" s="191">
        <f t="shared" si="412"/>
        <v>129.1139240506329</v>
      </c>
      <c r="Q129" s="191">
        <f t="shared" si="412"/>
        <v>109.32167536313639</v>
      </c>
      <c r="R129" s="191">
        <f t="shared" si="412"/>
        <v>52.568851666935103</v>
      </c>
      <c r="S129" s="191">
        <f t="shared" si="412"/>
        <v>106.09458800585081</v>
      </c>
      <c r="T129" s="191">
        <f t="shared" si="412"/>
        <v>0</v>
      </c>
      <c r="U129" s="191">
        <f t="shared" si="412"/>
        <v>0</v>
      </c>
      <c r="V129" s="191">
        <f t="shared" si="412"/>
        <v>0</v>
      </c>
      <c r="W129" s="191">
        <f t="shared" si="412"/>
        <v>0</v>
      </c>
      <c r="X129" s="191">
        <f t="shared" si="412"/>
        <v>47.25868725868726</v>
      </c>
      <c r="Y129" s="191">
        <f t="shared" si="412"/>
        <v>0</v>
      </c>
      <c r="Z129" s="191">
        <f t="shared" si="412"/>
        <v>55.334538878842679</v>
      </c>
      <c r="AA129" s="191">
        <f t="shared" si="412"/>
        <v>109.32167536313639</v>
      </c>
      <c r="AB129" s="191">
        <f t="shared" si="412"/>
        <v>171.7607142857143</v>
      </c>
      <c r="AC129" s="191">
        <f t="shared" si="412"/>
        <v>0</v>
      </c>
      <c r="AD129" s="191">
        <f t="shared" si="412"/>
        <v>90.455927051671722</v>
      </c>
      <c r="AE129" s="191">
        <f t="shared" si="412"/>
        <v>64.385382059800662</v>
      </c>
      <c r="AF129" s="191">
        <f t="shared" si="412"/>
        <v>0</v>
      </c>
      <c r="AG129" s="191">
        <f t="shared" si="412"/>
        <v>44.96820686731666</v>
      </c>
      <c r="AH129" s="191">
        <f t="shared" ref="AH129:BM129" si="413">(AH43/$B$43)*100</f>
        <v>55.334538878842679</v>
      </c>
      <c r="AI129" s="191">
        <f t="shared" si="413"/>
        <v>109.32167536313639</v>
      </c>
      <c r="AJ129" s="191">
        <f t="shared" si="413"/>
        <v>101.93050193050195</v>
      </c>
      <c r="AK129" s="191">
        <f t="shared" si="413"/>
        <v>77.345971563981038</v>
      </c>
      <c r="AL129" s="191">
        <f t="shared" si="413"/>
        <v>159.83285453120922</v>
      </c>
      <c r="AM129" s="191">
        <f t="shared" si="413"/>
        <v>159.83285453120922</v>
      </c>
      <c r="AN129" s="191">
        <f t="shared" si="413"/>
        <v>119.70209884901828</v>
      </c>
      <c r="AO129" s="191">
        <f t="shared" si="413"/>
        <v>95.787375415282398</v>
      </c>
      <c r="AP129" s="191">
        <f t="shared" si="413"/>
        <v>0</v>
      </c>
      <c r="AQ129" s="191">
        <f t="shared" si="413"/>
        <v>0</v>
      </c>
      <c r="AR129" s="191">
        <f t="shared" si="413"/>
        <v>0</v>
      </c>
      <c r="AS129" s="191">
        <f t="shared" si="413"/>
        <v>0</v>
      </c>
      <c r="AT129" s="191">
        <f t="shared" si="413"/>
        <v>0</v>
      </c>
      <c r="AU129" s="191">
        <f t="shared" si="413"/>
        <v>0</v>
      </c>
      <c r="AV129" s="191">
        <f t="shared" si="413"/>
        <v>0</v>
      </c>
      <c r="AW129" s="191">
        <f t="shared" si="413"/>
        <v>0</v>
      </c>
      <c r="AX129" s="191">
        <f t="shared" si="413"/>
        <v>55.334538878842679</v>
      </c>
      <c r="AY129" s="191">
        <f t="shared" si="413"/>
        <v>109.32167536313639</v>
      </c>
      <c r="AZ129" s="191">
        <f t="shared" si="413"/>
        <v>49.95918367346939</v>
      </c>
      <c r="BA129" s="191">
        <f t="shared" si="413"/>
        <v>88.514121981170703</v>
      </c>
      <c r="BB129" s="191">
        <f t="shared" si="413"/>
        <v>88.514121981170703</v>
      </c>
      <c r="BC129" s="191">
        <f t="shared" si="413"/>
        <v>88.514121981170703</v>
      </c>
      <c r="BD129" s="191">
        <f t="shared" si="413"/>
        <v>92.861985472154984</v>
      </c>
      <c r="BE129" s="191">
        <f t="shared" si="413"/>
        <v>115.58073654390935</v>
      </c>
      <c r="BF129" s="191">
        <f t="shared" si="413"/>
        <v>108.57142857142858</v>
      </c>
      <c r="BG129" s="191">
        <f t="shared" si="413"/>
        <v>47.541365649032869</v>
      </c>
      <c r="BH129" s="191">
        <f t="shared" si="413"/>
        <v>79.976239976239967</v>
      </c>
      <c r="BI129" s="191">
        <f t="shared" si="413"/>
        <v>77.345971563981038</v>
      </c>
      <c r="BJ129" s="191">
        <f t="shared" si="413"/>
        <v>111.52140278494069</v>
      </c>
      <c r="BK129" s="191">
        <f t="shared" si="413"/>
        <v>283.95604395604397</v>
      </c>
      <c r="BL129" s="191">
        <f t="shared" si="413"/>
        <v>86.423645320197053</v>
      </c>
      <c r="BM129" s="191">
        <f t="shared" si="413"/>
        <v>88.610038610038615</v>
      </c>
      <c r="BN129" s="191">
        <f t="shared" ref="BN129:CS129" si="414">(BN43/$B$43)*100</f>
        <v>132.13386110111551</v>
      </c>
      <c r="BO129" s="191">
        <f t="shared" si="414"/>
        <v>98.789346246973381</v>
      </c>
      <c r="BP129" s="191">
        <f t="shared" si="414"/>
        <v>433.59901900674436</v>
      </c>
      <c r="BQ129" s="191">
        <f t="shared" si="414"/>
        <v>438.1618381618382</v>
      </c>
      <c r="BR129" s="191">
        <f t="shared" si="414"/>
        <v>438.1618381618382</v>
      </c>
      <c r="BS129" s="191">
        <f t="shared" si="414"/>
        <v>438.1618381618382</v>
      </c>
      <c r="BT129" s="191">
        <f t="shared" si="414"/>
        <v>96.156635242929681</v>
      </c>
      <c r="BU129" s="191">
        <f t="shared" si="414"/>
        <v>95.787375415282398</v>
      </c>
      <c r="BV129" s="191">
        <f t="shared" si="414"/>
        <v>100</v>
      </c>
      <c r="BW129" s="191">
        <f t="shared" si="414"/>
        <v>111.61094224924011</v>
      </c>
      <c r="BX129" s="191">
        <f t="shared" si="414"/>
        <v>103.98878552312986</v>
      </c>
      <c r="BY129" s="191">
        <f t="shared" si="414"/>
        <v>97.65145848915482</v>
      </c>
      <c r="BZ129" s="191">
        <f t="shared" si="414"/>
        <v>107.93650793650794</v>
      </c>
      <c r="CA129" s="191">
        <f t="shared" si="414"/>
        <v>91.303669008587036</v>
      </c>
      <c r="CB129" s="191">
        <f t="shared" si="414"/>
        <v>105.7925636007828</v>
      </c>
      <c r="CC129" s="191">
        <f t="shared" si="414"/>
        <v>69.330171902786006</v>
      </c>
      <c r="CD129" s="191">
        <f t="shared" si="414"/>
        <v>116.57142857142857</v>
      </c>
      <c r="CE129" s="191">
        <f t="shared" si="414"/>
        <v>81.804511278195477</v>
      </c>
      <c r="CF129" s="191">
        <f t="shared" si="414"/>
        <v>81.804511278195477</v>
      </c>
      <c r="CG129" s="191">
        <f t="shared" si="414"/>
        <v>121.42857142857142</v>
      </c>
      <c r="CH129" s="191">
        <f t="shared" si="414"/>
        <v>89.867841409691607</v>
      </c>
      <c r="CI129" s="191">
        <f t="shared" si="414"/>
        <v>79.730458221024264</v>
      </c>
      <c r="CJ129" s="191">
        <f t="shared" si="414"/>
        <v>86.777738390641616</v>
      </c>
      <c r="CK129" s="191">
        <f t="shared" si="414"/>
        <v>121.14285714285715</v>
      </c>
      <c r="CL129" s="191">
        <f t="shared" si="414"/>
        <v>117.09183673469386</v>
      </c>
      <c r="CM129" s="191">
        <f t="shared" si="414"/>
        <v>145.44692005242464</v>
      </c>
      <c r="CN129" s="191">
        <f t="shared" si="414"/>
        <v>111.9533527696793</v>
      </c>
      <c r="CO129" s="191">
        <f t="shared" si="414"/>
        <v>91.330891330891333</v>
      </c>
      <c r="CP129" s="774">
        <f t="shared" si="414"/>
        <v>89.843104872006592</v>
      </c>
      <c r="CQ129" s="774">
        <f t="shared" si="414"/>
        <v>110.1328903654485</v>
      </c>
      <c r="CR129" s="774">
        <f t="shared" si="414"/>
        <v>163.23840903742058</v>
      </c>
      <c r="CS129" s="774">
        <f t="shared" si="414"/>
        <v>120.83623693379792</v>
      </c>
      <c r="CT129" s="191">
        <f t="shared" ref="CT129:DW129" si="415">(CT43/$B$43)*100</f>
        <v>92.72727272727272</v>
      </c>
      <c r="CU129" s="191">
        <f t="shared" si="415"/>
        <v>93.085293085293088</v>
      </c>
      <c r="CV129" s="774">
        <f t="shared" si="415"/>
        <v>77.029578351164275</v>
      </c>
      <c r="CW129" s="774">
        <f t="shared" si="415"/>
        <v>81.987577639751564</v>
      </c>
      <c r="CX129" s="774">
        <f t="shared" si="415"/>
        <v>276.67269439421335</v>
      </c>
      <c r="CY129" s="774">
        <f t="shared" si="415"/>
        <v>123.84746727376208</v>
      </c>
      <c r="CZ129" s="191">
        <f t="shared" si="415"/>
        <v>0</v>
      </c>
      <c r="DA129" s="191">
        <f t="shared" si="415"/>
        <v>0</v>
      </c>
      <c r="DB129" s="774">
        <f t="shared" si="415"/>
        <v>0</v>
      </c>
      <c r="DC129" s="774">
        <f t="shared" si="415"/>
        <v>92.72727272727272</v>
      </c>
      <c r="DD129" s="774">
        <f t="shared" si="415"/>
        <v>47.5687538577601</v>
      </c>
      <c r="DE129" s="774">
        <f t="shared" si="415"/>
        <v>0</v>
      </c>
      <c r="DF129" s="191">
        <f t="shared" si="415"/>
        <v>0</v>
      </c>
      <c r="DG129" s="191">
        <f t="shared" si="415"/>
        <v>109.97304582210243</v>
      </c>
      <c r="DH129" s="774">
        <f t="shared" si="415"/>
        <v>145.71428571428572</v>
      </c>
      <c r="DI129" s="774">
        <f t="shared" si="415"/>
        <v>148.60927152317882</v>
      </c>
      <c r="DJ129" s="774">
        <f t="shared" si="415"/>
        <v>120.1308615049073</v>
      </c>
      <c r="DK129" s="774">
        <f t="shared" si="415"/>
        <v>131.53334676606892</v>
      </c>
      <c r="DL129" s="191">
        <f t="shared" si="415"/>
        <v>118.57813547954392</v>
      </c>
      <c r="DM129" s="191">
        <f t="shared" si="415"/>
        <v>70.735090152565888</v>
      </c>
      <c r="DN129" s="774">
        <f t="shared" si="415"/>
        <v>122.55016519009176</v>
      </c>
      <c r="DO129" s="774">
        <f t="shared" si="415"/>
        <v>118.68947843605943</v>
      </c>
      <c r="DP129" s="774">
        <f t="shared" si="415"/>
        <v>113.70284625487288</v>
      </c>
      <c r="DQ129" s="774">
        <f t="shared" si="415"/>
        <v>112.63151037986712</v>
      </c>
      <c r="DR129" s="191">
        <f t="shared" si="415"/>
        <v>69.058903182125945</v>
      </c>
      <c r="DS129" s="191">
        <f t="shared" si="415"/>
        <v>122.32804232804233</v>
      </c>
      <c r="DT129" s="774">
        <f t="shared" si="415"/>
        <v>92.250770811921896</v>
      </c>
      <c r="DU129" s="774">
        <f t="shared" si="415"/>
        <v>79.48051948051949</v>
      </c>
      <c r="DV129" s="774">
        <f t="shared" si="415"/>
        <v>71.224905440791389</v>
      </c>
      <c r="DW129" s="774">
        <f t="shared" si="415"/>
        <v>80.394088669950747</v>
      </c>
      <c r="DX129" s="191">
        <f t="shared" ref="DX129:EC129" si="416">(DX43/$B$43)*100</f>
        <v>120.17673048600885</v>
      </c>
      <c r="DY129" s="191">
        <f t="shared" si="416"/>
        <v>101.93465727098014</v>
      </c>
      <c r="DZ129" s="774">
        <f t="shared" si="416"/>
        <v>364.28571428571428</v>
      </c>
      <c r="EA129" s="774">
        <f t="shared" si="416"/>
        <v>116.13319011815253</v>
      </c>
      <c r="EB129" s="774">
        <f t="shared" si="416"/>
        <v>94.110410579732431</v>
      </c>
      <c r="EC129" s="774">
        <f t="shared" si="416"/>
        <v>109.22365539060597</v>
      </c>
    </row>
    <row r="130" spans="1:138">
      <c r="A130" s="192" t="s">
        <v>32</v>
      </c>
      <c r="B130" s="191">
        <f t="shared" ref="B130:AG130" si="417">(B44/$B$44)*100</f>
        <v>100</v>
      </c>
      <c r="C130" s="191">
        <f t="shared" si="417"/>
        <v>73.517241379310349</v>
      </c>
      <c r="D130" s="191">
        <f t="shared" si="417"/>
        <v>68.774193548387103</v>
      </c>
      <c r="E130" s="191">
        <f t="shared" si="417"/>
        <v>68.774193548387103</v>
      </c>
      <c r="F130" s="191">
        <f t="shared" si="417"/>
        <v>66.129032258064512</v>
      </c>
      <c r="G130" s="191">
        <f t="shared" si="417"/>
        <v>111.07929515418502</v>
      </c>
      <c r="H130" s="191">
        <f t="shared" si="417"/>
        <v>82</v>
      </c>
      <c r="I130" s="191">
        <f t="shared" si="417"/>
        <v>82</v>
      </c>
      <c r="J130" s="191">
        <f t="shared" si="417"/>
        <v>82</v>
      </c>
      <c r="K130" s="191">
        <f t="shared" si="417"/>
        <v>82</v>
      </c>
      <c r="L130" s="191">
        <f t="shared" si="417"/>
        <v>0</v>
      </c>
      <c r="M130" s="191">
        <f t="shared" si="417"/>
        <v>82</v>
      </c>
      <c r="N130" s="191">
        <f t="shared" si="417"/>
        <v>72.949227373068439</v>
      </c>
      <c r="O130" s="191">
        <f t="shared" si="417"/>
        <v>0</v>
      </c>
      <c r="P130" s="191">
        <f t="shared" si="417"/>
        <v>72.949227373068439</v>
      </c>
      <c r="Q130" s="191">
        <f t="shared" si="417"/>
        <v>82</v>
      </c>
      <c r="R130" s="191">
        <f t="shared" si="417"/>
        <v>146.24530663329159</v>
      </c>
      <c r="S130" s="191">
        <f t="shared" si="417"/>
        <v>102.49999999999999</v>
      </c>
      <c r="T130" s="191">
        <f t="shared" si="417"/>
        <v>0</v>
      </c>
      <c r="U130" s="191">
        <f t="shared" si="417"/>
        <v>0</v>
      </c>
      <c r="V130" s="191">
        <f t="shared" si="417"/>
        <v>0</v>
      </c>
      <c r="W130" s="191">
        <f t="shared" si="417"/>
        <v>0</v>
      </c>
      <c r="X130" s="191">
        <f t="shared" si="417"/>
        <v>64.006938421509105</v>
      </c>
      <c r="Y130" s="191">
        <f t="shared" si="417"/>
        <v>0</v>
      </c>
      <c r="Z130" s="191">
        <f t="shared" si="417"/>
        <v>64.006938421509105</v>
      </c>
      <c r="AA130" s="191">
        <f t="shared" si="417"/>
        <v>82</v>
      </c>
      <c r="AB130" s="191">
        <f t="shared" si="417"/>
        <v>117.875</v>
      </c>
      <c r="AC130" s="191">
        <f t="shared" si="417"/>
        <v>0</v>
      </c>
      <c r="AD130" s="191">
        <f t="shared" si="417"/>
        <v>117.875</v>
      </c>
      <c r="AE130" s="191">
        <f t="shared" si="417"/>
        <v>41</v>
      </c>
      <c r="AF130" s="191">
        <f t="shared" si="417"/>
        <v>0</v>
      </c>
      <c r="AG130" s="191">
        <f t="shared" si="417"/>
        <v>41</v>
      </c>
      <c r="AH130" s="191">
        <f t="shared" ref="AH130:BM130" si="418">(AH44/$B$44)*100</f>
        <v>41</v>
      </c>
      <c r="AI130" s="191">
        <f t="shared" si="418"/>
        <v>82</v>
      </c>
      <c r="AJ130" s="191">
        <f t="shared" si="418"/>
        <v>82</v>
      </c>
      <c r="AK130" s="191">
        <f t="shared" si="418"/>
        <v>82</v>
      </c>
      <c r="AL130" s="191">
        <f t="shared" si="418"/>
        <v>82</v>
      </c>
      <c r="AM130" s="191">
        <f t="shared" si="418"/>
        <v>82</v>
      </c>
      <c r="AN130" s="191">
        <f t="shared" si="418"/>
        <v>78.392961876832828</v>
      </c>
      <c r="AO130" s="191">
        <f t="shared" si="418"/>
        <v>81.282798833819243</v>
      </c>
      <c r="AP130" s="191">
        <f t="shared" si="418"/>
        <v>0</v>
      </c>
      <c r="AQ130" s="191">
        <f t="shared" si="418"/>
        <v>0</v>
      </c>
      <c r="AR130" s="191">
        <f t="shared" si="418"/>
        <v>0</v>
      </c>
      <c r="AS130" s="191">
        <f t="shared" si="418"/>
        <v>0</v>
      </c>
      <c r="AT130" s="191">
        <f t="shared" si="418"/>
        <v>0</v>
      </c>
      <c r="AU130" s="191">
        <f t="shared" si="418"/>
        <v>0</v>
      </c>
      <c r="AV130" s="191">
        <f t="shared" si="418"/>
        <v>0</v>
      </c>
      <c r="AW130" s="191">
        <f t="shared" si="418"/>
        <v>0</v>
      </c>
      <c r="AX130" s="191">
        <f t="shared" si="418"/>
        <v>101.90058479532162</v>
      </c>
      <c r="AY130" s="191">
        <f t="shared" si="418"/>
        <v>82</v>
      </c>
      <c r="AZ130" s="191">
        <f t="shared" si="418"/>
        <v>60.410937499999996</v>
      </c>
      <c r="BA130" s="191">
        <f t="shared" si="418"/>
        <v>82</v>
      </c>
      <c r="BB130" s="191">
        <f t="shared" si="418"/>
        <v>66.129032258064512</v>
      </c>
      <c r="BC130" s="191">
        <f t="shared" si="418"/>
        <v>111.07929515418502</v>
      </c>
      <c r="BD130" s="191">
        <f t="shared" si="418"/>
        <v>111.07929515418502</v>
      </c>
      <c r="BE130" s="191">
        <f t="shared" si="418"/>
        <v>65.631782945736433</v>
      </c>
      <c r="BF130" s="191">
        <f t="shared" si="418"/>
        <v>61.24050632911392</v>
      </c>
      <c r="BG130" s="191">
        <f t="shared" si="418"/>
        <v>61.24050632911392</v>
      </c>
      <c r="BH130" s="191">
        <f t="shared" si="418"/>
        <v>61.24050632911392</v>
      </c>
      <c r="BI130" s="191">
        <f t="shared" si="418"/>
        <v>61.24050632911392</v>
      </c>
      <c r="BJ130" s="191">
        <f t="shared" si="418"/>
        <v>61.24050632911392</v>
      </c>
      <c r="BK130" s="191">
        <f t="shared" si="418"/>
        <v>94.56286427976687</v>
      </c>
      <c r="BL130" s="191">
        <f t="shared" si="418"/>
        <v>175.37145429986492</v>
      </c>
      <c r="BM130" s="191">
        <f t="shared" si="418"/>
        <v>175.37145429986492</v>
      </c>
      <c r="BN130" s="191">
        <f t="shared" ref="BN130:CS130" si="419">(BN44/$B$44)*100</f>
        <v>175.37145429986492</v>
      </c>
      <c r="BO130" s="191">
        <f t="shared" si="419"/>
        <v>175.37145429986492</v>
      </c>
      <c r="BP130" s="191">
        <f t="shared" si="419"/>
        <v>91.945898778359506</v>
      </c>
      <c r="BQ130" s="191">
        <f t="shared" si="419"/>
        <v>147.19789842381786</v>
      </c>
      <c r="BR130" s="191">
        <f t="shared" si="419"/>
        <v>65.362318840579718</v>
      </c>
      <c r="BS130" s="191">
        <f t="shared" si="419"/>
        <v>117.71484375000001</v>
      </c>
      <c r="BT130" s="191">
        <f t="shared" si="419"/>
        <v>61.5</v>
      </c>
      <c r="BU130" s="191">
        <f t="shared" si="419"/>
        <v>81.282798833819243</v>
      </c>
      <c r="BV130" s="191">
        <f t="shared" si="419"/>
        <v>100</v>
      </c>
      <c r="BW130" s="191">
        <f t="shared" si="419"/>
        <v>73.517241379310349</v>
      </c>
      <c r="BX130" s="191">
        <f t="shared" si="419"/>
        <v>68.774193548387103</v>
      </c>
      <c r="BY130" s="191">
        <f t="shared" si="419"/>
        <v>68.774193548387103</v>
      </c>
      <c r="BZ130" s="191">
        <f t="shared" si="419"/>
        <v>78.632142857142853</v>
      </c>
      <c r="CA130" s="191">
        <f t="shared" si="419"/>
        <v>78.632142857142853</v>
      </c>
      <c r="CB130" s="191">
        <f t="shared" si="419"/>
        <v>101.89705882352942</v>
      </c>
      <c r="CC130" s="191">
        <f t="shared" si="419"/>
        <v>82</v>
      </c>
      <c r="CD130" s="191">
        <f t="shared" si="419"/>
        <v>81.999999999999986</v>
      </c>
      <c r="CE130" s="191">
        <f t="shared" si="419"/>
        <v>81.999999999999986</v>
      </c>
      <c r="CF130" s="191">
        <f t="shared" si="419"/>
        <v>112.32291666666667</v>
      </c>
      <c r="CG130" s="191">
        <f t="shared" si="419"/>
        <v>112.32291666666667</v>
      </c>
      <c r="CH130" s="191">
        <f t="shared" si="419"/>
        <v>112.32291666666667</v>
      </c>
      <c r="CI130" s="191">
        <f t="shared" si="419"/>
        <v>112.32291666666667</v>
      </c>
      <c r="CJ130" s="191">
        <f t="shared" si="419"/>
        <v>112.32291666666667</v>
      </c>
      <c r="CK130" s="191">
        <f t="shared" si="419"/>
        <v>82</v>
      </c>
      <c r="CL130" s="191">
        <f t="shared" si="419"/>
        <v>82</v>
      </c>
      <c r="CM130" s="191">
        <f t="shared" si="419"/>
        <v>118.42905405405406</v>
      </c>
      <c r="CN130" s="191">
        <f t="shared" si="419"/>
        <v>78.583333333333329</v>
      </c>
      <c r="CO130" s="191">
        <f t="shared" si="419"/>
        <v>78.583333333333329</v>
      </c>
      <c r="CP130" s="774">
        <f t="shared" si="419"/>
        <v>78.583333333333329</v>
      </c>
      <c r="CQ130" s="774">
        <f t="shared" si="419"/>
        <v>82</v>
      </c>
      <c r="CR130" s="774">
        <f t="shared" si="419"/>
        <v>82</v>
      </c>
      <c r="CS130" s="774">
        <f t="shared" si="419"/>
        <v>82</v>
      </c>
      <c r="CT130" s="191">
        <f t="shared" ref="CT130:DU130" si="420">(CT44/$B$44)*100</f>
        <v>82</v>
      </c>
      <c r="CU130" s="191">
        <f t="shared" si="420"/>
        <v>85.257534246575347</v>
      </c>
      <c r="CV130" s="774">
        <f t="shared" si="420"/>
        <v>85.259500000000003</v>
      </c>
      <c r="CW130" s="774">
        <f t="shared" si="420"/>
        <v>91.217054263565899</v>
      </c>
      <c r="CX130" s="774">
        <f t="shared" si="420"/>
        <v>91.216799999999992</v>
      </c>
      <c r="CY130" s="774">
        <f t="shared" si="420"/>
        <v>121.02409638554215</v>
      </c>
      <c r="CZ130" s="191">
        <f t="shared" si="420"/>
        <v>0</v>
      </c>
      <c r="DA130" s="191">
        <f t="shared" si="420"/>
        <v>0</v>
      </c>
      <c r="DB130" s="774">
        <f t="shared" si="420"/>
        <v>0</v>
      </c>
      <c r="DC130" s="774">
        <f t="shared" si="420"/>
        <v>82</v>
      </c>
      <c r="DD130" s="774">
        <f t="shared" si="420"/>
        <v>0</v>
      </c>
      <c r="DE130" s="774">
        <f t="shared" si="420"/>
        <v>0</v>
      </c>
      <c r="DF130" s="191">
        <f t="shared" si="420"/>
        <v>0</v>
      </c>
      <c r="DG130" s="191">
        <f t="shared" si="420"/>
        <v>0</v>
      </c>
      <c r="DH130" s="774">
        <f t="shared" si="420"/>
        <v>103.23741007194245</v>
      </c>
      <c r="DI130" s="774">
        <f t="shared" si="420"/>
        <v>0</v>
      </c>
      <c r="DJ130" s="774">
        <f t="shared" si="420"/>
        <v>0</v>
      </c>
      <c r="DK130" s="774">
        <f t="shared" si="420"/>
        <v>0</v>
      </c>
      <c r="DL130" s="191">
        <f t="shared" si="420"/>
        <v>82</v>
      </c>
      <c r="DM130" s="191">
        <f t="shared" si="420"/>
        <v>103.17717717717719</v>
      </c>
      <c r="DN130" s="774">
        <f t="shared" si="420"/>
        <v>48.06909787485327</v>
      </c>
      <c r="DO130" s="774">
        <f t="shared" si="420"/>
        <v>38.874379175338412</v>
      </c>
      <c r="DP130" s="774">
        <f t="shared" si="420"/>
        <v>45.353442371228141</v>
      </c>
      <c r="DQ130" s="774">
        <f t="shared" si="420"/>
        <v>52.912349433099507</v>
      </c>
      <c r="DR130" s="191">
        <f t="shared" si="420"/>
        <v>102.14655172413791</v>
      </c>
      <c r="DS130" s="191">
        <f t="shared" si="420"/>
        <v>82</v>
      </c>
      <c r="DT130" s="774">
        <f t="shared" si="420"/>
        <v>78.899159663865532</v>
      </c>
      <c r="DU130" s="774">
        <f t="shared" si="420"/>
        <v>82</v>
      </c>
      <c r="DV130" s="774">
        <v>0</v>
      </c>
      <c r="DW130" s="774">
        <v>0</v>
      </c>
      <c r="DX130" s="191">
        <f t="shared" ref="DX130:EA130" si="421">(DX44/$B$44)*100</f>
        <v>0</v>
      </c>
      <c r="DY130" s="191">
        <f t="shared" si="421"/>
        <v>0</v>
      </c>
      <c r="DZ130" s="774">
        <f t="shared" si="421"/>
        <v>0</v>
      </c>
      <c r="EA130" s="774">
        <f t="shared" si="421"/>
        <v>0</v>
      </c>
      <c r="EB130" s="774">
        <v>0</v>
      </c>
      <c r="EC130" s="774">
        <v>0</v>
      </c>
    </row>
    <row r="131" spans="1:138">
      <c r="A131" s="858" t="s">
        <v>49</v>
      </c>
      <c r="B131" s="191">
        <f t="shared" ref="B131:AG131" si="422">(B45/$B$45)*100</f>
        <v>100</v>
      </c>
      <c r="C131" s="191">
        <f t="shared" si="422"/>
        <v>341.99669966996703</v>
      </c>
      <c r="D131" s="191">
        <f t="shared" si="422"/>
        <v>488.79716981132083</v>
      </c>
      <c r="E131" s="191">
        <f t="shared" si="422"/>
        <v>467.4812030075189</v>
      </c>
      <c r="F131" s="191">
        <f t="shared" si="422"/>
        <v>414.50000000000006</v>
      </c>
      <c r="G131" s="191">
        <f t="shared" si="422"/>
        <v>417.71317829457377</v>
      </c>
      <c r="H131" s="191">
        <f t="shared" si="422"/>
        <v>333.50574712643686</v>
      </c>
      <c r="I131" s="191">
        <f t="shared" si="422"/>
        <v>460.5555555555556</v>
      </c>
      <c r="J131" s="191">
        <f t="shared" si="422"/>
        <v>789.52380952380963</v>
      </c>
      <c r="K131" s="191">
        <f t="shared" si="422"/>
        <v>480.57971014492756</v>
      </c>
      <c r="L131" s="191">
        <f t="shared" si="422"/>
        <v>0</v>
      </c>
      <c r="M131" s="191">
        <f t="shared" si="422"/>
        <v>455.49450549450557</v>
      </c>
      <c r="N131" s="191">
        <f t="shared" si="422"/>
        <v>328.96825396825403</v>
      </c>
      <c r="O131" s="191">
        <f t="shared" si="422"/>
        <v>0</v>
      </c>
      <c r="P131" s="191">
        <f t="shared" si="422"/>
        <v>252.60387811634354</v>
      </c>
      <c r="Q131" s="191">
        <f t="shared" si="422"/>
        <v>448.10810810810818</v>
      </c>
      <c r="R131" s="191">
        <f t="shared" si="422"/>
        <v>238.73290136789063</v>
      </c>
      <c r="S131" s="191">
        <f t="shared" si="422"/>
        <v>633.4288443170966</v>
      </c>
      <c r="T131" s="191">
        <f t="shared" si="422"/>
        <v>0</v>
      </c>
      <c r="U131" s="191">
        <f t="shared" si="422"/>
        <v>0</v>
      </c>
      <c r="V131" s="191">
        <f t="shared" si="422"/>
        <v>0</v>
      </c>
      <c r="W131" s="191">
        <f t="shared" si="422"/>
        <v>0</v>
      </c>
      <c r="X131" s="191">
        <f t="shared" si="422"/>
        <v>273.98489140698774</v>
      </c>
      <c r="Y131" s="191">
        <f t="shared" si="422"/>
        <v>0</v>
      </c>
      <c r="Z131" s="191">
        <f t="shared" si="422"/>
        <v>260.69182389937112</v>
      </c>
      <c r="AA131" s="191">
        <f t="shared" si="422"/>
        <v>409.38271604938279</v>
      </c>
      <c r="AB131" s="191">
        <f t="shared" si="422"/>
        <v>409.38271604938279</v>
      </c>
      <c r="AC131" s="191">
        <f t="shared" si="422"/>
        <v>0</v>
      </c>
      <c r="AD131" s="191">
        <f t="shared" si="422"/>
        <v>358.87445887445898</v>
      </c>
      <c r="AE131" s="191">
        <f t="shared" si="422"/>
        <v>348.5856269113151</v>
      </c>
      <c r="AF131" s="191">
        <f t="shared" si="422"/>
        <v>0</v>
      </c>
      <c r="AG131" s="191">
        <f t="shared" si="422"/>
        <v>379.40503432494285</v>
      </c>
      <c r="AH131" s="191">
        <f t="shared" ref="AH131:BM131" si="423">(AH45/$B$45)*100</f>
        <v>260.69182389937112</v>
      </c>
      <c r="AI131" s="191">
        <f t="shared" si="423"/>
        <v>409.38271604938279</v>
      </c>
      <c r="AJ131" s="191">
        <f t="shared" si="423"/>
        <v>211.81210691823901</v>
      </c>
      <c r="AK131" s="191">
        <f t="shared" si="423"/>
        <v>281.398506449423</v>
      </c>
      <c r="AL131" s="191">
        <f t="shared" si="423"/>
        <v>287.18244803695154</v>
      </c>
      <c r="AM131" s="191">
        <f t="shared" si="423"/>
        <v>287.18244803695154</v>
      </c>
      <c r="AN131" s="191">
        <f t="shared" si="423"/>
        <v>399.51807228915663</v>
      </c>
      <c r="AO131" s="191">
        <f t="shared" si="423"/>
        <v>235.02577319587635</v>
      </c>
      <c r="AP131" s="191">
        <f t="shared" si="423"/>
        <v>0</v>
      </c>
      <c r="AQ131" s="191">
        <f t="shared" si="423"/>
        <v>0</v>
      </c>
      <c r="AR131" s="191">
        <f t="shared" si="423"/>
        <v>0</v>
      </c>
      <c r="AS131" s="191">
        <f t="shared" si="423"/>
        <v>0</v>
      </c>
      <c r="AT131" s="191">
        <f t="shared" si="423"/>
        <v>0</v>
      </c>
      <c r="AU131" s="191">
        <f t="shared" si="423"/>
        <v>0</v>
      </c>
      <c r="AV131" s="191">
        <f t="shared" si="423"/>
        <v>0</v>
      </c>
      <c r="AW131" s="191">
        <f t="shared" si="423"/>
        <v>0</v>
      </c>
      <c r="AX131" s="191">
        <f t="shared" si="423"/>
        <v>260.69182389937112</v>
      </c>
      <c r="AY131" s="191">
        <f t="shared" si="423"/>
        <v>409.38271604938279</v>
      </c>
      <c r="AZ131" s="191">
        <f t="shared" si="423"/>
        <v>449.04166666666674</v>
      </c>
      <c r="BA131" s="191">
        <f t="shared" si="423"/>
        <v>455.49450549450557</v>
      </c>
      <c r="BB131" s="191">
        <f t="shared" si="423"/>
        <v>414.50000000000006</v>
      </c>
      <c r="BC131" s="191">
        <f t="shared" si="423"/>
        <v>417.71317829457377</v>
      </c>
      <c r="BD131" s="191">
        <f t="shared" si="423"/>
        <v>71.961805555555571</v>
      </c>
      <c r="BE131" s="191">
        <f t="shared" si="423"/>
        <v>150.1811594202899</v>
      </c>
      <c r="BF131" s="191">
        <f t="shared" si="423"/>
        <v>63.379204892966371</v>
      </c>
      <c r="BG131" s="191">
        <f t="shared" si="423"/>
        <v>350.28169014084517</v>
      </c>
      <c r="BH131" s="191">
        <f t="shared" si="423"/>
        <v>389.20187793427243</v>
      </c>
      <c r="BI131" s="191">
        <f t="shared" si="423"/>
        <v>281.398506449423</v>
      </c>
      <c r="BJ131" s="191">
        <f t="shared" si="423"/>
        <v>225.02714440825198</v>
      </c>
      <c r="BK131" s="191">
        <f t="shared" si="423"/>
        <v>297.13261648745521</v>
      </c>
      <c r="BL131" s="191">
        <f t="shared" si="423"/>
        <v>208.71097683786508</v>
      </c>
      <c r="BM131" s="191">
        <f t="shared" si="423"/>
        <v>287.84722222222229</v>
      </c>
      <c r="BN131" s="191">
        <f t="shared" ref="BN131:CS131" si="424">(BN45/$B$45)*100</f>
        <v>287.84722222222229</v>
      </c>
      <c r="BO131" s="191">
        <f t="shared" si="424"/>
        <v>287.84722222222229</v>
      </c>
      <c r="BP131" s="191">
        <f t="shared" si="424"/>
        <v>661.43617021276611</v>
      </c>
      <c r="BQ131" s="191">
        <f t="shared" si="424"/>
        <v>448.10810810810818</v>
      </c>
      <c r="BR131" s="191">
        <f t="shared" si="424"/>
        <v>552.66666666666674</v>
      </c>
      <c r="BS131" s="191">
        <f t="shared" si="424"/>
        <v>478.26923076923083</v>
      </c>
      <c r="BT131" s="191">
        <f t="shared" si="424"/>
        <v>138.72155287817941</v>
      </c>
      <c r="BU131" s="191">
        <f t="shared" si="424"/>
        <v>235.02577319587635</v>
      </c>
      <c r="BV131" s="191">
        <f t="shared" si="424"/>
        <v>100</v>
      </c>
      <c r="BW131" s="191">
        <f t="shared" si="424"/>
        <v>341.99669966996703</v>
      </c>
      <c r="BX131" s="191">
        <f t="shared" si="424"/>
        <v>488.79716981132083</v>
      </c>
      <c r="BY131" s="191">
        <f t="shared" si="424"/>
        <v>467.4812030075189</v>
      </c>
      <c r="BZ131" s="191">
        <f t="shared" si="424"/>
        <v>323.57533177205318</v>
      </c>
      <c r="CA131" s="191">
        <f t="shared" si="424"/>
        <v>323.57533177205318</v>
      </c>
      <c r="CB131" s="191">
        <f t="shared" si="424"/>
        <v>340.31198686371107</v>
      </c>
      <c r="CC131" s="191">
        <f t="shared" si="424"/>
        <v>333.7359098228664</v>
      </c>
      <c r="CD131" s="191">
        <f t="shared" si="424"/>
        <v>206.8363273453094</v>
      </c>
      <c r="CE131" s="191">
        <f t="shared" si="424"/>
        <v>67.895167895167901</v>
      </c>
      <c r="CF131" s="191">
        <f t="shared" si="424"/>
        <v>67.895167895167901</v>
      </c>
      <c r="CG131" s="191">
        <f t="shared" si="424"/>
        <v>415.2550091074682</v>
      </c>
      <c r="CH131" s="191">
        <f t="shared" si="424"/>
        <v>178.50990525409131</v>
      </c>
      <c r="CI131" s="191">
        <f t="shared" si="424"/>
        <v>374.43541102077688</v>
      </c>
      <c r="CJ131" s="191">
        <f t="shared" si="424"/>
        <v>268.65740740740745</v>
      </c>
      <c r="CK131" s="191">
        <f t="shared" si="424"/>
        <v>406.3725490196079</v>
      </c>
      <c r="CL131" s="191">
        <f t="shared" si="424"/>
        <v>406.3725490196079</v>
      </c>
      <c r="CM131" s="191">
        <f t="shared" si="424"/>
        <v>333.7359098228664</v>
      </c>
      <c r="CN131" s="191">
        <f t="shared" si="424"/>
        <v>420.02666666666676</v>
      </c>
      <c r="CO131" s="191">
        <f t="shared" si="424"/>
        <v>412.43781094527367</v>
      </c>
      <c r="CP131" s="774">
        <f t="shared" si="424"/>
        <v>216.09004739336496</v>
      </c>
      <c r="CQ131" s="774">
        <f t="shared" si="424"/>
        <v>289.57085828343321</v>
      </c>
      <c r="CR131" s="774">
        <f t="shared" si="424"/>
        <v>349.38697318007667</v>
      </c>
      <c r="CS131" s="774">
        <f t="shared" si="424"/>
        <v>258.55750487329436</v>
      </c>
      <c r="CT131" s="191">
        <f t="shared" ref="CT131:DW131" si="425">(CT45/$B$45)*100</f>
        <v>437.46701846965703</v>
      </c>
      <c r="CU131" s="191">
        <f t="shared" si="425"/>
        <v>127.0498084291188</v>
      </c>
      <c r="CV131" s="774">
        <f t="shared" si="425"/>
        <v>127.05806666666668</v>
      </c>
      <c r="CW131" s="774">
        <f t="shared" si="425"/>
        <v>127.05806666666668</v>
      </c>
      <c r="CX131" s="774">
        <f t="shared" si="425"/>
        <v>433.12434691745045</v>
      </c>
      <c r="CY131" s="774">
        <f t="shared" si="425"/>
        <v>220.71352502662413</v>
      </c>
      <c r="CZ131" s="191">
        <f t="shared" si="425"/>
        <v>0</v>
      </c>
      <c r="DA131" s="191">
        <f t="shared" si="425"/>
        <v>0</v>
      </c>
      <c r="DB131" s="774">
        <f t="shared" si="425"/>
        <v>0</v>
      </c>
      <c r="DC131" s="774">
        <f t="shared" si="425"/>
        <v>437.46701846965703</v>
      </c>
      <c r="DD131" s="774">
        <f t="shared" si="425"/>
        <v>0</v>
      </c>
      <c r="DE131" s="774">
        <f t="shared" si="425"/>
        <v>0</v>
      </c>
      <c r="DF131" s="191">
        <f t="shared" si="425"/>
        <v>0</v>
      </c>
      <c r="DG131" s="191">
        <f t="shared" si="425"/>
        <v>101.38015373864431</v>
      </c>
      <c r="DH131" s="774">
        <f t="shared" si="425"/>
        <v>345.41666666666669</v>
      </c>
      <c r="DI131" s="774">
        <f t="shared" si="425"/>
        <v>123.89945652173915</v>
      </c>
      <c r="DJ131" s="774">
        <f t="shared" si="425"/>
        <v>499.39759036144596</v>
      </c>
      <c r="DK131" s="774">
        <f t="shared" si="425"/>
        <v>446.04986876640424</v>
      </c>
      <c r="DL131" s="191">
        <f t="shared" si="425"/>
        <v>280.2569303583503</v>
      </c>
      <c r="DM131" s="191">
        <f t="shared" si="425"/>
        <v>194.99327956989245</v>
      </c>
      <c r="DN131" s="774">
        <f t="shared" si="425"/>
        <v>315.00229870741646</v>
      </c>
      <c r="DO131" s="774">
        <f t="shared" si="425"/>
        <v>309.93323738087474</v>
      </c>
      <c r="DP131" s="774">
        <f t="shared" si="425"/>
        <v>340.93886752406399</v>
      </c>
      <c r="DQ131" s="774">
        <f t="shared" si="425"/>
        <v>314.52908038450039</v>
      </c>
      <c r="DR131" s="191">
        <f t="shared" si="425"/>
        <v>258.86026541764255</v>
      </c>
      <c r="DS131" s="191">
        <f t="shared" si="425"/>
        <v>279.12457912457916</v>
      </c>
      <c r="DT131" s="774">
        <f t="shared" si="425"/>
        <v>206.21890547263689</v>
      </c>
      <c r="DU131" s="774">
        <f t="shared" si="425"/>
        <v>320.69632495164416</v>
      </c>
      <c r="DV131" s="774">
        <f t="shared" si="425"/>
        <v>376.81818181818187</v>
      </c>
      <c r="DW131" s="774">
        <f t="shared" si="425"/>
        <v>1215.8666666666668</v>
      </c>
      <c r="DX131" s="191">
        <f t="shared" ref="DX131:EC131" si="426">(DX45/$B$45)*100</f>
        <v>353.44961240310084</v>
      </c>
      <c r="DY131" s="191">
        <f t="shared" si="426"/>
        <v>290.87719298245617</v>
      </c>
      <c r="DZ131" s="774">
        <f t="shared" si="426"/>
        <v>337.62531328320807</v>
      </c>
      <c r="EA131" s="774">
        <f t="shared" si="426"/>
        <v>269.33073424301494</v>
      </c>
      <c r="EB131" s="774">
        <f t="shared" si="426"/>
        <v>237.05065359477126</v>
      </c>
      <c r="EC131" s="774">
        <f t="shared" si="426"/>
        <v>269.33073424301494</v>
      </c>
    </row>
    <row r="132" spans="1:138" s="178" customFormat="1">
      <c r="A132" s="850" t="s">
        <v>446</v>
      </c>
      <c r="B132" s="880">
        <f>(B46/$B$46)*100</f>
        <v>100</v>
      </c>
      <c r="C132" s="880">
        <f>(C46/$B$46)*100</f>
        <v>88.908524063566446</v>
      </c>
      <c r="D132" s="880">
        <f t="shared" ref="D132:BO132" si="427">(D46/$B$46)*100</f>
        <v>104.04267143623353</v>
      </c>
      <c r="E132" s="880">
        <f t="shared" si="427"/>
        <v>95.582338024330156</v>
      </c>
      <c r="F132" s="880">
        <f t="shared" si="427"/>
        <v>97.55765946450633</v>
      </c>
      <c r="G132" s="880">
        <f t="shared" si="427"/>
        <v>57.393854547463128</v>
      </c>
      <c r="H132" s="880">
        <f t="shared" si="427"/>
        <v>69.390397371576654</v>
      </c>
      <c r="I132" s="880">
        <f t="shared" si="427"/>
        <v>110.01728117169669</v>
      </c>
      <c r="J132" s="880">
        <f t="shared" si="427"/>
        <v>82.482593990272193</v>
      </c>
      <c r="K132" s="880">
        <f t="shared" si="427"/>
        <v>83.199014298296348</v>
      </c>
      <c r="L132" s="880">
        <f t="shared" si="427"/>
        <v>0</v>
      </c>
      <c r="M132" s="880">
        <f t="shared" si="427"/>
        <v>77.310070599189245</v>
      </c>
      <c r="N132" s="880">
        <f t="shared" si="427"/>
        <v>73.545133689245262</v>
      </c>
      <c r="O132" s="880">
        <f t="shared" si="427"/>
        <v>0</v>
      </c>
      <c r="P132" s="880">
        <f t="shared" si="427"/>
        <v>62.206134946562941</v>
      </c>
      <c r="Q132" s="880">
        <f t="shared" si="427"/>
        <v>55.685979206445133</v>
      </c>
      <c r="R132" s="880">
        <f t="shared" si="427"/>
        <v>37.557077240409448</v>
      </c>
      <c r="S132" s="880">
        <f t="shared" si="427"/>
        <v>106.65169516288498</v>
      </c>
      <c r="T132" s="880">
        <f t="shared" si="427"/>
        <v>0</v>
      </c>
      <c r="U132" s="880">
        <f t="shared" si="427"/>
        <v>0</v>
      </c>
      <c r="V132" s="880">
        <f t="shared" si="427"/>
        <v>0</v>
      </c>
      <c r="W132" s="880">
        <f t="shared" si="427"/>
        <v>0</v>
      </c>
      <c r="X132" s="880">
        <f t="shared" si="427"/>
        <v>57.877162819709547</v>
      </c>
      <c r="Y132" s="880">
        <f t="shared" si="427"/>
        <v>0</v>
      </c>
      <c r="Z132" s="880">
        <f t="shared" si="427"/>
        <v>64.407528465227941</v>
      </c>
      <c r="AA132" s="880">
        <f t="shared" si="427"/>
        <v>55.672812695549744</v>
      </c>
      <c r="AB132" s="880">
        <f t="shared" si="427"/>
        <v>55.068568761260991</v>
      </c>
      <c r="AC132" s="880">
        <f t="shared" si="427"/>
        <v>0</v>
      </c>
      <c r="AD132" s="880">
        <f t="shared" si="427"/>
        <v>80.657768580078297</v>
      </c>
      <c r="AE132" s="880">
        <f t="shared" si="427"/>
        <v>80.503998164305997</v>
      </c>
      <c r="AF132" s="880">
        <f t="shared" si="427"/>
        <v>0</v>
      </c>
      <c r="AG132" s="880">
        <f t="shared" si="427"/>
        <v>85.198211453722081</v>
      </c>
      <c r="AH132" s="880">
        <f t="shared" si="427"/>
        <v>66.251028132474659</v>
      </c>
      <c r="AI132" s="880">
        <f t="shared" si="427"/>
        <v>55.672812695549744</v>
      </c>
      <c r="AJ132" s="880">
        <f t="shared" si="427"/>
        <v>86.364102346633473</v>
      </c>
      <c r="AK132" s="880">
        <f t="shared" si="427"/>
        <v>84.729366786560405</v>
      </c>
      <c r="AL132" s="880">
        <f t="shared" si="427"/>
        <v>50.662460051475946</v>
      </c>
      <c r="AM132" s="880">
        <f t="shared" si="427"/>
        <v>76.919777683591306</v>
      </c>
      <c r="AN132" s="880">
        <f t="shared" si="427"/>
        <v>55.390617239554231</v>
      </c>
      <c r="AO132" s="880">
        <f t="shared" si="427"/>
        <v>53.194512034320887</v>
      </c>
      <c r="AP132" s="880">
        <f t="shared" si="427"/>
        <v>0</v>
      </c>
      <c r="AQ132" s="880">
        <f t="shared" si="427"/>
        <v>0</v>
      </c>
      <c r="AR132" s="880">
        <f t="shared" si="427"/>
        <v>0</v>
      </c>
      <c r="AS132" s="880">
        <f t="shared" si="427"/>
        <v>0</v>
      </c>
      <c r="AT132" s="880">
        <f t="shared" si="427"/>
        <v>0</v>
      </c>
      <c r="AU132" s="880">
        <f t="shared" si="427"/>
        <v>0</v>
      </c>
      <c r="AV132" s="880">
        <f t="shared" si="427"/>
        <v>0</v>
      </c>
      <c r="AW132" s="880">
        <f t="shared" si="427"/>
        <v>0</v>
      </c>
      <c r="AX132" s="880">
        <f t="shared" si="427"/>
        <v>66.97750153567857</v>
      </c>
      <c r="AY132" s="880">
        <f t="shared" si="427"/>
        <v>55.672812695549744</v>
      </c>
      <c r="AZ132" s="880">
        <f t="shared" si="427"/>
        <v>76.878798492348636</v>
      </c>
      <c r="BA132" s="880">
        <f t="shared" si="427"/>
        <v>74.161941019359162</v>
      </c>
      <c r="BB132" s="880">
        <f t="shared" si="427"/>
        <v>82.490906828746674</v>
      </c>
      <c r="BC132" s="880">
        <f t="shared" si="427"/>
        <v>63.260825827202538</v>
      </c>
      <c r="BD132" s="880">
        <f t="shared" si="427"/>
        <v>78.425839070395725</v>
      </c>
      <c r="BE132" s="880">
        <f t="shared" si="427"/>
        <v>110.88079159747409</v>
      </c>
      <c r="BF132" s="880">
        <f t="shared" si="427"/>
        <v>108.44007136369885</v>
      </c>
      <c r="BG132" s="880">
        <f t="shared" si="427"/>
        <v>80.714377179885545</v>
      </c>
      <c r="BH132" s="880">
        <f t="shared" si="427"/>
        <v>78.595242407613881</v>
      </c>
      <c r="BI132" s="880">
        <f t="shared" si="427"/>
        <v>88.43864804283929</v>
      </c>
      <c r="BJ132" s="880">
        <f t="shared" si="427"/>
        <v>55.485191590944908</v>
      </c>
      <c r="BK132" s="880">
        <f t="shared" si="427"/>
        <v>67.420528471232984</v>
      </c>
      <c r="BL132" s="880">
        <f t="shared" si="427"/>
        <v>59.181112398044952</v>
      </c>
      <c r="BM132" s="880">
        <f t="shared" si="427"/>
        <v>71.056883236853778</v>
      </c>
      <c r="BN132" s="880">
        <f t="shared" si="427"/>
        <v>68.293052704120811</v>
      </c>
      <c r="BO132" s="880">
        <f t="shared" si="427"/>
        <v>68.372509549095739</v>
      </c>
      <c r="BP132" s="880">
        <f t="shared" ref="BP132:DW132" si="428">(BP46/$B$46)*100</f>
        <v>56.946859878210532</v>
      </c>
      <c r="BQ132" s="880">
        <f t="shared" si="428"/>
        <v>72.981082069157878</v>
      </c>
      <c r="BR132" s="880">
        <f t="shared" si="428"/>
        <v>38.408034041339647</v>
      </c>
      <c r="BS132" s="880">
        <f t="shared" si="428"/>
        <v>46.990524074059429</v>
      </c>
      <c r="BT132" s="880">
        <f t="shared" si="428"/>
        <v>67.955898910046358</v>
      </c>
      <c r="BU132" s="880">
        <f t="shared" si="428"/>
        <v>53.194512034320887</v>
      </c>
      <c r="BV132" s="880">
        <f t="shared" si="428"/>
        <v>81.029836472236767</v>
      </c>
      <c r="BW132" s="880">
        <f t="shared" si="428"/>
        <v>78.568878660023685</v>
      </c>
      <c r="BX132" s="880">
        <f t="shared" si="428"/>
        <v>100.35872388448786</v>
      </c>
      <c r="BY132" s="880">
        <f t="shared" si="428"/>
        <v>84.147471564396355</v>
      </c>
      <c r="BZ132" s="880">
        <f t="shared" si="428"/>
        <v>65.95400833680965</v>
      </c>
      <c r="CA132" s="880">
        <f t="shared" si="428"/>
        <v>70.054077377246188</v>
      </c>
      <c r="CB132" s="880">
        <f t="shared" si="428"/>
        <v>78.049492203619053</v>
      </c>
      <c r="CC132" s="880">
        <f t="shared" si="428"/>
        <v>97.350824203506988</v>
      </c>
      <c r="CD132" s="880">
        <f t="shared" si="428"/>
        <v>99.616987378584028</v>
      </c>
      <c r="CE132" s="880">
        <f t="shared" si="428"/>
        <v>95.76896222604887</v>
      </c>
      <c r="CF132" s="880">
        <f t="shared" si="428"/>
        <v>95.76896222604887</v>
      </c>
      <c r="CG132" s="880">
        <f t="shared" si="428"/>
        <v>63.010046081649385</v>
      </c>
      <c r="CH132" s="880">
        <f t="shared" si="428"/>
        <v>70.677630766614897</v>
      </c>
      <c r="CI132" s="880">
        <f t="shared" si="428"/>
        <v>81.317634471051136</v>
      </c>
      <c r="CJ132" s="880">
        <f t="shared" si="428"/>
        <v>55.805101638188873</v>
      </c>
      <c r="CK132" s="880">
        <f t="shared" si="428"/>
        <v>55.253929335295268</v>
      </c>
      <c r="CL132" s="880">
        <f t="shared" si="428"/>
        <v>46.393179250315114</v>
      </c>
      <c r="CM132" s="880">
        <f t="shared" si="428"/>
        <v>63.800968783103137</v>
      </c>
      <c r="CN132" s="880">
        <f t="shared" si="428"/>
        <v>43.602842258590982</v>
      </c>
      <c r="CO132" s="880">
        <f t="shared" si="428"/>
        <v>40.224120770053531</v>
      </c>
      <c r="CP132" s="880">
        <f t="shared" si="428"/>
        <v>48.430014448481671</v>
      </c>
      <c r="CQ132" s="880">
        <f t="shared" si="428"/>
        <v>64.89522206203921</v>
      </c>
      <c r="CR132" s="880">
        <f t="shared" si="428"/>
        <v>62.765222852376127</v>
      </c>
      <c r="CS132" s="880">
        <f t="shared" si="428"/>
        <v>120.6194690803881</v>
      </c>
      <c r="CT132" s="880">
        <f t="shared" si="428"/>
        <v>93.153883558902066</v>
      </c>
      <c r="CU132" s="880">
        <f t="shared" si="428"/>
        <v>70.576517434914564</v>
      </c>
      <c r="CV132" s="880">
        <f t="shared" si="428"/>
        <v>130.92674769705596</v>
      </c>
      <c r="CW132" s="880">
        <f t="shared" si="428"/>
        <v>92.358572887495413</v>
      </c>
      <c r="CX132" s="880">
        <f t="shared" si="428"/>
        <v>88.384228783130453</v>
      </c>
      <c r="CY132" s="880">
        <f t="shared" si="428"/>
        <v>85.275006608800425</v>
      </c>
      <c r="CZ132" s="880">
        <f t="shared" si="428"/>
        <v>0</v>
      </c>
      <c r="DA132" s="880">
        <f t="shared" si="428"/>
        <v>0</v>
      </c>
      <c r="DB132" s="880">
        <f t="shared" si="428"/>
        <v>0</v>
      </c>
      <c r="DC132" s="880">
        <f t="shared" si="428"/>
        <v>57.863011015375811</v>
      </c>
      <c r="DD132" s="880">
        <f t="shared" si="428"/>
        <v>46.358137423148463</v>
      </c>
      <c r="DE132" s="880">
        <f t="shared" si="428"/>
        <v>25.136212906603085</v>
      </c>
      <c r="DF132" s="880">
        <f t="shared" si="428"/>
        <v>30.398622151796967</v>
      </c>
      <c r="DG132" s="880">
        <f t="shared" si="428"/>
        <v>36.801398311701014</v>
      </c>
      <c r="DH132" s="880">
        <f t="shared" si="428"/>
        <v>58.720719108544451</v>
      </c>
      <c r="DI132" s="880">
        <f t="shared" si="428"/>
        <v>54.03470335989865</v>
      </c>
      <c r="DJ132" s="880">
        <f t="shared" si="428"/>
        <v>48.116493356225114</v>
      </c>
      <c r="DK132" s="880">
        <f t="shared" si="428"/>
        <v>50.067867920138099</v>
      </c>
      <c r="DL132" s="880">
        <f t="shared" si="428"/>
        <v>51.135442857579818</v>
      </c>
      <c r="DM132" s="880">
        <f t="shared" si="428"/>
        <v>49.130243478794412</v>
      </c>
      <c r="DN132" s="880">
        <f t="shared" si="428"/>
        <v>51.867578346863418</v>
      </c>
      <c r="DO132" s="880">
        <f t="shared" si="428"/>
        <v>50.725388219916589</v>
      </c>
      <c r="DP132" s="880">
        <f t="shared" si="428"/>
        <v>50.173835696586245</v>
      </c>
      <c r="DQ132" s="880">
        <f t="shared" si="428"/>
        <v>50.516726086646415</v>
      </c>
      <c r="DR132" s="880">
        <f t="shared" si="428"/>
        <v>77.709553622022824</v>
      </c>
      <c r="DS132" s="880">
        <f t="shared" si="428"/>
        <v>61.23028702860811</v>
      </c>
      <c r="DT132" s="880">
        <f t="shared" si="428"/>
        <v>14.642953646043757</v>
      </c>
      <c r="DU132" s="880">
        <f t="shared" si="428"/>
        <v>29.677413735243537</v>
      </c>
      <c r="DV132" s="880">
        <f t="shared" si="428"/>
        <v>50.994116757289021</v>
      </c>
      <c r="DW132" s="880">
        <f t="shared" si="428"/>
        <v>66.700499074928359</v>
      </c>
      <c r="DX132" s="880">
        <f t="shared" ref="DX132:EC132" si="429">(DX46/$B$46)*100</f>
        <v>79.613487394171003</v>
      </c>
      <c r="DY132" s="880">
        <f t="shared" si="429"/>
        <v>52.714300381645018</v>
      </c>
      <c r="DZ132" s="880">
        <f t="shared" si="429"/>
        <v>70.101253635711799</v>
      </c>
      <c r="EA132" s="880">
        <f t="shared" si="429"/>
        <v>67.919741427069397</v>
      </c>
      <c r="EB132" s="880">
        <f t="shared" si="429"/>
        <v>55.043391038886604</v>
      </c>
      <c r="EC132" s="880">
        <f t="shared" si="429"/>
        <v>51.281759127945612</v>
      </c>
      <c r="ED132" s="852"/>
      <c r="EE132" s="852"/>
      <c r="EF132" s="852"/>
      <c r="EG132" s="852"/>
      <c r="EH132" s="852"/>
    </row>
    <row r="133" spans="1:138">
      <c r="A133" s="189" t="s">
        <v>33</v>
      </c>
      <c r="B133" s="191">
        <f t="shared" ref="B133:AG133" si="430">(B47/$B$47)*100</f>
        <v>100</v>
      </c>
      <c r="C133" s="191">
        <f t="shared" si="430"/>
        <v>100</v>
      </c>
      <c r="D133" s="191">
        <f t="shared" si="430"/>
        <v>100</v>
      </c>
      <c r="E133" s="191">
        <f t="shared" si="430"/>
        <v>100</v>
      </c>
      <c r="F133" s="191">
        <f t="shared" si="430"/>
        <v>100</v>
      </c>
      <c r="G133" s="191">
        <f t="shared" si="430"/>
        <v>56.60377358490566</v>
      </c>
      <c r="H133" s="191">
        <f t="shared" si="430"/>
        <v>56.60377358490566</v>
      </c>
      <c r="I133" s="191">
        <f t="shared" si="430"/>
        <v>56.60377358490566</v>
      </c>
      <c r="J133" s="191">
        <f t="shared" si="430"/>
        <v>125</v>
      </c>
      <c r="K133" s="191">
        <f t="shared" si="430"/>
        <v>125</v>
      </c>
      <c r="L133" s="191">
        <f t="shared" si="430"/>
        <v>0</v>
      </c>
      <c r="M133" s="191">
        <f t="shared" si="430"/>
        <v>97.354497354497354</v>
      </c>
      <c r="N133" s="191">
        <f t="shared" si="430"/>
        <v>55.050922102945229</v>
      </c>
      <c r="O133" s="191">
        <f t="shared" si="430"/>
        <v>0</v>
      </c>
      <c r="P133" s="191">
        <f t="shared" si="430"/>
        <v>28.2326369282891</v>
      </c>
      <c r="Q133" s="191">
        <f t="shared" si="430"/>
        <v>23.22524101665206</v>
      </c>
      <c r="R133" s="191">
        <f t="shared" si="430"/>
        <v>26.344150401149562</v>
      </c>
      <c r="S133" s="191">
        <f t="shared" si="430"/>
        <v>26.344150401149562</v>
      </c>
      <c r="T133" s="191">
        <f t="shared" si="430"/>
        <v>0</v>
      </c>
      <c r="U133" s="191">
        <f t="shared" si="430"/>
        <v>0</v>
      </c>
      <c r="V133" s="191">
        <f t="shared" si="430"/>
        <v>0</v>
      </c>
      <c r="W133" s="191">
        <f t="shared" si="430"/>
        <v>0</v>
      </c>
      <c r="X133" s="191">
        <f t="shared" si="430"/>
        <v>62.305295950155759</v>
      </c>
      <c r="Y133" s="191">
        <f t="shared" si="430"/>
        <v>0</v>
      </c>
      <c r="Z133" s="191">
        <f t="shared" si="430"/>
        <v>54.945054945054949</v>
      </c>
      <c r="AA133" s="191">
        <f t="shared" si="430"/>
        <v>23.22524101665206</v>
      </c>
      <c r="AB133" s="191">
        <f t="shared" si="430"/>
        <v>23.22524101665206</v>
      </c>
      <c r="AC133" s="191">
        <f t="shared" si="430"/>
        <v>0</v>
      </c>
      <c r="AD133" s="191">
        <f t="shared" si="430"/>
        <v>23.22524101665206</v>
      </c>
      <c r="AE133" s="191">
        <f t="shared" si="430"/>
        <v>23.22524101665206</v>
      </c>
      <c r="AF133" s="191">
        <f t="shared" si="430"/>
        <v>0</v>
      </c>
      <c r="AG133" s="191">
        <f t="shared" si="430"/>
        <v>23.22524101665206</v>
      </c>
      <c r="AH133" s="191">
        <f t="shared" ref="AH133:BM133" si="431">(AH47/$B$47)*100</f>
        <v>54.945054945054949</v>
      </c>
      <c r="AI133" s="191">
        <f t="shared" si="431"/>
        <v>23.22524101665206</v>
      </c>
      <c r="AJ133" s="191">
        <f t="shared" si="431"/>
        <v>128.93243940175347</v>
      </c>
      <c r="AK133" s="191">
        <f t="shared" si="431"/>
        <v>76.960076960076975</v>
      </c>
      <c r="AL133" s="191">
        <f t="shared" si="431"/>
        <v>13.126230584117259</v>
      </c>
      <c r="AM133" s="191">
        <f t="shared" si="431"/>
        <v>13.126230584117259</v>
      </c>
      <c r="AN133" s="191">
        <f t="shared" si="431"/>
        <v>34.70213996529786</v>
      </c>
      <c r="AO133" s="191">
        <f t="shared" si="431"/>
        <v>39.647013684614393</v>
      </c>
      <c r="AP133" s="191">
        <f t="shared" si="431"/>
        <v>0</v>
      </c>
      <c r="AQ133" s="191">
        <f t="shared" si="431"/>
        <v>0</v>
      </c>
      <c r="AR133" s="191">
        <f t="shared" si="431"/>
        <v>0</v>
      </c>
      <c r="AS133" s="191">
        <f t="shared" si="431"/>
        <v>0</v>
      </c>
      <c r="AT133" s="191">
        <f t="shared" si="431"/>
        <v>0</v>
      </c>
      <c r="AU133" s="191">
        <f t="shared" si="431"/>
        <v>0</v>
      </c>
      <c r="AV133" s="191">
        <f t="shared" si="431"/>
        <v>0</v>
      </c>
      <c r="AW133" s="191">
        <f t="shared" si="431"/>
        <v>0</v>
      </c>
      <c r="AX133" s="191">
        <f t="shared" si="431"/>
        <v>54.945054945054949</v>
      </c>
      <c r="AY133" s="191">
        <f t="shared" si="431"/>
        <v>23.22524101665206</v>
      </c>
      <c r="AZ133" s="191">
        <f t="shared" si="431"/>
        <v>23.22524101665206</v>
      </c>
      <c r="BA133" s="191">
        <f t="shared" si="431"/>
        <v>97.354497354497354</v>
      </c>
      <c r="BB133" s="191">
        <f t="shared" si="431"/>
        <v>97.354497354497354</v>
      </c>
      <c r="BC133" s="191">
        <f t="shared" si="431"/>
        <v>97.354497354497354</v>
      </c>
      <c r="BD133" s="191">
        <f t="shared" si="431"/>
        <v>97.354497354497354</v>
      </c>
      <c r="BE133" s="191">
        <f t="shared" si="431"/>
        <v>97.354497354497354</v>
      </c>
      <c r="BF133" s="191">
        <f t="shared" si="431"/>
        <v>97.354497354497354</v>
      </c>
      <c r="BG133" s="191">
        <f t="shared" si="431"/>
        <v>77.613388309483383</v>
      </c>
      <c r="BH133" s="191">
        <f t="shared" si="431"/>
        <v>75.064508562045503</v>
      </c>
      <c r="BI133" s="191">
        <f t="shared" si="431"/>
        <v>76.960076960076975</v>
      </c>
      <c r="BJ133" s="191">
        <f t="shared" si="431"/>
        <v>45.045045045045043</v>
      </c>
      <c r="BK133" s="191">
        <f t="shared" si="431"/>
        <v>49.558284852402501</v>
      </c>
      <c r="BL133" s="191">
        <f t="shared" si="431"/>
        <v>40.141676505312859</v>
      </c>
      <c r="BM133" s="191">
        <f t="shared" si="431"/>
        <v>34.099066762383345</v>
      </c>
      <c r="BN133" s="191">
        <f t="shared" ref="BN133:CS133" si="432">(BN47/$B$47)*100</f>
        <v>91.644204851752008</v>
      </c>
      <c r="BO133" s="191">
        <f t="shared" si="432"/>
        <v>45.714285714285715</v>
      </c>
      <c r="BP133" s="191">
        <f t="shared" si="432"/>
        <v>40.040719375636236</v>
      </c>
      <c r="BQ133" s="191">
        <f t="shared" si="432"/>
        <v>28.304405874499327</v>
      </c>
      <c r="BR133" s="191">
        <f t="shared" si="432"/>
        <v>13.428571428571429</v>
      </c>
      <c r="BS133" s="191">
        <f t="shared" si="432"/>
        <v>15.112631879098949</v>
      </c>
      <c r="BT133" s="191">
        <f t="shared" si="432"/>
        <v>43.000477783086474</v>
      </c>
      <c r="BU133" s="191">
        <f t="shared" si="432"/>
        <v>39.647013684614393</v>
      </c>
      <c r="BV133" s="191">
        <f t="shared" si="432"/>
        <v>43.000477783086474</v>
      </c>
      <c r="BW133" s="191">
        <f t="shared" si="432"/>
        <v>39.647013684614393</v>
      </c>
      <c r="BX133" s="191">
        <f t="shared" si="432"/>
        <v>39.647013684614393</v>
      </c>
      <c r="BY133" s="191">
        <f t="shared" si="432"/>
        <v>39.647013684614393</v>
      </c>
      <c r="BZ133" s="191">
        <f t="shared" si="432"/>
        <v>39.647013684614393</v>
      </c>
      <c r="CA133" s="191">
        <f t="shared" si="432"/>
        <v>39.647013684614393</v>
      </c>
      <c r="CB133" s="191">
        <f t="shared" si="432"/>
        <v>39.647013684614393</v>
      </c>
      <c r="CC133" s="191">
        <f t="shared" si="432"/>
        <v>173.16017316017314</v>
      </c>
      <c r="CD133" s="191">
        <f t="shared" si="432"/>
        <v>100.65814943863725</v>
      </c>
      <c r="CE133" s="191">
        <f t="shared" si="432"/>
        <v>132.27513227513228</v>
      </c>
      <c r="CF133" s="191">
        <f t="shared" si="432"/>
        <v>132.27513227513228</v>
      </c>
      <c r="CG133" s="191">
        <f t="shared" si="432"/>
        <v>49.990386464141508</v>
      </c>
      <c r="CH133" s="191">
        <f t="shared" si="432"/>
        <v>49.058084772370485</v>
      </c>
      <c r="CI133" s="191">
        <f t="shared" si="432"/>
        <v>33.912674862229757</v>
      </c>
      <c r="CJ133" s="191">
        <f t="shared" si="432"/>
        <v>26.4142637023993</v>
      </c>
      <c r="CK133" s="191">
        <f t="shared" si="432"/>
        <v>26.798029556650242</v>
      </c>
      <c r="CL133" s="191">
        <f t="shared" si="432"/>
        <v>27.11574140145569</v>
      </c>
      <c r="CM133" s="191">
        <f t="shared" si="432"/>
        <v>26.512788521522147</v>
      </c>
      <c r="CN133" s="191">
        <f t="shared" si="432"/>
        <v>25.329280648429588</v>
      </c>
      <c r="CO133" s="191">
        <f t="shared" si="432"/>
        <v>19.527235354573484</v>
      </c>
      <c r="CP133" s="774">
        <f t="shared" si="432"/>
        <v>33.277870216306162</v>
      </c>
      <c r="CQ133" s="774">
        <f t="shared" si="432"/>
        <v>34.775351231047438</v>
      </c>
      <c r="CR133" s="774">
        <f t="shared" si="432"/>
        <v>59.800664451827231</v>
      </c>
      <c r="CS133" s="774">
        <f t="shared" si="432"/>
        <v>308.27067669172936</v>
      </c>
      <c r="CT133" s="191">
        <f t="shared" ref="CT133:DR133" si="433">(CT47/$B$47)*100</f>
        <v>84.485407066052218</v>
      </c>
      <c r="CU133" s="191">
        <f t="shared" si="433"/>
        <v>39.810136273158783</v>
      </c>
      <c r="CV133" s="774">
        <f t="shared" si="433"/>
        <v>173.79214459506434</v>
      </c>
      <c r="CW133" s="774">
        <f t="shared" si="433"/>
        <v>173.79142857142858</v>
      </c>
      <c r="CX133" s="774">
        <f t="shared" si="433"/>
        <v>173.79142857142858</v>
      </c>
      <c r="CY133" s="774">
        <f t="shared" si="433"/>
        <v>173.79142857142858</v>
      </c>
      <c r="CZ133" s="191">
        <f t="shared" si="433"/>
        <v>0</v>
      </c>
      <c r="DA133" s="191">
        <f t="shared" si="433"/>
        <v>0</v>
      </c>
      <c r="DB133" s="774">
        <f t="shared" si="433"/>
        <v>0</v>
      </c>
      <c r="DC133" s="774">
        <f t="shared" si="433"/>
        <v>84.485407066052218</v>
      </c>
      <c r="DD133" s="774">
        <f t="shared" si="433"/>
        <v>95.573440643863179</v>
      </c>
      <c r="DE133" s="774">
        <f t="shared" si="433"/>
        <v>66.656567186789886</v>
      </c>
      <c r="DF133" s="191">
        <f t="shared" si="433"/>
        <v>21.590500179920831</v>
      </c>
      <c r="DG133" s="191">
        <f t="shared" si="433"/>
        <v>46.875</v>
      </c>
      <c r="DH133" s="774">
        <f t="shared" si="433"/>
        <v>46.176046176046171</v>
      </c>
      <c r="DI133" s="774">
        <f t="shared" si="433"/>
        <v>24.144869215291752</v>
      </c>
      <c r="DJ133" s="774">
        <f t="shared" si="433"/>
        <v>24.443237370994026</v>
      </c>
      <c r="DK133" s="774">
        <f t="shared" si="433"/>
        <v>13.374281751535566</v>
      </c>
      <c r="DL133" s="191">
        <f t="shared" si="433"/>
        <v>31.535793125197099</v>
      </c>
      <c r="DM133" s="191">
        <f t="shared" si="433"/>
        <v>35.625222657641608</v>
      </c>
      <c r="DN133" s="774">
        <f t="shared" si="433"/>
        <v>29.216575049451038</v>
      </c>
      <c r="DO133" s="774">
        <f t="shared" si="433"/>
        <v>26.389996528351851</v>
      </c>
      <c r="DP133" s="774">
        <f t="shared" si="433"/>
        <v>26.764184413861862</v>
      </c>
      <c r="DQ133" s="774">
        <f t="shared" si="433"/>
        <v>27.151008921006504</v>
      </c>
      <c r="DR133" s="191">
        <f t="shared" si="433"/>
        <v>141.44271570014143</v>
      </c>
      <c r="DS133" s="191">
        <v>0</v>
      </c>
      <c r="DT133" s="774">
        <v>0</v>
      </c>
      <c r="DU133" s="774">
        <v>0</v>
      </c>
      <c r="DV133" s="774">
        <v>0</v>
      </c>
      <c r="DW133" s="774">
        <v>0</v>
      </c>
      <c r="DX133" s="191">
        <f t="shared" ref="DX133" si="434">(DX47/$B$47)*100</f>
        <v>0</v>
      </c>
      <c r="DY133" s="191">
        <v>0</v>
      </c>
      <c r="DZ133" s="774">
        <v>0</v>
      </c>
      <c r="EA133" s="774">
        <v>0</v>
      </c>
      <c r="EB133" s="774">
        <v>0</v>
      </c>
      <c r="EC133" s="774">
        <v>0</v>
      </c>
    </row>
    <row r="134" spans="1:138">
      <c r="A134" s="189" t="s">
        <v>34</v>
      </c>
      <c r="B134" s="191">
        <f t="shared" ref="B134:AG134" si="435">(B48/$B$48)*100</f>
        <v>100</v>
      </c>
      <c r="C134" s="191">
        <f t="shared" si="435"/>
        <v>100</v>
      </c>
      <c r="D134" s="191">
        <f t="shared" si="435"/>
        <v>100</v>
      </c>
      <c r="E134" s="191">
        <f t="shared" si="435"/>
        <v>100</v>
      </c>
      <c r="F134" s="191">
        <f t="shared" si="435"/>
        <v>100</v>
      </c>
      <c r="G134" s="191">
        <f t="shared" si="435"/>
        <v>100</v>
      </c>
      <c r="H134" s="191">
        <f t="shared" si="435"/>
        <v>100</v>
      </c>
      <c r="I134" s="191">
        <f t="shared" si="435"/>
        <v>100</v>
      </c>
      <c r="J134" s="191">
        <f t="shared" si="435"/>
        <v>100</v>
      </c>
      <c r="K134" s="191">
        <f t="shared" si="435"/>
        <v>100</v>
      </c>
      <c r="L134" s="191">
        <f t="shared" si="435"/>
        <v>0</v>
      </c>
      <c r="M134" s="191">
        <f t="shared" si="435"/>
        <v>100</v>
      </c>
      <c r="N134" s="191">
        <f t="shared" si="435"/>
        <v>125.60386473429952</v>
      </c>
      <c r="O134" s="191">
        <f t="shared" si="435"/>
        <v>0</v>
      </c>
      <c r="P134" s="191">
        <f t="shared" si="435"/>
        <v>77.184054283290919</v>
      </c>
      <c r="Q134" s="191">
        <f t="shared" si="435"/>
        <v>91.259259259259252</v>
      </c>
      <c r="R134" s="191">
        <f t="shared" si="435"/>
        <v>83.219021490626432</v>
      </c>
      <c r="S134" s="191">
        <f t="shared" si="435"/>
        <v>83.219021490626432</v>
      </c>
      <c r="T134" s="191">
        <f t="shared" si="435"/>
        <v>0</v>
      </c>
      <c r="U134" s="191">
        <f t="shared" si="435"/>
        <v>0</v>
      </c>
      <c r="V134" s="191">
        <f t="shared" si="435"/>
        <v>0</v>
      </c>
      <c r="W134" s="191">
        <f t="shared" si="435"/>
        <v>0</v>
      </c>
      <c r="X134" s="191">
        <f t="shared" si="435"/>
        <v>72.872872872872875</v>
      </c>
      <c r="Y134" s="191">
        <f t="shared" si="435"/>
        <v>0</v>
      </c>
      <c r="Z134" s="191">
        <f t="shared" si="435"/>
        <v>72.872872872872875</v>
      </c>
      <c r="AA134" s="191">
        <f t="shared" si="435"/>
        <v>91.259259259259252</v>
      </c>
      <c r="AB134" s="191">
        <f t="shared" si="435"/>
        <v>91.259259259259252</v>
      </c>
      <c r="AC134" s="191">
        <f t="shared" si="435"/>
        <v>0</v>
      </c>
      <c r="AD134" s="191">
        <f t="shared" si="435"/>
        <v>91.259259259259252</v>
      </c>
      <c r="AE134" s="191">
        <f t="shared" si="435"/>
        <v>91.259259259259252</v>
      </c>
      <c r="AF134" s="191">
        <f t="shared" si="435"/>
        <v>0</v>
      </c>
      <c r="AG134" s="191">
        <f t="shared" si="435"/>
        <v>91.259259259259252</v>
      </c>
      <c r="AH134" s="191">
        <f t="shared" ref="AH134:BM134" si="436">(AH48/$B$48)*100</f>
        <v>91.259259259259252</v>
      </c>
      <c r="AI134" s="191">
        <f t="shared" si="436"/>
        <v>91.259259259259252</v>
      </c>
      <c r="AJ134" s="191">
        <f t="shared" si="436"/>
        <v>91.259259259259252</v>
      </c>
      <c r="AK134" s="191">
        <f t="shared" si="436"/>
        <v>91.259259259259252</v>
      </c>
      <c r="AL134" s="191">
        <f t="shared" si="436"/>
        <v>91.259259259259252</v>
      </c>
      <c r="AM134" s="191">
        <f t="shared" si="436"/>
        <v>91.259259259259252</v>
      </c>
      <c r="AN134" s="191">
        <f t="shared" si="436"/>
        <v>91.259259259259252</v>
      </c>
      <c r="AO134" s="191">
        <f t="shared" si="436"/>
        <v>51.670551670551667</v>
      </c>
      <c r="AP134" s="191">
        <f t="shared" si="436"/>
        <v>0</v>
      </c>
      <c r="AQ134" s="191">
        <f t="shared" si="436"/>
        <v>0</v>
      </c>
      <c r="AR134" s="191">
        <f t="shared" si="436"/>
        <v>0</v>
      </c>
      <c r="AS134" s="191">
        <f t="shared" si="436"/>
        <v>0</v>
      </c>
      <c r="AT134" s="191">
        <f t="shared" si="436"/>
        <v>0</v>
      </c>
      <c r="AU134" s="191">
        <f t="shared" si="436"/>
        <v>0</v>
      </c>
      <c r="AV134" s="191">
        <f t="shared" si="436"/>
        <v>0</v>
      </c>
      <c r="AW134" s="191">
        <f t="shared" si="436"/>
        <v>0</v>
      </c>
      <c r="AX134" s="191">
        <f t="shared" si="436"/>
        <v>98.504837291116971</v>
      </c>
      <c r="AY134" s="191">
        <f t="shared" si="436"/>
        <v>91.259259259259252</v>
      </c>
      <c r="AZ134" s="191">
        <f t="shared" si="436"/>
        <v>91.259259259259252</v>
      </c>
      <c r="BA134" s="191">
        <f t="shared" si="436"/>
        <v>91.259259259259252</v>
      </c>
      <c r="BB134" s="191">
        <f t="shared" si="436"/>
        <v>91.259259259259252</v>
      </c>
      <c r="BC134" s="191">
        <f t="shared" si="436"/>
        <v>91.259259259259252</v>
      </c>
      <c r="BD134" s="191">
        <f t="shared" si="436"/>
        <v>91.259259259259252</v>
      </c>
      <c r="BE134" s="191">
        <f t="shared" si="436"/>
        <v>91.259259259259252</v>
      </c>
      <c r="BF134" s="191">
        <f t="shared" si="436"/>
        <v>91.259259259259252</v>
      </c>
      <c r="BG134" s="191">
        <f t="shared" si="436"/>
        <v>91.259259259259252</v>
      </c>
      <c r="BH134" s="191">
        <f t="shared" si="436"/>
        <v>91.259259259259252</v>
      </c>
      <c r="BI134" s="191">
        <f t="shared" si="436"/>
        <v>91.259259259259252</v>
      </c>
      <c r="BJ134" s="191">
        <f t="shared" si="436"/>
        <v>91.259259259259252</v>
      </c>
      <c r="BK134" s="191">
        <f t="shared" si="436"/>
        <v>91.259259259259252</v>
      </c>
      <c r="BL134" s="191">
        <f t="shared" si="436"/>
        <v>91.016548463356969</v>
      </c>
      <c r="BM134" s="191">
        <f t="shared" si="436"/>
        <v>99.937926753569201</v>
      </c>
      <c r="BN134" s="191">
        <f t="shared" ref="BN134:CS134" si="437">(BN48/$B$48)*100</f>
        <v>160.66770996348455</v>
      </c>
      <c r="BO134" s="191">
        <f t="shared" si="437"/>
        <v>104.57516339869279</v>
      </c>
      <c r="BP134" s="191">
        <f t="shared" si="437"/>
        <v>31.200254695956701</v>
      </c>
      <c r="BQ134" s="191">
        <f t="shared" si="437"/>
        <v>71.594607159460708</v>
      </c>
      <c r="BR134" s="191">
        <f t="shared" si="437"/>
        <v>25.785785785785787</v>
      </c>
      <c r="BS134" s="191">
        <f t="shared" si="437"/>
        <v>40.315131757674543</v>
      </c>
      <c r="BT134" s="191">
        <f t="shared" si="437"/>
        <v>50</v>
      </c>
      <c r="BU134" s="191">
        <f t="shared" si="437"/>
        <v>51.670551670551667</v>
      </c>
      <c r="BV134" s="191">
        <f t="shared" si="437"/>
        <v>50</v>
      </c>
      <c r="BW134" s="191">
        <f t="shared" si="437"/>
        <v>51.670551670551667</v>
      </c>
      <c r="BX134" s="191">
        <f t="shared" si="437"/>
        <v>51.670551670551667</v>
      </c>
      <c r="BY134" s="191">
        <f t="shared" si="437"/>
        <v>51.670551670551667</v>
      </c>
      <c r="BZ134" s="191">
        <f t="shared" si="437"/>
        <v>51.670551670551667</v>
      </c>
      <c r="CA134" s="191">
        <f t="shared" si="437"/>
        <v>51.670551670551667</v>
      </c>
      <c r="CB134" s="191">
        <f t="shared" si="437"/>
        <v>51.670551670551667</v>
      </c>
      <c r="CC134" s="191">
        <f t="shared" si="437"/>
        <v>51.670551670551667</v>
      </c>
      <c r="CD134" s="191">
        <f t="shared" si="437"/>
        <v>51.670551670551667</v>
      </c>
      <c r="CE134" s="191">
        <f t="shared" si="437"/>
        <v>51.670551670551667</v>
      </c>
      <c r="CF134" s="191">
        <f t="shared" si="437"/>
        <v>51.670551670551667</v>
      </c>
      <c r="CG134" s="191">
        <f t="shared" si="437"/>
        <v>51.670551670551667</v>
      </c>
      <c r="CH134" s="191">
        <f t="shared" si="437"/>
        <v>51.670551670551667</v>
      </c>
      <c r="CI134" s="191">
        <f t="shared" si="437"/>
        <v>134.017094017094</v>
      </c>
      <c r="CJ134" s="191">
        <f t="shared" si="437"/>
        <v>146.10190300798033</v>
      </c>
      <c r="CK134" s="191">
        <f t="shared" si="437"/>
        <v>117.77076761303891</v>
      </c>
      <c r="CL134" s="191">
        <f t="shared" si="437"/>
        <v>60.876530495480033</v>
      </c>
      <c r="CM134" s="191">
        <f t="shared" si="437"/>
        <v>163.29036218538982</v>
      </c>
      <c r="CN134" s="191">
        <f t="shared" si="437"/>
        <v>42.217582927395028</v>
      </c>
      <c r="CO134" s="191">
        <f t="shared" si="437"/>
        <v>57.323655313605052</v>
      </c>
      <c r="CP134" s="774">
        <f t="shared" si="437"/>
        <v>94.754653130287622</v>
      </c>
      <c r="CQ134" s="774">
        <f t="shared" si="437"/>
        <v>84.311954230653413</v>
      </c>
      <c r="CR134" s="774">
        <f t="shared" si="437"/>
        <v>10.787486515641856</v>
      </c>
      <c r="CS134" s="774">
        <f t="shared" si="437"/>
        <v>10.787486515641856</v>
      </c>
      <c r="CT134" s="191">
        <f t="shared" ref="CT134:DQ134" si="438">(CT48/$B$48)*100</f>
        <v>10.787486515641856</v>
      </c>
      <c r="CU134" s="191">
        <f t="shared" si="438"/>
        <v>10.787486515641856</v>
      </c>
      <c r="CV134" s="774">
        <f t="shared" si="438"/>
        <v>10.787486515641856</v>
      </c>
      <c r="CW134" s="774">
        <f t="shared" si="438"/>
        <v>10.787486515641856</v>
      </c>
      <c r="CX134" s="774">
        <f t="shared" si="438"/>
        <v>10.787486515641856</v>
      </c>
      <c r="CY134" s="774">
        <f t="shared" si="438"/>
        <v>10.787486515641856</v>
      </c>
      <c r="CZ134" s="191">
        <f t="shared" si="438"/>
        <v>0</v>
      </c>
      <c r="DA134" s="191">
        <f t="shared" si="438"/>
        <v>0</v>
      </c>
      <c r="DB134" s="774">
        <f t="shared" si="438"/>
        <v>0</v>
      </c>
      <c r="DC134" s="774">
        <f t="shared" si="438"/>
        <v>0</v>
      </c>
      <c r="DD134" s="774">
        <f t="shared" si="438"/>
        <v>0</v>
      </c>
      <c r="DE134" s="774">
        <f t="shared" si="438"/>
        <v>0</v>
      </c>
      <c r="DF134" s="191">
        <f t="shared" si="438"/>
        <v>0</v>
      </c>
      <c r="DG134" s="191">
        <f t="shared" si="438"/>
        <v>0</v>
      </c>
      <c r="DH134" s="774">
        <f t="shared" si="438"/>
        <v>77.331633736987456</v>
      </c>
      <c r="DI134" s="774">
        <f t="shared" si="438"/>
        <v>76.440076440076439</v>
      </c>
      <c r="DJ134" s="774">
        <f t="shared" si="438"/>
        <v>40.351635682374976</v>
      </c>
      <c r="DK134" s="774">
        <f t="shared" si="438"/>
        <v>70.707070707070713</v>
      </c>
      <c r="DL134" s="191">
        <f t="shared" si="438"/>
        <v>64.814814814814795</v>
      </c>
      <c r="DM134" s="191">
        <f t="shared" si="438"/>
        <v>62.222222222222221</v>
      </c>
      <c r="DN134" s="774">
        <f t="shared" si="438"/>
        <v>65.311242267257768</v>
      </c>
      <c r="DO134" s="774">
        <f t="shared" si="438"/>
        <v>63.307843688969477</v>
      </c>
      <c r="DP134" s="774">
        <f t="shared" si="438"/>
        <v>61.119138230451654</v>
      </c>
      <c r="DQ134" s="774">
        <f t="shared" si="438"/>
        <v>64.580388655131088</v>
      </c>
      <c r="DR134" s="191">
        <v>0</v>
      </c>
      <c r="DS134" s="191">
        <v>0</v>
      </c>
      <c r="DT134" s="774">
        <v>0</v>
      </c>
      <c r="DU134" s="774">
        <v>0</v>
      </c>
      <c r="DV134" s="774">
        <v>0</v>
      </c>
      <c r="DW134" s="774">
        <v>0</v>
      </c>
      <c r="DX134" s="191">
        <v>0</v>
      </c>
      <c r="DY134" s="191">
        <v>0</v>
      </c>
      <c r="DZ134" s="774">
        <v>0</v>
      </c>
      <c r="EA134" s="774">
        <v>0</v>
      </c>
      <c r="EB134" s="774">
        <v>0</v>
      </c>
      <c r="EC134" s="774">
        <v>0</v>
      </c>
    </row>
    <row r="135" spans="1:138">
      <c r="A135" s="189" t="s">
        <v>35</v>
      </c>
      <c r="B135" s="191">
        <f t="shared" ref="B135:AG135" si="439">(B49/$B$49)*100</f>
        <v>100</v>
      </c>
      <c r="C135" s="191">
        <f t="shared" si="439"/>
        <v>104.07488986784142</v>
      </c>
      <c r="D135" s="191">
        <f t="shared" si="439"/>
        <v>104.07488986784142</v>
      </c>
      <c r="E135" s="191">
        <f t="shared" si="439"/>
        <v>104.07488986784142</v>
      </c>
      <c r="F135" s="191">
        <f t="shared" si="439"/>
        <v>104.07488986784142</v>
      </c>
      <c r="G135" s="191">
        <f t="shared" si="439"/>
        <v>104.07488986784142</v>
      </c>
      <c r="H135" s="191">
        <f t="shared" si="439"/>
        <v>104.07488986784142</v>
      </c>
      <c r="I135" s="191">
        <f t="shared" si="439"/>
        <v>104.07488986784142</v>
      </c>
      <c r="J135" s="191">
        <f t="shared" si="439"/>
        <v>104.07488986784142</v>
      </c>
      <c r="K135" s="191">
        <f t="shared" si="439"/>
        <v>104.07488986784142</v>
      </c>
      <c r="L135" s="191">
        <f t="shared" si="439"/>
        <v>0</v>
      </c>
      <c r="M135" s="191">
        <f t="shared" si="439"/>
        <v>104.07488986784142</v>
      </c>
      <c r="N135" s="191">
        <f t="shared" si="439"/>
        <v>83.293269230769226</v>
      </c>
      <c r="O135" s="191">
        <f t="shared" si="439"/>
        <v>0</v>
      </c>
      <c r="P135" s="191">
        <f t="shared" si="439"/>
        <v>70.312500000000014</v>
      </c>
      <c r="Q135" s="191">
        <f t="shared" si="439"/>
        <v>75.398936170212778</v>
      </c>
      <c r="R135" s="191">
        <f t="shared" si="439"/>
        <v>90.586656441717793</v>
      </c>
      <c r="S135" s="191">
        <f t="shared" si="439"/>
        <v>90.586656441717793</v>
      </c>
      <c r="T135" s="191">
        <f t="shared" si="439"/>
        <v>0</v>
      </c>
      <c r="U135" s="191">
        <f t="shared" si="439"/>
        <v>0</v>
      </c>
      <c r="V135" s="191">
        <f t="shared" si="439"/>
        <v>0</v>
      </c>
      <c r="W135" s="191">
        <f t="shared" si="439"/>
        <v>0</v>
      </c>
      <c r="X135" s="191">
        <f t="shared" si="439"/>
        <v>74.013157894736835</v>
      </c>
      <c r="Y135" s="191">
        <f t="shared" si="439"/>
        <v>0</v>
      </c>
      <c r="Z135" s="191">
        <f t="shared" si="439"/>
        <v>70.312500000000014</v>
      </c>
      <c r="AA135" s="191">
        <f t="shared" si="439"/>
        <v>75.398936170212778</v>
      </c>
      <c r="AB135" s="191">
        <f t="shared" si="439"/>
        <v>96.2713936430318</v>
      </c>
      <c r="AC135" s="191">
        <f t="shared" si="439"/>
        <v>0</v>
      </c>
      <c r="AD135" s="191">
        <f t="shared" si="439"/>
        <v>96.2713936430318</v>
      </c>
      <c r="AE135" s="191">
        <f t="shared" si="439"/>
        <v>96.2713936430318</v>
      </c>
      <c r="AF135" s="191">
        <f t="shared" si="439"/>
        <v>0</v>
      </c>
      <c r="AG135" s="191">
        <f t="shared" si="439"/>
        <v>96.2713936430318</v>
      </c>
      <c r="AH135" s="191">
        <f t="shared" ref="AH135:BM135" si="440">(AH49/$B$49)*100</f>
        <v>70.312500000000014</v>
      </c>
      <c r="AI135" s="191">
        <f t="shared" si="440"/>
        <v>75.398936170212778</v>
      </c>
      <c r="AJ135" s="191">
        <f t="shared" si="440"/>
        <v>75.398936170212778</v>
      </c>
      <c r="AK135" s="191">
        <f t="shared" si="440"/>
        <v>115.80882352941177</v>
      </c>
      <c r="AL135" s="191">
        <f t="shared" si="440"/>
        <v>102.71739130434783</v>
      </c>
      <c r="AM135" s="191">
        <f t="shared" si="440"/>
        <v>52.500000000000014</v>
      </c>
      <c r="AN135" s="191">
        <f t="shared" si="440"/>
        <v>63.71359223300972</v>
      </c>
      <c r="AO135" s="191">
        <f t="shared" si="440"/>
        <v>72.380514705882362</v>
      </c>
      <c r="AP135" s="191">
        <f t="shared" si="440"/>
        <v>0</v>
      </c>
      <c r="AQ135" s="191">
        <f t="shared" si="440"/>
        <v>0</v>
      </c>
      <c r="AR135" s="191">
        <f t="shared" si="440"/>
        <v>0</v>
      </c>
      <c r="AS135" s="191">
        <f t="shared" si="440"/>
        <v>0</v>
      </c>
      <c r="AT135" s="191">
        <f t="shared" si="440"/>
        <v>0</v>
      </c>
      <c r="AU135" s="191">
        <f t="shared" si="440"/>
        <v>0</v>
      </c>
      <c r="AV135" s="191">
        <f t="shared" si="440"/>
        <v>0</v>
      </c>
      <c r="AW135" s="191">
        <f t="shared" si="440"/>
        <v>0</v>
      </c>
      <c r="AX135" s="191">
        <f t="shared" si="440"/>
        <v>70.312500000000014</v>
      </c>
      <c r="AY135" s="191">
        <f t="shared" si="440"/>
        <v>75.398936170212778</v>
      </c>
      <c r="AZ135" s="191">
        <f t="shared" si="440"/>
        <v>75.398936170212778</v>
      </c>
      <c r="BA135" s="191">
        <f t="shared" si="440"/>
        <v>75.398936170212778</v>
      </c>
      <c r="BB135" s="191">
        <f t="shared" si="440"/>
        <v>75.398936170212778</v>
      </c>
      <c r="BC135" s="191">
        <f t="shared" si="440"/>
        <v>75.398936170212778</v>
      </c>
      <c r="BD135" s="191">
        <f t="shared" si="440"/>
        <v>75.398936170212778</v>
      </c>
      <c r="BE135" s="191">
        <f t="shared" si="440"/>
        <v>75.398936170212778</v>
      </c>
      <c r="BF135" s="191">
        <f t="shared" si="440"/>
        <v>75.398936170212778</v>
      </c>
      <c r="BG135" s="191">
        <f t="shared" si="440"/>
        <v>75.398936170212778</v>
      </c>
      <c r="BH135" s="191">
        <f t="shared" si="440"/>
        <v>75.398936170212778</v>
      </c>
      <c r="BI135" s="191">
        <f t="shared" si="440"/>
        <v>115.80882352941177</v>
      </c>
      <c r="BJ135" s="191">
        <f t="shared" si="440"/>
        <v>157.50000000000003</v>
      </c>
      <c r="BK135" s="191">
        <f t="shared" si="440"/>
        <v>119.77186311787074</v>
      </c>
      <c r="BL135" s="191">
        <f t="shared" si="440"/>
        <v>132.13087248322148</v>
      </c>
      <c r="BM135" s="191">
        <f t="shared" si="440"/>
        <v>135.45000000000002</v>
      </c>
      <c r="BN135" s="191">
        <f t="shared" ref="BN135:CS135" si="441">(BN49/$B$49)*100</f>
        <v>91.83673469387756</v>
      </c>
      <c r="BO135" s="191">
        <f t="shared" si="441"/>
        <v>157.50000000000003</v>
      </c>
      <c r="BP135" s="191">
        <f t="shared" si="441"/>
        <v>71.808510638297875</v>
      </c>
      <c r="BQ135" s="191">
        <f t="shared" si="441"/>
        <v>71.590909090909093</v>
      </c>
      <c r="BR135" s="191">
        <f t="shared" si="441"/>
        <v>65.625</v>
      </c>
      <c r="BS135" s="191">
        <f t="shared" si="441"/>
        <v>116.86643835616439</v>
      </c>
      <c r="BT135" s="191">
        <f t="shared" si="441"/>
        <v>67.654639175257742</v>
      </c>
      <c r="BU135" s="191">
        <f t="shared" si="441"/>
        <v>72.380514705882362</v>
      </c>
      <c r="BV135" s="191">
        <f t="shared" si="441"/>
        <v>100</v>
      </c>
      <c r="BW135" s="191">
        <f t="shared" si="441"/>
        <v>104.07488986784142</v>
      </c>
      <c r="BX135" s="191">
        <f t="shared" si="441"/>
        <v>104.07488986784142</v>
      </c>
      <c r="BY135" s="191">
        <f t="shared" si="441"/>
        <v>104.07488986784142</v>
      </c>
      <c r="BZ135" s="191">
        <f t="shared" si="441"/>
        <v>104.07488986784142</v>
      </c>
      <c r="CA135" s="191">
        <f t="shared" si="441"/>
        <v>104.07488986784142</v>
      </c>
      <c r="CB135" s="191">
        <f t="shared" si="441"/>
        <v>130.81395348837211</v>
      </c>
      <c r="CC135" s="191">
        <f t="shared" si="441"/>
        <v>130.81395348837211</v>
      </c>
      <c r="CD135" s="191">
        <f t="shared" si="441"/>
        <v>130.81395348837211</v>
      </c>
      <c r="CE135" s="191">
        <f t="shared" si="441"/>
        <v>130.81395348837211</v>
      </c>
      <c r="CF135" s="191">
        <f t="shared" si="441"/>
        <v>130.81395348837211</v>
      </c>
      <c r="CG135" s="191">
        <f t="shared" si="441"/>
        <v>89.760638297872347</v>
      </c>
      <c r="CH135" s="191">
        <f t="shared" si="441"/>
        <v>138.64436619718313</v>
      </c>
      <c r="CI135" s="191">
        <f t="shared" si="441"/>
        <v>155.63241106719369</v>
      </c>
      <c r="CJ135" s="191">
        <f t="shared" si="441"/>
        <v>97.947761194029852</v>
      </c>
      <c r="CK135" s="191">
        <f t="shared" si="441"/>
        <v>97.947761194029852</v>
      </c>
      <c r="CL135" s="191">
        <f t="shared" si="441"/>
        <v>97.947761194029852</v>
      </c>
      <c r="CM135" s="191">
        <f t="shared" si="441"/>
        <v>97.947761194029852</v>
      </c>
      <c r="CN135" s="191">
        <f t="shared" si="441"/>
        <v>76.587528604119001</v>
      </c>
      <c r="CO135" s="191">
        <f t="shared" si="441"/>
        <v>61.331775700934585</v>
      </c>
      <c r="CP135" s="774">
        <f t="shared" si="441"/>
        <v>61.331775700934585</v>
      </c>
      <c r="CQ135" s="774">
        <f t="shared" si="441"/>
        <v>97.704714640198503</v>
      </c>
      <c r="CR135" s="774">
        <f t="shared" si="441"/>
        <v>117.88922155688624</v>
      </c>
      <c r="CS135" s="774">
        <f t="shared" si="441"/>
        <v>221.20786516853937</v>
      </c>
      <c r="CT135" s="191">
        <f t="shared" ref="CT135:DR135" si="442">(CT49/$B$49)*100</f>
        <v>122.2826086956522</v>
      </c>
      <c r="CU135" s="191">
        <f t="shared" si="442"/>
        <v>115.80882352941177</v>
      </c>
      <c r="CV135" s="774">
        <f t="shared" si="442"/>
        <v>115.80975000000002</v>
      </c>
      <c r="CW135" s="774">
        <f t="shared" si="442"/>
        <v>115.80975000000002</v>
      </c>
      <c r="CX135" s="774">
        <f t="shared" si="442"/>
        <v>115.80975000000002</v>
      </c>
      <c r="CY135" s="774">
        <f t="shared" si="442"/>
        <v>115.80975000000002</v>
      </c>
      <c r="CZ135" s="191">
        <f t="shared" si="442"/>
        <v>0</v>
      </c>
      <c r="DA135" s="191">
        <f t="shared" si="442"/>
        <v>0</v>
      </c>
      <c r="DB135" s="774">
        <f t="shared" si="442"/>
        <v>0</v>
      </c>
      <c r="DC135" s="774">
        <f t="shared" si="442"/>
        <v>122.2826086956522</v>
      </c>
      <c r="DD135" s="774">
        <f t="shared" si="442"/>
        <v>0</v>
      </c>
      <c r="DE135" s="774">
        <f t="shared" si="442"/>
        <v>0</v>
      </c>
      <c r="DF135" s="191">
        <f t="shared" si="442"/>
        <v>0</v>
      </c>
      <c r="DG135" s="191">
        <f t="shared" si="442"/>
        <v>0</v>
      </c>
      <c r="DH135" s="774">
        <f t="shared" si="442"/>
        <v>117.53731343283584</v>
      </c>
      <c r="DI135" s="774">
        <f t="shared" si="442"/>
        <v>217.54143646408841</v>
      </c>
      <c r="DJ135" s="774">
        <f t="shared" si="442"/>
        <v>97.222222222222229</v>
      </c>
      <c r="DK135" s="774">
        <f t="shared" si="442"/>
        <v>106.7394578313253</v>
      </c>
      <c r="DL135" s="191">
        <f t="shared" si="442"/>
        <v>105.8467741935484</v>
      </c>
      <c r="DM135" s="191">
        <f t="shared" si="442"/>
        <v>90.517241379310349</v>
      </c>
      <c r="DN135" s="774">
        <f t="shared" si="442"/>
        <v>122.56740758722175</v>
      </c>
      <c r="DO135" s="774">
        <f t="shared" si="442"/>
        <v>123.40575661295277</v>
      </c>
      <c r="DP135" s="774">
        <f t="shared" si="442"/>
        <v>107.71647663776346</v>
      </c>
      <c r="DQ135" s="774">
        <f t="shared" si="442"/>
        <v>109.46551904035368</v>
      </c>
      <c r="DR135" s="191">
        <f t="shared" si="442"/>
        <v>105.46875000000003</v>
      </c>
      <c r="DS135" s="191">
        <v>0</v>
      </c>
      <c r="DT135" s="774">
        <v>0</v>
      </c>
      <c r="DU135" s="774">
        <v>0</v>
      </c>
      <c r="DV135" s="774">
        <v>0</v>
      </c>
      <c r="DW135" s="774">
        <v>0</v>
      </c>
      <c r="DX135" s="191">
        <f t="shared" ref="DX135" si="443">(DX49/$B$49)*100</f>
        <v>0</v>
      </c>
      <c r="DY135" s="191">
        <v>0</v>
      </c>
      <c r="DZ135" s="774">
        <v>0</v>
      </c>
      <c r="EA135" s="774">
        <v>0</v>
      </c>
      <c r="EB135" s="774">
        <v>0</v>
      </c>
      <c r="EC135" s="774">
        <v>0</v>
      </c>
    </row>
    <row r="136" spans="1:138">
      <c r="A136" s="189" t="s">
        <v>37</v>
      </c>
      <c r="B136" s="191">
        <f t="shared" ref="B136:AG136" si="444">(B50/$B$50)*100</f>
        <v>100</v>
      </c>
      <c r="C136" s="191">
        <f t="shared" si="444"/>
        <v>21.668157423971376</v>
      </c>
      <c r="D136" s="191">
        <f t="shared" si="444"/>
        <v>21.668157423971376</v>
      </c>
      <c r="E136" s="191">
        <f t="shared" si="444"/>
        <v>85.089567966280285</v>
      </c>
      <c r="F136" s="191">
        <f t="shared" si="444"/>
        <v>38.224852071005913</v>
      </c>
      <c r="G136" s="191">
        <f t="shared" si="444"/>
        <v>24.722541140451586</v>
      </c>
      <c r="H136" s="191">
        <f t="shared" si="444"/>
        <v>60.477453580901866</v>
      </c>
      <c r="I136" s="191">
        <f t="shared" si="444"/>
        <v>95.256819857458837</v>
      </c>
      <c r="J136" s="191">
        <f t="shared" si="444"/>
        <v>42.019230769230766</v>
      </c>
      <c r="K136" s="191">
        <f t="shared" si="444"/>
        <v>33.128205128205131</v>
      </c>
      <c r="L136" s="191">
        <f t="shared" si="444"/>
        <v>0</v>
      </c>
      <c r="M136" s="191">
        <f t="shared" si="444"/>
        <v>27.072080461910975</v>
      </c>
      <c r="N136" s="191">
        <f t="shared" si="444"/>
        <v>26.01691502215062</v>
      </c>
      <c r="O136" s="191">
        <f t="shared" si="444"/>
        <v>0</v>
      </c>
      <c r="P136" s="191">
        <f t="shared" si="444"/>
        <v>21.871614301191766</v>
      </c>
      <c r="Q136" s="191">
        <f t="shared" si="444"/>
        <v>12.032035760849318</v>
      </c>
      <c r="R136" s="191">
        <f t="shared" si="444"/>
        <v>7.3683730267360161</v>
      </c>
      <c r="S136" s="191">
        <f t="shared" si="444"/>
        <v>7.3683730267360161</v>
      </c>
      <c r="T136" s="191">
        <f t="shared" si="444"/>
        <v>0</v>
      </c>
      <c r="U136" s="191">
        <f t="shared" si="444"/>
        <v>0</v>
      </c>
      <c r="V136" s="191">
        <f t="shared" si="444"/>
        <v>0</v>
      </c>
      <c r="W136" s="191">
        <f t="shared" si="444"/>
        <v>0</v>
      </c>
      <c r="X136" s="191">
        <f t="shared" si="444"/>
        <v>34.749865519096289</v>
      </c>
      <c r="Y136" s="191">
        <f t="shared" si="444"/>
        <v>0</v>
      </c>
      <c r="Z136" s="191">
        <f t="shared" si="444"/>
        <v>21.871614301191766</v>
      </c>
      <c r="AA136" s="191">
        <f t="shared" si="444"/>
        <v>30.080089402123296</v>
      </c>
      <c r="AB136" s="191">
        <f t="shared" si="444"/>
        <v>65.842307692307685</v>
      </c>
      <c r="AC136" s="191">
        <f t="shared" si="444"/>
        <v>0</v>
      </c>
      <c r="AD136" s="191">
        <f t="shared" si="444"/>
        <v>97.984832069339106</v>
      </c>
      <c r="AE136" s="191">
        <f t="shared" si="444"/>
        <v>51.335028607755881</v>
      </c>
      <c r="AF136" s="191">
        <f t="shared" si="444"/>
        <v>0</v>
      </c>
      <c r="AG136" s="191">
        <f t="shared" si="444"/>
        <v>74.290825453616151</v>
      </c>
      <c r="AH136" s="191">
        <f t="shared" ref="AH136:BM136" si="445">(AH50/$B$50)*100</f>
        <v>21.871614301191766</v>
      </c>
      <c r="AI136" s="191">
        <f t="shared" si="445"/>
        <v>30.080089402123296</v>
      </c>
      <c r="AJ136" s="191">
        <f t="shared" si="445"/>
        <v>21.948899157379724</v>
      </c>
      <c r="AK136" s="191">
        <f t="shared" si="445"/>
        <v>21.642991155186277</v>
      </c>
      <c r="AL136" s="191">
        <f t="shared" si="445"/>
        <v>10.681923407632778</v>
      </c>
      <c r="AM136" s="191">
        <f t="shared" si="445"/>
        <v>68.126550868486348</v>
      </c>
      <c r="AN136" s="191">
        <f t="shared" si="445"/>
        <v>18.030590599531095</v>
      </c>
      <c r="AO136" s="191">
        <f t="shared" si="445"/>
        <v>26.388888888888889</v>
      </c>
      <c r="AP136" s="191">
        <f t="shared" si="445"/>
        <v>0</v>
      </c>
      <c r="AQ136" s="191">
        <f t="shared" si="445"/>
        <v>0</v>
      </c>
      <c r="AR136" s="191">
        <f t="shared" si="445"/>
        <v>0</v>
      </c>
      <c r="AS136" s="191">
        <f t="shared" si="445"/>
        <v>0</v>
      </c>
      <c r="AT136" s="191">
        <f t="shared" si="445"/>
        <v>0</v>
      </c>
      <c r="AU136" s="191">
        <f t="shared" si="445"/>
        <v>0</v>
      </c>
      <c r="AV136" s="191">
        <f t="shared" si="445"/>
        <v>0</v>
      </c>
      <c r="AW136" s="191">
        <f t="shared" si="445"/>
        <v>0</v>
      </c>
      <c r="AX136" s="191">
        <f t="shared" si="445"/>
        <v>21.871614301191766</v>
      </c>
      <c r="AY136" s="191">
        <f t="shared" si="445"/>
        <v>30.080089402123296</v>
      </c>
      <c r="AZ136" s="191">
        <f t="shared" si="445"/>
        <v>60.748542411134096</v>
      </c>
      <c r="BA136" s="191">
        <f t="shared" si="445"/>
        <v>27.072080461910975</v>
      </c>
      <c r="BB136" s="191">
        <f t="shared" si="445"/>
        <v>38.224852071005913</v>
      </c>
      <c r="BC136" s="191">
        <f t="shared" si="445"/>
        <v>24.722541140451586</v>
      </c>
      <c r="BD136" s="191">
        <f t="shared" si="445"/>
        <v>112.01134930643128</v>
      </c>
      <c r="BE136" s="191">
        <f t="shared" si="445"/>
        <v>31.570716450004888</v>
      </c>
      <c r="BF136" s="191">
        <f t="shared" si="445"/>
        <v>39.690341607274519</v>
      </c>
      <c r="BG136" s="191">
        <f t="shared" si="445"/>
        <v>39.583333333333329</v>
      </c>
      <c r="BH136" s="191">
        <f t="shared" si="445"/>
        <v>29.863165680473376</v>
      </c>
      <c r="BI136" s="191">
        <f t="shared" si="445"/>
        <v>21.642991155186277</v>
      </c>
      <c r="BJ136" s="191">
        <f t="shared" si="445"/>
        <v>28.526009008213371</v>
      </c>
      <c r="BK136" s="191">
        <f t="shared" si="445"/>
        <v>34.604671094921798</v>
      </c>
      <c r="BL136" s="191">
        <f t="shared" si="445"/>
        <v>83.376355188435724</v>
      </c>
      <c r="BM136" s="191">
        <f t="shared" si="445"/>
        <v>83.376355188435724</v>
      </c>
      <c r="BN136" s="191">
        <f t="shared" ref="BN136:CS136" si="446">(BN50/$B$50)*100</f>
        <v>31.570716450004888</v>
      </c>
      <c r="BO136" s="191">
        <f t="shared" si="446"/>
        <v>31.935930393513939</v>
      </c>
      <c r="BP136" s="191">
        <f t="shared" si="446"/>
        <v>99.212072649572647</v>
      </c>
      <c r="BQ136" s="191">
        <f t="shared" si="446"/>
        <v>88.736263736263737</v>
      </c>
      <c r="BR136" s="191">
        <f t="shared" si="446"/>
        <v>25.24475524475524</v>
      </c>
      <c r="BS136" s="191">
        <f t="shared" si="446"/>
        <v>33.829861515186778</v>
      </c>
      <c r="BT136" s="191">
        <f t="shared" si="446"/>
        <v>27.006688963210699</v>
      </c>
      <c r="BU136" s="191">
        <f t="shared" si="446"/>
        <v>26.388888888888889</v>
      </c>
      <c r="BV136" s="191">
        <f t="shared" si="446"/>
        <v>100</v>
      </c>
      <c r="BW136" s="191">
        <f t="shared" si="446"/>
        <v>83.405816798042949</v>
      </c>
      <c r="BX136" s="191">
        <f t="shared" si="446"/>
        <v>83.405816798042949</v>
      </c>
      <c r="BY136" s="191">
        <f t="shared" si="446"/>
        <v>85.089567966280285</v>
      </c>
      <c r="BZ136" s="191">
        <f t="shared" si="446"/>
        <v>50.744792272780174</v>
      </c>
      <c r="CA136" s="191">
        <f t="shared" si="446"/>
        <v>70.186875271621034</v>
      </c>
      <c r="CB136" s="191">
        <f t="shared" si="446"/>
        <v>43.589743589743584</v>
      </c>
      <c r="CC136" s="191">
        <f t="shared" si="446"/>
        <v>35.056301722968392</v>
      </c>
      <c r="CD136" s="191">
        <f t="shared" si="446"/>
        <v>64.872464350271144</v>
      </c>
      <c r="CE136" s="191">
        <f t="shared" si="446"/>
        <v>73.727459484136034</v>
      </c>
      <c r="CF136" s="191">
        <f t="shared" si="446"/>
        <v>73.727459484136034</v>
      </c>
      <c r="CG136" s="191">
        <f t="shared" si="446"/>
        <v>32.551345834927929</v>
      </c>
      <c r="CH136" s="191">
        <f t="shared" si="446"/>
        <v>33.790769230769229</v>
      </c>
      <c r="CI136" s="191">
        <f t="shared" si="446"/>
        <v>32.441214699279207</v>
      </c>
      <c r="CJ136" s="191">
        <f t="shared" si="446"/>
        <v>22.052799271734184</v>
      </c>
      <c r="CK136" s="191">
        <f t="shared" si="446"/>
        <v>37.194841087056659</v>
      </c>
      <c r="CL136" s="191">
        <f t="shared" si="446"/>
        <v>20.602117617042985</v>
      </c>
      <c r="CM136" s="191">
        <f t="shared" si="446"/>
        <v>35.749861649142225</v>
      </c>
      <c r="CN136" s="191">
        <f t="shared" si="446"/>
        <v>59.157509157509161</v>
      </c>
      <c r="CO136" s="191">
        <f t="shared" si="446"/>
        <v>37.083811710677381</v>
      </c>
      <c r="CP136" s="774">
        <f t="shared" si="446"/>
        <v>53.77955377955378</v>
      </c>
      <c r="CQ136" s="774">
        <f t="shared" si="446"/>
        <v>48.622610266445875</v>
      </c>
      <c r="CR136" s="774">
        <f t="shared" si="446"/>
        <v>67.76223776223776</v>
      </c>
      <c r="CS136" s="774">
        <f t="shared" si="446"/>
        <v>106.05065666041276</v>
      </c>
      <c r="CT136" s="191">
        <f t="shared" ref="CT136:DR136" si="447">(CT50/$B$50)*100</f>
        <v>119.4526627218935</v>
      </c>
      <c r="CU136" s="191">
        <f t="shared" si="447"/>
        <v>119.45285384615386</v>
      </c>
      <c r="CV136" s="774">
        <f t="shared" si="447"/>
        <v>119.45285384615386</v>
      </c>
      <c r="CW136" s="774">
        <f t="shared" si="447"/>
        <v>119.45285384615386</v>
      </c>
      <c r="CX136" s="774">
        <f t="shared" si="447"/>
        <v>119.45285384615386</v>
      </c>
      <c r="CY136" s="774">
        <f t="shared" si="447"/>
        <v>119.45285384615386</v>
      </c>
      <c r="CZ136" s="191">
        <f t="shared" si="447"/>
        <v>0</v>
      </c>
      <c r="DA136" s="191">
        <f t="shared" si="447"/>
        <v>0</v>
      </c>
      <c r="DB136" s="774">
        <f t="shared" si="447"/>
        <v>0</v>
      </c>
      <c r="DC136" s="774">
        <f t="shared" si="447"/>
        <v>6.5869973081001714</v>
      </c>
      <c r="DD136" s="774">
        <f t="shared" si="447"/>
        <v>38.342830009496673</v>
      </c>
      <c r="DE136" s="774">
        <f t="shared" si="447"/>
        <v>31.253023705853895</v>
      </c>
      <c r="DF136" s="191">
        <f t="shared" si="447"/>
        <v>40.334665334665331</v>
      </c>
      <c r="DG136" s="191">
        <f t="shared" si="447"/>
        <v>17.596426236652864</v>
      </c>
      <c r="DH136" s="774">
        <f t="shared" si="447"/>
        <v>35.343035343035346</v>
      </c>
      <c r="DI136" s="774">
        <f t="shared" si="447"/>
        <v>32.884615384615387</v>
      </c>
      <c r="DJ136" s="774">
        <f t="shared" si="447"/>
        <v>35.043940544645764</v>
      </c>
      <c r="DK136" s="774">
        <f t="shared" si="447"/>
        <v>45.011148272017842</v>
      </c>
      <c r="DL136" s="191">
        <f t="shared" si="447"/>
        <v>37.702813120112054</v>
      </c>
      <c r="DM136" s="191">
        <f t="shared" si="447"/>
        <v>54.942354942354946</v>
      </c>
      <c r="DN136" s="774">
        <f t="shared" si="447"/>
        <v>40.154651267796886</v>
      </c>
      <c r="DO136" s="774">
        <f t="shared" si="447"/>
        <v>40.956587255257141</v>
      </c>
      <c r="DP136" s="774">
        <f t="shared" si="447"/>
        <v>42.301915900364094</v>
      </c>
      <c r="DQ136" s="774">
        <f t="shared" si="447"/>
        <v>43.511578459650487</v>
      </c>
      <c r="DR136" s="191">
        <f t="shared" si="447"/>
        <v>34.701332187365708</v>
      </c>
      <c r="DS136" s="191">
        <v>0</v>
      </c>
      <c r="DT136" s="774">
        <v>0</v>
      </c>
      <c r="DU136" s="774">
        <f>(DU50/$B$50)*100</f>
        <v>128.51458885941642</v>
      </c>
      <c r="DV136" s="774">
        <f>(DV50/$B$50)*100</f>
        <v>98.335701238075899</v>
      </c>
      <c r="DW136" s="774">
        <f>(DW50/$B$50)*100</f>
        <v>75.596816976127329</v>
      </c>
      <c r="DX136" s="191">
        <f t="shared" ref="DX136" si="448">(DX50/$B$50)*100</f>
        <v>58.23317307692308</v>
      </c>
      <c r="DY136" s="191">
        <v>0</v>
      </c>
      <c r="DZ136" s="774">
        <v>0</v>
      </c>
      <c r="EA136" s="774">
        <f>(EA50/$B$50)*100</f>
        <v>32.981620149761746</v>
      </c>
      <c r="EB136" s="774">
        <f>(EB50/$B$50)*100</f>
        <v>48.813661780262962</v>
      </c>
      <c r="EC136" s="774">
        <f>(EC50/$B$50)*100</f>
        <v>34.508547008547012</v>
      </c>
    </row>
    <row r="137" spans="1:138">
      <c r="A137" s="189" t="s">
        <v>38</v>
      </c>
      <c r="B137" s="191">
        <f t="shared" ref="B137:AG137" si="449">(B51/$B$51)*100</f>
        <v>100</v>
      </c>
      <c r="C137" s="191">
        <f t="shared" si="449"/>
        <v>82.670124295806119</v>
      </c>
      <c r="D137" s="191">
        <f t="shared" si="449"/>
        <v>222.64150943396231</v>
      </c>
      <c r="E137" s="191">
        <f t="shared" si="449"/>
        <v>94.780461999647329</v>
      </c>
      <c r="F137" s="191">
        <f t="shared" si="449"/>
        <v>65.919811320754718</v>
      </c>
      <c r="G137" s="191">
        <f t="shared" si="449"/>
        <v>54.430379746835442</v>
      </c>
      <c r="H137" s="191">
        <f t="shared" si="449"/>
        <v>91.600730371272078</v>
      </c>
      <c r="I137" s="191">
        <f t="shared" si="449"/>
        <v>164.45690973992862</v>
      </c>
      <c r="J137" s="191">
        <f t="shared" si="449"/>
        <v>72.439353099730454</v>
      </c>
      <c r="K137" s="191">
        <f t="shared" si="449"/>
        <v>111.22945830797322</v>
      </c>
      <c r="L137" s="191">
        <f t="shared" si="449"/>
        <v>0</v>
      </c>
      <c r="M137" s="191">
        <f t="shared" si="449"/>
        <v>65.561273108442933</v>
      </c>
      <c r="N137" s="191">
        <f t="shared" si="449"/>
        <v>71.698113207547181</v>
      </c>
      <c r="O137" s="191">
        <f t="shared" si="449"/>
        <v>0</v>
      </c>
      <c r="P137" s="191">
        <f t="shared" si="449"/>
        <v>93.389439391882732</v>
      </c>
      <c r="Q137" s="191">
        <f t="shared" si="449"/>
        <v>94.339622641509422</v>
      </c>
      <c r="R137" s="191">
        <f t="shared" si="449"/>
        <v>33.718573565603442</v>
      </c>
      <c r="S137" s="191">
        <f t="shared" si="449"/>
        <v>118.81266282466252</v>
      </c>
      <c r="T137" s="191">
        <f t="shared" si="449"/>
        <v>0</v>
      </c>
      <c r="U137" s="191">
        <f t="shared" si="449"/>
        <v>0</v>
      </c>
      <c r="V137" s="191">
        <f t="shared" si="449"/>
        <v>0</v>
      </c>
      <c r="W137" s="191">
        <f t="shared" si="449"/>
        <v>0</v>
      </c>
      <c r="X137" s="191">
        <f t="shared" si="449"/>
        <v>78.01161103047896</v>
      </c>
      <c r="Y137" s="191">
        <f t="shared" si="449"/>
        <v>0</v>
      </c>
      <c r="Z137" s="191">
        <f t="shared" si="449"/>
        <v>233.47359847970682</v>
      </c>
      <c r="AA137" s="191">
        <f t="shared" si="449"/>
        <v>83.562999081337011</v>
      </c>
      <c r="AB137" s="191">
        <f t="shared" si="449"/>
        <v>53.242924528301884</v>
      </c>
      <c r="AC137" s="191">
        <f t="shared" si="449"/>
        <v>0</v>
      </c>
      <c r="AD137" s="191">
        <f t="shared" si="449"/>
        <v>87.153596698113205</v>
      </c>
      <c r="AE137" s="191">
        <f t="shared" si="449"/>
        <v>137.51199232491206</v>
      </c>
      <c r="AF137" s="191">
        <f t="shared" si="449"/>
        <v>0</v>
      </c>
      <c r="AG137" s="191">
        <f t="shared" si="449"/>
        <v>151.64873919943577</v>
      </c>
      <c r="AH137" s="191">
        <f t="shared" ref="AH137:BM137" si="450">(AH51/$B$51)*100</f>
        <v>233.47359847970682</v>
      </c>
      <c r="AI137" s="191">
        <f t="shared" si="450"/>
        <v>83.562999081337011</v>
      </c>
      <c r="AJ137" s="191">
        <f t="shared" si="450"/>
        <v>110.63464837049743</v>
      </c>
      <c r="AK137" s="191">
        <f t="shared" si="450"/>
        <v>83.547918910061327</v>
      </c>
      <c r="AL137" s="191">
        <f t="shared" si="450"/>
        <v>65.278681414009981</v>
      </c>
      <c r="AM137" s="191">
        <f t="shared" si="450"/>
        <v>67.064820450395629</v>
      </c>
      <c r="AN137" s="191">
        <f t="shared" si="450"/>
        <v>60.546324978879198</v>
      </c>
      <c r="AO137" s="191">
        <f t="shared" si="450"/>
        <v>125.34449862200552</v>
      </c>
      <c r="AP137" s="191">
        <f t="shared" si="450"/>
        <v>0</v>
      </c>
      <c r="AQ137" s="191">
        <f t="shared" si="450"/>
        <v>0</v>
      </c>
      <c r="AR137" s="191">
        <f t="shared" si="450"/>
        <v>0</v>
      </c>
      <c r="AS137" s="191">
        <f t="shared" si="450"/>
        <v>0</v>
      </c>
      <c r="AT137" s="191">
        <f t="shared" si="450"/>
        <v>0</v>
      </c>
      <c r="AU137" s="191">
        <f t="shared" si="450"/>
        <v>0</v>
      </c>
      <c r="AV137" s="191">
        <f t="shared" si="450"/>
        <v>0</v>
      </c>
      <c r="AW137" s="191">
        <f t="shared" si="450"/>
        <v>0</v>
      </c>
      <c r="AX137" s="191">
        <f t="shared" si="450"/>
        <v>233.47359847970682</v>
      </c>
      <c r="AY137" s="191">
        <f t="shared" si="450"/>
        <v>83.562999081337011</v>
      </c>
      <c r="AZ137" s="191">
        <f t="shared" si="450"/>
        <v>107.5</v>
      </c>
      <c r="BA137" s="191">
        <f t="shared" si="450"/>
        <v>65.561273108442933</v>
      </c>
      <c r="BB137" s="191">
        <f t="shared" si="450"/>
        <v>65.919811320754718</v>
      </c>
      <c r="BC137" s="191">
        <f t="shared" si="450"/>
        <v>54.430379746835442</v>
      </c>
      <c r="BD137" s="191">
        <f t="shared" si="450"/>
        <v>128.62402208927753</v>
      </c>
      <c r="BE137" s="191">
        <f t="shared" si="450"/>
        <v>118.24181402825957</v>
      </c>
      <c r="BF137" s="191">
        <f t="shared" si="450"/>
        <v>162.26415094339623</v>
      </c>
      <c r="BG137" s="191">
        <f t="shared" si="450"/>
        <v>178.0947998159227</v>
      </c>
      <c r="BH137" s="191">
        <f t="shared" si="450"/>
        <v>35.274815422477438</v>
      </c>
      <c r="BI137" s="191">
        <f t="shared" si="450"/>
        <v>83.547918910061327</v>
      </c>
      <c r="BJ137" s="191">
        <f t="shared" si="450"/>
        <v>37.794445095511541</v>
      </c>
      <c r="BK137" s="191">
        <f t="shared" si="450"/>
        <v>38.115740154489039</v>
      </c>
      <c r="BL137" s="191">
        <f t="shared" si="450"/>
        <v>23.584905660377363</v>
      </c>
      <c r="BM137" s="191">
        <f t="shared" si="450"/>
        <v>25.78114926720248</v>
      </c>
      <c r="BN137" s="191">
        <f t="shared" ref="BN137:CS137" si="451">(BN51/$B$51)*100</f>
        <v>174.68628690078543</v>
      </c>
      <c r="BO137" s="191">
        <f t="shared" si="451"/>
        <v>32.980518484430128</v>
      </c>
      <c r="BP137" s="191">
        <f t="shared" si="451"/>
        <v>70.857707835544204</v>
      </c>
      <c r="BQ137" s="191">
        <f t="shared" si="451"/>
        <v>142.59576901086336</v>
      </c>
      <c r="BR137" s="191">
        <f t="shared" si="451"/>
        <v>90.146750524109038</v>
      </c>
      <c r="BS137" s="191">
        <f t="shared" si="451"/>
        <v>82.079142500550631</v>
      </c>
      <c r="BT137" s="191">
        <f t="shared" si="451"/>
        <v>166.70974411992762</v>
      </c>
      <c r="BU137" s="191">
        <f t="shared" si="451"/>
        <v>125.34449862200552</v>
      </c>
      <c r="BV137" s="191">
        <f t="shared" si="451"/>
        <v>100</v>
      </c>
      <c r="BW137" s="191">
        <f t="shared" si="451"/>
        <v>82.670124295806119</v>
      </c>
      <c r="BX137" s="191">
        <f t="shared" si="451"/>
        <v>222.64150943396231</v>
      </c>
      <c r="BY137" s="191">
        <f t="shared" si="451"/>
        <v>94.780461999647329</v>
      </c>
      <c r="BZ137" s="191">
        <f t="shared" si="451"/>
        <v>92.195540308747866</v>
      </c>
      <c r="CA137" s="191">
        <f t="shared" si="451"/>
        <v>20.696958028494414</v>
      </c>
      <c r="CB137" s="191">
        <f t="shared" si="451"/>
        <v>65.853957363391331</v>
      </c>
      <c r="CC137" s="191">
        <f t="shared" si="451"/>
        <v>125.20382017237364</v>
      </c>
      <c r="CD137" s="191">
        <f t="shared" si="451"/>
        <v>93.470133031910279</v>
      </c>
      <c r="CE137" s="191">
        <f t="shared" si="451"/>
        <v>16.557566422795531</v>
      </c>
      <c r="CF137" s="191">
        <f t="shared" si="451"/>
        <v>16.557566422795531</v>
      </c>
      <c r="CG137" s="191">
        <f t="shared" si="451"/>
        <v>74.845088073522248</v>
      </c>
      <c r="CH137" s="191">
        <f t="shared" si="451"/>
        <v>120.01786312381377</v>
      </c>
      <c r="CI137" s="191">
        <f t="shared" si="451"/>
        <v>95.674617301530787</v>
      </c>
      <c r="CJ137" s="191">
        <f t="shared" si="451"/>
        <v>86.485968776937071</v>
      </c>
      <c r="CK137" s="191">
        <f t="shared" si="451"/>
        <v>54.088050314465399</v>
      </c>
      <c r="CL137" s="191">
        <f t="shared" si="451"/>
        <v>54.088050314465399</v>
      </c>
      <c r="CM137" s="191">
        <f t="shared" si="451"/>
        <v>137.97972018996279</v>
      </c>
      <c r="CN137" s="191">
        <f t="shared" si="451"/>
        <v>54.573144936119803</v>
      </c>
      <c r="CO137" s="191">
        <f t="shared" si="451"/>
        <v>47.644675193111304</v>
      </c>
      <c r="CP137" s="774">
        <f t="shared" si="451"/>
        <v>67.610062893081761</v>
      </c>
      <c r="CQ137" s="774">
        <f t="shared" si="451"/>
        <v>59.158805031446548</v>
      </c>
      <c r="CR137" s="774">
        <f t="shared" si="451"/>
        <v>58.144654088050316</v>
      </c>
      <c r="CS137" s="774">
        <f t="shared" si="451"/>
        <v>156.82746547364329</v>
      </c>
      <c r="CT137" s="191">
        <f t="shared" ref="CT137:DW137" si="452">(CT51/$B$51)*100</f>
        <v>319.26974143955272</v>
      </c>
      <c r="CU137" s="191">
        <f t="shared" si="452"/>
        <v>105.89527923012805</v>
      </c>
      <c r="CV137" s="774">
        <f t="shared" si="452"/>
        <v>579.51482479784374</v>
      </c>
      <c r="CW137" s="774">
        <f t="shared" si="452"/>
        <v>131.70791472678266</v>
      </c>
      <c r="CX137" s="774">
        <f t="shared" si="452"/>
        <v>87.0228532287191</v>
      </c>
      <c r="CY137" s="774">
        <f t="shared" si="452"/>
        <v>81.626783248964557</v>
      </c>
      <c r="CZ137" s="191">
        <f t="shared" si="452"/>
        <v>0</v>
      </c>
      <c r="DA137" s="191">
        <f t="shared" si="452"/>
        <v>0</v>
      </c>
      <c r="DB137" s="774">
        <f t="shared" si="452"/>
        <v>0</v>
      </c>
      <c r="DC137" s="774">
        <f t="shared" si="452"/>
        <v>319.26974143955272</v>
      </c>
      <c r="DD137" s="774">
        <f t="shared" si="452"/>
        <v>138.57963201687565</v>
      </c>
      <c r="DE137" s="774">
        <f t="shared" si="452"/>
        <v>108.46534153970336</v>
      </c>
      <c r="DF137" s="191">
        <f t="shared" si="452"/>
        <v>23.313814790717853</v>
      </c>
      <c r="DG137" s="191">
        <f t="shared" si="452"/>
        <v>26.720144616427522</v>
      </c>
      <c r="DH137" s="774">
        <f t="shared" si="452"/>
        <v>80.546284313057697</v>
      </c>
      <c r="DI137" s="774">
        <f t="shared" si="452"/>
        <v>38.634321653189581</v>
      </c>
      <c r="DJ137" s="774">
        <f t="shared" si="452"/>
        <v>42.2562893081761</v>
      </c>
      <c r="DK137" s="774">
        <f t="shared" si="452"/>
        <v>49.017295597484278</v>
      </c>
      <c r="DL137" s="191">
        <f t="shared" si="452"/>
        <v>90.146750524109024</v>
      </c>
      <c r="DM137" s="191">
        <f t="shared" si="452"/>
        <v>85.944995203070036</v>
      </c>
      <c r="DN137" s="774">
        <f t="shared" si="452"/>
        <v>64.424322766514464</v>
      </c>
      <c r="DO137" s="774">
        <f t="shared" si="452"/>
        <v>61.73732917542393</v>
      </c>
      <c r="DP137" s="774">
        <f t="shared" si="452"/>
        <v>65.587830429129639</v>
      </c>
      <c r="DQ137" s="774">
        <f t="shared" si="452"/>
        <v>69.47642061595522</v>
      </c>
      <c r="DR137" s="191">
        <f t="shared" si="452"/>
        <v>38.839823364110792</v>
      </c>
      <c r="DS137" s="191">
        <f t="shared" si="452"/>
        <v>114.64315012305168</v>
      </c>
      <c r="DT137" s="774">
        <f t="shared" si="452"/>
        <v>91.101694915254242</v>
      </c>
      <c r="DU137" s="774">
        <f t="shared" si="452"/>
        <v>112.23804907151913</v>
      </c>
      <c r="DV137" s="774">
        <f t="shared" si="452"/>
        <v>67.610062893081761</v>
      </c>
      <c r="DW137" s="774">
        <f t="shared" si="452"/>
        <v>221.84551886792448</v>
      </c>
      <c r="DX137" s="191">
        <f t="shared" ref="DX137:EC137" si="453">(DX51/$B$51)*100</f>
        <v>148.05123261258782</v>
      </c>
      <c r="DY137" s="191">
        <f t="shared" si="453"/>
        <v>88.413159167876145</v>
      </c>
      <c r="DZ137" s="774">
        <f t="shared" si="453"/>
        <v>69.941444372153555</v>
      </c>
      <c r="EA137" s="774">
        <f t="shared" si="453"/>
        <v>97.856669976828854</v>
      </c>
      <c r="EB137" s="774">
        <f t="shared" si="453"/>
        <v>53.876768867924532</v>
      </c>
      <c r="EC137" s="774">
        <f t="shared" si="453"/>
        <v>74.206166589967779</v>
      </c>
    </row>
    <row r="138" spans="1:138">
      <c r="A138" s="192" t="s">
        <v>39</v>
      </c>
      <c r="B138" s="191">
        <f t="shared" ref="B138:AG138" si="454">(B52/$B$52)*100</f>
        <v>100</v>
      </c>
      <c r="C138" s="191">
        <f t="shared" si="454"/>
        <v>100</v>
      </c>
      <c r="D138" s="191">
        <f t="shared" si="454"/>
        <v>67.924528301886795</v>
      </c>
      <c r="E138" s="191">
        <f t="shared" si="454"/>
        <v>67.924528301886795</v>
      </c>
      <c r="F138" s="191">
        <f t="shared" si="454"/>
        <v>77.74647887323944</v>
      </c>
      <c r="G138" s="191">
        <f t="shared" si="454"/>
        <v>38.726114649681527</v>
      </c>
      <c r="H138" s="191">
        <f t="shared" si="454"/>
        <v>38.726114649681527</v>
      </c>
      <c r="I138" s="191">
        <f t="shared" si="454"/>
        <v>38.726114649681527</v>
      </c>
      <c r="J138" s="191">
        <f t="shared" si="454"/>
        <v>108.1081081081081</v>
      </c>
      <c r="K138" s="191">
        <f t="shared" si="454"/>
        <v>79.354838709677423</v>
      </c>
      <c r="L138" s="191">
        <f t="shared" si="454"/>
        <v>0</v>
      </c>
      <c r="M138" s="191">
        <f t="shared" si="454"/>
        <v>77.795786061588331</v>
      </c>
      <c r="N138" s="191">
        <f t="shared" si="454"/>
        <v>64.147465437788014</v>
      </c>
      <c r="O138" s="191">
        <f t="shared" si="454"/>
        <v>0</v>
      </c>
      <c r="P138" s="191">
        <f t="shared" si="454"/>
        <v>63.628831814415911</v>
      </c>
      <c r="Q138" s="191">
        <f t="shared" si="454"/>
        <v>42.082191780821915</v>
      </c>
      <c r="R138" s="191">
        <f t="shared" si="454"/>
        <v>51.96850393700786</v>
      </c>
      <c r="S138" s="191">
        <f t="shared" si="454"/>
        <v>86.349206349206341</v>
      </c>
      <c r="T138" s="191">
        <f t="shared" si="454"/>
        <v>0</v>
      </c>
      <c r="U138" s="191">
        <f t="shared" si="454"/>
        <v>0</v>
      </c>
      <c r="V138" s="191">
        <f t="shared" si="454"/>
        <v>0</v>
      </c>
      <c r="W138" s="191">
        <f t="shared" si="454"/>
        <v>0</v>
      </c>
      <c r="X138" s="191">
        <f t="shared" si="454"/>
        <v>59.661016949152533</v>
      </c>
      <c r="Y138" s="191">
        <f t="shared" si="454"/>
        <v>0</v>
      </c>
      <c r="Z138" s="191">
        <f t="shared" si="454"/>
        <v>63.628831814415911</v>
      </c>
      <c r="AA138" s="191">
        <f t="shared" si="454"/>
        <v>42.082191780821915</v>
      </c>
      <c r="AB138" s="191">
        <f t="shared" si="454"/>
        <v>44.999999999999993</v>
      </c>
      <c r="AC138" s="191">
        <f t="shared" si="454"/>
        <v>0</v>
      </c>
      <c r="AD138" s="191">
        <f t="shared" si="454"/>
        <v>35.446153846153841</v>
      </c>
      <c r="AE138" s="191">
        <f t="shared" si="454"/>
        <v>80.760790051207024</v>
      </c>
      <c r="AF138" s="191">
        <f t="shared" si="454"/>
        <v>0</v>
      </c>
      <c r="AG138" s="191">
        <f t="shared" si="454"/>
        <v>59.259259259259245</v>
      </c>
      <c r="AH138" s="191">
        <f t="shared" ref="AH138:BM138" si="455">(AH52/$B$52)*100</f>
        <v>63.628831814415911</v>
      </c>
      <c r="AI138" s="191">
        <f t="shared" si="455"/>
        <v>42.082191780821915</v>
      </c>
      <c r="AJ138" s="191">
        <f t="shared" si="455"/>
        <v>85.714285714285722</v>
      </c>
      <c r="AK138" s="191">
        <f t="shared" si="455"/>
        <v>85.714285714285722</v>
      </c>
      <c r="AL138" s="191">
        <f t="shared" si="455"/>
        <v>51.919050942079551</v>
      </c>
      <c r="AM138" s="191">
        <f t="shared" si="455"/>
        <v>111.62790697674416</v>
      </c>
      <c r="AN138" s="191">
        <f t="shared" si="455"/>
        <v>72.785315243415809</v>
      </c>
      <c r="AO138" s="191">
        <f t="shared" si="455"/>
        <v>39.19129082426128</v>
      </c>
      <c r="AP138" s="191">
        <f t="shared" si="455"/>
        <v>0</v>
      </c>
      <c r="AQ138" s="191">
        <f t="shared" si="455"/>
        <v>0</v>
      </c>
      <c r="AR138" s="191">
        <f t="shared" si="455"/>
        <v>0</v>
      </c>
      <c r="AS138" s="191">
        <f t="shared" si="455"/>
        <v>0</v>
      </c>
      <c r="AT138" s="191">
        <f t="shared" si="455"/>
        <v>0</v>
      </c>
      <c r="AU138" s="191">
        <f t="shared" si="455"/>
        <v>0</v>
      </c>
      <c r="AV138" s="191">
        <f t="shared" si="455"/>
        <v>0</v>
      </c>
      <c r="AW138" s="191">
        <f t="shared" si="455"/>
        <v>0</v>
      </c>
      <c r="AX138" s="191">
        <f t="shared" si="455"/>
        <v>63.628831814415911</v>
      </c>
      <c r="AY138" s="191">
        <f t="shared" si="455"/>
        <v>42.082191780821915</v>
      </c>
      <c r="AZ138" s="191">
        <f t="shared" si="455"/>
        <v>63</v>
      </c>
      <c r="BA138" s="191">
        <f t="shared" si="455"/>
        <v>77.795786061588331</v>
      </c>
      <c r="BB138" s="191">
        <f t="shared" si="455"/>
        <v>77.74647887323944</v>
      </c>
      <c r="BC138" s="191">
        <f t="shared" si="455"/>
        <v>38.726114649681527</v>
      </c>
      <c r="BD138" s="191">
        <f t="shared" si="455"/>
        <v>63.650546021840867</v>
      </c>
      <c r="BE138" s="191">
        <f t="shared" si="455"/>
        <v>101.49253731343283</v>
      </c>
      <c r="BF138" s="191">
        <f t="shared" si="455"/>
        <v>74.131274131274125</v>
      </c>
      <c r="BG138" s="191">
        <f t="shared" si="455"/>
        <v>72.72727272727272</v>
      </c>
      <c r="BH138" s="191">
        <f t="shared" si="455"/>
        <v>63.500678426051557</v>
      </c>
      <c r="BI138" s="191">
        <f t="shared" si="455"/>
        <v>63.500678426051557</v>
      </c>
      <c r="BJ138" s="191">
        <f t="shared" si="455"/>
        <v>38.827098078867543</v>
      </c>
      <c r="BK138" s="191">
        <f t="shared" si="455"/>
        <v>38.82352941176471</v>
      </c>
      <c r="BL138" s="191">
        <f t="shared" si="455"/>
        <v>50.561797752808978</v>
      </c>
      <c r="BM138" s="191">
        <f t="shared" si="455"/>
        <v>50.561797752808978</v>
      </c>
      <c r="BN138" s="191">
        <f t="shared" ref="BN138:CS138" si="456">(BN52/$B$52)*100</f>
        <v>56.404230317273786</v>
      </c>
      <c r="BO138" s="191">
        <f t="shared" si="456"/>
        <v>65.232163080407702</v>
      </c>
      <c r="BP138" s="191">
        <f t="shared" si="456"/>
        <v>32.205367561260211</v>
      </c>
      <c r="BQ138" s="191">
        <f t="shared" si="456"/>
        <v>39.916839916839912</v>
      </c>
      <c r="BR138" s="191">
        <f t="shared" si="456"/>
        <v>34.285714285714278</v>
      </c>
      <c r="BS138" s="191">
        <f t="shared" si="456"/>
        <v>41.844769403824515</v>
      </c>
      <c r="BT138" s="191">
        <f t="shared" si="456"/>
        <v>62.158273381294961</v>
      </c>
      <c r="BU138" s="191">
        <f t="shared" si="456"/>
        <v>39.19129082426128</v>
      </c>
      <c r="BV138" s="191">
        <f t="shared" si="456"/>
        <v>39.19129082426128</v>
      </c>
      <c r="BW138" s="191">
        <f t="shared" si="456"/>
        <v>53.846153846153847</v>
      </c>
      <c r="BX138" s="191">
        <f t="shared" si="456"/>
        <v>67.924528301886795</v>
      </c>
      <c r="BY138" s="191">
        <f t="shared" si="456"/>
        <v>67.924528301886795</v>
      </c>
      <c r="BZ138" s="191">
        <f t="shared" si="456"/>
        <v>53.932584269662918</v>
      </c>
      <c r="CA138" s="191">
        <f t="shared" si="456"/>
        <v>53.932584269662918</v>
      </c>
      <c r="CB138" s="191">
        <f t="shared" si="456"/>
        <v>98.714652956298195</v>
      </c>
      <c r="CC138" s="191">
        <f t="shared" si="456"/>
        <v>68.925904652498559</v>
      </c>
      <c r="CD138" s="191">
        <f t="shared" si="456"/>
        <v>55.688622754491021</v>
      </c>
      <c r="CE138" s="191">
        <f t="shared" si="456"/>
        <v>144.40433212996388</v>
      </c>
      <c r="CF138" s="191">
        <f t="shared" si="456"/>
        <v>144.40433212996388</v>
      </c>
      <c r="CG138" s="191">
        <f t="shared" si="456"/>
        <v>55.886157826649409</v>
      </c>
      <c r="CH138" s="191">
        <f t="shared" si="456"/>
        <v>53.076923076923087</v>
      </c>
      <c r="CI138" s="191">
        <f t="shared" si="456"/>
        <v>60.453400503778333</v>
      </c>
      <c r="CJ138" s="191">
        <f t="shared" si="456"/>
        <v>47.999999999999979</v>
      </c>
      <c r="CK138" s="191">
        <f t="shared" si="456"/>
        <v>48.891551827441582</v>
      </c>
      <c r="CL138" s="191">
        <f t="shared" si="456"/>
        <v>48.891551827441582</v>
      </c>
      <c r="CM138" s="191">
        <f t="shared" si="456"/>
        <v>40.325203252032523</v>
      </c>
      <c r="CN138" s="191">
        <f t="shared" si="456"/>
        <v>32.997250229147575</v>
      </c>
      <c r="CO138" s="191">
        <f t="shared" si="456"/>
        <v>61.983471074380148</v>
      </c>
      <c r="CP138" s="774">
        <f t="shared" si="456"/>
        <v>61.983471074380148</v>
      </c>
      <c r="CQ138" s="774">
        <f t="shared" si="456"/>
        <v>61.983471074380148</v>
      </c>
      <c r="CR138" s="774">
        <f t="shared" si="456"/>
        <v>61.983471074380148</v>
      </c>
      <c r="CS138" s="774">
        <f t="shared" si="456"/>
        <v>131.86813186813185</v>
      </c>
      <c r="CT138" s="191">
        <f t="shared" ref="CT138:DT138" si="457">(CT52/$B$52)*100</f>
        <v>67.289719626168221</v>
      </c>
      <c r="CU138" s="191">
        <f t="shared" si="457"/>
        <v>74.954954954954957</v>
      </c>
      <c r="CV138" s="774">
        <f t="shared" si="457"/>
        <v>74.956799999999987</v>
      </c>
      <c r="CW138" s="774">
        <f t="shared" si="457"/>
        <v>74.956799999999987</v>
      </c>
      <c r="CX138" s="774">
        <f t="shared" si="457"/>
        <v>74.956799999999987</v>
      </c>
      <c r="CY138" s="774">
        <f t="shared" si="457"/>
        <v>74.956799999999987</v>
      </c>
      <c r="CZ138" s="191">
        <f t="shared" si="457"/>
        <v>0</v>
      </c>
      <c r="DA138" s="191">
        <f t="shared" si="457"/>
        <v>0</v>
      </c>
      <c r="DB138" s="774">
        <f t="shared" si="457"/>
        <v>0</v>
      </c>
      <c r="DC138" s="774">
        <f t="shared" si="457"/>
        <v>67.289719626168221</v>
      </c>
      <c r="DD138" s="774">
        <f t="shared" si="457"/>
        <v>0</v>
      </c>
      <c r="DE138" s="774">
        <f t="shared" si="457"/>
        <v>0</v>
      </c>
      <c r="DF138" s="191">
        <f t="shared" si="457"/>
        <v>57.715430861723441</v>
      </c>
      <c r="DG138" s="191">
        <f t="shared" si="457"/>
        <v>48.137535816618907</v>
      </c>
      <c r="DH138" s="774">
        <f t="shared" si="457"/>
        <v>50.495049504950494</v>
      </c>
      <c r="DI138" s="774">
        <f t="shared" si="457"/>
        <v>54.237288135593232</v>
      </c>
      <c r="DJ138" s="774">
        <f t="shared" si="457"/>
        <v>34.670947030497594</v>
      </c>
      <c r="DK138" s="774">
        <f t="shared" si="457"/>
        <v>20.568757304246201</v>
      </c>
      <c r="DL138" s="191">
        <f t="shared" si="457"/>
        <v>32.533889468196037</v>
      </c>
      <c r="DM138" s="191">
        <f t="shared" si="457"/>
        <v>32.186588921282798</v>
      </c>
      <c r="DN138" s="774">
        <f t="shared" si="457"/>
        <v>37.448753394127721</v>
      </c>
      <c r="DO138" s="774">
        <f t="shared" si="457"/>
        <v>35.274370708990602</v>
      </c>
      <c r="DP138" s="774">
        <f t="shared" si="457"/>
        <v>32.113884471223486</v>
      </c>
      <c r="DQ138" s="774">
        <f t="shared" si="457"/>
        <v>31.687707378011137</v>
      </c>
      <c r="DR138" s="191">
        <f t="shared" si="457"/>
        <v>18.250950570342201</v>
      </c>
      <c r="DS138" s="191">
        <f t="shared" si="457"/>
        <v>59.931895573212245</v>
      </c>
      <c r="DT138" s="774">
        <f t="shared" si="457"/>
        <v>58.536585365853654</v>
      </c>
      <c r="DU138" s="774">
        <v>0</v>
      </c>
      <c r="DV138" s="774">
        <f>(DV52/$B$52)*100</f>
        <v>63.436123348017617</v>
      </c>
      <c r="DW138" s="774">
        <v>0</v>
      </c>
      <c r="DX138" s="191">
        <f t="shared" ref="DX138:DZ138" si="458">(DX52/$B$52)*100</f>
        <v>25.324675324675322</v>
      </c>
      <c r="DY138" s="191">
        <f t="shared" si="458"/>
        <v>95.143706640237852</v>
      </c>
      <c r="DZ138" s="774">
        <f t="shared" si="458"/>
        <v>52.785923753665699</v>
      </c>
      <c r="EA138" s="774">
        <v>0</v>
      </c>
      <c r="EB138" s="774">
        <f>(EB52/$B$52)*100</f>
        <v>70.718232044198885</v>
      </c>
      <c r="EC138" s="774">
        <v>0</v>
      </c>
    </row>
    <row r="139" spans="1:138">
      <c r="A139" s="192" t="s">
        <v>40</v>
      </c>
      <c r="B139" s="191">
        <f t="shared" ref="B139:AG139" si="459">(B53/$B$53)*100</f>
        <v>100</v>
      </c>
      <c r="C139" s="191">
        <f t="shared" si="459"/>
        <v>96.866485013623986</v>
      </c>
      <c r="D139" s="191">
        <f t="shared" si="459"/>
        <v>190.63706563706566</v>
      </c>
      <c r="E139" s="191">
        <f t="shared" si="459"/>
        <v>191.37596899224806</v>
      </c>
      <c r="F139" s="191">
        <f t="shared" si="459"/>
        <v>68.365384615384613</v>
      </c>
      <c r="G139" s="191">
        <f t="shared" si="459"/>
        <v>68.365384615384613</v>
      </c>
      <c r="H139" s="191">
        <f t="shared" si="459"/>
        <v>127.24089635854341</v>
      </c>
      <c r="I139" s="191">
        <f t="shared" si="459"/>
        <v>134.79228486646886</v>
      </c>
      <c r="J139" s="191">
        <f t="shared" si="459"/>
        <v>96.453488372093034</v>
      </c>
      <c r="K139" s="191">
        <f t="shared" si="459"/>
        <v>91.860465116279059</v>
      </c>
      <c r="L139" s="191">
        <f t="shared" si="459"/>
        <v>0</v>
      </c>
      <c r="M139" s="191">
        <f t="shared" si="459"/>
        <v>118.07065217391306</v>
      </c>
      <c r="N139" s="191">
        <f t="shared" si="459"/>
        <v>111.26760563380284</v>
      </c>
      <c r="O139" s="191">
        <f t="shared" si="459"/>
        <v>0</v>
      </c>
      <c r="P139" s="191">
        <f t="shared" si="459"/>
        <v>102.7456647398844</v>
      </c>
      <c r="Q139" s="191">
        <f t="shared" si="459"/>
        <v>98.503740648379051</v>
      </c>
      <c r="R139" s="191">
        <f t="shared" si="459"/>
        <v>57.724425887265141</v>
      </c>
      <c r="S139" s="191">
        <f t="shared" si="459"/>
        <v>138.37579617834396</v>
      </c>
      <c r="T139" s="191">
        <f t="shared" si="459"/>
        <v>0</v>
      </c>
      <c r="U139" s="191">
        <f t="shared" si="459"/>
        <v>0</v>
      </c>
      <c r="V139" s="191">
        <f t="shared" si="459"/>
        <v>0</v>
      </c>
      <c r="W139" s="191">
        <f t="shared" si="459"/>
        <v>0</v>
      </c>
      <c r="X139" s="191">
        <f t="shared" si="459"/>
        <v>21.624087591240876</v>
      </c>
      <c r="Y139" s="191">
        <f t="shared" si="459"/>
        <v>0</v>
      </c>
      <c r="Z139" s="191">
        <f t="shared" si="459"/>
        <v>68.497109826589593</v>
      </c>
      <c r="AA139" s="191">
        <f t="shared" si="459"/>
        <v>79</v>
      </c>
      <c r="AB139" s="191">
        <f t="shared" si="459"/>
        <v>79</v>
      </c>
      <c r="AC139" s="191">
        <f t="shared" si="459"/>
        <v>0</v>
      </c>
      <c r="AD139" s="191">
        <f t="shared" si="459"/>
        <v>32.324058919803598</v>
      </c>
      <c r="AE139" s="191">
        <f t="shared" si="459"/>
        <v>18.214756258234523</v>
      </c>
      <c r="AF139" s="191">
        <f t="shared" si="459"/>
        <v>0</v>
      </c>
      <c r="AG139" s="191">
        <f t="shared" si="459"/>
        <v>45.091324200913249</v>
      </c>
      <c r="AH139" s="191">
        <f t="shared" ref="AH139:BM139" si="460">(AH53/$B$53)*100</f>
        <v>68.497109826589593</v>
      </c>
      <c r="AI139" s="191">
        <f t="shared" si="460"/>
        <v>79</v>
      </c>
      <c r="AJ139" s="191">
        <f t="shared" si="460"/>
        <v>24.646422628951751</v>
      </c>
      <c r="AK139" s="191">
        <f t="shared" si="460"/>
        <v>53.523035230352299</v>
      </c>
      <c r="AL139" s="191">
        <f t="shared" si="460"/>
        <v>79.59697732997482</v>
      </c>
      <c r="AM139" s="191">
        <f t="shared" si="460"/>
        <v>212.69230769230768</v>
      </c>
      <c r="AN139" s="191">
        <f t="shared" si="460"/>
        <v>89.265536723163848</v>
      </c>
      <c r="AO139" s="191">
        <f t="shared" si="460"/>
        <v>98.136645962732914</v>
      </c>
      <c r="AP139" s="191">
        <f t="shared" si="460"/>
        <v>0</v>
      </c>
      <c r="AQ139" s="191">
        <f t="shared" si="460"/>
        <v>0</v>
      </c>
      <c r="AR139" s="191">
        <f t="shared" si="460"/>
        <v>0</v>
      </c>
      <c r="AS139" s="191">
        <f t="shared" si="460"/>
        <v>0</v>
      </c>
      <c r="AT139" s="191">
        <f t="shared" si="460"/>
        <v>0</v>
      </c>
      <c r="AU139" s="191">
        <f t="shared" si="460"/>
        <v>0</v>
      </c>
      <c r="AV139" s="191">
        <f t="shared" si="460"/>
        <v>0</v>
      </c>
      <c r="AW139" s="191">
        <f t="shared" si="460"/>
        <v>0</v>
      </c>
      <c r="AX139" s="191">
        <f t="shared" si="460"/>
        <v>68.497109826589593</v>
      </c>
      <c r="AY139" s="191">
        <f t="shared" si="460"/>
        <v>79</v>
      </c>
      <c r="AZ139" s="191">
        <f t="shared" si="460"/>
        <v>37.031250000000007</v>
      </c>
      <c r="BA139" s="191">
        <f t="shared" si="460"/>
        <v>118.07065217391306</v>
      </c>
      <c r="BB139" s="191">
        <f t="shared" si="460"/>
        <v>68.365384615384613</v>
      </c>
      <c r="BC139" s="191">
        <f t="shared" si="460"/>
        <v>68.365384615384613</v>
      </c>
      <c r="BD139" s="191">
        <f t="shared" si="460"/>
        <v>28.874269005847957</v>
      </c>
      <c r="BE139" s="191">
        <f t="shared" si="460"/>
        <v>20.59973924380704</v>
      </c>
      <c r="BF139" s="191">
        <f t="shared" si="460"/>
        <v>33.876500857632934</v>
      </c>
      <c r="BG139" s="191">
        <f t="shared" si="460"/>
        <v>38.649706457925639</v>
      </c>
      <c r="BH139" s="191">
        <f t="shared" si="460"/>
        <v>70.035460992907801</v>
      </c>
      <c r="BI139" s="191">
        <f t="shared" si="460"/>
        <v>53.523035230352299</v>
      </c>
      <c r="BJ139" s="191">
        <f t="shared" si="460"/>
        <v>52.268431001890356</v>
      </c>
      <c r="BK139" s="191">
        <f t="shared" si="460"/>
        <v>62.106918238993728</v>
      </c>
      <c r="BL139" s="191">
        <f t="shared" si="460"/>
        <v>98.750000000000014</v>
      </c>
      <c r="BM139" s="191">
        <f t="shared" si="460"/>
        <v>101.65441176470588</v>
      </c>
      <c r="BN139" s="191">
        <f t="shared" ref="BN139:CS139" si="461">(BN53/$B$53)*100</f>
        <v>34.893992932862197</v>
      </c>
      <c r="BO139" s="191">
        <f t="shared" si="461"/>
        <v>70.035460992907801</v>
      </c>
      <c r="BP139" s="191">
        <f t="shared" si="461"/>
        <v>174.00881057268722</v>
      </c>
      <c r="BQ139" s="191">
        <f t="shared" si="461"/>
        <v>249.47368421052633</v>
      </c>
      <c r="BR139" s="191">
        <f t="shared" si="461"/>
        <v>135.73883161512029</v>
      </c>
      <c r="BS139" s="191">
        <f t="shared" si="461"/>
        <v>128.24675324675326</v>
      </c>
      <c r="BT139" s="191">
        <f t="shared" si="461"/>
        <v>66.666666666666671</v>
      </c>
      <c r="BU139" s="191">
        <f t="shared" si="461"/>
        <v>98.136645962732914</v>
      </c>
      <c r="BV139" s="191">
        <f t="shared" si="461"/>
        <v>100</v>
      </c>
      <c r="BW139" s="191">
        <f t="shared" si="461"/>
        <v>96.866485013623986</v>
      </c>
      <c r="BX139" s="191">
        <f t="shared" si="461"/>
        <v>190.63706563706566</v>
      </c>
      <c r="BY139" s="191">
        <f t="shared" si="461"/>
        <v>191.37596899224806</v>
      </c>
      <c r="BZ139" s="191">
        <f t="shared" si="461"/>
        <v>29.625</v>
      </c>
      <c r="CA139" s="191">
        <f t="shared" si="461"/>
        <v>30.384615384615387</v>
      </c>
      <c r="CB139" s="191">
        <f t="shared" si="461"/>
        <v>31.449044585987263</v>
      </c>
      <c r="CC139" s="191">
        <f t="shared" si="461"/>
        <v>22.0979020979021</v>
      </c>
      <c r="CD139" s="191">
        <f t="shared" si="461"/>
        <v>30.57275541795666</v>
      </c>
      <c r="CE139" s="191">
        <f t="shared" si="461"/>
        <v>56.187766714082507</v>
      </c>
      <c r="CF139" s="191">
        <f t="shared" si="461"/>
        <v>56.187766714082507</v>
      </c>
      <c r="CG139" s="191">
        <f t="shared" si="461"/>
        <v>80.121703853955367</v>
      </c>
      <c r="CH139" s="191">
        <f t="shared" si="461"/>
        <v>72.582205029013551</v>
      </c>
      <c r="CI139" s="191">
        <f t="shared" si="461"/>
        <v>107.62942779291554</v>
      </c>
      <c r="CJ139" s="191">
        <f t="shared" si="461"/>
        <v>62.998405103668262</v>
      </c>
      <c r="CK139" s="191">
        <f t="shared" si="461"/>
        <v>95.641646489104133</v>
      </c>
      <c r="CL139" s="191">
        <f t="shared" si="461"/>
        <v>107.92349726775956</v>
      </c>
      <c r="CM139" s="191">
        <f t="shared" si="461"/>
        <v>82.120582120582114</v>
      </c>
      <c r="CN139" s="191">
        <f t="shared" si="461"/>
        <v>58.955223880597018</v>
      </c>
      <c r="CO139" s="191">
        <f t="shared" si="461"/>
        <v>78.06324110671936</v>
      </c>
      <c r="CP139" s="774">
        <f t="shared" si="461"/>
        <v>75.670498084291182</v>
      </c>
      <c r="CQ139" s="774">
        <f t="shared" si="461"/>
        <v>78.21782178217822</v>
      </c>
      <c r="CR139" s="774">
        <f t="shared" si="461"/>
        <v>83.509513742071888</v>
      </c>
      <c r="CS139" s="774">
        <f t="shared" si="461"/>
        <v>182.02764976958528</v>
      </c>
      <c r="CT139" s="191">
        <f t="shared" ref="CT139:DW139" si="462">(CT53/$B$53)*100</f>
        <v>116.51917404129794</v>
      </c>
      <c r="CU139" s="191">
        <f t="shared" si="462"/>
        <v>62.259194395796847</v>
      </c>
      <c r="CV139" s="774">
        <f t="shared" si="462"/>
        <v>76.699029126213588</v>
      </c>
      <c r="CW139" s="774">
        <f t="shared" si="462"/>
        <v>64.227642276422785</v>
      </c>
      <c r="CX139" s="774">
        <f t="shared" si="462"/>
        <v>57.412790697674431</v>
      </c>
      <c r="CY139" s="774">
        <f t="shared" si="462"/>
        <v>35.539845758354758</v>
      </c>
      <c r="CZ139" s="191">
        <f t="shared" si="462"/>
        <v>0</v>
      </c>
      <c r="DA139" s="191">
        <f t="shared" si="462"/>
        <v>0</v>
      </c>
      <c r="DB139" s="774">
        <f t="shared" si="462"/>
        <v>0</v>
      </c>
      <c r="DC139" s="774">
        <f t="shared" si="462"/>
        <v>116.51917404129794</v>
      </c>
      <c r="DD139" s="774">
        <f t="shared" si="462"/>
        <v>76.550387596899228</v>
      </c>
      <c r="DE139" s="774">
        <f t="shared" si="462"/>
        <v>62.599049128367668</v>
      </c>
      <c r="DF139" s="191">
        <f t="shared" si="462"/>
        <v>65.833333333333329</v>
      </c>
      <c r="DG139" s="191">
        <f t="shared" si="462"/>
        <v>83.333333333333343</v>
      </c>
      <c r="DH139" s="774">
        <f t="shared" si="462"/>
        <v>90.596330275229363</v>
      </c>
      <c r="DI139" s="774">
        <f t="shared" si="462"/>
        <v>39.55650929899857</v>
      </c>
      <c r="DJ139" s="774">
        <f t="shared" si="462"/>
        <v>61.003861003861005</v>
      </c>
      <c r="DK139" s="774">
        <f t="shared" si="462"/>
        <v>87.777777777777771</v>
      </c>
      <c r="DL139" s="191">
        <f t="shared" si="462"/>
        <v>53.634185303514393</v>
      </c>
      <c r="DM139" s="191">
        <f t="shared" si="462"/>
        <v>55.745967741935488</v>
      </c>
      <c r="DN139" s="774">
        <f t="shared" si="462"/>
        <v>64.719105233552767</v>
      </c>
      <c r="DO139" s="774">
        <f t="shared" si="462"/>
        <v>60.40623439327333</v>
      </c>
      <c r="DP139" s="774">
        <f t="shared" si="462"/>
        <v>63.881188575652445</v>
      </c>
      <c r="DQ139" s="774">
        <f t="shared" si="462"/>
        <v>64.360743170951025</v>
      </c>
      <c r="DR139" s="191">
        <f t="shared" si="462"/>
        <v>41.708074534161497</v>
      </c>
      <c r="DS139" s="191">
        <f t="shared" si="462"/>
        <v>36.238532110091739</v>
      </c>
      <c r="DT139" s="774">
        <f t="shared" si="462"/>
        <v>48.54463130659768</v>
      </c>
      <c r="DU139" s="774">
        <f t="shared" si="462"/>
        <v>62.204724409448808</v>
      </c>
      <c r="DV139" s="774">
        <f t="shared" si="462"/>
        <v>57.875457875457883</v>
      </c>
      <c r="DW139" s="774">
        <f t="shared" si="462"/>
        <v>63.607085346215783</v>
      </c>
      <c r="DX139" s="191">
        <f t="shared" ref="DX139:EC139" si="463">(DX53/$B$53)*100</f>
        <v>51.465798045602604</v>
      </c>
      <c r="DY139" s="191">
        <f t="shared" si="463"/>
        <v>49.129353233830848</v>
      </c>
      <c r="DZ139" s="774">
        <f t="shared" si="463"/>
        <v>29.477611940298509</v>
      </c>
      <c r="EA139" s="774">
        <f t="shared" si="463"/>
        <v>72.477064220183493</v>
      </c>
      <c r="EB139" s="774">
        <f t="shared" si="463"/>
        <v>67.406143344709903</v>
      </c>
      <c r="EC139" s="774">
        <f t="shared" si="463"/>
        <v>60.582822085889575</v>
      </c>
    </row>
    <row r="140" spans="1:138">
      <c r="A140" s="192" t="s">
        <v>41</v>
      </c>
      <c r="B140" s="191">
        <f t="shared" ref="B140:AG140" si="464">(B54/$B$54)*100</f>
        <v>100</v>
      </c>
      <c r="C140" s="191">
        <f t="shared" si="464"/>
        <v>100</v>
      </c>
      <c r="D140" s="191">
        <f t="shared" si="464"/>
        <v>100</v>
      </c>
      <c r="E140" s="191">
        <f t="shared" si="464"/>
        <v>100</v>
      </c>
      <c r="F140" s="191">
        <f t="shared" si="464"/>
        <v>97.857142857142847</v>
      </c>
      <c r="G140" s="191">
        <f t="shared" si="464"/>
        <v>35.861764705882351</v>
      </c>
      <c r="H140" s="191">
        <f t="shared" si="464"/>
        <v>35.861764705882351</v>
      </c>
      <c r="I140" s="191">
        <f t="shared" si="464"/>
        <v>167.89215686274511</v>
      </c>
      <c r="J140" s="191">
        <f t="shared" si="464"/>
        <v>60.146341463414629</v>
      </c>
      <c r="K140" s="191">
        <f t="shared" si="464"/>
        <v>64.894736842105274</v>
      </c>
      <c r="L140" s="191">
        <f t="shared" si="464"/>
        <v>0</v>
      </c>
      <c r="M140" s="191">
        <f t="shared" si="464"/>
        <v>50.293685756240833</v>
      </c>
      <c r="N140" s="191">
        <f t="shared" si="464"/>
        <v>72.213855421686745</v>
      </c>
      <c r="O140" s="191">
        <f t="shared" si="464"/>
        <v>0</v>
      </c>
      <c r="P140" s="191">
        <f t="shared" si="464"/>
        <v>69.203767123287662</v>
      </c>
      <c r="Q140" s="191">
        <f t="shared" si="464"/>
        <v>45.298387096774185</v>
      </c>
      <c r="R140" s="191">
        <f t="shared" si="464"/>
        <v>16.596916299559471</v>
      </c>
      <c r="S140" s="191">
        <f t="shared" si="464"/>
        <v>220.9677419354839</v>
      </c>
      <c r="T140" s="191">
        <f t="shared" si="464"/>
        <v>0</v>
      </c>
      <c r="U140" s="191">
        <f t="shared" si="464"/>
        <v>0</v>
      </c>
      <c r="V140" s="191">
        <f t="shared" si="464"/>
        <v>0</v>
      </c>
      <c r="W140" s="191">
        <f t="shared" si="464"/>
        <v>0</v>
      </c>
      <c r="X140" s="191">
        <f t="shared" si="464"/>
        <v>69.191919191919197</v>
      </c>
      <c r="Y140" s="191">
        <f t="shared" si="464"/>
        <v>0</v>
      </c>
      <c r="Z140" s="191">
        <f t="shared" si="464"/>
        <v>45.217696629213485</v>
      </c>
      <c r="AA140" s="191">
        <f t="shared" si="464"/>
        <v>45.298387096774185</v>
      </c>
      <c r="AB140" s="191">
        <f t="shared" si="464"/>
        <v>45.298387096774185</v>
      </c>
      <c r="AC140" s="191">
        <f t="shared" si="464"/>
        <v>0</v>
      </c>
      <c r="AD140" s="191">
        <f t="shared" si="464"/>
        <v>45.298387096774185</v>
      </c>
      <c r="AE140" s="191">
        <f t="shared" si="464"/>
        <v>45.298387096774185</v>
      </c>
      <c r="AF140" s="191">
        <f t="shared" si="464"/>
        <v>0</v>
      </c>
      <c r="AG140" s="191">
        <f t="shared" si="464"/>
        <v>45.298387096774185</v>
      </c>
      <c r="AH140" s="191">
        <f t="shared" ref="AH140:BM140" si="465">(AH54/$B$54)*100</f>
        <v>45.217696629213485</v>
      </c>
      <c r="AI140" s="191">
        <f t="shared" si="465"/>
        <v>45.298387096774185</v>
      </c>
      <c r="AJ140" s="191">
        <f t="shared" si="465"/>
        <v>50.07309941520468</v>
      </c>
      <c r="AK140" s="191">
        <f t="shared" si="465"/>
        <v>53.055077452667817</v>
      </c>
      <c r="AL140" s="191">
        <f t="shared" si="465"/>
        <v>28.826135105204877</v>
      </c>
      <c r="AM140" s="191">
        <f t="shared" si="465"/>
        <v>62.272727272727288</v>
      </c>
      <c r="AN140" s="191">
        <f t="shared" si="465"/>
        <v>25.835129310344829</v>
      </c>
      <c r="AO140" s="191">
        <f t="shared" si="465"/>
        <v>22.385620915032682</v>
      </c>
      <c r="AP140" s="191">
        <f t="shared" si="465"/>
        <v>0</v>
      </c>
      <c r="AQ140" s="191">
        <f t="shared" si="465"/>
        <v>0</v>
      </c>
      <c r="AR140" s="191">
        <f t="shared" si="465"/>
        <v>0</v>
      </c>
      <c r="AS140" s="191">
        <f t="shared" si="465"/>
        <v>0</v>
      </c>
      <c r="AT140" s="191">
        <f t="shared" si="465"/>
        <v>0</v>
      </c>
      <c r="AU140" s="191">
        <f t="shared" si="465"/>
        <v>0</v>
      </c>
      <c r="AV140" s="191">
        <f t="shared" si="465"/>
        <v>0</v>
      </c>
      <c r="AW140" s="191">
        <f t="shared" si="465"/>
        <v>0</v>
      </c>
      <c r="AX140" s="191">
        <f t="shared" si="465"/>
        <v>45.217696629213485</v>
      </c>
      <c r="AY140" s="191">
        <f t="shared" si="465"/>
        <v>45.298387096774185</v>
      </c>
      <c r="AZ140" s="191">
        <f t="shared" si="465"/>
        <v>45.298387096774185</v>
      </c>
      <c r="BA140" s="191">
        <f t="shared" si="465"/>
        <v>50.293685756240833</v>
      </c>
      <c r="BB140" s="191">
        <f t="shared" si="465"/>
        <v>97.857142857142847</v>
      </c>
      <c r="BC140" s="191">
        <f t="shared" si="465"/>
        <v>35.861764705882351</v>
      </c>
      <c r="BD140" s="191">
        <f t="shared" si="465"/>
        <v>35.861764705882351</v>
      </c>
      <c r="BE140" s="191">
        <f t="shared" si="465"/>
        <v>114.16666666666669</v>
      </c>
      <c r="BF140" s="191">
        <f t="shared" si="465"/>
        <v>44.727932285368809</v>
      </c>
      <c r="BG140" s="191">
        <f t="shared" si="465"/>
        <v>62.617728531855967</v>
      </c>
      <c r="BH140" s="191">
        <f t="shared" si="465"/>
        <v>53.055077452667817</v>
      </c>
      <c r="BI140" s="191">
        <f t="shared" si="465"/>
        <v>75.274725274725284</v>
      </c>
      <c r="BJ140" s="191">
        <f t="shared" si="465"/>
        <v>38.207171314741046</v>
      </c>
      <c r="BK140" s="191">
        <f t="shared" si="465"/>
        <v>47.475247524752476</v>
      </c>
      <c r="BL140" s="191">
        <f t="shared" si="465"/>
        <v>26.79706601466993</v>
      </c>
      <c r="BM140" s="191">
        <f t="shared" si="465"/>
        <v>66.438127090301009</v>
      </c>
      <c r="BN140" s="191">
        <f t="shared" ref="BN140:CS140" si="466">(BN54/$B$54)*100</f>
        <v>9.6109693877551017</v>
      </c>
      <c r="BO140" s="191">
        <f t="shared" si="466"/>
        <v>66.764132553606245</v>
      </c>
      <c r="BP140" s="191">
        <f t="shared" si="466"/>
        <v>24.962486602357988</v>
      </c>
      <c r="BQ140" s="191">
        <f t="shared" si="466"/>
        <v>40.294117647058826</v>
      </c>
      <c r="BR140" s="191">
        <f t="shared" si="466"/>
        <v>14.051282051282051</v>
      </c>
      <c r="BS140" s="191">
        <f t="shared" si="466"/>
        <v>18.654017857142858</v>
      </c>
      <c r="BT140" s="191">
        <f t="shared" si="466"/>
        <v>85.624999999999986</v>
      </c>
      <c r="BU140" s="191">
        <f t="shared" si="466"/>
        <v>22.385620915032682</v>
      </c>
      <c r="BV140" s="191">
        <f t="shared" si="466"/>
        <v>100</v>
      </c>
      <c r="BW140" s="191">
        <f t="shared" si="466"/>
        <v>100</v>
      </c>
      <c r="BX140" s="191">
        <f t="shared" si="466"/>
        <v>100</v>
      </c>
      <c r="BY140" s="191">
        <f t="shared" si="466"/>
        <v>100</v>
      </c>
      <c r="BZ140" s="191">
        <f t="shared" si="466"/>
        <v>100</v>
      </c>
      <c r="CA140" s="191">
        <f t="shared" si="466"/>
        <v>131.17021276595747</v>
      </c>
      <c r="CB140" s="191">
        <f t="shared" si="466"/>
        <v>61.076817558299034</v>
      </c>
      <c r="CC140" s="191">
        <f t="shared" si="466"/>
        <v>57.083333333333343</v>
      </c>
      <c r="CD140" s="191">
        <f t="shared" si="466"/>
        <v>103.16265060240963</v>
      </c>
      <c r="CE140" s="191">
        <f t="shared" si="466"/>
        <v>60.193321616871707</v>
      </c>
      <c r="CF140" s="191">
        <f t="shared" si="466"/>
        <v>60.193321616871707</v>
      </c>
      <c r="CG140" s="191">
        <f t="shared" si="466"/>
        <v>38.161559888579397</v>
      </c>
      <c r="CH140" s="191">
        <f t="shared" si="466"/>
        <v>36.838662790697676</v>
      </c>
      <c r="CI140" s="191">
        <f t="shared" si="466"/>
        <v>56.719745222929937</v>
      </c>
      <c r="CJ140" s="191">
        <f t="shared" si="466"/>
        <v>20.227225130890051</v>
      </c>
      <c r="CK140" s="191">
        <f t="shared" si="466"/>
        <v>33.01204819277109</v>
      </c>
      <c r="CL140" s="191">
        <f t="shared" si="466"/>
        <v>20.896091515729267</v>
      </c>
      <c r="CM140" s="191">
        <f t="shared" si="466"/>
        <v>18.812600969305336</v>
      </c>
      <c r="CN140" s="191">
        <f t="shared" si="466"/>
        <v>25.137614678899091</v>
      </c>
      <c r="CO140" s="191">
        <f t="shared" si="466"/>
        <v>23.102866779089378</v>
      </c>
      <c r="CP140" s="774">
        <f t="shared" si="466"/>
        <v>21.710382513661202</v>
      </c>
      <c r="CQ140" s="774">
        <f t="shared" si="466"/>
        <v>81.547619047619051</v>
      </c>
      <c r="CR140" s="774">
        <f t="shared" si="466"/>
        <v>64.392220421393844</v>
      </c>
      <c r="CS140" s="774">
        <f t="shared" si="466"/>
        <v>64.392220421393844</v>
      </c>
      <c r="CT140" s="191">
        <f t="shared" ref="CT140:DS140" si="467">(CT54/$B$54)*100</f>
        <v>64.392220421393844</v>
      </c>
      <c r="CU140" s="191">
        <f t="shared" si="467"/>
        <v>64.392220421393844</v>
      </c>
      <c r="CV140" s="774">
        <f t="shared" si="467"/>
        <v>64.392220421393844</v>
      </c>
      <c r="CW140" s="774">
        <f t="shared" si="467"/>
        <v>64.392220421393844</v>
      </c>
      <c r="CX140" s="774">
        <f t="shared" si="467"/>
        <v>64.392220421393844</v>
      </c>
      <c r="CY140" s="774">
        <f t="shared" si="467"/>
        <v>64.392220421393844</v>
      </c>
      <c r="CZ140" s="191">
        <f t="shared" si="467"/>
        <v>0</v>
      </c>
      <c r="DA140" s="191">
        <f t="shared" si="467"/>
        <v>0</v>
      </c>
      <c r="DB140" s="774">
        <f t="shared" si="467"/>
        <v>0</v>
      </c>
      <c r="DC140" s="774">
        <f t="shared" si="467"/>
        <v>0</v>
      </c>
      <c r="DD140" s="774">
        <f t="shared" si="467"/>
        <v>63.282009724473262</v>
      </c>
      <c r="DE140" s="774">
        <f t="shared" si="467"/>
        <v>2.8601252609603338</v>
      </c>
      <c r="DF140" s="191">
        <f t="shared" si="467"/>
        <v>29.869186046511629</v>
      </c>
      <c r="DG140" s="191">
        <f t="shared" si="467"/>
        <v>30.380147835269277</v>
      </c>
      <c r="DH140" s="774">
        <f t="shared" si="467"/>
        <v>31.94300518134715</v>
      </c>
      <c r="DI140" s="774">
        <f t="shared" si="467"/>
        <v>28.3448275862069</v>
      </c>
      <c r="DJ140" s="774">
        <f t="shared" si="467"/>
        <v>58.954918032786871</v>
      </c>
      <c r="DK140" s="774">
        <f t="shared" si="467"/>
        <v>34.558558558558559</v>
      </c>
      <c r="DL140" s="191">
        <f t="shared" si="467"/>
        <v>30.636467889908261</v>
      </c>
      <c r="DM140" s="191">
        <f t="shared" si="467"/>
        <v>25.512104283054004</v>
      </c>
      <c r="DN140" s="774">
        <f t="shared" si="467"/>
        <v>34.991646921976951</v>
      </c>
      <c r="DO140" s="774">
        <f t="shared" si="467"/>
        <v>35.499753878748585</v>
      </c>
      <c r="DP140" s="774">
        <f t="shared" si="467"/>
        <v>36.692241594172209</v>
      </c>
      <c r="DQ140" s="774">
        <f t="shared" si="467"/>
        <v>32.981795521069763</v>
      </c>
      <c r="DR140" s="191">
        <f t="shared" si="467"/>
        <v>81.065088757396452</v>
      </c>
      <c r="DS140" s="191">
        <f t="shared" si="467"/>
        <v>109.60000000000001</v>
      </c>
      <c r="DT140" s="774">
        <v>0</v>
      </c>
      <c r="DU140" s="774">
        <v>0</v>
      </c>
      <c r="DV140" s="774">
        <v>0</v>
      </c>
      <c r="DW140" s="774">
        <v>0</v>
      </c>
      <c r="DX140" s="191">
        <f t="shared" ref="DX140:DY140" si="468">(DX54/$B$54)*100</f>
        <v>134.31372549019608</v>
      </c>
      <c r="DY140" s="191">
        <f t="shared" si="468"/>
        <v>130.22813688212929</v>
      </c>
      <c r="DZ140" s="774">
        <v>0</v>
      </c>
      <c r="EA140" s="774">
        <v>0</v>
      </c>
      <c r="EB140" s="774">
        <v>0</v>
      </c>
      <c r="EC140" s="774">
        <v>0</v>
      </c>
    </row>
    <row r="141" spans="1:138">
      <c r="A141" s="192" t="s">
        <v>43</v>
      </c>
      <c r="B141" s="191">
        <f t="shared" ref="B141:AG141" si="469">(B55/$B$55)*100</f>
        <v>100</v>
      </c>
      <c r="C141" s="191">
        <f t="shared" si="469"/>
        <v>100</v>
      </c>
      <c r="D141" s="191">
        <f t="shared" si="469"/>
        <v>93.080980452994126</v>
      </c>
      <c r="E141" s="191">
        <f t="shared" si="469"/>
        <v>44.636214848980806</v>
      </c>
      <c r="F141" s="191">
        <f t="shared" si="469"/>
        <v>187.74703557312256</v>
      </c>
      <c r="G141" s="191">
        <f t="shared" si="469"/>
        <v>69.745069745069742</v>
      </c>
      <c r="H141" s="191">
        <f t="shared" si="469"/>
        <v>69.745069745069742</v>
      </c>
      <c r="I141" s="191">
        <f t="shared" si="469"/>
        <v>69.745069745069742</v>
      </c>
      <c r="J141" s="191">
        <f t="shared" si="469"/>
        <v>82.923832923832919</v>
      </c>
      <c r="K141" s="191">
        <f t="shared" si="469"/>
        <v>82.923832923832919</v>
      </c>
      <c r="L141" s="191">
        <f t="shared" si="469"/>
        <v>0</v>
      </c>
      <c r="M141" s="191">
        <f t="shared" si="469"/>
        <v>103.01313417460727</v>
      </c>
      <c r="N141" s="191">
        <f t="shared" si="469"/>
        <v>74.063316874818469</v>
      </c>
      <c r="O141" s="191">
        <f t="shared" si="469"/>
        <v>0</v>
      </c>
      <c r="P141" s="191">
        <f t="shared" si="469"/>
        <v>57.426513529297253</v>
      </c>
      <c r="Q141" s="191">
        <f t="shared" si="469"/>
        <v>61.454200448507855</v>
      </c>
      <c r="R141" s="191">
        <f t="shared" si="469"/>
        <v>28.619528619528616</v>
      </c>
      <c r="S141" s="191">
        <f t="shared" si="469"/>
        <v>82.644628099173559</v>
      </c>
      <c r="T141" s="191">
        <f t="shared" si="469"/>
        <v>0</v>
      </c>
      <c r="U141" s="191">
        <f t="shared" si="469"/>
        <v>0</v>
      </c>
      <c r="V141" s="191">
        <f t="shared" si="469"/>
        <v>0</v>
      </c>
      <c r="W141" s="191">
        <f t="shared" si="469"/>
        <v>0</v>
      </c>
      <c r="X141" s="191">
        <f t="shared" si="469"/>
        <v>45.205137797730387</v>
      </c>
      <c r="Y141" s="191">
        <f t="shared" si="469"/>
        <v>0</v>
      </c>
      <c r="Z141" s="191">
        <f t="shared" si="469"/>
        <v>36.380756719739765</v>
      </c>
      <c r="AA141" s="191">
        <f t="shared" si="469"/>
        <v>62.108943687891063</v>
      </c>
      <c r="AB141" s="191">
        <f t="shared" si="469"/>
        <v>28.551850159890364</v>
      </c>
      <c r="AC141" s="191">
        <f t="shared" si="469"/>
        <v>0</v>
      </c>
      <c r="AD141" s="191">
        <f t="shared" si="469"/>
        <v>197.97275894836869</v>
      </c>
      <c r="AE141" s="191">
        <f t="shared" si="469"/>
        <v>197.97275894836869</v>
      </c>
      <c r="AF141" s="191">
        <f t="shared" si="469"/>
        <v>0</v>
      </c>
      <c r="AG141" s="191">
        <f t="shared" si="469"/>
        <v>197.97275894836869</v>
      </c>
      <c r="AH141" s="191">
        <f t="shared" ref="AH141:BM141" si="470">(AH55/$B$55)*100</f>
        <v>36.380756719739765</v>
      </c>
      <c r="AI141" s="191">
        <f t="shared" si="470"/>
        <v>62.108943687891063</v>
      </c>
      <c r="AJ141" s="191">
        <f t="shared" si="470"/>
        <v>196.60270525322431</v>
      </c>
      <c r="AK141" s="191">
        <f t="shared" si="470"/>
        <v>196.60270525322431</v>
      </c>
      <c r="AL141" s="191">
        <f t="shared" si="470"/>
        <v>68.181818181818173</v>
      </c>
      <c r="AM141" s="191">
        <f t="shared" si="470"/>
        <v>74.593702386998473</v>
      </c>
      <c r="AN141" s="191">
        <f t="shared" si="470"/>
        <v>93.429515035633571</v>
      </c>
      <c r="AO141" s="191">
        <f t="shared" si="470"/>
        <v>69.988801791713328</v>
      </c>
      <c r="AP141" s="191">
        <f t="shared" si="470"/>
        <v>0</v>
      </c>
      <c r="AQ141" s="191">
        <f t="shared" si="470"/>
        <v>0</v>
      </c>
      <c r="AR141" s="191">
        <f t="shared" si="470"/>
        <v>0</v>
      </c>
      <c r="AS141" s="191">
        <f t="shared" si="470"/>
        <v>0</v>
      </c>
      <c r="AT141" s="191">
        <f t="shared" si="470"/>
        <v>0</v>
      </c>
      <c r="AU141" s="191">
        <f t="shared" si="470"/>
        <v>0</v>
      </c>
      <c r="AV141" s="191">
        <f t="shared" si="470"/>
        <v>0</v>
      </c>
      <c r="AW141" s="191">
        <f t="shared" si="470"/>
        <v>0</v>
      </c>
      <c r="AX141" s="191">
        <f t="shared" si="470"/>
        <v>36.380756719739765</v>
      </c>
      <c r="AY141" s="191">
        <f t="shared" si="470"/>
        <v>62.108943687891063</v>
      </c>
      <c r="AZ141" s="191">
        <f t="shared" si="470"/>
        <v>189.39393939393941</v>
      </c>
      <c r="BA141" s="191">
        <f t="shared" si="470"/>
        <v>103.01313417460727</v>
      </c>
      <c r="BB141" s="191">
        <f t="shared" si="470"/>
        <v>103.01313417460727</v>
      </c>
      <c r="BC141" s="191">
        <f t="shared" si="470"/>
        <v>103.01313417460727</v>
      </c>
      <c r="BD141" s="191">
        <f t="shared" si="470"/>
        <v>103.01313417460727</v>
      </c>
      <c r="BE141" s="191">
        <f t="shared" si="470"/>
        <v>275.8164165931156</v>
      </c>
      <c r="BF141" s="191">
        <f t="shared" si="470"/>
        <v>346.45232815964522</v>
      </c>
      <c r="BG141" s="191">
        <f t="shared" si="470"/>
        <v>119.61722488038275</v>
      </c>
      <c r="BH141" s="191">
        <f t="shared" si="470"/>
        <v>197.28535353535352</v>
      </c>
      <c r="BI141" s="191">
        <f t="shared" si="470"/>
        <v>197.28535353535352</v>
      </c>
      <c r="BJ141" s="191">
        <f t="shared" si="470"/>
        <v>51.745737785282422</v>
      </c>
      <c r="BK141" s="191">
        <f t="shared" si="470"/>
        <v>130.117973629424</v>
      </c>
      <c r="BL141" s="191">
        <f t="shared" si="470"/>
        <v>41.811014215744841</v>
      </c>
      <c r="BM141" s="191">
        <f t="shared" si="470"/>
        <v>56.047528304001794</v>
      </c>
      <c r="BN141" s="191">
        <f t="shared" ref="BN141:CS141" si="471">(BN55/$B$55)*100</f>
        <v>64.826113483831605</v>
      </c>
      <c r="BO141" s="191">
        <f t="shared" si="471"/>
        <v>64.860938148609378</v>
      </c>
      <c r="BP141" s="191">
        <f t="shared" si="471"/>
        <v>31.590728572460108</v>
      </c>
      <c r="BQ141" s="191">
        <f t="shared" si="471"/>
        <v>25.252525252525249</v>
      </c>
      <c r="BR141" s="191">
        <f t="shared" si="471"/>
        <v>21.199388846447672</v>
      </c>
      <c r="BS141" s="191">
        <f t="shared" si="471"/>
        <v>31.963671633894712</v>
      </c>
      <c r="BT141" s="191">
        <f t="shared" si="471"/>
        <v>57.402840377583132</v>
      </c>
      <c r="BU141" s="191">
        <f t="shared" si="471"/>
        <v>69.988801791713328</v>
      </c>
      <c r="BV141" s="191">
        <f t="shared" si="471"/>
        <v>72.443181818181827</v>
      </c>
      <c r="BW141" s="191">
        <f t="shared" si="471"/>
        <v>73.360184119677783</v>
      </c>
      <c r="BX141" s="191">
        <f t="shared" si="471"/>
        <v>93.080980452994126</v>
      </c>
      <c r="BY141" s="191">
        <f t="shared" si="471"/>
        <v>44.636214848980806</v>
      </c>
      <c r="BZ141" s="191">
        <f t="shared" si="471"/>
        <v>44.636214848980806</v>
      </c>
      <c r="CA141" s="191">
        <f t="shared" si="471"/>
        <v>44.636214848980806</v>
      </c>
      <c r="CB141" s="191">
        <f t="shared" si="471"/>
        <v>180.94962362478287</v>
      </c>
      <c r="CC141" s="191">
        <f t="shared" si="471"/>
        <v>216.03871413757346</v>
      </c>
      <c r="CD141" s="191">
        <f t="shared" si="471"/>
        <v>205.67667626491155</v>
      </c>
      <c r="CE141" s="191">
        <f t="shared" si="471"/>
        <v>202.02020202020202</v>
      </c>
      <c r="CF141" s="191">
        <f t="shared" si="471"/>
        <v>202.02020202020202</v>
      </c>
      <c r="CG141" s="191">
        <f t="shared" si="471"/>
        <v>122.18963831867057</v>
      </c>
      <c r="CH141" s="191">
        <f t="shared" si="471"/>
        <v>132.00183654729111</v>
      </c>
      <c r="CI141" s="191">
        <f t="shared" si="471"/>
        <v>109.84412595459774</v>
      </c>
      <c r="CJ141" s="191">
        <f t="shared" si="471"/>
        <v>61.158459595959599</v>
      </c>
      <c r="CK141" s="191">
        <f t="shared" si="471"/>
        <v>41.420888272033309</v>
      </c>
      <c r="CL141" s="191">
        <f t="shared" si="471"/>
        <v>46.382189239332092</v>
      </c>
      <c r="CM141" s="191">
        <f t="shared" si="471"/>
        <v>60.380639551734141</v>
      </c>
      <c r="CN141" s="191">
        <f t="shared" si="471"/>
        <v>46.558145951165677</v>
      </c>
      <c r="CO141" s="191">
        <f t="shared" si="471"/>
        <v>27.056277056277057</v>
      </c>
      <c r="CP141" s="774">
        <f t="shared" si="471"/>
        <v>25.790921595598356</v>
      </c>
      <c r="CQ141" s="774">
        <f t="shared" si="471"/>
        <v>39.919097296146482</v>
      </c>
      <c r="CR141" s="774">
        <f t="shared" si="471"/>
        <v>55.0297160466652</v>
      </c>
      <c r="CS141" s="774">
        <f t="shared" si="471"/>
        <v>39.184952978056437</v>
      </c>
      <c r="CT141" s="191">
        <f t="shared" ref="CT141:DS141" si="472">(CT55/$B$55)*100</f>
        <v>39.184090909090905</v>
      </c>
      <c r="CU141" s="191">
        <f t="shared" si="472"/>
        <v>61.094819159335287</v>
      </c>
      <c r="CV141" s="774">
        <f t="shared" si="472"/>
        <v>120.56908608632746</v>
      </c>
      <c r="CW141" s="774">
        <f t="shared" si="472"/>
        <v>97.625741955638873</v>
      </c>
      <c r="CX141" s="774">
        <f t="shared" si="472"/>
        <v>97.625</v>
      </c>
      <c r="CY141" s="774">
        <f t="shared" si="472"/>
        <v>90.579710144927532</v>
      </c>
      <c r="CZ141" s="191">
        <f t="shared" si="472"/>
        <v>0</v>
      </c>
      <c r="DA141" s="191">
        <f t="shared" si="472"/>
        <v>0</v>
      </c>
      <c r="DB141" s="774">
        <f t="shared" si="472"/>
        <v>0</v>
      </c>
      <c r="DC141" s="774">
        <f t="shared" si="472"/>
        <v>0</v>
      </c>
      <c r="DD141" s="774">
        <f t="shared" si="472"/>
        <v>0</v>
      </c>
      <c r="DE141" s="774">
        <f t="shared" si="472"/>
        <v>0</v>
      </c>
      <c r="DF141" s="191">
        <f t="shared" si="472"/>
        <v>39.594551789673744</v>
      </c>
      <c r="DG141" s="191">
        <f t="shared" si="472"/>
        <v>78.641082101289712</v>
      </c>
      <c r="DH141" s="774">
        <f t="shared" si="472"/>
        <v>60.287560287560304</v>
      </c>
      <c r="DI141" s="774">
        <f t="shared" si="472"/>
        <v>45.893527017319812</v>
      </c>
      <c r="DJ141" s="774">
        <f t="shared" si="472"/>
        <v>40.488015547397971</v>
      </c>
      <c r="DK141" s="774">
        <f t="shared" si="472"/>
        <v>54.680664916885391</v>
      </c>
      <c r="DL141" s="191">
        <f t="shared" si="472"/>
        <v>56.960583276372759</v>
      </c>
      <c r="DM141" s="191">
        <f t="shared" si="472"/>
        <v>43.875043875043879</v>
      </c>
      <c r="DN141" s="774">
        <f t="shared" si="472"/>
        <v>50.364232486763342</v>
      </c>
      <c r="DO141" s="774">
        <f t="shared" si="472"/>
        <v>48.710344519963854</v>
      </c>
      <c r="DP141" s="774">
        <f t="shared" si="472"/>
        <v>49.179814103737868</v>
      </c>
      <c r="DQ141" s="774">
        <f t="shared" si="472"/>
        <v>50.628447196461181</v>
      </c>
      <c r="DR141" s="191">
        <f t="shared" si="472"/>
        <v>172.17630853994493</v>
      </c>
      <c r="DS141" s="191">
        <f t="shared" si="472"/>
        <v>150.84473049074819</v>
      </c>
      <c r="DT141" s="774">
        <v>0</v>
      </c>
      <c r="DU141" s="774">
        <v>0</v>
      </c>
      <c r="DV141" s="774">
        <f>(DV55/$B$55)*100</f>
        <v>180.37518037518038</v>
      </c>
      <c r="DW141" s="774">
        <f>(DW55/$B$55)*100</f>
        <v>255.93775593775598</v>
      </c>
      <c r="DX141" s="191">
        <f t="shared" ref="DX141:DY141" si="473">(DX55/$B$55)*100</f>
        <v>179.42583732057417</v>
      </c>
      <c r="DY141" s="191">
        <f t="shared" si="473"/>
        <v>0</v>
      </c>
      <c r="DZ141" s="774">
        <v>0</v>
      </c>
      <c r="EA141" s="774">
        <v>0</v>
      </c>
      <c r="EB141" s="774">
        <f>(EB55/$B$55)*100</f>
        <v>119.61722488038275</v>
      </c>
      <c r="EC141" s="774">
        <f>(EC55/$B$55)*100</f>
        <v>89.301661010894804</v>
      </c>
    </row>
    <row r="142" spans="1:138">
      <c r="A142" s="212"/>
      <c r="B142" s="213">
        <f t="shared" ref="B142:AG142" si="474">SUM(B120*$B$120,B121*$B$121,B122*$B$122,B123*$B$123,B124*$B$124,B129*$B$129,B130*$B$130,B133*$B$133,B134*$B$134,B135*$B$135,B125*$B$125,B128*$B$128,B136*$B$136,B137*$B$137,B138*$B$138,B139*$B$139,B140*$B$140,B141*$B$141,B126*$B$126,B131*$B$131)</f>
        <v>200000</v>
      </c>
      <c r="C142" s="213">
        <f t="shared" si="474"/>
        <v>215813.09490080306</v>
      </c>
      <c r="D142" s="213">
        <f t="shared" si="474"/>
        <v>247253.36515169512</v>
      </c>
      <c r="E142" s="213">
        <f t="shared" si="474"/>
        <v>257027.52762958198</v>
      </c>
      <c r="F142" s="213">
        <f t="shared" si="474"/>
        <v>246577.11577312203</v>
      </c>
      <c r="G142" s="213">
        <f t="shared" si="474"/>
        <v>224428.66670272115</v>
      </c>
      <c r="H142" s="213">
        <f t="shared" si="474"/>
        <v>210636.7500165567</v>
      </c>
      <c r="I142" s="213">
        <f t="shared" si="474"/>
        <v>248352.93705584278</v>
      </c>
      <c r="J142" s="213">
        <f t="shared" si="474"/>
        <v>254005.65906258387</v>
      </c>
      <c r="K142" s="213">
        <f t="shared" si="474"/>
        <v>233364.43935211172</v>
      </c>
      <c r="L142" s="213">
        <f t="shared" si="474"/>
        <v>0</v>
      </c>
      <c r="M142" s="213">
        <f t="shared" si="474"/>
        <v>218751.89706851292</v>
      </c>
      <c r="N142" s="213">
        <f t="shared" si="474"/>
        <v>209006.38170721554</v>
      </c>
      <c r="O142" s="213">
        <f t="shared" si="474"/>
        <v>0</v>
      </c>
      <c r="P142" s="213">
        <f t="shared" si="474"/>
        <v>196015.39557323052</v>
      </c>
      <c r="Q142" s="213">
        <f t="shared" si="474"/>
        <v>212089.95003347337</v>
      </c>
      <c r="R142" s="213">
        <f t="shared" si="474"/>
        <v>160608.47856408331</v>
      </c>
      <c r="S142" s="213">
        <f t="shared" si="474"/>
        <v>254630.52635663518</v>
      </c>
      <c r="T142" s="213">
        <f t="shared" si="474"/>
        <v>0</v>
      </c>
      <c r="U142" s="213">
        <f t="shared" si="474"/>
        <v>0</v>
      </c>
      <c r="V142" s="213">
        <f t="shared" si="474"/>
        <v>0</v>
      </c>
      <c r="W142" s="213">
        <f t="shared" si="474"/>
        <v>0</v>
      </c>
      <c r="X142" s="213">
        <f t="shared" si="474"/>
        <v>165127.94971087237</v>
      </c>
      <c r="Y142" s="213">
        <f t="shared" si="474"/>
        <v>0</v>
      </c>
      <c r="Z142" s="213">
        <f t="shared" si="474"/>
        <v>192282.03398922479</v>
      </c>
      <c r="AA142" s="213">
        <f t="shared" si="474"/>
        <v>198239.10917861341</v>
      </c>
      <c r="AB142" s="213">
        <f t="shared" si="474"/>
        <v>225033.08408599222</v>
      </c>
      <c r="AC142" s="213">
        <f t="shared" si="474"/>
        <v>0</v>
      </c>
      <c r="AD142" s="213">
        <f t="shared" si="474"/>
        <v>195807.67574646595</v>
      </c>
      <c r="AE142" s="213">
        <f t="shared" si="474"/>
        <v>190119.52680258834</v>
      </c>
      <c r="AF142" s="213">
        <f t="shared" si="474"/>
        <v>0</v>
      </c>
      <c r="AG142" s="213">
        <f t="shared" si="474"/>
        <v>185571.67326252395</v>
      </c>
      <c r="AH142" s="213">
        <f t="shared" ref="AH142:BM142" si="475">SUM(AH120*$B$120,AH121*$B$121,AH122*$B$122,AH123*$B$123,AH124*$B$124,AH129*$B$129,AH130*$B$130,AH133*$B$133,AH134*$B$134,AH135*$B$135,AH125*$B$125,AH128*$B$128,AH136*$B$136,AH137*$B$137,AH138*$B$138,AH139*$B$139,AH140*$B$140,AH141*$B$141,AH126*$B$126,AH131*$B$131)</f>
        <v>191819.9787857125</v>
      </c>
      <c r="AI142" s="213">
        <f t="shared" si="475"/>
        <v>198239.10917861341</v>
      </c>
      <c r="AJ142" s="213">
        <f t="shared" si="475"/>
        <v>160052.52387358359</v>
      </c>
      <c r="AK142" s="213">
        <f t="shared" si="475"/>
        <v>201246.23679182434</v>
      </c>
      <c r="AL142" s="213">
        <f t="shared" si="475"/>
        <v>190415.12659680349</v>
      </c>
      <c r="AM142" s="213">
        <f t="shared" si="475"/>
        <v>222182.99633317153</v>
      </c>
      <c r="AN142" s="213">
        <f t="shared" si="475"/>
        <v>205501.27706051062</v>
      </c>
      <c r="AO142" s="213">
        <f t="shared" si="475"/>
        <v>172110.89905367259</v>
      </c>
      <c r="AP142" s="213">
        <f t="shared" si="475"/>
        <v>0</v>
      </c>
      <c r="AQ142" s="213">
        <f t="shared" si="475"/>
        <v>0</v>
      </c>
      <c r="AR142" s="213">
        <f t="shared" si="475"/>
        <v>0</v>
      </c>
      <c r="AS142" s="213">
        <f t="shared" si="475"/>
        <v>0</v>
      </c>
      <c r="AT142" s="213">
        <f t="shared" si="475"/>
        <v>0</v>
      </c>
      <c r="AU142" s="213">
        <f t="shared" si="475"/>
        <v>0</v>
      </c>
      <c r="AV142" s="213">
        <f t="shared" si="475"/>
        <v>0</v>
      </c>
      <c r="AW142" s="213">
        <f t="shared" si="475"/>
        <v>0</v>
      </c>
      <c r="AX142" s="213">
        <f t="shared" si="475"/>
        <v>198634.59506843044</v>
      </c>
      <c r="AY142" s="213">
        <f t="shared" si="475"/>
        <v>190314.29330014062</v>
      </c>
      <c r="AZ142" s="213">
        <f t="shared" si="475"/>
        <v>210629.33279675606</v>
      </c>
      <c r="BA142" s="213">
        <f t="shared" si="475"/>
        <v>228049.20219284418</v>
      </c>
      <c r="BB142" s="213">
        <f t="shared" si="475"/>
        <v>202664.24596686382</v>
      </c>
      <c r="BC142" s="213">
        <f t="shared" si="475"/>
        <v>208155.08731932368</v>
      </c>
      <c r="BD142" s="213">
        <f t="shared" si="475"/>
        <v>166834.78223161894</v>
      </c>
      <c r="BE142" s="213">
        <f t="shared" si="475"/>
        <v>187678.27030923968</v>
      </c>
      <c r="BF142" s="213">
        <f t="shared" si="475"/>
        <v>187372.28742770001</v>
      </c>
      <c r="BG142" s="213">
        <f t="shared" si="475"/>
        <v>180538.41769410588</v>
      </c>
      <c r="BH142" s="213">
        <f t="shared" si="475"/>
        <v>190609.43788730647</v>
      </c>
      <c r="BI142" s="213">
        <f t="shared" si="475"/>
        <v>195186.05421059113</v>
      </c>
      <c r="BJ142" s="213">
        <f t="shared" si="475"/>
        <v>161253.65262132318</v>
      </c>
      <c r="BK142" s="213">
        <f t="shared" si="475"/>
        <v>201654.12819980082</v>
      </c>
      <c r="BL142" s="213">
        <f t="shared" si="475"/>
        <v>171986.59920618075</v>
      </c>
      <c r="BM142" s="213">
        <f t="shared" si="475"/>
        <v>186189.27319525916</v>
      </c>
      <c r="BN142" s="213">
        <f t="shared" ref="BN142:CS142" si="476">SUM(BN120*$B$120,BN121*$B$121,BN122*$B$122,BN123*$B$123,BN124*$B$124,BN129*$B$129,BN130*$B$130,BN133*$B$133,BN134*$B$134,BN135*$B$135,BN125*$B$125,BN128*$B$128,BN136*$B$136,BN137*$B$137,BN138*$B$138,BN139*$B$139,BN140*$B$140,BN141*$B$141,BN126*$B$126,BN131*$B$131)</f>
        <v>203556.67128196085</v>
      </c>
      <c r="BO142" s="213">
        <f t="shared" si="476"/>
        <v>195220.2627602607</v>
      </c>
      <c r="BP142" s="213">
        <f t="shared" si="476"/>
        <v>283352.93868176377</v>
      </c>
      <c r="BQ142" s="213">
        <f t="shared" si="476"/>
        <v>275676.83058182831</v>
      </c>
      <c r="BR142" s="213">
        <f t="shared" si="476"/>
        <v>246796.1921921217</v>
      </c>
      <c r="BS142" s="213">
        <f t="shared" si="476"/>
        <v>266525.78210734378</v>
      </c>
      <c r="BT142" s="213">
        <f t="shared" si="476"/>
        <v>169010.15157990254</v>
      </c>
      <c r="BU142" s="213">
        <f t="shared" si="476"/>
        <v>222673.66037137961</v>
      </c>
      <c r="BV142" s="213">
        <f t="shared" si="476"/>
        <v>245484.47128132617</v>
      </c>
      <c r="BW142" s="213">
        <f t="shared" si="476"/>
        <v>203839.25117031002</v>
      </c>
      <c r="BX142" s="213">
        <f t="shared" si="476"/>
        <v>242558.88762461886</v>
      </c>
      <c r="BY142" s="213">
        <f t="shared" si="476"/>
        <v>246159.28416509862</v>
      </c>
      <c r="BZ142" s="213">
        <f t="shared" si="476"/>
        <v>191452.4506169415</v>
      </c>
      <c r="CA142" s="213">
        <f t="shared" si="476"/>
        <v>174517.45914052613</v>
      </c>
      <c r="CB142" s="213">
        <f t="shared" si="476"/>
        <v>191723.42134687555</v>
      </c>
      <c r="CC142" s="213">
        <f t="shared" si="476"/>
        <v>207601.71320596439</v>
      </c>
      <c r="CD142" s="213">
        <f t="shared" si="476"/>
        <v>194180.9200982835</v>
      </c>
      <c r="CE142" s="213">
        <f t="shared" si="476"/>
        <v>194767.90841400309</v>
      </c>
      <c r="CF142" s="213">
        <f t="shared" si="476"/>
        <v>197800.20008066978</v>
      </c>
      <c r="CG142" s="213">
        <f t="shared" si="476"/>
        <v>199571.9810295538</v>
      </c>
      <c r="CH142" s="213">
        <f t="shared" si="476"/>
        <v>176273.7797402766</v>
      </c>
      <c r="CI142" s="213">
        <f t="shared" si="476"/>
        <v>204896.86304201192</v>
      </c>
      <c r="CJ142" s="213">
        <f t="shared" si="476"/>
        <v>182800.89739023242</v>
      </c>
      <c r="CK142" s="213">
        <f t="shared" si="476"/>
        <v>198300.05991787332</v>
      </c>
      <c r="CL142" s="213">
        <f t="shared" si="476"/>
        <v>181180.27931294954</v>
      </c>
      <c r="CM142" s="213">
        <f t="shared" si="476"/>
        <v>202456.29888638933</v>
      </c>
      <c r="CN142" s="213">
        <f t="shared" si="476"/>
        <v>189717.08670904039</v>
      </c>
      <c r="CO142" s="213">
        <f t="shared" si="476"/>
        <v>176179.28462479409</v>
      </c>
      <c r="CP142" s="775">
        <f t="shared" si="476"/>
        <v>156136.32584114387</v>
      </c>
      <c r="CQ142" s="775">
        <f t="shared" si="476"/>
        <v>190869.76603984865</v>
      </c>
      <c r="CR142" s="775">
        <f t="shared" si="476"/>
        <v>185728.81230510777</v>
      </c>
      <c r="CS142" s="775">
        <f t="shared" si="476"/>
        <v>260322.8010645372</v>
      </c>
      <c r="CT142" s="213">
        <f t="shared" ref="CT142:DW142" si="477">SUM(CT120*$B$120,CT121*$B$121,CT122*$B$122,CT123*$B$123,CT124*$B$124,CT129*$B$129,CT130*$B$130,CT133*$B$133,CT134*$B$134,CT135*$B$135,CT125*$B$125,CT128*$B$128,CT136*$B$136,CT137*$B$137,CT138*$B$138,CT139*$B$139,CT140*$B$140,CT141*$B$141,CT126*$B$126,CT131*$B$131)</f>
        <v>243777.41161152316</v>
      </c>
      <c r="CU142" s="213">
        <f t="shared" si="477"/>
        <v>170024.50791517447</v>
      </c>
      <c r="CV142" s="775">
        <f t="shared" si="477"/>
        <v>238210.02519961679</v>
      </c>
      <c r="CW142" s="775">
        <f t="shared" si="477"/>
        <v>178767.73555182575</v>
      </c>
      <c r="CX142" s="775">
        <f t="shared" si="477"/>
        <v>221816.19806113001</v>
      </c>
      <c r="CY142" s="775">
        <f t="shared" si="477"/>
        <v>203862.53178216965</v>
      </c>
      <c r="CZ142" s="213">
        <f t="shared" si="477"/>
        <v>0</v>
      </c>
      <c r="DA142" s="213">
        <f t="shared" si="477"/>
        <v>0</v>
      </c>
      <c r="DB142" s="775">
        <f t="shared" si="477"/>
        <v>0</v>
      </c>
      <c r="DC142" s="775">
        <f t="shared" si="477"/>
        <v>222108.14733263809</v>
      </c>
      <c r="DD142" s="775">
        <f t="shared" si="477"/>
        <v>90347.075171745033</v>
      </c>
      <c r="DE142" s="775">
        <f t="shared" si="477"/>
        <v>103556.64050301292</v>
      </c>
      <c r="DF142" s="213">
        <f t="shared" si="477"/>
        <v>96020.612542549818</v>
      </c>
      <c r="DG142" s="213">
        <f t="shared" si="477"/>
        <v>84603.871089133798</v>
      </c>
      <c r="DH142" s="775">
        <f t="shared" si="477"/>
        <v>207659.95077806374</v>
      </c>
      <c r="DI142" s="775">
        <f t="shared" si="477"/>
        <v>148247.48572213427</v>
      </c>
      <c r="DJ142" s="775">
        <f t="shared" si="477"/>
        <v>193359.6334214696</v>
      </c>
      <c r="DK142" s="775">
        <f t="shared" si="477"/>
        <v>191454.18033676792</v>
      </c>
      <c r="DL142" s="213">
        <f t="shared" si="477"/>
        <v>171724.28122389273</v>
      </c>
      <c r="DM142" s="213">
        <f t="shared" si="477"/>
        <v>165175.24201674972</v>
      </c>
      <c r="DN142" s="775">
        <f t="shared" si="477"/>
        <v>180471.85624351259</v>
      </c>
      <c r="DO142" s="775">
        <f t="shared" si="477"/>
        <v>175940.50715442075</v>
      </c>
      <c r="DP142" s="775">
        <f t="shared" si="477"/>
        <v>180556.01072646849</v>
      </c>
      <c r="DQ142" s="775">
        <f t="shared" si="477"/>
        <v>178422.07361063498</v>
      </c>
      <c r="DR142" s="213">
        <f t="shared" si="477"/>
        <v>191543.61396422196</v>
      </c>
      <c r="DS142" s="213">
        <f t="shared" si="477"/>
        <v>149265.88059495008</v>
      </c>
      <c r="DT142" s="775">
        <f t="shared" si="477"/>
        <v>137101.54657880613</v>
      </c>
      <c r="DU142" s="775">
        <f t="shared" si="477"/>
        <v>153227.59097590993</v>
      </c>
      <c r="DV142" s="775">
        <f t="shared" si="477"/>
        <v>159587.22300432745</v>
      </c>
      <c r="DW142" s="775">
        <f t="shared" si="477"/>
        <v>258120.92513465785</v>
      </c>
      <c r="DX142" s="213">
        <f t="shared" ref="DX142:EC142" si="478">SUM(DX120*$B$120,DX121*$B$121,DX122*$B$122,DX123*$B$123,DX124*$B$124,DX129*$B$129,DX130*$B$130,DX133*$B$133,DX134*$B$134,DX135*$B$135,DX125*$B$125,DX128*$B$128,DX136*$B$136,DX137*$B$137,DX138*$B$138,DX139*$B$139,DX140*$B$140,DX141*$B$141,DX126*$B$126,DX131*$B$131)</f>
        <v>171814.5586617378</v>
      </c>
      <c r="DY142" s="213">
        <f t="shared" si="478"/>
        <v>126868.91923839251</v>
      </c>
      <c r="DZ142" s="775">
        <f t="shared" si="478"/>
        <v>145522.12738466344</v>
      </c>
      <c r="EA142" s="775">
        <f t="shared" si="478"/>
        <v>113066.52426835892</v>
      </c>
      <c r="EB142" s="775">
        <f t="shared" si="478"/>
        <v>139735.70444294525</v>
      </c>
      <c r="EC142" s="775">
        <f t="shared" si="478"/>
        <v>133985.28875325981</v>
      </c>
    </row>
    <row r="143" spans="1:138">
      <c r="A143" s="214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F143" s="178"/>
      <c r="CG143" s="178"/>
      <c r="CH143" s="178"/>
      <c r="CI143" s="178"/>
      <c r="CJ143" s="178"/>
      <c r="CK143" s="178"/>
      <c r="CL143" s="178"/>
      <c r="CM143" s="178"/>
      <c r="CN143" s="178"/>
      <c r="CO143" s="178"/>
      <c r="DF143" s="805"/>
    </row>
    <row r="144" spans="1:138">
      <c r="A144" s="181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78"/>
      <c r="BW144" s="178"/>
      <c r="BX144" s="178"/>
      <c r="BY144" s="178"/>
      <c r="BZ144" s="178"/>
      <c r="CA144" s="178"/>
      <c r="CF144" s="178"/>
      <c r="CG144" s="178"/>
      <c r="CH144" s="178"/>
      <c r="CI144" s="178"/>
      <c r="CJ144" s="178"/>
      <c r="CK144" s="178"/>
      <c r="CL144" s="178"/>
      <c r="CM144" s="178"/>
      <c r="CN144" s="178"/>
      <c r="CO144" s="178"/>
    </row>
    <row r="145" spans="1:138">
      <c r="A145" s="180" t="s">
        <v>122</v>
      </c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</row>
    <row r="146" spans="1:138">
      <c r="A146" s="181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/>
      <c r="BK146" s="178"/>
      <c r="BL146" s="178"/>
      <c r="BM146" s="178"/>
      <c r="BN146" s="178"/>
      <c r="BO146" s="178"/>
      <c r="BP146" s="178"/>
      <c r="BQ146" s="178"/>
      <c r="BR146" s="178"/>
      <c r="BS146" s="178"/>
      <c r="BT146" s="178"/>
      <c r="BU146" s="178"/>
      <c r="BV146" s="178"/>
      <c r="BW146" s="178"/>
      <c r="BX146" s="178"/>
      <c r="BY146" s="178"/>
      <c r="BZ146" s="178"/>
      <c r="CA146" s="178"/>
      <c r="CF146" s="178"/>
      <c r="CG146" s="178"/>
      <c r="CH146" s="178"/>
      <c r="CI146" s="178"/>
      <c r="CJ146" s="178"/>
      <c r="CK146" s="178"/>
      <c r="CL146" s="178"/>
      <c r="CM146" s="178"/>
      <c r="CN146" s="178"/>
      <c r="CO146" s="178"/>
    </row>
    <row r="147" spans="1:138">
      <c r="A147" s="182" t="s">
        <v>56</v>
      </c>
      <c r="B147" s="655" t="s">
        <v>277</v>
      </c>
      <c r="C147" s="655" t="s">
        <v>278</v>
      </c>
      <c r="D147" s="655" t="s">
        <v>279</v>
      </c>
      <c r="E147" s="655" t="s">
        <v>280</v>
      </c>
      <c r="F147" s="655" t="s">
        <v>281</v>
      </c>
      <c r="G147" s="655" t="s">
        <v>282</v>
      </c>
      <c r="H147" s="601" t="s">
        <v>283</v>
      </c>
      <c r="I147" s="601" t="s">
        <v>284</v>
      </c>
      <c r="J147" s="601" t="s">
        <v>285</v>
      </c>
      <c r="K147" s="601" t="s">
        <v>286</v>
      </c>
      <c r="L147" s="601" t="s">
        <v>287</v>
      </c>
      <c r="M147" s="601" t="s">
        <v>288</v>
      </c>
      <c r="N147" s="185" t="s">
        <v>289</v>
      </c>
      <c r="O147" s="185" t="s">
        <v>290</v>
      </c>
      <c r="P147" s="185" t="s">
        <v>291</v>
      </c>
      <c r="Q147" s="185" t="s">
        <v>292</v>
      </c>
      <c r="R147" s="185" t="s">
        <v>293</v>
      </c>
      <c r="S147" s="185" t="s">
        <v>294</v>
      </c>
      <c r="T147" s="227" t="s">
        <v>295</v>
      </c>
      <c r="U147" s="227" t="s">
        <v>296</v>
      </c>
      <c r="V147" s="227" t="s">
        <v>297</v>
      </c>
      <c r="W147" s="227" t="s">
        <v>298</v>
      </c>
      <c r="X147" s="227" t="s">
        <v>299</v>
      </c>
      <c r="Y147" s="227" t="s">
        <v>333</v>
      </c>
      <c r="Z147" s="600" t="s">
        <v>255</v>
      </c>
      <c r="AA147" s="600" t="s">
        <v>256</v>
      </c>
      <c r="AB147" s="600" t="s">
        <v>257</v>
      </c>
      <c r="AC147" s="600" t="s">
        <v>258</v>
      </c>
      <c r="AD147" s="600" t="s">
        <v>259</v>
      </c>
      <c r="AE147" s="600" t="s">
        <v>260</v>
      </c>
      <c r="AF147" s="657" t="s">
        <v>261</v>
      </c>
      <c r="AG147" s="657" t="s">
        <v>262</v>
      </c>
      <c r="AH147" s="657" t="s">
        <v>263</v>
      </c>
      <c r="AI147" s="657" t="s">
        <v>264</v>
      </c>
      <c r="AJ147" s="657" t="s">
        <v>265</v>
      </c>
      <c r="AK147" s="657" t="s">
        <v>266</v>
      </c>
      <c r="AL147" s="658" t="s">
        <v>267</v>
      </c>
      <c r="AM147" s="658" t="s">
        <v>268</v>
      </c>
      <c r="AN147" s="658" t="s">
        <v>269</v>
      </c>
      <c r="AO147" s="658" t="s">
        <v>270</v>
      </c>
      <c r="AP147" s="658" t="s">
        <v>271</v>
      </c>
      <c r="AQ147" s="658" t="s">
        <v>272</v>
      </c>
      <c r="AR147" s="184" t="s">
        <v>273</v>
      </c>
      <c r="AS147" s="184" t="s">
        <v>274</v>
      </c>
      <c r="AT147" s="184" t="s">
        <v>275</v>
      </c>
      <c r="AU147" s="184" t="s">
        <v>276</v>
      </c>
      <c r="AV147" s="184" t="s">
        <v>254</v>
      </c>
      <c r="AW147" s="184" t="s">
        <v>332</v>
      </c>
      <c r="AX147" s="602" t="s">
        <v>123</v>
      </c>
      <c r="AY147" s="602" t="s">
        <v>124</v>
      </c>
      <c r="AZ147" s="602" t="s">
        <v>125</v>
      </c>
      <c r="BA147" s="602" t="s">
        <v>126</v>
      </c>
      <c r="BB147" s="602" t="s">
        <v>127</v>
      </c>
      <c r="BC147" s="602" t="s">
        <v>128</v>
      </c>
      <c r="BD147" s="654" t="s">
        <v>129</v>
      </c>
      <c r="BE147" s="654" t="s">
        <v>130</v>
      </c>
      <c r="BF147" s="654" t="s">
        <v>131</v>
      </c>
      <c r="BG147" s="654" t="s">
        <v>132</v>
      </c>
      <c r="BH147" s="654" t="s">
        <v>133</v>
      </c>
      <c r="BI147" s="654" t="s">
        <v>134</v>
      </c>
      <c r="BJ147" s="659" t="s">
        <v>135</v>
      </c>
      <c r="BK147" s="659" t="s">
        <v>136</v>
      </c>
      <c r="BL147" s="659" t="s">
        <v>137</v>
      </c>
      <c r="BM147" s="659" t="s">
        <v>138</v>
      </c>
      <c r="BN147" s="659" t="s">
        <v>139</v>
      </c>
      <c r="BO147" s="659" t="s">
        <v>140</v>
      </c>
      <c r="BP147" s="228" t="s">
        <v>141</v>
      </c>
      <c r="BQ147" s="228" t="s">
        <v>142</v>
      </c>
      <c r="BR147" s="228" t="s">
        <v>143</v>
      </c>
      <c r="BS147" s="228" t="s">
        <v>144</v>
      </c>
      <c r="BT147" s="228" t="s">
        <v>145</v>
      </c>
      <c r="BU147" s="228" t="s">
        <v>146</v>
      </c>
      <c r="BV147" s="183" t="s">
        <v>147</v>
      </c>
      <c r="BW147" s="183" t="s">
        <v>148</v>
      </c>
      <c r="BX147" s="183" t="s">
        <v>149</v>
      </c>
      <c r="BY147" s="183" t="s">
        <v>150</v>
      </c>
      <c r="BZ147" s="183" t="s">
        <v>151</v>
      </c>
      <c r="CA147" s="183" t="s">
        <v>152</v>
      </c>
      <c r="CB147" s="656" t="s">
        <v>153</v>
      </c>
      <c r="CC147" s="656" t="s">
        <v>154</v>
      </c>
      <c r="CD147" s="656" t="s">
        <v>155</v>
      </c>
      <c r="CE147" s="656" t="s">
        <v>156</v>
      </c>
      <c r="CF147" s="656" t="s">
        <v>324</v>
      </c>
      <c r="CG147" s="656" t="s">
        <v>325</v>
      </c>
      <c r="CH147" s="660" t="s">
        <v>326</v>
      </c>
      <c r="CI147" s="660" t="s">
        <v>327</v>
      </c>
      <c r="CJ147" s="660" t="s">
        <v>328</v>
      </c>
      <c r="CK147" s="660" t="s">
        <v>329</v>
      </c>
      <c r="CL147" s="660" t="s">
        <v>330</v>
      </c>
      <c r="CM147" s="660" t="s">
        <v>331</v>
      </c>
      <c r="CN147" s="788" t="s">
        <v>339</v>
      </c>
      <c r="CO147" s="788" t="s">
        <v>340</v>
      </c>
      <c r="CP147" s="788" t="s">
        <v>385</v>
      </c>
      <c r="CQ147" s="788" t="s">
        <v>386</v>
      </c>
      <c r="CR147" s="788" t="s">
        <v>387</v>
      </c>
      <c r="CS147" s="788" t="s">
        <v>388</v>
      </c>
      <c r="CT147" s="785" t="s">
        <v>394</v>
      </c>
      <c r="CU147" s="785" t="s">
        <v>395</v>
      </c>
      <c r="CV147" s="785" t="s">
        <v>396</v>
      </c>
      <c r="CW147" s="785" t="s">
        <v>400</v>
      </c>
      <c r="CX147" s="785" t="s">
        <v>398</v>
      </c>
      <c r="CY147" s="785" t="s">
        <v>399</v>
      </c>
      <c r="CZ147" s="795" t="s">
        <v>405</v>
      </c>
      <c r="DA147" s="795" t="s">
        <v>406</v>
      </c>
      <c r="DB147" s="795" t="s">
        <v>407</v>
      </c>
      <c r="DC147" s="795" t="s">
        <v>408</v>
      </c>
      <c r="DD147" s="795" t="s">
        <v>409</v>
      </c>
      <c r="DE147" s="795" t="s">
        <v>410</v>
      </c>
      <c r="DF147" s="804" t="s">
        <v>418</v>
      </c>
      <c r="DG147" s="804" t="s">
        <v>419</v>
      </c>
      <c r="DH147" s="804" t="s">
        <v>420</v>
      </c>
      <c r="DI147" s="804" t="s">
        <v>421</v>
      </c>
      <c r="DJ147" s="804" t="s">
        <v>422</v>
      </c>
      <c r="DK147" s="804" t="s">
        <v>423</v>
      </c>
      <c r="DL147" s="807" t="s">
        <v>424</v>
      </c>
      <c r="DM147" s="807" t="s">
        <v>425</v>
      </c>
      <c r="DN147" s="807" t="s">
        <v>426</v>
      </c>
      <c r="DO147" s="807" t="s">
        <v>427</v>
      </c>
      <c r="DP147" s="807" t="s">
        <v>428</v>
      </c>
      <c r="DQ147" s="807" t="s">
        <v>429</v>
      </c>
      <c r="DR147" s="831" t="s">
        <v>436</v>
      </c>
      <c r="DS147" s="831" t="s">
        <v>437</v>
      </c>
      <c r="DT147" s="831" t="s">
        <v>438</v>
      </c>
      <c r="DU147" s="831" t="s">
        <v>439</v>
      </c>
      <c r="DV147" s="831" t="s">
        <v>440</v>
      </c>
      <c r="DW147" s="831" t="s">
        <v>441</v>
      </c>
      <c r="DX147" s="922" t="s">
        <v>451</v>
      </c>
      <c r="DY147" s="922" t="s">
        <v>452</v>
      </c>
      <c r="DZ147" s="922" t="s">
        <v>453</v>
      </c>
      <c r="EA147" s="922" t="s">
        <v>454</v>
      </c>
      <c r="EB147" s="922" t="s">
        <v>457</v>
      </c>
      <c r="EC147" s="922" t="s">
        <v>456</v>
      </c>
    </row>
    <row r="148" spans="1:138" s="178" customFormat="1">
      <c r="A148" s="850" t="s">
        <v>445</v>
      </c>
      <c r="B148" s="870">
        <f>SUM(B149:B155)</f>
        <v>77</v>
      </c>
      <c r="C148" s="870">
        <f t="shared" ref="C148:BN148" si="479">SUM(C149:C155)</f>
        <v>148</v>
      </c>
      <c r="D148" s="870">
        <f t="shared" si="479"/>
        <v>58</v>
      </c>
      <c r="E148" s="870">
        <f t="shared" si="479"/>
        <v>32</v>
      </c>
      <c r="F148" s="870">
        <f t="shared" si="479"/>
        <v>35</v>
      </c>
      <c r="G148" s="870">
        <f t="shared" si="479"/>
        <v>93</v>
      </c>
      <c r="H148" s="870">
        <f t="shared" si="479"/>
        <v>56</v>
      </c>
      <c r="I148" s="870">
        <f t="shared" si="479"/>
        <v>75</v>
      </c>
      <c r="J148" s="870">
        <f t="shared" si="479"/>
        <v>47</v>
      </c>
      <c r="K148" s="870">
        <f t="shared" si="479"/>
        <v>54</v>
      </c>
      <c r="L148" s="870">
        <f t="shared" si="479"/>
        <v>0</v>
      </c>
      <c r="M148" s="870">
        <f t="shared" si="479"/>
        <v>49</v>
      </c>
      <c r="N148" s="870">
        <f t="shared" si="479"/>
        <v>100</v>
      </c>
      <c r="O148" s="870">
        <f t="shared" si="479"/>
        <v>0</v>
      </c>
      <c r="P148" s="870">
        <f t="shared" si="479"/>
        <v>77</v>
      </c>
      <c r="Q148" s="870">
        <f t="shared" si="479"/>
        <v>54</v>
      </c>
      <c r="R148" s="870">
        <f t="shared" si="479"/>
        <v>28</v>
      </c>
      <c r="S148" s="870">
        <f t="shared" si="479"/>
        <v>29</v>
      </c>
      <c r="T148" s="870">
        <f t="shared" si="479"/>
        <v>0</v>
      </c>
      <c r="U148" s="870">
        <f t="shared" si="479"/>
        <v>0</v>
      </c>
      <c r="V148" s="870">
        <f t="shared" si="479"/>
        <v>0</v>
      </c>
      <c r="W148" s="870">
        <f t="shared" si="479"/>
        <v>0</v>
      </c>
      <c r="X148" s="870">
        <f t="shared" si="479"/>
        <v>97</v>
      </c>
      <c r="Y148" s="870">
        <f t="shared" si="479"/>
        <v>0</v>
      </c>
      <c r="Z148" s="870">
        <f t="shared" si="479"/>
        <v>77</v>
      </c>
      <c r="AA148" s="870">
        <f t="shared" si="479"/>
        <v>44</v>
      </c>
      <c r="AB148" s="870">
        <f t="shared" si="479"/>
        <v>101</v>
      </c>
      <c r="AC148" s="870">
        <f t="shared" si="479"/>
        <v>0</v>
      </c>
      <c r="AD148" s="870">
        <f t="shared" si="479"/>
        <v>31</v>
      </c>
      <c r="AE148" s="870">
        <f t="shared" si="479"/>
        <v>147</v>
      </c>
      <c r="AF148" s="870">
        <f t="shared" si="479"/>
        <v>0</v>
      </c>
      <c r="AG148" s="870">
        <f t="shared" si="479"/>
        <v>228</v>
      </c>
      <c r="AH148" s="870">
        <f t="shared" si="479"/>
        <v>194</v>
      </c>
      <c r="AI148" s="870">
        <f t="shared" si="479"/>
        <v>146</v>
      </c>
      <c r="AJ148" s="870">
        <f t="shared" si="479"/>
        <v>385</v>
      </c>
      <c r="AK148" s="870">
        <f t="shared" si="479"/>
        <v>228</v>
      </c>
      <c r="AL148" s="870">
        <f t="shared" si="479"/>
        <v>191</v>
      </c>
      <c r="AM148" s="870">
        <f t="shared" si="479"/>
        <v>53</v>
      </c>
      <c r="AN148" s="870">
        <f t="shared" si="479"/>
        <v>0</v>
      </c>
      <c r="AO148" s="870">
        <f t="shared" si="479"/>
        <v>0</v>
      </c>
      <c r="AP148" s="870">
        <f t="shared" si="479"/>
        <v>0</v>
      </c>
      <c r="AQ148" s="870">
        <f t="shared" si="479"/>
        <v>0</v>
      </c>
      <c r="AR148" s="870">
        <f t="shared" si="479"/>
        <v>0</v>
      </c>
      <c r="AS148" s="870">
        <f t="shared" si="479"/>
        <v>0</v>
      </c>
      <c r="AT148" s="870">
        <f t="shared" si="479"/>
        <v>0</v>
      </c>
      <c r="AU148" s="870">
        <f t="shared" si="479"/>
        <v>0</v>
      </c>
      <c r="AV148" s="870">
        <f t="shared" si="479"/>
        <v>0</v>
      </c>
      <c r="AW148" s="870">
        <f t="shared" si="479"/>
        <v>0</v>
      </c>
      <c r="AX148" s="870">
        <f t="shared" si="479"/>
        <v>69</v>
      </c>
      <c r="AY148" s="870">
        <f t="shared" si="479"/>
        <v>36</v>
      </c>
      <c r="AZ148" s="870">
        <f t="shared" si="479"/>
        <v>91</v>
      </c>
      <c r="BA148" s="870">
        <f t="shared" si="479"/>
        <v>25</v>
      </c>
      <c r="BB148" s="870">
        <f t="shared" si="479"/>
        <v>31</v>
      </c>
      <c r="BC148" s="870">
        <f t="shared" si="479"/>
        <v>54</v>
      </c>
      <c r="BD148" s="870">
        <f t="shared" si="479"/>
        <v>156</v>
      </c>
      <c r="BE148" s="870">
        <f t="shared" si="479"/>
        <v>207</v>
      </c>
      <c r="BF148" s="870">
        <f t="shared" si="479"/>
        <v>170</v>
      </c>
      <c r="BG148" s="870">
        <f t="shared" si="479"/>
        <v>203</v>
      </c>
      <c r="BH148" s="870">
        <f t="shared" si="479"/>
        <v>208</v>
      </c>
      <c r="BI148" s="870">
        <f t="shared" si="479"/>
        <v>172</v>
      </c>
      <c r="BJ148" s="870">
        <f t="shared" si="479"/>
        <v>187</v>
      </c>
      <c r="BK148" s="870">
        <f t="shared" si="479"/>
        <v>147</v>
      </c>
      <c r="BL148" s="870">
        <f t="shared" si="479"/>
        <v>217</v>
      </c>
      <c r="BM148" s="870">
        <f t="shared" si="479"/>
        <v>200</v>
      </c>
      <c r="BN148" s="870">
        <f t="shared" si="479"/>
        <v>108</v>
      </c>
      <c r="BO148" s="870">
        <f t="shared" ref="BO148:DV148" si="480">SUM(BO149:BO155)</f>
        <v>90</v>
      </c>
      <c r="BP148" s="870">
        <f t="shared" si="480"/>
        <v>52</v>
      </c>
      <c r="BQ148" s="870">
        <f t="shared" si="480"/>
        <v>48</v>
      </c>
      <c r="BR148" s="870">
        <f t="shared" si="480"/>
        <v>55</v>
      </c>
      <c r="BS148" s="870">
        <f t="shared" si="480"/>
        <v>50</v>
      </c>
      <c r="BT148" s="870">
        <f t="shared" si="480"/>
        <v>215</v>
      </c>
      <c r="BU148" s="870">
        <f t="shared" si="480"/>
        <v>203</v>
      </c>
      <c r="BV148" s="870">
        <f t="shared" si="480"/>
        <v>54</v>
      </c>
      <c r="BW148" s="870">
        <f t="shared" si="480"/>
        <v>63</v>
      </c>
      <c r="BX148" s="870">
        <f t="shared" si="480"/>
        <v>44</v>
      </c>
      <c r="BY148" s="870">
        <f t="shared" si="480"/>
        <v>30</v>
      </c>
      <c r="BZ148" s="870">
        <f t="shared" si="480"/>
        <v>131</v>
      </c>
      <c r="CA148" s="870">
        <f t="shared" si="480"/>
        <v>148</v>
      </c>
      <c r="CB148" s="870">
        <f t="shared" si="480"/>
        <v>159</v>
      </c>
      <c r="CC148" s="870">
        <f t="shared" si="480"/>
        <v>158</v>
      </c>
      <c r="CD148" s="870">
        <f t="shared" si="480"/>
        <v>161</v>
      </c>
      <c r="CE148" s="870">
        <f t="shared" si="480"/>
        <v>207</v>
      </c>
      <c r="CF148" s="870">
        <f t="shared" si="480"/>
        <v>131</v>
      </c>
      <c r="CG148" s="870">
        <f t="shared" si="480"/>
        <v>236</v>
      </c>
      <c r="CH148" s="870">
        <f t="shared" si="480"/>
        <v>235</v>
      </c>
      <c r="CI148" s="870">
        <f t="shared" si="480"/>
        <v>161</v>
      </c>
      <c r="CJ148" s="870">
        <f t="shared" si="480"/>
        <v>210</v>
      </c>
      <c r="CK148" s="870">
        <f t="shared" si="480"/>
        <v>173</v>
      </c>
      <c r="CL148" s="870">
        <f t="shared" si="480"/>
        <v>147</v>
      </c>
      <c r="CM148" s="870">
        <f t="shared" si="480"/>
        <v>145</v>
      </c>
      <c r="CN148" s="870">
        <f t="shared" si="480"/>
        <v>97</v>
      </c>
      <c r="CO148" s="870">
        <f t="shared" si="480"/>
        <v>176</v>
      </c>
      <c r="CP148" s="870">
        <f t="shared" si="480"/>
        <v>167</v>
      </c>
      <c r="CQ148" s="870">
        <f t="shared" si="480"/>
        <v>104</v>
      </c>
      <c r="CR148" s="870">
        <f t="shared" si="480"/>
        <v>136</v>
      </c>
      <c r="CS148" s="870">
        <f t="shared" si="480"/>
        <v>122</v>
      </c>
      <c r="CT148" s="870">
        <f t="shared" si="480"/>
        <v>83</v>
      </c>
      <c r="CU148" s="870">
        <f t="shared" si="480"/>
        <v>110</v>
      </c>
      <c r="CV148" s="870">
        <f t="shared" si="480"/>
        <v>130</v>
      </c>
      <c r="CW148" s="870">
        <f t="shared" si="480"/>
        <v>98</v>
      </c>
      <c r="CX148" s="870">
        <f t="shared" si="480"/>
        <v>119</v>
      </c>
      <c r="CY148" s="870">
        <f t="shared" si="480"/>
        <v>82</v>
      </c>
      <c r="CZ148" s="870">
        <f t="shared" si="480"/>
        <v>0</v>
      </c>
      <c r="DA148" s="870">
        <f t="shared" si="480"/>
        <v>0</v>
      </c>
      <c r="DB148" s="870">
        <f t="shared" si="480"/>
        <v>0</v>
      </c>
      <c r="DC148" s="870">
        <f t="shared" si="480"/>
        <v>9</v>
      </c>
      <c r="DD148" s="870">
        <f t="shared" si="480"/>
        <v>15</v>
      </c>
      <c r="DE148" s="870">
        <f t="shared" si="480"/>
        <v>47</v>
      </c>
      <c r="DF148" s="870">
        <f t="shared" si="480"/>
        <v>14</v>
      </c>
      <c r="DG148" s="870">
        <f t="shared" si="480"/>
        <v>21</v>
      </c>
      <c r="DH148" s="870">
        <f t="shared" si="480"/>
        <v>30</v>
      </c>
      <c r="DI148" s="870">
        <f t="shared" si="480"/>
        <v>53</v>
      </c>
      <c r="DJ148" s="870">
        <f t="shared" si="480"/>
        <v>90</v>
      </c>
      <c r="DK148" s="870">
        <f t="shared" si="480"/>
        <v>56</v>
      </c>
      <c r="DL148" s="870">
        <f t="shared" si="480"/>
        <v>87</v>
      </c>
      <c r="DM148" s="870">
        <f t="shared" si="480"/>
        <v>82</v>
      </c>
      <c r="DN148" s="870">
        <f t="shared" si="480"/>
        <v>66.333333333333329</v>
      </c>
      <c r="DO148" s="870">
        <f t="shared" si="480"/>
        <v>72.3888888888889</v>
      </c>
      <c r="DP148" s="870">
        <f t="shared" si="480"/>
        <v>75.620370370370381</v>
      </c>
      <c r="DQ148" s="870">
        <f t="shared" si="480"/>
        <v>73.223765432098773</v>
      </c>
      <c r="DR148" s="870">
        <f t="shared" si="480"/>
        <v>172</v>
      </c>
      <c r="DS148" s="870">
        <f t="shared" si="480"/>
        <v>131</v>
      </c>
      <c r="DT148" s="870">
        <f t="shared" si="480"/>
        <v>104</v>
      </c>
      <c r="DU148" s="870">
        <f t="shared" si="480"/>
        <v>143</v>
      </c>
      <c r="DV148" s="870">
        <f t="shared" si="480"/>
        <v>132</v>
      </c>
      <c r="DW148" s="872">
        <f>SUM(DW149:DW155)</f>
        <v>155</v>
      </c>
      <c r="DX148" s="870">
        <f t="shared" ref="DX148:EB148" si="481">SUM(DX149:DX155)</f>
        <v>148</v>
      </c>
      <c r="DY148" s="870">
        <f t="shared" si="481"/>
        <v>120</v>
      </c>
      <c r="DZ148" s="870">
        <f t="shared" si="481"/>
        <v>108</v>
      </c>
      <c r="EA148" s="870">
        <f t="shared" si="481"/>
        <v>146</v>
      </c>
      <c r="EB148" s="870">
        <f t="shared" si="481"/>
        <v>123</v>
      </c>
      <c r="EC148" s="872">
        <f>SUM(EC149:EC155)</f>
        <v>136</v>
      </c>
      <c r="ED148" s="852"/>
      <c r="EE148" s="852"/>
      <c r="EF148" s="852"/>
      <c r="EG148" s="852"/>
      <c r="EH148" s="852"/>
    </row>
    <row r="149" spans="1:138">
      <c r="A149" s="186" t="s">
        <v>9</v>
      </c>
      <c r="B149" s="215">
        <f>'Volume Data Entry'!C7</f>
        <v>3</v>
      </c>
      <c r="C149" s="215">
        <f>'Volume Data Entry'!C68</f>
        <v>3</v>
      </c>
      <c r="D149" s="215">
        <f>'Volume Data Entry'!K7</f>
        <v>2</v>
      </c>
      <c r="E149" s="215">
        <f>'Volume Data Entry'!K68</f>
        <v>0</v>
      </c>
      <c r="F149" s="215">
        <f>'Volume Data Entry'!S7</f>
        <v>3</v>
      </c>
      <c r="G149" s="215">
        <f>'Volume Data Entry'!S68</f>
        <v>8</v>
      </c>
      <c r="H149" s="215">
        <f>'Volume Data Entry'!AA7</f>
        <v>4</v>
      </c>
      <c r="I149" s="215">
        <f>'Volume Data Entry'!AA68</f>
        <v>1</v>
      </c>
      <c r="J149" s="215">
        <f>'Volume Data Entry'!AI7</f>
        <v>6</v>
      </c>
      <c r="K149" s="215">
        <f>'Volume Data Entry'!AI68</f>
        <v>9</v>
      </c>
      <c r="L149" s="215">
        <f>'Volume Data Entry'!AQ7</f>
        <v>0</v>
      </c>
      <c r="M149" s="215">
        <f>'Volume Data Entry'!AQ68</f>
        <v>1</v>
      </c>
      <c r="N149" s="215">
        <f>'Volume Data Entry'!AY7</f>
        <v>4</v>
      </c>
      <c r="O149" s="215">
        <f>'Volume Data Entry'!AY68</f>
        <v>0</v>
      </c>
      <c r="P149" s="215">
        <f>'Volume Data Entry'!BG7</f>
        <v>7</v>
      </c>
      <c r="Q149" s="215">
        <f>'Volume Data Entry'!BG68</f>
        <v>5</v>
      </c>
      <c r="R149" s="215">
        <f>'Volume Data Entry'!BO7</f>
        <v>1</v>
      </c>
      <c r="S149" s="215">
        <f>'Volume Data Entry'!BO68</f>
        <v>2</v>
      </c>
      <c r="T149" s="215">
        <f>'Volume Data Entry'!BW7</f>
        <v>0</v>
      </c>
      <c r="U149" s="215">
        <f>'Volume Data Entry'!BW68</f>
        <v>0</v>
      </c>
      <c r="V149" s="215">
        <f>'Volume Data Entry'!CE7</f>
        <v>0</v>
      </c>
      <c r="W149" s="215">
        <f>'Volume Data Entry'!CE68</f>
        <v>0</v>
      </c>
      <c r="X149" s="215">
        <f>'Volume Data Entry'!CM7</f>
        <v>1</v>
      </c>
      <c r="Y149" s="215">
        <f>'Volume Data Entry'!CM68</f>
        <v>0</v>
      </c>
      <c r="Z149" s="215">
        <f>'Volume Data Entry'!CU7</f>
        <v>7</v>
      </c>
      <c r="AA149" s="215">
        <f>'Volume Data Entry'!CU68</f>
        <v>4</v>
      </c>
      <c r="AB149" s="215">
        <f>'Volume Data Entry'!DC7</f>
        <v>3</v>
      </c>
      <c r="AC149" s="215">
        <f>'Volume Data Entry'!DC68</f>
        <v>0</v>
      </c>
      <c r="AD149" s="215">
        <f>'Volume Data Entry'!DK7</f>
        <v>5</v>
      </c>
      <c r="AE149" s="215">
        <f>'Volume Data Entry'!DK68</f>
        <v>9</v>
      </c>
      <c r="AF149" s="215">
        <f>'Volume Data Entry'!DS7</f>
        <v>0</v>
      </c>
      <c r="AG149" s="215">
        <f>'Volume Data Entry'!DS68</f>
        <v>16</v>
      </c>
      <c r="AH149" s="215">
        <f>'Volume Data Entry'!EA7</f>
        <v>15</v>
      </c>
      <c r="AI149" s="215">
        <f>'Volume Data Entry'!EA68</f>
        <v>17</v>
      </c>
      <c r="AJ149" s="215">
        <f>'Volume Data Entry'!EI7</f>
        <v>46</v>
      </c>
      <c r="AK149" s="215">
        <f>'Volume Data Entry'!EI68</f>
        <v>24</v>
      </c>
      <c r="AL149" s="215">
        <f>'Volume Data Entry'!EQ7</f>
        <v>32</v>
      </c>
      <c r="AM149" s="215">
        <f>'Volume Data Entry'!EQ68</f>
        <v>6</v>
      </c>
      <c r="AN149" s="215">
        <f>'Volume Data Entry'!EY7</f>
        <v>0</v>
      </c>
      <c r="AO149" s="215">
        <f>'Volume Data Entry'!EY68</f>
        <v>0</v>
      </c>
      <c r="AP149" s="215">
        <f>'Volume Data Entry'!FG7</f>
        <v>0</v>
      </c>
      <c r="AQ149" s="215">
        <f>'Volume Data Entry'!FG68</f>
        <v>0</v>
      </c>
      <c r="AR149" s="215">
        <f>'Volume Data Entry'!FO7</f>
        <v>0</v>
      </c>
      <c r="AS149" s="215">
        <f>'Volume Data Entry'!FO68</f>
        <v>0</v>
      </c>
      <c r="AT149" s="215">
        <f>'Volume Data Entry'!FW7</f>
        <v>0</v>
      </c>
      <c r="AU149" s="215">
        <f>'Volume Data Entry'!FW68</f>
        <v>0</v>
      </c>
      <c r="AV149" s="215">
        <f>'Volume Data Entry'!GE7</f>
        <v>0</v>
      </c>
      <c r="AW149" s="215">
        <f>'Volume Data Entry'!GE68</f>
        <v>0</v>
      </c>
      <c r="AX149" s="215">
        <f>'Volume Data Entry'!GM7</f>
        <v>7</v>
      </c>
      <c r="AY149" s="215">
        <f>'Volume Data Entry'!GM68</f>
        <v>4</v>
      </c>
      <c r="AZ149" s="215">
        <f>'Volume Data Entry'!GU7</f>
        <v>2</v>
      </c>
      <c r="BA149" s="216">
        <f>'Volume Data Entry'!GU68</f>
        <v>0</v>
      </c>
      <c r="BB149" s="215">
        <f>'Volume Data Entry'!HC7</f>
        <v>2</v>
      </c>
      <c r="BC149" s="216">
        <f>'Volume Data Entry'!HC68</f>
        <v>5</v>
      </c>
      <c r="BD149" s="217">
        <f>'Volume Data Entry'!HK7</f>
        <v>5</v>
      </c>
      <c r="BE149" s="217">
        <f>'Volume Data Entry'!HK68</f>
        <v>9</v>
      </c>
      <c r="BF149" s="217">
        <f>'Volume Data Entry'!HS7</f>
        <v>10</v>
      </c>
      <c r="BG149" s="217">
        <f>'Volume Data Entry'!HS68</f>
        <v>17</v>
      </c>
      <c r="BH149" s="217">
        <f>'Volume Data Entry'!IA7</f>
        <v>32</v>
      </c>
      <c r="BI149" s="217">
        <f>'Volume Data Entry'!IA68</f>
        <v>17</v>
      </c>
      <c r="BJ149" s="217">
        <f>'Volume Data Entry'!II7</f>
        <v>25</v>
      </c>
      <c r="BK149" s="217">
        <f>'Volume Data Entry'!II68</f>
        <v>21</v>
      </c>
      <c r="BL149" s="217">
        <f>'Volume Data Entry'!IQ7</f>
        <v>36</v>
      </c>
      <c r="BM149" s="217">
        <f>'Volume Data Entry'!IQ68</f>
        <v>18</v>
      </c>
      <c r="BN149" s="217">
        <f>'Volume Data Entry'!IY7</f>
        <v>7</v>
      </c>
      <c r="BO149" s="218">
        <f>'Volume Data Entry'!IY68</f>
        <v>9</v>
      </c>
      <c r="BP149" s="218">
        <f>'Volume Data Entry'!JG7</f>
        <v>6</v>
      </c>
      <c r="BQ149" s="217">
        <f>'Volume Data Entry'!JG68</f>
        <v>8</v>
      </c>
      <c r="BR149" s="219">
        <f>'Volume Data Entry'!JO7</f>
        <v>5</v>
      </c>
      <c r="BS149" s="217">
        <f>'Volume Data Entry'!JO68</f>
        <v>2</v>
      </c>
      <c r="BT149" s="220">
        <f>'Volume Data Entry'!JW7</f>
        <v>13</v>
      </c>
      <c r="BU149" s="217">
        <f>'Volume Data Entry'!JW68</f>
        <v>46</v>
      </c>
      <c r="BV149" s="220">
        <f>'Volume Data Entry'!KE7</f>
        <v>3</v>
      </c>
      <c r="BW149" s="217">
        <f>'Volume Data Entry'!KE68</f>
        <v>0</v>
      </c>
      <c r="BX149" s="220">
        <f>'Volume Data Entry'!KM7</f>
        <v>2</v>
      </c>
      <c r="BY149" s="217">
        <f>'Volume Data Entry'!KM68</f>
        <v>0</v>
      </c>
      <c r="BZ149" s="220">
        <f>'Volume Data Entry'!KU7</f>
        <v>4</v>
      </c>
      <c r="CA149" s="217">
        <f>'Volume Data Entry'!KU68</f>
        <v>8</v>
      </c>
      <c r="CB149" s="187">
        <f>'Volume Data Entry'!LC7</f>
        <v>2</v>
      </c>
      <c r="CC149" s="188">
        <f>'Volume Data Entry'!LC68</f>
        <v>3</v>
      </c>
      <c r="CD149" s="187">
        <f>'Volume Data Entry'!LK7</f>
        <v>14</v>
      </c>
      <c r="CE149" s="188">
        <f>'Volume Data Entry'!LK68</f>
        <v>16</v>
      </c>
      <c r="CF149" s="217">
        <f>'Volume Data Entry'!LS7</f>
        <v>17</v>
      </c>
      <c r="CG149" s="217">
        <f>'Volume Data Entry'!LS68</f>
        <v>18</v>
      </c>
      <c r="CH149" s="217">
        <f>'Volume Data Entry'!MA7</f>
        <v>27</v>
      </c>
      <c r="CI149" s="217">
        <f>'Volume Data Entry'!MA68</f>
        <v>16</v>
      </c>
      <c r="CJ149" s="217">
        <f>'Volume Data Entry'!MI7</f>
        <v>21</v>
      </c>
      <c r="CK149" s="217">
        <f>'Volume Data Entry'!MI68</f>
        <v>13</v>
      </c>
      <c r="CL149" s="217">
        <f>'Volume Data Entry'!MQ7</f>
        <v>20</v>
      </c>
      <c r="CM149" s="217">
        <f>'Volume Data Entry'!MQ68</f>
        <v>16</v>
      </c>
      <c r="CN149" s="215">
        <f>'Volume Data Entry'!MY7</f>
        <v>18</v>
      </c>
      <c r="CO149" s="215">
        <f>'Volume Data Entry'!MY79</f>
        <v>17</v>
      </c>
      <c r="CP149" s="776">
        <f>'Volume Data Entry'!NG7</f>
        <v>15</v>
      </c>
      <c r="CQ149" s="776">
        <f>'Volume Data Entry'!NG79</f>
        <v>10</v>
      </c>
      <c r="CR149" s="776">
        <f>'Volume Data Entry'!NO7</f>
        <v>7</v>
      </c>
      <c r="CS149" s="776">
        <f>'Volume Data Entry'!NO79</f>
        <v>3</v>
      </c>
      <c r="CT149" s="217">
        <f>'Volume Data Entry'!NW7</f>
        <v>2</v>
      </c>
      <c r="CU149" s="217">
        <f>'Volume Data Entry'!NW79</f>
        <v>3</v>
      </c>
      <c r="CV149" s="776">
        <f>'Volume Data Entry'!OE7</f>
        <v>7</v>
      </c>
      <c r="CW149" s="776">
        <f>'Volume Data Entry'!OE79</f>
        <v>2</v>
      </c>
      <c r="CX149" s="776">
        <f>'Volume Data Entry'!OM7</f>
        <v>2</v>
      </c>
      <c r="CY149" s="776">
        <f>'Volume Data Entry'!OM79</f>
        <v>0</v>
      </c>
      <c r="CZ149" s="217">
        <f>'Volume Data Entry'!OU7</f>
        <v>0</v>
      </c>
      <c r="DA149" s="217">
        <f>'Volume Data Entry'!OU79</f>
        <v>0</v>
      </c>
      <c r="DB149" s="776">
        <f>'Volume Data Entry'!PC7</f>
        <v>0</v>
      </c>
      <c r="DC149" s="776">
        <f>'Volume Data Entry'!PC79</f>
        <v>0</v>
      </c>
      <c r="DD149" s="776">
        <f>'Volume Data Entry'!PK7</f>
        <v>1</v>
      </c>
      <c r="DE149" s="776">
        <f>'Volume Data Entry'!PK79</f>
        <v>5</v>
      </c>
      <c r="DF149" s="217">
        <f>'Volume Data Entry'!PS7</f>
        <v>0</v>
      </c>
      <c r="DG149" s="776">
        <f>'Volume Data Entry'!PS79</f>
        <v>2</v>
      </c>
      <c r="DH149" s="776">
        <f>'Volume Data Entry'!QA7</f>
        <v>4</v>
      </c>
      <c r="DI149" s="776">
        <f>'Volume Data Entry'!QA79</f>
        <v>5</v>
      </c>
      <c r="DJ149" s="776">
        <f>'Volume Data Entry'!QI7</f>
        <v>9</v>
      </c>
      <c r="DK149" s="776">
        <f>'Volume Data Entry'!QI79</f>
        <v>6</v>
      </c>
      <c r="DL149" s="217">
        <f>'Volume Data Entry'!QQ7</f>
        <v>10</v>
      </c>
      <c r="DM149" s="776">
        <f>'Volume Data Entry'!QQ79</f>
        <v>11</v>
      </c>
      <c r="DN149" s="774">
        <f>SUM(DH149:DM149)/6</f>
        <v>7.5</v>
      </c>
      <c r="DO149" s="774">
        <f>SUM(DI149:DN149)/6</f>
        <v>8.0833333333333339</v>
      </c>
      <c r="DP149" s="774">
        <f>SUM(DJ149:DO149)/6</f>
        <v>8.5972222222222232</v>
      </c>
      <c r="DQ149" s="774">
        <f>SUM(DK149:DP149)/6</f>
        <v>8.5300925925925934</v>
      </c>
      <c r="DR149" s="217">
        <f>'Volume Data Entry'!RO7</f>
        <v>6</v>
      </c>
      <c r="DS149" s="776">
        <f>'Volume Data Entry'!RO79</f>
        <v>6</v>
      </c>
      <c r="DT149" s="774">
        <f>'Volume Data Entry'!RW7</f>
        <v>4</v>
      </c>
      <c r="DU149" s="774">
        <f>'Volume Data Entry'!RW79</f>
        <v>18</v>
      </c>
      <c r="DV149" s="774">
        <f>'Volume Data Entry'!SE7</f>
        <v>11</v>
      </c>
      <c r="DW149" s="774">
        <f>'Volume Data Entry'!SE79</f>
        <v>23</v>
      </c>
      <c r="DX149" s="217">
        <f>'Volume Data Entry'!SM7</f>
        <v>22</v>
      </c>
      <c r="DY149" s="776">
        <f>'Volume Data Entry'!SM79</f>
        <v>8</v>
      </c>
      <c r="DZ149" s="774">
        <f>'Volume Data Entry'!SU7</f>
        <v>9</v>
      </c>
      <c r="EA149" s="774">
        <f>'Volume Data Entry'!SU79</f>
        <v>25</v>
      </c>
      <c r="EB149" s="774">
        <f>'Volume Data Entry'!TC7</f>
        <v>8</v>
      </c>
      <c r="EC149" s="774">
        <f>'Volume Data Entry'!TC79</f>
        <v>18</v>
      </c>
    </row>
    <row r="150" spans="1:138">
      <c r="A150" s="189" t="s">
        <v>12</v>
      </c>
      <c r="B150" s="215">
        <f>'Volume Data Entry'!C9</f>
        <v>3</v>
      </c>
      <c r="C150" s="215">
        <f>'Volume Data Entry'!C70</f>
        <v>6</v>
      </c>
      <c r="D150" s="215">
        <f>'Volume Data Entry'!K9</f>
        <v>5</v>
      </c>
      <c r="E150" s="215">
        <f>'Volume Data Entry'!K70</f>
        <v>1</v>
      </c>
      <c r="F150" s="215">
        <f>'Volume Data Entry'!S9</f>
        <v>4</v>
      </c>
      <c r="G150" s="215">
        <f>'Volume Data Entry'!S70</f>
        <v>13</v>
      </c>
      <c r="H150" s="215">
        <f>'Volume Data Entry'!AA9</f>
        <v>6</v>
      </c>
      <c r="I150" s="215">
        <f>'Volume Data Entry'!AA70</f>
        <v>1</v>
      </c>
      <c r="J150" s="215">
        <f>'Volume Data Entry'!AI9</f>
        <v>5</v>
      </c>
      <c r="K150" s="215">
        <f>'Volume Data Entry'!AI70</f>
        <v>13</v>
      </c>
      <c r="L150" s="215">
        <f>'Volume Data Entry'!AQ9</f>
        <v>0</v>
      </c>
      <c r="M150" s="215">
        <f>'Volume Data Entry'!AQ70</f>
        <v>2</v>
      </c>
      <c r="N150" s="215">
        <f>'Volume Data Entry'!AY9</f>
        <v>7</v>
      </c>
      <c r="O150" s="215">
        <f>'Volume Data Entry'!AY70</f>
        <v>0</v>
      </c>
      <c r="P150" s="215">
        <f>'Volume Data Entry'!BG9</f>
        <v>6</v>
      </c>
      <c r="Q150" s="215">
        <f>'Volume Data Entry'!BG70</f>
        <v>4</v>
      </c>
      <c r="R150" s="215">
        <f>'Volume Data Entry'!BO9</f>
        <v>1</v>
      </c>
      <c r="S150" s="215">
        <f>'Volume Data Entry'!BO70</f>
        <v>1</v>
      </c>
      <c r="T150" s="215">
        <f>'Volume Data Entry'!BW9</f>
        <v>0</v>
      </c>
      <c r="U150" s="215">
        <f>'Volume Data Entry'!BW70</f>
        <v>0</v>
      </c>
      <c r="V150" s="215">
        <f>'Volume Data Entry'!CE9</f>
        <v>0</v>
      </c>
      <c r="W150" s="215">
        <f>'Volume Data Entry'!CE70</f>
        <v>0</v>
      </c>
      <c r="X150" s="215">
        <f>'Volume Data Entry'!CM9</f>
        <v>4</v>
      </c>
      <c r="Y150" s="215">
        <f>'Volume Data Entry'!CM70</f>
        <v>0</v>
      </c>
      <c r="Z150" s="215">
        <f>'Volume Data Entry'!CU9</f>
        <v>6</v>
      </c>
      <c r="AA150" s="215">
        <f>'Volume Data Entry'!CU70</f>
        <v>2</v>
      </c>
      <c r="AB150" s="215">
        <f>'Volume Data Entry'!DC9</f>
        <v>2</v>
      </c>
      <c r="AC150" s="215">
        <f>'Volume Data Entry'!DC70</f>
        <v>0</v>
      </c>
      <c r="AD150" s="215">
        <f>'Volume Data Entry'!DK9</f>
        <v>4</v>
      </c>
      <c r="AE150" s="215">
        <f>'Volume Data Entry'!DK70</f>
        <v>11</v>
      </c>
      <c r="AF150" s="215">
        <f>'Volume Data Entry'!DS9</f>
        <v>0</v>
      </c>
      <c r="AG150" s="215">
        <f>'Volume Data Entry'!DS70</f>
        <v>5</v>
      </c>
      <c r="AH150" s="215">
        <f>'Volume Data Entry'!EA9</f>
        <v>20</v>
      </c>
      <c r="AI150" s="215">
        <f>'Volume Data Entry'!EA70</f>
        <v>9</v>
      </c>
      <c r="AJ150" s="215">
        <f>'Volume Data Entry'!EI9</f>
        <v>40</v>
      </c>
      <c r="AK150" s="215">
        <f>'Volume Data Entry'!EI70</f>
        <v>8</v>
      </c>
      <c r="AL150" s="215">
        <f>'Volume Data Entry'!EQ9</f>
        <v>13</v>
      </c>
      <c r="AM150" s="215">
        <f>'Volume Data Entry'!EQ70</f>
        <v>10</v>
      </c>
      <c r="AN150" s="215">
        <f>'Volume Data Entry'!EY9</f>
        <v>0</v>
      </c>
      <c r="AO150" s="215">
        <f>'Volume Data Entry'!EY70</f>
        <v>0</v>
      </c>
      <c r="AP150" s="215">
        <f>'Volume Data Entry'!FG9</f>
        <v>0</v>
      </c>
      <c r="AQ150" s="215">
        <f>'Volume Data Entry'!FG70</f>
        <v>0</v>
      </c>
      <c r="AR150" s="215">
        <f>'Volume Data Entry'!FO9</f>
        <v>0</v>
      </c>
      <c r="AS150" s="215">
        <f>'Volume Data Entry'!FO70</f>
        <v>0</v>
      </c>
      <c r="AT150" s="215">
        <f>'Volume Data Entry'!FW9</f>
        <v>0</v>
      </c>
      <c r="AU150" s="215">
        <f>'Volume Data Entry'!FW70</f>
        <v>0</v>
      </c>
      <c r="AV150" s="215">
        <f>'Volume Data Entry'!GE9</f>
        <v>0</v>
      </c>
      <c r="AW150" s="215">
        <f>'Volume Data Entry'!GE70</f>
        <v>0</v>
      </c>
      <c r="AX150" s="215">
        <f>'Volume Data Entry'!GM9</f>
        <v>5</v>
      </c>
      <c r="AY150" s="215">
        <f>'Volume Data Entry'!GM70</f>
        <v>2</v>
      </c>
      <c r="AZ150" s="215">
        <f>'Volume Data Entry'!GU9</f>
        <v>2</v>
      </c>
      <c r="BA150" s="216">
        <f>'Volume Data Entry'!GU70</f>
        <v>2</v>
      </c>
      <c r="BB150" s="215">
        <f>'Volume Data Entry'!HC9</f>
        <v>4</v>
      </c>
      <c r="BC150" s="216">
        <f>'Volume Data Entry'!HC70</f>
        <v>9</v>
      </c>
      <c r="BD150" s="215">
        <f>'Volume Data Entry'!HK9</f>
        <v>2</v>
      </c>
      <c r="BE150" s="215">
        <f>'Volume Data Entry'!HK70</f>
        <v>6</v>
      </c>
      <c r="BF150" s="215">
        <f>'Volume Data Entry'!HS9</f>
        <v>6</v>
      </c>
      <c r="BG150" s="215">
        <f>'Volume Data Entry'!HS70</f>
        <v>8</v>
      </c>
      <c r="BH150" s="215">
        <f>'Volume Data Entry'!IA9</f>
        <v>17</v>
      </c>
      <c r="BI150" s="215">
        <f>'Volume Data Entry'!IA70</f>
        <v>8</v>
      </c>
      <c r="BJ150" s="215">
        <f>'Volume Data Entry'!II9</f>
        <v>12</v>
      </c>
      <c r="BK150" s="215">
        <f>'Volume Data Entry'!II70</f>
        <v>5</v>
      </c>
      <c r="BL150" s="215">
        <f>'Volume Data Entry'!IQ9</f>
        <v>15</v>
      </c>
      <c r="BM150" s="215">
        <f>'Volume Data Entry'!IQ70</f>
        <v>21</v>
      </c>
      <c r="BN150" s="215">
        <f>'Volume Data Entry'!IY9</f>
        <v>9</v>
      </c>
      <c r="BO150" s="216">
        <f>'Volume Data Entry'!IY70</f>
        <v>4</v>
      </c>
      <c r="BP150" s="216">
        <f>'Volume Data Entry'!JG9</f>
        <v>8</v>
      </c>
      <c r="BQ150" s="215">
        <f>'Volume Data Entry'!JG70</f>
        <v>1</v>
      </c>
      <c r="BR150" s="221">
        <f>'Volume Data Entry'!JO9</f>
        <v>10</v>
      </c>
      <c r="BS150" s="215">
        <f>'Volume Data Entry'!JO70</f>
        <v>3</v>
      </c>
      <c r="BT150" s="222">
        <f>'Volume Data Entry'!JW9</f>
        <v>10</v>
      </c>
      <c r="BU150" s="215">
        <f>'Volume Data Entry'!JW70</f>
        <v>18</v>
      </c>
      <c r="BV150" s="222">
        <f>'Volume Data Entry'!KE9</f>
        <v>3</v>
      </c>
      <c r="BW150" s="215">
        <f>'Volume Data Entry'!KE70</f>
        <v>3</v>
      </c>
      <c r="BX150" s="222">
        <f>'Volume Data Entry'!KM9</f>
        <v>3</v>
      </c>
      <c r="BY150" s="215">
        <f>'Volume Data Entry'!KM70</f>
        <v>0</v>
      </c>
      <c r="BZ150" s="222">
        <f>'Volume Data Entry'!KU9</f>
        <v>8</v>
      </c>
      <c r="CA150" s="215">
        <f>'Volume Data Entry'!KU70</f>
        <v>13</v>
      </c>
      <c r="CB150" s="190">
        <f>'Volume Data Entry'!LC9</f>
        <v>11</v>
      </c>
      <c r="CC150" s="191">
        <f>'Volume Data Entry'!LC70</f>
        <v>12</v>
      </c>
      <c r="CD150" s="190">
        <f>'Volume Data Entry'!LK9</f>
        <v>14</v>
      </c>
      <c r="CE150" s="191">
        <f>'Volume Data Entry'!LK70</f>
        <v>25</v>
      </c>
      <c r="CF150" s="215">
        <f>'Volume Data Entry'!LS9</f>
        <v>6</v>
      </c>
      <c r="CG150" s="215">
        <f>'Volume Data Entry'!LS70</f>
        <v>26</v>
      </c>
      <c r="CH150" s="215">
        <f>'Volume Data Entry'!MA9</f>
        <v>16</v>
      </c>
      <c r="CI150" s="215">
        <f>'Volume Data Entry'!MA70</f>
        <v>13</v>
      </c>
      <c r="CJ150" s="215">
        <f>'Volume Data Entry'!MI9</f>
        <v>16</v>
      </c>
      <c r="CK150" s="215">
        <f>'Volume Data Entry'!MI70</f>
        <v>7</v>
      </c>
      <c r="CL150" s="215">
        <f>'Volume Data Entry'!MQ9</f>
        <v>8</v>
      </c>
      <c r="CM150" s="215">
        <f>'Volume Data Entry'!MQ70</f>
        <v>5</v>
      </c>
      <c r="CN150" s="215">
        <f>'Volume Data Entry'!MY9</f>
        <v>7</v>
      </c>
      <c r="CO150" s="215">
        <f>'Volume Data Entry'!MY81</f>
        <v>13</v>
      </c>
      <c r="CP150" s="776">
        <f>'Volume Data Entry'!NG9</f>
        <v>9</v>
      </c>
      <c r="CQ150" s="776">
        <f>'Volume Data Entry'!NG81</f>
        <v>9</v>
      </c>
      <c r="CR150" s="776">
        <f>'Volume Data Entry'!NO9</f>
        <v>5</v>
      </c>
      <c r="CS150" s="776">
        <f>'Volume Data Entry'!NO81</f>
        <v>10</v>
      </c>
      <c r="CT150" s="215">
        <f>'Volume Data Entry'!NW9</f>
        <v>1</v>
      </c>
      <c r="CU150" s="215">
        <f>'Volume Data Entry'!NW81</f>
        <v>3</v>
      </c>
      <c r="CV150" s="776">
        <f>'Volume Data Entry'!OE9</f>
        <v>4</v>
      </c>
      <c r="CW150" s="776">
        <f>'Volume Data Entry'!OE81</f>
        <v>4</v>
      </c>
      <c r="CX150" s="776">
        <f>'Volume Data Entry'!OM9</f>
        <v>3</v>
      </c>
      <c r="CY150" s="776">
        <f>'Volume Data Entry'!OM81</f>
        <v>3</v>
      </c>
      <c r="CZ150" s="215">
        <f>'Volume Data Entry'!OU9</f>
        <v>0</v>
      </c>
      <c r="DA150" s="215">
        <f>'Volume Data Entry'!OU81</f>
        <v>0</v>
      </c>
      <c r="DB150" s="776">
        <f>'Volume Data Entry'!PC9</f>
        <v>0</v>
      </c>
      <c r="DC150" s="776">
        <f>'Volume Data Entry'!PC81</f>
        <v>1</v>
      </c>
      <c r="DD150" s="776">
        <f>'Volume Data Entry'!PK9</f>
        <v>1</v>
      </c>
      <c r="DE150" s="776">
        <f>'Volume Data Entry'!PK81</f>
        <v>4</v>
      </c>
      <c r="DF150" s="215">
        <f>'Volume Data Entry'!PS9</f>
        <v>0</v>
      </c>
      <c r="DG150" s="776">
        <f>'Volume Data Entry'!PS81</f>
        <v>0</v>
      </c>
      <c r="DH150" s="776">
        <f>'Volume Data Entry'!QA9</f>
        <v>4</v>
      </c>
      <c r="DI150" s="776">
        <f>'Volume Data Entry'!QA81</f>
        <v>4</v>
      </c>
      <c r="DJ150" s="776">
        <f>'Volume Data Entry'!QI9</f>
        <v>6</v>
      </c>
      <c r="DK150" s="776">
        <f>'Volume Data Entry'!QI81</f>
        <v>3</v>
      </c>
      <c r="DL150" s="215">
        <f>'Volume Data Entry'!QQ9</f>
        <v>4</v>
      </c>
      <c r="DM150" s="776">
        <f>'Volume Data Entry'!QQ81</f>
        <v>1</v>
      </c>
      <c r="DN150" s="774">
        <f t="shared" ref="DN150:DN170" si="482">SUM(DH150:DM150)/6</f>
        <v>3.6666666666666665</v>
      </c>
      <c r="DO150" s="774">
        <f t="shared" ref="DO150:DO170" si="483">SUM(DI150:DN150)/6</f>
        <v>3.6111111111111112</v>
      </c>
      <c r="DP150" s="774">
        <f t="shared" ref="DP150:DP170" si="484">SUM(DJ150:DO150)/6</f>
        <v>3.5462962962962963</v>
      </c>
      <c r="DQ150" s="774">
        <f t="shared" ref="DQ150:DQ170" si="485">SUM(DK150:DP150)/6</f>
        <v>3.1373456790123453</v>
      </c>
      <c r="DR150" s="215">
        <f>'Volume Data Entry'!RO9</f>
        <v>12</v>
      </c>
      <c r="DS150" s="776">
        <f>'Volume Data Entry'!RO81</f>
        <v>5</v>
      </c>
      <c r="DT150" s="774">
        <f>'Volume Data Entry'!RW9</f>
        <v>6</v>
      </c>
      <c r="DU150" s="774">
        <f>'Volume Data Entry'!RW81</f>
        <v>13</v>
      </c>
      <c r="DV150" s="774">
        <f>'Volume Data Entry'!SE9</f>
        <v>7</v>
      </c>
      <c r="DW150" s="774">
        <f>'Volume Data Entry'!SE81</f>
        <v>12</v>
      </c>
      <c r="DX150" s="215">
        <f>'Volume Data Entry'!SM9</f>
        <v>10</v>
      </c>
      <c r="DY150" s="776">
        <f>'Volume Data Entry'!SM81</f>
        <v>11</v>
      </c>
      <c r="DZ150" s="774">
        <f>'Volume Data Entry'!SU9</f>
        <v>8</v>
      </c>
      <c r="EA150" s="774">
        <f>'Volume Data Entry'!SU81</f>
        <v>8</v>
      </c>
      <c r="EB150" s="774">
        <f>'Volume Data Entry'!TC9</f>
        <v>14</v>
      </c>
      <c r="EC150" s="774">
        <f>'Volume Data Entry'!TC81</f>
        <v>9</v>
      </c>
    </row>
    <row r="151" spans="1:138">
      <c r="A151" s="189" t="s">
        <v>15</v>
      </c>
      <c r="B151" s="215">
        <f>'Volume Data Entry'!C11</f>
        <v>10</v>
      </c>
      <c r="C151" s="215">
        <f>'Volume Data Entry'!C72</f>
        <v>22</v>
      </c>
      <c r="D151" s="215">
        <f>'Volume Data Entry'!K11</f>
        <v>5</v>
      </c>
      <c r="E151" s="215">
        <f>'Volume Data Entry'!K72</f>
        <v>5</v>
      </c>
      <c r="F151" s="215">
        <f>'Volume Data Entry'!S11</f>
        <v>6</v>
      </c>
      <c r="G151" s="215">
        <f>'Volume Data Entry'!S72</f>
        <v>16</v>
      </c>
      <c r="H151" s="215">
        <f>'Volume Data Entry'!AA11</f>
        <v>6</v>
      </c>
      <c r="I151" s="215">
        <f>'Volume Data Entry'!AA72</f>
        <v>15</v>
      </c>
      <c r="J151" s="215">
        <f>'Volume Data Entry'!AI11</f>
        <v>5</v>
      </c>
      <c r="K151" s="215">
        <f>'Volume Data Entry'!AI72</f>
        <v>12</v>
      </c>
      <c r="L151" s="215">
        <f>'Volume Data Entry'!AQ11</f>
        <v>0</v>
      </c>
      <c r="M151" s="215">
        <f>'Volume Data Entry'!AQ72</f>
        <v>12</v>
      </c>
      <c r="N151" s="215">
        <f>'Volume Data Entry'!AY11</f>
        <v>21</v>
      </c>
      <c r="O151" s="215">
        <f>'Volume Data Entry'!AY72</f>
        <v>0</v>
      </c>
      <c r="P151" s="215">
        <f>'Volume Data Entry'!BG11</f>
        <v>16</v>
      </c>
      <c r="Q151" s="215">
        <f>'Volume Data Entry'!BG72</f>
        <v>11</v>
      </c>
      <c r="R151" s="215">
        <f>'Volume Data Entry'!BO11</f>
        <v>10</v>
      </c>
      <c r="S151" s="215">
        <f>'Volume Data Entry'!BO72</f>
        <v>5</v>
      </c>
      <c r="T151" s="215">
        <f>'Volume Data Entry'!BW11</f>
        <v>0</v>
      </c>
      <c r="U151" s="215">
        <f>'Volume Data Entry'!BW72</f>
        <v>0</v>
      </c>
      <c r="V151" s="215">
        <f>'Volume Data Entry'!CE11</f>
        <v>0</v>
      </c>
      <c r="W151" s="215">
        <f>'Volume Data Entry'!CE72</f>
        <v>0</v>
      </c>
      <c r="X151" s="215">
        <f>'Volume Data Entry'!CM11</f>
        <v>18</v>
      </c>
      <c r="Y151" s="215">
        <f>'Volume Data Entry'!CM72</f>
        <v>0</v>
      </c>
      <c r="Z151" s="215">
        <f>'Volume Data Entry'!CU11</f>
        <v>16</v>
      </c>
      <c r="AA151" s="215">
        <f>'Volume Data Entry'!CU72</f>
        <v>9</v>
      </c>
      <c r="AB151" s="215">
        <f>'Volume Data Entry'!DC11</f>
        <v>12</v>
      </c>
      <c r="AC151" s="215">
        <f>'Volume Data Entry'!DC72</f>
        <v>0</v>
      </c>
      <c r="AD151" s="215">
        <f>'Volume Data Entry'!DK11</f>
        <v>12</v>
      </c>
      <c r="AE151" s="215">
        <f>'Volume Data Entry'!DK72</f>
        <v>39</v>
      </c>
      <c r="AF151" s="215">
        <f>'Volume Data Entry'!DS11</f>
        <v>0</v>
      </c>
      <c r="AG151" s="215">
        <f>'Volume Data Entry'!DS72</f>
        <v>44</v>
      </c>
      <c r="AH151" s="215">
        <f>'Volume Data Entry'!EA11</f>
        <v>20</v>
      </c>
      <c r="AI151" s="215">
        <f>'Volume Data Entry'!EA72</f>
        <v>25</v>
      </c>
      <c r="AJ151" s="215">
        <f>'Volume Data Entry'!EI11</f>
        <v>64</v>
      </c>
      <c r="AK151" s="215">
        <f>'Volume Data Entry'!EI72</f>
        <v>39</v>
      </c>
      <c r="AL151" s="215">
        <f>'Volume Data Entry'!EQ11</f>
        <v>26</v>
      </c>
      <c r="AM151" s="215">
        <f>'Volume Data Entry'!EQ72</f>
        <v>8</v>
      </c>
      <c r="AN151" s="215">
        <f>'Volume Data Entry'!EY11</f>
        <v>0</v>
      </c>
      <c r="AO151" s="215">
        <f>'Volume Data Entry'!EY72</f>
        <v>0</v>
      </c>
      <c r="AP151" s="215">
        <f>'Volume Data Entry'!FG11</f>
        <v>0</v>
      </c>
      <c r="AQ151" s="215">
        <f>'Volume Data Entry'!FG72</f>
        <v>0</v>
      </c>
      <c r="AR151" s="215">
        <f>'Volume Data Entry'!FO11</f>
        <v>0</v>
      </c>
      <c r="AS151" s="215">
        <f>'Volume Data Entry'!FO72</f>
        <v>0</v>
      </c>
      <c r="AT151" s="215">
        <f>'Volume Data Entry'!FW11</f>
        <v>0</v>
      </c>
      <c r="AU151" s="215">
        <f>'Volume Data Entry'!FW72</f>
        <v>0</v>
      </c>
      <c r="AV151" s="215">
        <f>'Volume Data Entry'!GE11</f>
        <v>0</v>
      </c>
      <c r="AW151" s="215">
        <f>'Volume Data Entry'!GE72</f>
        <v>0</v>
      </c>
      <c r="AX151" s="215">
        <f>'Volume Data Entry'!GM11</f>
        <v>14</v>
      </c>
      <c r="AY151" s="215">
        <f>'Volume Data Entry'!GM72</f>
        <v>9</v>
      </c>
      <c r="AZ151" s="215">
        <f>'Volume Data Entry'!GU11</f>
        <v>12</v>
      </c>
      <c r="BA151" s="216">
        <f>'Volume Data Entry'!GU72</f>
        <v>1</v>
      </c>
      <c r="BB151" s="215">
        <f>'Volume Data Entry'!HC11</f>
        <v>4</v>
      </c>
      <c r="BC151" s="216">
        <f>'Volume Data Entry'!HC72</f>
        <v>10</v>
      </c>
      <c r="BD151" s="215">
        <f>'Volume Data Entry'!HK11</f>
        <v>20</v>
      </c>
      <c r="BE151" s="215">
        <f>'Volume Data Entry'!HK72</f>
        <v>25</v>
      </c>
      <c r="BF151" s="215">
        <f>'Volume Data Entry'!HS11</f>
        <v>18</v>
      </c>
      <c r="BG151" s="215">
        <f>'Volume Data Entry'!HS72</f>
        <v>19</v>
      </c>
      <c r="BH151" s="215">
        <f>'Volume Data Entry'!IA11</f>
        <v>28</v>
      </c>
      <c r="BI151" s="215">
        <f>'Volume Data Entry'!IA72</f>
        <v>17</v>
      </c>
      <c r="BJ151" s="215">
        <f>'Volume Data Entry'!II11</f>
        <v>19</v>
      </c>
      <c r="BK151" s="215">
        <f>'Volume Data Entry'!II72</f>
        <v>13</v>
      </c>
      <c r="BL151" s="215">
        <f>'Volume Data Entry'!IQ11</f>
        <v>28</v>
      </c>
      <c r="BM151" s="215">
        <f>'Volume Data Entry'!IQ72</f>
        <v>22</v>
      </c>
      <c r="BN151" s="215">
        <f>'Volume Data Entry'!IY11</f>
        <v>16</v>
      </c>
      <c r="BO151" s="216">
        <f>'Volume Data Entry'!IY72</f>
        <v>9</v>
      </c>
      <c r="BP151" s="216">
        <f>'Volume Data Entry'!JG11</f>
        <v>6</v>
      </c>
      <c r="BQ151" s="215">
        <f>'Volume Data Entry'!JG72</f>
        <v>9</v>
      </c>
      <c r="BR151" s="221">
        <f>'Volume Data Entry'!JO11</f>
        <v>7</v>
      </c>
      <c r="BS151" s="215">
        <f>'Volume Data Entry'!JO72</f>
        <v>11</v>
      </c>
      <c r="BT151" s="222">
        <f>'Volume Data Entry'!JW11</f>
        <v>25</v>
      </c>
      <c r="BU151" s="215">
        <f>'Volume Data Entry'!JW72</f>
        <v>26</v>
      </c>
      <c r="BV151" s="222">
        <f>'Volume Data Entry'!KE11</f>
        <v>10</v>
      </c>
      <c r="BW151" s="215">
        <f>'Volume Data Entry'!KE72</f>
        <v>12</v>
      </c>
      <c r="BX151" s="222">
        <f>'Volume Data Entry'!KM11</f>
        <v>5</v>
      </c>
      <c r="BY151" s="215">
        <f>'Volume Data Entry'!KM72</f>
        <v>5</v>
      </c>
      <c r="BZ151" s="222">
        <f>'Volume Data Entry'!KU11</f>
        <v>15</v>
      </c>
      <c r="CA151" s="215">
        <f>'Volume Data Entry'!KU72</f>
        <v>10</v>
      </c>
      <c r="CB151" s="190">
        <f>'Volume Data Entry'!LC11</f>
        <v>23</v>
      </c>
      <c r="CC151" s="191">
        <f>'Volume Data Entry'!LC72</f>
        <v>18</v>
      </c>
      <c r="CD151" s="190">
        <f>'Volume Data Entry'!LK11</f>
        <v>14</v>
      </c>
      <c r="CE151" s="191">
        <f>'Volume Data Entry'!LK72</f>
        <v>20</v>
      </c>
      <c r="CF151" s="215">
        <f>'Volume Data Entry'!LS11</f>
        <v>7</v>
      </c>
      <c r="CG151" s="215">
        <f>'Volume Data Entry'!LS72</f>
        <v>14</v>
      </c>
      <c r="CH151" s="215">
        <f>'Volume Data Entry'!MA11</f>
        <v>29</v>
      </c>
      <c r="CI151" s="215">
        <f>'Volume Data Entry'!MA72</f>
        <v>14</v>
      </c>
      <c r="CJ151" s="215">
        <f>'Volume Data Entry'!MI11</f>
        <v>24</v>
      </c>
      <c r="CK151" s="215">
        <f>'Volume Data Entry'!MI72</f>
        <v>22</v>
      </c>
      <c r="CL151" s="215">
        <f>'Volume Data Entry'!MQ11</f>
        <v>19</v>
      </c>
      <c r="CM151" s="215">
        <f>'Volume Data Entry'!MQ72</f>
        <v>14</v>
      </c>
      <c r="CN151" s="215">
        <f>'Volume Data Entry'!MY11</f>
        <v>7</v>
      </c>
      <c r="CO151" s="215">
        <f>'Volume Data Entry'!MY83</f>
        <v>9</v>
      </c>
      <c r="CP151" s="776">
        <f>'Volume Data Entry'!NG11</f>
        <v>19</v>
      </c>
      <c r="CQ151" s="776">
        <f>'Volume Data Entry'!NG83</f>
        <v>5</v>
      </c>
      <c r="CR151" s="776">
        <f>'Volume Data Entry'!NO11</f>
        <v>5</v>
      </c>
      <c r="CS151" s="776">
        <f>'Volume Data Entry'!NO83</f>
        <v>4</v>
      </c>
      <c r="CT151" s="215">
        <f>'Volume Data Entry'!NW11</f>
        <v>4</v>
      </c>
      <c r="CU151" s="215">
        <f>'Volume Data Entry'!NW83</f>
        <v>4</v>
      </c>
      <c r="CV151" s="776">
        <f>'Volume Data Entry'!OE11</f>
        <v>15</v>
      </c>
      <c r="CW151" s="776">
        <f>'Volume Data Entry'!OE83</f>
        <v>13</v>
      </c>
      <c r="CX151" s="776">
        <f>'Volume Data Entry'!OM11</f>
        <v>6</v>
      </c>
      <c r="CY151" s="776">
        <f>'Volume Data Entry'!OM83</f>
        <v>4</v>
      </c>
      <c r="CZ151" s="215">
        <f>'Volume Data Entry'!OU11</f>
        <v>0</v>
      </c>
      <c r="DA151" s="215">
        <f>'Volume Data Entry'!OU83</f>
        <v>0</v>
      </c>
      <c r="DB151" s="776">
        <f>'Volume Data Entry'!PC11</f>
        <v>0</v>
      </c>
      <c r="DC151" s="776">
        <f>'Volume Data Entry'!PC83</f>
        <v>1</v>
      </c>
      <c r="DD151" s="776">
        <f>'Volume Data Entry'!PK11</f>
        <v>4</v>
      </c>
      <c r="DE151" s="776">
        <f>'Volume Data Entry'!PK83</f>
        <v>7</v>
      </c>
      <c r="DF151" s="215">
        <f>'Volume Data Entry'!PS11</f>
        <v>2</v>
      </c>
      <c r="DG151" s="776">
        <f>'Volume Data Entry'!PS83</f>
        <v>5</v>
      </c>
      <c r="DH151" s="776">
        <f>'Volume Data Entry'!QA11</f>
        <v>6</v>
      </c>
      <c r="DI151" s="776">
        <f>'Volume Data Entry'!QA83</f>
        <v>3</v>
      </c>
      <c r="DJ151" s="776">
        <f>'Volume Data Entry'!QI11</f>
        <v>11</v>
      </c>
      <c r="DK151" s="776">
        <f>'Volume Data Entry'!QI83</f>
        <v>4</v>
      </c>
      <c r="DL151" s="215">
        <f>'Volume Data Entry'!QQ11</f>
        <v>13</v>
      </c>
      <c r="DM151" s="776">
        <f>'Volume Data Entry'!QQ83</f>
        <v>9</v>
      </c>
      <c r="DN151" s="774">
        <f t="shared" si="482"/>
        <v>7.666666666666667</v>
      </c>
      <c r="DO151" s="774">
        <f t="shared" si="483"/>
        <v>7.9444444444444438</v>
      </c>
      <c r="DP151" s="774">
        <f t="shared" si="484"/>
        <v>8.7685185185185173</v>
      </c>
      <c r="DQ151" s="774">
        <f t="shared" si="485"/>
        <v>8.3966049382716044</v>
      </c>
      <c r="DR151" s="215">
        <f>'Volume Data Entry'!RO11</f>
        <v>23</v>
      </c>
      <c r="DS151" s="776">
        <f>'Volume Data Entry'!RO83</f>
        <v>12</v>
      </c>
      <c r="DT151" s="774">
        <f>'Volume Data Entry'!RW11</f>
        <v>11</v>
      </c>
      <c r="DU151" s="774">
        <f>'Volume Data Entry'!RW83</f>
        <v>21</v>
      </c>
      <c r="DV151" s="774">
        <f>'Volume Data Entry'!SE11</f>
        <v>14</v>
      </c>
      <c r="DW151" s="774">
        <f>'Volume Data Entry'!SE83</f>
        <v>20</v>
      </c>
      <c r="DX151" s="215">
        <f>'Volume Data Entry'!SM11</f>
        <v>16</v>
      </c>
      <c r="DY151" s="776">
        <f>'Volume Data Entry'!SM83</f>
        <v>16</v>
      </c>
      <c r="DZ151" s="774">
        <f>'Volume Data Entry'!SU11</f>
        <v>22</v>
      </c>
      <c r="EA151" s="774">
        <f>'Volume Data Entry'!SU83</f>
        <v>18</v>
      </c>
      <c r="EB151" s="774">
        <f>'Volume Data Entry'!TC11</f>
        <v>17</v>
      </c>
      <c r="EC151" s="774">
        <f>'Volume Data Entry'!TC83</f>
        <v>18</v>
      </c>
    </row>
    <row r="152" spans="1:138">
      <c r="A152" s="189" t="s">
        <v>19</v>
      </c>
      <c r="B152" s="215">
        <f>'Volume Data Entry'!C14</f>
        <v>23</v>
      </c>
      <c r="C152" s="215">
        <f>'Volume Data Entry'!C75</f>
        <v>49</v>
      </c>
      <c r="D152" s="215">
        <f>'Volume Data Entry'!K14</f>
        <v>16</v>
      </c>
      <c r="E152" s="215">
        <f>'Volume Data Entry'!K75</f>
        <v>9</v>
      </c>
      <c r="F152" s="215">
        <f>'Volume Data Entry'!S14</f>
        <v>8</v>
      </c>
      <c r="G152" s="215">
        <f>'Volume Data Entry'!S75</f>
        <v>25</v>
      </c>
      <c r="H152" s="215">
        <f>'Volume Data Entry'!AA14</f>
        <v>2</v>
      </c>
      <c r="I152" s="215">
        <f>'Volume Data Entry'!AA75</f>
        <v>11</v>
      </c>
      <c r="J152" s="215">
        <f>'Volume Data Entry'!AI14</f>
        <v>11</v>
      </c>
      <c r="K152" s="215">
        <f>'Volume Data Entry'!AI75</f>
        <v>11</v>
      </c>
      <c r="L152" s="215">
        <f>'Volume Data Entry'!AQ14</f>
        <v>0</v>
      </c>
      <c r="M152" s="215">
        <f>'Volume Data Entry'!AQ75</f>
        <v>13</v>
      </c>
      <c r="N152" s="215">
        <f>'Volume Data Entry'!AY14</f>
        <v>25</v>
      </c>
      <c r="O152" s="215">
        <f>'Volume Data Entry'!AY75</f>
        <v>0</v>
      </c>
      <c r="P152" s="215">
        <f>'Volume Data Entry'!BG14</f>
        <v>12</v>
      </c>
      <c r="Q152" s="215">
        <f>'Volume Data Entry'!BG75</f>
        <v>7</v>
      </c>
      <c r="R152" s="215">
        <f>'Volume Data Entry'!BO14</f>
        <v>8</v>
      </c>
      <c r="S152" s="215">
        <f>'Volume Data Entry'!BO75</f>
        <v>3</v>
      </c>
      <c r="T152" s="215">
        <f>'Volume Data Entry'!BW14</f>
        <v>0</v>
      </c>
      <c r="U152" s="215">
        <f>'Volume Data Entry'!BW75</f>
        <v>0</v>
      </c>
      <c r="V152" s="215">
        <f>'Volume Data Entry'!CE14</f>
        <v>0</v>
      </c>
      <c r="W152" s="215">
        <f>'Volume Data Entry'!CE75</f>
        <v>0</v>
      </c>
      <c r="X152" s="215">
        <f>'Volume Data Entry'!CM14</f>
        <v>20</v>
      </c>
      <c r="Y152" s="215">
        <f>'Volume Data Entry'!CM75</f>
        <v>0</v>
      </c>
      <c r="Z152" s="215">
        <f>'Volume Data Entry'!CU14</f>
        <v>12</v>
      </c>
      <c r="AA152" s="215">
        <f>'Volume Data Entry'!CU75</f>
        <v>7</v>
      </c>
      <c r="AB152" s="215">
        <f>'Volume Data Entry'!DC14</f>
        <v>13</v>
      </c>
      <c r="AC152" s="215">
        <f>'Volume Data Entry'!DC75</f>
        <v>0</v>
      </c>
      <c r="AD152" s="215">
        <f>'Volume Data Entry'!DK14</f>
        <v>10</v>
      </c>
      <c r="AE152" s="215">
        <f>'Volume Data Entry'!DK75</f>
        <v>45</v>
      </c>
      <c r="AF152" s="215">
        <f>'Volume Data Entry'!DS14</f>
        <v>0</v>
      </c>
      <c r="AG152" s="215">
        <f>'Volume Data Entry'!DS75</f>
        <v>49</v>
      </c>
      <c r="AH152" s="215">
        <f>'Volume Data Entry'!EA14</f>
        <v>22</v>
      </c>
      <c r="AI152" s="215">
        <f>'Volume Data Entry'!EA75</f>
        <v>17</v>
      </c>
      <c r="AJ152" s="215">
        <f>'Volume Data Entry'!EI14</f>
        <v>67</v>
      </c>
      <c r="AK152" s="215">
        <f>'Volume Data Entry'!EI75</f>
        <v>20</v>
      </c>
      <c r="AL152" s="215">
        <f>'Volume Data Entry'!EQ14</f>
        <v>46</v>
      </c>
      <c r="AM152" s="215">
        <f>'Volume Data Entry'!EQ75</f>
        <v>6</v>
      </c>
      <c r="AN152" s="215">
        <f>'Volume Data Entry'!EY14</f>
        <v>0</v>
      </c>
      <c r="AO152" s="215">
        <f>'Volume Data Entry'!EY75</f>
        <v>0</v>
      </c>
      <c r="AP152" s="215">
        <f>'Volume Data Entry'!FG14</f>
        <v>0</v>
      </c>
      <c r="AQ152" s="215">
        <f>'Volume Data Entry'!FG75</f>
        <v>0</v>
      </c>
      <c r="AR152" s="215">
        <f>'Volume Data Entry'!FO14</f>
        <v>0</v>
      </c>
      <c r="AS152" s="215">
        <f>'Volume Data Entry'!FO75</f>
        <v>0</v>
      </c>
      <c r="AT152" s="215">
        <f>'Volume Data Entry'!FW14</f>
        <v>0</v>
      </c>
      <c r="AU152" s="215">
        <f>'Volume Data Entry'!FW75</f>
        <v>0</v>
      </c>
      <c r="AV152" s="215">
        <f>'Volume Data Entry'!GE14</f>
        <v>0</v>
      </c>
      <c r="AW152" s="215">
        <f>'Volume Data Entry'!GE75</f>
        <v>0</v>
      </c>
      <c r="AX152" s="215">
        <f>'Volume Data Entry'!GM14</f>
        <v>11</v>
      </c>
      <c r="AY152" s="215">
        <f>'Volume Data Entry'!GM75</f>
        <v>6</v>
      </c>
      <c r="AZ152" s="215">
        <f>'Volume Data Entry'!GU14</f>
        <v>13</v>
      </c>
      <c r="BA152" s="216">
        <f>'Volume Data Entry'!GU75</f>
        <v>8</v>
      </c>
      <c r="BB152" s="215">
        <f>'Volume Data Entry'!HC14</f>
        <v>7</v>
      </c>
      <c r="BC152" s="216">
        <f>'Volume Data Entry'!HC75</f>
        <v>16</v>
      </c>
      <c r="BD152" s="215">
        <f>'Volume Data Entry'!HK14</f>
        <v>32</v>
      </c>
      <c r="BE152" s="215">
        <f>'Volume Data Entry'!HK75</f>
        <v>51</v>
      </c>
      <c r="BF152" s="215">
        <f>'Volume Data Entry'!HS14</f>
        <v>40</v>
      </c>
      <c r="BG152" s="215">
        <f>'Volume Data Entry'!HS75</f>
        <v>36</v>
      </c>
      <c r="BH152" s="215">
        <f>'Volume Data Entry'!IA14</f>
        <v>31</v>
      </c>
      <c r="BI152" s="215">
        <f>'Volume Data Entry'!IA75</f>
        <v>36</v>
      </c>
      <c r="BJ152" s="215">
        <f>'Volume Data Entry'!II14</f>
        <v>26</v>
      </c>
      <c r="BK152" s="215">
        <f>'Volume Data Entry'!II75</f>
        <v>25</v>
      </c>
      <c r="BL152" s="215">
        <f>'Volume Data Entry'!IQ14</f>
        <v>31</v>
      </c>
      <c r="BM152" s="215">
        <f>'Volume Data Entry'!IQ75</f>
        <v>37</v>
      </c>
      <c r="BN152" s="215">
        <f>'Volume Data Entry'!IY14</f>
        <v>20</v>
      </c>
      <c r="BO152" s="216">
        <f>'Volume Data Entry'!IY75</f>
        <v>14</v>
      </c>
      <c r="BP152" s="216">
        <f>'Volume Data Entry'!JG14</f>
        <v>13</v>
      </c>
      <c r="BQ152" s="215">
        <f>'Volume Data Entry'!JG75</f>
        <v>14</v>
      </c>
      <c r="BR152" s="221">
        <f>'Volume Data Entry'!JO14</f>
        <v>16</v>
      </c>
      <c r="BS152" s="215">
        <f>'Volume Data Entry'!JO75</f>
        <v>16</v>
      </c>
      <c r="BT152" s="222">
        <f>'Volume Data Entry'!JW14</f>
        <v>56</v>
      </c>
      <c r="BU152" s="215">
        <f>'Volume Data Entry'!JW75</f>
        <v>36</v>
      </c>
      <c r="BV152" s="222">
        <f>'Volume Data Entry'!KE14</f>
        <v>23</v>
      </c>
      <c r="BW152" s="215">
        <f>'Volume Data Entry'!KE75</f>
        <v>26</v>
      </c>
      <c r="BX152" s="222">
        <f>'Volume Data Entry'!KM14</f>
        <v>13</v>
      </c>
      <c r="BY152" s="215">
        <f>'Volume Data Entry'!KM75</f>
        <v>9</v>
      </c>
      <c r="BZ152" s="222">
        <f>'Volume Data Entry'!KU14</f>
        <v>22</v>
      </c>
      <c r="CA152" s="215">
        <f>'Volume Data Entry'!KU75</f>
        <v>20</v>
      </c>
      <c r="CB152" s="190">
        <f>'Volume Data Entry'!LC14</f>
        <v>38</v>
      </c>
      <c r="CC152" s="191">
        <f>'Volume Data Entry'!LC75</f>
        <v>17</v>
      </c>
      <c r="CD152" s="190">
        <f>'Volume Data Entry'!LK14</f>
        <v>23</v>
      </c>
      <c r="CE152" s="191">
        <f>'Volume Data Entry'!LK75</f>
        <v>27</v>
      </c>
      <c r="CF152" s="215">
        <f>'Volume Data Entry'!LS14</f>
        <v>7</v>
      </c>
      <c r="CG152" s="215">
        <f>'Volume Data Entry'!LS75</f>
        <v>29</v>
      </c>
      <c r="CH152" s="215">
        <f>'Volume Data Entry'!MA14</f>
        <v>31</v>
      </c>
      <c r="CI152" s="215">
        <f>'Volume Data Entry'!MA75</f>
        <v>9</v>
      </c>
      <c r="CJ152" s="215">
        <f>'Volume Data Entry'!MI14</f>
        <v>20</v>
      </c>
      <c r="CK152" s="215">
        <f>'Volume Data Entry'!MI75</f>
        <v>24</v>
      </c>
      <c r="CL152" s="215">
        <f>'Volume Data Entry'!MQ14</f>
        <v>14</v>
      </c>
      <c r="CM152" s="215">
        <f>'Volume Data Entry'!MQ75</f>
        <v>26</v>
      </c>
      <c r="CN152" s="215">
        <f>'Volume Data Entry'!MY14</f>
        <v>21</v>
      </c>
      <c r="CO152" s="215">
        <f>'Volume Data Entry'!MY86</f>
        <v>34</v>
      </c>
      <c r="CP152" s="776">
        <f>'Volume Data Entry'!NG14</f>
        <v>29</v>
      </c>
      <c r="CQ152" s="776">
        <f>'Volume Data Entry'!NG86</f>
        <v>22</v>
      </c>
      <c r="CR152" s="776">
        <f>'Volume Data Entry'!NO14</f>
        <v>28</v>
      </c>
      <c r="CS152" s="776">
        <f>'Volume Data Entry'!NO86</f>
        <v>14</v>
      </c>
      <c r="CT152" s="215">
        <f>'Volume Data Entry'!NW14</f>
        <v>15</v>
      </c>
      <c r="CU152" s="215">
        <f>'Volume Data Entry'!NW86</f>
        <v>15</v>
      </c>
      <c r="CV152" s="776">
        <f>'Volume Data Entry'!OE14</f>
        <v>25</v>
      </c>
      <c r="CW152" s="776">
        <f>'Volume Data Entry'!OE86</f>
        <v>21</v>
      </c>
      <c r="CX152" s="776">
        <f>'Volume Data Entry'!OM14</f>
        <v>21</v>
      </c>
      <c r="CY152" s="776">
        <f>'Volume Data Entry'!OM86</f>
        <v>6</v>
      </c>
      <c r="CZ152" s="215">
        <f>'Volume Data Entry'!OU14</f>
        <v>0</v>
      </c>
      <c r="DA152" s="215">
        <f>'Volume Data Entry'!OU86</f>
        <v>0</v>
      </c>
      <c r="DB152" s="776">
        <f>'Volume Data Entry'!PC14</f>
        <v>0</v>
      </c>
      <c r="DC152" s="776">
        <f>'Volume Data Entry'!PC86</f>
        <v>0</v>
      </c>
      <c r="DD152" s="776">
        <f>'Volume Data Entry'!PK14</f>
        <v>1</v>
      </c>
      <c r="DE152" s="776">
        <f>'Volume Data Entry'!PK86</f>
        <v>4</v>
      </c>
      <c r="DF152" s="215">
        <f>'Volume Data Entry'!PS14</f>
        <v>0</v>
      </c>
      <c r="DG152" s="776">
        <f>'Volume Data Entry'!PS86</f>
        <v>6</v>
      </c>
      <c r="DH152" s="776">
        <f>'Volume Data Entry'!QA14</f>
        <v>4</v>
      </c>
      <c r="DI152" s="776">
        <f>'Volume Data Entry'!QA86</f>
        <v>10</v>
      </c>
      <c r="DJ152" s="776">
        <f>'Volume Data Entry'!QI14</f>
        <v>21</v>
      </c>
      <c r="DK152" s="776">
        <f>'Volume Data Entry'!QI86</f>
        <v>13</v>
      </c>
      <c r="DL152" s="215">
        <f>'Volume Data Entry'!QQ14</f>
        <v>26</v>
      </c>
      <c r="DM152" s="776">
        <f>'Volume Data Entry'!QQ86</f>
        <v>20</v>
      </c>
      <c r="DN152" s="774">
        <f t="shared" si="482"/>
        <v>15.666666666666666</v>
      </c>
      <c r="DO152" s="774">
        <f t="shared" si="483"/>
        <v>17.611111111111111</v>
      </c>
      <c r="DP152" s="774">
        <f t="shared" si="484"/>
        <v>18.87962962962963</v>
      </c>
      <c r="DQ152" s="774">
        <f t="shared" si="485"/>
        <v>18.526234567901238</v>
      </c>
      <c r="DR152" s="215">
        <f>'Volume Data Entry'!RO14</f>
        <v>25</v>
      </c>
      <c r="DS152" s="776">
        <f>'Volume Data Entry'!RO86</f>
        <v>24</v>
      </c>
      <c r="DT152" s="774">
        <f>'Volume Data Entry'!RW14</f>
        <v>13</v>
      </c>
      <c r="DU152" s="774">
        <f>'Volume Data Entry'!RW86</f>
        <v>17</v>
      </c>
      <c r="DV152" s="774">
        <f>'Volume Data Entry'!SE14</f>
        <v>15</v>
      </c>
      <c r="DW152" s="774">
        <f>'Volume Data Entry'!SE86</f>
        <v>16</v>
      </c>
      <c r="DX152" s="215">
        <f>'Volume Data Entry'!SM14</f>
        <v>13</v>
      </c>
      <c r="DY152" s="776">
        <f>'Volume Data Entry'!SM86</f>
        <v>8</v>
      </c>
      <c r="DZ152" s="774">
        <f>'Volume Data Entry'!SU14</f>
        <v>1</v>
      </c>
      <c r="EA152" s="774">
        <f>'Volume Data Entry'!SU86</f>
        <v>2</v>
      </c>
      <c r="EB152" s="774">
        <f>'Volume Data Entry'!TC14</f>
        <v>8</v>
      </c>
      <c r="EC152" s="774">
        <f>'Volume Data Entry'!TC86</f>
        <v>8</v>
      </c>
    </row>
    <row r="153" spans="1:138">
      <c r="A153" s="189" t="s">
        <v>22</v>
      </c>
      <c r="B153" s="215">
        <f>'Volume Data Entry'!C16</f>
        <v>7</v>
      </c>
      <c r="C153" s="215">
        <f>'Volume Data Entry'!C77</f>
        <v>3</v>
      </c>
      <c r="D153" s="215">
        <f>'Volume Data Entry'!K16</f>
        <v>7</v>
      </c>
      <c r="E153" s="215">
        <f>'Volume Data Entry'!K77</f>
        <v>0</v>
      </c>
      <c r="F153" s="215">
        <f>'Volume Data Entry'!S16</f>
        <v>4</v>
      </c>
      <c r="G153" s="215">
        <f>'Volume Data Entry'!S77</f>
        <v>12</v>
      </c>
      <c r="H153" s="215">
        <f>'Volume Data Entry'!AA16</f>
        <v>5</v>
      </c>
      <c r="I153" s="215">
        <f>'Volume Data Entry'!AA77</f>
        <v>2</v>
      </c>
      <c r="J153" s="215">
        <f>'Volume Data Entry'!AI16</f>
        <v>10</v>
      </c>
      <c r="K153" s="215">
        <f>'Volume Data Entry'!AI77</f>
        <v>7</v>
      </c>
      <c r="L153" s="215">
        <f>'Volume Data Entry'!AQ16</f>
        <v>0</v>
      </c>
      <c r="M153" s="215">
        <f>'Volume Data Entry'!AQ77</f>
        <v>6</v>
      </c>
      <c r="N153" s="215">
        <f>'Volume Data Entry'!AY16</f>
        <v>8</v>
      </c>
      <c r="O153" s="215">
        <f>'Volume Data Entry'!AY77</f>
        <v>0</v>
      </c>
      <c r="P153" s="215">
        <f>'Volume Data Entry'!BG16</f>
        <v>4</v>
      </c>
      <c r="Q153" s="215">
        <f>'Volume Data Entry'!BG77</f>
        <v>5</v>
      </c>
      <c r="R153" s="215">
        <f>'Volume Data Entry'!BO16</f>
        <v>1</v>
      </c>
      <c r="S153" s="215">
        <f>'Volume Data Entry'!BO77</f>
        <v>1</v>
      </c>
      <c r="T153" s="215">
        <f>'Volume Data Entry'!BW16</f>
        <v>0</v>
      </c>
      <c r="U153" s="215">
        <f>'Volume Data Entry'!BW77</f>
        <v>0</v>
      </c>
      <c r="V153" s="215">
        <f>'Volume Data Entry'!CE16</f>
        <v>0</v>
      </c>
      <c r="W153" s="215">
        <f>'Volume Data Entry'!CE77</f>
        <v>0</v>
      </c>
      <c r="X153" s="215">
        <f>'Volume Data Entry'!CM16</f>
        <v>4</v>
      </c>
      <c r="Y153" s="215">
        <f>'Volume Data Entry'!CM77</f>
        <v>0</v>
      </c>
      <c r="Z153" s="215">
        <f>'Volume Data Entry'!CU16</f>
        <v>4</v>
      </c>
      <c r="AA153" s="215">
        <f>'Volume Data Entry'!CU77</f>
        <v>0</v>
      </c>
      <c r="AB153" s="215">
        <f>'Volume Data Entry'!DC16</f>
        <v>5</v>
      </c>
      <c r="AC153" s="215">
        <f>'Volume Data Entry'!DC77</f>
        <v>0</v>
      </c>
      <c r="AD153" s="215">
        <f>'Volume Data Entry'!DK16</f>
        <v>0</v>
      </c>
      <c r="AE153" s="215">
        <f>'Volume Data Entry'!DK77</f>
        <v>12</v>
      </c>
      <c r="AF153" s="215">
        <f>'Volume Data Entry'!DS16</f>
        <v>0</v>
      </c>
      <c r="AG153" s="215">
        <f>'Volume Data Entry'!DS77</f>
        <v>28</v>
      </c>
      <c r="AH153" s="215">
        <f>'Volume Data Entry'!EA16</f>
        <v>39</v>
      </c>
      <c r="AI153" s="215">
        <f>'Volume Data Entry'!EA77</f>
        <v>16</v>
      </c>
      <c r="AJ153" s="215">
        <f>'Volume Data Entry'!EI16</f>
        <v>55</v>
      </c>
      <c r="AK153" s="215">
        <f>'Volume Data Entry'!EI77</f>
        <v>19</v>
      </c>
      <c r="AL153" s="215">
        <f>'Volume Data Entry'!EQ16</f>
        <v>21</v>
      </c>
      <c r="AM153" s="215">
        <f>'Volume Data Entry'!EQ77</f>
        <v>6</v>
      </c>
      <c r="AN153" s="215">
        <f>'Volume Data Entry'!EY16</f>
        <v>0</v>
      </c>
      <c r="AO153" s="215">
        <f>'Volume Data Entry'!EY77</f>
        <v>0</v>
      </c>
      <c r="AP153" s="215">
        <f>'Volume Data Entry'!FG16</f>
        <v>0</v>
      </c>
      <c r="AQ153" s="215">
        <f>'Volume Data Entry'!FG77</f>
        <v>0</v>
      </c>
      <c r="AR153" s="215">
        <f>'Volume Data Entry'!FO16</f>
        <v>0</v>
      </c>
      <c r="AS153" s="215">
        <f>'Volume Data Entry'!FO77</f>
        <v>0</v>
      </c>
      <c r="AT153" s="215">
        <f>'Volume Data Entry'!FW16</f>
        <v>0</v>
      </c>
      <c r="AU153" s="215">
        <f>'Volume Data Entry'!FW77</f>
        <v>0</v>
      </c>
      <c r="AV153" s="215">
        <f>'Volume Data Entry'!GE16</f>
        <v>0</v>
      </c>
      <c r="AW153" s="215">
        <f>'Volume Data Entry'!GE77</f>
        <v>0</v>
      </c>
      <c r="AX153" s="215">
        <f>'Volume Data Entry'!GM16</f>
        <v>3</v>
      </c>
      <c r="AY153" s="215">
        <f>'Volume Data Entry'!GM77</f>
        <v>0</v>
      </c>
      <c r="AZ153" s="215">
        <f>'Volume Data Entry'!GU16</f>
        <v>1</v>
      </c>
      <c r="BA153" s="216">
        <f>'Volume Data Entry'!GU77</f>
        <v>6</v>
      </c>
      <c r="BB153" s="215">
        <f>'Volume Data Entry'!HC16</f>
        <v>4</v>
      </c>
      <c r="BC153" s="216">
        <f>'Volume Data Entry'!HC77</f>
        <v>6</v>
      </c>
      <c r="BD153" s="215">
        <f>'Volume Data Entry'!HK16</f>
        <v>11</v>
      </c>
      <c r="BE153" s="215">
        <f>'Volume Data Entry'!HK77</f>
        <v>30</v>
      </c>
      <c r="BF153" s="215">
        <f>'Volume Data Entry'!HS16</f>
        <v>19</v>
      </c>
      <c r="BG153" s="215">
        <f>'Volume Data Entry'!HS77</f>
        <v>31</v>
      </c>
      <c r="BH153" s="215">
        <f>'Volume Data Entry'!IA16</f>
        <v>24</v>
      </c>
      <c r="BI153" s="215">
        <f>'Volume Data Entry'!IA77</f>
        <v>31</v>
      </c>
      <c r="BJ153" s="215">
        <f>'Volume Data Entry'!II16</f>
        <v>22</v>
      </c>
      <c r="BK153" s="215">
        <f>'Volume Data Entry'!II77</f>
        <v>21</v>
      </c>
      <c r="BL153" s="215">
        <f>'Volume Data Entry'!IQ16</f>
        <v>11</v>
      </c>
      <c r="BM153" s="215">
        <f>'Volume Data Entry'!IQ77</f>
        <v>21</v>
      </c>
      <c r="BN153" s="215">
        <f>'Volume Data Entry'!IY16</f>
        <v>13</v>
      </c>
      <c r="BO153" s="216">
        <f>'Volume Data Entry'!IY77</f>
        <v>5</v>
      </c>
      <c r="BP153" s="216">
        <f>'Volume Data Entry'!JG16</f>
        <v>3</v>
      </c>
      <c r="BQ153" s="215">
        <f>'Volume Data Entry'!JG77</f>
        <v>0</v>
      </c>
      <c r="BR153" s="221">
        <f>'Volume Data Entry'!JO16</f>
        <v>6</v>
      </c>
      <c r="BS153" s="215">
        <f>'Volume Data Entry'!JO77</f>
        <v>5</v>
      </c>
      <c r="BT153" s="222">
        <f>'Volume Data Entry'!JW16</f>
        <v>21</v>
      </c>
      <c r="BU153" s="215">
        <f>'Volume Data Entry'!JW77</f>
        <v>16</v>
      </c>
      <c r="BV153" s="222">
        <f>'Volume Data Entry'!KE16</f>
        <v>0</v>
      </c>
      <c r="BW153" s="215">
        <f>'Volume Data Entry'!KE77</f>
        <v>2</v>
      </c>
      <c r="BX153" s="222">
        <f>'Volume Data Entry'!KM16</f>
        <v>0</v>
      </c>
      <c r="BY153" s="215">
        <f>'Volume Data Entry'!KM77</f>
        <v>0</v>
      </c>
      <c r="BZ153" s="222">
        <f>'Volume Data Entry'!KU16</f>
        <v>11</v>
      </c>
      <c r="CA153" s="215">
        <f>'Volume Data Entry'!KU77</f>
        <v>17</v>
      </c>
      <c r="CB153" s="190">
        <f>'Volume Data Entry'!LC16</f>
        <v>22</v>
      </c>
      <c r="CC153" s="191">
        <f>'Volume Data Entry'!LC77</f>
        <v>21</v>
      </c>
      <c r="CD153" s="190">
        <f>'Volume Data Entry'!LK16</f>
        <v>19</v>
      </c>
      <c r="CE153" s="191">
        <f>'Volume Data Entry'!LK77</f>
        <v>25</v>
      </c>
      <c r="CF153" s="215">
        <f>'Volume Data Entry'!LS16</f>
        <v>17</v>
      </c>
      <c r="CG153" s="215">
        <f>'Volume Data Entry'!LS77</f>
        <v>60</v>
      </c>
      <c r="CH153" s="215">
        <f>'Volume Data Entry'!MA16</f>
        <v>37</v>
      </c>
      <c r="CI153" s="215">
        <f>'Volume Data Entry'!MA77</f>
        <v>32</v>
      </c>
      <c r="CJ153" s="215">
        <f>'Volume Data Entry'!MI16</f>
        <v>35</v>
      </c>
      <c r="CK153" s="215">
        <f>'Volume Data Entry'!MI77</f>
        <v>11</v>
      </c>
      <c r="CL153" s="215">
        <f>'Volume Data Entry'!MQ16</f>
        <v>18</v>
      </c>
      <c r="CM153" s="215">
        <f>'Volume Data Entry'!MQ77</f>
        <v>9</v>
      </c>
      <c r="CN153" s="215">
        <f>'Volume Data Entry'!MY16</f>
        <v>2</v>
      </c>
      <c r="CO153" s="215">
        <f>'Volume Data Entry'!MY88</f>
        <v>14</v>
      </c>
      <c r="CP153" s="776">
        <f>'Volume Data Entry'!NG16</f>
        <v>17</v>
      </c>
      <c r="CQ153" s="776">
        <f>'Volume Data Entry'!NG88</f>
        <v>3</v>
      </c>
      <c r="CR153" s="776">
        <f>'Volume Data Entry'!NO16</f>
        <v>9</v>
      </c>
      <c r="CS153" s="776">
        <f>'Volume Data Entry'!NO88</f>
        <v>3</v>
      </c>
      <c r="CT153" s="215">
        <f>'Volume Data Entry'!NW16</f>
        <v>7</v>
      </c>
      <c r="CU153" s="215">
        <f>'Volume Data Entry'!NW88</f>
        <v>12</v>
      </c>
      <c r="CV153" s="776">
        <f>'Volume Data Entry'!OE16</f>
        <v>8</v>
      </c>
      <c r="CW153" s="776">
        <f>'Volume Data Entry'!OE88</f>
        <v>4</v>
      </c>
      <c r="CX153" s="776">
        <f>'Volume Data Entry'!OM16</f>
        <v>12</v>
      </c>
      <c r="CY153" s="776">
        <f>'Volume Data Entry'!OM88</f>
        <v>7</v>
      </c>
      <c r="CZ153" s="215">
        <f>'Volume Data Entry'!OU16</f>
        <v>0</v>
      </c>
      <c r="DA153" s="215">
        <f>'Volume Data Entry'!OU88</f>
        <v>0</v>
      </c>
      <c r="DB153" s="776">
        <f>'Volume Data Entry'!PC16</f>
        <v>0</v>
      </c>
      <c r="DC153" s="776">
        <f>'Volume Data Entry'!PC88</f>
        <v>1</v>
      </c>
      <c r="DD153" s="776">
        <f>'Volume Data Entry'!PK16</f>
        <v>2</v>
      </c>
      <c r="DE153" s="776">
        <f>'Volume Data Entry'!PK88</f>
        <v>7</v>
      </c>
      <c r="DF153" s="215">
        <f>'Volume Data Entry'!PS16</f>
        <v>2</v>
      </c>
      <c r="DG153" s="776">
        <f>'Volume Data Entry'!PS88</f>
        <v>2</v>
      </c>
      <c r="DH153" s="776">
        <f>'Volume Data Entry'!QA16</f>
        <v>4</v>
      </c>
      <c r="DI153" s="776">
        <f>'Volume Data Entry'!QA88</f>
        <v>8</v>
      </c>
      <c r="DJ153" s="776">
        <f>'Volume Data Entry'!QI16</f>
        <v>12</v>
      </c>
      <c r="DK153" s="776">
        <f>'Volume Data Entry'!QI88</f>
        <v>9</v>
      </c>
      <c r="DL153" s="215">
        <f>'Volume Data Entry'!QQ16</f>
        <v>1</v>
      </c>
      <c r="DM153" s="776">
        <f>'Volume Data Entry'!QQ88</f>
        <v>6</v>
      </c>
      <c r="DN153" s="774">
        <f t="shared" si="482"/>
        <v>6.666666666666667</v>
      </c>
      <c r="DO153" s="774">
        <f t="shared" si="483"/>
        <v>7.1111111111111107</v>
      </c>
      <c r="DP153" s="774">
        <f t="shared" si="484"/>
        <v>6.9629629629629619</v>
      </c>
      <c r="DQ153" s="774">
        <f t="shared" si="485"/>
        <v>6.1234567901234565</v>
      </c>
      <c r="DR153" s="215">
        <f>'Volume Data Entry'!RO16</f>
        <v>7</v>
      </c>
      <c r="DS153" s="776">
        <f>'Volume Data Entry'!RO88</f>
        <v>5</v>
      </c>
      <c r="DT153" s="774">
        <f>'Volume Data Entry'!RW16</f>
        <v>6</v>
      </c>
      <c r="DU153" s="774">
        <f>'Volume Data Entry'!RW88</f>
        <v>3</v>
      </c>
      <c r="DV153" s="774">
        <f>'Volume Data Entry'!SE16</f>
        <v>10</v>
      </c>
      <c r="DW153" s="774">
        <f>'Volume Data Entry'!SE88</f>
        <v>17</v>
      </c>
      <c r="DX153" s="215">
        <f>'Volume Data Entry'!SM16</f>
        <v>18</v>
      </c>
      <c r="DY153" s="776">
        <f>'Volume Data Entry'!SM88</f>
        <v>21</v>
      </c>
      <c r="DZ153" s="774">
        <f>'Volume Data Entry'!SU16</f>
        <v>11</v>
      </c>
      <c r="EA153" s="774">
        <f>'Volume Data Entry'!SU88</f>
        <v>19</v>
      </c>
      <c r="EB153" s="774">
        <f>'Volume Data Entry'!TC16</f>
        <v>24</v>
      </c>
      <c r="EC153" s="774">
        <f>'Volume Data Entry'!TC88</f>
        <v>20</v>
      </c>
    </row>
    <row r="154" spans="1:138">
      <c r="A154" s="192" t="s">
        <v>25</v>
      </c>
      <c r="B154" s="215">
        <f>'Volume Data Entry'!C18</f>
        <v>16</v>
      </c>
      <c r="C154" s="215">
        <f>'Volume Data Entry'!C79</f>
        <v>28</v>
      </c>
      <c r="D154" s="215">
        <f>'Volume Data Entry'!K18</f>
        <v>12</v>
      </c>
      <c r="E154" s="215">
        <f>'Volume Data Entry'!K79</f>
        <v>11</v>
      </c>
      <c r="F154" s="215">
        <f>'Volume Data Entry'!S18</f>
        <v>0</v>
      </c>
      <c r="G154" s="215">
        <f>'Volume Data Entry'!S79</f>
        <v>2</v>
      </c>
      <c r="H154" s="215">
        <f>'Volume Data Entry'!AA18</f>
        <v>14</v>
      </c>
      <c r="I154" s="215">
        <f>'Volume Data Entry'!AA79</f>
        <v>8</v>
      </c>
      <c r="J154" s="215">
        <f>'Volume Data Entry'!AI18</f>
        <v>0</v>
      </c>
      <c r="K154" s="215">
        <f>'Volume Data Entry'!AI79</f>
        <v>0</v>
      </c>
      <c r="L154" s="215">
        <f>'Volume Data Entry'!AQ18</f>
        <v>0</v>
      </c>
      <c r="M154" s="215">
        <f>'Volume Data Entry'!AQ79</f>
        <v>8</v>
      </c>
      <c r="N154" s="215">
        <f>'Volume Data Entry'!AY18</f>
        <v>22</v>
      </c>
      <c r="O154" s="215">
        <f>'Volume Data Entry'!AY79</f>
        <v>0</v>
      </c>
      <c r="P154" s="215">
        <f>'Volume Data Entry'!BG18</f>
        <v>20</v>
      </c>
      <c r="Q154" s="215">
        <f>'Volume Data Entry'!BG79</f>
        <v>16</v>
      </c>
      <c r="R154" s="215">
        <f>'Volume Data Entry'!BO18</f>
        <v>5</v>
      </c>
      <c r="S154" s="215">
        <f>'Volume Data Entry'!BO79</f>
        <v>9</v>
      </c>
      <c r="T154" s="215">
        <f>'Volume Data Entry'!BW18</f>
        <v>0</v>
      </c>
      <c r="U154" s="215">
        <f>'Volume Data Entry'!BW79</f>
        <v>0</v>
      </c>
      <c r="V154" s="215">
        <f>'Volume Data Entry'!CE18</f>
        <v>0</v>
      </c>
      <c r="W154" s="215">
        <f>'Volume Data Entry'!CE79</f>
        <v>0</v>
      </c>
      <c r="X154" s="215">
        <f>'Volume Data Entry'!CM18</f>
        <v>34</v>
      </c>
      <c r="Y154" s="215">
        <f>'Volume Data Entry'!CM79</f>
        <v>0</v>
      </c>
      <c r="Z154" s="215">
        <f>'Volume Data Entry'!CU18</f>
        <v>20</v>
      </c>
      <c r="AA154" s="215">
        <f>'Volume Data Entry'!CU79</f>
        <v>16</v>
      </c>
      <c r="AB154" s="215">
        <f>'Volume Data Entry'!DC18</f>
        <v>52</v>
      </c>
      <c r="AC154" s="215">
        <f>'Volume Data Entry'!DC79</f>
        <v>0</v>
      </c>
      <c r="AD154" s="215">
        <f>'Volume Data Entry'!DK18</f>
        <v>0</v>
      </c>
      <c r="AE154" s="215">
        <f>'Volume Data Entry'!DK79</f>
        <v>0</v>
      </c>
      <c r="AF154" s="215">
        <f>'Volume Data Entry'!DS18</f>
        <v>0</v>
      </c>
      <c r="AG154" s="215">
        <f>'Volume Data Entry'!DS79</f>
        <v>59</v>
      </c>
      <c r="AH154" s="215">
        <f>'Volume Data Entry'!EA18</f>
        <v>20</v>
      </c>
      <c r="AI154" s="215">
        <f>'Volume Data Entry'!EA79</f>
        <v>26</v>
      </c>
      <c r="AJ154" s="215">
        <f>'Volume Data Entry'!EI18</f>
        <v>49</v>
      </c>
      <c r="AK154" s="215">
        <f>'Volume Data Entry'!EI79</f>
        <v>53</v>
      </c>
      <c r="AL154" s="215">
        <f>'Volume Data Entry'!EQ18</f>
        <v>28</v>
      </c>
      <c r="AM154" s="215">
        <f>'Volume Data Entry'!EQ79</f>
        <v>0</v>
      </c>
      <c r="AN154" s="215">
        <f>'Volume Data Entry'!EY18</f>
        <v>0</v>
      </c>
      <c r="AO154" s="215">
        <f>'Volume Data Entry'!EY79</f>
        <v>0</v>
      </c>
      <c r="AP154" s="215">
        <f>'Volume Data Entry'!FG18</f>
        <v>0</v>
      </c>
      <c r="AQ154" s="215">
        <f>'Volume Data Entry'!FG79</f>
        <v>0</v>
      </c>
      <c r="AR154" s="215">
        <f>'Volume Data Entry'!FO18</f>
        <v>0</v>
      </c>
      <c r="AS154" s="215">
        <f>'Volume Data Entry'!FO79</f>
        <v>0</v>
      </c>
      <c r="AT154" s="215">
        <f>'Volume Data Entry'!FW18</f>
        <v>0</v>
      </c>
      <c r="AU154" s="215">
        <f>'Volume Data Entry'!FW79</f>
        <v>0</v>
      </c>
      <c r="AV154" s="215">
        <f>'Volume Data Entry'!GE18</f>
        <v>0</v>
      </c>
      <c r="AW154" s="215">
        <f>'Volume Data Entry'!GE79</f>
        <v>0</v>
      </c>
      <c r="AX154" s="215">
        <f>'Volume Data Entry'!GM18</f>
        <v>17</v>
      </c>
      <c r="AY154" s="215">
        <f>'Volume Data Entry'!GM79</f>
        <v>10</v>
      </c>
      <c r="AZ154" s="215">
        <f>'Volume Data Entry'!GU18</f>
        <v>45</v>
      </c>
      <c r="BA154" s="216">
        <f>'Volume Data Entry'!GU79</f>
        <v>0</v>
      </c>
      <c r="BB154" s="215">
        <f>'Volume Data Entry'!HC18</f>
        <v>0</v>
      </c>
      <c r="BC154" s="216">
        <f>'Volume Data Entry'!HC79</f>
        <v>1</v>
      </c>
      <c r="BD154" s="215">
        <f>'Volume Data Entry'!HK18</f>
        <v>49</v>
      </c>
      <c r="BE154" s="215">
        <f>'Volume Data Entry'!HK79</f>
        <v>52</v>
      </c>
      <c r="BF154" s="215">
        <f>'Volume Data Entry'!HS18</f>
        <v>52</v>
      </c>
      <c r="BG154" s="215">
        <f>'Volume Data Entry'!HS79</f>
        <v>55</v>
      </c>
      <c r="BH154" s="215">
        <f>'Volume Data Entry'!IA18</f>
        <v>52</v>
      </c>
      <c r="BI154" s="215">
        <f>'Volume Data Entry'!IA79</f>
        <v>55</v>
      </c>
      <c r="BJ154" s="215">
        <f>'Volume Data Entry'!II18</f>
        <v>51</v>
      </c>
      <c r="BK154" s="215">
        <f>'Volume Data Entry'!II79</f>
        <v>42</v>
      </c>
      <c r="BL154" s="215">
        <f>'Volume Data Entry'!IQ18</f>
        <v>58</v>
      </c>
      <c r="BM154" s="215">
        <f>'Volume Data Entry'!IQ79</f>
        <v>32</v>
      </c>
      <c r="BN154" s="215">
        <f>'Volume Data Entry'!IY18</f>
        <v>27</v>
      </c>
      <c r="BO154" s="216">
        <f>'Volume Data Entry'!IY79</f>
        <v>30</v>
      </c>
      <c r="BP154" s="216">
        <f>'Volume Data Entry'!JG18</f>
        <v>4</v>
      </c>
      <c r="BQ154" s="215">
        <f>'Volume Data Entry'!JG79</f>
        <v>2</v>
      </c>
      <c r="BR154" s="221">
        <f>'Volume Data Entry'!JO18</f>
        <v>5</v>
      </c>
      <c r="BS154" s="215">
        <f>'Volume Data Entry'!JO79</f>
        <v>5</v>
      </c>
      <c r="BT154" s="222">
        <f>'Volume Data Entry'!JW18</f>
        <v>46</v>
      </c>
      <c r="BU154" s="215">
        <f>'Volume Data Entry'!JW79</f>
        <v>20</v>
      </c>
      <c r="BV154" s="222">
        <f>'Volume Data Entry'!KE18</f>
        <v>6</v>
      </c>
      <c r="BW154" s="215">
        <f>'Volume Data Entry'!KE79</f>
        <v>5</v>
      </c>
      <c r="BX154" s="222">
        <f>'Volume Data Entry'!KM18</f>
        <v>10</v>
      </c>
      <c r="BY154" s="215">
        <f>'Volume Data Entry'!KM79</f>
        <v>10</v>
      </c>
      <c r="BZ154" s="222">
        <f>'Volume Data Entry'!KU18</f>
        <v>46</v>
      </c>
      <c r="CA154" s="215">
        <f>'Volume Data Entry'!KU79</f>
        <v>59</v>
      </c>
      <c r="CB154" s="190">
        <f>'Volume Data Entry'!LC18</f>
        <v>49</v>
      </c>
      <c r="CC154" s="191">
        <f>'Volume Data Entry'!LC79</f>
        <v>52</v>
      </c>
      <c r="CD154" s="190">
        <f>'Volume Data Entry'!LK18</f>
        <v>40</v>
      </c>
      <c r="CE154" s="191">
        <f>'Volume Data Entry'!LK79</f>
        <v>51</v>
      </c>
      <c r="CF154" s="215">
        <f>'Volume Data Entry'!LS18</f>
        <v>42</v>
      </c>
      <c r="CG154" s="215">
        <f>'Volume Data Entry'!LS79</f>
        <v>44</v>
      </c>
      <c r="CH154" s="215">
        <f>'Volume Data Entry'!MA18</f>
        <v>59</v>
      </c>
      <c r="CI154" s="215">
        <f>'Volume Data Entry'!MA79</f>
        <v>49</v>
      </c>
      <c r="CJ154" s="215">
        <f>'Volume Data Entry'!MI18</f>
        <v>57</v>
      </c>
      <c r="CK154" s="215">
        <f>'Volume Data Entry'!MI79</f>
        <v>51</v>
      </c>
      <c r="CL154" s="215">
        <f>'Volume Data Entry'!MQ18</f>
        <v>39</v>
      </c>
      <c r="CM154" s="215">
        <f>'Volume Data Entry'!MQ79</f>
        <v>51</v>
      </c>
      <c r="CN154" s="215">
        <f>'Volume Data Entry'!MY18</f>
        <v>42</v>
      </c>
      <c r="CO154" s="215">
        <f>'Volume Data Entry'!MY90</f>
        <v>60</v>
      </c>
      <c r="CP154" s="776">
        <f>'Volume Data Entry'!NG18</f>
        <v>57</v>
      </c>
      <c r="CQ154" s="776">
        <f>'Volume Data Entry'!NG90</f>
        <v>44</v>
      </c>
      <c r="CR154" s="776">
        <f>'Volume Data Entry'!NO18</f>
        <v>45</v>
      </c>
      <c r="CS154" s="776">
        <f>'Volume Data Entry'!NO90</f>
        <v>60</v>
      </c>
      <c r="CT154" s="215">
        <f>'Volume Data Entry'!NW18</f>
        <v>46</v>
      </c>
      <c r="CU154" s="215">
        <f>'Volume Data Entry'!NW90</f>
        <v>45</v>
      </c>
      <c r="CV154" s="776">
        <f>'Volume Data Entry'!OE18</f>
        <v>54</v>
      </c>
      <c r="CW154" s="776">
        <f>'Volume Data Entry'!OE90</f>
        <v>39</v>
      </c>
      <c r="CX154" s="776">
        <f>'Volume Data Entry'!OM18</f>
        <v>55</v>
      </c>
      <c r="CY154" s="776">
        <f>'Volume Data Entry'!OM90</f>
        <v>37</v>
      </c>
      <c r="CZ154" s="215">
        <f>'Volume Data Entry'!OU18</f>
        <v>0</v>
      </c>
      <c r="DA154" s="215">
        <f>'Volume Data Entry'!OU90</f>
        <v>0</v>
      </c>
      <c r="DB154" s="776">
        <f>'Volume Data Entry'!PC18</f>
        <v>0</v>
      </c>
      <c r="DC154" s="776">
        <f>'Volume Data Entry'!PC90</f>
        <v>5</v>
      </c>
      <c r="DD154" s="776">
        <f>'Volume Data Entry'!PK18</f>
        <v>4</v>
      </c>
      <c r="DE154" s="776">
        <f>'Volume Data Entry'!PK90</f>
        <v>10</v>
      </c>
      <c r="DF154" s="215">
        <f>'Volume Data Entry'!PS18</f>
        <v>4</v>
      </c>
      <c r="DG154" s="776">
        <f>'Volume Data Entry'!PS90</f>
        <v>4</v>
      </c>
      <c r="DH154" s="776">
        <f>'Volume Data Entry'!QA18</f>
        <v>5</v>
      </c>
      <c r="DI154" s="776">
        <f>'Volume Data Entry'!QA90</f>
        <v>16</v>
      </c>
      <c r="DJ154" s="776">
        <f>'Volume Data Entry'!QI18</f>
        <v>17</v>
      </c>
      <c r="DK154" s="776">
        <f>'Volume Data Entry'!QI90</f>
        <v>10</v>
      </c>
      <c r="DL154" s="215">
        <f>'Volume Data Entry'!QQ18</f>
        <v>15</v>
      </c>
      <c r="DM154" s="776">
        <f>'Volume Data Entry'!QQ90</f>
        <v>19</v>
      </c>
      <c r="DN154" s="774">
        <f t="shared" si="482"/>
        <v>13.666666666666666</v>
      </c>
      <c r="DO154" s="774">
        <f t="shared" si="483"/>
        <v>15.111111111111112</v>
      </c>
      <c r="DP154" s="774">
        <f t="shared" si="484"/>
        <v>14.962962962962964</v>
      </c>
      <c r="DQ154" s="774">
        <f t="shared" si="485"/>
        <v>14.623456790123456</v>
      </c>
      <c r="DR154" s="215">
        <f>'Volume Data Entry'!RO18</f>
        <v>59</v>
      </c>
      <c r="DS154" s="776">
        <f>'Volume Data Entry'!RO90</f>
        <v>56</v>
      </c>
      <c r="DT154" s="774">
        <f>'Volume Data Entry'!RW18</f>
        <v>34</v>
      </c>
      <c r="DU154" s="774">
        <f>'Volume Data Entry'!RW90</f>
        <v>44</v>
      </c>
      <c r="DV154" s="774">
        <f>'Volume Data Entry'!SE18</f>
        <v>44</v>
      </c>
      <c r="DW154" s="774">
        <f>'Volume Data Entry'!SE90</f>
        <v>45</v>
      </c>
      <c r="DX154" s="215">
        <f>'Volume Data Entry'!SM18</f>
        <v>42</v>
      </c>
      <c r="DY154" s="776">
        <f>'Volume Data Entry'!SM90</f>
        <v>34</v>
      </c>
      <c r="DZ154" s="774">
        <f>'Volume Data Entry'!SU18</f>
        <v>27</v>
      </c>
      <c r="EA154" s="774">
        <f>'Volume Data Entry'!SU90</f>
        <v>43</v>
      </c>
      <c r="EB154" s="774">
        <f>'Volume Data Entry'!TC18</f>
        <v>30</v>
      </c>
      <c r="EC154" s="774">
        <f>'Volume Data Entry'!TC90</f>
        <v>37</v>
      </c>
    </row>
    <row r="155" spans="1:138">
      <c r="A155" s="859" t="s">
        <v>48</v>
      </c>
      <c r="B155" s="215">
        <f>'Volume Data Entry'!C56</f>
        <v>15</v>
      </c>
      <c r="C155" s="215">
        <f>'Volume Data Entry'!C117</f>
        <v>37</v>
      </c>
      <c r="D155" s="215">
        <f>'Volume Data Entry'!K56</f>
        <v>11</v>
      </c>
      <c r="E155" s="215">
        <f>'Volume Data Entry'!K117</f>
        <v>6</v>
      </c>
      <c r="F155" s="215">
        <f>'Volume Data Entry'!S56</f>
        <v>10</v>
      </c>
      <c r="G155" s="215">
        <f>'Volume Data Entry'!S117</f>
        <v>17</v>
      </c>
      <c r="H155" s="215">
        <f>'Volume Data Entry'!AA56</f>
        <v>19</v>
      </c>
      <c r="I155" s="215">
        <f>'Volume Data Entry'!AA117</f>
        <v>37</v>
      </c>
      <c r="J155" s="215">
        <f>'Volume Data Entry'!AI56</f>
        <v>10</v>
      </c>
      <c r="K155" s="215">
        <f>'Volume Data Entry'!AI117</f>
        <v>2</v>
      </c>
      <c r="L155" s="215">
        <f>'Volume Data Entry'!AQ56</f>
        <v>0</v>
      </c>
      <c r="M155" s="215">
        <f>'Volume Data Entry'!AQ117</f>
        <v>7</v>
      </c>
      <c r="N155" s="215">
        <f>'Volume Data Entry'!AY56</f>
        <v>13</v>
      </c>
      <c r="O155" s="215">
        <f>'Volume Data Entry'!AY117</f>
        <v>0</v>
      </c>
      <c r="P155" s="215">
        <f>'Volume Data Entry'!BG56</f>
        <v>12</v>
      </c>
      <c r="Q155" s="215">
        <f>'Volume Data Entry'!BG117</f>
        <v>6</v>
      </c>
      <c r="R155" s="215">
        <f>'Volume Data Entry'!BO56</f>
        <v>2</v>
      </c>
      <c r="S155" s="215">
        <f>'Volume Data Entry'!BO117</f>
        <v>8</v>
      </c>
      <c r="T155" s="215">
        <f>'Volume Data Entry'!BW56</f>
        <v>0</v>
      </c>
      <c r="U155" s="215">
        <f>'Volume Data Entry'!BW117</f>
        <v>0</v>
      </c>
      <c r="V155" s="215">
        <f>'Volume Data Entry'!CE56</f>
        <v>0</v>
      </c>
      <c r="W155" s="215">
        <f>'Volume Data Entry'!CE117</f>
        <v>0</v>
      </c>
      <c r="X155" s="215">
        <f>'Volume Data Entry'!CM56</f>
        <v>16</v>
      </c>
      <c r="Y155" s="215">
        <f>'Volume Data Entry'!CM117</f>
        <v>0</v>
      </c>
      <c r="Z155" s="215">
        <f>'Volume Data Entry'!CU56</f>
        <v>12</v>
      </c>
      <c r="AA155" s="215">
        <f>'Volume Data Entry'!CU117</f>
        <v>6</v>
      </c>
      <c r="AB155" s="215">
        <f>'Volume Data Entry'!DC56</f>
        <v>14</v>
      </c>
      <c r="AC155" s="215">
        <f>'Volume Data Entry'!DC117</f>
        <v>0</v>
      </c>
      <c r="AD155" s="215">
        <f>'Volume Data Entry'!DK56</f>
        <v>0</v>
      </c>
      <c r="AE155" s="215">
        <f>'Volume Data Entry'!DK117</f>
        <v>31</v>
      </c>
      <c r="AF155" s="215">
        <f>'Volume Data Entry'!DS56</f>
        <v>0</v>
      </c>
      <c r="AG155" s="215">
        <f>'Volume Data Entry'!DS117</f>
        <v>27</v>
      </c>
      <c r="AH155" s="215">
        <f>'Volume Data Entry'!EA56</f>
        <v>58</v>
      </c>
      <c r="AI155" s="215">
        <f>'Volume Data Entry'!EA117</f>
        <v>36</v>
      </c>
      <c r="AJ155" s="215">
        <f>'Volume Data Entry'!EI56</f>
        <v>64</v>
      </c>
      <c r="AK155" s="215">
        <f>'Volume Data Entry'!EI117</f>
        <v>65</v>
      </c>
      <c r="AL155" s="215">
        <f>'Volume Data Entry'!EQ56</f>
        <v>25</v>
      </c>
      <c r="AM155" s="215">
        <f>'Volume Data Entry'!EQ117</f>
        <v>17</v>
      </c>
      <c r="AN155" s="215">
        <f>'Volume Data Entry'!EY56</f>
        <v>0</v>
      </c>
      <c r="AO155" s="215">
        <f>'Volume Data Entry'!EY117</f>
        <v>0</v>
      </c>
      <c r="AP155" s="215">
        <f>'Volume Data Entry'!FG56</f>
        <v>0</v>
      </c>
      <c r="AQ155" s="215">
        <f>'Volume Data Entry'!FG117</f>
        <v>0</v>
      </c>
      <c r="AR155" s="215">
        <f>'Volume Data Entry'!FO56</f>
        <v>0</v>
      </c>
      <c r="AS155" s="215">
        <f>'Volume Data Entry'!FO117</f>
        <v>0</v>
      </c>
      <c r="AT155" s="215">
        <f>'Volume Data Entry'!FW56</f>
        <v>0</v>
      </c>
      <c r="AU155" s="215">
        <f>'Volume Data Entry'!FW117</f>
        <v>0</v>
      </c>
      <c r="AV155" s="215">
        <f>'Volume Data Entry'!GE56</f>
        <v>0</v>
      </c>
      <c r="AW155" s="215">
        <f>'Volume Data Entry'!GE117</f>
        <v>0</v>
      </c>
      <c r="AX155" s="215">
        <f>'Volume Data Entry'!GM56</f>
        <v>12</v>
      </c>
      <c r="AY155" s="221">
        <f>'Volume Data Entry'!GM117</f>
        <v>5</v>
      </c>
      <c r="AZ155" s="215">
        <f>'Volume Data Entry'!GU56</f>
        <v>16</v>
      </c>
      <c r="BA155" s="221">
        <f>'Volume Data Entry'!GU117</f>
        <v>8</v>
      </c>
      <c r="BB155" s="215">
        <f>'Volume Data Entry'!HC56</f>
        <v>10</v>
      </c>
      <c r="BC155" s="221">
        <f>'Volume Data Entry'!HC117</f>
        <v>7</v>
      </c>
      <c r="BD155" s="215">
        <f>'Volume Data Entry'!HK56</f>
        <v>37</v>
      </c>
      <c r="BE155" s="222">
        <f>'Volume Data Entry'!HK117</f>
        <v>34</v>
      </c>
      <c r="BF155" s="215">
        <f>'Volume Data Entry'!HS56</f>
        <v>25</v>
      </c>
      <c r="BG155" s="222">
        <f>'Volume Data Entry'!HS117</f>
        <v>37</v>
      </c>
      <c r="BH155" s="215">
        <f>'Volume Data Entry'!IA56</f>
        <v>24</v>
      </c>
      <c r="BI155" s="222">
        <f>'Volume Data Entry'!IA117</f>
        <v>8</v>
      </c>
      <c r="BJ155" s="215">
        <f>'Volume Data Entry'!II56</f>
        <v>32</v>
      </c>
      <c r="BK155" s="222">
        <f>'Volume Data Entry'!II117</f>
        <v>20</v>
      </c>
      <c r="BL155" s="215">
        <f>'Volume Data Entry'!IQ56</f>
        <v>38</v>
      </c>
      <c r="BM155" s="222">
        <f>'Volume Data Entry'!IQ117</f>
        <v>49</v>
      </c>
      <c r="BN155" s="215">
        <f>'Volume Data Entry'!IY56</f>
        <v>16</v>
      </c>
      <c r="BO155" s="221">
        <f>'Volume Data Entry'!IY117</f>
        <v>19</v>
      </c>
      <c r="BP155" s="216">
        <f>'Volume Data Entry'!JG56</f>
        <v>12</v>
      </c>
      <c r="BQ155" s="215">
        <f>'Volume Data Entry'!JG117</f>
        <v>14</v>
      </c>
      <c r="BR155" s="221">
        <f>'Volume Data Entry'!JO56</f>
        <v>6</v>
      </c>
      <c r="BS155" s="215">
        <f>'Volume Data Entry'!JO117</f>
        <v>8</v>
      </c>
      <c r="BT155" s="222">
        <f>'Volume Data Entry'!JW56</f>
        <v>44</v>
      </c>
      <c r="BU155" s="222">
        <f>'Volume Data Entry'!JW117</f>
        <v>41</v>
      </c>
      <c r="BV155" s="222">
        <f>'Volume Data Entry'!KE56</f>
        <v>9</v>
      </c>
      <c r="BW155" s="222">
        <f>'Volume Data Entry'!KE117</f>
        <v>15</v>
      </c>
      <c r="BX155" s="222">
        <f>'Volume Data Entry'!KM56</f>
        <v>11</v>
      </c>
      <c r="BY155" s="222">
        <f>'Volume Data Entry'!KM117</f>
        <v>6</v>
      </c>
      <c r="BZ155" s="222">
        <f>'Volume Data Entry'!KU56</f>
        <v>25</v>
      </c>
      <c r="CA155" s="222">
        <f>'Volume Data Entry'!KU117</f>
        <v>21</v>
      </c>
      <c r="CB155" s="190">
        <f>'Volume Data Entry'!LC56</f>
        <v>14</v>
      </c>
      <c r="CC155" s="191">
        <f>'Volume Data Entry'!LC117</f>
        <v>35</v>
      </c>
      <c r="CD155" s="190">
        <f>'Volume Data Entry'!LK56</f>
        <v>37</v>
      </c>
      <c r="CE155" s="191">
        <f>'Volume Data Entry'!LK117</f>
        <v>43</v>
      </c>
      <c r="CF155" s="215">
        <f>'Volume Data Entry'!LS56</f>
        <v>35</v>
      </c>
      <c r="CG155" s="222">
        <f>'Volume Data Entry'!LS117</f>
        <v>45</v>
      </c>
      <c r="CH155" s="215">
        <f>'Volume Data Entry'!MA56</f>
        <v>36</v>
      </c>
      <c r="CI155" s="222">
        <f>'Volume Data Entry'!MA117</f>
        <v>28</v>
      </c>
      <c r="CJ155" s="215">
        <f>'Volume Data Entry'!MI56</f>
        <v>37</v>
      </c>
      <c r="CK155" s="222">
        <f>'Volume Data Entry'!MI117</f>
        <v>45</v>
      </c>
      <c r="CL155" s="215">
        <f>'Volume Data Entry'!MQ56</f>
        <v>29</v>
      </c>
      <c r="CM155" s="215">
        <f>'Volume Data Entry'!MQ117</f>
        <v>24</v>
      </c>
      <c r="CN155" s="215">
        <f>'Volume Data Entry'!MY56</f>
        <v>0</v>
      </c>
      <c r="CO155" s="215">
        <f>'Volume Data Entry'!MY139</f>
        <v>29</v>
      </c>
      <c r="CP155" s="776">
        <f>'Volume Data Entry'!NG67</f>
        <v>21</v>
      </c>
      <c r="CQ155" s="776">
        <f>'Volume Data Entry'!NG139</f>
        <v>11</v>
      </c>
      <c r="CR155" s="776">
        <f>'Volume Data Entry'!NO67</f>
        <v>37</v>
      </c>
      <c r="CS155" s="776">
        <f>'Volume Data Entry'!NO139</f>
        <v>28</v>
      </c>
      <c r="CT155" s="215">
        <f>'Volume Data Entry'!NW67</f>
        <v>8</v>
      </c>
      <c r="CU155" s="215">
        <f>'Volume Data Entry'!NW139</f>
        <v>28</v>
      </c>
      <c r="CV155" s="776">
        <f>'Volume Data Entry'!OE67</f>
        <v>17</v>
      </c>
      <c r="CW155" s="776">
        <f>'Volume Data Entry'!OE139</f>
        <v>15</v>
      </c>
      <c r="CX155" s="776">
        <f>'Volume Data Entry'!OM67</f>
        <v>20</v>
      </c>
      <c r="CY155" s="776">
        <f>'Volume Data Entry'!OM139</f>
        <v>25</v>
      </c>
      <c r="CZ155" s="215">
        <f>'Volume Data Entry'!OU67</f>
        <v>0</v>
      </c>
      <c r="DA155" s="215">
        <f>'Volume Data Entry'!OU139</f>
        <v>0</v>
      </c>
      <c r="DB155" s="776">
        <f>'Volume Data Entry'!PC67</f>
        <v>0</v>
      </c>
      <c r="DC155" s="776">
        <f>'Volume Data Entry'!PC139</f>
        <v>1</v>
      </c>
      <c r="DD155" s="776">
        <f>'Volume Data Entry'!PK67</f>
        <v>2</v>
      </c>
      <c r="DE155" s="776">
        <f>'Volume Data Entry'!PK139</f>
        <v>10</v>
      </c>
      <c r="DF155" s="215">
        <f>'Volume Data Entry'!PS67</f>
        <v>6</v>
      </c>
      <c r="DG155" s="776">
        <f>'Volume Data Entry'!PS139</f>
        <v>2</v>
      </c>
      <c r="DH155" s="776">
        <f>'Volume Data Entry'!QA67</f>
        <v>3</v>
      </c>
      <c r="DI155" s="776">
        <f>'Volume Data Entry'!QA139</f>
        <v>7</v>
      </c>
      <c r="DJ155" s="776">
        <f>'Volume Data Entry'!QI67</f>
        <v>14</v>
      </c>
      <c r="DK155" s="776">
        <f>'Volume Data Entry'!QI139</f>
        <v>11</v>
      </c>
      <c r="DL155" s="215">
        <f>'Volume Data Entry'!QQ67</f>
        <v>18</v>
      </c>
      <c r="DM155" s="776">
        <f>'Volume Data Entry'!QQ139</f>
        <v>16</v>
      </c>
      <c r="DN155" s="774">
        <f>SUM(DH155:DM155)/6</f>
        <v>11.5</v>
      </c>
      <c r="DO155" s="774">
        <f>SUM(DI155:DN155)/6</f>
        <v>12.916666666666666</v>
      </c>
      <c r="DP155" s="774">
        <f>SUM(DJ155:DO155)/6</f>
        <v>13.902777777777779</v>
      </c>
      <c r="DQ155" s="774">
        <f>SUM(DK155:DP155)/6</f>
        <v>13.886574074074076</v>
      </c>
      <c r="DR155" s="215">
        <f>'Volume Data Entry'!RO67</f>
        <v>40</v>
      </c>
      <c r="DS155" s="776">
        <f>'Volume Data Entry'!RO139</f>
        <v>23</v>
      </c>
      <c r="DT155" s="774">
        <f>'Volume Data Entry'!RW67</f>
        <v>30</v>
      </c>
      <c r="DU155" s="774">
        <f>'Volume Data Entry'!RW139</f>
        <v>27</v>
      </c>
      <c r="DV155" s="774">
        <f>'Volume Data Entry'!SE67</f>
        <v>31</v>
      </c>
      <c r="DW155" s="774">
        <f>'Volume Data Entry'!SE139</f>
        <v>22</v>
      </c>
      <c r="DX155" s="215">
        <f>'Volume Data Entry'!SM67</f>
        <v>27</v>
      </c>
      <c r="DY155" s="776">
        <f>'Volume Data Entry'!SM139</f>
        <v>22</v>
      </c>
      <c r="DZ155" s="774">
        <f>'Volume Data Entry'!SU67</f>
        <v>30</v>
      </c>
      <c r="EA155" s="774">
        <f>'Volume Data Entry'!SU139</f>
        <v>31</v>
      </c>
      <c r="EB155" s="774">
        <f>'Volume Data Entry'!TC67</f>
        <v>22</v>
      </c>
      <c r="EC155" s="774">
        <f>'Volume Data Entry'!TC139</f>
        <v>26</v>
      </c>
    </row>
    <row r="156" spans="1:138" s="178" customFormat="1">
      <c r="A156" s="850" t="s">
        <v>186</v>
      </c>
      <c r="B156" s="870">
        <f>SUM(B157:B160)</f>
        <v>50</v>
      </c>
      <c r="C156" s="870">
        <f t="shared" ref="C156:BN156" si="486">SUM(C157:C160)</f>
        <v>129</v>
      </c>
      <c r="D156" s="870">
        <f t="shared" si="486"/>
        <v>60</v>
      </c>
      <c r="E156" s="870">
        <f t="shared" si="486"/>
        <v>51</v>
      </c>
      <c r="F156" s="870">
        <f t="shared" si="486"/>
        <v>4</v>
      </c>
      <c r="G156" s="870">
        <f t="shared" si="486"/>
        <v>11</v>
      </c>
      <c r="H156" s="870">
        <f t="shared" si="486"/>
        <v>43</v>
      </c>
      <c r="I156" s="870">
        <f t="shared" si="486"/>
        <v>62</v>
      </c>
      <c r="J156" s="870">
        <f t="shared" si="486"/>
        <v>2</v>
      </c>
      <c r="K156" s="870">
        <f t="shared" si="486"/>
        <v>3</v>
      </c>
      <c r="L156" s="870">
        <f t="shared" si="486"/>
        <v>0</v>
      </c>
      <c r="M156" s="870">
        <f t="shared" si="486"/>
        <v>71</v>
      </c>
      <c r="N156" s="870">
        <f t="shared" si="486"/>
        <v>52</v>
      </c>
      <c r="O156" s="870">
        <f t="shared" si="486"/>
        <v>0</v>
      </c>
      <c r="P156" s="870">
        <f t="shared" si="486"/>
        <v>88</v>
      </c>
      <c r="Q156" s="870">
        <f t="shared" si="486"/>
        <v>51</v>
      </c>
      <c r="R156" s="870">
        <f t="shared" si="486"/>
        <v>23</v>
      </c>
      <c r="S156" s="870">
        <f t="shared" si="486"/>
        <v>46</v>
      </c>
      <c r="T156" s="870">
        <f t="shared" si="486"/>
        <v>0</v>
      </c>
      <c r="U156" s="870">
        <f t="shared" si="486"/>
        <v>0</v>
      </c>
      <c r="V156" s="870">
        <f t="shared" si="486"/>
        <v>0</v>
      </c>
      <c r="W156" s="870">
        <f t="shared" si="486"/>
        <v>0</v>
      </c>
      <c r="X156" s="870">
        <f t="shared" si="486"/>
        <v>82</v>
      </c>
      <c r="Y156" s="870">
        <f t="shared" si="486"/>
        <v>0</v>
      </c>
      <c r="Z156" s="870">
        <f t="shared" si="486"/>
        <v>88</v>
      </c>
      <c r="AA156" s="870">
        <f t="shared" si="486"/>
        <v>36</v>
      </c>
      <c r="AB156" s="870">
        <f t="shared" si="486"/>
        <v>43</v>
      </c>
      <c r="AC156" s="870">
        <f t="shared" si="486"/>
        <v>0</v>
      </c>
      <c r="AD156" s="870">
        <f t="shared" si="486"/>
        <v>1</v>
      </c>
      <c r="AE156" s="870">
        <f t="shared" si="486"/>
        <v>68</v>
      </c>
      <c r="AF156" s="870">
        <f t="shared" si="486"/>
        <v>0</v>
      </c>
      <c r="AG156" s="870">
        <f t="shared" si="486"/>
        <v>123</v>
      </c>
      <c r="AH156" s="870">
        <f t="shared" si="486"/>
        <v>30</v>
      </c>
      <c r="AI156" s="870">
        <f t="shared" si="486"/>
        <v>100</v>
      </c>
      <c r="AJ156" s="870">
        <f t="shared" si="486"/>
        <v>126</v>
      </c>
      <c r="AK156" s="870">
        <f t="shared" si="486"/>
        <v>80</v>
      </c>
      <c r="AL156" s="870">
        <f t="shared" si="486"/>
        <v>75</v>
      </c>
      <c r="AM156" s="870">
        <f t="shared" si="486"/>
        <v>0</v>
      </c>
      <c r="AN156" s="870">
        <f t="shared" si="486"/>
        <v>0</v>
      </c>
      <c r="AO156" s="870">
        <f t="shared" si="486"/>
        <v>0</v>
      </c>
      <c r="AP156" s="870">
        <f t="shared" si="486"/>
        <v>0</v>
      </c>
      <c r="AQ156" s="870">
        <f t="shared" si="486"/>
        <v>0</v>
      </c>
      <c r="AR156" s="870">
        <f t="shared" si="486"/>
        <v>0</v>
      </c>
      <c r="AS156" s="870">
        <f t="shared" si="486"/>
        <v>0</v>
      </c>
      <c r="AT156" s="870">
        <f t="shared" si="486"/>
        <v>0</v>
      </c>
      <c r="AU156" s="870">
        <f t="shared" si="486"/>
        <v>0</v>
      </c>
      <c r="AV156" s="870">
        <f t="shared" si="486"/>
        <v>0</v>
      </c>
      <c r="AW156" s="870">
        <f t="shared" si="486"/>
        <v>0</v>
      </c>
      <c r="AX156" s="870">
        <f t="shared" si="486"/>
        <v>63</v>
      </c>
      <c r="AY156" s="870">
        <f t="shared" si="486"/>
        <v>34</v>
      </c>
      <c r="AZ156" s="870">
        <f t="shared" si="486"/>
        <v>41</v>
      </c>
      <c r="BA156" s="870">
        <f t="shared" si="486"/>
        <v>38</v>
      </c>
      <c r="BB156" s="870">
        <f t="shared" si="486"/>
        <v>3</v>
      </c>
      <c r="BC156" s="870">
        <f t="shared" si="486"/>
        <v>6</v>
      </c>
      <c r="BD156" s="870">
        <f t="shared" si="486"/>
        <v>145</v>
      </c>
      <c r="BE156" s="870">
        <f t="shared" si="486"/>
        <v>203</v>
      </c>
      <c r="BF156" s="870">
        <f t="shared" si="486"/>
        <v>170</v>
      </c>
      <c r="BG156" s="870">
        <f t="shared" si="486"/>
        <v>177</v>
      </c>
      <c r="BH156" s="870">
        <f t="shared" si="486"/>
        <v>123</v>
      </c>
      <c r="BI156" s="870">
        <f t="shared" si="486"/>
        <v>147</v>
      </c>
      <c r="BJ156" s="870">
        <f t="shared" si="486"/>
        <v>140</v>
      </c>
      <c r="BK156" s="870">
        <f t="shared" si="486"/>
        <v>113</v>
      </c>
      <c r="BL156" s="870">
        <f t="shared" si="486"/>
        <v>186</v>
      </c>
      <c r="BM156" s="870">
        <f t="shared" si="486"/>
        <v>88</v>
      </c>
      <c r="BN156" s="870">
        <f t="shared" si="486"/>
        <v>110</v>
      </c>
      <c r="BO156" s="870">
        <f t="shared" ref="BO156:DW156" si="487">SUM(BO157:BO160)</f>
        <v>107</v>
      </c>
      <c r="BP156" s="870">
        <f t="shared" si="487"/>
        <v>17</v>
      </c>
      <c r="BQ156" s="870">
        <f t="shared" si="487"/>
        <v>21</v>
      </c>
      <c r="BR156" s="870">
        <f t="shared" si="487"/>
        <v>9</v>
      </c>
      <c r="BS156" s="870">
        <f t="shared" si="487"/>
        <v>9</v>
      </c>
      <c r="BT156" s="870">
        <f t="shared" si="487"/>
        <v>200</v>
      </c>
      <c r="BU156" s="870">
        <f t="shared" si="487"/>
        <v>97</v>
      </c>
      <c r="BV156" s="870">
        <f t="shared" si="487"/>
        <v>20</v>
      </c>
      <c r="BW156" s="870">
        <f t="shared" si="487"/>
        <v>20</v>
      </c>
      <c r="BX156" s="870">
        <f t="shared" si="487"/>
        <v>29</v>
      </c>
      <c r="BY156" s="870">
        <f t="shared" si="487"/>
        <v>49</v>
      </c>
      <c r="BZ156" s="870">
        <f t="shared" si="487"/>
        <v>138</v>
      </c>
      <c r="CA156" s="870">
        <f t="shared" si="487"/>
        <v>133</v>
      </c>
      <c r="CB156" s="870">
        <f t="shared" si="487"/>
        <v>142</v>
      </c>
      <c r="CC156" s="870">
        <f t="shared" si="487"/>
        <v>101</v>
      </c>
      <c r="CD156" s="870">
        <f t="shared" si="487"/>
        <v>165</v>
      </c>
      <c r="CE156" s="870">
        <f t="shared" si="487"/>
        <v>158</v>
      </c>
      <c r="CF156" s="870">
        <f t="shared" si="487"/>
        <v>116</v>
      </c>
      <c r="CG156" s="870">
        <f t="shared" si="487"/>
        <v>106</v>
      </c>
      <c r="CH156" s="870">
        <f t="shared" si="487"/>
        <v>110</v>
      </c>
      <c r="CI156" s="870">
        <f t="shared" si="487"/>
        <v>100</v>
      </c>
      <c r="CJ156" s="870">
        <f t="shared" si="487"/>
        <v>165</v>
      </c>
      <c r="CK156" s="870">
        <f t="shared" si="487"/>
        <v>195</v>
      </c>
      <c r="CL156" s="870">
        <f t="shared" si="487"/>
        <v>142</v>
      </c>
      <c r="CM156" s="870">
        <f t="shared" si="487"/>
        <v>166</v>
      </c>
      <c r="CN156" s="870">
        <f t="shared" si="487"/>
        <v>140</v>
      </c>
      <c r="CO156" s="870">
        <f t="shared" si="487"/>
        <v>209</v>
      </c>
      <c r="CP156" s="870">
        <f t="shared" si="487"/>
        <v>167</v>
      </c>
      <c r="CQ156" s="870">
        <f t="shared" si="487"/>
        <v>160</v>
      </c>
      <c r="CR156" s="870">
        <f t="shared" si="487"/>
        <v>166</v>
      </c>
      <c r="CS156" s="870">
        <f t="shared" si="487"/>
        <v>148</v>
      </c>
      <c r="CT156" s="870">
        <f t="shared" si="487"/>
        <v>172</v>
      </c>
      <c r="CU156" s="870">
        <f t="shared" si="487"/>
        <v>138</v>
      </c>
      <c r="CV156" s="870">
        <f t="shared" si="487"/>
        <v>111</v>
      </c>
      <c r="CW156" s="870">
        <f t="shared" si="487"/>
        <v>121</v>
      </c>
      <c r="CX156" s="870">
        <f t="shared" si="487"/>
        <v>131</v>
      </c>
      <c r="CY156" s="870">
        <f t="shared" si="487"/>
        <v>138</v>
      </c>
      <c r="CZ156" s="870">
        <f t="shared" si="487"/>
        <v>0</v>
      </c>
      <c r="DA156" s="870">
        <f t="shared" si="487"/>
        <v>0</v>
      </c>
      <c r="DB156" s="870">
        <f t="shared" si="487"/>
        <v>0</v>
      </c>
      <c r="DC156" s="870">
        <f t="shared" si="487"/>
        <v>11</v>
      </c>
      <c r="DD156" s="870">
        <f t="shared" si="487"/>
        <v>6</v>
      </c>
      <c r="DE156" s="870">
        <f t="shared" si="487"/>
        <v>43</v>
      </c>
      <c r="DF156" s="870">
        <f t="shared" si="487"/>
        <v>17</v>
      </c>
      <c r="DG156" s="870">
        <f t="shared" si="487"/>
        <v>12</v>
      </c>
      <c r="DH156" s="870">
        <f t="shared" si="487"/>
        <v>27</v>
      </c>
      <c r="DI156" s="870">
        <f t="shared" si="487"/>
        <v>43</v>
      </c>
      <c r="DJ156" s="870">
        <f t="shared" si="487"/>
        <v>62</v>
      </c>
      <c r="DK156" s="870">
        <f t="shared" si="487"/>
        <v>42</v>
      </c>
      <c r="DL156" s="870">
        <f t="shared" si="487"/>
        <v>75</v>
      </c>
      <c r="DM156" s="870">
        <f t="shared" si="487"/>
        <v>75</v>
      </c>
      <c r="DN156" s="870">
        <f t="shared" si="487"/>
        <v>54</v>
      </c>
      <c r="DO156" s="870">
        <f t="shared" si="487"/>
        <v>58.5</v>
      </c>
      <c r="DP156" s="870">
        <f t="shared" si="487"/>
        <v>61.083333333333329</v>
      </c>
      <c r="DQ156" s="870">
        <f t="shared" si="487"/>
        <v>60.930555555555557</v>
      </c>
      <c r="DR156" s="870">
        <f t="shared" si="487"/>
        <v>105</v>
      </c>
      <c r="DS156" s="870">
        <f t="shared" si="487"/>
        <v>96</v>
      </c>
      <c r="DT156" s="870">
        <f t="shared" si="487"/>
        <v>79</v>
      </c>
      <c r="DU156" s="870">
        <f t="shared" si="487"/>
        <v>136</v>
      </c>
      <c r="DV156" s="870">
        <f t="shared" si="487"/>
        <v>144</v>
      </c>
      <c r="DW156" s="872">
        <f t="shared" si="487"/>
        <v>98</v>
      </c>
      <c r="DX156" s="870">
        <f t="shared" ref="DX156:EC156" si="488">SUM(DX157:DX160)</f>
        <v>110</v>
      </c>
      <c r="DY156" s="870">
        <f t="shared" si="488"/>
        <v>95</v>
      </c>
      <c r="DZ156" s="870">
        <f t="shared" si="488"/>
        <v>74</v>
      </c>
      <c r="EA156" s="870">
        <f t="shared" si="488"/>
        <v>95</v>
      </c>
      <c r="EB156" s="870">
        <f t="shared" si="488"/>
        <v>121</v>
      </c>
      <c r="EC156" s="872">
        <f t="shared" si="488"/>
        <v>97</v>
      </c>
      <c r="ED156" s="852"/>
      <c r="EE156" s="852"/>
      <c r="EF156" s="852"/>
      <c r="EG156" s="852"/>
      <c r="EH156" s="852"/>
    </row>
    <row r="157" spans="1:138">
      <c r="A157" s="193" t="s">
        <v>30</v>
      </c>
      <c r="B157" s="215">
        <f>'Volume Data Entry'!C22</f>
        <v>23</v>
      </c>
      <c r="C157" s="215">
        <f>'Volume Data Entry'!C83</f>
        <v>65</v>
      </c>
      <c r="D157" s="215">
        <f>'Volume Data Entry'!K22</f>
        <v>31</v>
      </c>
      <c r="E157" s="215">
        <f>'Volume Data Entry'!K83</f>
        <v>24</v>
      </c>
      <c r="F157" s="215">
        <f>'Volume Data Entry'!S22</f>
        <v>0</v>
      </c>
      <c r="G157" s="215">
        <f>'Volume Data Entry'!S83</f>
        <v>0</v>
      </c>
      <c r="H157" s="215">
        <f>'Volume Data Entry'!AA22</f>
        <v>16</v>
      </c>
      <c r="I157" s="215">
        <f>'Volume Data Entry'!AA83</f>
        <v>33</v>
      </c>
      <c r="J157" s="215">
        <f>'Volume Data Entry'!AI22</f>
        <v>0</v>
      </c>
      <c r="K157" s="215">
        <f>'Volume Data Entry'!AI83</f>
        <v>0</v>
      </c>
      <c r="L157" s="215">
        <f>'Volume Data Entry'!AQ22</f>
        <v>0</v>
      </c>
      <c r="M157" s="215">
        <f>'Volume Data Entry'!AQ83</f>
        <v>31</v>
      </c>
      <c r="N157" s="215">
        <f>'Volume Data Entry'!AY22</f>
        <v>19</v>
      </c>
      <c r="O157" s="215">
        <f>'Volume Data Entry'!AY83</f>
        <v>0</v>
      </c>
      <c r="P157" s="215">
        <f>'Volume Data Entry'!BG22</f>
        <v>38</v>
      </c>
      <c r="Q157" s="215">
        <f>'Volume Data Entry'!BG83</f>
        <v>15</v>
      </c>
      <c r="R157" s="215">
        <f>'Volume Data Entry'!BO22</f>
        <v>4</v>
      </c>
      <c r="S157" s="215">
        <f>'Volume Data Entry'!BO83</f>
        <v>19</v>
      </c>
      <c r="T157" s="215">
        <f>'Volume Data Entry'!BW22</f>
        <v>0</v>
      </c>
      <c r="U157" s="215">
        <f>'Volume Data Entry'!BW83</f>
        <v>0</v>
      </c>
      <c r="V157" s="215">
        <f>'Volume Data Entry'!CE22</f>
        <v>0</v>
      </c>
      <c r="W157" s="215">
        <f>'Volume Data Entry'!CE83</f>
        <v>0</v>
      </c>
      <c r="X157" s="215">
        <f>'Volume Data Entry'!CM22</f>
        <v>37</v>
      </c>
      <c r="Y157" s="215">
        <f>'Volume Data Entry'!CM83</f>
        <v>0</v>
      </c>
      <c r="Z157" s="215">
        <f>'Volume Data Entry'!CU22</f>
        <v>38</v>
      </c>
      <c r="AA157" s="215">
        <f>'Volume Data Entry'!CU83</f>
        <v>15</v>
      </c>
      <c r="AB157" s="215">
        <f>'Volume Data Entry'!DC22</f>
        <v>17</v>
      </c>
      <c r="AC157" s="215">
        <f>'Volume Data Entry'!DC83</f>
        <v>0</v>
      </c>
      <c r="AD157" s="215">
        <f>'Volume Data Entry'!DK22</f>
        <v>1</v>
      </c>
      <c r="AE157" s="215">
        <f>'Volume Data Entry'!DK83</f>
        <v>0</v>
      </c>
      <c r="AF157" s="215">
        <f>'Volume Data Entry'!DS22</f>
        <v>0</v>
      </c>
      <c r="AG157" s="215">
        <f>'Volume Data Entry'!DS83</f>
        <v>49</v>
      </c>
      <c r="AH157" s="215">
        <f>'Volume Data Entry'!EA22</f>
        <v>21</v>
      </c>
      <c r="AI157" s="215">
        <f>'Volume Data Entry'!EA83</f>
        <v>15</v>
      </c>
      <c r="AJ157" s="215">
        <f>'Volume Data Entry'!EI22</f>
        <v>36</v>
      </c>
      <c r="AK157" s="215">
        <f>'Volume Data Entry'!EI83</f>
        <v>27</v>
      </c>
      <c r="AL157" s="215">
        <f>'Volume Data Entry'!EQ22</f>
        <v>20</v>
      </c>
      <c r="AM157" s="215">
        <f>'Volume Data Entry'!EQ83</f>
        <v>0</v>
      </c>
      <c r="AN157" s="215">
        <f>'Volume Data Entry'!EY22</f>
        <v>0</v>
      </c>
      <c r="AO157" s="215">
        <f>'Volume Data Entry'!EY83</f>
        <v>0</v>
      </c>
      <c r="AP157" s="215">
        <f>'Volume Data Entry'!FG22</f>
        <v>0</v>
      </c>
      <c r="AQ157" s="215">
        <f>'Volume Data Entry'!FG83</f>
        <v>0</v>
      </c>
      <c r="AR157" s="215">
        <f>'Volume Data Entry'!FO22</f>
        <v>0</v>
      </c>
      <c r="AS157" s="215">
        <f>'Volume Data Entry'!FO83</f>
        <v>0</v>
      </c>
      <c r="AT157" s="215">
        <f>'Volume Data Entry'!FW22</f>
        <v>0</v>
      </c>
      <c r="AU157" s="215">
        <f>'Volume Data Entry'!FW83</f>
        <v>0</v>
      </c>
      <c r="AV157" s="215">
        <f>'Volume Data Entry'!GE22</f>
        <v>0</v>
      </c>
      <c r="AW157" s="215">
        <f>'Volume Data Entry'!GE83</f>
        <v>0</v>
      </c>
      <c r="AX157" s="215">
        <f>'Volume Data Entry'!GM22</f>
        <v>13</v>
      </c>
      <c r="AY157" s="215">
        <f>'Volume Data Entry'!GM83</f>
        <v>13</v>
      </c>
      <c r="AZ157" s="215">
        <f>'Volume Data Entry'!GU22</f>
        <v>15</v>
      </c>
      <c r="BA157" s="216">
        <f>'Volume Data Entry'!GU83</f>
        <v>22</v>
      </c>
      <c r="BB157" s="215">
        <f>'Volume Data Entry'!HC22</f>
        <v>0</v>
      </c>
      <c r="BC157" s="216">
        <f>'Volume Data Entry'!HC83</f>
        <v>0</v>
      </c>
      <c r="BD157" s="215">
        <f>'Volume Data Entry'!HK22</f>
        <v>79</v>
      </c>
      <c r="BE157" s="215">
        <f>'Volume Data Entry'!HK83</f>
        <v>105</v>
      </c>
      <c r="BF157" s="215">
        <f>'Volume Data Entry'!HS22</f>
        <v>78</v>
      </c>
      <c r="BG157" s="215">
        <f>'Volume Data Entry'!HS83</f>
        <v>86</v>
      </c>
      <c r="BH157" s="215">
        <f>'Volume Data Entry'!IA22</f>
        <v>44</v>
      </c>
      <c r="BI157" s="215">
        <f>'Volume Data Entry'!IA83</f>
        <v>84</v>
      </c>
      <c r="BJ157" s="215">
        <f>'Volume Data Entry'!II22</f>
        <v>63</v>
      </c>
      <c r="BK157" s="215">
        <f>'Volume Data Entry'!II83</f>
        <v>30</v>
      </c>
      <c r="BL157" s="215">
        <f>'Volume Data Entry'!IQ22</f>
        <v>103</v>
      </c>
      <c r="BM157" s="215">
        <f>'Volume Data Entry'!IQ83</f>
        <v>31</v>
      </c>
      <c r="BN157" s="215">
        <f>'Volume Data Entry'!IY22</f>
        <v>50</v>
      </c>
      <c r="BO157" s="216">
        <f>'Volume Data Entry'!IY83</f>
        <v>40</v>
      </c>
      <c r="BP157" s="216">
        <f>'Volume Data Entry'!JG22</f>
        <v>5</v>
      </c>
      <c r="BQ157" s="215">
        <f>'Volume Data Entry'!JG83</f>
        <v>5</v>
      </c>
      <c r="BR157" s="221">
        <f>'Volume Data Entry'!JO22</f>
        <v>1</v>
      </c>
      <c r="BS157" s="215">
        <f>'Volume Data Entry'!JO83</f>
        <v>3</v>
      </c>
      <c r="BT157" s="222">
        <f>'Volume Data Entry'!JW22</f>
        <v>85</v>
      </c>
      <c r="BU157" s="215">
        <f>'Volume Data Entry'!JW83</f>
        <v>31</v>
      </c>
      <c r="BV157" s="222">
        <f>'Volume Data Entry'!KE22</f>
        <v>7</v>
      </c>
      <c r="BW157" s="215">
        <f>'Volume Data Entry'!KE83</f>
        <v>6</v>
      </c>
      <c r="BX157" s="222">
        <f>'Volume Data Entry'!KM22</f>
        <v>0</v>
      </c>
      <c r="BY157" s="215">
        <f>'Volume Data Entry'!KM83</f>
        <v>22</v>
      </c>
      <c r="BZ157" s="222">
        <f>'Volume Data Entry'!KU22</f>
        <v>80</v>
      </c>
      <c r="CA157" s="215">
        <f>'Volume Data Entry'!KU83</f>
        <v>63</v>
      </c>
      <c r="CB157" s="190">
        <f>'Volume Data Entry'!LC22</f>
        <v>72</v>
      </c>
      <c r="CC157" s="191">
        <f>'Volume Data Entry'!LC83</f>
        <v>58</v>
      </c>
      <c r="CD157" s="190">
        <f>'Volume Data Entry'!LK22</f>
        <v>94</v>
      </c>
      <c r="CE157" s="191">
        <f>'Volume Data Entry'!LK83</f>
        <v>69</v>
      </c>
      <c r="CF157" s="215">
        <f>'Volume Data Entry'!LS22</f>
        <v>43</v>
      </c>
      <c r="CG157" s="215">
        <f>'Volume Data Entry'!LS83</f>
        <v>52</v>
      </c>
      <c r="CH157" s="215">
        <f>'Volume Data Entry'!MA22</f>
        <v>51</v>
      </c>
      <c r="CI157" s="215">
        <f>'Volume Data Entry'!MA83</f>
        <v>55</v>
      </c>
      <c r="CJ157" s="215">
        <f>'Volume Data Entry'!MI22</f>
        <v>70</v>
      </c>
      <c r="CK157" s="215">
        <f>'Volume Data Entry'!MI83</f>
        <v>95</v>
      </c>
      <c r="CL157" s="215">
        <f>'Volume Data Entry'!MQ22</f>
        <v>55</v>
      </c>
      <c r="CM157" s="215">
        <f>'Volume Data Entry'!MQ83</f>
        <v>55</v>
      </c>
      <c r="CN157" s="215">
        <f>'Volume Data Entry'!MY22</f>
        <v>56</v>
      </c>
      <c r="CO157" s="215">
        <f>'Volume Data Entry'!MY94</f>
        <v>78</v>
      </c>
      <c r="CP157" s="776">
        <f>'Volume Data Entry'!NG22</f>
        <v>67</v>
      </c>
      <c r="CQ157" s="776">
        <f>'Volume Data Entry'!NG94</f>
        <v>59</v>
      </c>
      <c r="CR157" s="776">
        <f>'Volume Data Entry'!NO22</f>
        <v>76</v>
      </c>
      <c r="CS157" s="776">
        <f>'Volume Data Entry'!NO94</f>
        <v>71</v>
      </c>
      <c r="CT157" s="215">
        <f>'Volume Data Entry'!NW22</f>
        <v>88</v>
      </c>
      <c r="CU157" s="215">
        <f>'Volume Data Entry'!NW94</f>
        <v>66</v>
      </c>
      <c r="CV157" s="776">
        <f>'Volume Data Entry'!OE22</f>
        <v>50</v>
      </c>
      <c r="CW157" s="776">
        <f>'Volume Data Entry'!OE94</f>
        <v>58</v>
      </c>
      <c r="CX157" s="776">
        <f>'Volume Data Entry'!OM22</f>
        <v>68</v>
      </c>
      <c r="CY157" s="776">
        <f>'Volume Data Entry'!OM94</f>
        <v>59</v>
      </c>
      <c r="CZ157" s="215">
        <f>'Volume Data Entry'!OU22</f>
        <v>0</v>
      </c>
      <c r="DA157" s="215">
        <f>'Volume Data Entry'!OU94</f>
        <v>0</v>
      </c>
      <c r="DB157" s="776">
        <f>'Volume Data Entry'!PC22</f>
        <v>0</v>
      </c>
      <c r="DC157" s="776">
        <f>'Volume Data Entry'!PC94</f>
        <v>3</v>
      </c>
      <c r="DD157" s="776">
        <f>'Volume Data Entry'!PK22</f>
        <v>2</v>
      </c>
      <c r="DE157" s="776">
        <f>'Volume Data Entry'!PK94</f>
        <v>5</v>
      </c>
      <c r="DF157" s="215">
        <f>'Volume Data Entry'!PS22</f>
        <v>5</v>
      </c>
      <c r="DG157" s="776">
        <f>'Volume Data Entry'!PS94</f>
        <v>2</v>
      </c>
      <c r="DH157" s="776">
        <f>'Volume Data Entry'!QA22</f>
        <v>8</v>
      </c>
      <c r="DI157" s="776">
        <f>'Volume Data Entry'!QA94</f>
        <v>14</v>
      </c>
      <c r="DJ157" s="776">
        <f>'Volume Data Entry'!QI22</f>
        <v>14</v>
      </c>
      <c r="DK157" s="776">
        <f>'Volume Data Entry'!QI94</f>
        <v>10</v>
      </c>
      <c r="DL157" s="215">
        <f>'Volume Data Entry'!QQ22</f>
        <v>20</v>
      </c>
      <c r="DM157" s="776">
        <f>'Volume Data Entry'!QQ94</f>
        <v>24</v>
      </c>
      <c r="DN157" s="774">
        <f t="shared" si="482"/>
        <v>15</v>
      </c>
      <c r="DO157" s="774">
        <f t="shared" si="483"/>
        <v>16.166666666666668</v>
      </c>
      <c r="DP157" s="774">
        <f t="shared" si="484"/>
        <v>16.527777777777779</v>
      </c>
      <c r="DQ157" s="774">
        <f t="shared" si="485"/>
        <v>16.949074074074076</v>
      </c>
      <c r="DR157" s="215">
        <f>'Volume Data Entry'!RO22</f>
        <v>51</v>
      </c>
      <c r="DS157" s="776">
        <f>'Volume Data Entry'!RO94</f>
        <v>53</v>
      </c>
      <c r="DT157" s="774">
        <f>'Volume Data Entry'!RW22</f>
        <v>43</v>
      </c>
      <c r="DU157" s="774">
        <f>'Volume Data Entry'!RW94</f>
        <v>64</v>
      </c>
      <c r="DV157" s="774">
        <f>'Volume Data Entry'!SE22</f>
        <v>66</v>
      </c>
      <c r="DW157" s="774">
        <f>'Volume Data Entry'!SE94</f>
        <v>47</v>
      </c>
      <c r="DX157" s="215">
        <f>'Volume Data Entry'!SM22</f>
        <v>45</v>
      </c>
      <c r="DY157" s="776">
        <f>'Volume Data Entry'!SM94</f>
        <v>46</v>
      </c>
      <c r="DZ157" s="774">
        <f>'Volume Data Entry'!SU22</f>
        <v>38</v>
      </c>
      <c r="EA157" s="774">
        <f>'Volume Data Entry'!SU94</f>
        <v>42</v>
      </c>
      <c r="EB157" s="774">
        <f>'Volume Data Entry'!TC22</f>
        <v>55</v>
      </c>
      <c r="EC157" s="774">
        <f>'Volume Data Entry'!TC94</f>
        <v>47</v>
      </c>
    </row>
    <row r="158" spans="1:138">
      <c r="A158" s="192" t="s">
        <v>31</v>
      </c>
      <c r="B158" s="215">
        <f>'Volume Data Entry'!C26</f>
        <v>17</v>
      </c>
      <c r="C158" s="215">
        <f>'Volume Data Entry'!C87</f>
        <v>38</v>
      </c>
      <c r="D158" s="215">
        <f>'Volume Data Entry'!K26</f>
        <v>18</v>
      </c>
      <c r="E158" s="215">
        <f>'Volume Data Entry'!K87</f>
        <v>24</v>
      </c>
      <c r="F158" s="215">
        <f>'Volume Data Entry'!S26</f>
        <v>1</v>
      </c>
      <c r="G158" s="215">
        <f>'Volume Data Entry'!S87</f>
        <v>2</v>
      </c>
      <c r="H158" s="215">
        <f>'Volume Data Entry'!AA26</f>
        <v>25</v>
      </c>
      <c r="I158" s="215">
        <f>'Volume Data Entry'!AA87</f>
        <v>25</v>
      </c>
      <c r="J158" s="215">
        <f>'Volume Data Entry'!AI26</f>
        <v>1</v>
      </c>
      <c r="K158" s="215">
        <f>'Volume Data Entry'!AI87</f>
        <v>0</v>
      </c>
      <c r="L158" s="215">
        <f>'Volume Data Entry'!AQ26</f>
        <v>0</v>
      </c>
      <c r="M158" s="215">
        <f>'Volume Data Entry'!AQ87</f>
        <v>29</v>
      </c>
      <c r="N158" s="215">
        <f>'Volume Data Entry'!AY26</f>
        <v>28</v>
      </c>
      <c r="O158" s="215">
        <f>'Volume Data Entry'!AY87</f>
        <v>0</v>
      </c>
      <c r="P158" s="215">
        <f>'Volume Data Entry'!BG26</f>
        <v>30</v>
      </c>
      <c r="Q158" s="215">
        <f>'Volume Data Entry'!BG87</f>
        <v>28</v>
      </c>
      <c r="R158" s="215">
        <f>'Volume Data Entry'!BO26</f>
        <v>18</v>
      </c>
      <c r="S158" s="215">
        <f>'Volume Data Entry'!BO87</f>
        <v>21</v>
      </c>
      <c r="T158" s="215">
        <f>'Volume Data Entry'!BW26</f>
        <v>0</v>
      </c>
      <c r="U158" s="215">
        <f>'Volume Data Entry'!BW87</f>
        <v>0</v>
      </c>
      <c r="V158" s="215">
        <f>'Volume Data Entry'!CE26</f>
        <v>0</v>
      </c>
      <c r="W158" s="215">
        <f>'Volume Data Entry'!CE87</f>
        <v>0</v>
      </c>
      <c r="X158" s="215">
        <f>'Volume Data Entry'!CM26</f>
        <v>20</v>
      </c>
      <c r="Y158" s="215">
        <f>'Volume Data Entry'!CM87</f>
        <v>0</v>
      </c>
      <c r="Z158" s="215">
        <f>'Volume Data Entry'!CU26</f>
        <v>30</v>
      </c>
      <c r="AA158" s="215">
        <f>'Volume Data Entry'!CU87</f>
        <v>13</v>
      </c>
      <c r="AB158" s="215">
        <f>'Volume Data Entry'!DC26</f>
        <v>19</v>
      </c>
      <c r="AC158" s="215">
        <f>'Volume Data Entry'!DC87</f>
        <v>0</v>
      </c>
      <c r="AD158" s="215">
        <f>'Volume Data Entry'!DK26</f>
        <v>0</v>
      </c>
      <c r="AE158" s="215">
        <f>'Volume Data Entry'!DK87</f>
        <v>51</v>
      </c>
      <c r="AF158" s="215">
        <f>'Volume Data Entry'!DS26</f>
        <v>0</v>
      </c>
      <c r="AG158" s="215">
        <f>'Volume Data Entry'!DS87</f>
        <v>50</v>
      </c>
      <c r="AH158" s="215">
        <f>'Volume Data Entry'!EA26</f>
        <v>0</v>
      </c>
      <c r="AI158" s="215">
        <f>'Volume Data Entry'!EA87</f>
        <v>72</v>
      </c>
      <c r="AJ158" s="215">
        <f>'Volume Data Entry'!EI26</f>
        <v>63</v>
      </c>
      <c r="AK158" s="215">
        <f>'Volume Data Entry'!EI87</f>
        <v>29</v>
      </c>
      <c r="AL158" s="215">
        <f>'Volume Data Entry'!EQ26</f>
        <v>32</v>
      </c>
      <c r="AM158" s="215">
        <f>'Volume Data Entry'!EQ87</f>
        <v>0</v>
      </c>
      <c r="AN158" s="215">
        <f>'Volume Data Entry'!EY26</f>
        <v>0</v>
      </c>
      <c r="AO158" s="215">
        <f>'Volume Data Entry'!EY87</f>
        <v>0</v>
      </c>
      <c r="AP158" s="215">
        <f>'Volume Data Entry'!FG26</f>
        <v>0</v>
      </c>
      <c r="AQ158" s="215">
        <f>'Volume Data Entry'!FG87</f>
        <v>0</v>
      </c>
      <c r="AR158" s="215">
        <f>'Volume Data Entry'!FO26</f>
        <v>0</v>
      </c>
      <c r="AS158" s="215">
        <f>'Volume Data Entry'!FO87</f>
        <v>0</v>
      </c>
      <c r="AT158" s="215">
        <f>'Volume Data Entry'!FW26</f>
        <v>0</v>
      </c>
      <c r="AU158" s="215">
        <f>'Volume Data Entry'!FW87</f>
        <v>0</v>
      </c>
      <c r="AV158" s="215">
        <f>'Volume Data Entry'!GE26</f>
        <v>0</v>
      </c>
      <c r="AW158" s="215">
        <f>'Volume Data Entry'!GE87</f>
        <v>0</v>
      </c>
      <c r="AX158" s="215">
        <f>'Volume Data Entry'!GM26</f>
        <v>30</v>
      </c>
      <c r="AY158" s="215">
        <f>'Volume Data Entry'!GM87</f>
        <v>13</v>
      </c>
      <c r="AZ158" s="215">
        <f>'Volume Data Entry'!GU26</f>
        <v>19</v>
      </c>
      <c r="BA158" s="216">
        <f>'Volume Data Entry'!GU87</f>
        <v>6</v>
      </c>
      <c r="BB158" s="215">
        <f>'Volume Data Entry'!HC26</f>
        <v>0</v>
      </c>
      <c r="BC158" s="216">
        <f>'Volume Data Entry'!HC87</f>
        <v>0</v>
      </c>
      <c r="BD158" s="215">
        <f>'Volume Data Entry'!HK26</f>
        <v>51</v>
      </c>
      <c r="BE158" s="215">
        <f>'Volume Data Entry'!HK87</f>
        <v>60</v>
      </c>
      <c r="BF158" s="215">
        <f>'Volume Data Entry'!HS26</f>
        <v>54</v>
      </c>
      <c r="BG158" s="215">
        <f>'Volume Data Entry'!HS87</f>
        <v>55</v>
      </c>
      <c r="BH158" s="215">
        <f>'Volume Data Entry'!IA26</f>
        <v>52</v>
      </c>
      <c r="BI158" s="215">
        <f>'Volume Data Entry'!IA87</f>
        <v>55</v>
      </c>
      <c r="BJ158" s="215">
        <f>'Volume Data Entry'!II26</f>
        <v>41</v>
      </c>
      <c r="BK158" s="215">
        <f>'Volume Data Entry'!II87</f>
        <v>53</v>
      </c>
      <c r="BL158" s="215">
        <f>'Volume Data Entry'!IQ26</f>
        <v>48</v>
      </c>
      <c r="BM158" s="215">
        <f>'Volume Data Entry'!IQ87</f>
        <v>27</v>
      </c>
      <c r="BN158" s="215">
        <f>'Volume Data Entry'!IY26</f>
        <v>39</v>
      </c>
      <c r="BO158" s="216">
        <f>'Volume Data Entry'!IY87</f>
        <v>57</v>
      </c>
      <c r="BP158" s="216">
        <f>'Volume Data Entry'!JG26</f>
        <v>2</v>
      </c>
      <c r="BQ158" s="215">
        <f>'Volume Data Entry'!JG87</f>
        <v>5</v>
      </c>
      <c r="BR158" s="221">
        <f>'Volume Data Entry'!JO26</f>
        <v>0</v>
      </c>
      <c r="BS158" s="215">
        <f>'Volume Data Entry'!JO87</f>
        <v>0</v>
      </c>
      <c r="BT158" s="222">
        <f>'Volume Data Entry'!JW26</f>
        <v>61</v>
      </c>
      <c r="BU158" s="215">
        <f>'Volume Data Entry'!JW87</f>
        <v>42</v>
      </c>
      <c r="BV158" s="222">
        <f>'Volume Data Entry'!KE26</f>
        <v>1</v>
      </c>
      <c r="BW158" s="215">
        <f>'Volume Data Entry'!KE87</f>
        <v>1</v>
      </c>
      <c r="BX158" s="222">
        <f>'Volume Data Entry'!KM26</f>
        <v>18</v>
      </c>
      <c r="BY158" s="215">
        <f>'Volume Data Entry'!KM87</f>
        <v>24</v>
      </c>
      <c r="BZ158" s="222">
        <f>'Volume Data Entry'!KU26</f>
        <v>35</v>
      </c>
      <c r="CA158" s="215">
        <f>'Volume Data Entry'!KU87</f>
        <v>47</v>
      </c>
      <c r="CB158" s="190">
        <f>'Volume Data Entry'!LC26</f>
        <v>46</v>
      </c>
      <c r="CC158" s="191">
        <f>'Volume Data Entry'!LC87</f>
        <v>30</v>
      </c>
      <c r="CD158" s="190">
        <f>'Volume Data Entry'!LK26</f>
        <v>37</v>
      </c>
      <c r="CE158" s="191">
        <f>'Volume Data Entry'!LK87</f>
        <v>59</v>
      </c>
      <c r="CF158" s="215">
        <f>'Volume Data Entry'!LS26</f>
        <v>50</v>
      </c>
      <c r="CG158" s="215">
        <f>'Volume Data Entry'!LS87</f>
        <v>34</v>
      </c>
      <c r="CH158" s="215">
        <f>'Volume Data Entry'!MA26</f>
        <v>25</v>
      </c>
      <c r="CI158" s="215">
        <f>'Volume Data Entry'!MA87</f>
        <v>22</v>
      </c>
      <c r="CJ158" s="215">
        <f>'Volume Data Entry'!MI26</f>
        <v>55</v>
      </c>
      <c r="CK158" s="215">
        <f>'Volume Data Entry'!MI87</f>
        <v>61</v>
      </c>
      <c r="CL158" s="215">
        <f>'Volume Data Entry'!MQ26</f>
        <v>54</v>
      </c>
      <c r="CM158" s="215">
        <f>'Volume Data Entry'!MQ87</f>
        <v>62</v>
      </c>
      <c r="CN158" s="215">
        <f>'Volume Data Entry'!MY26</f>
        <v>67</v>
      </c>
      <c r="CO158" s="215">
        <f>'Volume Data Entry'!MY98</f>
        <v>77</v>
      </c>
      <c r="CP158" s="776">
        <f>'Volume Data Entry'!NG26</f>
        <v>53</v>
      </c>
      <c r="CQ158" s="776">
        <f>'Volume Data Entry'!NG98</f>
        <v>49</v>
      </c>
      <c r="CR158" s="776">
        <f>'Volume Data Entry'!NO26</f>
        <v>42</v>
      </c>
      <c r="CS158" s="776">
        <f>'Volume Data Entry'!NO98</f>
        <v>51</v>
      </c>
      <c r="CT158" s="215">
        <f>'Volume Data Entry'!NW26</f>
        <v>57</v>
      </c>
      <c r="CU158" s="215">
        <f>'Volume Data Entry'!NW98</f>
        <v>37</v>
      </c>
      <c r="CV158" s="776">
        <f>'Volume Data Entry'!OE26</f>
        <v>42</v>
      </c>
      <c r="CW158" s="776">
        <f>'Volume Data Entry'!OE98</f>
        <v>35</v>
      </c>
      <c r="CX158" s="776">
        <f>'Volume Data Entry'!OM26</f>
        <v>42</v>
      </c>
      <c r="CY158" s="776">
        <f>'Volume Data Entry'!OM98</f>
        <v>46</v>
      </c>
      <c r="CZ158" s="215">
        <f>'Volume Data Entry'!OU26</f>
        <v>0</v>
      </c>
      <c r="DA158" s="215">
        <f>'Volume Data Entry'!OU98</f>
        <v>0</v>
      </c>
      <c r="DB158" s="776">
        <f>'Volume Data Entry'!PC26</f>
        <v>0</v>
      </c>
      <c r="DC158" s="776">
        <f>'Volume Data Entry'!PC98</f>
        <v>2</v>
      </c>
      <c r="DD158" s="776">
        <f>'Volume Data Entry'!PK26</f>
        <v>3</v>
      </c>
      <c r="DE158" s="776">
        <f>'Volume Data Entry'!PK98</f>
        <v>4</v>
      </c>
      <c r="DF158" s="215">
        <f>'Volume Data Entry'!PS26</f>
        <v>4</v>
      </c>
      <c r="DG158" s="776">
        <f>'Volume Data Entry'!PS98</f>
        <v>5</v>
      </c>
      <c r="DH158" s="776">
        <f>'Volume Data Entry'!QA26</f>
        <v>8</v>
      </c>
      <c r="DI158" s="776">
        <f>'Volume Data Entry'!QA98</f>
        <v>17</v>
      </c>
      <c r="DJ158" s="776">
        <f>'Volume Data Entry'!QI26</f>
        <v>29</v>
      </c>
      <c r="DK158" s="776">
        <f>'Volume Data Entry'!QI98</f>
        <v>19</v>
      </c>
      <c r="DL158" s="215">
        <f>'Volume Data Entry'!QQ26</f>
        <v>25</v>
      </c>
      <c r="DM158" s="776">
        <f>'Volume Data Entry'!QQ98</f>
        <v>27</v>
      </c>
      <c r="DN158" s="774">
        <f t="shared" si="482"/>
        <v>20.833333333333332</v>
      </c>
      <c r="DO158" s="774">
        <f t="shared" si="483"/>
        <v>22.972222222222225</v>
      </c>
      <c r="DP158" s="774">
        <f t="shared" si="484"/>
        <v>23.967592592592592</v>
      </c>
      <c r="DQ158" s="774">
        <f t="shared" si="485"/>
        <v>23.128858024691358</v>
      </c>
      <c r="DR158" s="215">
        <f>'Volume Data Entry'!RO26</f>
        <v>27</v>
      </c>
      <c r="DS158" s="776">
        <f>'Volume Data Entry'!RO98</f>
        <v>12</v>
      </c>
      <c r="DT158" s="774">
        <f>'Volume Data Entry'!RW26</f>
        <v>17</v>
      </c>
      <c r="DU158" s="774">
        <f>'Volume Data Entry'!RW98</f>
        <v>39</v>
      </c>
      <c r="DV158" s="774">
        <f>'Volume Data Entry'!SE26</f>
        <v>46</v>
      </c>
      <c r="DW158" s="774">
        <f>'Volume Data Entry'!SE98</f>
        <v>31</v>
      </c>
      <c r="DX158" s="215">
        <f>'Volume Data Entry'!SM26</f>
        <v>46</v>
      </c>
      <c r="DY158" s="776">
        <f>'Volume Data Entry'!SM98</f>
        <v>34</v>
      </c>
      <c r="DZ158" s="774">
        <f>'Volume Data Entry'!SU26</f>
        <v>19</v>
      </c>
      <c r="EA158" s="774">
        <f>'Volume Data Entry'!SU98</f>
        <v>32</v>
      </c>
      <c r="EB158" s="774">
        <f>'Volume Data Entry'!TC26</f>
        <v>27</v>
      </c>
      <c r="EC158" s="774">
        <f>'Volume Data Entry'!TC98</f>
        <v>28</v>
      </c>
    </row>
    <row r="159" spans="1:138">
      <c r="A159" s="192" t="s">
        <v>32</v>
      </c>
      <c r="B159" s="215">
        <f>'Volume Data Entry'!C27</f>
        <v>1</v>
      </c>
      <c r="C159" s="215">
        <f>'Volume Data Entry'!C88</f>
        <v>2</v>
      </c>
      <c r="D159" s="215">
        <f>'Volume Data Entry'!K27</f>
        <v>2</v>
      </c>
      <c r="E159" s="215">
        <f>'Volume Data Entry'!K88</f>
        <v>0</v>
      </c>
      <c r="F159" s="215">
        <f>'Volume Data Entry'!S27</f>
        <v>1</v>
      </c>
      <c r="G159" s="215">
        <f>'Volume Data Entry'!S88</f>
        <v>3</v>
      </c>
      <c r="H159" s="215">
        <f>'Volume Data Entry'!AA27</f>
        <v>0</v>
      </c>
      <c r="I159" s="215">
        <f>'Volume Data Entry'!AA88</f>
        <v>0</v>
      </c>
      <c r="J159" s="215">
        <f>'Volume Data Entry'!AI27</f>
        <v>0</v>
      </c>
      <c r="K159" s="215">
        <f>'Volume Data Entry'!AI88</f>
        <v>0</v>
      </c>
      <c r="L159" s="215">
        <f>'Volume Data Entry'!AQ27</f>
        <v>0</v>
      </c>
      <c r="M159" s="215">
        <f>'Volume Data Entry'!AQ88</f>
        <v>2</v>
      </c>
      <c r="N159" s="215">
        <f>'Volume Data Entry'!AY27</f>
        <v>1</v>
      </c>
      <c r="O159" s="215">
        <f>'Volume Data Entry'!AY88</f>
        <v>0</v>
      </c>
      <c r="P159" s="215">
        <f>'Volume Data Entry'!BG27</f>
        <v>1</v>
      </c>
      <c r="Q159" s="215">
        <f>'Volume Data Entry'!BG88</f>
        <v>2</v>
      </c>
      <c r="R159" s="215">
        <f>'Volume Data Entry'!BO27</f>
        <v>0</v>
      </c>
      <c r="S159" s="215">
        <f>'Volume Data Entry'!BO88</f>
        <v>0</v>
      </c>
      <c r="T159" s="215">
        <f>'Volume Data Entry'!BW27</f>
        <v>0</v>
      </c>
      <c r="U159" s="215">
        <f>'Volume Data Entry'!BW88</f>
        <v>0</v>
      </c>
      <c r="V159" s="215">
        <f>'Volume Data Entry'!CE27</f>
        <v>0</v>
      </c>
      <c r="W159" s="215">
        <f>'Volume Data Entry'!CE88</f>
        <v>0</v>
      </c>
      <c r="X159" s="215">
        <f>'Volume Data Entry'!CM27</f>
        <v>4</v>
      </c>
      <c r="Y159" s="215">
        <f>'Volume Data Entry'!CM88</f>
        <v>0</v>
      </c>
      <c r="Z159" s="215">
        <f>'Volume Data Entry'!CU27</f>
        <v>1</v>
      </c>
      <c r="AA159" s="215">
        <f>'Volume Data Entry'!CU88</f>
        <v>2</v>
      </c>
      <c r="AB159" s="215">
        <f>'Volume Data Entry'!DC27</f>
        <v>2</v>
      </c>
      <c r="AC159" s="215">
        <f>'Volume Data Entry'!DC88</f>
        <v>0</v>
      </c>
      <c r="AD159" s="215">
        <f>'Volume Data Entry'!DK27</f>
        <v>0</v>
      </c>
      <c r="AE159" s="215">
        <f>'Volume Data Entry'!DK88</f>
        <v>1</v>
      </c>
      <c r="AF159" s="215">
        <f>'Volume Data Entry'!DS27</f>
        <v>0</v>
      </c>
      <c r="AG159" s="215">
        <f>'Volume Data Entry'!DS88</f>
        <v>0</v>
      </c>
      <c r="AH159" s="215">
        <f>'Volume Data Entry'!EA27</f>
        <v>0</v>
      </c>
      <c r="AI159" s="215">
        <f>'Volume Data Entry'!EA88</f>
        <v>0</v>
      </c>
      <c r="AJ159" s="215">
        <f>'Volume Data Entry'!EI27</f>
        <v>0</v>
      </c>
      <c r="AK159" s="215">
        <f>'Volume Data Entry'!EI88</f>
        <v>0</v>
      </c>
      <c r="AL159" s="215">
        <f>'Volume Data Entry'!EQ27</f>
        <v>0</v>
      </c>
      <c r="AM159" s="215">
        <f>'Volume Data Entry'!EQ88</f>
        <v>0</v>
      </c>
      <c r="AN159" s="215">
        <f>'Volume Data Entry'!EY27</f>
        <v>0</v>
      </c>
      <c r="AO159" s="215">
        <f>'Volume Data Entry'!EY88</f>
        <v>0</v>
      </c>
      <c r="AP159" s="215">
        <f>'Volume Data Entry'!FG27</f>
        <v>0</v>
      </c>
      <c r="AQ159" s="215">
        <f>'Volume Data Entry'!FG88</f>
        <v>0</v>
      </c>
      <c r="AR159" s="215">
        <f>'Volume Data Entry'!FO27</f>
        <v>0</v>
      </c>
      <c r="AS159" s="215">
        <f>'Volume Data Entry'!FO88</f>
        <v>0</v>
      </c>
      <c r="AT159" s="215">
        <f>'Volume Data Entry'!FW27</f>
        <v>0</v>
      </c>
      <c r="AU159" s="215">
        <f>'Volume Data Entry'!FW88</f>
        <v>0</v>
      </c>
      <c r="AV159" s="215">
        <f>'Volume Data Entry'!GE27</f>
        <v>0</v>
      </c>
      <c r="AW159" s="215">
        <f>'Volume Data Entry'!GE88</f>
        <v>0</v>
      </c>
      <c r="AX159" s="215">
        <f>'Volume Data Entry'!GM27</f>
        <v>1</v>
      </c>
      <c r="AY159" s="215">
        <f>'Volume Data Entry'!GM88</f>
        <v>2</v>
      </c>
      <c r="AZ159" s="215">
        <f>'Volume Data Entry'!GU27</f>
        <v>2</v>
      </c>
      <c r="BA159" s="216">
        <f>'Volume Data Entry'!GU88</f>
        <v>2</v>
      </c>
      <c r="BB159" s="215">
        <f>'Volume Data Entry'!HC27</f>
        <v>1</v>
      </c>
      <c r="BC159" s="216">
        <f>'Volume Data Entry'!HC88</f>
        <v>2</v>
      </c>
      <c r="BD159" s="215">
        <f>'Volume Data Entry'!HK27</f>
        <v>0</v>
      </c>
      <c r="BE159" s="215">
        <f>'Volume Data Entry'!HK88</f>
        <v>4</v>
      </c>
      <c r="BF159" s="215">
        <f>'Volume Data Entry'!HS27</f>
        <v>2</v>
      </c>
      <c r="BG159" s="215">
        <f>'Volume Data Entry'!HS88</f>
        <v>0</v>
      </c>
      <c r="BH159" s="215">
        <f>'Volume Data Entry'!IA27</f>
        <v>0</v>
      </c>
      <c r="BI159" s="215">
        <f>'Volume Data Entry'!IA88</f>
        <v>0</v>
      </c>
      <c r="BJ159" s="215">
        <f>'Volume Data Entry'!II27</f>
        <v>0</v>
      </c>
      <c r="BK159" s="215">
        <f>'Volume Data Entry'!II88</f>
        <v>2</v>
      </c>
      <c r="BL159" s="215">
        <f>'Volume Data Entry'!IQ27</f>
        <v>1</v>
      </c>
      <c r="BM159" s="215">
        <f>'Volume Data Entry'!IQ88</f>
        <v>0</v>
      </c>
      <c r="BN159" s="215">
        <f>'Volume Data Entry'!IY27</f>
        <v>0</v>
      </c>
      <c r="BO159" s="216">
        <f>'Volume Data Entry'!IY88</f>
        <v>0</v>
      </c>
      <c r="BP159" s="216">
        <f>'Volume Data Entry'!JG27</f>
        <v>4</v>
      </c>
      <c r="BQ159" s="215">
        <f>'Volume Data Entry'!JG88</f>
        <v>5</v>
      </c>
      <c r="BR159" s="221">
        <f>'Volume Data Entry'!JO27</f>
        <v>3</v>
      </c>
      <c r="BS159" s="215">
        <f>'Volume Data Entry'!JO88</f>
        <v>2</v>
      </c>
      <c r="BT159" s="222">
        <f>'Volume Data Entry'!JW27</f>
        <v>8</v>
      </c>
      <c r="BU159" s="215">
        <f>'Volume Data Entry'!JW88</f>
        <v>3</v>
      </c>
      <c r="BV159" s="222">
        <f>'Volume Data Entry'!KE27</f>
        <v>4</v>
      </c>
      <c r="BW159" s="215">
        <f>'Volume Data Entry'!KE88</f>
        <v>5</v>
      </c>
      <c r="BX159" s="222">
        <f>'Volume Data Entry'!KM27</f>
        <v>2</v>
      </c>
      <c r="BY159" s="215">
        <f>'Volume Data Entry'!KM88</f>
        <v>0</v>
      </c>
      <c r="BZ159" s="222">
        <f>'Volume Data Entry'!KU27</f>
        <v>2</v>
      </c>
      <c r="CA159" s="215">
        <f>'Volume Data Entry'!KU88</f>
        <v>0</v>
      </c>
      <c r="CB159" s="190">
        <f>'Volume Data Entry'!LC27</f>
        <v>3</v>
      </c>
      <c r="CC159" s="191">
        <f>'Volume Data Entry'!LC88</f>
        <v>5</v>
      </c>
      <c r="CD159" s="190">
        <f>'Volume Data Entry'!LK27</f>
        <v>2</v>
      </c>
      <c r="CE159" s="191">
        <f>'Volume Data Entry'!LK88</f>
        <v>0</v>
      </c>
      <c r="CF159" s="215">
        <f>'Volume Data Entry'!LS27</f>
        <v>1</v>
      </c>
      <c r="CG159" s="215">
        <f>'Volume Data Entry'!LS88</f>
        <v>0</v>
      </c>
      <c r="CH159" s="215">
        <f>'Volume Data Entry'!MA27</f>
        <v>0</v>
      </c>
      <c r="CI159" s="215">
        <f>'Volume Data Entry'!MA88</f>
        <v>0</v>
      </c>
      <c r="CJ159" s="215">
        <f>'Volume Data Entry'!MI27</f>
        <v>1</v>
      </c>
      <c r="CK159" s="215">
        <f>'Volume Data Entry'!MI88</f>
        <v>1</v>
      </c>
      <c r="CL159" s="215">
        <f>'Volume Data Entry'!MQ27</f>
        <v>7</v>
      </c>
      <c r="CM159" s="215">
        <f>'Volume Data Entry'!MQ88</f>
        <v>5</v>
      </c>
      <c r="CN159" s="215">
        <f>'Volume Data Entry'!MY27</f>
        <v>4</v>
      </c>
      <c r="CO159" s="215">
        <f>'Volume Data Entry'!MY99</f>
        <v>2</v>
      </c>
      <c r="CP159" s="776">
        <f>'Volume Data Entry'!NG27</f>
        <v>1</v>
      </c>
      <c r="CQ159" s="776">
        <f>'Volume Data Entry'!NG99</f>
        <v>9</v>
      </c>
      <c r="CR159" s="776">
        <f>'Volume Data Entry'!NO27</f>
        <v>6</v>
      </c>
      <c r="CS159" s="776">
        <f>'Volume Data Entry'!NO99</f>
        <v>4</v>
      </c>
      <c r="CT159" s="215">
        <f>'Volume Data Entry'!NW27</f>
        <v>5</v>
      </c>
      <c r="CU159" s="215">
        <f>'Volume Data Entry'!NW99</f>
        <v>6</v>
      </c>
      <c r="CV159" s="776">
        <f>'Volume Data Entry'!OE27</f>
        <v>10</v>
      </c>
      <c r="CW159" s="776">
        <f>'Volume Data Entry'!OE99</f>
        <v>11</v>
      </c>
      <c r="CX159" s="776">
        <f>'Volume Data Entry'!OM27</f>
        <v>2</v>
      </c>
      <c r="CY159" s="776">
        <f>'Volume Data Entry'!OM99</f>
        <v>2</v>
      </c>
      <c r="CZ159" s="215">
        <f>'Volume Data Entry'!OU27</f>
        <v>0</v>
      </c>
      <c r="DA159" s="215">
        <f>'Volume Data Entry'!OU99</f>
        <v>0</v>
      </c>
      <c r="DB159" s="776">
        <f>'Volume Data Entry'!PC27</f>
        <v>0</v>
      </c>
      <c r="DC159" s="776">
        <f>'Volume Data Entry'!PC99</f>
        <v>0</v>
      </c>
      <c r="DD159" s="776">
        <f>'Volume Data Entry'!PK27</f>
        <v>0</v>
      </c>
      <c r="DE159" s="776">
        <f>'Volume Data Entry'!PK99</f>
        <v>0</v>
      </c>
      <c r="DF159" s="215">
        <f>'Volume Data Entry'!PS27</f>
        <v>0</v>
      </c>
      <c r="DG159" s="776">
        <f>'Volume Data Entry'!PS99</f>
        <v>0</v>
      </c>
      <c r="DH159" s="776">
        <f>'Volume Data Entry'!QA27</f>
        <v>1</v>
      </c>
      <c r="DI159" s="776">
        <f>'Volume Data Entry'!QA99</f>
        <v>1</v>
      </c>
      <c r="DJ159" s="776">
        <f>'Volume Data Entry'!QI27</f>
        <v>0</v>
      </c>
      <c r="DK159" s="776">
        <f>'Volume Data Entry'!QI99</f>
        <v>0</v>
      </c>
      <c r="DL159" s="215">
        <f>'Volume Data Entry'!QQ27</f>
        <v>1</v>
      </c>
      <c r="DM159" s="776">
        <f>'Volume Data Entry'!QQ99</f>
        <v>2</v>
      </c>
      <c r="DN159" s="774">
        <f t="shared" si="482"/>
        <v>0.83333333333333337</v>
      </c>
      <c r="DO159" s="774">
        <f t="shared" si="483"/>
        <v>0.80555555555555547</v>
      </c>
      <c r="DP159" s="774">
        <f t="shared" si="484"/>
        <v>0.77314814814814825</v>
      </c>
      <c r="DQ159" s="774">
        <f t="shared" si="485"/>
        <v>0.90200617283950624</v>
      </c>
      <c r="DR159" s="215">
        <f>'Volume Data Entry'!RO27</f>
        <v>2</v>
      </c>
      <c r="DS159" s="776">
        <f>'Volume Data Entry'!RO99</f>
        <v>3</v>
      </c>
      <c r="DT159" s="774">
        <f>'Volume Data Entry'!RW27</f>
        <v>2</v>
      </c>
      <c r="DU159" s="774">
        <f>'Volume Data Entry'!RW104</f>
        <v>0</v>
      </c>
      <c r="DV159" s="774">
        <f>'Volume Data Entry'!SE27</f>
        <v>0</v>
      </c>
      <c r="DW159" s="774">
        <f>'Volume Data Entry'!SE99</f>
        <v>0</v>
      </c>
      <c r="DX159" s="215">
        <f>'Volume Data Entry'!SM27</f>
        <v>0</v>
      </c>
      <c r="DY159" s="776">
        <f>'Volume Data Entry'!SM99</f>
        <v>0</v>
      </c>
      <c r="DZ159" s="774">
        <f>'Volume Data Entry'!SU27</f>
        <v>0</v>
      </c>
      <c r="EA159" s="774">
        <f>'Volume Data Entry'!SU99</f>
        <v>0</v>
      </c>
      <c r="EB159" s="774">
        <f>'Volume Data Entry'!TC27</f>
        <v>0</v>
      </c>
      <c r="EC159" s="774">
        <f>'Volume Data Entry'!TC99</f>
        <v>0</v>
      </c>
    </row>
    <row r="160" spans="1:138">
      <c r="A160" s="858" t="s">
        <v>49</v>
      </c>
      <c r="B160" s="223">
        <f>'Volume Data Entry'!C58</f>
        <v>9</v>
      </c>
      <c r="C160" s="223">
        <f>'Volume Data Entry'!C119</f>
        <v>24</v>
      </c>
      <c r="D160" s="223">
        <f>'Volume Data Entry'!K58</f>
        <v>9</v>
      </c>
      <c r="E160" s="223">
        <f>'Volume Data Entry'!K119</f>
        <v>3</v>
      </c>
      <c r="F160" s="223">
        <f>'Volume Data Entry'!S58</f>
        <v>2</v>
      </c>
      <c r="G160" s="223">
        <f>'Volume Data Entry'!S119</f>
        <v>6</v>
      </c>
      <c r="H160" s="223">
        <f>'Volume Data Entry'!AA58</f>
        <v>2</v>
      </c>
      <c r="I160" s="223">
        <f>'Volume Data Entry'!AA119</f>
        <v>4</v>
      </c>
      <c r="J160" s="223">
        <f>'Volume Data Entry'!AI58</f>
        <v>1</v>
      </c>
      <c r="K160" s="223">
        <f>'Volume Data Entry'!AI119</f>
        <v>3</v>
      </c>
      <c r="L160" s="223">
        <f>'Volume Data Entry'!AQ58</f>
        <v>0</v>
      </c>
      <c r="M160" s="223">
        <f>'Volume Data Entry'!AQ119</f>
        <v>9</v>
      </c>
      <c r="N160" s="223">
        <f>'Volume Data Entry'!AY58</f>
        <v>4</v>
      </c>
      <c r="O160" s="223">
        <f>'Volume Data Entry'!AY119</f>
        <v>0</v>
      </c>
      <c r="P160" s="223">
        <f>'Volume Data Entry'!BG58</f>
        <v>19</v>
      </c>
      <c r="Q160" s="223">
        <f>'Volume Data Entry'!BG119</f>
        <v>6</v>
      </c>
      <c r="R160" s="223">
        <f>'Volume Data Entry'!BO58</f>
        <v>1</v>
      </c>
      <c r="S160" s="223">
        <f>'Volume Data Entry'!BO119</f>
        <v>6</v>
      </c>
      <c r="T160" s="223">
        <f>'Volume Data Entry'!BW58</f>
        <v>0</v>
      </c>
      <c r="U160" s="223">
        <f>'Volume Data Entry'!BW119</f>
        <v>0</v>
      </c>
      <c r="V160" s="223">
        <f>'Volume Data Entry'!CE58</f>
        <v>0</v>
      </c>
      <c r="W160" s="223">
        <f>'Volume Data Entry'!CE119</f>
        <v>0</v>
      </c>
      <c r="X160" s="223">
        <f>'Volume Data Entry'!CM58</f>
        <v>21</v>
      </c>
      <c r="Y160" s="223">
        <f>'Volume Data Entry'!CM119</f>
        <v>0</v>
      </c>
      <c r="Z160" s="223">
        <f>'Volume Data Entry'!CU58</f>
        <v>19</v>
      </c>
      <c r="AA160" s="223">
        <f>'Volume Data Entry'!CU119</f>
        <v>6</v>
      </c>
      <c r="AB160" s="223">
        <f>'Volume Data Entry'!DC58</f>
        <v>5</v>
      </c>
      <c r="AC160" s="223">
        <f>'Volume Data Entry'!DC119</f>
        <v>0</v>
      </c>
      <c r="AD160" s="223">
        <f>'Volume Data Entry'!DK58</f>
        <v>0</v>
      </c>
      <c r="AE160" s="223">
        <f>'Volume Data Entry'!DK119</f>
        <v>16</v>
      </c>
      <c r="AF160" s="223">
        <f>'Volume Data Entry'!DS58</f>
        <v>0</v>
      </c>
      <c r="AG160" s="223">
        <f>'Volume Data Entry'!DS119</f>
        <v>24</v>
      </c>
      <c r="AH160" s="223">
        <f>'Volume Data Entry'!EA58</f>
        <v>9</v>
      </c>
      <c r="AI160" s="223">
        <f>'Volume Data Entry'!EA119</f>
        <v>13</v>
      </c>
      <c r="AJ160" s="223">
        <f>'Volume Data Entry'!EI58</f>
        <v>27</v>
      </c>
      <c r="AK160" s="223">
        <f>'Volume Data Entry'!EI119</f>
        <v>24</v>
      </c>
      <c r="AL160" s="223">
        <f>'Volume Data Entry'!EQ58</f>
        <v>23</v>
      </c>
      <c r="AM160" s="223">
        <f>'Volume Data Entry'!EQ119</f>
        <v>0</v>
      </c>
      <c r="AN160" s="223">
        <f>'Volume Data Entry'!EY58</f>
        <v>0</v>
      </c>
      <c r="AO160" s="223">
        <f>'Volume Data Entry'!EY119</f>
        <v>0</v>
      </c>
      <c r="AP160" s="223">
        <f>'Volume Data Entry'!FG58</f>
        <v>0</v>
      </c>
      <c r="AQ160" s="223">
        <f>'Volume Data Entry'!FG119</f>
        <v>0</v>
      </c>
      <c r="AR160" s="223">
        <f>'Volume Data Entry'!FO58</f>
        <v>0</v>
      </c>
      <c r="AS160" s="223">
        <f>'Volume Data Entry'!FO119</f>
        <v>0</v>
      </c>
      <c r="AT160" s="223">
        <f>'Volume Data Entry'!FW58</f>
        <v>0</v>
      </c>
      <c r="AU160" s="223">
        <f>'Volume Data Entry'!FW119</f>
        <v>0</v>
      </c>
      <c r="AV160" s="223">
        <f>'Volume Data Entry'!GE58</f>
        <v>0</v>
      </c>
      <c r="AW160" s="223">
        <f>'Volume Data Entry'!GE119</f>
        <v>0</v>
      </c>
      <c r="AX160" s="223">
        <f>'Volume Data Entry'!GM58</f>
        <v>19</v>
      </c>
      <c r="AY160" s="221">
        <f>'Volume Data Entry'!GM119</f>
        <v>6</v>
      </c>
      <c r="AZ160" s="215">
        <f>'Volume Data Entry'!GU58</f>
        <v>5</v>
      </c>
      <c r="BA160" s="221">
        <f>'Volume Data Entry'!GU119</f>
        <v>8</v>
      </c>
      <c r="BB160" s="215">
        <f>'Volume Data Entry'!HC58</f>
        <v>2</v>
      </c>
      <c r="BC160" s="221">
        <f>'Volume Data Entry'!HC119</f>
        <v>4</v>
      </c>
      <c r="BD160" s="223">
        <f>'Volume Data Entry'!HK58</f>
        <v>15</v>
      </c>
      <c r="BE160" s="224">
        <f>'Volume Data Entry'!HK119</f>
        <v>34</v>
      </c>
      <c r="BF160" s="223">
        <f>'Volume Data Entry'!HS58</f>
        <v>36</v>
      </c>
      <c r="BG160" s="224">
        <f>'Volume Data Entry'!HS119</f>
        <v>36</v>
      </c>
      <c r="BH160" s="223">
        <f>'Volume Data Entry'!IA58</f>
        <v>27</v>
      </c>
      <c r="BI160" s="224">
        <f>'Volume Data Entry'!IA119</f>
        <v>8</v>
      </c>
      <c r="BJ160" s="223">
        <f>'Volume Data Entry'!II58</f>
        <v>36</v>
      </c>
      <c r="BK160" s="224">
        <f>'Volume Data Entry'!II119</f>
        <v>28</v>
      </c>
      <c r="BL160" s="223">
        <f>'Volume Data Entry'!IQ58</f>
        <v>34</v>
      </c>
      <c r="BM160" s="224">
        <f>'Volume Data Entry'!IQ119</f>
        <v>30</v>
      </c>
      <c r="BN160" s="223">
        <f>'Volume Data Entry'!IY58</f>
        <v>21</v>
      </c>
      <c r="BO160" s="225">
        <f>'Volume Data Entry'!IY119</f>
        <v>10</v>
      </c>
      <c r="BP160" s="226">
        <f>'Volume Data Entry'!JG58</f>
        <v>6</v>
      </c>
      <c r="BQ160" s="223">
        <f>'Volume Data Entry'!JG119</f>
        <v>6</v>
      </c>
      <c r="BR160" s="225">
        <f>'Volume Data Entry'!JO58</f>
        <v>5</v>
      </c>
      <c r="BS160" s="223">
        <f>'Volume Data Entry'!JO119</f>
        <v>4</v>
      </c>
      <c r="BT160" s="224">
        <f>'Volume Data Entry'!JW58</f>
        <v>46</v>
      </c>
      <c r="BU160" s="224">
        <f>'Volume Data Entry'!JW119</f>
        <v>21</v>
      </c>
      <c r="BV160" s="224">
        <f>'Volume Data Entry'!KE58</f>
        <v>8</v>
      </c>
      <c r="BW160" s="224">
        <f>'Volume Data Entry'!KE119</f>
        <v>8</v>
      </c>
      <c r="BX160" s="224">
        <f>'Volume Data Entry'!KM58</f>
        <v>9</v>
      </c>
      <c r="BY160" s="224">
        <f>'Volume Data Entry'!KM119</f>
        <v>3</v>
      </c>
      <c r="BZ160" s="224">
        <f>'Volume Data Entry'!KU58</f>
        <v>21</v>
      </c>
      <c r="CA160" s="224">
        <f>'Volume Data Entry'!KU119</f>
        <v>23</v>
      </c>
      <c r="CB160" s="195">
        <f>'Volume Data Entry'!LC58</f>
        <v>21</v>
      </c>
      <c r="CC160" s="196">
        <f>'Volume Data Entry'!LC119</f>
        <v>8</v>
      </c>
      <c r="CD160" s="195">
        <f>'Volume Data Entry'!LK58</f>
        <v>32</v>
      </c>
      <c r="CE160" s="196">
        <f>'Volume Data Entry'!LK119</f>
        <v>30</v>
      </c>
      <c r="CF160" s="223">
        <f>'Volume Data Entry'!LS58</f>
        <v>22</v>
      </c>
      <c r="CG160" s="224">
        <f>'Volume Data Entry'!LS119</f>
        <v>20</v>
      </c>
      <c r="CH160" s="223">
        <f>'Volume Data Entry'!MA58</f>
        <v>34</v>
      </c>
      <c r="CI160" s="224">
        <f>'Volume Data Entry'!MA119</f>
        <v>23</v>
      </c>
      <c r="CJ160" s="223">
        <f>'Volume Data Entry'!MI58</f>
        <v>39</v>
      </c>
      <c r="CK160" s="224">
        <f>'Volume Data Entry'!MI119</f>
        <v>38</v>
      </c>
      <c r="CL160" s="223">
        <f>'Volume Data Entry'!MQ58</f>
        <v>26</v>
      </c>
      <c r="CM160" s="223">
        <f>'Volume Data Entry'!MQ119</f>
        <v>44</v>
      </c>
      <c r="CN160" s="223">
        <f>'Volume Data Entry'!MY58</f>
        <v>13</v>
      </c>
      <c r="CO160" s="223">
        <f>'Volume Data Entry'!MY141</f>
        <v>52</v>
      </c>
      <c r="CP160" s="776">
        <f>'Volume Data Entry'!NG69</f>
        <v>46</v>
      </c>
      <c r="CQ160" s="776">
        <f>'Volume Data Entry'!NG141</f>
        <v>43</v>
      </c>
      <c r="CR160" s="776">
        <f>'Volume Data Entry'!NO69</f>
        <v>42</v>
      </c>
      <c r="CS160" s="776">
        <f>'Volume Data Entry'!NO141</f>
        <v>22</v>
      </c>
      <c r="CT160" s="223">
        <f>'Volume Data Entry'!NW69</f>
        <v>22</v>
      </c>
      <c r="CU160" s="223">
        <f>'Volume Data Entry'!NW141</f>
        <v>29</v>
      </c>
      <c r="CV160" s="776">
        <f>'Volume Data Entry'!OE69</f>
        <v>9</v>
      </c>
      <c r="CW160" s="776">
        <f>'Volume Data Entry'!OE141</f>
        <v>17</v>
      </c>
      <c r="CX160" s="776">
        <f>'Volume Data Entry'!OM69</f>
        <v>19</v>
      </c>
      <c r="CY160" s="776">
        <f>'Volume Data Entry'!OM141</f>
        <v>31</v>
      </c>
      <c r="CZ160" s="223">
        <f>'Volume Data Entry'!OU69</f>
        <v>0</v>
      </c>
      <c r="DA160" s="223">
        <f>'Volume Data Entry'!OU141</f>
        <v>0</v>
      </c>
      <c r="DB160" s="776">
        <f>'Volume Data Entry'!PC69</f>
        <v>0</v>
      </c>
      <c r="DC160" s="776">
        <f>'Volume Data Entry'!PC141</f>
        <v>6</v>
      </c>
      <c r="DD160" s="776">
        <f>'Volume Data Entry'!PK69</f>
        <v>1</v>
      </c>
      <c r="DE160" s="776">
        <f>'Volume Data Entry'!PK141</f>
        <v>34</v>
      </c>
      <c r="DF160" s="215">
        <f>'Volume Data Entry'!PS69</f>
        <v>8</v>
      </c>
      <c r="DG160" s="776">
        <f>'Volume Data Entry'!PS141</f>
        <v>5</v>
      </c>
      <c r="DH160" s="776">
        <f>'Volume Data Entry'!QA69</f>
        <v>10</v>
      </c>
      <c r="DI160" s="776">
        <f>'Volume Data Entry'!QA141</f>
        <v>11</v>
      </c>
      <c r="DJ160" s="776">
        <f>'Volume Data Entry'!QI69</f>
        <v>19</v>
      </c>
      <c r="DK160" s="776">
        <f>'Volume Data Entry'!QI141</f>
        <v>13</v>
      </c>
      <c r="DL160" s="215">
        <f>'Volume Data Entry'!QQ69</f>
        <v>29</v>
      </c>
      <c r="DM160" s="776">
        <f>'Volume Data Entry'!QQ141</f>
        <v>22</v>
      </c>
      <c r="DN160" s="774">
        <f>SUM(DH160:DM160)/6</f>
        <v>17.333333333333332</v>
      </c>
      <c r="DO160" s="774">
        <f>SUM(DI160:DN160)/6</f>
        <v>18.555555555555554</v>
      </c>
      <c r="DP160" s="774">
        <f>SUM(DJ160:DO160)/6</f>
        <v>19.814814814814813</v>
      </c>
      <c r="DQ160" s="774">
        <f>SUM(DK160:DP160)/6</f>
        <v>19.950617283950617</v>
      </c>
      <c r="DR160" s="215">
        <f>'Volume Data Entry'!RO69</f>
        <v>25</v>
      </c>
      <c r="DS160" s="776">
        <f>'Volume Data Entry'!RO141</f>
        <v>28</v>
      </c>
      <c r="DT160" s="774">
        <f>'Volume Data Entry'!RW69</f>
        <v>17</v>
      </c>
      <c r="DU160" s="774">
        <f>'Volume Data Entry'!RW141</f>
        <v>33</v>
      </c>
      <c r="DV160" s="774">
        <f>'Volume Data Entry'!SE69</f>
        <v>32</v>
      </c>
      <c r="DW160" s="774">
        <f>'Volume Data Entry'!SE141</f>
        <v>20</v>
      </c>
      <c r="DX160" s="215">
        <f>'Volume Data Entry'!SM69</f>
        <v>19</v>
      </c>
      <c r="DY160" s="776">
        <f>'Volume Data Entry'!SM141</f>
        <v>15</v>
      </c>
      <c r="DZ160" s="774">
        <f>'Volume Data Entry'!SU69</f>
        <v>17</v>
      </c>
      <c r="EA160" s="774">
        <f>'Volume Data Entry'!SU141</f>
        <v>21</v>
      </c>
      <c r="EB160" s="774">
        <f>'Volume Data Entry'!TC69</f>
        <v>39</v>
      </c>
      <c r="EC160" s="774">
        <f>'Volume Data Entry'!TC141</f>
        <v>22</v>
      </c>
    </row>
    <row r="161" spans="1:138" s="178" customFormat="1">
      <c r="A161" s="850" t="s">
        <v>446</v>
      </c>
      <c r="B161" s="870">
        <f>SUM(B162:B170)</f>
        <v>68</v>
      </c>
      <c r="C161" s="870">
        <f t="shared" ref="C161:BN161" si="489">SUM(C162:C170)</f>
        <v>114</v>
      </c>
      <c r="D161" s="870">
        <f t="shared" si="489"/>
        <v>20</v>
      </c>
      <c r="E161" s="870">
        <f t="shared" si="489"/>
        <v>21</v>
      </c>
      <c r="F161" s="870">
        <f t="shared" si="489"/>
        <v>64</v>
      </c>
      <c r="G161" s="870">
        <f t="shared" si="489"/>
        <v>210</v>
      </c>
      <c r="H161" s="870">
        <f t="shared" si="489"/>
        <v>14</v>
      </c>
      <c r="I161" s="870">
        <f t="shared" si="489"/>
        <v>31</v>
      </c>
      <c r="J161" s="870">
        <f t="shared" si="489"/>
        <v>71</v>
      </c>
      <c r="K161" s="870">
        <f t="shared" si="489"/>
        <v>112</v>
      </c>
      <c r="L161" s="870">
        <f t="shared" si="489"/>
        <v>0</v>
      </c>
      <c r="M161" s="870">
        <f t="shared" si="489"/>
        <v>87</v>
      </c>
      <c r="N161" s="870">
        <f t="shared" si="489"/>
        <v>95</v>
      </c>
      <c r="O161" s="870">
        <f t="shared" si="489"/>
        <v>0</v>
      </c>
      <c r="P161" s="870">
        <f t="shared" si="489"/>
        <v>127</v>
      </c>
      <c r="Q161" s="870">
        <f t="shared" si="489"/>
        <v>129</v>
      </c>
      <c r="R161" s="870">
        <f t="shared" si="489"/>
        <v>40</v>
      </c>
      <c r="S161" s="870">
        <f t="shared" si="489"/>
        <v>93</v>
      </c>
      <c r="T161" s="870">
        <f t="shared" si="489"/>
        <v>0</v>
      </c>
      <c r="U161" s="870">
        <f t="shared" si="489"/>
        <v>0</v>
      </c>
      <c r="V161" s="870">
        <f t="shared" si="489"/>
        <v>0</v>
      </c>
      <c r="W161" s="870">
        <f t="shared" si="489"/>
        <v>0</v>
      </c>
      <c r="X161" s="870">
        <f t="shared" si="489"/>
        <v>76</v>
      </c>
      <c r="Y161" s="870">
        <f t="shared" si="489"/>
        <v>0</v>
      </c>
      <c r="Z161" s="870">
        <f t="shared" si="489"/>
        <v>127</v>
      </c>
      <c r="AA161" s="870">
        <f t="shared" si="489"/>
        <v>79</v>
      </c>
      <c r="AB161" s="870">
        <f t="shared" si="489"/>
        <v>50</v>
      </c>
      <c r="AC161" s="870">
        <f t="shared" si="489"/>
        <v>0</v>
      </c>
      <c r="AD161" s="870">
        <f t="shared" si="489"/>
        <v>80</v>
      </c>
      <c r="AE161" s="870">
        <f t="shared" si="489"/>
        <v>41</v>
      </c>
      <c r="AF161" s="870">
        <f t="shared" si="489"/>
        <v>0</v>
      </c>
      <c r="AG161" s="870">
        <f t="shared" si="489"/>
        <v>82</v>
      </c>
      <c r="AH161" s="870">
        <f t="shared" si="489"/>
        <v>30</v>
      </c>
      <c r="AI161" s="870">
        <f t="shared" si="489"/>
        <v>91</v>
      </c>
      <c r="AJ161" s="870">
        <f t="shared" si="489"/>
        <v>235</v>
      </c>
      <c r="AK161" s="870">
        <f t="shared" si="489"/>
        <v>80</v>
      </c>
      <c r="AL161" s="870">
        <f t="shared" si="489"/>
        <v>137</v>
      </c>
      <c r="AM161" s="870">
        <f t="shared" si="489"/>
        <v>103</v>
      </c>
      <c r="AN161" s="870">
        <f t="shared" si="489"/>
        <v>0</v>
      </c>
      <c r="AO161" s="870">
        <f t="shared" si="489"/>
        <v>0</v>
      </c>
      <c r="AP161" s="870">
        <f t="shared" si="489"/>
        <v>0</v>
      </c>
      <c r="AQ161" s="870">
        <f t="shared" si="489"/>
        <v>0</v>
      </c>
      <c r="AR161" s="870">
        <f t="shared" si="489"/>
        <v>0</v>
      </c>
      <c r="AS161" s="870">
        <f t="shared" si="489"/>
        <v>0</v>
      </c>
      <c r="AT161" s="870">
        <f t="shared" si="489"/>
        <v>0</v>
      </c>
      <c r="AU161" s="870">
        <f t="shared" si="489"/>
        <v>0</v>
      </c>
      <c r="AV161" s="870">
        <f t="shared" si="489"/>
        <v>0</v>
      </c>
      <c r="AW161" s="870">
        <f t="shared" si="489"/>
        <v>0</v>
      </c>
      <c r="AX161" s="870">
        <f t="shared" si="489"/>
        <v>119</v>
      </c>
      <c r="AY161" s="870">
        <f t="shared" si="489"/>
        <v>75</v>
      </c>
      <c r="AZ161" s="870">
        <f t="shared" si="489"/>
        <v>46</v>
      </c>
      <c r="BA161" s="870">
        <f t="shared" si="489"/>
        <v>80</v>
      </c>
      <c r="BB161" s="870">
        <f t="shared" si="489"/>
        <v>61</v>
      </c>
      <c r="BC161" s="870">
        <f t="shared" si="489"/>
        <v>93</v>
      </c>
      <c r="BD161" s="870">
        <f t="shared" si="489"/>
        <v>52</v>
      </c>
      <c r="BE161" s="870">
        <f t="shared" si="489"/>
        <v>105</v>
      </c>
      <c r="BF161" s="870">
        <f t="shared" si="489"/>
        <v>135</v>
      </c>
      <c r="BG161" s="870">
        <f t="shared" si="489"/>
        <v>144</v>
      </c>
      <c r="BH161" s="870">
        <f t="shared" si="489"/>
        <v>101</v>
      </c>
      <c r="BI161" s="870">
        <f t="shared" si="489"/>
        <v>29</v>
      </c>
      <c r="BJ161" s="870">
        <f t="shared" si="489"/>
        <v>147</v>
      </c>
      <c r="BK161" s="870">
        <f t="shared" si="489"/>
        <v>186</v>
      </c>
      <c r="BL161" s="870">
        <f t="shared" si="489"/>
        <v>332</v>
      </c>
      <c r="BM161" s="870">
        <f t="shared" si="489"/>
        <v>245</v>
      </c>
      <c r="BN161" s="870">
        <f t="shared" si="489"/>
        <v>252</v>
      </c>
      <c r="BO161" s="870">
        <f t="shared" ref="BO161:DW161" si="490">SUM(BO162:BO170)</f>
        <v>169</v>
      </c>
      <c r="BP161" s="870">
        <f t="shared" si="490"/>
        <v>104</v>
      </c>
      <c r="BQ161" s="870">
        <f t="shared" si="490"/>
        <v>122</v>
      </c>
      <c r="BR161" s="870">
        <f t="shared" si="490"/>
        <v>120</v>
      </c>
      <c r="BS161" s="870">
        <f t="shared" si="490"/>
        <v>156</v>
      </c>
      <c r="BT161" s="870">
        <f t="shared" si="490"/>
        <v>161</v>
      </c>
      <c r="BU161" s="870">
        <f t="shared" si="490"/>
        <v>291</v>
      </c>
      <c r="BV161" s="870">
        <f t="shared" si="490"/>
        <v>57</v>
      </c>
      <c r="BW161" s="870">
        <f t="shared" si="490"/>
        <v>68</v>
      </c>
      <c r="BX161" s="870">
        <f t="shared" si="490"/>
        <v>18</v>
      </c>
      <c r="BY161" s="870">
        <f t="shared" si="490"/>
        <v>19</v>
      </c>
      <c r="BZ161" s="870">
        <f t="shared" si="490"/>
        <v>81</v>
      </c>
      <c r="CA161" s="870">
        <f t="shared" si="490"/>
        <v>66</v>
      </c>
      <c r="CB161" s="870">
        <f t="shared" si="490"/>
        <v>109</v>
      </c>
      <c r="CC161" s="870">
        <f t="shared" si="490"/>
        <v>75</v>
      </c>
      <c r="CD161" s="870">
        <f t="shared" si="490"/>
        <v>118</v>
      </c>
      <c r="CE161" s="870">
        <f t="shared" si="490"/>
        <v>93</v>
      </c>
      <c r="CF161" s="870">
        <f t="shared" si="490"/>
        <v>119</v>
      </c>
      <c r="CG161" s="870">
        <f t="shared" si="490"/>
        <v>182</v>
      </c>
      <c r="CH161" s="870">
        <f t="shared" si="490"/>
        <v>164</v>
      </c>
      <c r="CI161" s="870">
        <f t="shared" si="490"/>
        <v>151</v>
      </c>
      <c r="CJ161" s="870">
        <f t="shared" si="490"/>
        <v>311</v>
      </c>
      <c r="CK161" s="870">
        <f t="shared" si="490"/>
        <v>315</v>
      </c>
      <c r="CL161" s="870">
        <f t="shared" si="490"/>
        <v>220</v>
      </c>
      <c r="CM161" s="870">
        <f t="shared" si="490"/>
        <v>290</v>
      </c>
      <c r="CN161" s="870">
        <f t="shared" si="490"/>
        <v>94</v>
      </c>
      <c r="CO161" s="870">
        <f t="shared" si="490"/>
        <v>279</v>
      </c>
      <c r="CP161" s="870">
        <f t="shared" si="490"/>
        <v>195</v>
      </c>
      <c r="CQ161" s="870">
        <f t="shared" si="490"/>
        <v>214</v>
      </c>
      <c r="CR161" s="870">
        <f t="shared" si="490"/>
        <v>134</v>
      </c>
      <c r="CS161" s="870">
        <f t="shared" si="490"/>
        <v>77</v>
      </c>
      <c r="CT161" s="870">
        <f t="shared" si="490"/>
        <v>67</v>
      </c>
      <c r="CU161" s="870">
        <f t="shared" si="490"/>
        <v>78</v>
      </c>
      <c r="CV161" s="870">
        <f t="shared" si="490"/>
        <v>48</v>
      </c>
      <c r="CW161" s="870">
        <f t="shared" si="490"/>
        <v>42</v>
      </c>
      <c r="CX161" s="870">
        <f t="shared" si="490"/>
        <v>68</v>
      </c>
      <c r="CY161" s="870">
        <f t="shared" si="490"/>
        <v>86</v>
      </c>
      <c r="CZ161" s="870">
        <f t="shared" si="490"/>
        <v>0</v>
      </c>
      <c r="DA161" s="870">
        <f t="shared" si="490"/>
        <v>0</v>
      </c>
      <c r="DB161" s="870">
        <f t="shared" si="490"/>
        <v>0</v>
      </c>
      <c r="DC161" s="870">
        <f t="shared" si="490"/>
        <v>12</v>
      </c>
      <c r="DD161" s="870">
        <f t="shared" si="490"/>
        <v>43</v>
      </c>
      <c r="DE161" s="870">
        <f t="shared" si="490"/>
        <v>60</v>
      </c>
      <c r="DF161" s="870">
        <f t="shared" si="490"/>
        <v>76</v>
      </c>
      <c r="DG161" s="870">
        <f t="shared" si="490"/>
        <v>78</v>
      </c>
      <c r="DH161" s="870">
        <f t="shared" si="490"/>
        <v>119</v>
      </c>
      <c r="DI161" s="870">
        <f t="shared" si="490"/>
        <v>177</v>
      </c>
      <c r="DJ161" s="870">
        <f t="shared" si="490"/>
        <v>154</v>
      </c>
      <c r="DK161" s="870">
        <f t="shared" si="490"/>
        <v>100</v>
      </c>
      <c r="DL161" s="870">
        <f t="shared" si="490"/>
        <v>142</v>
      </c>
      <c r="DM161" s="870">
        <f t="shared" si="490"/>
        <v>132</v>
      </c>
      <c r="DN161" s="870">
        <f t="shared" si="490"/>
        <v>137.33333333333334</v>
      </c>
      <c r="DO161" s="870">
        <f t="shared" si="490"/>
        <v>140.38888888888889</v>
      </c>
      <c r="DP161" s="870">
        <f t="shared" si="490"/>
        <v>134.28703703703704</v>
      </c>
      <c r="DQ161" s="870">
        <f t="shared" si="490"/>
        <v>131.00154320987656</v>
      </c>
      <c r="DR161" s="870">
        <f t="shared" si="490"/>
        <v>69</v>
      </c>
      <c r="DS161" s="870">
        <f t="shared" si="490"/>
        <v>28</v>
      </c>
      <c r="DT161" s="870">
        <f t="shared" si="490"/>
        <v>26</v>
      </c>
      <c r="DU161" s="870">
        <f t="shared" si="490"/>
        <v>46</v>
      </c>
      <c r="DV161" s="870">
        <f t="shared" si="490"/>
        <v>37</v>
      </c>
      <c r="DW161" s="872">
        <f t="shared" si="490"/>
        <v>43</v>
      </c>
      <c r="DX161" s="870">
        <f t="shared" ref="DX161:EC161" si="491">SUM(DX162:DX170)</f>
        <v>69</v>
      </c>
      <c r="DY161" s="870">
        <f t="shared" si="491"/>
        <v>84</v>
      </c>
      <c r="DZ161" s="870">
        <f t="shared" si="491"/>
        <v>50</v>
      </c>
      <c r="EA161" s="870">
        <f t="shared" si="491"/>
        <v>86</v>
      </c>
      <c r="EB161" s="870">
        <f t="shared" si="491"/>
        <v>83</v>
      </c>
      <c r="EC161" s="872">
        <f t="shared" si="491"/>
        <v>112</v>
      </c>
      <c r="ED161" s="852"/>
      <c r="EE161" s="852"/>
      <c r="EF161" s="852"/>
      <c r="EG161" s="852"/>
      <c r="EH161" s="852"/>
    </row>
    <row r="162" spans="1:138">
      <c r="A162" s="189" t="s">
        <v>33</v>
      </c>
      <c r="B162" s="215">
        <f>'Volume Data Entry'!C28</f>
        <v>6</v>
      </c>
      <c r="C162" s="215">
        <f>'Volume Data Entry'!C89</f>
        <v>6</v>
      </c>
      <c r="D162" s="215">
        <f>'Volume Data Entry'!K28</f>
        <v>0</v>
      </c>
      <c r="E162" s="215">
        <f>'Volume Data Entry'!K89</f>
        <v>0</v>
      </c>
      <c r="F162" s="215">
        <f>'Volume Data Entry'!S28</f>
        <v>1</v>
      </c>
      <c r="G162" s="215">
        <f>'Volume Data Entry'!S89</f>
        <v>22</v>
      </c>
      <c r="H162" s="215">
        <f>'Volume Data Entry'!AA28</f>
        <v>0</v>
      </c>
      <c r="I162" s="215">
        <f>'Volume Data Entry'!AA89</f>
        <v>1</v>
      </c>
      <c r="J162" s="215">
        <f>'Volume Data Entry'!AI28</f>
        <v>2</v>
      </c>
      <c r="K162" s="215">
        <f>'Volume Data Entry'!AI89</f>
        <v>0</v>
      </c>
      <c r="L162" s="215">
        <f>'Volume Data Entry'!AQ28</f>
        <v>0</v>
      </c>
      <c r="M162" s="215">
        <f>'Volume Data Entry'!AQ89</f>
        <v>1</v>
      </c>
      <c r="N162" s="215">
        <f>'Volume Data Entry'!AY28</f>
        <v>9</v>
      </c>
      <c r="O162" s="215">
        <f>'Volume Data Entry'!AY89</f>
        <v>0</v>
      </c>
      <c r="P162" s="215">
        <f>'Volume Data Entry'!BG28</f>
        <v>17</v>
      </c>
      <c r="Q162" s="215">
        <f>'Volume Data Entry'!BG89</f>
        <v>21</v>
      </c>
      <c r="R162" s="215">
        <f>'Volume Data Entry'!BO28</f>
        <v>6</v>
      </c>
      <c r="S162" s="215">
        <f>'Volume Data Entry'!BO89</f>
        <v>7</v>
      </c>
      <c r="T162" s="215">
        <f>'Volume Data Entry'!BW28</f>
        <v>0</v>
      </c>
      <c r="U162" s="215">
        <f>'Volume Data Entry'!BW89</f>
        <v>0</v>
      </c>
      <c r="V162" s="215">
        <f>'Volume Data Entry'!CE28</f>
        <v>0</v>
      </c>
      <c r="W162" s="215">
        <f>'Volume Data Entry'!CE89</f>
        <v>0</v>
      </c>
      <c r="X162" s="215">
        <f>'Volume Data Entry'!CM28</f>
        <v>8</v>
      </c>
      <c r="Y162" s="215">
        <f>'Volume Data Entry'!CM89</f>
        <v>0</v>
      </c>
      <c r="Z162" s="215">
        <f>'Volume Data Entry'!CU28</f>
        <v>17</v>
      </c>
      <c r="AA162" s="215">
        <f>'Volume Data Entry'!CU89</f>
        <v>4</v>
      </c>
      <c r="AB162" s="215">
        <f>'Volume Data Entry'!DC28</f>
        <v>0</v>
      </c>
      <c r="AC162" s="215">
        <f>'Volume Data Entry'!DC89</f>
        <v>0</v>
      </c>
      <c r="AD162" s="215">
        <f>'Volume Data Entry'!DK28</f>
        <v>0</v>
      </c>
      <c r="AE162" s="215">
        <f>'Volume Data Entry'!DK89</f>
        <v>0</v>
      </c>
      <c r="AF162" s="215">
        <f>'Volume Data Entry'!DS28</f>
        <v>0</v>
      </c>
      <c r="AG162" s="215">
        <f>'Volume Data Entry'!DS89</f>
        <v>0</v>
      </c>
      <c r="AH162" s="215">
        <f>'Volume Data Entry'!EA28</f>
        <v>0</v>
      </c>
      <c r="AI162" s="215">
        <f>'Volume Data Entry'!EA89</f>
        <v>2</v>
      </c>
      <c r="AJ162" s="215">
        <f>'Volume Data Entry'!EI28</f>
        <v>6</v>
      </c>
      <c r="AK162" s="215">
        <f>'Volume Data Entry'!EI89</f>
        <v>3</v>
      </c>
      <c r="AL162" s="215">
        <f>'Volume Data Entry'!EQ28</f>
        <v>10</v>
      </c>
      <c r="AM162" s="215">
        <f>'Volume Data Entry'!EQ89</f>
        <v>0</v>
      </c>
      <c r="AN162" s="215">
        <f>'Volume Data Entry'!EY28</f>
        <v>0</v>
      </c>
      <c r="AO162" s="215">
        <f>'Volume Data Entry'!EY89</f>
        <v>0</v>
      </c>
      <c r="AP162" s="215">
        <f>'Volume Data Entry'!FG28</f>
        <v>0</v>
      </c>
      <c r="AQ162" s="215">
        <f>'Volume Data Entry'!FG89</f>
        <v>0</v>
      </c>
      <c r="AR162" s="215">
        <f>'Volume Data Entry'!FO28</f>
        <v>0</v>
      </c>
      <c r="AS162" s="215">
        <f>'Volume Data Entry'!FO89</f>
        <v>0</v>
      </c>
      <c r="AT162" s="215">
        <f>'Volume Data Entry'!FW28</f>
        <v>0</v>
      </c>
      <c r="AU162" s="215">
        <f>'Volume Data Entry'!FW89</f>
        <v>0</v>
      </c>
      <c r="AV162" s="215">
        <f>'Volume Data Entry'!GE28</f>
        <v>0</v>
      </c>
      <c r="AW162" s="215">
        <f>'Volume Data Entry'!GE89</f>
        <v>0</v>
      </c>
      <c r="AX162" s="215">
        <f>'Volume Data Entry'!GM28</f>
        <v>10</v>
      </c>
      <c r="AY162" s="215">
        <f>'Volume Data Entry'!GM89</f>
        <v>4</v>
      </c>
      <c r="AZ162" s="215">
        <f>'Volume Data Entry'!GU28</f>
        <v>0</v>
      </c>
      <c r="BA162" s="216">
        <f>'Volume Data Entry'!GU89</f>
        <v>1</v>
      </c>
      <c r="BB162" s="215">
        <f>'Volume Data Entry'!HC28</f>
        <v>0</v>
      </c>
      <c r="BC162" s="216">
        <f>'Volume Data Entry'!HC89</f>
        <v>0</v>
      </c>
      <c r="BD162" s="215">
        <f>'Volume Data Entry'!HK28</f>
        <v>0</v>
      </c>
      <c r="BE162" s="215">
        <f>'Volume Data Entry'!HK89</f>
        <v>0</v>
      </c>
      <c r="BF162" s="215">
        <f>'Volume Data Entry'!HS28</f>
        <v>0</v>
      </c>
      <c r="BG162" s="215">
        <f>'Volume Data Entry'!HS89</f>
        <v>7</v>
      </c>
      <c r="BH162" s="215">
        <f>'Volume Data Entry'!IA28</f>
        <v>7</v>
      </c>
      <c r="BI162" s="215">
        <f>'Volume Data Entry'!IA89</f>
        <v>7</v>
      </c>
      <c r="BJ162" s="215">
        <f>'Volume Data Entry'!II28</f>
        <v>19</v>
      </c>
      <c r="BK162" s="215">
        <f>'Volume Data Entry'!II89</f>
        <v>19</v>
      </c>
      <c r="BL162" s="215">
        <f>'Volume Data Entry'!IQ28</f>
        <v>57</v>
      </c>
      <c r="BM162" s="215">
        <f>'Volume Data Entry'!IQ89</f>
        <v>34</v>
      </c>
      <c r="BN162" s="215">
        <f>'Volume Data Entry'!IY28</f>
        <v>62</v>
      </c>
      <c r="BO162" s="216">
        <f>'Volume Data Entry'!IY89</f>
        <v>36</v>
      </c>
      <c r="BP162" s="216">
        <f>'Volume Data Entry'!JG28</f>
        <v>14</v>
      </c>
      <c r="BQ162" s="215">
        <f>'Volume Data Entry'!JG89</f>
        <v>22</v>
      </c>
      <c r="BR162" s="221">
        <f>'Volume Data Entry'!JO28</f>
        <v>20</v>
      </c>
      <c r="BS162" s="215">
        <f>'Volume Data Entry'!JO89</f>
        <v>27</v>
      </c>
      <c r="BT162" s="222">
        <f>'Volume Data Entry'!JW28</f>
        <v>29</v>
      </c>
      <c r="BU162" s="215">
        <f>'Volume Data Entry'!JW89</f>
        <v>44</v>
      </c>
      <c r="BV162" s="222">
        <f>'Volume Data Entry'!KE28</f>
        <v>5</v>
      </c>
      <c r="BW162" s="215">
        <f>'Volume Data Entry'!KE89</f>
        <v>5</v>
      </c>
      <c r="BX162" s="222">
        <f>'Volume Data Entry'!KM28</f>
        <v>0</v>
      </c>
      <c r="BY162" s="215">
        <f>'Volume Data Entry'!KM89</f>
        <v>0</v>
      </c>
      <c r="BZ162" s="222">
        <f>'Volume Data Entry'!KU28</f>
        <v>0</v>
      </c>
      <c r="CA162" s="215">
        <f>'Volume Data Entry'!KU89</f>
        <v>0</v>
      </c>
      <c r="CB162" s="190">
        <f>'Volume Data Entry'!LC28</f>
        <v>0</v>
      </c>
      <c r="CC162" s="191">
        <f>'Volume Data Entry'!LC89</f>
        <v>1</v>
      </c>
      <c r="CD162" s="190">
        <f>'Volume Data Entry'!LK28</f>
        <v>1</v>
      </c>
      <c r="CE162" s="191">
        <f>'Volume Data Entry'!LK89</f>
        <v>4</v>
      </c>
      <c r="CF162" s="215">
        <f>'Volume Data Entry'!LS28</f>
        <v>6</v>
      </c>
      <c r="CG162" s="215">
        <f>'Volume Data Entry'!LS89</f>
        <v>21</v>
      </c>
      <c r="CH162" s="215">
        <f>'Volume Data Entry'!MA28</f>
        <v>17</v>
      </c>
      <c r="CI162" s="215">
        <f>'Volume Data Entry'!MA89</f>
        <v>22</v>
      </c>
      <c r="CJ162" s="215">
        <f>'Volume Data Entry'!MI28</f>
        <v>39</v>
      </c>
      <c r="CK162" s="215">
        <f>'Volume Data Entry'!MI89</f>
        <v>41</v>
      </c>
      <c r="CL162" s="215">
        <f>'Volume Data Entry'!MQ28</f>
        <v>46</v>
      </c>
      <c r="CM162" s="215">
        <f>'Volume Data Entry'!MQ89</f>
        <v>71</v>
      </c>
      <c r="CN162" s="215">
        <f>'Volume Data Entry'!MY28</f>
        <v>0</v>
      </c>
      <c r="CO162" s="215">
        <f>'Volume Data Entry'!MY104</f>
        <v>46</v>
      </c>
      <c r="CP162" s="776">
        <f>'Volume Data Entry'!NG32</f>
        <v>38</v>
      </c>
      <c r="CQ162" s="776">
        <f>'Volume Data Entry'!NG104</f>
        <v>25</v>
      </c>
      <c r="CR162" s="776">
        <f>'Volume Data Entry'!NO32</f>
        <v>11</v>
      </c>
      <c r="CS162" s="776">
        <f>'Volume Data Entry'!NO104</f>
        <v>14</v>
      </c>
      <c r="CT162" s="215">
        <f>'Volume Data Entry'!NW32</f>
        <v>2</v>
      </c>
      <c r="CU162" s="215">
        <f>'Volume Data Entry'!NW104</f>
        <v>2</v>
      </c>
      <c r="CV162" s="776">
        <f>'Volume Data Entry'!OE32</f>
        <v>2</v>
      </c>
      <c r="CW162" s="776">
        <f>'Volume Data Entry'!OE104</f>
        <v>0</v>
      </c>
      <c r="CX162" s="776">
        <f>'Volume Data Entry'!OM32</f>
        <v>4</v>
      </c>
      <c r="CY162" s="776">
        <f>'Volume Data Entry'!OM104</f>
        <v>0</v>
      </c>
      <c r="CZ162" s="215">
        <f>'Volume Data Entry'!OU32</f>
        <v>0</v>
      </c>
      <c r="DA162" s="215">
        <f>'Volume Data Entry'!OU104</f>
        <v>0</v>
      </c>
      <c r="DB162" s="776">
        <f>'Volume Data Entry'!PC32</f>
        <v>0</v>
      </c>
      <c r="DC162" s="776">
        <f>'Volume Data Entry'!PC104</f>
        <v>0</v>
      </c>
      <c r="DD162" s="776">
        <f>'Volume Data Entry'!PK32</f>
        <v>1</v>
      </c>
      <c r="DE162" s="776">
        <f>'Volume Data Entry'!PK104</f>
        <v>5</v>
      </c>
      <c r="DF162" s="215">
        <f>'Volume Data Entry'!PS32</f>
        <v>2</v>
      </c>
      <c r="DG162" s="776">
        <f>'Volume Data Entry'!PS104</f>
        <v>5</v>
      </c>
      <c r="DH162" s="776">
        <f>'Volume Data Entry'!QA32</f>
        <v>13</v>
      </c>
      <c r="DI162" s="776">
        <f>'Volume Data Entry'!QA104</f>
        <v>26</v>
      </c>
      <c r="DJ162" s="776">
        <f>'Volume Data Entry'!QI32</f>
        <v>25</v>
      </c>
      <c r="DK162" s="776">
        <f>'Volume Data Entry'!QI104</f>
        <v>13</v>
      </c>
      <c r="DL162" s="215">
        <f>'Volume Data Entry'!QQ32</f>
        <v>14</v>
      </c>
      <c r="DM162" s="776">
        <f>'Volume Data Entry'!QQ104</f>
        <v>14</v>
      </c>
      <c r="DN162" s="774">
        <f t="shared" si="482"/>
        <v>17.5</v>
      </c>
      <c r="DO162" s="774">
        <f t="shared" si="483"/>
        <v>18.25</v>
      </c>
      <c r="DP162" s="774">
        <f t="shared" si="484"/>
        <v>16.958333333333332</v>
      </c>
      <c r="DQ162" s="774">
        <f t="shared" si="485"/>
        <v>15.618055555555555</v>
      </c>
      <c r="DR162" s="215">
        <f>'Volume Data Entry'!RO32</f>
        <v>3</v>
      </c>
      <c r="DS162" s="776">
        <f>'Volume Data Entry'!RO104</f>
        <v>1</v>
      </c>
      <c r="DT162" s="774">
        <f>'Volume Data Entry'!RW32</f>
        <v>0</v>
      </c>
      <c r="DU162" s="774">
        <f>'Volume Data Entry'!RW108</f>
        <v>0</v>
      </c>
      <c r="DV162" s="774">
        <f>'Volume Data Entry'!SE32</f>
        <v>0</v>
      </c>
      <c r="DW162" s="774">
        <f>'Volume Data Entry'!SE104</f>
        <v>0</v>
      </c>
      <c r="DX162" s="215">
        <f>'Volume Data Entry'!SM32</f>
        <v>3</v>
      </c>
      <c r="DY162" s="776">
        <f>'Volume Data Entry'!SM104</f>
        <v>0</v>
      </c>
      <c r="DZ162" s="774">
        <f>'Volume Data Entry'!SU32</f>
        <v>0</v>
      </c>
      <c r="EA162" s="774">
        <f>'Volume Data Entry'!SU104</f>
        <v>1</v>
      </c>
      <c r="EB162" s="774">
        <f>'Volume Data Entry'!TC32</f>
        <v>0</v>
      </c>
      <c r="EC162" s="774">
        <f>'Volume Data Entry'!TC104</f>
        <v>5</v>
      </c>
    </row>
    <row r="163" spans="1:138">
      <c r="A163" s="189" t="s">
        <v>34</v>
      </c>
      <c r="B163" s="215">
        <f>'Volume Data Entry'!C32</f>
        <v>3</v>
      </c>
      <c r="C163" s="215">
        <f>'Volume Data Entry'!C93</f>
        <v>3</v>
      </c>
      <c r="D163" s="215">
        <f>'Volume Data Entry'!K32</f>
        <v>0</v>
      </c>
      <c r="E163" s="215">
        <f>'Volume Data Entry'!K93</f>
        <v>0</v>
      </c>
      <c r="F163" s="215">
        <f>'Volume Data Entry'!S32</f>
        <v>0</v>
      </c>
      <c r="G163" s="215">
        <f>'Volume Data Entry'!S93</f>
        <v>6</v>
      </c>
      <c r="H163" s="215">
        <f>'Volume Data Entry'!AA32</f>
        <v>0</v>
      </c>
      <c r="I163" s="215">
        <f>'Volume Data Entry'!AA93</f>
        <v>0</v>
      </c>
      <c r="J163" s="215">
        <f>'Volume Data Entry'!AI32</f>
        <v>0</v>
      </c>
      <c r="K163" s="215">
        <f>'Volume Data Entry'!AI93</f>
        <v>0</v>
      </c>
      <c r="L163" s="215">
        <f>'Volume Data Entry'!AQ32</f>
        <v>0</v>
      </c>
      <c r="M163" s="215">
        <f>'Volume Data Entry'!AQ93</f>
        <v>0</v>
      </c>
      <c r="N163" s="215">
        <f>'Volume Data Entry'!AY32</f>
        <v>5</v>
      </c>
      <c r="O163" s="215">
        <f>'Volume Data Entry'!AY93</f>
        <v>0</v>
      </c>
      <c r="P163" s="215">
        <f>'Volume Data Entry'!BG32</f>
        <v>4</v>
      </c>
      <c r="Q163" s="215">
        <f>'Volume Data Entry'!BG93</f>
        <v>10</v>
      </c>
      <c r="R163" s="215">
        <f>'Volume Data Entry'!BO32</f>
        <v>2</v>
      </c>
      <c r="S163" s="215">
        <f>'Volume Data Entry'!BO93</f>
        <v>9</v>
      </c>
      <c r="T163" s="215">
        <f>'Volume Data Entry'!BW32</f>
        <v>0</v>
      </c>
      <c r="U163" s="215">
        <f>'Volume Data Entry'!BW93</f>
        <v>0</v>
      </c>
      <c r="V163" s="215">
        <f>'Volume Data Entry'!EC32</f>
        <v>0</v>
      </c>
      <c r="W163" s="215">
        <f>'Volume Data Entry'!CE93</f>
        <v>0</v>
      </c>
      <c r="X163" s="215">
        <f>'Volume Data Entry'!CM32</f>
        <v>2</v>
      </c>
      <c r="Y163" s="215">
        <f>'Volume Data Entry'!CM93</f>
        <v>0</v>
      </c>
      <c r="Z163" s="215">
        <f>'Volume Data Entry'!CU32</f>
        <v>4</v>
      </c>
      <c r="AA163" s="215">
        <f>'Volume Data Entry'!CU93</f>
        <v>0</v>
      </c>
      <c r="AB163" s="215">
        <f>'Volume Data Entry'!DC32</f>
        <v>2</v>
      </c>
      <c r="AC163" s="215">
        <f>'Volume Data Entry'!DC93</f>
        <v>0</v>
      </c>
      <c r="AD163" s="215">
        <f>'Volume Data Entry'!DK32</f>
        <v>40</v>
      </c>
      <c r="AE163" s="215">
        <f>'Volume Data Entry'!DK93</f>
        <v>0</v>
      </c>
      <c r="AF163" s="215">
        <f>'Volume Data Entry'!DS32</f>
        <v>0</v>
      </c>
      <c r="AG163" s="215">
        <f>'Volume Data Entry'!DS93</f>
        <v>0</v>
      </c>
      <c r="AH163" s="215">
        <f>'Volume Data Entry'!EA32</f>
        <v>0</v>
      </c>
      <c r="AI163" s="215">
        <f>'Volume Data Entry'!EA93</f>
        <v>0</v>
      </c>
      <c r="AJ163" s="215">
        <f>'Volume Data Entry'!EI32</f>
        <v>0</v>
      </c>
      <c r="AK163" s="215">
        <f>'Volume Data Entry'!EI93</f>
        <v>0</v>
      </c>
      <c r="AL163" s="215">
        <f>'Volume Data Entry'!EQ32</f>
        <v>0</v>
      </c>
      <c r="AM163" s="215">
        <f>'Volume Data Entry'!EQ93</f>
        <v>0</v>
      </c>
      <c r="AN163" s="215">
        <f>'Volume Data Entry'!EY32</f>
        <v>0</v>
      </c>
      <c r="AO163" s="215">
        <f>'Volume Data Entry'!EY93</f>
        <v>0</v>
      </c>
      <c r="AP163" s="215">
        <f>'Volume Data Entry'!FG32</f>
        <v>0</v>
      </c>
      <c r="AQ163" s="215">
        <f>'Volume Data Entry'!FG93</f>
        <v>0</v>
      </c>
      <c r="AR163" s="215">
        <f>'Volume Data Entry'!FO32</f>
        <v>0</v>
      </c>
      <c r="AS163" s="215">
        <f>'Volume Data Entry'!FO93</f>
        <v>0</v>
      </c>
      <c r="AT163" s="215">
        <f>'Volume Data Entry'!FW32</f>
        <v>0</v>
      </c>
      <c r="AU163" s="215">
        <f>'Volume Data Entry'!FW93</f>
        <v>0</v>
      </c>
      <c r="AV163" s="215">
        <f>'Volume Data Entry'!GE32</f>
        <v>0</v>
      </c>
      <c r="AW163" s="215">
        <f>'Volume Data Entry'!GE93</f>
        <v>0</v>
      </c>
      <c r="AX163" s="215">
        <f>'Volume Data Entry'!GM32</f>
        <v>9</v>
      </c>
      <c r="AY163" s="221">
        <f>'Volume Data Entry'!GM93</f>
        <v>5</v>
      </c>
      <c r="AZ163" s="215">
        <f>'Volume Data Entry'!GU32</f>
        <v>0</v>
      </c>
      <c r="BA163" s="221">
        <f>'Volume Data Entry'!GU93</f>
        <v>0</v>
      </c>
      <c r="BB163" s="215">
        <f>'Volume Data Entry'!HC32</f>
        <v>0</v>
      </c>
      <c r="BC163" s="221">
        <f>'Volume Data Entry'!HC93</f>
        <v>0</v>
      </c>
      <c r="BD163" s="215">
        <f>'Volume Data Entry'!HK32</f>
        <v>0</v>
      </c>
      <c r="BE163" s="222">
        <f>'Volume Data Entry'!HK93</f>
        <v>0</v>
      </c>
      <c r="BF163" s="215">
        <f>'Volume Data Entry'!HS32</f>
        <v>0</v>
      </c>
      <c r="BG163" s="222">
        <f>'Volume Data Entry'!HS93</f>
        <v>0</v>
      </c>
      <c r="BH163" s="215">
        <f>'Volume Data Entry'!IA32</f>
        <v>0</v>
      </c>
      <c r="BI163" s="222">
        <f>'Volume Data Entry'!IA93</f>
        <v>0</v>
      </c>
      <c r="BJ163" s="215">
        <f>'Volume Data Entry'!II32</f>
        <v>0</v>
      </c>
      <c r="BK163" s="222">
        <f>'Volume Data Entry'!II93</f>
        <v>0</v>
      </c>
      <c r="BL163" s="215">
        <f>'Volume Data Entry'!IQ32</f>
        <v>9</v>
      </c>
      <c r="BM163" s="222">
        <f>'Volume Data Entry'!IQ93</f>
        <v>6</v>
      </c>
      <c r="BN163" s="215">
        <f>'Volume Data Entry'!IY32</f>
        <v>6</v>
      </c>
      <c r="BO163" s="221">
        <f>'Volume Data Entry'!IY93</f>
        <v>9</v>
      </c>
      <c r="BP163" s="216">
        <f>'Volume Data Entry'!JG32</f>
        <v>8</v>
      </c>
      <c r="BQ163" s="215">
        <f>'Volume Data Entry'!JG93</f>
        <v>6</v>
      </c>
      <c r="BR163" s="221">
        <f>'Volume Data Entry'!JO32</f>
        <v>9</v>
      </c>
      <c r="BS163" s="215">
        <f>'Volume Data Entry'!JO93</f>
        <v>12</v>
      </c>
      <c r="BT163" s="222">
        <f>'Volume Data Entry'!JW32</f>
        <v>7</v>
      </c>
      <c r="BU163" s="222">
        <f>'Volume Data Entry'!JW93</f>
        <v>9</v>
      </c>
      <c r="BV163" s="222">
        <f>'Volume Data Entry'!KE32</f>
        <v>3</v>
      </c>
      <c r="BW163" s="222">
        <f>'Volume Data Entry'!KE93</f>
        <v>6</v>
      </c>
      <c r="BX163" s="222">
        <f>'Volume Data Entry'!KM32</f>
        <v>0</v>
      </c>
      <c r="BY163" s="222">
        <f>'Volume Data Entry'!KM93</f>
        <v>0</v>
      </c>
      <c r="BZ163" s="222">
        <f>'Volume Data Entry'!KU32</f>
        <v>0</v>
      </c>
      <c r="CA163" s="222">
        <f>'Volume Data Entry'!KU93</f>
        <v>0</v>
      </c>
      <c r="CB163" s="190">
        <f>'Volume Data Entry'!LC32</f>
        <v>0</v>
      </c>
      <c r="CC163" s="191">
        <f>'Volume Data Entry'!LC93</f>
        <v>0</v>
      </c>
      <c r="CD163" s="190">
        <f>'Volume Data Entry'!LK32</f>
        <v>0</v>
      </c>
      <c r="CE163" s="191">
        <f>'Volume Data Entry'!LK93</f>
        <v>0</v>
      </c>
      <c r="CF163" s="215">
        <f>'Volume Data Entry'!LS32</f>
        <v>0</v>
      </c>
      <c r="CG163" s="222">
        <f>'Volume Data Entry'!LS93</f>
        <v>0</v>
      </c>
      <c r="CH163" s="215">
        <f>'Volume Data Entry'!MA32</f>
        <v>0</v>
      </c>
      <c r="CI163" s="222">
        <f>'Volume Data Entry'!MA93</f>
        <v>2</v>
      </c>
      <c r="CJ163" s="215">
        <f>'Volume Data Entry'!MI32</f>
        <v>7</v>
      </c>
      <c r="CK163" s="222">
        <f>'Volume Data Entry'!MI93</f>
        <v>7</v>
      </c>
      <c r="CL163" s="215">
        <f>'Volume Data Entry'!MQ32</f>
        <v>13</v>
      </c>
      <c r="CM163" s="215">
        <f>'Volume Data Entry'!MQ93</f>
        <v>2</v>
      </c>
      <c r="CN163" s="215">
        <f>'Volume Data Entry'!MY32</f>
        <v>36</v>
      </c>
      <c r="CO163" s="215">
        <f>'Volume Data Entry'!MY108</f>
        <v>11</v>
      </c>
      <c r="CP163" s="776">
        <f>'Volume Data Entry'!NG36</f>
        <v>5</v>
      </c>
      <c r="CQ163" s="776">
        <f>'Volume Data Entry'!NG108</f>
        <v>7</v>
      </c>
      <c r="CR163" s="776">
        <f>'Volume Data Entry'!NO36</f>
        <v>4</v>
      </c>
      <c r="CS163" s="776">
        <f>'Volume Data Entry'!NO108</f>
        <v>3</v>
      </c>
      <c r="CT163" s="215">
        <f>'Volume Data Entry'!NW36</f>
        <v>3</v>
      </c>
      <c r="CU163" s="215">
        <f>'Volume Data Entry'!NW108</f>
        <v>0</v>
      </c>
      <c r="CV163" s="776">
        <f>'Volume Data Entry'!OE36</f>
        <v>0</v>
      </c>
      <c r="CW163" s="776">
        <f>'Volume Data Entry'!OE108</f>
        <v>0</v>
      </c>
      <c r="CX163" s="776">
        <f>'Volume Data Entry'!OM36</f>
        <v>0</v>
      </c>
      <c r="CY163" s="776">
        <f>'Volume Data Entry'!OM108</f>
        <v>0</v>
      </c>
      <c r="CZ163" s="215">
        <f>'Volume Data Entry'!OU36</f>
        <v>0</v>
      </c>
      <c r="DA163" s="215">
        <f>'Volume Data Entry'!OU108</f>
        <v>0</v>
      </c>
      <c r="DB163" s="776">
        <f>'Volume Data Entry'!PC36</f>
        <v>0</v>
      </c>
      <c r="DC163" s="776">
        <f>'Volume Data Entry'!PC108</f>
        <v>0</v>
      </c>
      <c r="DD163" s="776">
        <f>'Volume Data Entry'!PK36</f>
        <v>2</v>
      </c>
      <c r="DE163" s="776">
        <f>'Volume Data Entry'!PK108</f>
        <v>0</v>
      </c>
      <c r="DF163" s="215">
        <f>'Volume Data Entry'!PS36</f>
        <v>3</v>
      </c>
      <c r="DG163" s="776">
        <f>'Volume Data Entry'!PS108</f>
        <v>4</v>
      </c>
      <c r="DH163" s="776">
        <f>'Volume Data Entry'!QA36</f>
        <v>5</v>
      </c>
      <c r="DI163" s="776">
        <f>'Volume Data Entry'!QA108</f>
        <v>3</v>
      </c>
      <c r="DJ163" s="776">
        <f>'Volume Data Entry'!QI36</f>
        <v>11</v>
      </c>
      <c r="DK163" s="776">
        <f>'Volume Data Entry'!QI108</f>
        <v>7</v>
      </c>
      <c r="DL163" s="215">
        <f>'Volume Data Entry'!QQ36</f>
        <v>5</v>
      </c>
      <c r="DM163" s="776">
        <f>'Volume Data Entry'!QQ108</f>
        <v>5</v>
      </c>
      <c r="DN163" s="774">
        <f t="shared" si="482"/>
        <v>6</v>
      </c>
      <c r="DO163" s="774">
        <f t="shared" si="483"/>
        <v>6.166666666666667</v>
      </c>
      <c r="DP163" s="774">
        <f t="shared" si="484"/>
        <v>6.6944444444444438</v>
      </c>
      <c r="DQ163" s="774">
        <f t="shared" si="485"/>
        <v>5.9768518518518521</v>
      </c>
      <c r="DR163" s="215">
        <f>'Volume Data Entry'!RO36</f>
        <v>1</v>
      </c>
      <c r="DS163" s="776">
        <f>'Volume Data Entry'!RO108</f>
        <v>0</v>
      </c>
      <c r="DT163" s="774">
        <f>'Volume Data Entry'!RW40</f>
        <v>0</v>
      </c>
      <c r="DU163" s="774">
        <f>'Volume Data Entry'!RW104</f>
        <v>0</v>
      </c>
      <c r="DV163" s="774">
        <f>'Volume Data Entry'!SE36</f>
        <v>1</v>
      </c>
      <c r="DW163" s="774">
        <f>'Volume Data Entry'!SE108</f>
        <v>0</v>
      </c>
      <c r="DX163" s="215">
        <f>'Volume Data Entry'!SM36</f>
        <v>0</v>
      </c>
      <c r="DY163" s="776">
        <f>'Volume Data Entry'!SM108</f>
        <v>0</v>
      </c>
      <c r="DZ163" s="774">
        <f>'Volume Data Entry'!SU36</f>
        <v>0</v>
      </c>
      <c r="EA163" s="774">
        <f>'Volume Data Entry'!SU108</f>
        <v>0</v>
      </c>
      <c r="EB163" s="774">
        <f>'Volume Data Entry'!TC36</f>
        <v>0</v>
      </c>
      <c r="EC163" s="774">
        <f>'Volume Data Entry'!TC108</f>
        <v>0</v>
      </c>
    </row>
    <row r="164" spans="1:138">
      <c r="A164" s="189" t="s">
        <v>35</v>
      </c>
      <c r="B164" s="215">
        <f>'Volume Data Entry'!C36</f>
        <v>1</v>
      </c>
      <c r="C164" s="215">
        <f>'Volume Data Entry'!C97</f>
        <v>2</v>
      </c>
      <c r="D164" s="215">
        <f>'Volume Data Entry'!K36</f>
        <v>1</v>
      </c>
      <c r="E164" s="215">
        <f>'Volume Data Entry'!K97</f>
        <v>0</v>
      </c>
      <c r="F164" s="215">
        <f>'Volume Data Entry'!S36</f>
        <v>0</v>
      </c>
      <c r="G164" s="215">
        <f>'Volume Data Entry'!S97</f>
        <v>2</v>
      </c>
      <c r="H164" s="215">
        <f>'Volume Data Entry'!AA36</f>
        <v>0</v>
      </c>
      <c r="I164" s="215">
        <f>'Volume Data Entry'!AA97</f>
        <v>0</v>
      </c>
      <c r="J164" s="215">
        <f>'Volume Data Entry'!AI36</f>
        <v>0</v>
      </c>
      <c r="K164" s="215">
        <f>'Volume Data Entry'!AI97</f>
        <v>0</v>
      </c>
      <c r="L164" s="215">
        <f>'Volume Data Entry'!AQ36</f>
        <v>0</v>
      </c>
      <c r="M164" s="215">
        <f>'Volume Data Entry'!AQ97</f>
        <v>0</v>
      </c>
      <c r="N164" s="215">
        <f>'Volume Data Entry'!AY36</f>
        <v>7</v>
      </c>
      <c r="O164" s="215">
        <f>'Volume Data Entry'!AY97</f>
        <v>0</v>
      </c>
      <c r="P164" s="215">
        <f>'Volume Data Entry'!BG36</f>
        <v>7</v>
      </c>
      <c r="Q164" s="215">
        <f>'Volume Data Entry'!BG97</f>
        <v>4</v>
      </c>
      <c r="R164" s="215">
        <f>'Volume Data Entry'!BO36</f>
        <v>0</v>
      </c>
      <c r="S164" s="215">
        <f>'Volume Data Entry'!BO97</f>
        <v>7</v>
      </c>
      <c r="T164" s="215">
        <f>'Volume Data Entry'!BW36</f>
        <v>0</v>
      </c>
      <c r="U164" s="215">
        <f>'Volume Data Entry'!BW97</f>
        <v>0</v>
      </c>
      <c r="V164" s="215">
        <f>'Volume Data Entry'!CE36</f>
        <v>0</v>
      </c>
      <c r="W164" s="215">
        <f>'Volume Data Entry'!CE97</f>
        <v>0</v>
      </c>
      <c r="X164" s="215">
        <f>'Volume Data Entry'!CM36</f>
        <v>4</v>
      </c>
      <c r="Y164" s="215">
        <f>'Volume Data Entry'!CM97</f>
        <v>0</v>
      </c>
      <c r="Z164" s="215">
        <f>'Volume Data Entry'!CU36</f>
        <v>7</v>
      </c>
      <c r="AA164" s="215">
        <f>'Volume Data Entry'!CU97</f>
        <v>1</v>
      </c>
      <c r="AB164" s="215">
        <f>'Volume Data Entry'!DC36</f>
        <v>0</v>
      </c>
      <c r="AC164" s="215">
        <f>'Volume Data Entry'!DC97</f>
        <v>0</v>
      </c>
      <c r="AD164" s="215">
        <f>'Volume Data Entry'!DK36</f>
        <v>0</v>
      </c>
      <c r="AE164" s="215">
        <f>'Volume Data Entry'!DK97</f>
        <v>0</v>
      </c>
      <c r="AF164" s="215">
        <f>'Volume Data Entry'!DS36</f>
        <v>0</v>
      </c>
      <c r="AG164" s="215">
        <f>'Volume Data Entry'!DS97</f>
        <v>0</v>
      </c>
      <c r="AH164" s="215">
        <f>'Volume Data Entry'!EA36</f>
        <v>0</v>
      </c>
      <c r="AI164" s="215">
        <f>'Volume Data Entry'!EA97</f>
        <v>6</v>
      </c>
      <c r="AJ164" s="215">
        <f>'Volume Data Entry'!EI36</f>
        <v>0</v>
      </c>
      <c r="AK164" s="215">
        <f>'Volume Data Entry'!EI97</f>
        <v>1</v>
      </c>
      <c r="AL164" s="215">
        <f>'Volume Data Entry'!EQ36</f>
        <v>4</v>
      </c>
      <c r="AM164" s="215">
        <f>'Volume Data Entry'!EQ97</f>
        <v>28</v>
      </c>
      <c r="AN164" s="215">
        <f>'Volume Data Entry'!EY36</f>
        <v>0</v>
      </c>
      <c r="AO164" s="215">
        <f>'Volume Data Entry'!EY97</f>
        <v>0</v>
      </c>
      <c r="AP164" s="215">
        <f>'Volume Data Entry'!FG36</f>
        <v>0</v>
      </c>
      <c r="AQ164" s="215">
        <f>'Volume Data Entry'!FG97</f>
        <v>0</v>
      </c>
      <c r="AR164" s="215">
        <f>'Volume Data Entry'!FO36</f>
        <v>0</v>
      </c>
      <c r="AS164" s="215">
        <f>'Volume Data Entry'!FO97</f>
        <v>0</v>
      </c>
      <c r="AT164" s="215">
        <f>'Volume Data Entry'!FW36</f>
        <v>0</v>
      </c>
      <c r="AU164" s="215">
        <f>'Volume Data Entry'!FW97</f>
        <v>0</v>
      </c>
      <c r="AV164" s="215">
        <f>'Volume Data Entry'!GE36</f>
        <v>0</v>
      </c>
      <c r="AW164" s="215">
        <f>'Volume Data Entry'!GE97</f>
        <v>0</v>
      </c>
      <c r="AX164" s="215">
        <f>'Volume Data Entry'!GM36</f>
        <v>7</v>
      </c>
      <c r="AY164" s="221">
        <f>'Volume Data Entry'!GM97</f>
        <v>1</v>
      </c>
      <c r="AZ164" s="215">
        <f>'Volume Data Entry'!GU36</f>
        <v>0</v>
      </c>
      <c r="BA164" s="221">
        <f>'Volume Data Entry'!GU97</f>
        <v>0</v>
      </c>
      <c r="BB164" s="215">
        <f>'Volume Data Entry'!HC36</f>
        <v>0</v>
      </c>
      <c r="BC164" s="221">
        <f>'Volume Data Entry'!HC97</f>
        <v>0</v>
      </c>
      <c r="BD164" s="215">
        <f>'Volume Data Entry'!HK36</f>
        <v>0</v>
      </c>
      <c r="BE164" s="222">
        <f>'Volume Data Entry'!HK97</f>
        <v>0</v>
      </c>
      <c r="BF164" s="215">
        <f>'Volume Data Entry'!HS36</f>
        <v>0</v>
      </c>
      <c r="BG164" s="222">
        <f>'Volume Data Entry'!HS97</f>
        <v>0</v>
      </c>
      <c r="BH164" s="215">
        <f>'Volume Data Entry'!IA36</f>
        <v>0</v>
      </c>
      <c r="BI164" s="222">
        <f>'Volume Data Entry'!IA97</f>
        <v>2</v>
      </c>
      <c r="BJ164" s="215">
        <f>'Volume Data Entry'!II36</f>
        <v>2</v>
      </c>
      <c r="BK164" s="222">
        <f>'Volume Data Entry'!II98</f>
        <v>36</v>
      </c>
      <c r="BL164" s="215">
        <f>'Volume Data Entry'!IQ36</f>
        <v>20</v>
      </c>
      <c r="BM164" s="222">
        <f>'Volume Data Entry'!IQ97</f>
        <v>17</v>
      </c>
      <c r="BN164" s="215">
        <f>'Volume Data Entry'!IY36</f>
        <v>28</v>
      </c>
      <c r="BO164" s="221">
        <f>'Volume Data Entry'!IY97</f>
        <v>4</v>
      </c>
      <c r="BP164" s="216">
        <f>'Volume Data Entry'!JG36</f>
        <v>3</v>
      </c>
      <c r="BQ164" s="215">
        <f>'Volume Data Entry'!JG97</f>
        <v>3</v>
      </c>
      <c r="BR164" s="221">
        <f>'Volume Data Entry'!JO36</f>
        <v>9</v>
      </c>
      <c r="BS164" s="215">
        <f>'Volume Data Entry'!JO97</f>
        <v>6</v>
      </c>
      <c r="BT164" s="222">
        <f>'Volume Data Entry'!JW36</f>
        <v>14</v>
      </c>
      <c r="BU164" s="222">
        <f>'Volume Data Entry'!JW97</f>
        <v>25</v>
      </c>
      <c r="BV164" s="222">
        <f>'Volume Data Entry'!KE36</f>
        <v>6</v>
      </c>
      <c r="BW164" s="222">
        <f>'Volume Data Entry'!KE97</f>
        <v>3</v>
      </c>
      <c r="BX164" s="222">
        <f>'Volume Data Entry'!KM36</f>
        <v>0</v>
      </c>
      <c r="BY164" s="222">
        <f>'Volume Data Entry'!KM97</f>
        <v>0</v>
      </c>
      <c r="BZ164" s="222">
        <f>'Volume Data Entry'!KU36</f>
        <v>0</v>
      </c>
      <c r="CA164" s="222">
        <f>'Volume Data Entry'!KU97</f>
        <v>0</v>
      </c>
      <c r="CB164" s="190">
        <f>'Volume Data Entry'!LC36</f>
        <v>1</v>
      </c>
      <c r="CC164" s="191">
        <f>'Volume Data Entry'!LC97</f>
        <v>0</v>
      </c>
      <c r="CD164" s="190">
        <f>'Volume Data Entry'!LK36</f>
        <v>0</v>
      </c>
      <c r="CE164" s="191">
        <f>'Volume Data Entry'!LK97</f>
        <v>0</v>
      </c>
      <c r="CF164" s="215">
        <f>'Volume Data Entry'!LS36</f>
        <v>0</v>
      </c>
      <c r="CG164" s="222">
        <f>'Volume Data Entry'!LS97</f>
        <v>3</v>
      </c>
      <c r="CH164" s="215">
        <f>'Volume Data Entry'!MA36</f>
        <v>2</v>
      </c>
      <c r="CI164" s="222">
        <f>'Volume Data Entry'!MA97</f>
        <v>4</v>
      </c>
      <c r="CJ164" s="215">
        <f>'Volume Data Entry'!MI36</f>
        <v>6</v>
      </c>
      <c r="CK164" s="222">
        <f>'Volume Data Entry'!MI97</f>
        <v>6</v>
      </c>
      <c r="CL164" s="215">
        <f>'Volume Data Entry'!MQ36</f>
        <v>7</v>
      </c>
      <c r="CM164" s="215">
        <f>'Volume Data Entry'!MQ97</f>
        <v>1</v>
      </c>
      <c r="CN164" s="215">
        <f>'Volume Data Entry'!MY36</f>
        <v>11</v>
      </c>
      <c r="CO164" s="215">
        <f>'Volume Data Entry'!MY112</f>
        <v>9</v>
      </c>
      <c r="CP164" s="776">
        <f>'Volume Data Entry'!NG40</f>
        <v>4</v>
      </c>
      <c r="CQ164" s="776">
        <f>'Volume Data Entry'!NG112</f>
        <v>8</v>
      </c>
      <c r="CR164" s="776">
        <f>'Volume Data Entry'!NO40</f>
        <v>6</v>
      </c>
      <c r="CS164" s="776">
        <f>'Volume Data Entry'!NO112</f>
        <v>1</v>
      </c>
      <c r="CT164" s="215">
        <f>'Volume Data Entry'!NW40</f>
        <v>2</v>
      </c>
      <c r="CU164" s="215">
        <f>'Volume Data Entry'!NW112</f>
        <v>3</v>
      </c>
      <c r="CV164" s="776">
        <f>'Volume Data Entry'!OE40</f>
        <v>1</v>
      </c>
      <c r="CW164" s="776">
        <f>'Volume Data Entry'!OE112</f>
        <v>0</v>
      </c>
      <c r="CX164" s="776">
        <f>'Volume Data Entry'!OM40</f>
        <v>0</v>
      </c>
      <c r="CY164" s="776">
        <f>'Volume Data Entry'!OM112</f>
        <v>0</v>
      </c>
      <c r="CZ164" s="215">
        <f>'Volume Data Entry'!OU40</f>
        <v>0</v>
      </c>
      <c r="DA164" s="215">
        <f>'Volume Data Entry'!OU112</f>
        <v>0</v>
      </c>
      <c r="DB164" s="776">
        <f>'Volume Data Entry'!PC40</f>
        <v>0</v>
      </c>
      <c r="DC164" s="776">
        <f>'Volume Data Entry'!PC112</f>
        <v>0</v>
      </c>
      <c r="DD164" s="776">
        <f>'Volume Data Entry'!PK40</f>
        <v>0</v>
      </c>
      <c r="DE164" s="776">
        <f>'Volume Data Entry'!PK112</f>
        <v>0</v>
      </c>
      <c r="DF164" s="215">
        <f>'Volume Data Entry'!PS40</f>
        <v>0</v>
      </c>
      <c r="DG164" s="776">
        <f>'Volume Data Entry'!PS112</f>
        <v>0</v>
      </c>
      <c r="DH164" s="776">
        <f>'Volume Data Entry'!QA40</f>
        <v>3</v>
      </c>
      <c r="DI164" s="776">
        <f>'Volume Data Entry'!QA112</f>
        <v>5</v>
      </c>
      <c r="DJ164" s="776">
        <f>'Volume Data Entry'!QI40</f>
        <v>4</v>
      </c>
      <c r="DK164" s="776">
        <f>'Volume Data Entry'!QI112</f>
        <v>5</v>
      </c>
      <c r="DL164" s="215">
        <f>'Volume Data Entry'!QQ40</f>
        <v>5</v>
      </c>
      <c r="DM164" s="776">
        <f>'Volume Data Entry'!QQ112</f>
        <v>5</v>
      </c>
      <c r="DN164" s="774">
        <f t="shared" si="482"/>
        <v>4.5</v>
      </c>
      <c r="DO164" s="774">
        <f t="shared" si="483"/>
        <v>4.75</v>
      </c>
      <c r="DP164" s="774">
        <f t="shared" si="484"/>
        <v>4.708333333333333</v>
      </c>
      <c r="DQ164" s="774">
        <f t="shared" si="485"/>
        <v>4.8263888888888884</v>
      </c>
      <c r="DR164" s="215">
        <f>'Volume Data Entry'!RO40</f>
        <v>2</v>
      </c>
      <c r="DS164" s="776">
        <f>'Volume Data Entry'!RO112</f>
        <v>0</v>
      </c>
      <c r="DT164" s="774">
        <f>'Volume Data Entry'!RW41</f>
        <v>0</v>
      </c>
      <c r="DU164" s="774">
        <f>'Volume Data Entry'!RW112</f>
        <v>1</v>
      </c>
      <c r="DV164" s="774">
        <f>'Volume Data Entry'!SE40</f>
        <v>0</v>
      </c>
      <c r="DW164" s="774">
        <f>'Volume Data Entry'!SE112</f>
        <v>1</v>
      </c>
      <c r="DX164" s="215">
        <f>'Volume Data Entry'!SM40</f>
        <v>0</v>
      </c>
      <c r="DY164" s="776">
        <f>'Volume Data Entry'!SM112</f>
        <v>0</v>
      </c>
      <c r="DZ164" s="774">
        <f>'Volume Data Entry'!SU40</f>
        <v>0</v>
      </c>
      <c r="EA164" s="774">
        <f>'Volume Data Entry'!SU112</f>
        <v>1</v>
      </c>
      <c r="EB164" s="774">
        <f>'Volume Data Entry'!TC40</f>
        <v>0</v>
      </c>
      <c r="EC164" s="774">
        <f>'Volume Data Entry'!TC112</f>
        <v>1</v>
      </c>
    </row>
    <row r="165" spans="1:138">
      <c r="A165" s="189" t="s">
        <v>37</v>
      </c>
      <c r="B165" s="215">
        <f>'Volume Data Entry'!C37</f>
        <v>7</v>
      </c>
      <c r="C165" s="215">
        <f>'Volume Data Entry'!C98</f>
        <v>10</v>
      </c>
      <c r="D165" s="215">
        <f>'Volume Data Entry'!K37</f>
        <v>0</v>
      </c>
      <c r="E165" s="215">
        <f>'Volume Data Entry'!K98</f>
        <v>1</v>
      </c>
      <c r="F165" s="215">
        <f>'Volume Data Entry'!S37</f>
        <v>42</v>
      </c>
      <c r="G165" s="215">
        <f>'Volume Data Entry'!S98</f>
        <v>77</v>
      </c>
      <c r="H165" s="215">
        <f>'Volume Data Entry'!AA37</f>
        <v>5</v>
      </c>
      <c r="I165" s="215">
        <f>'Volume Data Entry'!AA98</f>
        <v>14</v>
      </c>
      <c r="J165" s="215">
        <f>'Volume Data Entry'!AI37</f>
        <v>40</v>
      </c>
      <c r="K165" s="215">
        <f>'Volume Data Entry'!AI98</f>
        <v>53</v>
      </c>
      <c r="L165" s="215">
        <f>'Volume Data Entry'!AQ37</f>
        <v>0</v>
      </c>
      <c r="M165" s="215">
        <f>'Volume Data Entry'!AQ98</f>
        <v>32</v>
      </c>
      <c r="N165" s="215">
        <f>'Volume Data Entry'!AY37</f>
        <v>29</v>
      </c>
      <c r="O165" s="215">
        <f>'Volume Data Entry'!AY98</f>
        <v>0</v>
      </c>
      <c r="P165" s="215">
        <f>'Volume Data Entry'!BG37</f>
        <v>27</v>
      </c>
      <c r="Q165" s="215">
        <f>'Volume Data Entry'!BG98</f>
        <v>18</v>
      </c>
      <c r="R165" s="215">
        <f>'Volume Data Entry'!BO37</f>
        <v>9</v>
      </c>
      <c r="S165" s="215">
        <f>'Volume Data Entry'!BO98</f>
        <v>15</v>
      </c>
      <c r="T165" s="215">
        <f>'Volume Data Entry'!BW37</f>
        <v>0</v>
      </c>
      <c r="U165" s="215">
        <f>'Volume Data Entry'!BW98</f>
        <v>0</v>
      </c>
      <c r="V165" s="215">
        <f>'Volume Data Entry'!CE37</f>
        <v>0</v>
      </c>
      <c r="W165" s="215">
        <f>'Volume Data Entry'!CE98</f>
        <v>0</v>
      </c>
      <c r="X165" s="215">
        <f>'Volume Data Entry'!CM37</f>
        <v>2</v>
      </c>
      <c r="Y165" s="215">
        <f>'Volume Data Entry'!CM98</f>
        <v>0</v>
      </c>
      <c r="Z165" s="215">
        <f>'Volume Data Entry'!CU37</f>
        <v>27</v>
      </c>
      <c r="AA165" s="215">
        <f>'Volume Data Entry'!CU98</f>
        <v>15</v>
      </c>
      <c r="AB165" s="215">
        <f>'Volume Data Entry'!DC37</f>
        <v>6</v>
      </c>
      <c r="AC165" s="215">
        <f>'Volume Data Entry'!DC98</f>
        <v>0</v>
      </c>
      <c r="AD165" s="215">
        <f>'Volume Data Entry'!DK37</f>
        <v>11</v>
      </c>
      <c r="AE165" s="215">
        <f>'Volume Data Entry'!DK98</f>
        <v>11</v>
      </c>
      <c r="AF165" s="215">
        <f>'Volume Data Entry'!DS37</f>
        <v>0</v>
      </c>
      <c r="AG165" s="215">
        <f>'Volume Data Entry'!DS98</f>
        <v>14</v>
      </c>
      <c r="AH165" s="215">
        <f>'Volume Data Entry'!EA37</f>
        <v>0</v>
      </c>
      <c r="AI165" s="215">
        <f>'Volume Data Entry'!EA98</f>
        <v>18</v>
      </c>
      <c r="AJ165" s="215">
        <f>'Volume Data Entry'!EI37</f>
        <v>74</v>
      </c>
      <c r="AK165" s="215">
        <f>'Volume Data Entry'!EI98</f>
        <v>28</v>
      </c>
      <c r="AL165" s="215">
        <f>'Volume Data Entry'!EQ37</f>
        <v>25</v>
      </c>
      <c r="AM165" s="215">
        <f>'Volume Data Entry'!EQ98</f>
        <v>29</v>
      </c>
      <c r="AN165" s="215">
        <f>'Volume Data Entry'!EY37</f>
        <v>0</v>
      </c>
      <c r="AO165" s="215">
        <f>'Volume Data Entry'!EY98</f>
        <v>0</v>
      </c>
      <c r="AP165" s="215">
        <f>'Volume Data Entry'!FG37</f>
        <v>0</v>
      </c>
      <c r="AQ165" s="215">
        <f>'Volume Data Entry'!FG98</f>
        <v>0</v>
      </c>
      <c r="AR165" s="215">
        <f>'Volume Data Entry'!FO37</f>
        <v>0</v>
      </c>
      <c r="AS165" s="215">
        <f>'Volume Data Entry'!FO98</f>
        <v>0</v>
      </c>
      <c r="AT165" s="215">
        <f>'Volume Data Entry'!FW37</f>
        <v>0</v>
      </c>
      <c r="AU165" s="215">
        <f>'Volume Data Entry'!FW98</f>
        <v>0</v>
      </c>
      <c r="AV165" s="215">
        <f>'Volume Data Entry'!GE37</f>
        <v>0</v>
      </c>
      <c r="AW165" s="215">
        <f>'Volume Data Entry'!GE98</f>
        <v>0</v>
      </c>
      <c r="AX165" s="215">
        <f>'Volume Data Entry'!GM37</f>
        <v>27</v>
      </c>
      <c r="AY165" s="221">
        <f>'Volume Data Entry'!GM98</f>
        <v>14</v>
      </c>
      <c r="AZ165" s="215">
        <f>'Volume Data Entry'!GU37</f>
        <v>6</v>
      </c>
      <c r="BA165" s="221">
        <f>'Volume Data Entry'!GU98</f>
        <v>31</v>
      </c>
      <c r="BB165" s="215">
        <f>'Volume Data Entry'!HC37</f>
        <v>40</v>
      </c>
      <c r="BC165" s="221">
        <f>'Volume Data Entry'!HC98</f>
        <v>35</v>
      </c>
      <c r="BD165" s="215">
        <f>'Volume Data Entry'!HK37</f>
        <v>6</v>
      </c>
      <c r="BE165" s="222">
        <f>'Volume Data Entry'!HK98</f>
        <v>26</v>
      </c>
      <c r="BF165" s="215">
        <f>'Volume Data Entry'!HS37</f>
        <v>34</v>
      </c>
      <c r="BG165" s="222">
        <f>'Volume Data Entry'!HS98</f>
        <v>33</v>
      </c>
      <c r="BH165" s="215">
        <f>'Volume Data Entry'!IA37</f>
        <v>13</v>
      </c>
      <c r="BI165" s="222">
        <f>'Volume Data Entry'!IA98</f>
        <v>3</v>
      </c>
      <c r="BJ165" s="215">
        <f>'Volume Data Entry'!II37</f>
        <v>18</v>
      </c>
      <c r="BK165" s="222">
        <f>'Volume Data Entry'!II98</f>
        <v>36</v>
      </c>
      <c r="BL165" s="215">
        <f>'Volume Data Entry'!IQ37</f>
        <v>44</v>
      </c>
      <c r="BM165" s="222">
        <f>'Volume Data Entry'!IQ98</f>
        <v>57</v>
      </c>
      <c r="BN165" s="215">
        <f>'Volume Data Entry'!IY37</f>
        <v>31</v>
      </c>
      <c r="BO165" s="221">
        <f>'Volume Data Entry'!IY98</f>
        <v>24</v>
      </c>
      <c r="BP165" s="216">
        <f>'Volume Data Entry'!JG37</f>
        <v>5</v>
      </c>
      <c r="BQ165" s="215">
        <f>'Volume Data Entry'!JG98</f>
        <v>7</v>
      </c>
      <c r="BR165" s="221">
        <f>'Volume Data Entry'!JO37</f>
        <v>10</v>
      </c>
      <c r="BS165" s="215">
        <f>'Volume Data Entry'!JO98</f>
        <v>11</v>
      </c>
      <c r="BT165" s="222">
        <f>'Volume Data Entry'!JW37</f>
        <v>4</v>
      </c>
      <c r="BU165" s="222">
        <f>'Volume Data Entry'!JW98</f>
        <v>19</v>
      </c>
      <c r="BV165" s="222">
        <f>'Volume Data Entry'!KE37</f>
        <v>5</v>
      </c>
      <c r="BW165" s="222">
        <f>'Volume Data Entry'!KE98</f>
        <v>13</v>
      </c>
      <c r="BX165" s="222">
        <f>'Volume Data Entry'!KM37</f>
        <v>0</v>
      </c>
      <c r="BY165" s="222">
        <f>'Volume Data Entry'!KM98</f>
        <v>1</v>
      </c>
      <c r="BZ165" s="222">
        <f>'Volume Data Entry'!KU37</f>
        <v>11</v>
      </c>
      <c r="CA165" s="222">
        <f>'Volume Data Entry'!KU98</f>
        <v>12</v>
      </c>
      <c r="CB165" s="190">
        <f>'Volume Data Entry'!LC37</f>
        <v>23</v>
      </c>
      <c r="CC165" s="191">
        <f>'Volume Data Entry'!LC98</f>
        <v>8</v>
      </c>
      <c r="CD165" s="190">
        <f>'Volume Data Entry'!LK37</f>
        <v>28</v>
      </c>
      <c r="CE165" s="191">
        <f>'Volume Data Entry'!LK98</f>
        <v>17</v>
      </c>
      <c r="CF165" s="215">
        <f>'Volume Data Entry'!LS37</f>
        <v>26</v>
      </c>
      <c r="CG165" s="222">
        <f>'Volume Data Entry'!LS98</f>
        <v>51</v>
      </c>
      <c r="CH165" s="215">
        <f>'Volume Data Entry'!MA37</f>
        <v>28</v>
      </c>
      <c r="CI165" s="222">
        <f>'Volume Data Entry'!MA98</f>
        <v>44</v>
      </c>
      <c r="CJ165" s="215">
        <f>'Volume Data Entry'!MI37</f>
        <v>61</v>
      </c>
      <c r="CK165" s="222">
        <f>'Volume Data Entry'!MI98</f>
        <v>46</v>
      </c>
      <c r="CL165" s="215">
        <f>'Volume Data Entry'!MQ37</f>
        <v>23</v>
      </c>
      <c r="CM165" s="215">
        <f>'Volume Data Entry'!MQ98</f>
        <v>39</v>
      </c>
      <c r="CN165" s="215">
        <f>'Volume Data Entry'!MY37</f>
        <v>0</v>
      </c>
      <c r="CO165" s="215">
        <f>'Volume Data Entry'!MY113</f>
        <v>14</v>
      </c>
      <c r="CP165" s="776">
        <f>'Volume Data Entry'!NG41</f>
        <v>10</v>
      </c>
      <c r="CQ165" s="776">
        <f>'Volume Data Entry'!NG113</f>
        <v>18</v>
      </c>
      <c r="CR165" s="776">
        <f>'Volume Data Entry'!NO41</f>
        <v>9</v>
      </c>
      <c r="CS165" s="776">
        <f>'Volume Data Entry'!NO113</f>
        <v>2</v>
      </c>
      <c r="CT165" s="215">
        <f>'Volume Data Entry'!NW41</f>
        <v>6</v>
      </c>
      <c r="CU165" s="215">
        <f>'Volume Data Entry'!NW113</f>
        <v>2</v>
      </c>
      <c r="CV165" s="776">
        <f>'Volume Data Entry'!OE41</f>
        <v>3</v>
      </c>
      <c r="CW165" s="776">
        <f>'Volume Data Entry'!OE113</f>
        <v>0</v>
      </c>
      <c r="CX165" s="776">
        <f>'Volume Data Entry'!OM41</f>
        <v>2</v>
      </c>
      <c r="CY165" s="776">
        <f>'Volume Data Entry'!OM113</f>
        <v>5</v>
      </c>
      <c r="CZ165" s="215">
        <f>'Volume Data Entry'!OU41</f>
        <v>0</v>
      </c>
      <c r="DA165" s="215">
        <f>'Volume Data Entry'!OU113</f>
        <v>0</v>
      </c>
      <c r="DB165" s="776">
        <f>'Volume Data Entry'!PC41</f>
        <v>0</v>
      </c>
      <c r="DC165" s="776">
        <f>'Volume Data Entry'!PC113</f>
        <v>3</v>
      </c>
      <c r="DD165" s="776">
        <f>'Volume Data Entry'!PK41</f>
        <v>16</v>
      </c>
      <c r="DE165" s="776">
        <f>'Volume Data Entry'!PK113</f>
        <v>18</v>
      </c>
      <c r="DF165" s="215">
        <f>'Volume Data Entry'!PS41</f>
        <v>15</v>
      </c>
      <c r="DG165" s="776">
        <f>'Volume Data Entry'!PS113</f>
        <v>18</v>
      </c>
      <c r="DH165" s="776">
        <f>'Volume Data Entry'!QA41</f>
        <v>18</v>
      </c>
      <c r="DI165" s="776">
        <f>'Volume Data Entry'!QA113</f>
        <v>28</v>
      </c>
      <c r="DJ165" s="776">
        <f>'Volume Data Entry'!QI41</f>
        <v>16</v>
      </c>
      <c r="DK165" s="776">
        <f>'Volume Data Entry'!QI113</f>
        <v>9</v>
      </c>
      <c r="DL165" s="215">
        <f>'Volume Data Entry'!QQ41</f>
        <v>21</v>
      </c>
      <c r="DM165" s="776">
        <f>'Volume Data Entry'!QQ113</f>
        <v>7</v>
      </c>
      <c r="DN165" s="774">
        <f t="shared" si="482"/>
        <v>16.5</v>
      </c>
      <c r="DO165" s="774">
        <f t="shared" si="483"/>
        <v>16.25</v>
      </c>
      <c r="DP165" s="774">
        <f t="shared" si="484"/>
        <v>14.291666666666666</v>
      </c>
      <c r="DQ165" s="774">
        <f t="shared" si="485"/>
        <v>14.006944444444445</v>
      </c>
      <c r="DR165" s="215">
        <f>'Volume Data Entry'!RO41</f>
        <v>2</v>
      </c>
      <c r="DS165" s="776">
        <f>'Volume Data Entry'!RO113</f>
        <v>0</v>
      </c>
      <c r="DT165" s="774">
        <f>'Volume Data Entry'!RW41</f>
        <v>0</v>
      </c>
      <c r="DU165" s="774">
        <f>'Volume Data Entry'!RW113</f>
        <v>1</v>
      </c>
      <c r="DV165" s="774">
        <f>'Volume Data Entry'!SE41</f>
        <v>4</v>
      </c>
      <c r="DW165" s="774">
        <f>'Volume Data Entry'!SE113</f>
        <v>9</v>
      </c>
      <c r="DX165" s="215">
        <f>'Volume Data Entry'!SM41</f>
        <v>11</v>
      </c>
      <c r="DY165" s="776">
        <f>'Volume Data Entry'!SM113</f>
        <v>21</v>
      </c>
      <c r="DZ165" s="774">
        <f>'Volume Data Entry'!SU41</f>
        <v>8</v>
      </c>
      <c r="EA165" s="774">
        <f>'Volume Data Entry'!SU113</f>
        <v>13</v>
      </c>
      <c r="EB165" s="774">
        <f>'Volume Data Entry'!TC41</f>
        <v>19</v>
      </c>
      <c r="EC165" s="774">
        <f>'Volume Data Entry'!TC113</f>
        <v>24</v>
      </c>
    </row>
    <row r="166" spans="1:138">
      <c r="A166" s="189" t="s">
        <v>38</v>
      </c>
      <c r="B166" s="215">
        <f>'Volume Data Entry'!C41</f>
        <v>13</v>
      </c>
      <c r="C166" s="215">
        <f>'Volume Data Entry'!C102</f>
        <v>39</v>
      </c>
      <c r="D166" s="215">
        <f>'Volume Data Entry'!K41</f>
        <v>4</v>
      </c>
      <c r="E166" s="215">
        <f>'Volume Data Entry'!K102</f>
        <v>4</v>
      </c>
      <c r="F166" s="215">
        <f>'Volume Data Entry'!S41</f>
        <v>11</v>
      </c>
      <c r="G166" s="215">
        <f>'Volume Data Entry'!S102</f>
        <v>48</v>
      </c>
      <c r="H166" s="215">
        <f>'Volume Data Entry'!AA41</f>
        <v>3</v>
      </c>
      <c r="I166" s="215">
        <f>'Volume Data Entry'!AA102</f>
        <v>2</v>
      </c>
      <c r="J166" s="215">
        <f>'Volume Data Entry'!AI41</f>
        <v>11</v>
      </c>
      <c r="K166" s="215">
        <f>'Volume Data Entry'!AI102</f>
        <v>22</v>
      </c>
      <c r="L166" s="215">
        <f>'Volume Data Entry'!AQ41</f>
        <v>0</v>
      </c>
      <c r="M166" s="215">
        <f>'Volume Data Entry'!AQ102</f>
        <v>20</v>
      </c>
      <c r="N166" s="215">
        <f>'Volume Data Entry'!AY41</f>
        <v>11</v>
      </c>
      <c r="O166" s="215">
        <f>'Volume Data Entry'!AY102</f>
        <v>0</v>
      </c>
      <c r="P166" s="215">
        <f>'Volume Data Entry'!BG41</f>
        <v>14</v>
      </c>
      <c r="Q166" s="215">
        <f>'Volume Data Entry'!BG102</f>
        <v>10</v>
      </c>
      <c r="R166" s="215">
        <f>'Volume Data Entry'!BO41</f>
        <v>5</v>
      </c>
      <c r="S166" s="215">
        <f>'Volume Data Entry'!BO102</f>
        <v>8</v>
      </c>
      <c r="T166" s="215">
        <f>'Volume Data Entry'!BW41</f>
        <v>0</v>
      </c>
      <c r="U166" s="215">
        <f>'Volume Data Entry'!BW102</f>
        <v>0</v>
      </c>
      <c r="V166" s="215">
        <f>'Volume Data Entry'!CE41</f>
        <v>0</v>
      </c>
      <c r="W166" s="215">
        <f>'Volume Data Entry'!CE102</f>
        <v>0</v>
      </c>
      <c r="X166" s="215">
        <f>'Volume Data Entry'!CM41</f>
        <v>7</v>
      </c>
      <c r="Y166" s="215">
        <f>'Volume Data Entry'!CM102</f>
        <v>0</v>
      </c>
      <c r="Z166" s="215">
        <f>'Volume Data Entry'!CU41</f>
        <v>14</v>
      </c>
      <c r="AA166" s="215">
        <f>'Volume Data Entry'!CU102</f>
        <v>10</v>
      </c>
      <c r="AB166" s="215">
        <f>'Volume Data Entry'!DC41</f>
        <v>14</v>
      </c>
      <c r="AC166" s="215">
        <f>'Volume Data Entry'!DC102</f>
        <v>0</v>
      </c>
      <c r="AD166" s="215">
        <f>'Volume Data Entry'!DK41</f>
        <v>12</v>
      </c>
      <c r="AE166" s="215">
        <f>'Volume Data Entry'!DK102</f>
        <v>21</v>
      </c>
      <c r="AF166" s="215">
        <f>'Volume Data Entry'!DS41</f>
        <v>0</v>
      </c>
      <c r="AG166" s="215">
        <f>'Volume Data Entry'!DS102</f>
        <v>5</v>
      </c>
      <c r="AH166" s="215">
        <f>'Volume Data Entry'!EA41</f>
        <v>11</v>
      </c>
      <c r="AI166" s="215">
        <f>'Volume Data Entry'!EA102</f>
        <v>16</v>
      </c>
      <c r="AJ166" s="215">
        <f>'Volume Data Entry'!EI41</f>
        <v>60</v>
      </c>
      <c r="AK166" s="215">
        <f>'Volume Data Entry'!EI102</f>
        <v>21</v>
      </c>
      <c r="AL166" s="215">
        <f>'Volume Data Entry'!EQ41</f>
        <v>18</v>
      </c>
      <c r="AM166" s="215">
        <f>'Volume Data Entry'!EQ102</f>
        <v>13</v>
      </c>
      <c r="AN166" s="215">
        <f>'Volume Data Entry'!EY41</f>
        <v>0</v>
      </c>
      <c r="AO166" s="215">
        <f>'Volume Data Entry'!EY102</f>
        <v>0</v>
      </c>
      <c r="AP166" s="215">
        <f>'Volume Data Entry'!FG41</f>
        <v>0</v>
      </c>
      <c r="AQ166" s="215">
        <f>'Volume Data Entry'!FG102</f>
        <v>0</v>
      </c>
      <c r="AR166" s="215">
        <f>'Volume Data Entry'!FO41</f>
        <v>0</v>
      </c>
      <c r="AS166" s="215">
        <f>'Volume Data Entry'!FO102</f>
        <v>0</v>
      </c>
      <c r="AT166" s="215">
        <f>'Volume Data Entry'!FW41</f>
        <v>0</v>
      </c>
      <c r="AU166" s="215">
        <f>'Volume Data Entry'!FW102</f>
        <v>0</v>
      </c>
      <c r="AV166" s="215">
        <f>'Volume Data Entry'!GE41</f>
        <v>0</v>
      </c>
      <c r="AW166" s="215">
        <f>'Volume Data Entry'!GE102</f>
        <v>0</v>
      </c>
      <c r="AX166" s="215">
        <f>'Volume Data Entry'!GM41</f>
        <v>13</v>
      </c>
      <c r="AY166" s="221">
        <f>'Volume Data Entry'!GM102</f>
        <v>8</v>
      </c>
      <c r="AZ166" s="215">
        <f>'Volume Data Entry'!GU41</f>
        <v>14</v>
      </c>
      <c r="BA166" s="221">
        <f>'Volume Data Entry'!GU102</f>
        <v>19</v>
      </c>
      <c r="BB166" s="215">
        <f>'Volume Data Entry'!HC41</f>
        <v>11</v>
      </c>
      <c r="BC166" s="221">
        <f>'Volume Data Entry'!HC102</f>
        <v>29</v>
      </c>
      <c r="BD166" s="215">
        <f>'Volume Data Entry'!HK41</f>
        <v>9</v>
      </c>
      <c r="BE166" s="222">
        <f>'Volume Data Entry'!HK102</f>
        <v>30</v>
      </c>
      <c r="BF166" s="215">
        <f>'Volume Data Entry'!HS41</f>
        <v>36</v>
      </c>
      <c r="BG166" s="222">
        <f>'Volume Data Entry'!HS102</f>
        <v>23</v>
      </c>
      <c r="BH166" s="215">
        <f>'Volume Data Entry'!IA41</f>
        <v>18</v>
      </c>
      <c r="BI166" s="222">
        <f>'Volume Data Entry'!IA102</f>
        <v>5</v>
      </c>
      <c r="BJ166" s="215">
        <f>'Volume Data Entry'!II41</f>
        <v>17</v>
      </c>
      <c r="BK166" s="222">
        <f>'Volume Data Entry'!II102</f>
        <v>26</v>
      </c>
      <c r="BL166" s="215">
        <f>'Volume Data Entry'!IQ41</f>
        <v>28</v>
      </c>
      <c r="BM166" s="222">
        <f>'Volume Data Entry'!IQ102</f>
        <v>20</v>
      </c>
      <c r="BN166" s="215">
        <f>'Volume Data Entry'!IY41</f>
        <v>8</v>
      </c>
      <c r="BO166" s="221">
        <f>'Volume Data Entry'!IY102</f>
        <v>19</v>
      </c>
      <c r="BP166" s="216">
        <f>'Volume Data Entry'!JG41</f>
        <v>7</v>
      </c>
      <c r="BQ166" s="215">
        <f>'Volume Data Entry'!JG102</f>
        <v>8</v>
      </c>
      <c r="BR166" s="221">
        <f>'Volume Data Entry'!JO41</f>
        <v>9</v>
      </c>
      <c r="BS166" s="215">
        <f>'Volume Data Entry'!JO102</f>
        <v>23</v>
      </c>
      <c r="BT166" s="222">
        <f>'Volume Data Entry'!JW41</f>
        <v>23</v>
      </c>
      <c r="BU166" s="222">
        <f>'Volume Data Entry'!JW102</f>
        <v>22</v>
      </c>
      <c r="BV166" s="222">
        <f>'Volume Data Entry'!KE41</f>
        <v>7</v>
      </c>
      <c r="BW166" s="222">
        <f>'Volume Data Entry'!KE102</f>
        <v>5</v>
      </c>
      <c r="BX166" s="222">
        <f>'Volume Data Entry'!KM41</f>
        <v>4</v>
      </c>
      <c r="BY166" s="222">
        <f>'Volume Data Entry'!KM102</f>
        <v>4</v>
      </c>
      <c r="BZ166" s="222">
        <f>'Volume Data Entry'!KU41</f>
        <v>24</v>
      </c>
      <c r="CA166" s="222">
        <f>'Volume Data Entry'!KU102</f>
        <v>22</v>
      </c>
      <c r="CB166" s="190">
        <f>'Volume Data Entry'!LC41</f>
        <v>19</v>
      </c>
      <c r="CC166" s="191">
        <f>'Volume Data Entry'!LC102</f>
        <v>10</v>
      </c>
      <c r="CD166" s="190">
        <f>'Volume Data Entry'!LK41</f>
        <v>29</v>
      </c>
      <c r="CE166" s="191">
        <f>'Volume Data Entry'!LK102</f>
        <v>26</v>
      </c>
      <c r="CF166" s="215">
        <f>'Volume Data Entry'!LS41</f>
        <v>25</v>
      </c>
      <c r="CG166" s="222">
        <f>'Volume Data Entry'!LS102</f>
        <v>32</v>
      </c>
      <c r="CH166" s="215">
        <f>'Volume Data Entry'!MA41</f>
        <v>26</v>
      </c>
      <c r="CI166" s="222">
        <f>'Volume Data Entry'!MA102</f>
        <v>18</v>
      </c>
      <c r="CJ166" s="215">
        <f>'Volume Data Entry'!MI41</f>
        <v>37</v>
      </c>
      <c r="CK166" s="222">
        <f>'Volume Data Entry'!MI102</f>
        <v>51</v>
      </c>
      <c r="CL166" s="215">
        <f>'Volume Data Entry'!MQ41</f>
        <v>23</v>
      </c>
      <c r="CM166" s="215">
        <f>'Volume Data Entry'!MQ102</f>
        <v>28</v>
      </c>
      <c r="CN166" s="215">
        <f>'Volume Data Entry'!MY41</f>
        <v>12</v>
      </c>
      <c r="CO166" s="215">
        <f>'Volume Data Entry'!MY124</f>
        <v>32</v>
      </c>
      <c r="CP166" s="776">
        <f>'Volume Data Entry'!NG52</f>
        <v>22</v>
      </c>
      <c r="CQ166" s="776">
        <f>'Volume Data Entry'!NG124</f>
        <v>44</v>
      </c>
      <c r="CR166" s="776">
        <f>'Volume Data Entry'!NO52</f>
        <v>23</v>
      </c>
      <c r="CS166" s="776">
        <f>'Volume Data Entry'!NO124</f>
        <v>13</v>
      </c>
      <c r="CT166" s="215">
        <f>'Volume Data Entry'!NW52</f>
        <v>9</v>
      </c>
      <c r="CU166" s="215">
        <f>'Volume Data Entry'!NW124</f>
        <v>9</v>
      </c>
      <c r="CV166" s="776">
        <f>'Volume Data Entry'!OE52</f>
        <v>10</v>
      </c>
      <c r="CW166" s="776">
        <f>'Volume Data Entry'!OE124</f>
        <v>6</v>
      </c>
      <c r="CX166" s="776">
        <f>'Volume Data Entry'!OM52</f>
        <v>15</v>
      </c>
      <c r="CY166" s="776">
        <f>'Volume Data Entry'!OM124</f>
        <v>28</v>
      </c>
      <c r="CZ166" s="215">
        <f>'Volume Data Entry'!OU52</f>
        <v>0</v>
      </c>
      <c r="DA166" s="215">
        <f>'Volume Data Entry'!OU124</f>
        <v>0</v>
      </c>
      <c r="DB166" s="776">
        <f>'Volume Data Entry'!PC52</f>
        <v>0</v>
      </c>
      <c r="DC166" s="776">
        <f>'Volume Data Entry'!PC124</f>
        <v>3</v>
      </c>
      <c r="DD166" s="776">
        <f>'Volume Data Entry'!PK52</f>
        <v>8</v>
      </c>
      <c r="DE166" s="776">
        <f>'Volume Data Entry'!PK124</f>
        <v>10</v>
      </c>
      <c r="DF166" s="215">
        <f>'Volume Data Entry'!PS52</f>
        <v>20</v>
      </c>
      <c r="DG166" s="776">
        <f>'Volume Data Entry'!PS124</f>
        <v>16</v>
      </c>
      <c r="DH166" s="776">
        <f>'Volume Data Entry'!QA52</f>
        <v>24</v>
      </c>
      <c r="DI166" s="776">
        <f>'Volume Data Entry'!QA124</f>
        <v>26</v>
      </c>
      <c r="DJ166" s="776">
        <f>'Volume Data Entry'!QI52</f>
        <v>20</v>
      </c>
      <c r="DK166" s="776">
        <f>'Volume Data Entry'!QI124</f>
        <v>14</v>
      </c>
      <c r="DL166" s="215">
        <f>'Volume Data Entry'!QQ52</f>
        <v>25</v>
      </c>
      <c r="DM166" s="776">
        <f>'Volume Data Entry'!QQ124</f>
        <v>16</v>
      </c>
      <c r="DN166" s="774">
        <f t="shared" si="482"/>
        <v>20.833333333333332</v>
      </c>
      <c r="DO166" s="774">
        <f t="shared" si="483"/>
        <v>20.305555555555554</v>
      </c>
      <c r="DP166" s="774">
        <f t="shared" si="484"/>
        <v>19.356481481481481</v>
      </c>
      <c r="DQ166" s="774">
        <f t="shared" si="485"/>
        <v>19.249228395061728</v>
      </c>
      <c r="DR166" s="215">
        <f>'Volume Data Entry'!RO52</f>
        <v>16</v>
      </c>
      <c r="DS166" s="776">
        <f>'Volume Data Entry'!RO124</f>
        <v>4</v>
      </c>
      <c r="DT166" s="774">
        <f>'Volume Data Entry'!RW52</f>
        <v>10</v>
      </c>
      <c r="DU166" s="774">
        <f>'Volume Data Entry'!RW124</f>
        <v>18</v>
      </c>
      <c r="DV166" s="774">
        <f>'Volume Data Entry'!SE52</f>
        <v>4</v>
      </c>
      <c r="DW166" s="774">
        <f>'Volume Data Entry'!SE124</f>
        <v>5</v>
      </c>
      <c r="DX166" s="215">
        <f>'Volume Data Entry'!SM52</f>
        <v>13</v>
      </c>
      <c r="DY166" s="776">
        <f>'Volume Data Entry'!SM124</f>
        <v>25</v>
      </c>
      <c r="DZ166" s="774">
        <f>'Volume Data Entry'!SU52</f>
        <v>9</v>
      </c>
      <c r="EA166" s="774">
        <f>'Volume Data Entry'!SU124</f>
        <v>29</v>
      </c>
      <c r="EB166" s="774">
        <f>'Volume Data Entry'!TC52</f>
        <v>35</v>
      </c>
      <c r="EC166" s="774">
        <f>'Volume Data Entry'!TC124</f>
        <v>37</v>
      </c>
    </row>
    <row r="167" spans="1:138">
      <c r="A167" s="192" t="s">
        <v>39</v>
      </c>
      <c r="B167" s="215">
        <f>'Volume Data Entry'!C46</f>
        <v>2</v>
      </c>
      <c r="C167" s="215">
        <f>'Volume Data Entry'!C107</f>
        <v>0</v>
      </c>
      <c r="D167" s="215">
        <f>'Volume Data Entry'!K46</f>
        <v>2</v>
      </c>
      <c r="E167" s="215">
        <f>'Volume Data Entry'!K107</f>
        <v>1</v>
      </c>
      <c r="F167" s="215">
        <f>'Volume Data Entry'!S46</f>
        <v>4</v>
      </c>
      <c r="G167" s="215">
        <f>'Volume Data Entry'!S107</f>
        <v>11</v>
      </c>
      <c r="H167" s="215">
        <f>'Volume Data Entry'!AA46</f>
        <v>0</v>
      </c>
      <c r="I167" s="215">
        <f>'Volume Data Entry'!AA107</f>
        <v>0</v>
      </c>
      <c r="J167" s="215">
        <f>'Volume Data Entry'!AI46</f>
        <v>6</v>
      </c>
      <c r="K167" s="215">
        <f>'Volume Data Entry'!AI107</f>
        <v>5</v>
      </c>
      <c r="L167" s="215">
        <f>'Volume Data Entry'!AQ46</f>
        <v>0</v>
      </c>
      <c r="M167" s="215">
        <f>'Volume Data Entry'!AQ107</f>
        <v>4</v>
      </c>
      <c r="N167" s="215">
        <f>'Volume Data Entry'!AY46</f>
        <v>2</v>
      </c>
      <c r="O167" s="215">
        <f>'Volume Data Entry'!AY107</f>
        <v>0</v>
      </c>
      <c r="P167" s="215">
        <f>'Volume Data Entry'!BG46</f>
        <v>5</v>
      </c>
      <c r="Q167" s="215">
        <f>'Volume Data Entry'!BG107</f>
        <v>1</v>
      </c>
      <c r="R167" s="215">
        <f>'Volume Data Entry'!BO46</f>
        <v>1</v>
      </c>
      <c r="S167" s="215">
        <f>'Volume Data Entry'!BO107</f>
        <v>0</v>
      </c>
      <c r="T167" s="215">
        <f>'Volume Data Entry'!BW46</f>
        <v>0</v>
      </c>
      <c r="U167" s="215">
        <f>'Volume Data Entry'!BW107</f>
        <v>0</v>
      </c>
      <c r="V167" s="215">
        <f>'Volume Data Entry'!CE46</f>
        <v>0</v>
      </c>
      <c r="W167" s="215">
        <f>'Volume Data Entry'!CE107</f>
        <v>0</v>
      </c>
      <c r="X167" s="215">
        <f>'Volume Data Entry'!CM46</f>
        <v>3</v>
      </c>
      <c r="Y167" s="215">
        <f>'Volume Data Entry'!CM107</f>
        <v>0</v>
      </c>
      <c r="Z167" s="215">
        <f>'Volume Data Entry'!CU46</f>
        <v>5</v>
      </c>
      <c r="AA167" s="215">
        <f>'Volume Data Entry'!CU107</f>
        <v>1</v>
      </c>
      <c r="AB167" s="215">
        <f>'Volume Data Entry'!DC46</f>
        <v>3</v>
      </c>
      <c r="AC167" s="215">
        <f>'Volume Data Entry'!DC107</f>
        <v>0</v>
      </c>
      <c r="AD167" s="215">
        <f>'Volume Data Entry'!DK46</f>
        <v>0</v>
      </c>
      <c r="AE167" s="215">
        <f>'Volume Data Entry'!DK107</f>
        <v>9</v>
      </c>
      <c r="AF167" s="215">
        <f>'Volume Data Entry'!DS46</f>
        <v>0</v>
      </c>
      <c r="AG167" s="215">
        <f>'Volume Data Entry'!DS107</f>
        <v>13</v>
      </c>
      <c r="AH167" s="215">
        <f>'Volume Data Entry'!EA46</f>
        <v>2</v>
      </c>
      <c r="AI167" s="215">
        <f>'Volume Data Entry'!EA107</f>
        <v>3</v>
      </c>
      <c r="AJ167" s="215">
        <f>'Volume Data Entry'!EI46</f>
        <v>6</v>
      </c>
      <c r="AK167" s="215">
        <f>'Volume Data Entry'!EI107</f>
        <v>0</v>
      </c>
      <c r="AL167" s="215">
        <f>'Volume Data Entry'!EQ46</f>
        <v>24</v>
      </c>
      <c r="AM167" s="215">
        <f>'Volume Data Entry'!EQ107</f>
        <v>11</v>
      </c>
      <c r="AN167" s="215">
        <f>'Volume Data Entry'!EY46</f>
        <v>0</v>
      </c>
      <c r="AO167" s="215">
        <f>'Volume Data Entry'!EY107</f>
        <v>0</v>
      </c>
      <c r="AP167" s="215">
        <f>'Volume Data Entry'!FG46</f>
        <v>0</v>
      </c>
      <c r="AQ167" s="215">
        <f>'Volume Data Entry'!FG107</f>
        <v>0</v>
      </c>
      <c r="AR167" s="215">
        <f>'Volume Data Entry'!FO46</f>
        <v>0</v>
      </c>
      <c r="AS167" s="215">
        <f>'Volume Data Entry'!FO107</f>
        <v>0</v>
      </c>
      <c r="AT167" s="215">
        <f>'Volume Data Entry'!FW46</f>
        <v>0</v>
      </c>
      <c r="AU167" s="215">
        <f>'Volume Data Entry'!FW107</f>
        <v>0</v>
      </c>
      <c r="AV167" s="215">
        <f>'Volume Data Entry'!GE46</f>
        <v>0</v>
      </c>
      <c r="AW167" s="215">
        <f>'Volume Data Entry'!GE107</f>
        <v>0</v>
      </c>
      <c r="AX167" s="215">
        <f>'Volume Data Entry'!GM46</f>
        <v>5</v>
      </c>
      <c r="AY167" s="221">
        <f>'Volume Data Entry'!GM107</f>
        <v>1</v>
      </c>
      <c r="AZ167" s="215">
        <f>'Volume Data Entry'!GU46</f>
        <v>3</v>
      </c>
      <c r="BA167" s="221">
        <f>'Volume Data Entry'!GU107</f>
        <v>4</v>
      </c>
      <c r="BB167" s="215">
        <f>'Volume Data Entry'!HC46</f>
        <v>4</v>
      </c>
      <c r="BC167" s="221">
        <f>'Volume Data Entry'!HC107</f>
        <v>7</v>
      </c>
      <c r="BD167" s="215">
        <f>'Volume Data Entry'!HK46</f>
        <v>4</v>
      </c>
      <c r="BE167" s="222">
        <f>'Volume Data Entry'!HK107</f>
        <v>7</v>
      </c>
      <c r="BF167" s="215">
        <f>'Volume Data Entry'!HS46</f>
        <v>11</v>
      </c>
      <c r="BG167" s="222">
        <f>'Volume Data Entry'!HS107</f>
        <v>27</v>
      </c>
      <c r="BH167" s="215">
        <f>'Volume Data Entry'!IA46</f>
        <v>30</v>
      </c>
      <c r="BI167" s="222">
        <f>'Volume Data Entry'!IA107</f>
        <v>0</v>
      </c>
      <c r="BJ167" s="215">
        <f>'Volume Data Entry'!II46</f>
        <v>26</v>
      </c>
      <c r="BK167" s="222">
        <f>'Volume Data Entry'!II107</f>
        <v>16</v>
      </c>
      <c r="BL167" s="215">
        <f>'Volume Data Entry'!IQ46</f>
        <v>32</v>
      </c>
      <c r="BM167" s="222">
        <f>'Volume Data Entry'!IQ107</f>
        <v>33</v>
      </c>
      <c r="BN167" s="215">
        <f>'Volume Data Entry'!IY46</f>
        <v>23</v>
      </c>
      <c r="BO167" s="221">
        <f>'Volume Data Entry'!IY107</f>
        <v>12</v>
      </c>
      <c r="BP167" s="216">
        <f>'Volume Data Entry'!JG46</f>
        <v>7</v>
      </c>
      <c r="BQ167" s="215">
        <f>'Volume Data Entry'!JG107</f>
        <v>7</v>
      </c>
      <c r="BR167" s="221">
        <f>'Volume Data Entry'!JO46</f>
        <v>7</v>
      </c>
      <c r="BS167" s="215">
        <f>'Volume Data Entry'!JO107</f>
        <v>6</v>
      </c>
      <c r="BT167" s="222">
        <f>'Volume Data Entry'!JW46</f>
        <v>21</v>
      </c>
      <c r="BU167" s="222">
        <f>'Volume Data Entry'!JW107</f>
        <v>55</v>
      </c>
      <c r="BV167" s="222">
        <f>'Volume Data Entry'!KE46</f>
        <v>0</v>
      </c>
      <c r="BW167" s="222">
        <f>'Volume Data Entry'!KE107</f>
        <v>7</v>
      </c>
      <c r="BX167" s="222">
        <f>'Volume Data Entry'!KM46</f>
        <v>2</v>
      </c>
      <c r="BY167" s="222">
        <f>'Volume Data Entry'!KM107</f>
        <v>0</v>
      </c>
      <c r="BZ167" s="222">
        <f>'Volume Data Entry'!KU46</f>
        <v>3</v>
      </c>
      <c r="CA167" s="222">
        <f>'Volume Data Entry'!KU107</f>
        <v>0</v>
      </c>
      <c r="CB167" s="190">
        <f>'Volume Data Entry'!LC46</f>
        <v>6</v>
      </c>
      <c r="CC167" s="191">
        <f>'Volume Data Entry'!LC107</f>
        <v>10</v>
      </c>
      <c r="CD167" s="190">
        <f>'Volume Data Entry'!LK46</f>
        <v>10</v>
      </c>
      <c r="CE167" s="191">
        <f>'Volume Data Entry'!LK107</f>
        <v>13</v>
      </c>
      <c r="CF167" s="215">
        <f>'Volume Data Entry'!LS46</f>
        <v>15</v>
      </c>
      <c r="CG167" s="222">
        <f>'Volume Data Entry'!LS107</f>
        <v>12</v>
      </c>
      <c r="CH167" s="215">
        <f>'Volume Data Entry'!MA46</f>
        <v>24</v>
      </c>
      <c r="CI167" s="222">
        <f>'Volume Data Entry'!MA107</f>
        <v>17</v>
      </c>
      <c r="CJ167" s="215">
        <f>'Volume Data Entry'!MI46</f>
        <v>33</v>
      </c>
      <c r="CK167" s="222">
        <f>'Volume Data Entry'!MI107</f>
        <v>25</v>
      </c>
      <c r="CL167" s="215">
        <f>'Volume Data Entry'!MQ46</f>
        <v>24</v>
      </c>
      <c r="CM167" s="215">
        <f>'Volume Data Entry'!MQ107</f>
        <v>19</v>
      </c>
      <c r="CN167" s="215">
        <f>'Volume Data Entry'!MY46</f>
        <v>0</v>
      </c>
      <c r="CO167" s="215">
        <f>'Volume Data Entry'!MY129</f>
        <v>21</v>
      </c>
      <c r="CP167" s="776">
        <f>'Volume Data Entry'!NG57</f>
        <v>19</v>
      </c>
      <c r="CQ167" s="776">
        <f>'Volume Data Entry'!NG129</f>
        <v>19</v>
      </c>
      <c r="CR167" s="776">
        <f>'Volume Data Entry'!NO57</f>
        <v>15</v>
      </c>
      <c r="CS167" s="776">
        <f>'Volume Data Entry'!NO129</f>
        <v>1</v>
      </c>
      <c r="CT167" s="215">
        <f>'Volume Data Entry'!NW57</f>
        <v>6</v>
      </c>
      <c r="CU167" s="215">
        <f>'Volume Data Entry'!NW129</f>
        <v>5</v>
      </c>
      <c r="CV167" s="776">
        <f>'Volume Data Entry'!OE57</f>
        <v>1</v>
      </c>
      <c r="CW167" s="776">
        <f>'Volume Data Entry'!OE129</f>
        <v>3</v>
      </c>
      <c r="CX167" s="776">
        <f>'Volume Data Entry'!OM57</f>
        <v>1</v>
      </c>
      <c r="CY167" s="776">
        <f>'Volume Data Entry'!OM129</f>
        <v>1</v>
      </c>
      <c r="CZ167" s="215">
        <f>'Volume Data Entry'!OU57</f>
        <v>0</v>
      </c>
      <c r="DA167" s="215">
        <f>'Volume Data Entry'!OU129</f>
        <v>0</v>
      </c>
      <c r="DB167" s="776">
        <f>'Volume Data Entry'!PC57</f>
        <v>0</v>
      </c>
      <c r="DC167" s="776">
        <f>'Volume Data Entry'!PC129</f>
        <v>0</v>
      </c>
      <c r="DD167" s="776">
        <f>'Volume Data Entry'!PK57</f>
        <v>1</v>
      </c>
      <c r="DE167" s="776">
        <f>'Volume Data Entry'!PK129</f>
        <v>3</v>
      </c>
      <c r="DF167" s="215">
        <f>'Volume Data Entry'!PS57</f>
        <v>6</v>
      </c>
      <c r="DG167" s="776">
        <f>'Volume Data Entry'!PS129</f>
        <v>3</v>
      </c>
      <c r="DH167" s="776">
        <f>'Volume Data Entry'!QA57</f>
        <v>7</v>
      </c>
      <c r="DI167" s="776">
        <f>'Volume Data Entry'!QA129</f>
        <v>15</v>
      </c>
      <c r="DJ167" s="776">
        <f>'Volume Data Entry'!QI57</f>
        <v>15</v>
      </c>
      <c r="DK167" s="776">
        <f>'Volume Data Entry'!QI129</f>
        <v>8</v>
      </c>
      <c r="DL167" s="215">
        <f>'Volume Data Entry'!QQ57</f>
        <v>14</v>
      </c>
      <c r="DM167" s="776">
        <f>'Volume Data Entry'!QQ129</f>
        <v>12</v>
      </c>
      <c r="DN167" s="774">
        <f t="shared" si="482"/>
        <v>11.833333333333334</v>
      </c>
      <c r="DO167" s="774">
        <f t="shared" si="483"/>
        <v>12.638888888888888</v>
      </c>
      <c r="DP167" s="774">
        <f t="shared" si="484"/>
        <v>12.245370370370372</v>
      </c>
      <c r="DQ167" s="774">
        <f t="shared" si="485"/>
        <v>11.786265432098766</v>
      </c>
      <c r="DR167" s="215">
        <f>'Volume Data Entry'!RO57</f>
        <v>10</v>
      </c>
      <c r="DS167" s="776">
        <f>'Volume Data Entry'!RO129</f>
        <v>5</v>
      </c>
      <c r="DT167" s="774">
        <f>'Volume Data Entry'!RW57</f>
        <v>3</v>
      </c>
      <c r="DU167" s="774">
        <f>'Volume Data Entry'!RW129</f>
        <v>0</v>
      </c>
      <c r="DV167" s="774">
        <f>'Volume Data Entry'!SE57</f>
        <v>2</v>
      </c>
      <c r="DW167" s="774">
        <f>'Volume Data Entry'!SE129</f>
        <v>5</v>
      </c>
      <c r="DX167" s="215">
        <f>'Volume Data Entry'!SM57</f>
        <v>7</v>
      </c>
      <c r="DY167" s="776">
        <f>'Volume Data Entry'!SM129</f>
        <v>5</v>
      </c>
      <c r="DZ167" s="774">
        <f>'Volume Data Entry'!SU57</f>
        <v>3</v>
      </c>
      <c r="EA167" s="774">
        <f>'Volume Data Entry'!SU129</f>
        <v>5</v>
      </c>
      <c r="EB167" s="774">
        <f>'Volume Data Entry'!TC57</f>
        <v>3</v>
      </c>
      <c r="EC167" s="774">
        <f>'Volume Data Entry'!TC129</f>
        <v>4</v>
      </c>
    </row>
    <row r="168" spans="1:138">
      <c r="A168" s="192" t="s">
        <v>40</v>
      </c>
      <c r="B168" s="215">
        <f>'Volume Data Entry'!C47</f>
        <v>20</v>
      </c>
      <c r="C168" s="215">
        <f>'Volume Data Entry'!C108</f>
        <v>31</v>
      </c>
      <c r="D168" s="215">
        <f>'Volume Data Entry'!K47</f>
        <v>6</v>
      </c>
      <c r="E168" s="215">
        <f>'Volume Data Entry'!K108</f>
        <v>8</v>
      </c>
      <c r="F168" s="215">
        <f>'Volume Data Entry'!S47</f>
        <v>4</v>
      </c>
      <c r="G168" s="215">
        <f>'Volume Data Entry'!S108</f>
        <v>19</v>
      </c>
      <c r="H168" s="215">
        <f>'Volume Data Entry'!AA47</f>
        <v>6</v>
      </c>
      <c r="I168" s="215">
        <f>'Volume Data Entry'!AA108</f>
        <v>13</v>
      </c>
      <c r="J168" s="215">
        <f>'Volume Data Entry'!AI47</f>
        <v>6</v>
      </c>
      <c r="K168" s="215">
        <f>'Volume Data Entry'!AI108</f>
        <v>22</v>
      </c>
      <c r="L168" s="215">
        <f>'Volume Data Entry'!AQ47</f>
        <v>0</v>
      </c>
      <c r="M168" s="215">
        <f>'Volume Data Entry'!AQ108</f>
        <v>16</v>
      </c>
      <c r="N168" s="215">
        <f>'Volume Data Entry'!AY47</f>
        <v>17</v>
      </c>
      <c r="O168" s="215">
        <f>'Volume Data Entry'!AY108</f>
        <v>0</v>
      </c>
      <c r="P168" s="215">
        <f>'Volume Data Entry'!BG47</f>
        <v>22</v>
      </c>
      <c r="Q168" s="215">
        <f>'Volume Data Entry'!BG108</f>
        <v>17</v>
      </c>
      <c r="R168" s="215">
        <f>'Volume Data Entry'!BO47</f>
        <v>9</v>
      </c>
      <c r="S168" s="215">
        <f>'Volume Data Entry'!BO108</f>
        <v>11</v>
      </c>
      <c r="T168" s="215">
        <f>'Volume Data Entry'!BW47</f>
        <v>0</v>
      </c>
      <c r="U168" s="215">
        <f>'Volume Data Entry'!BW108</f>
        <v>0</v>
      </c>
      <c r="V168" s="215">
        <f>'Volume Data Entry'!CE47</f>
        <v>0</v>
      </c>
      <c r="W168" s="215">
        <f>'Volume Data Entry'!CE108</f>
        <v>0</v>
      </c>
      <c r="X168" s="215">
        <f>'Volume Data Entry'!CM47</f>
        <v>30</v>
      </c>
      <c r="Y168" s="215">
        <f>'Volume Data Entry'!CM108</f>
        <v>0</v>
      </c>
      <c r="Z168" s="215">
        <f>'Volume Data Entry'!CU47</f>
        <v>22</v>
      </c>
      <c r="AA168" s="215">
        <f>'Volume Data Entry'!CU108</f>
        <v>17</v>
      </c>
      <c r="AB168" s="215">
        <f>'Volume Data Entry'!DC47</f>
        <v>16</v>
      </c>
      <c r="AC168" s="215">
        <f>'Volume Data Entry'!DC108</f>
        <v>0</v>
      </c>
      <c r="AD168" s="215">
        <f>'Volume Data Entry'!DK47</f>
        <v>0</v>
      </c>
      <c r="AE168" s="215">
        <f>'Volume Data Entry'!DEC108</f>
        <v>0</v>
      </c>
      <c r="AF168" s="215">
        <f>'Volume Data Entry'!DS47</f>
        <v>0</v>
      </c>
      <c r="AG168" s="215">
        <f>'Volume Data Entry'!DS108</f>
        <v>50</v>
      </c>
      <c r="AH168" s="215">
        <f>'Volume Data Entry'!EA47</f>
        <v>17</v>
      </c>
      <c r="AI168" s="215">
        <f>'Volume Data Entry'!EA108</f>
        <v>41</v>
      </c>
      <c r="AJ168" s="215">
        <f>'Volume Data Entry'!EI47</f>
        <v>68</v>
      </c>
      <c r="AK168" s="215">
        <f>'Volume Data Entry'!EI108</f>
        <v>23</v>
      </c>
      <c r="AL168" s="215">
        <f>'Volume Data Entry'!EQ47</f>
        <v>4</v>
      </c>
      <c r="AM168" s="215">
        <f>'Volume Data Entry'!EQ108</f>
        <v>13</v>
      </c>
      <c r="AN168" s="215">
        <f>'Volume Data Entry'!EY47</f>
        <v>0</v>
      </c>
      <c r="AO168" s="215">
        <f>'Volume Data Entry'!EY108</f>
        <v>0</v>
      </c>
      <c r="AP168" s="215">
        <f>'Volume Data Entry'!FG47</f>
        <v>0</v>
      </c>
      <c r="AQ168" s="215">
        <f>'Volume Data Entry'!FG108</f>
        <v>0</v>
      </c>
      <c r="AR168" s="215">
        <f>'Volume Data Entry'!FO47</f>
        <v>0</v>
      </c>
      <c r="AS168" s="215">
        <f>'Volume Data Entry'!FO108</f>
        <v>0</v>
      </c>
      <c r="AT168" s="215">
        <f>'Volume Data Entry'!FW47</f>
        <v>0</v>
      </c>
      <c r="AU168" s="215">
        <f>'Volume Data Entry'!FW108</f>
        <v>0</v>
      </c>
      <c r="AV168" s="215">
        <f>'Volume Data Entry'!GE47</f>
        <v>0</v>
      </c>
      <c r="AW168" s="215">
        <f>'Volume Data Entry'!GE108</f>
        <v>0</v>
      </c>
      <c r="AX168" s="215">
        <f>'Volume Data Entry'!GM47</f>
        <v>21</v>
      </c>
      <c r="AY168" s="221">
        <f>'Volume Data Entry'!GM108</f>
        <v>15</v>
      </c>
      <c r="AZ168" s="215">
        <f>'Volume Data Entry'!GU47</f>
        <v>16</v>
      </c>
      <c r="BA168" s="221">
        <f>'Volume Data Entry'!GU108</f>
        <v>14</v>
      </c>
      <c r="BB168" s="215">
        <f>'Volume Data Entry'!HC47</f>
        <v>4</v>
      </c>
      <c r="BC168" s="221">
        <f>'Volume Data Entry'!HC108</f>
        <v>15</v>
      </c>
      <c r="BD168" s="215">
        <f>'Volume Data Entry'!HK47</f>
        <v>33</v>
      </c>
      <c r="BE168" s="222">
        <f>'Volume Data Entry'!HK108</f>
        <v>39</v>
      </c>
      <c r="BF168" s="215">
        <f>'Volume Data Entry'!HS47</f>
        <v>43</v>
      </c>
      <c r="BG168" s="222">
        <f>'Volume Data Entry'!HS108</f>
        <v>34</v>
      </c>
      <c r="BH168" s="215">
        <f>'Volume Data Entry'!IA47</f>
        <v>16</v>
      </c>
      <c r="BI168" s="222">
        <f>'Volume Data Entry'!IA108</f>
        <v>5</v>
      </c>
      <c r="BJ168" s="215">
        <f>'Volume Data Entry'!II47</f>
        <v>16</v>
      </c>
      <c r="BK168" s="222">
        <f>'Volume Data Entry'!II108</f>
        <v>20</v>
      </c>
      <c r="BL168" s="215">
        <f>'Volume Data Entry'!IQ47</f>
        <v>13</v>
      </c>
      <c r="BM168" s="222">
        <f>'Volume Data Entry'!IQ108</f>
        <v>23</v>
      </c>
      <c r="BN168" s="215">
        <f>'Volume Data Entry'!IY47</f>
        <v>25</v>
      </c>
      <c r="BO168" s="221">
        <f>'Volume Data Entry'!IY108</f>
        <v>28</v>
      </c>
      <c r="BP168" s="216">
        <f>'Volume Data Entry'!JG47</f>
        <v>7</v>
      </c>
      <c r="BQ168" s="215">
        <f>'Volume Data Entry'!JG108</f>
        <v>4</v>
      </c>
      <c r="BR168" s="221">
        <f>'Volume Data Entry'!JO47</f>
        <v>5</v>
      </c>
      <c r="BS168" s="215">
        <f>'Volume Data Entry'!JO108</f>
        <v>5</v>
      </c>
      <c r="BT168" s="222">
        <f>'Volume Data Entry'!JW47</f>
        <v>25</v>
      </c>
      <c r="BU168" s="222">
        <f>'Volume Data Entry'!JW108</f>
        <v>17</v>
      </c>
      <c r="BV168" s="222">
        <f>'Volume Data Entry'!KE47</f>
        <v>8</v>
      </c>
      <c r="BW168" s="222">
        <f>'Volume Data Entry'!KE108</f>
        <v>1</v>
      </c>
      <c r="BX168" s="222">
        <f>'Volume Data Entry'!KM47</f>
        <v>6</v>
      </c>
      <c r="BY168" s="222">
        <f>'Volume Data Entry'!KM108</f>
        <v>7</v>
      </c>
      <c r="BZ168" s="222">
        <f>'Volume Data Entry'!KU47</f>
        <v>43</v>
      </c>
      <c r="CA168" s="222">
        <f>'Volume Data Entry'!KU108</f>
        <v>26</v>
      </c>
      <c r="CB168" s="190">
        <f>'Volume Data Entry'!LC47</f>
        <v>48</v>
      </c>
      <c r="CC168" s="191">
        <f>'Volume Data Entry'!LC108</f>
        <v>43</v>
      </c>
      <c r="CD168" s="190">
        <f>'Volume Data Entry'!LK47</f>
        <v>39</v>
      </c>
      <c r="CE168" s="191">
        <f>'Volume Data Entry'!LK108</f>
        <v>21</v>
      </c>
      <c r="CF168" s="215">
        <f>'Volume Data Entry'!LS47</f>
        <v>16</v>
      </c>
      <c r="CG168" s="222">
        <f>'Volume Data Entry'!LS108</f>
        <v>25</v>
      </c>
      <c r="CH168" s="215">
        <f>'Volume Data Entry'!MA47</f>
        <v>24</v>
      </c>
      <c r="CI168" s="222">
        <f>'Volume Data Entry'!MA108</f>
        <v>12</v>
      </c>
      <c r="CJ168" s="215">
        <f>'Volume Data Entry'!MI47</f>
        <v>34</v>
      </c>
      <c r="CK168" s="222">
        <f>'Volume Data Entry'!MI108</f>
        <v>15</v>
      </c>
      <c r="CL168" s="215">
        <f>'Volume Data Entry'!MQ47</f>
        <v>6</v>
      </c>
      <c r="CM168" s="215">
        <f>'Volume Data Entry'!MQ108</f>
        <v>29</v>
      </c>
      <c r="CN168" s="215">
        <f>'Volume Data Entry'!MY47</f>
        <v>30</v>
      </c>
      <c r="CO168" s="215">
        <f>'Volume Data Entry'!MY130</f>
        <v>23</v>
      </c>
      <c r="CP168" s="776">
        <f>'Volume Data Entry'!NG58</f>
        <v>26</v>
      </c>
      <c r="CQ168" s="776">
        <f>'Volume Data Entry'!NG130</f>
        <v>17</v>
      </c>
      <c r="CR168" s="776">
        <f>'Volume Data Entry'!NO58</f>
        <v>15</v>
      </c>
      <c r="CS168" s="776">
        <f>'Volume Data Entry'!NO130</f>
        <v>16</v>
      </c>
      <c r="CT168" s="215">
        <f>'Volume Data Entry'!NW58</f>
        <v>7</v>
      </c>
      <c r="CU168" s="215">
        <f>'Volume Data Entry'!NW130</f>
        <v>32</v>
      </c>
      <c r="CV168" s="776">
        <f>'Volume Data Entry'!OE58</f>
        <v>25</v>
      </c>
      <c r="CW168" s="776">
        <f>'Volume Data Entry'!OE130</f>
        <v>21</v>
      </c>
      <c r="CX168" s="776">
        <f>'Volume Data Entry'!OM58</f>
        <v>45</v>
      </c>
      <c r="CY168" s="776">
        <f>'Volume Data Entry'!OM130</f>
        <v>50</v>
      </c>
      <c r="CZ168" s="215">
        <f>'Volume Data Entry'!OU58</f>
        <v>0</v>
      </c>
      <c r="DA168" s="215">
        <f>'Volume Data Entry'!OU130</f>
        <v>0</v>
      </c>
      <c r="DB168" s="776">
        <f>'Volume Data Entry'!PC58</f>
        <v>0</v>
      </c>
      <c r="DC168" s="776">
        <f>'Volume Data Entry'!PC130</f>
        <v>5</v>
      </c>
      <c r="DD168" s="776">
        <f>'Volume Data Entry'!PK58</f>
        <v>4</v>
      </c>
      <c r="DE168" s="776">
        <f>'Volume Data Entry'!PK130</f>
        <v>18</v>
      </c>
      <c r="DF168" s="215">
        <f>'Volume Data Entry'!PS58</f>
        <v>9</v>
      </c>
      <c r="DG168" s="776">
        <f>'Volume Data Entry'!PS130</f>
        <v>10</v>
      </c>
      <c r="DH168" s="776">
        <f>'Volume Data Entry'!QA58</f>
        <v>8</v>
      </c>
      <c r="DI168" s="776">
        <f>'Volume Data Entry'!QA130</f>
        <v>14</v>
      </c>
      <c r="DJ168" s="776">
        <f>'Volume Data Entry'!QI58</f>
        <v>22</v>
      </c>
      <c r="DK168" s="776">
        <f>'Volume Data Entry'!QI130</f>
        <v>13</v>
      </c>
      <c r="DL168" s="215">
        <f>'Volume Data Entry'!QQ58</f>
        <v>17</v>
      </c>
      <c r="DM168" s="776">
        <f>'Volume Data Entry'!QQ130</f>
        <v>29</v>
      </c>
      <c r="DN168" s="774">
        <f t="shared" si="482"/>
        <v>17.166666666666668</v>
      </c>
      <c r="DO168" s="774">
        <f t="shared" si="483"/>
        <v>18.694444444444446</v>
      </c>
      <c r="DP168" s="774">
        <f t="shared" si="484"/>
        <v>19.476851851851851</v>
      </c>
      <c r="DQ168" s="774">
        <f t="shared" si="485"/>
        <v>19.056327160493826</v>
      </c>
      <c r="DR168" s="215">
        <f>'Volume Data Entry'!RO58</f>
        <v>29</v>
      </c>
      <c r="DS168" s="776">
        <f>'Volume Data Entry'!RO130</f>
        <v>17</v>
      </c>
      <c r="DT168" s="774">
        <f>'Volume Data Entry'!RW58</f>
        <v>13</v>
      </c>
      <c r="DU168" s="774">
        <f>'Volume Data Entry'!RW130</f>
        <v>24</v>
      </c>
      <c r="DV168" s="774">
        <f>'Volume Data Entry'!SE58</f>
        <v>20</v>
      </c>
      <c r="DW168" s="774">
        <f>'Volume Data Entry'!SE130</f>
        <v>20</v>
      </c>
      <c r="DX168" s="215">
        <f>'Volume Data Entry'!SM58</f>
        <v>25</v>
      </c>
      <c r="DY168" s="776">
        <f>'Volume Data Entry'!SM130</f>
        <v>25</v>
      </c>
      <c r="DZ168" s="774">
        <f>'Volume Data Entry'!SU58</f>
        <v>22</v>
      </c>
      <c r="EA168" s="774">
        <f>'Volume Data Entry'!SU130</f>
        <v>26</v>
      </c>
      <c r="EB168" s="774">
        <f>'Volume Data Entry'!TC58</f>
        <v>12</v>
      </c>
      <c r="EC168" s="774">
        <f>'Volume Data Entry'!TC130</f>
        <v>11</v>
      </c>
    </row>
    <row r="169" spans="1:138">
      <c r="A169" s="192" t="s">
        <v>41</v>
      </c>
      <c r="B169" s="215">
        <f>'Volume Data Entry'!C51</f>
        <v>6</v>
      </c>
      <c r="C169" s="215">
        <f>'Volume Data Entry'!C112</f>
        <v>10</v>
      </c>
      <c r="D169" s="215">
        <f>'Volume Data Entry'!K51</f>
        <v>1</v>
      </c>
      <c r="E169" s="215">
        <f>'Volume Data Entry'!K112</f>
        <v>0</v>
      </c>
      <c r="F169" s="215">
        <f>'Volume Data Entry'!S51</f>
        <v>2</v>
      </c>
      <c r="G169" s="215">
        <f>'Volume Data Entry'!S112</f>
        <v>25</v>
      </c>
      <c r="H169" s="215">
        <f>'Volume Data Entry'!AA51</f>
        <v>0</v>
      </c>
      <c r="I169" s="215">
        <f>'Volume Data Entry'!AA112</f>
        <v>0</v>
      </c>
      <c r="J169" s="215">
        <f>'Volume Data Entry'!AI51</f>
        <v>0</v>
      </c>
      <c r="K169" s="215">
        <f>'Volume Data Entry'!AI112</f>
        <v>5</v>
      </c>
      <c r="L169" s="215">
        <f>'Volume Data Entry'!AQ51</f>
        <v>0</v>
      </c>
      <c r="M169" s="215">
        <f>'Volume Data Entry'!AQ112</f>
        <v>7</v>
      </c>
      <c r="N169" s="215">
        <f>'Volume Data Entry'!AY51</f>
        <v>6</v>
      </c>
      <c r="O169" s="215">
        <f>'Volume Data Entry'!AY112</f>
        <v>0</v>
      </c>
      <c r="P169" s="215">
        <f>'Volume Data Entry'!BG51</f>
        <v>10</v>
      </c>
      <c r="Q169" s="215">
        <f>'Volume Data Entry'!BG112</f>
        <v>14</v>
      </c>
      <c r="R169" s="215">
        <f>'Volume Data Entry'!BO51</f>
        <v>3</v>
      </c>
      <c r="S169" s="215">
        <f>'Volume Data Entry'!BO112</f>
        <v>6</v>
      </c>
      <c r="T169" s="215">
        <f>'Volume Data Entry'!BW51</f>
        <v>0</v>
      </c>
      <c r="U169" s="215">
        <f>'Volume Data Entry'!BW112</f>
        <v>0</v>
      </c>
      <c r="V169" s="215">
        <f>'Volume Data Entry'!CE51</f>
        <v>0</v>
      </c>
      <c r="W169" s="215">
        <f>'Volume Data Entry'!CE112</f>
        <v>0</v>
      </c>
      <c r="X169" s="215">
        <f>'Volume Data Entry'!CM51</f>
        <v>3</v>
      </c>
      <c r="Y169" s="215">
        <f>'Volume Data Entry'!CM112</f>
        <v>0</v>
      </c>
      <c r="Z169" s="215">
        <f>'Volume Data Entry'!CU51</f>
        <v>10</v>
      </c>
      <c r="AA169" s="215">
        <f>'Volume Data Entry'!CU112</f>
        <v>14</v>
      </c>
      <c r="AB169" s="215">
        <f>'Volume Data Entry'!DC51</f>
        <v>1</v>
      </c>
      <c r="AC169" s="215">
        <f>'Volume Data Entry'!DC112</f>
        <v>0</v>
      </c>
      <c r="AD169" s="215">
        <f>'Volume Data Entry'!DK51</f>
        <v>6</v>
      </c>
      <c r="AE169" s="215">
        <f>'Volume Data Entry'!DK112</f>
        <v>0</v>
      </c>
      <c r="AF169" s="215">
        <f>'Volume Data Entry'!DS51</f>
        <v>0</v>
      </c>
      <c r="AG169" s="215">
        <f>'Volume Data Entry'!DS112</f>
        <v>0</v>
      </c>
      <c r="AH169" s="215">
        <f>'Volume Data Entry'!EA51</f>
        <v>0</v>
      </c>
      <c r="AI169" s="215">
        <f>'Volume Data Entry'!EA112</f>
        <v>5</v>
      </c>
      <c r="AJ169" s="215">
        <f>'Volume Data Entry'!EI51</f>
        <v>14</v>
      </c>
      <c r="AK169" s="215">
        <f>'Volume Data Entry'!EI112</f>
        <v>4</v>
      </c>
      <c r="AL169" s="215">
        <f>'Volume Data Entry'!EQ51</f>
        <v>23</v>
      </c>
      <c r="AM169" s="215">
        <f>'Volume Data Entry'!EQ112</f>
        <v>2</v>
      </c>
      <c r="AN169" s="215">
        <f>'Volume Data Entry'!EY51</f>
        <v>0</v>
      </c>
      <c r="AO169" s="215">
        <f>'Volume Data Entry'!EY112</f>
        <v>0</v>
      </c>
      <c r="AP169" s="215">
        <f>'Volume Data Entry'!FG51</f>
        <v>0</v>
      </c>
      <c r="AQ169" s="215">
        <f>'Volume Data Entry'!FG112</f>
        <v>0</v>
      </c>
      <c r="AR169" s="215">
        <f>'Volume Data Entry'!FO51</f>
        <v>0</v>
      </c>
      <c r="AS169" s="215">
        <f>'Volume Data Entry'!FO112</f>
        <v>0</v>
      </c>
      <c r="AT169" s="215">
        <f>'Volume Data Entry'!FW51</f>
        <v>0</v>
      </c>
      <c r="AU169" s="215">
        <f>'Volume Data Entry'!FW112</f>
        <v>0</v>
      </c>
      <c r="AV169" s="215">
        <f>'Volume Data Entry'!GE51</f>
        <v>0</v>
      </c>
      <c r="AW169" s="215">
        <f>'Volume Data Entry'!GE112</f>
        <v>0</v>
      </c>
      <c r="AX169" s="215">
        <f>'Volume Data Entry'!GM51</f>
        <v>8</v>
      </c>
      <c r="AY169" s="221">
        <f>'Volume Data Entry'!GM112</f>
        <v>11</v>
      </c>
      <c r="AZ169" s="215">
        <f>'Volume Data Entry'!GU51</f>
        <v>0</v>
      </c>
      <c r="BA169" s="221">
        <f>'Volume Data Entry'!GU112</f>
        <v>5</v>
      </c>
      <c r="BB169" s="215">
        <f>'Volume Data Entry'!HC51</f>
        <v>2</v>
      </c>
      <c r="BC169" s="221">
        <f>'Volume Data Entry'!HC112</f>
        <v>7</v>
      </c>
      <c r="BD169" s="215">
        <f>'Volume Data Entry'!HK51</f>
        <v>0</v>
      </c>
      <c r="BE169" s="222">
        <f>'Volume Data Entry'!HK112</f>
        <v>2</v>
      </c>
      <c r="BF169" s="215">
        <f>'Volume Data Entry'!HS51</f>
        <v>7</v>
      </c>
      <c r="BG169" s="222">
        <f>'Volume Data Entry'!HS112</f>
        <v>13</v>
      </c>
      <c r="BH169" s="215">
        <f>'Volume Data Entry'!IA51</f>
        <v>5</v>
      </c>
      <c r="BI169" s="222">
        <f>'Volume Data Entry'!IA112</f>
        <v>7</v>
      </c>
      <c r="BJ169" s="215">
        <f>'Volume Data Entry'!II51</f>
        <v>20</v>
      </c>
      <c r="BK169" s="222">
        <f>'Volume Data Entry'!II112</f>
        <v>11</v>
      </c>
      <c r="BL169" s="215">
        <f>'Volume Data Entry'!IQ51</f>
        <v>35</v>
      </c>
      <c r="BM169" s="222">
        <f>'Volume Data Entry'!IQ112</f>
        <v>28</v>
      </c>
      <c r="BN169" s="215">
        <f>'Volume Data Entry'!IY51</f>
        <v>22</v>
      </c>
      <c r="BO169" s="221">
        <f>'Volume Data Entry'!IY112</f>
        <v>20</v>
      </c>
      <c r="BP169" s="216">
        <f>'Volume Data Entry'!JG51</f>
        <v>16</v>
      </c>
      <c r="BQ169" s="215">
        <f>'Volume Data Entry'!JG112</f>
        <v>17</v>
      </c>
      <c r="BR169" s="221">
        <f>'Volume Data Entry'!JO51</f>
        <v>15</v>
      </c>
      <c r="BS169" s="215">
        <f>'Volume Data Entry'!JO112</f>
        <v>25</v>
      </c>
      <c r="BT169" s="222">
        <f>'Volume Data Entry'!JW51</f>
        <v>7</v>
      </c>
      <c r="BU169" s="222">
        <f>'Volume Data Entry'!JW112</f>
        <v>41</v>
      </c>
      <c r="BV169" s="222">
        <f>'Volume Data Entry'!KE51</f>
        <v>4</v>
      </c>
      <c r="BW169" s="222">
        <f>'Volume Data Entry'!KE112</f>
        <v>3</v>
      </c>
      <c r="BX169" s="222">
        <f>'Volume Data Entry'!KM51</f>
        <v>0</v>
      </c>
      <c r="BY169" s="222">
        <f>'Volume Data Entry'!KM112</f>
        <v>0</v>
      </c>
      <c r="BZ169" s="222">
        <f>'Volume Data Entry'!KU51</f>
        <v>0</v>
      </c>
      <c r="CA169" s="222">
        <f>'Volume Data Entry'!KU112</f>
        <v>6</v>
      </c>
      <c r="CB169" s="190">
        <f>'Volume Data Entry'!LC51</f>
        <v>10</v>
      </c>
      <c r="CC169" s="191">
        <f>'Volume Data Entry'!LC112</f>
        <v>1</v>
      </c>
      <c r="CD169" s="190">
        <f>'Volume Data Entry'!LK51</f>
        <v>6</v>
      </c>
      <c r="CE169" s="191">
        <f>'Volume Data Entry'!LK112</f>
        <v>9</v>
      </c>
      <c r="CF169" s="215">
        <f>'Volume Data Entry'!LS51</f>
        <v>18</v>
      </c>
      <c r="CG169" s="222">
        <f>'Volume Data Entry'!LS112</f>
        <v>8</v>
      </c>
      <c r="CH169" s="215">
        <f>'Volume Data Entry'!MA51</f>
        <v>19</v>
      </c>
      <c r="CI169" s="222">
        <f>'Volume Data Entry'!MA112</f>
        <v>12</v>
      </c>
      <c r="CJ169" s="215">
        <f>'Volume Data Entry'!MI51</f>
        <v>42</v>
      </c>
      <c r="CK169" s="222">
        <f>'Volume Data Entry'!MI112</f>
        <v>28</v>
      </c>
      <c r="CL169" s="215">
        <f>'Volume Data Entry'!MQ51</f>
        <v>37</v>
      </c>
      <c r="CM169" s="215">
        <f>'Volume Data Entry'!MQ112</f>
        <v>42</v>
      </c>
      <c r="CN169" s="215">
        <f>'Volume Data Entry'!MY51</f>
        <v>5</v>
      </c>
      <c r="CO169" s="215">
        <f>'Volume Data Entry'!MY134</f>
        <v>27</v>
      </c>
      <c r="CP169" s="776">
        <f>'Volume Data Entry'!NG62</f>
        <v>21</v>
      </c>
      <c r="CQ169" s="776">
        <f>'Volume Data Entry'!NG134</f>
        <v>23</v>
      </c>
      <c r="CR169" s="776">
        <f>'Volume Data Entry'!NO62</f>
        <v>8</v>
      </c>
      <c r="CS169" s="776">
        <f>'Volume Data Entry'!NO134</f>
        <v>0</v>
      </c>
      <c r="CT169" s="215">
        <f>'Volume Data Entry'!NW62</f>
        <v>1</v>
      </c>
      <c r="CU169" s="215">
        <f>'Volume Data Entry'!NW134</f>
        <v>1</v>
      </c>
      <c r="CV169" s="776">
        <f>'Volume Data Entry'!OE62</f>
        <v>0</v>
      </c>
      <c r="CW169" s="776">
        <f>'Volume Data Entry'!OE134</f>
        <v>0</v>
      </c>
      <c r="CX169" s="776">
        <f>'Volume Data Entry'!OM62</f>
        <v>0</v>
      </c>
      <c r="CY169" s="776">
        <f>'Volume Data Entry'!OM134</f>
        <v>0</v>
      </c>
      <c r="CZ169" s="215">
        <f>'Volume Data Entry'!OU62</f>
        <v>0</v>
      </c>
      <c r="DA169" s="215">
        <f>'Volume Data Entry'!OU134</f>
        <v>0</v>
      </c>
      <c r="DB169" s="776">
        <f>'Volume Data Entry'!PC62</f>
        <v>0</v>
      </c>
      <c r="DC169" s="776">
        <f>'Volume Data Entry'!PC134</f>
        <v>1</v>
      </c>
      <c r="DD169" s="776">
        <f>'Volume Data Entry'!PK62</f>
        <v>6</v>
      </c>
      <c r="DE169" s="776">
        <f>'Volume Data Entry'!PK134</f>
        <v>5</v>
      </c>
      <c r="DF169" s="215">
        <f>'Volume Data Entry'!PS62</f>
        <v>16</v>
      </c>
      <c r="DG169" s="776">
        <f>'Volume Data Entry'!PS134</f>
        <v>14</v>
      </c>
      <c r="DH169" s="776">
        <f>'Volume Data Entry'!QA62</f>
        <v>14</v>
      </c>
      <c r="DI169" s="776">
        <f>'Volume Data Entry'!QA134</f>
        <v>19</v>
      </c>
      <c r="DJ169" s="776">
        <f>'Volume Data Entry'!QI62</f>
        <v>6</v>
      </c>
      <c r="DK169" s="776">
        <f>'Volume Data Entry'!QI134</f>
        <v>4</v>
      </c>
      <c r="DL169" s="215">
        <f>'Volume Data Entry'!QQ62</f>
        <v>14</v>
      </c>
      <c r="DM169" s="776">
        <f>'Volume Data Entry'!QQ134</f>
        <v>10</v>
      </c>
      <c r="DN169" s="774">
        <f t="shared" si="482"/>
        <v>11.166666666666666</v>
      </c>
      <c r="DO169" s="774">
        <f t="shared" si="483"/>
        <v>10.694444444444445</v>
      </c>
      <c r="DP169" s="774">
        <f t="shared" si="484"/>
        <v>9.3101851851851851</v>
      </c>
      <c r="DQ169" s="774">
        <f t="shared" si="485"/>
        <v>9.8618827160493812</v>
      </c>
      <c r="DR169" s="215">
        <f>'Volume Data Entry'!RO62</f>
        <v>2</v>
      </c>
      <c r="DS169" s="776">
        <f>'Volume Data Entry'!RO134</f>
        <v>1</v>
      </c>
      <c r="DT169" s="774">
        <f>'Volume Data Entry'!RW62</f>
        <v>0</v>
      </c>
      <c r="DU169" s="774">
        <f>'Volume Data Entry'!RW134</f>
        <v>0</v>
      </c>
      <c r="DV169" s="774">
        <f>'Volume Data Entry'!SE62</f>
        <v>1</v>
      </c>
      <c r="DW169" s="774">
        <f>'Volume Data Entry'!SE134</f>
        <v>0</v>
      </c>
      <c r="DX169" s="215">
        <f>'Volume Data Entry'!SM62</f>
        <v>6</v>
      </c>
      <c r="DY169" s="776">
        <f>'Volume Data Entry'!SM134</f>
        <v>1</v>
      </c>
      <c r="DZ169" s="774">
        <f>'Volume Data Entry'!SU62</f>
        <v>1</v>
      </c>
      <c r="EA169" s="774">
        <f>'Volume Data Entry'!SU134</f>
        <v>7</v>
      </c>
      <c r="EB169" s="774">
        <f>'Volume Data Entry'!TC62</f>
        <v>3</v>
      </c>
      <c r="EC169" s="774">
        <f>'Volume Data Entry'!TC134</f>
        <v>5</v>
      </c>
    </row>
    <row r="170" spans="1:138">
      <c r="A170" s="192" t="s">
        <v>43</v>
      </c>
      <c r="B170" s="215">
        <f>'Volume Data Entry'!C53</f>
        <v>10</v>
      </c>
      <c r="C170" s="215">
        <f>'Volume Data Entry'!C114</f>
        <v>13</v>
      </c>
      <c r="D170" s="215">
        <f>'Volume Data Entry'!K53</f>
        <v>6</v>
      </c>
      <c r="E170" s="215">
        <f>'Volume Data Entry'!K114</f>
        <v>7</v>
      </c>
      <c r="F170" s="215">
        <f>'Volume Data Entry'!S53</f>
        <v>0</v>
      </c>
      <c r="G170" s="215">
        <f>'Volume Data Entry'!S114</f>
        <v>0</v>
      </c>
      <c r="H170" s="215">
        <f>'Volume Data Entry'!AA53</f>
        <v>0</v>
      </c>
      <c r="I170" s="215">
        <f>'Volume Data Entry'!AA114</f>
        <v>1</v>
      </c>
      <c r="J170" s="215">
        <f>'Volume Data Entry'!AI53</f>
        <v>6</v>
      </c>
      <c r="K170" s="215">
        <f>'Volume Data Entry'!AI114</f>
        <v>5</v>
      </c>
      <c r="L170" s="215">
        <f>'Volume Data Entry'!AQ53</f>
        <v>0</v>
      </c>
      <c r="M170" s="215">
        <f>'Volume Data Entry'!AQ114</f>
        <v>7</v>
      </c>
      <c r="N170" s="215">
        <f>'Volume Data Entry'!AY53</f>
        <v>9</v>
      </c>
      <c r="O170" s="215">
        <f>'Volume Data Entry'!AY114</f>
        <v>0</v>
      </c>
      <c r="P170" s="215">
        <f>'Volume Data Entry'!BG53</f>
        <v>21</v>
      </c>
      <c r="Q170" s="215">
        <f>'Volume Data Entry'!BG114</f>
        <v>34</v>
      </c>
      <c r="R170" s="215">
        <f>'Volume Data Entry'!BO53</f>
        <v>5</v>
      </c>
      <c r="S170" s="215">
        <f>'Volume Data Entry'!BO114</f>
        <v>30</v>
      </c>
      <c r="T170" s="215">
        <f>'Volume Data Entry'!BW53</f>
        <v>0</v>
      </c>
      <c r="U170" s="215">
        <f>'Volume Data Entry'!BW114</f>
        <v>0</v>
      </c>
      <c r="V170" s="215">
        <f>'Volume Data Entry'!CE53</f>
        <v>0</v>
      </c>
      <c r="W170" s="215">
        <f>'Volume Data Entry'!CE114</f>
        <v>0</v>
      </c>
      <c r="X170" s="215">
        <f>'Volume Data Entry'!CM53</f>
        <v>17</v>
      </c>
      <c r="Y170" s="215">
        <f>'Volume Data Entry'!CM114</f>
        <v>0</v>
      </c>
      <c r="Z170" s="215">
        <f>'Volume Data Entry'!CU53</f>
        <v>21</v>
      </c>
      <c r="AA170" s="215">
        <f>'Volume Data Entry'!CU114</f>
        <v>17</v>
      </c>
      <c r="AB170" s="215">
        <f>'Volume Data Entry'!DC53</f>
        <v>8</v>
      </c>
      <c r="AC170" s="215">
        <f>'Volume Data Entry'!DC114</f>
        <v>0</v>
      </c>
      <c r="AD170" s="215">
        <f>'Volume Data Entry'!DK53</f>
        <v>11</v>
      </c>
      <c r="AE170" s="215">
        <f>'Volume Data Entry'!DK114</f>
        <v>0</v>
      </c>
      <c r="AF170" s="215">
        <f>'Volume Data Entry'!DS53</f>
        <v>0</v>
      </c>
      <c r="AG170" s="215">
        <f>'Volume Data Entry'!DS114</f>
        <v>0</v>
      </c>
      <c r="AH170" s="215">
        <f>'Volume Data Entry'!EA53</f>
        <v>0</v>
      </c>
      <c r="AI170" s="215">
        <f>'Volume Data Entry'!EA114</f>
        <v>0</v>
      </c>
      <c r="AJ170" s="215">
        <f>'Volume Data Entry'!EI53</f>
        <v>7</v>
      </c>
      <c r="AK170" s="215">
        <f>'Volume Data Entry'!EI114</f>
        <v>0</v>
      </c>
      <c r="AL170" s="215">
        <f>'Volume Data Entry'!EQ53</f>
        <v>29</v>
      </c>
      <c r="AM170" s="215">
        <f>'Volume Data Entry'!EQ114</f>
        <v>7</v>
      </c>
      <c r="AN170" s="215">
        <f>'Volume Data Entry'!EY53</f>
        <v>0</v>
      </c>
      <c r="AO170" s="215">
        <f>'Volume Data Entry'!EY114</f>
        <v>0</v>
      </c>
      <c r="AP170" s="215">
        <f>'Volume Data Entry'!FG53</f>
        <v>0</v>
      </c>
      <c r="AQ170" s="215">
        <f>'Volume Data Entry'!FG114</f>
        <v>0</v>
      </c>
      <c r="AR170" s="215">
        <f>'Volume Data Entry'!FO53</f>
        <v>0</v>
      </c>
      <c r="AS170" s="215">
        <f>'Volume Data Entry'!FO114</f>
        <v>0</v>
      </c>
      <c r="AT170" s="215">
        <f>'Volume Data Entry'!FW53</f>
        <v>0</v>
      </c>
      <c r="AU170" s="215">
        <f>'Volume Data Entry'!FW114</f>
        <v>0</v>
      </c>
      <c r="AV170" s="215">
        <f>'Volume Data Entry'!GE53</f>
        <v>0</v>
      </c>
      <c r="AW170" s="215">
        <f>'Volume Data Entry'!GE114</f>
        <v>0</v>
      </c>
      <c r="AX170" s="215">
        <f>'Volume Data Entry'!GM53</f>
        <v>19</v>
      </c>
      <c r="AY170" s="221">
        <f>'Volume Data Entry'!GM114</f>
        <v>16</v>
      </c>
      <c r="AZ170" s="215">
        <f>'Volume Data Entry'!GU53</f>
        <v>7</v>
      </c>
      <c r="BA170" s="221">
        <f>'Volume Data Entry'!GU114</f>
        <v>6</v>
      </c>
      <c r="BB170" s="215">
        <f>'Volume Data Entry'!HC53</f>
        <v>0</v>
      </c>
      <c r="BC170" s="221">
        <f>'Volume Data Entry'!HC114</f>
        <v>0</v>
      </c>
      <c r="BD170" s="215">
        <f>'Volume Data Entry'!HK53</f>
        <v>0</v>
      </c>
      <c r="BE170" s="222">
        <f>'Volume Data Entry'!HK114</f>
        <v>1</v>
      </c>
      <c r="BF170" s="215">
        <f>'Volume Data Entry'!HS53</f>
        <v>4</v>
      </c>
      <c r="BG170" s="222">
        <f>'Volume Data Entry'!HS114</f>
        <v>7</v>
      </c>
      <c r="BH170" s="215">
        <f>'Volume Data Entry'!IA53</f>
        <v>12</v>
      </c>
      <c r="BI170" s="222">
        <f>'Volume Data Entry'!IA114</f>
        <v>0</v>
      </c>
      <c r="BJ170" s="215">
        <f>'Volume Data Entry'!II53</f>
        <v>29</v>
      </c>
      <c r="BK170" s="222">
        <f>'Volume Data Entry'!II114</f>
        <v>22</v>
      </c>
      <c r="BL170" s="215">
        <f>'Volume Data Entry'!IQ53</f>
        <v>94</v>
      </c>
      <c r="BM170" s="222">
        <f>'Volume Data Entry'!IQ114</f>
        <v>27</v>
      </c>
      <c r="BN170" s="215">
        <f>'Volume Data Entry'!IY53</f>
        <v>47</v>
      </c>
      <c r="BO170" s="221">
        <f>'Volume Data Entry'!IY114</f>
        <v>17</v>
      </c>
      <c r="BP170" s="216">
        <f>'Volume Data Entry'!JG53</f>
        <v>37</v>
      </c>
      <c r="BQ170" s="215">
        <f>'Volume Data Entry'!JG114</f>
        <v>48</v>
      </c>
      <c r="BR170" s="221">
        <f>'Volume Data Entry'!JO53</f>
        <v>36</v>
      </c>
      <c r="BS170" s="215">
        <f>'Volume Data Entry'!JO114</f>
        <v>41</v>
      </c>
      <c r="BT170" s="222">
        <f>'Volume Data Entry'!JW53</f>
        <v>31</v>
      </c>
      <c r="BU170" s="222">
        <f>'Volume Data Entry'!JW114</f>
        <v>59</v>
      </c>
      <c r="BV170" s="222">
        <f>'Volume Data Entry'!KE53</f>
        <v>19</v>
      </c>
      <c r="BW170" s="222">
        <f>'Volume Data Entry'!KE114</f>
        <v>25</v>
      </c>
      <c r="BX170" s="222">
        <f>'Volume Data Entry'!KM53</f>
        <v>6</v>
      </c>
      <c r="BY170" s="222">
        <f>'Volume Data Entry'!KM114</f>
        <v>7</v>
      </c>
      <c r="BZ170" s="222">
        <f>'Volume Data Entry'!KU53</f>
        <v>0</v>
      </c>
      <c r="CA170" s="222">
        <f>'Volume Data Entry'!KU114</f>
        <v>0</v>
      </c>
      <c r="CB170" s="190">
        <f>'Volume Data Entry'!LC53</f>
        <v>2</v>
      </c>
      <c r="CC170" s="191">
        <f>'Volume Data Entry'!LC114</f>
        <v>2</v>
      </c>
      <c r="CD170" s="190">
        <f>'Volume Data Entry'!LK53</f>
        <v>5</v>
      </c>
      <c r="CE170" s="191">
        <f>'Volume Data Entry'!LK114</f>
        <v>3</v>
      </c>
      <c r="CF170" s="215">
        <f>'Volume Data Entry'!LS53</f>
        <v>13</v>
      </c>
      <c r="CG170" s="222">
        <f>'Volume Data Entry'!LS114</f>
        <v>30</v>
      </c>
      <c r="CH170" s="215">
        <f>'Volume Data Entry'!MA53</f>
        <v>24</v>
      </c>
      <c r="CI170" s="222">
        <f>'Volume Data Entry'!MA114</f>
        <v>20</v>
      </c>
      <c r="CJ170" s="215">
        <f>'Volume Data Entry'!MI53</f>
        <v>52</v>
      </c>
      <c r="CK170" s="222">
        <f>'Volume Data Entry'!MI114</f>
        <v>96</v>
      </c>
      <c r="CL170" s="215">
        <f>'Volume Data Entry'!MQ53</f>
        <v>41</v>
      </c>
      <c r="CM170" s="215">
        <f>'Volume Data Entry'!MQ114</f>
        <v>59</v>
      </c>
      <c r="CN170" s="215">
        <f>'Volume Data Entry'!MY53</f>
        <v>0</v>
      </c>
      <c r="CO170" s="215">
        <f>'Volume Data Entry'!MY136</f>
        <v>96</v>
      </c>
      <c r="CP170" s="776">
        <f>'Volume Data Entry'!NG64</f>
        <v>50</v>
      </c>
      <c r="CQ170" s="776">
        <f>'Volume Data Entry'!NG136</f>
        <v>53</v>
      </c>
      <c r="CR170" s="776">
        <f>'Volume Data Entry'!NO64</f>
        <v>43</v>
      </c>
      <c r="CS170" s="776">
        <f>'Volume Data Entry'!NO136</f>
        <v>27</v>
      </c>
      <c r="CT170" s="215">
        <f>'Volume Data Entry'!NW64</f>
        <v>31</v>
      </c>
      <c r="CU170" s="215">
        <f>'Volume Data Entry'!NW136</f>
        <v>24</v>
      </c>
      <c r="CV170" s="776">
        <f>'Volume Data Entry'!OE64</f>
        <v>6</v>
      </c>
      <c r="CW170" s="776">
        <f>'Volume Data Entry'!OE136</f>
        <v>12</v>
      </c>
      <c r="CX170" s="776">
        <f>'Volume Data Entry'!OM64</f>
        <v>1</v>
      </c>
      <c r="CY170" s="776">
        <f>'Volume Data Entry'!OM136</f>
        <v>2</v>
      </c>
      <c r="CZ170" s="215">
        <f>'Volume Data Entry'!OU64</f>
        <v>0</v>
      </c>
      <c r="DA170" s="215">
        <f>'Volume Data Entry'!OU136</f>
        <v>0</v>
      </c>
      <c r="DB170" s="776">
        <f>'Volume Data Entry'!PC64</f>
        <v>0</v>
      </c>
      <c r="DC170" s="776">
        <f>'Volume Data Entry'!PC136</f>
        <v>0</v>
      </c>
      <c r="DD170" s="776">
        <f>'Volume Data Entry'!PK64</f>
        <v>5</v>
      </c>
      <c r="DE170" s="776">
        <f>'Volume Data Entry'!PK136</f>
        <v>1</v>
      </c>
      <c r="DF170" s="215">
        <f>'Volume Data Entry'!PS64</f>
        <v>5</v>
      </c>
      <c r="DG170" s="776">
        <f>'Volume Data Entry'!PS136</f>
        <v>8</v>
      </c>
      <c r="DH170" s="776">
        <f>'Volume Data Entry'!QA64</f>
        <v>27</v>
      </c>
      <c r="DI170" s="776">
        <f>'Volume Data Entry'!QA136</f>
        <v>41</v>
      </c>
      <c r="DJ170" s="776">
        <f>'Volume Data Entry'!QI64</f>
        <v>35</v>
      </c>
      <c r="DK170" s="776">
        <f>'Volume Data Entry'!QI136</f>
        <v>27</v>
      </c>
      <c r="DL170" s="215">
        <f>'Volume Data Entry'!QQ64</f>
        <v>27</v>
      </c>
      <c r="DM170" s="776">
        <f>'Volume Data Entry'!QQ136</f>
        <v>34</v>
      </c>
      <c r="DN170" s="774">
        <f t="shared" si="482"/>
        <v>31.833333333333332</v>
      </c>
      <c r="DO170" s="774">
        <f t="shared" si="483"/>
        <v>32.638888888888893</v>
      </c>
      <c r="DP170" s="774">
        <f t="shared" si="484"/>
        <v>31.24537037037037</v>
      </c>
      <c r="DQ170" s="774">
        <f t="shared" si="485"/>
        <v>30.619598765432102</v>
      </c>
      <c r="DR170" s="215">
        <f>'Volume Data Entry'!RO64</f>
        <v>4</v>
      </c>
      <c r="DS170" s="776">
        <f>'Volume Data Entry'!RO136</f>
        <v>0</v>
      </c>
      <c r="DT170" s="774">
        <f>'Volume Data Entry'!RW64</f>
        <v>0</v>
      </c>
      <c r="DU170" s="774">
        <f>'Volume Data Entry'!RW136</f>
        <v>2</v>
      </c>
      <c r="DV170" s="774">
        <f>'Volume Data Entry'!SE64</f>
        <v>5</v>
      </c>
      <c r="DW170" s="774">
        <f>'Volume Data Entry'!SE136</f>
        <v>3</v>
      </c>
      <c r="DX170" s="215">
        <f>'Volume Data Entry'!SM64</f>
        <v>4</v>
      </c>
      <c r="DY170" s="776">
        <f>'Volume Data Entry'!SM136</f>
        <v>7</v>
      </c>
      <c r="DZ170" s="774">
        <f>'Volume Data Entry'!SU64</f>
        <v>7</v>
      </c>
      <c r="EA170" s="774">
        <f>'Volume Data Entry'!SU136</f>
        <v>4</v>
      </c>
      <c r="EB170" s="774">
        <f>'Volume Data Entry'!TC64</f>
        <v>11</v>
      </c>
      <c r="EC170" s="774">
        <f>'Volume Data Entry'!TC136</f>
        <v>25</v>
      </c>
    </row>
    <row r="171" spans="1:138">
      <c r="A171" s="861"/>
      <c r="B171" s="213">
        <f>SUM(B149:B155, B157:B160,B162:B170)</f>
        <v>195</v>
      </c>
      <c r="C171" s="213">
        <f>SUM(C149:C155, C157:C160,C162:C170)</f>
        <v>391</v>
      </c>
      <c r="D171" s="213">
        <f t="shared" ref="D171:BO171" si="492">SUM(D149:D155, D157:D160,D162:D170)</f>
        <v>138</v>
      </c>
      <c r="E171" s="213">
        <f t="shared" si="492"/>
        <v>104</v>
      </c>
      <c r="F171" s="213">
        <f t="shared" si="492"/>
        <v>103</v>
      </c>
      <c r="G171" s="213">
        <f t="shared" si="492"/>
        <v>314</v>
      </c>
      <c r="H171" s="213">
        <f t="shared" si="492"/>
        <v>113</v>
      </c>
      <c r="I171" s="213">
        <f t="shared" si="492"/>
        <v>168</v>
      </c>
      <c r="J171" s="213">
        <f t="shared" si="492"/>
        <v>120</v>
      </c>
      <c r="K171" s="213">
        <f t="shared" si="492"/>
        <v>169</v>
      </c>
      <c r="L171" s="213">
        <f t="shared" si="492"/>
        <v>0</v>
      </c>
      <c r="M171" s="213">
        <f t="shared" si="492"/>
        <v>207</v>
      </c>
      <c r="N171" s="213">
        <f t="shared" si="492"/>
        <v>247</v>
      </c>
      <c r="O171" s="213">
        <f t="shared" si="492"/>
        <v>0</v>
      </c>
      <c r="P171" s="213">
        <f t="shared" si="492"/>
        <v>292</v>
      </c>
      <c r="Q171" s="213">
        <f t="shared" si="492"/>
        <v>234</v>
      </c>
      <c r="R171" s="213">
        <f t="shared" si="492"/>
        <v>91</v>
      </c>
      <c r="S171" s="213">
        <f t="shared" si="492"/>
        <v>168</v>
      </c>
      <c r="T171" s="213">
        <f t="shared" si="492"/>
        <v>0</v>
      </c>
      <c r="U171" s="213">
        <f t="shared" si="492"/>
        <v>0</v>
      </c>
      <c r="V171" s="213">
        <f t="shared" si="492"/>
        <v>0</v>
      </c>
      <c r="W171" s="213">
        <f t="shared" si="492"/>
        <v>0</v>
      </c>
      <c r="X171" s="213">
        <f t="shared" si="492"/>
        <v>255</v>
      </c>
      <c r="Y171" s="213">
        <f t="shared" si="492"/>
        <v>0</v>
      </c>
      <c r="Z171" s="213">
        <f t="shared" si="492"/>
        <v>292</v>
      </c>
      <c r="AA171" s="213">
        <f t="shared" si="492"/>
        <v>159</v>
      </c>
      <c r="AB171" s="213">
        <f t="shared" si="492"/>
        <v>194</v>
      </c>
      <c r="AC171" s="213">
        <f t="shared" si="492"/>
        <v>0</v>
      </c>
      <c r="AD171" s="213">
        <f t="shared" si="492"/>
        <v>112</v>
      </c>
      <c r="AE171" s="213">
        <f t="shared" si="492"/>
        <v>256</v>
      </c>
      <c r="AF171" s="213">
        <f t="shared" si="492"/>
        <v>0</v>
      </c>
      <c r="AG171" s="213">
        <f t="shared" si="492"/>
        <v>433</v>
      </c>
      <c r="AH171" s="213">
        <f t="shared" si="492"/>
        <v>254</v>
      </c>
      <c r="AI171" s="213">
        <f t="shared" si="492"/>
        <v>337</v>
      </c>
      <c r="AJ171" s="213">
        <f t="shared" si="492"/>
        <v>746</v>
      </c>
      <c r="AK171" s="213">
        <f t="shared" si="492"/>
        <v>388</v>
      </c>
      <c r="AL171" s="213">
        <f t="shared" si="492"/>
        <v>403</v>
      </c>
      <c r="AM171" s="213">
        <f t="shared" si="492"/>
        <v>156</v>
      </c>
      <c r="AN171" s="213">
        <f t="shared" si="492"/>
        <v>0</v>
      </c>
      <c r="AO171" s="213">
        <f t="shared" si="492"/>
        <v>0</v>
      </c>
      <c r="AP171" s="213">
        <f t="shared" si="492"/>
        <v>0</v>
      </c>
      <c r="AQ171" s="213">
        <f t="shared" si="492"/>
        <v>0</v>
      </c>
      <c r="AR171" s="213">
        <f t="shared" si="492"/>
        <v>0</v>
      </c>
      <c r="AS171" s="213">
        <f t="shared" si="492"/>
        <v>0</v>
      </c>
      <c r="AT171" s="213">
        <f t="shared" si="492"/>
        <v>0</v>
      </c>
      <c r="AU171" s="213">
        <f t="shared" si="492"/>
        <v>0</v>
      </c>
      <c r="AV171" s="213">
        <f t="shared" si="492"/>
        <v>0</v>
      </c>
      <c r="AW171" s="213">
        <f t="shared" si="492"/>
        <v>0</v>
      </c>
      <c r="AX171" s="213">
        <f t="shared" si="492"/>
        <v>251</v>
      </c>
      <c r="AY171" s="213">
        <f t="shared" si="492"/>
        <v>145</v>
      </c>
      <c r="AZ171" s="213">
        <f t="shared" si="492"/>
        <v>178</v>
      </c>
      <c r="BA171" s="213">
        <f t="shared" si="492"/>
        <v>143</v>
      </c>
      <c r="BB171" s="213">
        <f t="shared" si="492"/>
        <v>95</v>
      </c>
      <c r="BC171" s="213">
        <f t="shared" si="492"/>
        <v>153</v>
      </c>
      <c r="BD171" s="213">
        <f t="shared" si="492"/>
        <v>353</v>
      </c>
      <c r="BE171" s="213">
        <f t="shared" si="492"/>
        <v>515</v>
      </c>
      <c r="BF171" s="213">
        <f t="shared" si="492"/>
        <v>475</v>
      </c>
      <c r="BG171" s="213">
        <f t="shared" si="492"/>
        <v>524</v>
      </c>
      <c r="BH171" s="213">
        <f t="shared" si="492"/>
        <v>432</v>
      </c>
      <c r="BI171" s="213">
        <f t="shared" si="492"/>
        <v>348</v>
      </c>
      <c r="BJ171" s="213">
        <f t="shared" si="492"/>
        <v>474</v>
      </c>
      <c r="BK171" s="213">
        <f t="shared" si="492"/>
        <v>446</v>
      </c>
      <c r="BL171" s="213">
        <f t="shared" si="492"/>
        <v>735</v>
      </c>
      <c r="BM171" s="213">
        <f t="shared" si="492"/>
        <v>533</v>
      </c>
      <c r="BN171" s="213">
        <f t="shared" si="492"/>
        <v>470</v>
      </c>
      <c r="BO171" s="213">
        <f t="shared" si="492"/>
        <v>366</v>
      </c>
      <c r="BP171" s="213">
        <f t="shared" ref="BP171:DV171" si="493">SUM(BP149:BP155, BP157:BP160,BP162:BP170)</f>
        <v>173</v>
      </c>
      <c r="BQ171" s="213">
        <f t="shared" si="493"/>
        <v>191</v>
      </c>
      <c r="BR171" s="213">
        <f t="shared" si="493"/>
        <v>184</v>
      </c>
      <c r="BS171" s="213">
        <f t="shared" si="493"/>
        <v>215</v>
      </c>
      <c r="BT171" s="213">
        <f t="shared" si="493"/>
        <v>576</v>
      </c>
      <c r="BU171" s="213">
        <f t="shared" si="493"/>
        <v>591</v>
      </c>
      <c r="BV171" s="213">
        <f t="shared" si="493"/>
        <v>131</v>
      </c>
      <c r="BW171" s="213">
        <f t="shared" si="493"/>
        <v>151</v>
      </c>
      <c r="BX171" s="213">
        <f t="shared" si="493"/>
        <v>91</v>
      </c>
      <c r="BY171" s="213">
        <f t="shared" si="493"/>
        <v>98</v>
      </c>
      <c r="BZ171" s="213">
        <f t="shared" si="493"/>
        <v>350</v>
      </c>
      <c r="CA171" s="213">
        <f t="shared" si="493"/>
        <v>347</v>
      </c>
      <c r="CB171" s="213">
        <f t="shared" si="493"/>
        <v>410</v>
      </c>
      <c r="CC171" s="213">
        <f t="shared" si="493"/>
        <v>334</v>
      </c>
      <c r="CD171" s="213">
        <f t="shared" si="493"/>
        <v>444</v>
      </c>
      <c r="CE171" s="213">
        <f t="shared" si="493"/>
        <v>458</v>
      </c>
      <c r="CF171" s="213">
        <f t="shared" si="493"/>
        <v>366</v>
      </c>
      <c r="CG171" s="213">
        <f t="shared" si="493"/>
        <v>524</v>
      </c>
      <c r="CH171" s="213">
        <f t="shared" si="493"/>
        <v>509</v>
      </c>
      <c r="CI171" s="213">
        <f t="shared" si="493"/>
        <v>412</v>
      </c>
      <c r="CJ171" s="213">
        <f t="shared" si="493"/>
        <v>686</v>
      </c>
      <c r="CK171" s="213">
        <f t="shared" si="493"/>
        <v>683</v>
      </c>
      <c r="CL171" s="213">
        <f t="shared" si="493"/>
        <v>509</v>
      </c>
      <c r="CM171" s="213">
        <f t="shared" si="493"/>
        <v>601</v>
      </c>
      <c r="CN171" s="213">
        <f t="shared" si="493"/>
        <v>331</v>
      </c>
      <c r="CO171" s="213">
        <f t="shared" si="493"/>
        <v>664</v>
      </c>
      <c r="CP171" s="213">
        <f t="shared" si="493"/>
        <v>529</v>
      </c>
      <c r="CQ171" s="213">
        <f t="shared" si="493"/>
        <v>478</v>
      </c>
      <c r="CR171" s="213">
        <f t="shared" si="493"/>
        <v>436</v>
      </c>
      <c r="CS171" s="213">
        <f t="shared" si="493"/>
        <v>347</v>
      </c>
      <c r="CT171" s="213">
        <f t="shared" si="493"/>
        <v>322</v>
      </c>
      <c r="CU171" s="213">
        <f t="shared" si="493"/>
        <v>326</v>
      </c>
      <c r="CV171" s="213">
        <f t="shared" si="493"/>
        <v>289</v>
      </c>
      <c r="CW171" s="213">
        <f t="shared" si="493"/>
        <v>261</v>
      </c>
      <c r="CX171" s="213">
        <f t="shared" si="493"/>
        <v>318</v>
      </c>
      <c r="CY171" s="213">
        <f t="shared" si="493"/>
        <v>306</v>
      </c>
      <c r="CZ171" s="213">
        <f t="shared" si="493"/>
        <v>0</v>
      </c>
      <c r="DA171" s="213">
        <f t="shared" si="493"/>
        <v>0</v>
      </c>
      <c r="DB171" s="213">
        <f t="shared" si="493"/>
        <v>0</v>
      </c>
      <c r="DC171" s="213">
        <f t="shared" si="493"/>
        <v>32</v>
      </c>
      <c r="DD171" s="213">
        <f t="shared" si="493"/>
        <v>64</v>
      </c>
      <c r="DE171" s="213">
        <f t="shared" si="493"/>
        <v>150</v>
      </c>
      <c r="DF171" s="213">
        <f t="shared" si="493"/>
        <v>107</v>
      </c>
      <c r="DG171" s="213">
        <f t="shared" si="493"/>
        <v>111</v>
      </c>
      <c r="DH171" s="213">
        <f t="shared" si="493"/>
        <v>176</v>
      </c>
      <c r="DI171" s="213">
        <f t="shared" si="493"/>
        <v>273</v>
      </c>
      <c r="DJ171" s="213">
        <f t="shared" si="493"/>
        <v>306</v>
      </c>
      <c r="DK171" s="213">
        <f t="shared" si="493"/>
        <v>198</v>
      </c>
      <c r="DL171" s="213">
        <f t="shared" si="493"/>
        <v>304</v>
      </c>
      <c r="DM171" s="213">
        <f t="shared" si="493"/>
        <v>289</v>
      </c>
      <c r="DN171" s="213">
        <f t="shared" si="493"/>
        <v>257.66666666666663</v>
      </c>
      <c r="DO171" s="213">
        <f t="shared" si="493"/>
        <v>271.27777777777783</v>
      </c>
      <c r="DP171" s="213">
        <f t="shared" si="493"/>
        <v>270.99074074074076</v>
      </c>
      <c r="DQ171" s="213">
        <f t="shared" si="493"/>
        <v>265.15586419753083</v>
      </c>
      <c r="DR171" s="213">
        <f t="shared" si="493"/>
        <v>346</v>
      </c>
      <c r="DS171" s="213">
        <f t="shared" si="493"/>
        <v>255</v>
      </c>
      <c r="DT171" s="213">
        <f t="shared" si="493"/>
        <v>209</v>
      </c>
      <c r="DU171" s="213">
        <f t="shared" si="493"/>
        <v>325</v>
      </c>
      <c r="DV171" s="213">
        <f t="shared" si="493"/>
        <v>313</v>
      </c>
      <c r="DW171" s="213">
        <f>SUM(DW149:DW155, DW157:DW160,DW162:DW170)</f>
        <v>296</v>
      </c>
      <c r="DX171" s="213">
        <f t="shared" ref="DX171:EB171" si="494">SUM(DX149:DX155, DX157:DX160,DX162:DX170)</f>
        <v>327</v>
      </c>
      <c r="DY171" s="213">
        <f t="shared" si="494"/>
        <v>299</v>
      </c>
      <c r="DZ171" s="213">
        <f t="shared" si="494"/>
        <v>232</v>
      </c>
      <c r="EA171" s="213">
        <f t="shared" si="494"/>
        <v>327</v>
      </c>
      <c r="EB171" s="213">
        <f t="shared" si="494"/>
        <v>327</v>
      </c>
      <c r="EC171" s="213">
        <f>SUM(EC149:EC155, EC157:EC160,EC162:EC170)</f>
        <v>345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  <pageSetUpPr fitToPage="1"/>
  </sheetPr>
  <dimension ref="B2:BD164"/>
  <sheetViews>
    <sheetView zoomScale="91" zoomScaleNormal="91" workbookViewId="0">
      <pane xSplit="2" topLeftCell="C1" activePane="topRight" state="frozen"/>
      <selection pane="topRight" activeCell="E8" sqref="E8"/>
    </sheetView>
  </sheetViews>
  <sheetFormatPr defaultRowHeight="14.5"/>
  <cols>
    <col min="1" max="1" width="1.26953125" style="306" customWidth="1"/>
    <col min="2" max="2" width="54" style="306" customWidth="1"/>
    <col min="3" max="3" width="10.26953125" style="306" customWidth="1"/>
    <col min="4" max="48" width="11.26953125" style="306" customWidth="1"/>
    <col min="49" max="50" width="10.54296875" style="306" customWidth="1"/>
    <col min="51" max="51" width="10.7265625" style="306" customWidth="1"/>
    <col min="52" max="52" width="9.1796875" style="306"/>
    <col min="53" max="53" width="11.26953125" style="315" customWidth="1"/>
    <col min="54" max="56" width="10.81640625" style="306" customWidth="1"/>
    <col min="57" max="287" width="9.1796875" style="306"/>
    <col min="288" max="288" width="1.26953125" style="306" customWidth="1"/>
    <col min="289" max="289" width="54" style="306" customWidth="1"/>
    <col min="290" max="290" width="10.26953125" style="306" customWidth="1"/>
    <col min="291" max="307" width="11.26953125" style="306" customWidth="1"/>
    <col min="308" max="308" width="9.1796875" style="306"/>
    <col min="309" max="309" width="11.26953125" style="306" customWidth="1"/>
    <col min="310" max="312" width="10.81640625" style="306" customWidth="1"/>
    <col min="313" max="543" width="9.1796875" style="306"/>
    <col min="544" max="544" width="1.26953125" style="306" customWidth="1"/>
    <col min="545" max="545" width="54" style="306" customWidth="1"/>
    <col min="546" max="546" width="10.26953125" style="306" customWidth="1"/>
    <col min="547" max="563" width="11.26953125" style="306" customWidth="1"/>
    <col min="564" max="564" width="9.1796875" style="306"/>
    <col min="565" max="565" width="11.26953125" style="306" customWidth="1"/>
    <col min="566" max="568" width="10.81640625" style="306" customWidth="1"/>
    <col min="569" max="799" width="9.1796875" style="306"/>
    <col min="800" max="800" width="1.26953125" style="306" customWidth="1"/>
    <col min="801" max="801" width="54" style="306" customWidth="1"/>
    <col min="802" max="802" width="10.26953125" style="306" customWidth="1"/>
    <col min="803" max="819" width="11.26953125" style="306" customWidth="1"/>
    <col min="820" max="820" width="9.1796875" style="306"/>
    <col min="821" max="821" width="11.26953125" style="306" customWidth="1"/>
    <col min="822" max="824" width="10.81640625" style="306" customWidth="1"/>
    <col min="825" max="1055" width="9.1796875" style="306"/>
    <col min="1056" max="1056" width="1.26953125" style="306" customWidth="1"/>
    <col min="1057" max="1057" width="54" style="306" customWidth="1"/>
    <col min="1058" max="1058" width="10.26953125" style="306" customWidth="1"/>
    <col min="1059" max="1075" width="11.26953125" style="306" customWidth="1"/>
    <col min="1076" max="1076" width="9.1796875" style="306"/>
    <col min="1077" max="1077" width="11.26953125" style="306" customWidth="1"/>
    <col min="1078" max="1080" width="10.81640625" style="306" customWidth="1"/>
    <col min="1081" max="1311" width="9.1796875" style="306"/>
    <col min="1312" max="1312" width="1.26953125" style="306" customWidth="1"/>
    <col min="1313" max="1313" width="54" style="306" customWidth="1"/>
    <col min="1314" max="1314" width="10.26953125" style="306" customWidth="1"/>
    <col min="1315" max="1331" width="11.26953125" style="306" customWidth="1"/>
    <col min="1332" max="1332" width="9.1796875" style="306"/>
    <col min="1333" max="1333" width="11.26953125" style="306" customWidth="1"/>
    <col min="1334" max="1336" width="10.81640625" style="306" customWidth="1"/>
    <col min="1337" max="1567" width="9.1796875" style="306"/>
    <col min="1568" max="1568" width="1.26953125" style="306" customWidth="1"/>
    <col min="1569" max="1569" width="54" style="306" customWidth="1"/>
    <col min="1570" max="1570" width="10.26953125" style="306" customWidth="1"/>
    <col min="1571" max="1587" width="11.26953125" style="306" customWidth="1"/>
    <col min="1588" max="1588" width="9.1796875" style="306"/>
    <col min="1589" max="1589" width="11.26953125" style="306" customWidth="1"/>
    <col min="1590" max="1592" width="10.81640625" style="306" customWidth="1"/>
    <col min="1593" max="1823" width="9.1796875" style="306"/>
    <col min="1824" max="1824" width="1.26953125" style="306" customWidth="1"/>
    <col min="1825" max="1825" width="54" style="306" customWidth="1"/>
    <col min="1826" max="1826" width="10.26953125" style="306" customWidth="1"/>
    <col min="1827" max="1843" width="11.26953125" style="306" customWidth="1"/>
    <col min="1844" max="1844" width="9.1796875" style="306"/>
    <col min="1845" max="1845" width="11.26953125" style="306" customWidth="1"/>
    <col min="1846" max="1848" width="10.81640625" style="306" customWidth="1"/>
    <col min="1849" max="2079" width="9.1796875" style="306"/>
    <col min="2080" max="2080" width="1.26953125" style="306" customWidth="1"/>
    <col min="2081" max="2081" width="54" style="306" customWidth="1"/>
    <col min="2082" max="2082" width="10.26953125" style="306" customWidth="1"/>
    <col min="2083" max="2099" width="11.26953125" style="306" customWidth="1"/>
    <col min="2100" max="2100" width="9.1796875" style="306"/>
    <col min="2101" max="2101" width="11.26953125" style="306" customWidth="1"/>
    <col min="2102" max="2104" width="10.81640625" style="306" customWidth="1"/>
    <col min="2105" max="2335" width="9.1796875" style="306"/>
    <col min="2336" max="2336" width="1.26953125" style="306" customWidth="1"/>
    <col min="2337" max="2337" width="54" style="306" customWidth="1"/>
    <col min="2338" max="2338" width="10.26953125" style="306" customWidth="1"/>
    <col min="2339" max="2355" width="11.26953125" style="306" customWidth="1"/>
    <col min="2356" max="2356" width="9.1796875" style="306"/>
    <col min="2357" max="2357" width="11.26953125" style="306" customWidth="1"/>
    <col min="2358" max="2360" width="10.81640625" style="306" customWidth="1"/>
    <col min="2361" max="2591" width="9.1796875" style="306"/>
    <col min="2592" max="2592" width="1.26953125" style="306" customWidth="1"/>
    <col min="2593" max="2593" width="54" style="306" customWidth="1"/>
    <col min="2594" max="2594" width="10.26953125" style="306" customWidth="1"/>
    <col min="2595" max="2611" width="11.26953125" style="306" customWidth="1"/>
    <col min="2612" max="2612" width="9.1796875" style="306"/>
    <col min="2613" max="2613" width="11.26953125" style="306" customWidth="1"/>
    <col min="2614" max="2616" width="10.81640625" style="306" customWidth="1"/>
    <col min="2617" max="2847" width="9.1796875" style="306"/>
    <col min="2848" max="2848" width="1.26953125" style="306" customWidth="1"/>
    <col min="2849" max="2849" width="54" style="306" customWidth="1"/>
    <col min="2850" max="2850" width="10.26953125" style="306" customWidth="1"/>
    <col min="2851" max="2867" width="11.26953125" style="306" customWidth="1"/>
    <col min="2868" max="2868" width="9.1796875" style="306"/>
    <col min="2869" max="2869" width="11.26953125" style="306" customWidth="1"/>
    <col min="2870" max="2872" width="10.81640625" style="306" customWidth="1"/>
    <col min="2873" max="3103" width="9.1796875" style="306"/>
    <col min="3104" max="3104" width="1.26953125" style="306" customWidth="1"/>
    <col min="3105" max="3105" width="54" style="306" customWidth="1"/>
    <col min="3106" max="3106" width="10.26953125" style="306" customWidth="1"/>
    <col min="3107" max="3123" width="11.26953125" style="306" customWidth="1"/>
    <col min="3124" max="3124" width="9.1796875" style="306"/>
    <col min="3125" max="3125" width="11.26953125" style="306" customWidth="1"/>
    <col min="3126" max="3128" width="10.81640625" style="306" customWidth="1"/>
    <col min="3129" max="3359" width="9.1796875" style="306"/>
    <col min="3360" max="3360" width="1.26953125" style="306" customWidth="1"/>
    <col min="3361" max="3361" width="54" style="306" customWidth="1"/>
    <col min="3362" max="3362" width="10.26953125" style="306" customWidth="1"/>
    <col min="3363" max="3379" width="11.26953125" style="306" customWidth="1"/>
    <col min="3380" max="3380" width="9.1796875" style="306"/>
    <col min="3381" max="3381" width="11.26953125" style="306" customWidth="1"/>
    <col min="3382" max="3384" width="10.81640625" style="306" customWidth="1"/>
    <col min="3385" max="3615" width="9.1796875" style="306"/>
    <col min="3616" max="3616" width="1.26953125" style="306" customWidth="1"/>
    <col min="3617" max="3617" width="54" style="306" customWidth="1"/>
    <col min="3618" max="3618" width="10.26953125" style="306" customWidth="1"/>
    <col min="3619" max="3635" width="11.26953125" style="306" customWidth="1"/>
    <col min="3636" max="3636" width="9.1796875" style="306"/>
    <col min="3637" max="3637" width="11.26953125" style="306" customWidth="1"/>
    <col min="3638" max="3640" width="10.81640625" style="306" customWidth="1"/>
    <col min="3641" max="3871" width="9.1796875" style="306"/>
    <col min="3872" max="3872" width="1.26953125" style="306" customWidth="1"/>
    <col min="3873" max="3873" width="54" style="306" customWidth="1"/>
    <col min="3874" max="3874" width="10.26953125" style="306" customWidth="1"/>
    <col min="3875" max="3891" width="11.26953125" style="306" customWidth="1"/>
    <col min="3892" max="3892" width="9.1796875" style="306"/>
    <col min="3893" max="3893" width="11.26953125" style="306" customWidth="1"/>
    <col min="3894" max="3896" width="10.81640625" style="306" customWidth="1"/>
    <col min="3897" max="4127" width="9.1796875" style="306"/>
    <col min="4128" max="4128" width="1.26953125" style="306" customWidth="1"/>
    <col min="4129" max="4129" width="54" style="306" customWidth="1"/>
    <col min="4130" max="4130" width="10.26953125" style="306" customWidth="1"/>
    <col min="4131" max="4147" width="11.26953125" style="306" customWidth="1"/>
    <col min="4148" max="4148" width="9.1796875" style="306"/>
    <col min="4149" max="4149" width="11.26953125" style="306" customWidth="1"/>
    <col min="4150" max="4152" width="10.81640625" style="306" customWidth="1"/>
    <col min="4153" max="4383" width="9.1796875" style="306"/>
    <col min="4384" max="4384" width="1.26953125" style="306" customWidth="1"/>
    <col min="4385" max="4385" width="54" style="306" customWidth="1"/>
    <col min="4386" max="4386" width="10.26953125" style="306" customWidth="1"/>
    <col min="4387" max="4403" width="11.26953125" style="306" customWidth="1"/>
    <col min="4404" max="4404" width="9.1796875" style="306"/>
    <col min="4405" max="4405" width="11.26953125" style="306" customWidth="1"/>
    <col min="4406" max="4408" width="10.81640625" style="306" customWidth="1"/>
    <col min="4409" max="4639" width="9.1796875" style="306"/>
    <col min="4640" max="4640" width="1.26953125" style="306" customWidth="1"/>
    <col min="4641" max="4641" width="54" style="306" customWidth="1"/>
    <col min="4642" max="4642" width="10.26953125" style="306" customWidth="1"/>
    <col min="4643" max="4659" width="11.26953125" style="306" customWidth="1"/>
    <col min="4660" max="4660" width="9.1796875" style="306"/>
    <col min="4661" max="4661" width="11.26953125" style="306" customWidth="1"/>
    <col min="4662" max="4664" width="10.81640625" style="306" customWidth="1"/>
    <col min="4665" max="4895" width="9.1796875" style="306"/>
    <col min="4896" max="4896" width="1.26953125" style="306" customWidth="1"/>
    <col min="4897" max="4897" width="54" style="306" customWidth="1"/>
    <col min="4898" max="4898" width="10.26953125" style="306" customWidth="1"/>
    <col min="4899" max="4915" width="11.26953125" style="306" customWidth="1"/>
    <col min="4916" max="4916" width="9.1796875" style="306"/>
    <col min="4917" max="4917" width="11.26953125" style="306" customWidth="1"/>
    <col min="4918" max="4920" width="10.81640625" style="306" customWidth="1"/>
    <col min="4921" max="5151" width="9.1796875" style="306"/>
    <col min="5152" max="5152" width="1.26953125" style="306" customWidth="1"/>
    <col min="5153" max="5153" width="54" style="306" customWidth="1"/>
    <col min="5154" max="5154" width="10.26953125" style="306" customWidth="1"/>
    <col min="5155" max="5171" width="11.26953125" style="306" customWidth="1"/>
    <col min="5172" max="5172" width="9.1796875" style="306"/>
    <col min="5173" max="5173" width="11.26953125" style="306" customWidth="1"/>
    <col min="5174" max="5176" width="10.81640625" style="306" customWidth="1"/>
    <col min="5177" max="5407" width="9.1796875" style="306"/>
    <col min="5408" max="5408" width="1.26953125" style="306" customWidth="1"/>
    <col min="5409" max="5409" width="54" style="306" customWidth="1"/>
    <col min="5410" max="5410" width="10.26953125" style="306" customWidth="1"/>
    <col min="5411" max="5427" width="11.26953125" style="306" customWidth="1"/>
    <col min="5428" max="5428" width="9.1796875" style="306"/>
    <col min="5429" max="5429" width="11.26953125" style="306" customWidth="1"/>
    <col min="5430" max="5432" width="10.81640625" style="306" customWidth="1"/>
    <col min="5433" max="5663" width="9.1796875" style="306"/>
    <col min="5664" max="5664" width="1.26953125" style="306" customWidth="1"/>
    <col min="5665" max="5665" width="54" style="306" customWidth="1"/>
    <col min="5666" max="5666" width="10.26953125" style="306" customWidth="1"/>
    <col min="5667" max="5683" width="11.26953125" style="306" customWidth="1"/>
    <col min="5684" max="5684" width="9.1796875" style="306"/>
    <col min="5685" max="5685" width="11.26953125" style="306" customWidth="1"/>
    <col min="5686" max="5688" width="10.81640625" style="306" customWidth="1"/>
    <col min="5689" max="5919" width="9.1796875" style="306"/>
    <col min="5920" max="5920" width="1.26953125" style="306" customWidth="1"/>
    <col min="5921" max="5921" width="54" style="306" customWidth="1"/>
    <col min="5922" max="5922" width="10.26953125" style="306" customWidth="1"/>
    <col min="5923" max="5939" width="11.26953125" style="306" customWidth="1"/>
    <col min="5940" max="5940" width="9.1796875" style="306"/>
    <col min="5941" max="5941" width="11.26953125" style="306" customWidth="1"/>
    <col min="5942" max="5944" width="10.81640625" style="306" customWidth="1"/>
    <col min="5945" max="6175" width="9.1796875" style="306"/>
    <col min="6176" max="6176" width="1.26953125" style="306" customWidth="1"/>
    <col min="6177" max="6177" width="54" style="306" customWidth="1"/>
    <col min="6178" max="6178" width="10.26953125" style="306" customWidth="1"/>
    <col min="6179" max="6195" width="11.26953125" style="306" customWidth="1"/>
    <col min="6196" max="6196" width="9.1796875" style="306"/>
    <col min="6197" max="6197" width="11.26953125" style="306" customWidth="1"/>
    <col min="6198" max="6200" width="10.81640625" style="306" customWidth="1"/>
    <col min="6201" max="6431" width="9.1796875" style="306"/>
    <col min="6432" max="6432" width="1.26953125" style="306" customWidth="1"/>
    <col min="6433" max="6433" width="54" style="306" customWidth="1"/>
    <col min="6434" max="6434" width="10.26953125" style="306" customWidth="1"/>
    <col min="6435" max="6451" width="11.26953125" style="306" customWidth="1"/>
    <col min="6452" max="6452" width="9.1796875" style="306"/>
    <col min="6453" max="6453" width="11.26953125" style="306" customWidth="1"/>
    <col min="6454" max="6456" width="10.81640625" style="306" customWidth="1"/>
    <col min="6457" max="6687" width="9.1796875" style="306"/>
    <col min="6688" max="6688" width="1.26953125" style="306" customWidth="1"/>
    <col min="6689" max="6689" width="54" style="306" customWidth="1"/>
    <col min="6690" max="6690" width="10.26953125" style="306" customWidth="1"/>
    <col min="6691" max="6707" width="11.26953125" style="306" customWidth="1"/>
    <col min="6708" max="6708" width="9.1796875" style="306"/>
    <col min="6709" max="6709" width="11.26953125" style="306" customWidth="1"/>
    <col min="6710" max="6712" width="10.81640625" style="306" customWidth="1"/>
    <col min="6713" max="6943" width="9.1796875" style="306"/>
    <col min="6944" max="6944" width="1.26953125" style="306" customWidth="1"/>
    <col min="6945" max="6945" width="54" style="306" customWidth="1"/>
    <col min="6946" max="6946" width="10.26953125" style="306" customWidth="1"/>
    <col min="6947" max="6963" width="11.26953125" style="306" customWidth="1"/>
    <col min="6964" max="6964" width="9.1796875" style="306"/>
    <col min="6965" max="6965" width="11.26953125" style="306" customWidth="1"/>
    <col min="6966" max="6968" width="10.81640625" style="306" customWidth="1"/>
    <col min="6969" max="7199" width="9.1796875" style="306"/>
    <col min="7200" max="7200" width="1.26953125" style="306" customWidth="1"/>
    <col min="7201" max="7201" width="54" style="306" customWidth="1"/>
    <col min="7202" max="7202" width="10.26953125" style="306" customWidth="1"/>
    <col min="7203" max="7219" width="11.26953125" style="306" customWidth="1"/>
    <col min="7220" max="7220" width="9.1796875" style="306"/>
    <col min="7221" max="7221" width="11.26953125" style="306" customWidth="1"/>
    <col min="7222" max="7224" width="10.81640625" style="306" customWidth="1"/>
    <col min="7225" max="7455" width="9.1796875" style="306"/>
    <col min="7456" max="7456" width="1.26953125" style="306" customWidth="1"/>
    <col min="7457" max="7457" width="54" style="306" customWidth="1"/>
    <col min="7458" max="7458" width="10.26953125" style="306" customWidth="1"/>
    <col min="7459" max="7475" width="11.26953125" style="306" customWidth="1"/>
    <col min="7476" max="7476" width="9.1796875" style="306"/>
    <col min="7477" max="7477" width="11.26953125" style="306" customWidth="1"/>
    <col min="7478" max="7480" width="10.81640625" style="306" customWidth="1"/>
    <col min="7481" max="7711" width="9.1796875" style="306"/>
    <col min="7712" max="7712" width="1.26953125" style="306" customWidth="1"/>
    <col min="7713" max="7713" width="54" style="306" customWidth="1"/>
    <col min="7714" max="7714" width="10.26953125" style="306" customWidth="1"/>
    <col min="7715" max="7731" width="11.26953125" style="306" customWidth="1"/>
    <col min="7732" max="7732" width="9.1796875" style="306"/>
    <col min="7733" max="7733" width="11.26953125" style="306" customWidth="1"/>
    <col min="7734" max="7736" width="10.81640625" style="306" customWidth="1"/>
    <col min="7737" max="7967" width="9.1796875" style="306"/>
    <col min="7968" max="7968" width="1.26953125" style="306" customWidth="1"/>
    <col min="7969" max="7969" width="54" style="306" customWidth="1"/>
    <col min="7970" max="7970" width="10.26953125" style="306" customWidth="1"/>
    <col min="7971" max="7987" width="11.26953125" style="306" customWidth="1"/>
    <col min="7988" max="7988" width="9.1796875" style="306"/>
    <col min="7989" max="7989" width="11.26953125" style="306" customWidth="1"/>
    <col min="7990" max="7992" width="10.81640625" style="306" customWidth="1"/>
    <col min="7993" max="8223" width="9.1796875" style="306"/>
    <col min="8224" max="8224" width="1.26953125" style="306" customWidth="1"/>
    <col min="8225" max="8225" width="54" style="306" customWidth="1"/>
    <col min="8226" max="8226" width="10.26953125" style="306" customWidth="1"/>
    <col min="8227" max="8243" width="11.26953125" style="306" customWidth="1"/>
    <col min="8244" max="8244" width="9.1796875" style="306"/>
    <col min="8245" max="8245" width="11.26953125" style="306" customWidth="1"/>
    <col min="8246" max="8248" width="10.81640625" style="306" customWidth="1"/>
    <col min="8249" max="8479" width="9.1796875" style="306"/>
    <col min="8480" max="8480" width="1.26953125" style="306" customWidth="1"/>
    <col min="8481" max="8481" width="54" style="306" customWidth="1"/>
    <col min="8482" max="8482" width="10.26953125" style="306" customWidth="1"/>
    <col min="8483" max="8499" width="11.26953125" style="306" customWidth="1"/>
    <col min="8500" max="8500" width="9.1796875" style="306"/>
    <col min="8501" max="8501" width="11.26953125" style="306" customWidth="1"/>
    <col min="8502" max="8504" width="10.81640625" style="306" customWidth="1"/>
    <col min="8505" max="8735" width="9.1796875" style="306"/>
    <col min="8736" max="8736" width="1.26953125" style="306" customWidth="1"/>
    <col min="8737" max="8737" width="54" style="306" customWidth="1"/>
    <col min="8738" max="8738" width="10.26953125" style="306" customWidth="1"/>
    <col min="8739" max="8755" width="11.26953125" style="306" customWidth="1"/>
    <col min="8756" max="8756" width="9.1796875" style="306"/>
    <col min="8757" max="8757" width="11.26953125" style="306" customWidth="1"/>
    <col min="8758" max="8760" width="10.81640625" style="306" customWidth="1"/>
    <col min="8761" max="8991" width="9.1796875" style="306"/>
    <col min="8992" max="8992" width="1.26953125" style="306" customWidth="1"/>
    <col min="8993" max="8993" width="54" style="306" customWidth="1"/>
    <col min="8994" max="8994" width="10.26953125" style="306" customWidth="1"/>
    <col min="8995" max="9011" width="11.26953125" style="306" customWidth="1"/>
    <col min="9012" max="9012" width="9.1796875" style="306"/>
    <col min="9013" max="9013" width="11.26953125" style="306" customWidth="1"/>
    <col min="9014" max="9016" width="10.81640625" style="306" customWidth="1"/>
    <col min="9017" max="9247" width="9.1796875" style="306"/>
    <col min="9248" max="9248" width="1.26953125" style="306" customWidth="1"/>
    <col min="9249" max="9249" width="54" style="306" customWidth="1"/>
    <col min="9250" max="9250" width="10.26953125" style="306" customWidth="1"/>
    <col min="9251" max="9267" width="11.26953125" style="306" customWidth="1"/>
    <col min="9268" max="9268" width="9.1796875" style="306"/>
    <col min="9269" max="9269" width="11.26953125" style="306" customWidth="1"/>
    <col min="9270" max="9272" width="10.81640625" style="306" customWidth="1"/>
    <col min="9273" max="9503" width="9.1796875" style="306"/>
    <col min="9504" max="9504" width="1.26953125" style="306" customWidth="1"/>
    <col min="9505" max="9505" width="54" style="306" customWidth="1"/>
    <col min="9506" max="9506" width="10.26953125" style="306" customWidth="1"/>
    <col min="9507" max="9523" width="11.26953125" style="306" customWidth="1"/>
    <col min="9524" max="9524" width="9.1796875" style="306"/>
    <col min="9525" max="9525" width="11.26953125" style="306" customWidth="1"/>
    <col min="9526" max="9528" width="10.81640625" style="306" customWidth="1"/>
    <col min="9529" max="9759" width="9.1796875" style="306"/>
    <col min="9760" max="9760" width="1.26953125" style="306" customWidth="1"/>
    <col min="9761" max="9761" width="54" style="306" customWidth="1"/>
    <col min="9762" max="9762" width="10.26953125" style="306" customWidth="1"/>
    <col min="9763" max="9779" width="11.26953125" style="306" customWidth="1"/>
    <col min="9780" max="9780" width="9.1796875" style="306"/>
    <col min="9781" max="9781" width="11.26953125" style="306" customWidth="1"/>
    <col min="9782" max="9784" width="10.81640625" style="306" customWidth="1"/>
    <col min="9785" max="10015" width="9.1796875" style="306"/>
    <col min="10016" max="10016" width="1.26953125" style="306" customWidth="1"/>
    <col min="10017" max="10017" width="54" style="306" customWidth="1"/>
    <col min="10018" max="10018" width="10.26953125" style="306" customWidth="1"/>
    <col min="10019" max="10035" width="11.26953125" style="306" customWidth="1"/>
    <col min="10036" max="10036" width="9.1796875" style="306"/>
    <col min="10037" max="10037" width="11.26953125" style="306" customWidth="1"/>
    <col min="10038" max="10040" width="10.81640625" style="306" customWidth="1"/>
    <col min="10041" max="10271" width="9.1796875" style="306"/>
    <col min="10272" max="10272" width="1.26953125" style="306" customWidth="1"/>
    <col min="10273" max="10273" width="54" style="306" customWidth="1"/>
    <col min="10274" max="10274" width="10.26953125" style="306" customWidth="1"/>
    <col min="10275" max="10291" width="11.26953125" style="306" customWidth="1"/>
    <col min="10292" max="10292" width="9.1796875" style="306"/>
    <col min="10293" max="10293" width="11.26953125" style="306" customWidth="1"/>
    <col min="10294" max="10296" width="10.81640625" style="306" customWidth="1"/>
    <col min="10297" max="10527" width="9.1796875" style="306"/>
    <col min="10528" max="10528" width="1.26953125" style="306" customWidth="1"/>
    <col min="10529" max="10529" width="54" style="306" customWidth="1"/>
    <col min="10530" max="10530" width="10.26953125" style="306" customWidth="1"/>
    <col min="10531" max="10547" width="11.26953125" style="306" customWidth="1"/>
    <col min="10548" max="10548" width="9.1796875" style="306"/>
    <col min="10549" max="10549" width="11.26953125" style="306" customWidth="1"/>
    <col min="10550" max="10552" width="10.81640625" style="306" customWidth="1"/>
    <col min="10553" max="10783" width="9.1796875" style="306"/>
    <col min="10784" max="10784" width="1.26953125" style="306" customWidth="1"/>
    <col min="10785" max="10785" width="54" style="306" customWidth="1"/>
    <col min="10786" max="10786" width="10.26953125" style="306" customWidth="1"/>
    <col min="10787" max="10803" width="11.26953125" style="306" customWidth="1"/>
    <col min="10804" max="10804" width="9.1796875" style="306"/>
    <col min="10805" max="10805" width="11.26953125" style="306" customWidth="1"/>
    <col min="10806" max="10808" width="10.81640625" style="306" customWidth="1"/>
    <col min="10809" max="11039" width="9.1796875" style="306"/>
    <col min="11040" max="11040" width="1.26953125" style="306" customWidth="1"/>
    <col min="11041" max="11041" width="54" style="306" customWidth="1"/>
    <col min="11042" max="11042" width="10.26953125" style="306" customWidth="1"/>
    <col min="11043" max="11059" width="11.26953125" style="306" customWidth="1"/>
    <col min="11060" max="11060" width="9.1796875" style="306"/>
    <col min="11061" max="11061" width="11.26953125" style="306" customWidth="1"/>
    <col min="11062" max="11064" width="10.81640625" style="306" customWidth="1"/>
    <col min="11065" max="11295" width="9.1796875" style="306"/>
    <col min="11296" max="11296" width="1.26953125" style="306" customWidth="1"/>
    <col min="11297" max="11297" width="54" style="306" customWidth="1"/>
    <col min="11298" max="11298" width="10.26953125" style="306" customWidth="1"/>
    <col min="11299" max="11315" width="11.26953125" style="306" customWidth="1"/>
    <col min="11316" max="11316" width="9.1796875" style="306"/>
    <col min="11317" max="11317" width="11.26953125" style="306" customWidth="1"/>
    <col min="11318" max="11320" width="10.81640625" style="306" customWidth="1"/>
    <col min="11321" max="11551" width="9.1796875" style="306"/>
    <col min="11552" max="11552" width="1.26953125" style="306" customWidth="1"/>
    <col min="11553" max="11553" width="54" style="306" customWidth="1"/>
    <col min="11554" max="11554" width="10.26953125" style="306" customWidth="1"/>
    <col min="11555" max="11571" width="11.26953125" style="306" customWidth="1"/>
    <col min="11572" max="11572" width="9.1796875" style="306"/>
    <col min="11573" max="11573" width="11.26953125" style="306" customWidth="1"/>
    <col min="11574" max="11576" width="10.81640625" style="306" customWidth="1"/>
    <col min="11577" max="11807" width="9.1796875" style="306"/>
    <col min="11808" max="11808" width="1.26953125" style="306" customWidth="1"/>
    <col min="11809" max="11809" width="54" style="306" customWidth="1"/>
    <col min="11810" max="11810" width="10.26953125" style="306" customWidth="1"/>
    <col min="11811" max="11827" width="11.26953125" style="306" customWidth="1"/>
    <col min="11828" max="11828" width="9.1796875" style="306"/>
    <col min="11829" max="11829" width="11.26953125" style="306" customWidth="1"/>
    <col min="11830" max="11832" width="10.81640625" style="306" customWidth="1"/>
    <col min="11833" max="12063" width="9.1796875" style="306"/>
    <col min="12064" max="12064" width="1.26953125" style="306" customWidth="1"/>
    <col min="12065" max="12065" width="54" style="306" customWidth="1"/>
    <col min="12066" max="12066" width="10.26953125" style="306" customWidth="1"/>
    <col min="12067" max="12083" width="11.26953125" style="306" customWidth="1"/>
    <col min="12084" max="12084" width="9.1796875" style="306"/>
    <col min="12085" max="12085" width="11.26953125" style="306" customWidth="1"/>
    <col min="12086" max="12088" width="10.81640625" style="306" customWidth="1"/>
    <col min="12089" max="12319" width="9.1796875" style="306"/>
    <col min="12320" max="12320" width="1.26953125" style="306" customWidth="1"/>
    <col min="12321" max="12321" width="54" style="306" customWidth="1"/>
    <col min="12322" max="12322" width="10.26953125" style="306" customWidth="1"/>
    <col min="12323" max="12339" width="11.26953125" style="306" customWidth="1"/>
    <col min="12340" max="12340" width="9.1796875" style="306"/>
    <col min="12341" max="12341" width="11.26953125" style="306" customWidth="1"/>
    <col min="12342" max="12344" width="10.81640625" style="306" customWidth="1"/>
    <col min="12345" max="12575" width="9.1796875" style="306"/>
    <col min="12576" max="12576" width="1.26953125" style="306" customWidth="1"/>
    <col min="12577" max="12577" width="54" style="306" customWidth="1"/>
    <col min="12578" max="12578" width="10.26953125" style="306" customWidth="1"/>
    <col min="12579" max="12595" width="11.26953125" style="306" customWidth="1"/>
    <col min="12596" max="12596" width="9.1796875" style="306"/>
    <col min="12597" max="12597" width="11.26953125" style="306" customWidth="1"/>
    <col min="12598" max="12600" width="10.81640625" style="306" customWidth="1"/>
    <col min="12601" max="12831" width="9.1796875" style="306"/>
    <col min="12832" max="12832" width="1.26953125" style="306" customWidth="1"/>
    <col min="12833" max="12833" width="54" style="306" customWidth="1"/>
    <col min="12834" max="12834" width="10.26953125" style="306" customWidth="1"/>
    <col min="12835" max="12851" width="11.26953125" style="306" customWidth="1"/>
    <col min="12852" max="12852" width="9.1796875" style="306"/>
    <col min="12853" max="12853" width="11.26953125" style="306" customWidth="1"/>
    <col min="12854" max="12856" width="10.81640625" style="306" customWidth="1"/>
    <col min="12857" max="13087" width="9.1796875" style="306"/>
    <col min="13088" max="13088" width="1.26953125" style="306" customWidth="1"/>
    <col min="13089" max="13089" width="54" style="306" customWidth="1"/>
    <col min="13090" max="13090" width="10.26953125" style="306" customWidth="1"/>
    <col min="13091" max="13107" width="11.26953125" style="306" customWidth="1"/>
    <col min="13108" max="13108" width="9.1796875" style="306"/>
    <col min="13109" max="13109" width="11.26953125" style="306" customWidth="1"/>
    <col min="13110" max="13112" width="10.81640625" style="306" customWidth="1"/>
    <col min="13113" max="13343" width="9.1796875" style="306"/>
    <col min="13344" max="13344" width="1.26953125" style="306" customWidth="1"/>
    <col min="13345" max="13345" width="54" style="306" customWidth="1"/>
    <col min="13346" max="13346" width="10.26953125" style="306" customWidth="1"/>
    <col min="13347" max="13363" width="11.26953125" style="306" customWidth="1"/>
    <col min="13364" max="13364" width="9.1796875" style="306"/>
    <col min="13365" max="13365" width="11.26953125" style="306" customWidth="1"/>
    <col min="13366" max="13368" width="10.81640625" style="306" customWidth="1"/>
    <col min="13369" max="13599" width="9.1796875" style="306"/>
    <col min="13600" max="13600" width="1.26953125" style="306" customWidth="1"/>
    <col min="13601" max="13601" width="54" style="306" customWidth="1"/>
    <col min="13602" max="13602" width="10.26953125" style="306" customWidth="1"/>
    <col min="13603" max="13619" width="11.26953125" style="306" customWidth="1"/>
    <col min="13620" max="13620" width="9.1796875" style="306"/>
    <col min="13621" max="13621" width="11.26953125" style="306" customWidth="1"/>
    <col min="13622" max="13624" width="10.81640625" style="306" customWidth="1"/>
    <col min="13625" max="13855" width="9.1796875" style="306"/>
    <col min="13856" max="13856" width="1.26953125" style="306" customWidth="1"/>
    <col min="13857" max="13857" width="54" style="306" customWidth="1"/>
    <col min="13858" max="13858" width="10.26953125" style="306" customWidth="1"/>
    <col min="13859" max="13875" width="11.26953125" style="306" customWidth="1"/>
    <col min="13876" max="13876" width="9.1796875" style="306"/>
    <col min="13877" max="13877" width="11.26953125" style="306" customWidth="1"/>
    <col min="13878" max="13880" width="10.81640625" style="306" customWidth="1"/>
    <col min="13881" max="14111" width="9.1796875" style="306"/>
    <col min="14112" max="14112" width="1.26953125" style="306" customWidth="1"/>
    <col min="14113" max="14113" width="54" style="306" customWidth="1"/>
    <col min="14114" max="14114" width="10.26953125" style="306" customWidth="1"/>
    <col min="14115" max="14131" width="11.26953125" style="306" customWidth="1"/>
    <col min="14132" max="14132" width="9.1796875" style="306"/>
    <col min="14133" max="14133" width="11.26953125" style="306" customWidth="1"/>
    <col min="14134" max="14136" width="10.81640625" style="306" customWidth="1"/>
    <col min="14137" max="14367" width="9.1796875" style="306"/>
    <col min="14368" max="14368" width="1.26953125" style="306" customWidth="1"/>
    <col min="14369" max="14369" width="54" style="306" customWidth="1"/>
    <col min="14370" max="14370" width="10.26953125" style="306" customWidth="1"/>
    <col min="14371" max="14387" width="11.26953125" style="306" customWidth="1"/>
    <col min="14388" max="14388" width="9.1796875" style="306"/>
    <col min="14389" max="14389" width="11.26953125" style="306" customWidth="1"/>
    <col min="14390" max="14392" width="10.81640625" style="306" customWidth="1"/>
    <col min="14393" max="14623" width="9.1796875" style="306"/>
    <col min="14624" max="14624" width="1.26953125" style="306" customWidth="1"/>
    <col min="14625" max="14625" width="54" style="306" customWidth="1"/>
    <col min="14626" max="14626" width="10.26953125" style="306" customWidth="1"/>
    <col min="14627" max="14643" width="11.26953125" style="306" customWidth="1"/>
    <col min="14644" max="14644" width="9.1796875" style="306"/>
    <col min="14645" max="14645" width="11.26953125" style="306" customWidth="1"/>
    <col min="14646" max="14648" width="10.81640625" style="306" customWidth="1"/>
    <col min="14649" max="14879" width="9.1796875" style="306"/>
    <col min="14880" max="14880" width="1.26953125" style="306" customWidth="1"/>
    <col min="14881" max="14881" width="54" style="306" customWidth="1"/>
    <col min="14882" max="14882" width="10.26953125" style="306" customWidth="1"/>
    <col min="14883" max="14899" width="11.26953125" style="306" customWidth="1"/>
    <col min="14900" max="14900" width="9.1796875" style="306"/>
    <col min="14901" max="14901" width="11.26953125" style="306" customWidth="1"/>
    <col min="14902" max="14904" width="10.81640625" style="306" customWidth="1"/>
    <col min="14905" max="15135" width="9.1796875" style="306"/>
    <col min="15136" max="15136" width="1.26953125" style="306" customWidth="1"/>
    <col min="15137" max="15137" width="54" style="306" customWidth="1"/>
    <col min="15138" max="15138" width="10.26953125" style="306" customWidth="1"/>
    <col min="15139" max="15155" width="11.26953125" style="306" customWidth="1"/>
    <col min="15156" max="15156" width="9.1796875" style="306"/>
    <col min="15157" max="15157" width="11.26953125" style="306" customWidth="1"/>
    <col min="15158" max="15160" width="10.81640625" style="306" customWidth="1"/>
    <col min="15161" max="15391" width="9.1796875" style="306"/>
    <col min="15392" max="15392" width="1.26953125" style="306" customWidth="1"/>
    <col min="15393" max="15393" width="54" style="306" customWidth="1"/>
    <col min="15394" max="15394" width="10.26953125" style="306" customWidth="1"/>
    <col min="15395" max="15411" width="11.26953125" style="306" customWidth="1"/>
    <col min="15412" max="15412" width="9.1796875" style="306"/>
    <col min="15413" max="15413" width="11.26953125" style="306" customWidth="1"/>
    <col min="15414" max="15416" width="10.81640625" style="306" customWidth="1"/>
    <col min="15417" max="15647" width="9.1796875" style="306"/>
    <col min="15648" max="15648" width="1.26953125" style="306" customWidth="1"/>
    <col min="15649" max="15649" width="54" style="306" customWidth="1"/>
    <col min="15650" max="15650" width="10.26953125" style="306" customWidth="1"/>
    <col min="15651" max="15667" width="11.26953125" style="306" customWidth="1"/>
    <col min="15668" max="15668" width="9.1796875" style="306"/>
    <col min="15669" max="15669" width="11.26953125" style="306" customWidth="1"/>
    <col min="15670" max="15672" width="10.81640625" style="306" customWidth="1"/>
    <col min="15673" max="15903" width="9.1796875" style="306"/>
    <col min="15904" max="15904" width="1.26953125" style="306" customWidth="1"/>
    <col min="15905" max="15905" width="54" style="306" customWidth="1"/>
    <col min="15906" max="15906" width="10.26953125" style="306" customWidth="1"/>
    <col min="15907" max="15923" width="11.26953125" style="306" customWidth="1"/>
    <col min="15924" max="15924" width="9.1796875" style="306"/>
    <col min="15925" max="15925" width="11.26953125" style="306" customWidth="1"/>
    <col min="15926" max="15928" width="10.81640625" style="306" customWidth="1"/>
    <col min="15929" max="16159" width="9.1796875" style="306"/>
    <col min="16160" max="16160" width="1.26953125" style="306" customWidth="1"/>
    <col min="16161" max="16161" width="54" style="306" customWidth="1"/>
    <col min="16162" max="16162" width="10.26953125" style="306" customWidth="1"/>
    <col min="16163" max="16179" width="11.26953125" style="306" customWidth="1"/>
    <col min="16180" max="16180" width="9.1796875" style="306"/>
    <col min="16181" max="16181" width="11.26953125" style="306" customWidth="1"/>
    <col min="16182" max="16184" width="10.81640625" style="306" customWidth="1"/>
    <col min="16185" max="16384" width="9.1796875" style="306"/>
  </cols>
  <sheetData>
    <row r="2" spans="2:56" ht="24.5">
      <c r="B2" s="611" t="s">
        <v>182</v>
      </c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3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3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3"/>
      <c r="AN2" s="612"/>
      <c r="AO2" s="612"/>
      <c r="AP2" s="612"/>
      <c r="AQ2" s="612"/>
      <c r="AR2" s="612"/>
      <c r="AS2" s="612"/>
      <c r="AT2" s="612"/>
      <c r="AU2" s="612"/>
      <c r="AV2" s="612"/>
      <c r="AW2" s="612"/>
      <c r="AX2" s="612"/>
      <c r="AY2" s="612"/>
      <c r="AZ2" s="612"/>
      <c r="BA2" s="310"/>
      <c r="BB2" s="613"/>
      <c r="BC2" s="613"/>
      <c r="BD2" s="613"/>
    </row>
    <row r="3" spans="2:56" ht="22"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N3" s="612"/>
      <c r="AO3" s="612"/>
      <c r="AP3" s="612"/>
      <c r="AQ3" s="612"/>
      <c r="AR3" s="612"/>
      <c r="AS3" s="612"/>
      <c r="AT3" s="612"/>
      <c r="AU3" s="612"/>
      <c r="AV3" s="612"/>
      <c r="AW3" s="612"/>
      <c r="AX3" s="612"/>
      <c r="AY3" s="612"/>
      <c r="AZ3" s="232"/>
      <c r="BA3" s="311"/>
      <c r="BB3" s="233"/>
      <c r="BC3" s="233"/>
      <c r="BD3" s="233"/>
    </row>
    <row r="4" spans="2:56">
      <c r="B4" s="233"/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3"/>
      <c r="AZ4" s="232"/>
      <c r="BA4" s="311"/>
      <c r="BB4" s="233"/>
      <c r="BC4" s="233"/>
      <c r="BD4" s="233"/>
    </row>
    <row r="5" spans="2:56" ht="18.5">
      <c r="B5" s="614" t="s">
        <v>159</v>
      </c>
      <c r="C5" s="235"/>
      <c r="D5" s="235"/>
      <c r="E5" s="235"/>
      <c r="F5" s="235"/>
      <c r="G5" s="235"/>
      <c r="H5" s="234"/>
      <c r="I5" s="234"/>
      <c r="J5" s="234"/>
      <c r="K5" s="234"/>
      <c r="L5" s="234"/>
      <c r="M5" s="234"/>
      <c r="N5" s="234"/>
      <c r="O5" s="234"/>
      <c r="P5" s="235"/>
      <c r="Q5" s="235"/>
      <c r="R5" s="235"/>
      <c r="S5" s="235"/>
      <c r="T5" s="234"/>
      <c r="U5" s="234"/>
      <c r="V5" s="234"/>
      <c r="W5" s="234"/>
      <c r="X5" s="234"/>
      <c r="Y5" s="234"/>
      <c r="Z5" s="234"/>
      <c r="AA5" s="234"/>
      <c r="AB5" s="235"/>
      <c r="AC5" s="235"/>
      <c r="AD5" s="235"/>
      <c r="AE5" s="235"/>
      <c r="AF5" s="234"/>
      <c r="AG5" s="234"/>
      <c r="AH5" s="234"/>
      <c r="AI5" s="234"/>
      <c r="AJ5" s="234"/>
      <c r="AK5" s="234"/>
      <c r="AL5" s="234"/>
      <c r="AM5" s="234"/>
      <c r="AN5" s="234"/>
      <c r="AO5" s="234"/>
      <c r="AP5" s="234"/>
      <c r="AQ5" s="234"/>
      <c r="AR5" s="234"/>
      <c r="AS5" s="234"/>
      <c r="AT5" s="234"/>
      <c r="AU5" s="234"/>
      <c r="AV5" s="234"/>
      <c r="AW5" s="234"/>
      <c r="AX5" s="948">
        <v>43739</v>
      </c>
      <c r="AY5" s="949"/>
      <c r="AZ5" s="233"/>
      <c r="BA5" s="311"/>
      <c r="BB5" s="233"/>
      <c r="BC5" s="233"/>
      <c r="BD5" s="233"/>
    </row>
    <row r="6" spans="2:56" ht="7.5" customHeight="1">
      <c r="B6" s="615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6"/>
      <c r="AY6" s="237"/>
      <c r="AZ6" s="233"/>
      <c r="BA6" s="311"/>
      <c r="BB6" s="233"/>
      <c r="BC6" s="233"/>
      <c r="BD6" s="233"/>
    </row>
    <row r="7" spans="2:56" ht="21">
      <c r="B7" s="616" t="s">
        <v>56</v>
      </c>
      <c r="C7" s="516" t="s">
        <v>213</v>
      </c>
      <c r="D7" s="238" t="s">
        <v>312</v>
      </c>
      <c r="E7" s="238" t="s">
        <v>313</v>
      </c>
      <c r="F7" s="238" t="s">
        <v>314</v>
      </c>
      <c r="G7" s="238" t="s">
        <v>315</v>
      </c>
      <c r="H7" s="238" t="s">
        <v>316</v>
      </c>
      <c r="I7" s="238" t="s">
        <v>317</v>
      </c>
      <c r="J7" s="238" t="s">
        <v>318</v>
      </c>
      <c r="K7" s="238" t="s">
        <v>319</v>
      </c>
      <c r="L7" s="238" t="s">
        <v>320</v>
      </c>
      <c r="M7" s="238" t="s">
        <v>321</v>
      </c>
      <c r="N7" s="238" t="s">
        <v>322</v>
      </c>
      <c r="O7" s="238" t="s">
        <v>323</v>
      </c>
      <c r="P7" s="238" t="s">
        <v>300</v>
      </c>
      <c r="Q7" s="238" t="s">
        <v>301</v>
      </c>
      <c r="R7" s="238" t="s">
        <v>302</v>
      </c>
      <c r="S7" s="238" t="s">
        <v>303</v>
      </c>
      <c r="T7" s="238" t="s">
        <v>304</v>
      </c>
      <c r="U7" s="238" t="s">
        <v>305</v>
      </c>
      <c r="V7" s="238" t="s">
        <v>306</v>
      </c>
      <c r="W7" s="238" t="s">
        <v>307</v>
      </c>
      <c r="X7" s="238" t="s">
        <v>308</v>
      </c>
      <c r="Y7" s="238" t="s">
        <v>309</v>
      </c>
      <c r="Z7" s="238" t="s">
        <v>310</v>
      </c>
      <c r="AA7" s="238" t="s">
        <v>311</v>
      </c>
      <c r="AB7" s="238" t="s">
        <v>166</v>
      </c>
      <c r="AC7" s="238" t="s">
        <v>167</v>
      </c>
      <c r="AD7" s="238" t="s">
        <v>168</v>
      </c>
      <c r="AE7" s="238" t="s">
        <v>169</v>
      </c>
      <c r="AF7" s="238" t="s">
        <v>170</v>
      </c>
      <c r="AG7" s="238" t="s">
        <v>171</v>
      </c>
      <c r="AH7" s="238" t="s">
        <v>172</v>
      </c>
      <c r="AI7" s="238" t="s">
        <v>173</v>
      </c>
      <c r="AJ7" s="238" t="s">
        <v>174</v>
      </c>
      <c r="AK7" s="238" t="s">
        <v>175</v>
      </c>
      <c r="AL7" s="238" t="s">
        <v>176</v>
      </c>
      <c r="AM7" s="238" t="s">
        <v>177</v>
      </c>
      <c r="AN7" s="238" t="s">
        <v>178</v>
      </c>
      <c r="AO7" s="238" t="s">
        <v>179</v>
      </c>
      <c r="AP7" s="238" t="s">
        <v>180</v>
      </c>
      <c r="AQ7" s="238" t="s">
        <v>181</v>
      </c>
      <c r="AR7" s="238" t="s">
        <v>183</v>
      </c>
      <c r="AS7" s="238" t="s">
        <v>334</v>
      </c>
      <c r="AT7" s="238" t="s">
        <v>335</v>
      </c>
      <c r="AU7" s="238" t="s">
        <v>336</v>
      </c>
      <c r="AV7" s="238" t="s">
        <v>337</v>
      </c>
      <c r="AW7" s="238" t="s">
        <v>338</v>
      </c>
      <c r="AX7" s="647" t="s">
        <v>160</v>
      </c>
      <c r="AY7" s="647" t="s">
        <v>341</v>
      </c>
      <c r="AZ7" s="239"/>
      <c r="BA7" s="308"/>
      <c r="BB7" s="240"/>
      <c r="BC7" s="240"/>
      <c r="BD7" s="240"/>
    </row>
    <row r="8" spans="2:56" ht="25.5" customHeight="1">
      <c r="B8" s="186" t="s">
        <v>9</v>
      </c>
      <c r="C8" s="605">
        <f>AVERAGE(D8:O8)</f>
        <v>74.28798091520278</v>
      </c>
      <c r="D8" s="604">
        <f>AVERAGE('Weekly Analysis'!B7:C7)</f>
        <v>7.7045283018867927</v>
      </c>
      <c r="E8" s="604">
        <f>AVERAGE('Weekly Analysis'!D7:E7)</f>
        <v>14.789258295380613</v>
      </c>
      <c r="F8" s="604">
        <f>AVERAGE('Weekly Analysis'!F7:G7)</f>
        <v>133.03658750813273</v>
      </c>
      <c r="G8" s="604">
        <f>AVERAGE('Weekly Analysis'!H7:I7)</f>
        <v>82.823679245283017</v>
      </c>
      <c r="H8" s="604">
        <f>AVERAGE('Weekly Analysis'!J7:K7)</f>
        <v>110.93375406636304</v>
      </c>
      <c r="I8" s="604">
        <f>AVERAGE('Weekly Analysis'!L7:M7)</f>
        <v>24.028965517241378</v>
      </c>
      <c r="J8" s="604">
        <f>AVERAGE('Weekly Analysis'!N7:O7)</f>
        <v>97.355458685751472</v>
      </c>
      <c r="K8" s="604">
        <f>AVERAGE('Weekly Analysis'!P7:Q7)</f>
        <v>323.95250813272611</v>
      </c>
      <c r="L8" s="241">
        <f>AVERAGE('Weekly Analysis'!R7:S7)</f>
        <v>81.812927781392318</v>
      </c>
      <c r="M8" s="243">
        <f>AVERAGE('Weekly Analysis'!T7:U7)</f>
        <v>0</v>
      </c>
      <c r="N8" s="604">
        <f>AVERAGE('Weekly Analysis'!V7:W7)</f>
        <v>0</v>
      </c>
      <c r="O8" s="604">
        <f>AVERAGE('Weekly Analysis'!X7:Y7)</f>
        <v>15.018103448275861</v>
      </c>
      <c r="P8" s="604">
        <f>AVERAGE('Weekly Analysis'!Z7:AA7)</f>
        <v>200.68005530253743</v>
      </c>
      <c r="Q8" s="604">
        <f>AVERAGE('Weekly Analysis'!AB7:AC7)</f>
        <v>31.275803513337671</v>
      </c>
      <c r="R8" s="604">
        <f>AVERAGE('Weekly Analysis'!AD7:AE7)</f>
        <v>245.93457709824332</v>
      </c>
      <c r="S8" s="604">
        <f>AVERAGE('Weekly Analysis'!AF7:AG7)</f>
        <v>183.34486662329212</v>
      </c>
      <c r="T8" s="604">
        <f>AVERAGE('Weekly Analysis'!AH7:AI7)</f>
        <v>529.27620364346126</v>
      </c>
      <c r="U8" s="604">
        <f>AVERAGE('Weekly Analysis'!AJ7:AK7)</f>
        <v>922.47409564085888</v>
      </c>
      <c r="V8" s="604">
        <f>AVERAGE('Weekly Analysis'!AL7:AM7)</f>
        <v>754.49048796356544</v>
      </c>
      <c r="W8" s="604">
        <f>AVERAGE('Weekly Analysis'!AN7:AO7)</f>
        <v>0</v>
      </c>
      <c r="X8" s="604">
        <f>AVERAGE('Weekly Analysis'!AP7:AQ7)</f>
        <v>0</v>
      </c>
      <c r="Y8" s="604">
        <f>AVERAGE('Weekly Analysis'!AR7:AS7)</f>
        <v>0</v>
      </c>
      <c r="Z8" s="604">
        <f>AVERAGE('Weekly Analysis'!AT7:AU7)</f>
        <v>0</v>
      </c>
      <c r="AA8" s="604">
        <f>AVERAGE('Weekly Analysis'!AV7:AW7)</f>
        <v>0</v>
      </c>
      <c r="AB8" s="241">
        <f>AVERAGE('Weekly Analysis'!AX7:AY7)</f>
        <v>164.08354586857516</v>
      </c>
      <c r="AC8" s="242">
        <f>AVERAGE('Weekly Analysis'!AZ7:BA7)</f>
        <v>19.261320754716984</v>
      </c>
      <c r="AD8" s="242">
        <f>AVERAGE('Weekly Analysis'!BB7:BC7)</f>
        <v>118.01848405985686</v>
      </c>
      <c r="AE8" s="243">
        <f>AVERAGE('Weekly Analysis'!BD7:BE7)</f>
        <v>141.9139752765127</v>
      </c>
      <c r="AF8" s="241">
        <f>AVERAGE('Weekly Analysis'!BF7:BG7)</f>
        <v>437.67050748210801</v>
      </c>
      <c r="AG8" s="242">
        <f>AVERAGE('Weekly Analysis'!BH7:BI7)</f>
        <v>826.13885816525703</v>
      </c>
      <c r="AH8" s="242">
        <f>AVERAGE('Weekly Analysis'!BJ7:BK7)</f>
        <v>692.15825634352632</v>
      </c>
      <c r="AI8" s="243">
        <f>AVERAGE('Weekly Analysis'!BL7:BM7)</f>
        <v>891.2077618737801</v>
      </c>
      <c r="AJ8" s="241">
        <f>AVERAGE('Weekly Analysis'!BN7:BO7)</f>
        <v>360.72059531554976</v>
      </c>
      <c r="AK8" s="242">
        <f>AVERAGE('Weekly Analysis'!BP7:BQ7)</f>
        <v>251.37928757319455</v>
      </c>
      <c r="AL8" s="242">
        <f>AVERAGE('Weekly Analysis'!BR7:BS7)</f>
        <v>369.11165907612229</v>
      </c>
      <c r="AM8" s="243">
        <f>AVERAGE('Weekly Analysis'!BT7:BU7)</f>
        <v>1413.275230969421</v>
      </c>
      <c r="AN8" s="241">
        <f>AVERAGE('Weekly Analysis'!BV7:BW7)</f>
        <v>7.7045283018867927</v>
      </c>
      <c r="AO8" s="242">
        <f>AVERAGE('Weekly Analysis'!BX7:BY7)</f>
        <v>14.789258295380613</v>
      </c>
      <c r="AP8" s="242">
        <f>AVERAGE('Weekly Analysis'!BZ7:CA7)</f>
        <v>176.75593038386467</v>
      </c>
      <c r="AQ8" s="243">
        <f>AVERAGE('Weekly Analysis'!CB7:CC7)</f>
        <v>36.205556278464542</v>
      </c>
      <c r="AR8" s="242">
        <f>AVERAGE('Weekly Analysis'!CD7:CE7)</f>
        <v>583.27463890696163</v>
      </c>
      <c r="AS8" s="242">
        <f>AVERAGE('Weekly Analysis'!CF7:CG7)</f>
        <v>358.68962264150946</v>
      </c>
      <c r="AT8" s="242">
        <f>AVERAGE('Weekly Analysis'!CH7:CI7)</f>
        <v>967.58567338972034</v>
      </c>
      <c r="AU8" s="242">
        <f>AVERAGE('Weekly Analysis'!CJ7:CK7)</f>
        <v>514.35347104749508</v>
      </c>
      <c r="AV8" s="242">
        <f>AVERAGE('Weekly Analysis'!CL7:CM7)</f>
        <v>459.96408262849707</v>
      </c>
      <c r="AW8" s="242">
        <f>AVERAGE('Weekly Analysis'!CN7:CO7)</f>
        <v>403.48645413142481</v>
      </c>
      <c r="AX8" s="242">
        <f>AW8/AV8*100-100</f>
        <v>-12.278704061918674</v>
      </c>
      <c r="AY8" s="243">
        <f>AW8/AK8*100-100</f>
        <v>60.509029215042602</v>
      </c>
      <c r="AZ8" s="244"/>
      <c r="BA8" s="311"/>
      <c r="BB8" s="244"/>
      <c r="BC8" s="244"/>
      <c r="BD8" s="244"/>
    </row>
    <row r="9" spans="2:56" ht="25.5" customHeight="1">
      <c r="B9" s="189" t="s">
        <v>12</v>
      </c>
      <c r="C9" s="606">
        <f t="shared" ref="C9:C27" si="0">AVERAGE(D9:O9)</f>
        <v>550.12773998044975</v>
      </c>
      <c r="D9" s="269">
        <f>AVERAGE('Weekly Analysis'!B8:C8)</f>
        <v>227.90490322580644</v>
      </c>
      <c r="E9" s="269">
        <f>AVERAGE('Weekly Analysis'!D8:E8)</f>
        <v>308.94381231671554</v>
      </c>
      <c r="F9" s="269">
        <f>AVERAGE('Weekly Analysis'!F8:G8)</f>
        <v>346.41888563049855</v>
      </c>
      <c r="G9" s="269">
        <f>AVERAGE('Weekly Analysis'!H8:I8)</f>
        <v>914.81526099706753</v>
      </c>
      <c r="H9" s="269">
        <f>AVERAGE('Weekly Analysis'!J8:K8)</f>
        <v>740.98730791788864</v>
      </c>
      <c r="I9" s="269">
        <f>AVERAGE('Weekly Analysis'!L8:M8)</f>
        <v>311.94545454545454</v>
      </c>
      <c r="J9" s="269">
        <f>AVERAGE('Weekly Analysis'!N8:O8)</f>
        <v>1556.1621818181818</v>
      </c>
      <c r="K9" s="269">
        <f>AVERAGE('Weekly Analysis'!P8:Q8)</f>
        <v>931.98730791788864</v>
      </c>
      <c r="L9" s="245">
        <f>AVERAGE('Weekly Analysis'!R8:S8)</f>
        <v>39.541583577712615</v>
      </c>
      <c r="M9" s="247">
        <f>AVERAGE('Weekly Analysis'!T8:U8)</f>
        <v>0</v>
      </c>
      <c r="N9" s="269">
        <f>AVERAGE('Weekly Analysis'!V8:W8)</f>
        <v>0</v>
      </c>
      <c r="O9" s="269">
        <f>AVERAGE('Weekly Analysis'!X8:Y8)</f>
        <v>1222.8261818181818</v>
      </c>
      <c r="P9" s="269">
        <f>AVERAGE('Weekly Analysis'!Z8:AA8)</f>
        <v>919.90198240469215</v>
      </c>
      <c r="Q9" s="269">
        <f>AVERAGE('Weekly Analysis'!AB8:AC8)</f>
        <v>861.40645161290308</v>
      </c>
      <c r="R9" s="269">
        <f>AVERAGE('Weekly Analysis'!AD8:AE8)</f>
        <v>273.33228152492666</v>
      </c>
      <c r="S9" s="269">
        <f>AVERAGE('Weekly Analysis'!AF8:AG8)</f>
        <v>122.64700293255132</v>
      </c>
      <c r="T9" s="269">
        <f>AVERAGE('Weekly Analysis'!AH8:AI8)</f>
        <v>708.333560117302</v>
      </c>
      <c r="U9" s="269">
        <f>AVERAGE('Weekly Analysis'!AJ8:AK8)</f>
        <v>2259.6997067448683</v>
      </c>
      <c r="V9" s="269">
        <f>AVERAGE('Weekly Analysis'!AL8:AM8)</f>
        <v>1270.056914956012</v>
      </c>
      <c r="W9" s="269">
        <f>AVERAGE('Weekly Analysis'!AN8:AO8)</f>
        <v>0</v>
      </c>
      <c r="X9" s="269">
        <f>AVERAGE('Weekly Analysis'!AP8:AQ8)</f>
        <v>0</v>
      </c>
      <c r="Y9" s="269">
        <f>AVERAGE('Weekly Analysis'!AR8:AS8)</f>
        <v>0</v>
      </c>
      <c r="Z9" s="269">
        <f>AVERAGE('Weekly Analysis'!AT8:AU8)</f>
        <v>0</v>
      </c>
      <c r="AA9" s="269">
        <f>AVERAGE('Weekly Analysis'!AV8:AW8)</f>
        <v>0</v>
      </c>
      <c r="AB9" s="245">
        <f>AVERAGE('Weekly Analysis'!AX8:AY8)</f>
        <v>800.36290909090917</v>
      </c>
      <c r="AC9" s="246">
        <f>AVERAGE('Weekly Analysis'!AZ8:BA8)</f>
        <v>1173.3519061583577</v>
      </c>
      <c r="AD9" s="246">
        <f>AVERAGE('Weekly Analysis'!BB8:BC8)</f>
        <v>346.41888563049855</v>
      </c>
      <c r="AE9" s="247">
        <f>AVERAGE('Weekly Analysis'!BD8:BE8)</f>
        <v>68.628</v>
      </c>
      <c r="AF9" s="245">
        <f>AVERAGE('Weekly Analysis'!BF8:BG8)</f>
        <v>734.7483988269795</v>
      </c>
      <c r="AG9" s="246">
        <f>AVERAGE('Weekly Analysis'!BH8:BI8)</f>
        <v>864.7864985337244</v>
      </c>
      <c r="AH9" s="246">
        <f>AVERAGE('Weekly Analysis'!BJ8:BK8)</f>
        <v>492.67757184750741</v>
      </c>
      <c r="AI9" s="247">
        <f>AVERAGE('Weekly Analysis'!BL8:BM8)</f>
        <v>1503.38084457478</v>
      </c>
      <c r="AJ9" s="245">
        <f>AVERAGE('Weekly Analysis'!BN8:BO8)</f>
        <v>631.75549560117292</v>
      </c>
      <c r="AK9" s="246">
        <f>AVERAGE('Weekly Analysis'!BP8:BQ8)</f>
        <v>1584.7475777126101</v>
      </c>
      <c r="AL9" s="247">
        <f>AVERAGE('Weekly Analysis'!BR8:BS8)</f>
        <v>1313.4081759530793</v>
      </c>
      <c r="AM9" s="247">
        <f>AVERAGE('Weekly Analysis'!BT8:BU8)</f>
        <v>354.22552492668626</v>
      </c>
      <c r="AN9" s="245">
        <f>AVERAGE('Weekly Analysis'!BV8:BW8)</f>
        <v>612.87741935483859</v>
      </c>
      <c r="AO9" s="246">
        <f>AVERAGE('Weekly Analysis'!BX8:BY8)</f>
        <v>106.95272727272727</v>
      </c>
      <c r="AP9" s="246">
        <f>AVERAGE('Weekly Analysis'!BZ8:CA8)</f>
        <v>1440.9270850439884</v>
      </c>
      <c r="AQ9" s="247">
        <f>AVERAGE('Weekly Analysis'!CB8:CC8)</f>
        <v>1341.9064985337241</v>
      </c>
      <c r="AR9" s="245">
        <f>AVERAGE('Weekly Analysis'!CD8:CE8)</f>
        <v>1515.8586627565983</v>
      </c>
      <c r="AS9" s="246">
        <f>AVERAGE('Weekly Analysis'!CF8:CG8)</f>
        <v>827.57906158357764</v>
      </c>
      <c r="AT9" s="246">
        <f>AVERAGE('Weekly Analysis'!CH8:CI8)</f>
        <v>765.25015835777128</v>
      </c>
      <c r="AU9" s="246">
        <f>AVERAGE('Weekly Analysis'!CJ8:CK8)</f>
        <v>638.25756011730209</v>
      </c>
      <c r="AV9" s="246">
        <f>AVERAGE('Weekly Analysis'!CL8:CM8)</f>
        <v>311.31285630498536</v>
      </c>
      <c r="AW9" s="246">
        <f>AVERAGE('Weekly Analysis'!CN8:CO8)</f>
        <v>535.5025219941349</v>
      </c>
      <c r="AX9" s="246">
        <f>AW9/AV9*100-100</f>
        <v>72.014265119046854</v>
      </c>
      <c r="AY9" s="247">
        <f t="shared" ref="AY9:AY27" si="1">AW9/AK9*100-100</f>
        <v>-66.208970467898268</v>
      </c>
      <c r="AZ9" s="244"/>
      <c r="BA9" s="311"/>
      <c r="BB9" s="233"/>
      <c r="BC9" s="233"/>
      <c r="BD9" s="233"/>
    </row>
    <row r="10" spans="2:56" ht="25.5" customHeight="1">
      <c r="B10" s="189" t="s">
        <v>15</v>
      </c>
      <c r="C10" s="606">
        <f t="shared" si="0"/>
        <v>534.4537468079601</v>
      </c>
      <c r="D10" s="269">
        <f>AVERAGE('Weekly Analysis'!B9:C9)</f>
        <v>790.45036498936929</v>
      </c>
      <c r="E10" s="269">
        <f>AVERAGE('Weekly Analysis'!D9:E9)</f>
        <v>461.39235294117651</v>
      </c>
      <c r="F10" s="269">
        <f>AVERAGE('Weekly Analysis'!F9:G9)</f>
        <v>765.37562518983509</v>
      </c>
      <c r="G10" s="269">
        <f>AVERAGE('Weekly Analysis'!H9:I9)</f>
        <v>619.40110019911583</v>
      </c>
      <c r="H10" s="269">
        <f>AVERAGE('Weekly Analysis'!J9:K9)</f>
        <v>510.49961104923898</v>
      </c>
      <c r="I10" s="269">
        <f>AVERAGE('Weekly Analysis'!L9:M9)</f>
        <v>407.1183820998279</v>
      </c>
      <c r="J10" s="269">
        <f>AVERAGE('Weekly Analysis'!N9:O9)</f>
        <v>898.54463501063083</v>
      </c>
      <c r="K10" s="269">
        <f>AVERAGE('Weekly Analysis'!P9:Q9)</f>
        <v>934.95603995815191</v>
      </c>
      <c r="L10" s="245">
        <f>AVERAGE('Weekly Analysis'!R9:S9)</f>
        <v>579.44096385542173</v>
      </c>
      <c r="M10" s="247">
        <f>AVERAGE('Weekly Analysis'!T9:U9)</f>
        <v>0</v>
      </c>
      <c r="N10" s="269">
        <f>AVERAGE('Weekly Analysis'!V9:W9)</f>
        <v>0</v>
      </c>
      <c r="O10" s="269">
        <f>AVERAGE('Weekly Analysis'!X9:Y9)</f>
        <v>446.26588640275395</v>
      </c>
      <c r="P10" s="269">
        <f>AVERAGE('Weekly Analysis'!Z9:AA9)</f>
        <v>877.49489554858087</v>
      </c>
      <c r="Q10" s="269">
        <f>AVERAGE('Weekly Analysis'!AB9:AC9)</f>
        <v>460.66960109344944</v>
      </c>
      <c r="R10" s="269">
        <f>AVERAGE('Weekly Analysis'!AD9:AE9)</f>
        <v>1349.4922786946104</v>
      </c>
      <c r="S10" s="269">
        <f>AVERAGE('Weekly Analysis'!AF9:AG9)</f>
        <v>1477.2054442982014</v>
      </c>
      <c r="T10" s="269">
        <f>AVERAGE('Weekly Analysis'!AH9:AI9)</f>
        <v>1248.5461732644867</v>
      </c>
      <c r="U10" s="269">
        <f>AVERAGE('Weekly Analysis'!AJ9:AK9)</f>
        <v>2855.6996669029058</v>
      </c>
      <c r="V10" s="269">
        <f>AVERAGE('Weekly Analysis'!AL9:AM9)</f>
        <v>1487.0462891903751</v>
      </c>
      <c r="W10" s="269">
        <f>AVERAGE('Weekly Analysis'!AN9:AO9)</f>
        <v>0</v>
      </c>
      <c r="X10" s="269">
        <f>AVERAGE('Weekly Analysis'!AP9:AQ9)</f>
        <v>0</v>
      </c>
      <c r="Y10" s="269">
        <f>AVERAGE('Weekly Analysis'!AR9:AS9)</f>
        <v>0</v>
      </c>
      <c r="Z10" s="269">
        <f>AVERAGE('Weekly Analysis'!AT9:AU9)</f>
        <v>0</v>
      </c>
      <c r="AA10" s="269">
        <f>AVERAGE('Weekly Analysis'!AV9:AW9)</f>
        <v>0</v>
      </c>
      <c r="AB10" s="269">
        <f>AVERAGE('Weekly Analysis'!AX9:AY9)</f>
        <v>439.79588235294119</v>
      </c>
      <c r="AC10" s="247">
        <f>AVERAGE('Weekly Analysis'!AZ9:BA9)</f>
        <v>478.16388680773514</v>
      </c>
      <c r="AD10" s="247">
        <f>AVERAGE('Weekly Analysis'!BB9:BC9)</f>
        <v>744.28192771084343</v>
      </c>
      <c r="AE10" s="247">
        <f>AVERAGE('Weekly Analysis'!BD9:BE9)</f>
        <v>1184.6940791738382</v>
      </c>
      <c r="AF10" s="269">
        <f>AVERAGE('Weekly Analysis'!BF9:BG9)</f>
        <v>1144.276051938848</v>
      </c>
      <c r="AG10" s="246">
        <f>AVERAGE('Weekly Analysis'!BH9:BI9)</f>
        <v>1014.6312335054504</v>
      </c>
      <c r="AH10" s="246">
        <f>AVERAGE('Weekly Analysis'!BJ9:BK9)</f>
        <v>558.41959839357435</v>
      </c>
      <c r="AI10" s="247">
        <f>AVERAGE('Weekly Analysis'!BL9:BM9)</f>
        <v>1091.1185987648073</v>
      </c>
      <c r="AJ10" s="269">
        <f>AVERAGE('Weekly Analysis'!BN9:BO9)</f>
        <v>627.17764773379236</v>
      </c>
      <c r="AK10" s="246">
        <f>AVERAGE('Weekly Analysis'!BP9:BQ9)</f>
        <v>479.53734939759033</v>
      </c>
      <c r="AL10" s="247">
        <f>AVERAGE('Weekly Analysis'!BR9:BS9)</f>
        <v>438.49064830751581</v>
      </c>
      <c r="AM10" s="247">
        <f>AVERAGE('Weekly Analysis'!BT9:BU9)</f>
        <v>1748.3132530120483</v>
      </c>
      <c r="AN10" s="245">
        <f>AVERAGE('Weekly Analysis'!BV9:BW9)</f>
        <v>813.77607927508359</v>
      </c>
      <c r="AO10" s="246">
        <f>AVERAGE('Weekly Analysis'!BX9:BY9)</f>
        <v>461.39235294117645</v>
      </c>
      <c r="AP10" s="246">
        <f>AVERAGE('Weekly Analysis'!BZ9:CA9)</f>
        <v>1300.5466938341601</v>
      </c>
      <c r="AQ10" s="247">
        <f>AVERAGE('Weekly Analysis'!CB9:CC9)</f>
        <v>949.48827427356491</v>
      </c>
      <c r="AR10" s="246">
        <f>AVERAGE('Weekly Analysis'!CD9:CE9)</f>
        <v>955.48069994262778</v>
      </c>
      <c r="AS10" s="246">
        <f>AVERAGE('Weekly Analysis'!CF9:CG9)</f>
        <v>361.60223448415513</v>
      </c>
      <c r="AT10" s="246">
        <f>AVERAGE('Weekly Analysis'!CH9:CI9)</f>
        <v>1044.8736316695354</v>
      </c>
      <c r="AU10" s="246">
        <f>AVERAGE('Weekly Analysis'!CJ9:CK9)</f>
        <v>1598.3376129728999</v>
      </c>
      <c r="AV10" s="246">
        <f>AVERAGE('Weekly Analysis'!CL9:CM9)</f>
        <v>770.79163629307141</v>
      </c>
      <c r="AW10" s="246">
        <f>AVERAGE('Weekly Analysis'!CN9:CO9)</f>
        <v>272.49078768856941</v>
      </c>
      <c r="AX10" s="246">
        <f t="shared" ref="AX10:AX27" si="2">AW10/AV10*100-100</f>
        <v>-64.6479314436979</v>
      </c>
      <c r="AY10" s="247">
        <f t="shared" si="1"/>
        <v>-43.1763160823905</v>
      </c>
      <c r="AZ10" s="244"/>
      <c r="BA10" s="311"/>
      <c r="BD10" s="233"/>
    </row>
    <row r="11" spans="2:56" ht="25.5" customHeight="1">
      <c r="B11" s="189" t="s">
        <v>19</v>
      </c>
      <c r="C11" s="606">
        <f t="shared" si="0"/>
        <v>954.40802630274175</v>
      </c>
      <c r="D11" s="269">
        <f>AVERAGE('Weekly Analysis'!B10:C10)</f>
        <v>2351.7535906589319</v>
      </c>
      <c r="E11" s="269">
        <f>AVERAGE('Weekly Analysis'!D10:E10)</f>
        <v>1221.838901532054</v>
      </c>
      <c r="F11" s="269">
        <f>AVERAGE('Weekly Analysis'!F10:G10)</f>
        <v>1171.2902781496355</v>
      </c>
      <c r="G11" s="269">
        <f>AVERAGE('Weekly Analysis'!H10:I10)</f>
        <v>284.04851108136245</v>
      </c>
      <c r="H11" s="269">
        <f>AVERAGE('Weekly Analysis'!J10:K10)</f>
        <v>664.39822921314885</v>
      </c>
      <c r="I11" s="269">
        <f>AVERAGE('Weekly Analysis'!L10:M10)</f>
        <v>592.20924289751588</v>
      </c>
      <c r="J11" s="269">
        <f>AVERAGE('Weekly Analysis'!N10:O10)</f>
        <v>1278.0327599286031</v>
      </c>
      <c r="K11" s="269">
        <f>AVERAGE('Weekly Analysis'!P10:Q10)</f>
        <v>910.29804625911038</v>
      </c>
      <c r="L11" s="245">
        <f>AVERAGE('Weekly Analysis'!R10:S10)</f>
        <v>1342.9778313253009</v>
      </c>
      <c r="M11" s="247">
        <f>AVERAGE('Weekly Analysis'!T10:U10)</f>
        <v>0</v>
      </c>
      <c r="N11" s="269">
        <f>AVERAGE('Weekly Analysis'!V10:W10)</f>
        <v>0</v>
      </c>
      <c r="O11" s="269">
        <f>AVERAGE('Weekly Analysis'!X10:Y10)</f>
        <v>1636.0489245872377</v>
      </c>
      <c r="P11" s="269">
        <f>AVERAGE('Weekly Analysis'!Z10:AA10)</f>
        <v>1148.4730566711287</v>
      </c>
      <c r="Q11" s="269">
        <f>AVERAGE('Weekly Analysis'!AB10:AC10)</f>
        <v>534.50531012940644</v>
      </c>
      <c r="R11" s="269">
        <f>AVERAGE('Weekly Analysis'!AD10:AE10)</f>
        <v>2018.4865432098763</v>
      </c>
      <c r="S11" s="269">
        <f>AVERAGE('Weekly Analysis'!AF10:AG10)</f>
        <v>2107.9333452327828</v>
      </c>
      <c r="T11" s="269">
        <f>AVERAGE('Weekly Analysis'!AH10:AI10)</f>
        <v>771.50901457682585</v>
      </c>
      <c r="U11" s="269">
        <f>AVERAGE('Weekly Analysis'!AJ10:AK10)</f>
        <v>1976.1463944667555</v>
      </c>
      <c r="V11" s="269">
        <f>AVERAGE('Weekly Analysis'!AL10:AM10)</f>
        <v>1666.1128372750259</v>
      </c>
      <c r="W11" s="269">
        <f>AVERAGE('Weekly Analysis'!AN10:AO10)</f>
        <v>0</v>
      </c>
      <c r="X11" s="269">
        <f>AVERAGE('Weekly Analysis'!AP10:AQ10)</f>
        <v>0</v>
      </c>
      <c r="Y11" s="269">
        <f>AVERAGE('Weekly Analysis'!AR10:AS10)</f>
        <v>0</v>
      </c>
      <c r="Z11" s="269">
        <f>AVERAGE('Weekly Analysis'!AT10:AU10)</f>
        <v>0</v>
      </c>
      <c r="AA11" s="269">
        <f>AVERAGE('Weekly Analysis'!AV10:AW10)</f>
        <v>0</v>
      </c>
      <c r="AB11" s="245">
        <f>AVERAGE('Weekly Analysis'!AX10:AY10)</f>
        <v>716.09417596311164</v>
      </c>
      <c r="AC11" s="246">
        <f>AVERAGE('Weekly Analysis'!AZ10:BA10)</f>
        <v>1028.6909727800089</v>
      </c>
      <c r="AD11" s="246">
        <f>AVERAGE('Weekly Analysis'!BB10:BC10)</f>
        <v>1171.2902781496355</v>
      </c>
      <c r="AE11" s="247">
        <f>AVERAGE('Weekly Analysis'!BD10:BE10)</f>
        <v>2636.678055927413</v>
      </c>
      <c r="AF11" s="245">
        <f>AVERAGE('Weekly Analysis'!BF10:BG10)</f>
        <v>2605.0800862710093</v>
      </c>
      <c r="AG11" s="247">
        <f>AVERAGE('Weekly Analysis'!BH10:BI10)</f>
        <v>1530.8783638256727</v>
      </c>
      <c r="AH11" s="247">
        <f>AVERAGE('Weekly Analysis'!BJ10:BK10)</f>
        <v>1829.6186746987948</v>
      </c>
      <c r="AI11" s="247">
        <f>AVERAGE('Weekly Analysis'!BL10:BM10)</f>
        <v>1875.8872378402498</v>
      </c>
      <c r="AJ11" s="245">
        <f>AVERAGE('Weekly Analysis'!BN10:BO10)</f>
        <v>956.02109474936765</v>
      </c>
      <c r="AK11" s="247">
        <f>AVERAGE('Weekly Analysis'!BP10:BQ10)</f>
        <v>1195.856631712033</v>
      </c>
      <c r="AL11" s="246">
        <f>AVERAGE('Weekly Analysis'!BR10:BS10)</f>
        <v>1937.3312687788189</v>
      </c>
      <c r="AM11" s="247">
        <f>AVERAGE('Weekly Analysis'!BT10:BU10)</f>
        <v>3340.3399910754124</v>
      </c>
      <c r="AN11" s="269">
        <f>AVERAGE('Weekly Analysis'!BV10:BW10)</f>
        <v>2351.7535906589319</v>
      </c>
      <c r="AO11" s="247">
        <f>AVERAGE('Weekly Analysis'!BX10:BY10)</f>
        <v>1221.838901532054</v>
      </c>
      <c r="AP11" s="247">
        <f>AVERAGE('Weekly Analysis'!BZ10:CA10)</f>
        <v>2371.5801985720655</v>
      </c>
      <c r="AQ11" s="247">
        <f>AVERAGE('Weekly Analysis'!CB10:CC10)</f>
        <v>1557.9165751896471</v>
      </c>
      <c r="AR11" s="246">
        <f>AVERAGE('Weekly Analysis'!CD10:CE10)</f>
        <v>884.82897962219238</v>
      </c>
      <c r="AS11" s="246">
        <f>AVERAGE('Weekly Analysis'!CF10:CG10)</f>
        <v>686.58133050721403</v>
      </c>
      <c r="AT11" s="246">
        <f>AVERAGE('Weekly Analysis'!CH10:CI10)</f>
        <v>1030.2333586196637</v>
      </c>
      <c r="AU11" s="246">
        <f>AVERAGE('Weekly Analysis'!CJ10:CK10)</f>
        <v>900.28136918042526</v>
      </c>
      <c r="AV11" s="246">
        <f>AVERAGE('Weekly Analysis'!CL10:CM10)</f>
        <v>983.06208240368869</v>
      </c>
      <c r="AW11" s="246">
        <f>AVERAGE('Weekly Analysis'!CN10:CO10)</f>
        <v>1200.5963773612971</v>
      </c>
      <c r="AX11" s="246">
        <f t="shared" si="2"/>
        <v>22.128235729091955</v>
      </c>
      <c r="AY11" s="652">
        <f>AW11/AK11*100-100</f>
        <v>0.39634731485148222</v>
      </c>
      <c r="AZ11" s="244"/>
      <c r="BA11" s="311"/>
      <c r="BD11" s="233"/>
    </row>
    <row r="12" spans="2:56" ht="25.5" customHeight="1">
      <c r="B12" s="189" t="s">
        <v>22</v>
      </c>
      <c r="C12" s="606">
        <f t="shared" si="0"/>
        <v>249.94071893667862</v>
      </c>
      <c r="D12" s="269">
        <f>AVERAGE('Weekly Analysis'!B11:C11)</f>
        <v>27.658867383512547</v>
      </c>
      <c r="E12" s="269">
        <f>AVERAGE('Weekly Analysis'!D11:E11)</f>
        <v>68.350275985663089</v>
      </c>
      <c r="F12" s="269">
        <f>AVERAGE('Weekly Analysis'!F11:G11)</f>
        <v>590.5874910394266</v>
      </c>
      <c r="G12" s="269">
        <f>AVERAGE('Weekly Analysis'!H11:I11)</f>
        <v>146.70246594982081</v>
      </c>
      <c r="H12" s="269">
        <f>AVERAGE('Weekly Analysis'!J11:K11)</f>
        <v>391.39717204301076</v>
      </c>
      <c r="I12" s="269">
        <f>AVERAGE('Weekly Analysis'!L11:M11)</f>
        <v>181.33870967741936</v>
      </c>
      <c r="J12" s="269">
        <f>AVERAGE('Weekly Analysis'!N11:O11)</f>
        <v>665.11216129032266</v>
      </c>
      <c r="K12" s="269">
        <f>AVERAGE('Weekly Analysis'!P11:Q11)</f>
        <v>803.2373763440861</v>
      </c>
      <c r="L12" s="245">
        <f>AVERAGE('Weekly Analysis'!R11:S11)</f>
        <v>83.415806451612895</v>
      </c>
      <c r="M12" s="247">
        <f>AVERAGE('Weekly Analysis'!T11:U11)</f>
        <v>0</v>
      </c>
      <c r="N12" s="269">
        <f>AVERAGE('Weekly Analysis'!V11:W11)</f>
        <v>0</v>
      </c>
      <c r="O12" s="269">
        <f>AVERAGE('Weekly Analysis'!X11:Y11)</f>
        <v>41.488301075268815</v>
      </c>
      <c r="P12" s="269">
        <f>AVERAGE('Weekly Analysis'!Z11:AA11)</f>
        <v>721.57838709677424</v>
      </c>
      <c r="Q12" s="269">
        <f>AVERAGE('Weekly Analysis'!AB11:AC11)</f>
        <v>547.54311827956985</v>
      </c>
      <c r="R12" s="269">
        <f>AVERAGE('Weekly Analysis'!AD11:AE11)</f>
        <v>242.86855197132616</v>
      </c>
      <c r="S12" s="269">
        <f>AVERAGE('Weekly Analysis'!AF11:AG11)</f>
        <v>463.77571326164878</v>
      </c>
      <c r="T12" s="269">
        <f>AVERAGE('Weekly Analysis'!AH11:AI11)</f>
        <v>920.38548387096785</v>
      </c>
      <c r="U12" s="269">
        <f>AVERAGE('Weekly Analysis'!AJ11:AK11)</f>
        <v>1770.3256308243726</v>
      </c>
      <c r="V12" s="269">
        <f>AVERAGE('Weekly Analysis'!AL11:AM11)</f>
        <v>427.94717562724014</v>
      </c>
      <c r="W12" s="269">
        <f>AVERAGE('Weekly Analysis'!AN11:AO11)</f>
        <v>0</v>
      </c>
      <c r="X12" s="269">
        <f>AVERAGE('Weekly Analysis'!AP11:AQ11)</f>
        <v>0</v>
      </c>
      <c r="Y12" s="269">
        <f>AVERAGE('Weekly Analysis'!AR11:AS11)</f>
        <v>0</v>
      </c>
      <c r="Z12" s="269">
        <f>AVERAGE('Weekly Analysis'!AT11:AU11)</f>
        <v>0</v>
      </c>
      <c r="AA12" s="269">
        <f>AVERAGE('Weekly Analysis'!AV11:AW11)</f>
        <v>0</v>
      </c>
      <c r="AB12" s="245">
        <f>AVERAGE('Weekly Analysis'!AX11:AY11)</f>
        <v>58.028387096774196</v>
      </c>
      <c r="AC12" s="246">
        <f>AVERAGE('Weekly Analysis'!AZ11:BA11)</f>
        <v>623.70537634408606</v>
      </c>
      <c r="AD12" s="246">
        <f>AVERAGE('Weekly Analysis'!BB11:BC11)</f>
        <v>590.5874910394266</v>
      </c>
      <c r="AE12" s="247">
        <f>AVERAGE('Weekly Analysis'!BD11:BE11)</f>
        <v>932.49581362007177</v>
      </c>
      <c r="AF12" s="245">
        <f>AVERAGE('Weekly Analysis'!BF11:BG11)</f>
        <v>1788.1772401433691</v>
      </c>
      <c r="AG12" s="246">
        <f>AVERAGE('Weekly Analysis'!BH11:BI11)</f>
        <v>1897.2055698924732</v>
      </c>
      <c r="AH12" s="246">
        <f>AVERAGE('Weekly Analysis'!BJ11:BK11)</f>
        <v>1599.5460931899643</v>
      </c>
      <c r="AI12" s="247">
        <f>AVERAGE('Weekly Analysis'!BL11:BM11)</f>
        <v>695.24322222222213</v>
      </c>
      <c r="AJ12" s="245">
        <f>AVERAGE('Weekly Analysis'!BN11:BO11)</f>
        <v>701.27285304659506</v>
      </c>
      <c r="AK12" s="246">
        <f>AVERAGE('Weekly Analysis'!BP11:BQ11)</f>
        <v>18.133870967741935</v>
      </c>
      <c r="AL12" s="247">
        <f>AVERAGE('Weekly Analysis'!BR11:BS11)</f>
        <v>376.61390322580644</v>
      </c>
      <c r="AM12" s="247">
        <f>AVERAGE('Weekly Analysis'!BT11:BU11)</f>
        <v>985.13451971326174</v>
      </c>
      <c r="AN12" s="245">
        <f>AVERAGE('Weekly Analysis'!BV11:BW11)</f>
        <v>10.880322580645162</v>
      </c>
      <c r="AO12" s="246">
        <f>AVERAGE('Weekly Analysis'!BX11:BY11)</f>
        <v>0</v>
      </c>
      <c r="AP12" s="246">
        <f>AVERAGE('Weekly Analysis'!BZ11:CA11)</f>
        <v>680.05846236559137</v>
      </c>
      <c r="AQ12" s="247">
        <f>AVERAGE('Weekly Analysis'!CB11:CC11)</f>
        <v>1059.1445591397851</v>
      </c>
      <c r="AR12" s="246">
        <f>AVERAGE('Weekly Analysis'!CD11:CE11)</f>
        <v>2048.972827956989</v>
      </c>
      <c r="AS12" s="246">
        <f>AVERAGE('Weekly Analysis'!CF11:CG11)</f>
        <v>3154.8955842293908</v>
      </c>
      <c r="AT12" s="246">
        <f>AVERAGE('Weekly Analysis'!CH11:CI11)</f>
        <v>2432.4509677419355</v>
      </c>
      <c r="AU12" s="246">
        <f>AVERAGE('Weekly Analysis'!CJ11:CK11)</f>
        <v>2090.2603835125446</v>
      </c>
      <c r="AV12" s="246">
        <f>AVERAGE('Weekly Analysis'!CL11:CM11)</f>
        <v>429.62247670250895</v>
      </c>
      <c r="AW12" s="246">
        <f>AVERAGE('Weekly Analysis'!CN11:CO11)</f>
        <v>248.84829032258062</v>
      </c>
      <c r="AX12" s="246">
        <f>AW12/AV12*100-100</f>
        <v>-42.077450827859032</v>
      </c>
      <c r="AY12" s="247">
        <f>AW12/AK12*100-100</f>
        <v>1272.2844436538289</v>
      </c>
      <c r="AZ12" s="244"/>
      <c r="BA12" s="311"/>
      <c r="BB12" s="307"/>
      <c r="BD12" s="233"/>
    </row>
    <row r="13" spans="2:56" ht="25.5" customHeight="1">
      <c r="B13" s="189" t="s">
        <v>25</v>
      </c>
      <c r="C13" s="606">
        <f t="shared" si="0"/>
        <v>254.97874425068812</v>
      </c>
      <c r="D13" s="269">
        <f>AVERAGE('Weekly Analysis'!B12:C12)</f>
        <v>487.39944317687957</v>
      </c>
      <c r="E13" s="269">
        <f>AVERAGE('Weekly Analysis'!D12:E12)</f>
        <v>272.04921718817911</v>
      </c>
      <c r="F13" s="269">
        <f>AVERAGE('Weekly Analysis'!F12:G12)</f>
        <v>162.15701923076921</v>
      </c>
      <c r="G13" s="269">
        <f>AVERAGE('Weekly Analysis'!H12:I12)</f>
        <v>462.00305030421566</v>
      </c>
      <c r="H13" s="269">
        <f>AVERAGE('Weekly Analysis'!J12:K12)</f>
        <v>0</v>
      </c>
      <c r="I13" s="269">
        <f>AVERAGE('Weekly Analysis'!L12:M12)</f>
        <v>138.38584745762714</v>
      </c>
      <c r="J13" s="269">
        <f>AVERAGE('Weekly Analysis'!N12:O12)</f>
        <v>367.54486473272493</v>
      </c>
      <c r="K13" s="269">
        <f>AVERAGE('Weekly Analysis'!P12:Q12)</f>
        <v>394.970086918731</v>
      </c>
      <c r="L13" s="245">
        <f>AVERAGE('Weekly Analysis'!R12:S12)</f>
        <v>331.537341373316</v>
      </c>
      <c r="M13" s="247">
        <f>AVERAGE('Weekly Analysis'!T12:U12)</f>
        <v>0</v>
      </c>
      <c r="N13" s="269">
        <f>AVERAGE('Weekly Analysis'!V12:W12)</f>
        <v>0</v>
      </c>
      <c r="O13" s="269">
        <f>AVERAGE('Weekly Analysis'!X12:Y12)</f>
        <v>443.69806062581495</v>
      </c>
      <c r="P13" s="269">
        <f>AVERAGE('Weekly Analysis'!Z12:AA12)</f>
        <v>394.970086918731</v>
      </c>
      <c r="Q13" s="269">
        <f>AVERAGE('Weekly Analysis'!AB12:AC12)</f>
        <v>925.0324826162539</v>
      </c>
      <c r="R13" s="269">
        <f>AVERAGE('Weekly Analysis'!AD12:AE12)</f>
        <v>0</v>
      </c>
      <c r="S13" s="269">
        <f>AVERAGE('Weekly Analysis'!AF12:AG12)</f>
        <v>961.23445621468932</v>
      </c>
      <c r="T13" s="269">
        <f>AVERAGE('Weekly Analysis'!AH12:AI12)</f>
        <v>836.42762005649718</v>
      </c>
      <c r="U13" s="269">
        <f>AVERAGE('Weekly Analysis'!AJ12:AK12)</f>
        <v>1755.9465965884399</v>
      </c>
      <c r="V13" s="269">
        <f>AVERAGE('Weekly Analysis'!AL12:AM12)</f>
        <v>509.48607833550636</v>
      </c>
      <c r="W13" s="269">
        <f>AVERAGE('Weekly Analysis'!AN12:AO12)</f>
        <v>0</v>
      </c>
      <c r="X13" s="269">
        <f>AVERAGE('Weekly Analysis'!AP12:AQ12)</f>
        <v>0</v>
      </c>
      <c r="Y13" s="269">
        <f>AVERAGE('Weekly Analysis'!AR12:AS12)</f>
        <v>0</v>
      </c>
      <c r="Z13" s="269">
        <f>AVERAGE('Weekly Analysis'!AT12:AU12)</f>
        <v>0</v>
      </c>
      <c r="AA13" s="269">
        <f>AVERAGE('Weekly Analysis'!AV12:AW12)</f>
        <v>0</v>
      </c>
      <c r="AB13" s="245">
        <f>AVERAGE('Weekly Analysis'!AX12:AY12)</f>
        <v>227.27185408518039</v>
      </c>
      <c r="AC13" s="247">
        <f>AVERAGE('Weekly Analysis'!AZ12:BA12)</f>
        <v>925.0324826162539</v>
      </c>
      <c r="AD13" s="246">
        <f>AVERAGE('Weekly Analysis'!BB12:BC12)</f>
        <v>86.806249999999991</v>
      </c>
      <c r="AE13" s="247">
        <f>AVERAGE('Weekly Analysis'!BD12:BE12)</f>
        <v>2274.9439162320732</v>
      </c>
      <c r="AF13" s="245">
        <f>AVERAGE('Weekly Analysis'!BF12:BG12)</f>
        <v>2603.5180519339419</v>
      </c>
      <c r="AG13" s="247">
        <f>AVERAGE('Weekly Analysis'!BH12:BI12)</f>
        <v>2292.1145838765756</v>
      </c>
      <c r="AH13" s="246">
        <f>AVERAGE('Weekly Analysis'!BJ12:BK12)</f>
        <v>1842.0950939808781</v>
      </c>
      <c r="AI13" s="247">
        <f>AVERAGE('Weekly Analysis'!BL12:BM12)</f>
        <v>1575.1201977401133</v>
      </c>
      <c r="AJ13" s="245">
        <f>AVERAGE('Weekly Analysis'!BN12:BO12)</f>
        <v>1149.2698625597568</v>
      </c>
      <c r="AK13" s="246">
        <f>AVERAGE('Weekly Analysis'!BP12:BQ12)</f>
        <v>74.622916666666669</v>
      </c>
      <c r="AL13" s="247">
        <f>AVERAGE('Weekly Analysis'!BR12:BS12)</f>
        <v>165.50997175141245</v>
      </c>
      <c r="AM13" s="247">
        <f>AVERAGE('Weekly Analysis'!BT12:BU12)</f>
        <v>1104.2444372012171</v>
      </c>
      <c r="AN13" s="245">
        <f>AVERAGE('Weekly Analysis'!BV12:BW12)</f>
        <v>235.95389830508475</v>
      </c>
      <c r="AO13" s="246">
        <f>AVERAGE('Weekly Analysis'!BX12:BY12)</f>
        <v>253.39908898305089</v>
      </c>
      <c r="AP13" s="246">
        <f>AVERAGE('Weekly Analysis'!BZ12:CA12)</f>
        <v>2974.4023772272926</v>
      </c>
      <c r="AQ13" s="247">
        <f>AVERAGE('Weekly Analysis'!CB12:CC12)</f>
        <v>2376.2313608213826</v>
      </c>
      <c r="AR13" s="245">
        <f>AVERAGE('Weekly Analysis'!CD12:CE12)</f>
        <v>2021.9688662538031</v>
      </c>
      <c r="AS13" s="246">
        <f>AVERAGE('Weekly Analysis'!CF12:CG12)</f>
        <v>1508.2802281616691</v>
      </c>
      <c r="AT13" s="246">
        <f>AVERAGE('Weekly Analysis'!CH12:CI12)</f>
        <v>2478.2151396132117</v>
      </c>
      <c r="AU13" s="246">
        <f>AVERAGE('Weekly Analysis'!CJ12:CK12)</f>
        <v>2231.9380584528471</v>
      </c>
      <c r="AV13" s="246">
        <f>AVERAGE('Weekly Analysis'!CL12:CM12)</f>
        <v>1302.556858431117</v>
      </c>
      <c r="AW13" s="246">
        <f>AVERAGE('Weekly Analysis'!CN12:CO12)</f>
        <v>1663.4965047805304</v>
      </c>
      <c r="AX13" s="246">
        <f t="shared" si="2"/>
        <v>27.710087587589243</v>
      </c>
      <c r="AY13" s="247">
        <f>AW13/AK13*100-100</f>
        <v>2129.2032784127264</v>
      </c>
      <c r="AZ13" s="244"/>
      <c r="BA13" s="311"/>
      <c r="BB13" s="307"/>
      <c r="BD13" s="233"/>
    </row>
    <row r="14" spans="2:56" ht="25.5" customHeight="1">
      <c r="B14" s="189" t="s">
        <v>30</v>
      </c>
      <c r="C14" s="606">
        <f t="shared" si="0"/>
        <v>434.55901058201061</v>
      </c>
      <c r="D14" s="269">
        <f>AVERAGE('Weekly Analysis'!B15:C15)</f>
        <v>1191.7127619047619</v>
      </c>
      <c r="E14" s="269">
        <f>AVERAGE('Weekly Analysis'!D15:E15)</f>
        <v>733.41980952380948</v>
      </c>
      <c r="F14" s="269">
        <f>AVERAGE('Weekly Analysis'!F15:G15)</f>
        <v>0</v>
      </c>
      <c r="G14" s="269">
        <f>AVERAGE('Weekly Analysis'!H15:I15)</f>
        <v>769.46558730158733</v>
      </c>
      <c r="H14" s="269">
        <f>AVERAGE('Weekly Analysis'!J15:K15)</f>
        <v>0</v>
      </c>
      <c r="I14" s="269">
        <f>AVERAGE('Weekly Analysis'!L15:M15)</f>
        <v>431.14939682539682</v>
      </c>
      <c r="J14" s="269">
        <f>AVERAGE('Weekly Analysis'!N15:O15)</f>
        <v>333.17111111111114</v>
      </c>
      <c r="K14" s="269">
        <f>AVERAGE('Weekly Analysis'!P15:Q15)</f>
        <v>828.19050793650797</v>
      </c>
      <c r="L14" s="245">
        <f>AVERAGE('Weekly Analysis'!R15:S15)</f>
        <v>329.4669206349206</v>
      </c>
      <c r="M14" s="247">
        <f>AVERAGE('Weekly Analysis'!T15:U15)</f>
        <v>0</v>
      </c>
      <c r="N14" s="269">
        <f>AVERAGE('Weekly Analysis'!V15:W15)</f>
        <v>0</v>
      </c>
      <c r="O14" s="269">
        <f>AVERAGE('Weekly Analysis'!X15:Y15)</f>
        <v>598.13203174603177</v>
      </c>
      <c r="P14" s="269">
        <f>AVERAGE('Weekly Analysis'!Z15:AA15)</f>
        <v>734.99336507936516</v>
      </c>
      <c r="Q14" s="269">
        <f>AVERAGE('Weekly Analysis'!AB15:AC15)</f>
        <v>544.44860317460314</v>
      </c>
      <c r="R14" s="269">
        <f>AVERAGE('Weekly Analysis'!AD15:AE15)</f>
        <v>1.2566666666666666</v>
      </c>
      <c r="S14" s="269">
        <f>AVERAGE('Weekly Analysis'!AF15:AG15)</f>
        <v>720.82188888888879</v>
      </c>
      <c r="T14" s="269">
        <f>AVERAGE('Weekly Analysis'!AH15:AI15)</f>
        <v>522.57177777777781</v>
      </c>
      <c r="U14" s="269">
        <f>AVERAGE('Weekly Analysis'!AJ15:AK15)</f>
        <v>620.49285714285713</v>
      </c>
      <c r="V14" s="269">
        <f>AVERAGE('Weekly Analysis'!AL15:AM15)</f>
        <v>242.41171428571431</v>
      </c>
      <c r="W14" s="269">
        <f>AVERAGE('Weekly Analysis'!AN15:AO15)</f>
        <v>0</v>
      </c>
      <c r="X14" s="269">
        <f>AVERAGE('Weekly Analysis'!AP15:AQ15)</f>
        <v>0</v>
      </c>
      <c r="Y14" s="269">
        <f>AVERAGE('Weekly Analysis'!AR15:AS15)</f>
        <v>0</v>
      </c>
      <c r="Z14" s="269">
        <f>AVERAGE('Weekly Analysis'!AT15:AU15)</f>
        <v>0</v>
      </c>
      <c r="AA14" s="269">
        <f>AVERAGE('Weekly Analysis'!AV15:AW15)</f>
        <v>0</v>
      </c>
      <c r="AB14" s="269">
        <f>AVERAGE('Weekly Analysis'!AX15:AY15)</f>
        <v>284.03400000000005</v>
      </c>
      <c r="AC14" s="246">
        <f>AVERAGE('Weekly Analysis'!AZ15:BA15)</f>
        <v>932.8313333333333</v>
      </c>
      <c r="AD14" s="247">
        <f>AVERAGE('Weekly Analysis'!BB15:BC15)</f>
        <v>0</v>
      </c>
      <c r="AE14" s="247">
        <f>AVERAGE('Weekly Analysis'!BD15:BE15)</f>
        <v>2101.9592539682544</v>
      </c>
      <c r="AF14" s="269">
        <f>AVERAGE('Weekly Analysis'!BF15:BG15)</f>
        <v>3318.6858730158733</v>
      </c>
      <c r="AG14" s="246">
        <f>AVERAGE('Weekly Analysis'!BH15:BI15)</f>
        <v>2175.611142857143</v>
      </c>
      <c r="AH14" s="247">
        <f>AVERAGE('Weekly Analysis'!BJ15:BK15)</f>
        <v>1211.5948571428573</v>
      </c>
      <c r="AI14" s="247">
        <f>AVERAGE('Weekly Analysis'!BL15:BM15)</f>
        <v>2628.5611111111111</v>
      </c>
      <c r="AJ14" s="269">
        <f>AVERAGE('Weekly Analysis'!BN15:BO15)</f>
        <v>2013.5051428571428</v>
      </c>
      <c r="AK14" s="247">
        <f>AVERAGE('Weekly Analysis'!BP15:BQ15)</f>
        <v>82.09714285714287</v>
      </c>
      <c r="AL14" s="246">
        <f>AVERAGE('Weekly Analysis'!BR15:BS15)</f>
        <v>89.698888888888874</v>
      </c>
      <c r="AM14" s="247">
        <f>AVERAGE('Weekly Analysis'!BT15:BU15)</f>
        <v>1541.9936031746033</v>
      </c>
      <c r="AN14" s="269">
        <f>AVERAGE('Weekly Analysis'!BV15:BW15)</f>
        <v>131.26666666666665</v>
      </c>
      <c r="AO14" s="247">
        <f>AVERAGE('Weekly Analysis'!BX15:BY15)</f>
        <v>267.0376349206349</v>
      </c>
      <c r="AP14" s="247">
        <f>AVERAGE('Weekly Analysis'!BZ15:CA15)</f>
        <v>1943.8114603174604</v>
      </c>
      <c r="AQ14" s="247">
        <f>AVERAGE('Weekly Analysis'!CB15:CC15)</f>
        <v>1586.6410634920635</v>
      </c>
      <c r="AR14" s="246">
        <f>AVERAGE('Weekly Analysis'!CD15:CE15)</f>
        <v>2844.8587460317467</v>
      </c>
      <c r="AS14" s="246">
        <f>AVERAGE('Weekly Analysis'!CF15:CG15)</f>
        <v>1212.7357142857145</v>
      </c>
      <c r="AT14" s="246">
        <f>AVERAGE('Weekly Analysis'!CH15:CI15)</f>
        <v>1402.6989523809525</v>
      </c>
      <c r="AU14" s="246">
        <f>AVERAGE('Weekly Analysis'!CJ15:CK15)</f>
        <v>2592.9024761904766</v>
      </c>
      <c r="AV14" s="246">
        <f>AVERAGE('Weekly Analysis'!CL15:CM15)</f>
        <v>1828.5294603174607</v>
      </c>
      <c r="AW14" s="246">
        <f>AVERAGE('Weekly Analysis'!CN15:CO15)</f>
        <v>2013.111253968254</v>
      </c>
      <c r="AX14" s="246">
        <f t="shared" si="2"/>
        <v>10.094548524186592</v>
      </c>
      <c r="AY14" s="247">
        <f t="shared" si="1"/>
        <v>2352.108787112441</v>
      </c>
      <c r="AZ14" s="244"/>
      <c r="BA14" s="311"/>
      <c r="BB14" s="307"/>
      <c r="BD14" s="233"/>
    </row>
    <row r="15" spans="2:56" ht="25.5" customHeight="1">
      <c r="B15" s="189" t="s">
        <v>31</v>
      </c>
      <c r="C15" s="606">
        <f t="shared" si="0"/>
        <v>567.6805384615385</v>
      </c>
      <c r="D15" s="269">
        <f>AVERAGE('Weekly Analysis'!B16:C16)</f>
        <v>573.31384615384627</v>
      </c>
      <c r="E15" s="269">
        <f>AVERAGE('Weekly Analysis'!D16:E16)</f>
        <v>911.31230769230774</v>
      </c>
      <c r="F15" s="269">
        <f>AVERAGE('Weekly Analysis'!F16:G16)</f>
        <v>4.2784615384615385</v>
      </c>
      <c r="G15" s="269">
        <f>AVERAGE('Weekly Analysis'!H16:I16)</f>
        <v>1883.3787692307694</v>
      </c>
      <c r="H15" s="269">
        <f>AVERAGE('Weekly Analysis'!J16:K16)</f>
        <v>0.85569230769230775</v>
      </c>
      <c r="I15" s="269">
        <f>AVERAGE('Weekly Analysis'!L16:M16)</f>
        <v>650.32615384615394</v>
      </c>
      <c r="J15" s="269">
        <f>AVERAGE('Weekly Analysis'!N16:O16)</f>
        <v>480.04338461538464</v>
      </c>
      <c r="K15" s="269">
        <f>AVERAGE('Weekly Analysis'!P16:Q16)</f>
        <v>1193.6907692307693</v>
      </c>
      <c r="L15" s="245">
        <f>AVERAGE('Weekly Analysis'!R16:S16)</f>
        <v>925.00338461538468</v>
      </c>
      <c r="M15" s="247">
        <f>AVERAGE('Weekly Analysis'!T16:U16)</f>
        <v>0</v>
      </c>
      <c r="N15" s="269">
        <f>AVERAGE('Weekly Analysis'!V16:W16)</f>
        <v>0</v>
      </c>
      <c r="O15" s="269">
        <f>AVERAGE('Weekly Analysis'!X16:Y16)</f>
        <v>189.96369230769233</v>
      </c>
      <c r="P15" s="269">
        <f>AVERAGE('Weekly Analysis'!Z16:AA16)</f>
        <v>1263.8575384615385</v>
      </c>
      <c r="Q15" s="269">
        <f>AVERAGE('Weekly Analysis'!AB16:AC16)</f>
        <v>254.99630769230771</v>
      </c>
      <c r="R15" s="269">
        <f>AVERAGE('Weekly Analysis'!AD16:AE16)</f>
        <v>598.12892307692312</v>
      </c>
      <c r="S15" s="269">
        <f>AVERAGE('Weekly Analysis'!AF16:AG16)</f>
        <v>531.38492307692309</v>
      </c>
      <c r="T15" s="269">
        <f>AVERAGE('Weekly Analysis'!AH16:AI16)</f>
        <v>699.10061538461548</v>
      </c>
      <c r="U15" s="269">
        <f>AVERAGE('Weekly Analysis'!AJ16:AK16)</f>
        <v>782.95846153846162</v>
      </c>
      <c r="V15" s="269">
        <f>AVERAGE('Weekly Analysis'!AL16:AM16)</f>
        <v>271.25446153846156</v>
      </c>
      <c r="W15" s="269">
        <f>AVERAGE('Weekly Analysis'!AN16:AO16)</f>
        <v>0</v>
      </c>
      <c r="X15" s="269">
        <f>AVERAGE('Weekly Analysis'!AP16:AQ16)</f>
        <v>0</v>
      </c>
      <c r="Y15" s="269">
        <f>AVERAGE('Weekly Analysis'!AR16:AS16)</f>
        <v>0</v>
      </c>
      <c r="Z15" s="269">
        <f>AVERAGE('Weekly Analysis'!AT16:AU16)</f>
        <v>0</v>
      </c>
      <c r="AA15" s="269">
        <f>AVERAGE('Weekly Analysis'!AV16:AW16)</f>
        <v>0</v>
      </c>
      <c r="AB15" s="245">
        <f>AVERAGE('Weekly Analysis'!AX16:AY16)</f>
        <v>697.38923076923083</v>
      </c>
      <c r="AC15" s="246">
        <f>AVERAGE('Weekly Analysis'!AZ16:BA16)</f>
        <v>978.05630769230777</v>
      </c>
      <c r="AD15" s="246">
        <f>AVERAGE('Weekly Analysis'!BB16:BC16)</f>
        <v>0</v>
      </c>
      <c r="AE15" s="247">
        <f>AVERAGE('Weekly Analysis'!BD16:BE16)</f>
        <v>1047.3673846153847</v>
      </c>
      <c r="AF15" s="245">
        <f>AVERAGE('Weekly Analysis'!BF16:BG16)</f>
        <v>1239.8981538461539</v>
      </c>
      <c r="AG15" s="246">
        <f>AVERAGE('Weekly Analysis'!BH16:BI16)</f>
        <v>1131.2252307692308</v>
      </c>
      <c r="AH15" s="246">
        <f>AVERAGE('Weekly Analysis'!BJ16:BK16)</f>
        <v>1199.6806153846155</v>
      </c>
      <c r="AI15" s="247">
        <f>AVERAGE('Weekly Analysis'!BL16:BM16)</f>
        <v>1366.5406153846156</v>
      </c>
      <c r="AJ15" s="245">
        <f>AVERAGE('Weekly Analysis'!BN16:BO16)</f>
        <v>1624.9596923076924</v>
      </c>
      <c r="AK15" s="246">
        <f>AVERAGE('Weekly Analysis'!BP16:BQ16)</f>
        <v>610.96430769230778</v>
      </c>
      <c r="AL15" s="247">
        <f>AVERAGE('Weekly Analysis'!BR16:BS16)</f>
        <v>0</v>
      </c>
      <c r="AM15" s="247">
        <f>AVERAGE('Weekly Analysis'!BT16:BU16)</f>
        <v>1111.5443076923079</v>
      </c>
      <c r="AN15" s="245">
        <f>AVERAGE('Weekly Analysis'!BV16:BW16)</f>
        <v>23.10369230769231</v>
      </c>
      <c r="AO15" s="246">
        <f>AVERAGE('Weekly Analysis'!BX16:BY16)</f>
        <v>911.31230769230774</v>
      </c>
      <c r="AP15" s="246">
        <f>AVERAGE('Weekly Analysis'!BZ16:CA16)</f>
        <v>1147.4833846153847</v>
      </c>
      <c r="AQ15" s="247">
        <f>AVERAGE('Weekly Analysis'!CB16:CC16)</f>
        <v>707.65753846153848</v>
      </c>
      <c r="AR15" s="245">
        <f>AVERAGE('Weekly Analysis'!CD16:CE16)</f>
        <v>1279.2600000000002</v>
      </c>
      <c r="AS15" s="246">
        <f>AVERAGE('Weekly Analysis'!CF16:CG16)</f>
        <v>895.90984615384616</v>
      </c>
      <c r="AT15" s="246">
        <f>AVERAGE('Weekly Analysis'!CH16:CI16)</f>
        <v>347.41107692307696</v>
      </c>
      <c r="AU15" s="246">
        <f>AVERAGE('Weekly Analysis'!CJ16:CK16)</f>
        <v>910.45661538461536</v>
      </c>
      <c r="AV15" s="246">
        <f>AVERAGE('Weekly Analysis'!CL16:CM16)</f>
        <v>1575.3295384615385</v>
      </c>
      <c r="AW15" s="246">
        <f>AVERAGE('Weekly Analysis'!CN16:CO16)</f>
        <v>1606.990153846154</v>
      </c>
      <c r="AX15" s="246">
        <f t="shared" si="2"/>
        <v>2.0097772949484067</v>
      </c>
      <c r="AY15" s="247">
        <f t="shared" si="1"/>
        <v>163.02521008403363</v>
      </c>
      <c r="AZ15" s="244"/>
      <c r="BA15" s="311"/>
      <c r="BB15" s="313"/>
      <c r="BC15" s="314"/>
      <c r="BD15" s="233"/>
    </row>
    <row r="16" spans="2:56" ht="25.5" customHeight="1">
      <c r="B16" s="189" t="s">
        <v>32</v>
      </c>
      <c r="C16" s="606">
        <f t="shared" si="0"/>
        <v>447.80206395348841</v>
      </c>
      <c r="D16" s="269">
        <f>AVERAGE('Weekly Analysis'!B17:C17)</f>
        <v>88.092209302325585</v>
      </c>
      <c r="E16" s="269">
        <f>AVERAGE('Weekly Analysis'!D17:E17)</f>
        <v>26.101395348837208</v>
      </c>
      <c r="F16" s="269">
        <f>AVERAGE('Weekly Analysis'!F17:G17)</f>
        <v>26.101395348837208</v>
      </c>
      <c r="G16" s="269">
        <f>AVERAGE('Weekly Analysis'!H17:I17)</f>
        <v>0</v>
      </c>
      <c r="H16" s="269">
        <f>AVERAGE('Weekly Analysis'!J17:K17)</f>
        <v>0</v>
      </c>
      <c r="I16" s="269">
        <f>AVERAGE('Weekly Analysis'!L17:M17)</f>
        <v>446.98639534883716</v>
      </c>
      <c r="J16" s="269">
        <f>AVERAGE('Weekly Analysis'!N17:O17)</f>
        <v>3262.6744186046512</v>
      </c>
      <c r="K16" s="269">
        <f>AVERAGE('Weekly Analysis'!P17:Q17)</f>
        <v>303.42872093023254</v>
      </c>
      <c r="L16" s="245">
        <f>AVERAGE('Weekly Analysis'!R17:S17)</f>
        <v>0</v>
      </c>
      <c r="M16" s="247">
        <f>AVERAGE('Weekly Analysis'!T17:U17)</f>
        <v>0</v>
      </c>
      <c r="N16" s="269">
        <f>AVERAGE('Weekly Analysis'!V17:W17)</f>
        <v>0</v>
      </c>
      <c r="O16" s="269">
        <f>AVERAGE('Weekly Analysis'!X17:Y17)</f>
        <v>1220.2402325581395</v>
      </c>
      <c r="P16" s="269">
        <f>AVERAGE('Weekly Analysis'!Z17:AA17)</f>
        <v>13164.891279069769</v>
      </c>
      <c r="Q16" s="269">
        <f>AVERAGE('Weekly Analysis'!AB17:AC17)</f>
        <v>1305.0697674418604</v>
      </c>
      <c r="R16" s="269">
        <f>AVERAGE('Weekly Analysis'!AD17:AE17)</f>
        <v>264.27662790697673</v>
      </c>
      <c r="S16" s="269">
        <f>AVERAGE('Weekly Analysis'!AF17:AG17)</f>
        <v>0</v>
      </c>
      <c r="T16" s="269">
        <f>AVERAGE('Weekly Analysis'!AH17:AI17)</f>
        <v>0</v>
      </c>
      <c r="U16" s="269">
        <f>AVERAGE('Weekly Analysis'!AJ17:AK17)</f>
        <v>0</v>
      </c>
      <c r="V16" s="269">
        <f>AVERAGE('Weekly Analysis'!AL17:AM17)</f>
        <v>0</v>
      </c>
      <c r="W16" s="269">
        <f>AVERAGE('Weekly Analysis'!AN17:AO17)</f>
        <v>0</v>
      </c>
      <c r="X16" s="269">
        <f>AVERAGE('Weekly Analysis'!AP17:AQ17)</f>
        <v>0</v>
      </c>
      <c r="Y16" s="269">
        <f>AVERAGE('Weekly Analysis'!AR17:AS17)</f>
        <v>0</v>
      </c>
      <c r="Z16" s="269">
        <f>AVERAGE('Weekly Analysis'!AT17:AU17)</f>
        <v>0</v>
      </c>
      <c r="AA16" s="269">
        <f>AVERAGE('Weekly Analysis'!AV17:AW17)</f>
        <v>0</v>
      </c>
      <c r="AB16" s="245">
        <f>AVERAGE('Weekly Analysis'!AX17:AY17)</f>
        <v>114.19360465116279</v>
      </c>
      <c r="AC16" s="246">
        <f>AVERAGE('Weekly Analysis'!AZ17:BA17)</f>
        <v>1752.0561627906977</v>
      </c>
      <c r="AD16" s="246">
        <f>AVERAGE('Weekly Analysis'!BB17:BC17)</f>
        <v>26.101395348837208</v>
      </c>
      <c r="AE16" s="247">
        <f>AVERAGE('Weekly Analysis'!BD17:BE17)</f>
        <v>225.12453488372091</v>
      </c>
      <c r="AF16" s="269">
        <f>AVERAGE('Weekly Analysis'!BF17:BG17)</f>
        <v>231.64988372093023</v>
      </c>
      <c r="AG16" s="246">
        <f>AVERAGE('Weekly Analysis'!BH17:BI17)</f>
        <v>0</v>
      </c>
      <c r="AH16" s="246">
        <f>AVERAGE('Weekly Analysis'!BJ17:BK17)</f>
        <v>114.19360465116279</v>
      </c>
      <c r="AI16" s="247">
        <f>AVERAGE('Weekly Analysis'!BL17:BM17)</f>
        <v>29.364069767441858</v>
      </c>
      <c r="AJ16" s="245">
        <f>AVERAGE('Weekly Analysis'!BN17:BO17)</f>
        <v>0</v>
      </c>
      <c r="AK16" s="247">
        <f>AVERAGE('Weekly Analysis'!BP17:BQ17)</f>
        <v>3115.8540697674416</v>
      </c>
      <c r="AL16" s="247">
        <f>AVERAGE('Weekly Analysis'!BR17:BS17)</f>
        <v>525.2905813953488</v>
      </c>
      <c r="AM16" s="247">
        <f>AVERAGE('Weekly Analysis'!BT17:BU17)</f>
        <v>1601.9731395348836</v>
      </c>
      <c r="AN16" s="269">
        <f>AVERAGE('Weekly Analysis'!BV17:BW17)</f>
        <v>3340.9786046511626</v>
      </c>
      <c r="AO16" s="246">
        <f>AVERAGE('Weekly Analysis'!BX17:BY17)</f>
        <v>26.101395348837208</v>
      </c>
      <c r="AP16" s="247">
        <f>AVERAGE('Weekly Analysis'!BZ17:CA17)</f>
        <v>1305.0697674418604</v>
      </c>
      <c r="AQ16" s="247">
        <f>AVERAGE('Weekly Analysis'!CB17:CC17)</f>
        <v>1549.7703488372092</v>
      </c>
      <c r="AR16" s="246">
        <f>AVERAGE('Weekly Analysis'!CD17:CE17)</f>
        <v>16.313372093023254</v>
      </c>
      <c r="AS16" s="246">
        <f>AVERAGE('Weekly Analysis'!CF17:CG17)</f>
        <v>489.40116279069764</v>
      </c>
      <c r="AT16" s="246">
        <f>AVERAGE('Weekly Analysis'!CH17:CI17)</f>
        <v>0</v>
      </c>
      <c r="AU16" s="246">
        <f>AVERAGE('Weekly Analysis'!CJ17:CK17)</f>
        <v>26.101395348837208</v>
      </c>
      <c r="AV16" s="246">
        <f>AVERAGE('Weekly Analysis'!CL17:CM17)</f>
        <v>1856.4617441860464</v>
      </c>
      <c r="AW16" s="246">
        <f>AVERAGE('Weekly Analysis'!CN17:CO17)</f>
        <v>1650.9132558139534</v>
      </c>
      <c r="AX16" s="246">
        <f t="shared" si="2"/>
        <v>-11.072056239015808</v>
      </c>
      <c r="AY16" s="247">
        <f t="shared" si="1"/>
        <v>-47.015706806282722</v>
      </c>
      <c r="AZ16" s="244"/>
      <c r="BA16" s="311"/>
      <c r="BB16" s="313"/>
      <c r="BC16" s="314"/>
      <c r="BD16" s="233"/>
    </row>
    <row r="17" spans="2:56" ht="25.5" customHeight="1">
      <c r="B17" s="189" t="s">
        <v>33</v>
      </c>
      <c r="C17" s="606">
        <f t="shared" si="0"/>
        <v>309.14336538461538</v>
      </c>
      <c r="D17" s="269">
        <f>AVERAGE('Weekly Analysis'!B20:C20)</f>
        <v>218.95358974358976</v>
      </c>
      <c r="E17" s="269">
        <f>AVERAGE('Weekly Analysis'!D20:E20)</f>
        <v>0</v>
      </c>
      <c r="F17" s="269">
        <f>AVERAGE('Weekly Analysis'!F20:G20)</f>
        <v>697.27166666666676</v>
      </c>
      <c r="G17" s="269">
        <f>AVERAGE('Weekly Analysis'!H20:I20)</f>
        <v>32.328717948717951</v>
      </c>
      <c r="H17" s="269">
        <f>AVERAGE('Weekly Analysis'!J20:K20)</f>
        <v>16.164358974358976</v>
      </c>
      <c r="I17" s="269">
        <f>AVERAGE('Weekly Analysis'!L20:M20)</f>
        <v>61.71846153846154</v>
      </c>
      <c r="J17" s="269">
        <f>AVERAGE('Weekly Analysis'!N20:O20)</f>
        <v>226.30102564102566</v>
      </c>
      <c r="K17" s="269">
        <f>AVERAGE('Weekly Analysis'!P20:Q20)</f>
        <v>1554.717435897436</v>
      </c>
      <c r="L17" s="245">
        <f>AVERAGE('Weekly Analysis'!R20:S20)</f>
        <v>696.53692307692313</v>
      </c>
      <c r="M17" s="247">
        <f>AVERAGE('Weekly Analysis'!T20:U20)</f>
        <v>0</v>
      </c>
      <c r="N17" s="269">
        <f>AVERAGE('Weekly Analysis'!V20:W20)</f>
        <v>0</v>
      </c>
      <c r="O17" s="269">
        <f>AVERAGE('Weekly Analysis'!X20:Y20)</f>
        <v>205.72820512820513</v>
      </c>
      <c r="P17" s="269">
        <f>AVERAGE('Weekly Analysis'!Z20:AA20)</f>
        <v>1371.7662820512821</v>
      </c>
      <c r="Q17" s="269">
        <f>AVERAGE('Weekly Analysis'!AB20:AC20)</f>
        <v>0</v>
      </c>
      <c r="R17" s="269">
        <f>AVERAGE('Weekly Analysis'!AD20:AE20)</f>
        <v>0</v>
      </c>
      <c r="S17" s="269">
        <f>AVERAGE('Weekly Analysis'!AF20:AG20)</f>
        <v>0</v>
      </c>
      <c r="T17" s="269">
        <f>AVERAGE('Weekly Analysis'!AH20:AI20)</f>
        <v>36.737179487179489</v>
      </c>
      <c r="U17" s="269">
        <f>AVERAGE('Weekly Analysis'!AJ20:AK20)</f>
        <v>298.30589743589746</v>
      </c>
      <c r="V17" s="269">
        <f>AVERAGE('Weekly Analysis'!AL20:AM20)</f>
        <v>114.62</v>
      </c>
      <c r="W17" s="269">
        <f>AVERAGE('Weekly Analysis'!AN20:AO20)</f>
        <v>0</v>
      </c>
      <c r="X17" s="269">
        <f>AVERAGE('Weekly Analysis'!AP20:AQ20)</f>
        <v>0</v>
      </c>
      <c r="Y17" s="269">
        <f>AVERAGE('Weekly Analysis'!AR20:AS20)</f>
        <v>0</v>
      </c>
      <c r="Z17" s="269">
        <f>AVERAGE('Weekly Analysis'!AT20:AU20)</f>
        <v>0</v>
      </c>
      <c r="AA17" s="269">
        <f>AVERAGE('Weekly Analysis'!AV20:AW20)</f>
        <v>0</v>
      </c>
      <c r="AB17" s="269">
        <f>AVERAGE('Weekly Analysis'!AX20:AY20)</f>
        <v>158.70461538461538</v>
      </c>
      <c r="AC17" s="247">
        <f>AVERAGE('Weekly Analysis'!AZ20:BA20)</f>
        <v>39.676153846153845</v>
      </c>
      <c r="AD17" s="247">
        <f>AVERAGE('Weekly Analysis'!BB20:BC20)</f>
        <v>0</v>
      </c>
      <c r="AE17" s="247">
        <f>AVERAGE('Weekly Analysis'!BD20:BE20)</f>
        <v>0</v>
      </c>
      <c r="AF17" s="245">
        <f>AVERAGE('Weekly Analysis'!BF20:BG20)</f>
        <v>241.73064102564103</v>
      </c>
      <c r="AG17" s="247">
        <f>AVERAGE('Weekly Analysis'!BH20:BI20)</f>
        <v>318.14397435897439</v>
      </c>
      <c r="AH17" s="247">
        <f>AVERAGE('Weekly Analysis'!BJ20:BK20)</f>
        <v>830.26025641025637</v>
      </c>
      <c r="AI17" s="247">
        <f>AVERAGE('Weekly Analysis'!BL20:BM20)</f>
        <v>1924.2934615384615</v>
      </c>
      <c r="AJ17" s="269">
        <f>AVERAGE('Weekly Analysis'!BN20:BO20)</f>
        <v>2662.7107692307695</v>
      </c>
      <c r="AK17" s="246">
        <f>AVERAGE('Weekly Analysis'!BP20:BQ20)</f>
        <v>946.34974358974364</v>
      </c>
      <c r="AL17" s="247">
        <f>AVERAGE('Weekly Analysis'!BR20:BS20)</f>
        <v>1664.9289743589743</v>
      </c>
      <c r="AM17" s="247">
        <f>AVERAGE('Weekly Analysis'!BT20:BU20)</f>
        <v>1175.5897435897436</v>
      </c>
      <c r="AN17" s="245">
        <f>AVERAGE('Weekly Analysis'!BV20:BW20)</f>
        <v>434.2334615384616</v>
      </c>
      <c r="AO17" s="247">
        <f>AVERAGE('Weekly Analysis'!BX20:BY20)</f>
        <v>0</v>
      </c>
      <c r="AP17" s="246">
        <f>AVERAGE('Weekly Analysis'!BZ20:CA20)</f>
        <v>0</v>
      </c>
      <c r="AQ17" s="247">
        <f>AVERAGE('Weekly Analysis'!CB20:CC20)</f>
        <v>1.4694871794871796</v>
      </c>
      <c r="AR17" s="245">
        <f>AVERAGE('Weekly Analysis'!CD20:CE20)</f>
        <v>144.74448717948718</v>
      </c>
      <c r="AS17" s="246">
        <f>AVERAGE('Weekly Analysis'!CF20:CG20)</f>
        <v>492.27820512820517</v>
      </c>
      <c r="AT17" s="246">
        <f>AVERAGE('Weekly Analysis'!CH20:CI20)</f>
        <v>1298.2919230769232</v>
      </c>
      <c r="AU17" s="246">
        <f>AVERAGE('Weekly Analysis'!CJ20:CK20)</f>
        <v>1631.8655128205128</v>
      </c>
      <c r="AV17" s="246">
        <f>AVERAGE('Weekly Analysis'!CL20:CM20)</f>
        <v>4007.2915384615385</v>
      </c>
      <c r="AW17" s="246">
        <f>AVERAGE('Weekly Analysis'!CN20:CO20)</f>
        <v>3025.6741025641027</v>
      </c>
      <c r="AX17" s="246">
        <f t="shared" si="2"/>
        <v>-24.495782911624502</v>
      </c>
      <c r="AY17" s="247">
        <f t="shared" si="1"/>
        <v>219.72049689440996</v>
      </c>
      <c r="AZ17" s="244"/>
      <c r="BA17" s="311"/>
      <c r="BB17" s="313"/>
      <c r="BC17" s="314"/>
      <c r="BD17" s="233"/>
    </row>
    <row r="18" spans="2:56" ht="25.5" customHeight="1">
      <c r="B18" s="189" t="s">
        <v>34</v>
      </c>
      <c r="C18" s="606">
        <f t="shared" si="0"/>
        <v>53.170166666666667</v>
      </c>
      <c r="D18" s="269">
        <f>AVERAGE('Weekly Analysis'!B21:C21)</f>
        <v>30.504000000000001</v>
      </c>
      <c r="E18" s="269">
        <f>AVERAGE('Weekly Analysis'!D21:E21)</f>
        <v>0</v>
      </c>
      <c r="F18" s="269">
        <f>AVERAGE('Weekly Analysis'!F21:G21)</f>
        <v>76.683666666666667</v>
      </c>
      <c r="G18" s="269">
        <f>AVERAGE('Weekly Analysis'!H21:I21)</f>
        <v>0</v>
      </c>
      <c r="H18" s="269">
        <f>AVERAGE('Weekly Analysis'!J21:K21)</f>
        <v>0</v>
      </c>
      <c r="I18" s="269">
        <f>AVERAGE('Weekly Analysis'!L21:M21)</f>
        <v>0</v>
      </c>
      <c r="J18" s="269">
        <f>AVERAGE('Weekly Analysis'!N21:O21)</f>
        <v>34.740666666666669</v>
      </c>
      <c r="K18" s="269">
        <f>AVERAGE('Weekly Analysis'!P21:Q21)</f>
        <v>203.78366666666668</v>
      </c>
      <c r="L18" s="245">
        <f>AVERAGE('Weekly Analysis'!R21:S21)</f>
        <v>270.29933333333332</v>
      </c>
      <c r="M18" s="247">
        <f>AVERAGE('Weekly Analysis'!T21:U21)</f>
        <v>0</v>
      </c>
      <c r="N18" s="269">
        <f>AVERAGE('Weekly Analysis'!V21:W21)</f>
        <v>0</v>
      </c>
      <c r="O18" s="269">
        <f>AVERAGE('Weekly Analysis'!X21:Y21)</f>
        <v>22.030666666666669</v>
      </c>
      <c r="P18" s="269">
        <f>AVERAGE('Weekly Analysis'!Z21:AA21)</f>
        <v>33.045999999999999</v>
      </c>
      <c r="Q18" s="269">
        <f>AVERAGE('Weekly Analysis'!AB21:AC21)</f>
        <v>24.572666666666667</v>
      </c>
      <c r="R18" s="269">
        <f>AVERAGE('Weekly Analysis'!AD21:AE21)</f>
        <v>2296.2733333333335</v>
      </c>
      <c r="S18" s="269">
        <f>AVERAGE('Weekly Analysis'!AF21:AG21)</f>
        <v>0</v>
      </c>
      <c r="T18" s="269">
        <f>AVERAGE('Weekly Analysis'!AH21:AI21)</f>
        <v>0</v>
      </c>
      <c r="U18" s="269">
        <f>AVERAGE('Weekly Analysis'!AJ21:AK21)</f>
        <v>0</v>
      </c>
      <c r="V18" s="269">
        <f>AVERAGE('Weekly Analysis'!AL21:AM21)</f>
        <v>0</v>
      </c>
      <c r="W18" s="269">
        <f>AVERAGE('Weekly Analysis'!AN21:AO21)</f>
        <v>0</v>
      </c>
      <c r="X18" s="269">
        <f>AVERAGE('Weekly Analysis'!AP21:AQ21)</f>
        <v>0</v>
      </c>
      <c r="Y18" s="269">
        <f>AVERAGE('Weekly Analysis'!AR21:AS21)</f>
        <v>0</v>
      </c>
      <c r="Z18" s="269">
        <f>AVERAGE('Weekly Analysis'!AT21:AU21)</f>
        <v>0</v>
      </c>
      <c r="AA18" s="269">
        <f>AVERAGE('Weekly Analysis'!AV21:AW21)</f>
        <v>0</v>
      </c>
      <c r="AB18" s="245">
        <f>AVERAGE('Weekly Analysis'!AX21:AY21)</f>
        <v>54.229333333333336</v>
      </c>
      <c r="AC18" s="246">
        <f>AVERAGE('Weekly Analysis'!AZ21:BA21)</f>
        <v>0</v>
      </c>
      <c r="AD18" s="246">
        <f>AVERAGE('Weekly Analysis'!BB21:BC21)</f>
        <v>0</v>
      </c>
      <c r="AE18" s="247">
        <f>AVERAGE('Weekly Analysis'!BD21:BE21)</f>
        <v>0</v>
      </c>
      <c r="AF18" s="245">
        <f>AVERAGE('Weekly Analysis'!BF21:BG21)</f>
        <v>0</v>
      </c>
      <c r="AG18" s="246">
        <f>AVERAGE('Weekly Analysis'!BH21:BI21)</f>
        <v>0</v>
      </c>
      <c r="AH18" s="246">
        <f>AVERAGE('Weekly Analysis'!BJ21:BK21)</f>
        <v>0</v>
      </c>
      <c r="AI18" s="247">
        <f>AVERAGE('Weekly Analysis'!BL21:BM21)</f>
        <v>99.98533333333333</v>
      </c>
      <c r="AJ18" s="245">
        <f>AVERAGE('Weekly Analysis'!BN21:BO21)</f>
        <v>157.60399999999998</v>
      </c>
      <c r="AK18" s="246">
        <f>AVERAGE('Weekly Analysis'!BP21:BQ21)</f>
        <v>160.99333333333334</v>
      </c>
      <c r="AL18" s="247">
        <f>AVERAGE('Weekly Analysis'!BR21:BS21)</f>
        <v>387.2313333333334</v>
      </c>
      <c r="AM18" s="247">
        <f>AVERAGE('Weekly Analysis'!BT21:BU21)</f>
        <v>82.191333333333333</v>
      </c>
      <c r="AN18" s="245">
        <f>AVERAGE('Weekly Analysis'!BV21:BW21)</f>
        <v>171.58500000000001</v>
      </c>
      <c r="AO18" s="246">
        <f>AVERAGE('Weekly Analysis'!BX21:BY21)</f>
        <v>0</v>
      </c>
      <c r="AP18" s="246">
        <f>AVERAGE('Weekly Analysis'!BZ21:CA21)</f>
        <v>0</v>
      </c>
      <c r="AQ18" s="247">
        <f>AVERAGE('Weekly Analysis'!CB21:CC21)</f>
        <v>0</v>
      </c>
      <c r="AR18" s="246">
        <f>AVERAGE('Weekly Analysis'!CD21:CE21)</f>
        <v>0</v>
      </c>
      <c r="AS18" s="246">
        <f>AVERAGE('Weekly Analysis'!CF21:CG21)</f>
        <v>0</v>
      </c>
      <c r="AT18" s="246">
        <f>AVERAGE('Weekly Analysis'!CH21:CI21)</f>
        <v>4.2366666666666672</v>
      </c>
      <c r="AU18" s="246">
        <f>AVERAGE('Weekly Analysis'!CJ21:CK21)</f>
        <v>44.908666666666669</v>
      </c>
      <c r="AV18" s="246">
        <f>AVERAGE('Weekly Analysis'!CL21:CM21)</f>
        <v>170.73766666666668</v>
      </c>
      <c r="AW18" s="246">
        <f>AVERAGE('Weekly Analysis'!CN21:CO21)</f>
        <v>230.05099999999999</v>
      </c>
      <c r="AX18" s="246">
        <f t="shared" si="2"/>
        <v>34.739454094292768</v>
      </c>
      <c r="AY18" s="247">
        <f t="shared" si="1"/>
        <v>42.89473684210526</v>
      </c>
      <c r="AZ18" s="244"/>
      <c r="BA18" s="311"/>
      <c r="BB18" s="313"/>
      <c r="BC18" s="314"/>
      <c r="BD18" s="233"/>
    </row>
    <row r="19" spans="2:56" ht="25.5" customHeight="1">
      <c r="B19" s="189" t="s">
        <v>35</v>
      </c>
      <c r="C19" s="606">
        <f t="shared" si="0"/>
        <v>78.168098958333331</v>
      </c>
      <c r="D19" s="269">
        <f>AVERAGE('Weekly Analysis'!B22:C22)</f>
        <v>12.803125000000001</v>
      </c>
      <c r="E19" s="269">
        <f>AVERAGE('Weekly Analysis'!D22:E22)</f>
        <v>4.1421875000000004</v>
      </c>
      <c r="F19" s="269">
        <f>AVERAGE('Weekly Analysis'!F22:G22)</f>
        <v>3.765625</v>
      </c>
      <c r="G19" s="269">
        <f>AVERAGE('Weekly Analysis'!H22:I22)</f>
        <v>0</v>
      </c>
      <c r="H19" s="269">
        <f>AVERAGE('Weekly Analysis'!J22:K22)</f>
        <v>0</v>
      </c>
      <c r="I19" s="269">
        <f>AVERAGE('Weekly Analysis'!L22:M22)</f>
        <v>0</v>
      </c>
      <c r="J19" s="269">
        <f>AVERAGE('Weekly Analysis'!N22:O22)</f>
        <v>102.8015625</v>
      </c>
      <c r="K19" s="269">
        <f>AVERAGE('Weekly Analysis'!P22:Q22)</f>
        <v>323.84375</v>
      </c>
      <c r="L19" s="245">
        <f>AVERAGE('Weekly Analysis'!R22:S22)</f>
        <v>462.04218750000001</v>
      </c>
      <c r="M19" s="247">
        <f>AVERAGE('Weekly Analysis'!T22:U22)</f>
        <v>0</v>
      </c>
      <c r="N19" s="269">
        <f>AVERAGE('Weekly Analysis'!V22:W22)</f>
        <v>0</v>
      </c>
      <c r="O19" s="269">
        <f>AVERAGE('Weekly Analysis'!X22:Y22)</f>
        <v>28.618750000000002</v>
      </c>
      <c r="P19" s="269">
        <f>AVERAGE('Weekly Analysis'!Z22:AA22)</f>
        <v>281.29218750000001</v>
      </c>
      <c r="Q19" s="269">
        <f>AVERAGE('Weekly Analysis'!AB22:AC22)</f>
        <v>0</v>
      </c>
      <c r="R19" s="269">
        <f>AVERAGE('Weekly Analysis'!AD22:AE22)</f>
        <v>0</v>
      </c>
      <c r="S19" s="269">
        <f>AVERAGE('Weekly Analysis'!AF22:AG22)</f>
        <v>0</v>
      </c>
      <c r="T19" s="269">
        <f>AVERAGE('Weekly Analysis'!AH22:AI22)</f>
        <v>10.543750000000001</v>
      </c>
      <c r="U19" s="269">
        <f>AVERAGE('Weekly Analysis'!AJ22:AK22)</f>
        <v>13.55625</v>
      </c>
      <c r="V19" s="269">
        <f>AVERAGE('Weekly Analysis'!AL22:AM22)</f>
        <v>338.90625000000006</v>
      </c>
      <c r="W19" s="269">
        <f>AVERAGE('Weekly Analysis'!AN22:AO22)</f>
        <v>0</v>
      </c>
      <c r="X19" s="269">
        <f>AVERAGE('Weekly Analysis'!AP22:AQ22)</f>
        <v>0</v>
      </c>
      <c r="Y19" s="269">
        <f>AVERAGE('Weekly Analysis'!AR22:AS22)</f>
        <v>0</v>
      </c>
      <c r="Z19" s="269">
        <f>AVERAGE('Weekly Analysis'!AT22:AU22)</f>
        <v>0</v>
      </c>
      <c r="AA19" s="269">
        <f>AVERAGE('Weekly Analysis'!AV22:AW22)</f>
        <v>0</v>
      </c>
      <c r="AB19" s="269">
        <f>AVERAGE('Weekly Analysis'!AX22:AY22)</f>
        <v>271.87812500000001</v>
      </c>
      <c r="AC19" s="247">
        <f>AVERAGE('Weekly Analysis'!AZ22:BA22)</f>
        <v>0</v>
      </c>
      <c r="AD19" s="247">
        <f>AVERAGE('Weekly Analysis'!BB22:BC22)</f>
        <v>0</v>
      </c>
      <c r="AE19" s="247">
        <f>AVERAGE('Weekly Analysis'!BD22:BE22)</f>
        <v>0</v>
      </c>
      <c r="AF19" s="269">
        <f>AVERAGE('Weekly Analysis'!BF22:BG22)</f>
        <v>0</v>
      </c>
      <c r="AG19" s="247">
        <f>AVERAGE('Weekly Analysis'!BH22:BI22)</f>
        <v>2.2593750000000004</v>
      </c>
      <c r="AH19" s="246">
        <f>AVERAGE('Weekly Analysis'!BJ22:BK22)</f>
        <v>7.5312500000000009</v>
      </c>
      <c r="AI19" s="247">
        <f>AVERAGE('Weekly Analysis'!BL22:BM22)</f>
        <v>290.70625000000001</v>
      </c>
      <c r="AJ19" s="245">
        <f>AVERAGE('Weekly Analysis'!BN22:BO22)</f>
        <v>514.38437500000009</v>
      </c>
      <c r="AK19" s="247">
        <f>AVERAGE('Weekly Analysis'!BP22:BQ22)</f>
        <v>13.55625</v>
      </c>
      <c r="AL19" s="247">
        <f>AVERAGE('Weekly Analysis'!BR22:BS22)</f>
        <v>563.33750000000009</v>
      </c>
      <c r="AM19" s="247">
        <f>AVERAGE('Weekly Analysis'!BT22:BU22)</f>
        <v>200.70781249999999</v>
      </c>
      <c r="AN19" s="269">
        <f>AVERAGE('Weekly Analysis'!BV22:BW22)</f>
        <v>79.454687500000006</v>
      </c>
      <c r="AO19" s="246">
        <f>AVERAGE('Weekly Analysis'!BX22:BY22)</f>
        <v>0</v>
      </c>
      <c r="AP19" s="246">
        <f>AVERAGE('Weekly Analysis'!BZ22:CA22)</f>
        <v>0</v>
      </c>
      <c r="AQ19" s="247">
        <f>AVERAGE('Weekly Analysis'!CB22:CC22)</f>
        <v>4.1421875000000004</v>
      </c>
      <c r="AR19" s="245">
        <f>AVERAGE('Weekly Analysis'!CD22:CE22)</f>
        <v>0</v>
      </c>
      <c r="AS19" s="246">
        <f>AVERAGE('Weekly Analysis'!CF22:CG22)</f>
        <v>4.5187500000000007</v>
      </c>
      <c r="AT19" s="246">
        <f>AVERAGE('Weekly Analysis'!CH22:CI22)</f>
        <v>19.204687499999999</v>
      </c>
      <c r="AU19" s="246">
        <f>AVERAGE('Weekly Analysis'!CJ22:CK22)</f>
        <v>40.668750000000003</v>
      </c>
      <c r="AV19" s="246">
        <f>AVERAGE('Weekly Analysis'!CL22:CM22)</f>
        <v>31.254687500000003</v>
      </c>
      <c r="AW19" s="246">
        <f>AVERAGE('Weekly Analysis'!CN22:CO22)</f>
        <v>115.98125</v>
      </c>
      <c r="AX19" s="246">
        <f t="shared" si="2"/>
        <v>271.08433734939757</v>
      </c>
      <c r="AY19" s="247">
        <f t="shared" si="1"/>
        <v>755.55555555555554</v>
      </c>
      <c r="AZ19" s="244"/>
      <c r="BA19" s="311"/>
      <c r="BB19" s="313"/>
      <c r="BC19" s="232"/>
      <c r="BD19" s="233"/>
    </row>
    <row r="20" spans="2:56" ht="25.5" customHeight="1">
      <c r="B20" s="189" t="s">
        <v>37</v>
      </c>
      <c r="C20" s="606">
        <f t="shared" si="0"/>
        <v>543.26499999999999</v>
      </c>
      <c r="D20" s="269">
        <f>AVERAGE('Weekly Analysis'!B23:C23)</f>
        <v>166.16624999999999</v>
      </c>
      <c r="E20" s="269">
        <f>AVERAGE('Weekly Analysis'!D23:E23)</f>
        <v>5.3112500000000002</v>
      </c>
      <c r="F20" s="269">
        <f>AVERAGE('Weekly Analysis'!F23:G23)</f>
        <v>1484.115</v>
      </c>
      <c r="G20" s="269">
        <f>AVERAGE('Weekly Analysis'!H23:I23)</f>
        <v>384.68625000000003</v>
      </c>
      <c r="H20" s="269">
        <f>AVERAGE('Weekly Analysis'!J23:K23)</f>
        <v>2286.8724999999999</v>
      </c>
      <c r="I20" s="269">
        <f>AVERAGE('Weekly Analysis'!L23:M23)</f>
        <v>744.33375000000001</v>
      </c>
      <c r="J20" s="269">
        <f>AVERAGE('Weekly Analysis'!N23:O23)</f>
        <v>409.72500000000002</v>
      </c>
      <c r="K20" s="269">
        <f>AVERAGE('Weekly Analysis'!P23:Q23)</f>
        <v>682.11625000000004</v>
      </c>
      <c r="L20" s="245">
        <f>AVERAGE('Weekly Analysis'!R23:S23)</f>
        <v>341.4375</v>
      </c>
      <c r="M20" s="247">
        <f>AVERAGE('Weekly Analysis'!T23:U23)</f>
        <v>0</v>
      </c>
      <c r="N20" s="269">
        <f>AVERAGE('Weekly Analysis'!V23:W23)</f>
        <v>0</v>
      </c>
      <c r="O20" s="269">
        <f>AVERAGE('Weekly Analysis'!X23:Y23)</f>
        <v>14.416250000000002</v>
      </c>
      <c r="P20" s="269">
        <f>AVERAGE('Weekly Analysis'!Z23:AA23)</f>
        <v>759.50874999999996</v>
      </c>
      <c r="Q20" s="269">
        <f>AVERAGE('Weekly Analysis'!AB23:AC23)</f>
        <v>135.0575</v>
      </c>
      <c r="R20" s="269">
        <f>AVERAGE('Weekly Analysis'!AD23:AE23)</f>
        <v>6457.7212500000005</v>
      </c>
      <c r="S20" s="269">
        <f>AVERAGE('Weekly Analysis'!AF23:AG23)</f>
        <v>94.84375</v>
      </c>
      <c r="T20" s="269">
        <f>AVERAGE('Weekly Analysis'!AH23:AI23)</f>
        <v>141.88625000000002</v>
      </c>
      <c r="U20" s="269">
        <f>AVERAGE('Weekly Analysis'!AJ23:AK23)</f>
        <v>1114.60375</v>
      </c>
      <c r="V20" s="269">
        <f>AVERAGE('Weekly Analysis'!AL23:AM23)</f>
        <v>586.51375000000007</v>
      </c>
      <c r="W20" s="269">
        <f>AVERAGE('Weekly Analysis'!AN23:AO23)</f>
        <v>0</v>
      </c>
      <c r="X20" s="269">
        <f>AVERAGE('Weekly Analysis'!AP23:AQ23)</f>
        <v>0</v>
      </c>
      <c r="Y20" s="269">
        <f>AVERAGE('Weekly Analysis'!AR23:AS23)</f>
        <v>0</v>
      </c>
      <c r="Z20" s="269">
        <f>AVERAGE('Weekly Analysis'!AT23:AU23)</f>
        <v>0</v>
      </c>
      <c r="AA20" s="269">
        <f>AVERAGE('Weekly Analysis'!AV23:AW23)</f>
        <v>0</v>
      </c>
      <c r="AB20" s="245">
        <f>AVERAGE('Weekly Analysis'!AX23:AY23)</f>
        <v>437.04</v>
      </c>
      <c r="AC20" s="246">
        <f>AVERAGE('Weekly Analysis'!AZ23:BA23)</f>
        <v>657.07749999999999</v>
      </c>
      <c r="AD20" s="246">
        <f>AVERAGE('Weekly Analysis'!BB23:BC23)</f>
        <v>1232.96875</v>
      </c>
      <c r="AE20" s="247">
        <f>AVERAGE('Weekly Analysis'!BD23:BE23)</f>
        <v>274.66750000000002</v>
      </c>
      <c r="AF20" s="245">
        <f>AVERAGE('Weekly Analysis'!BF23:BG23)</f>
        <v>839.17750000000001</v>
      </c>
      <c r="AG20" s="246">
        <f>AVERAGE('Weekly Analysis'!BH23:BI23)</f>
        <v>183.61750000000001</v>
      </c>
      <c r="AH20" s="247">
        <f>AVERAGE('Weekly Analysis'!BJ23:BK23)</f>
        <v>494.70500000000004</v>
      </c>
      <c r="AI20" s="247">
        <f>AVERAGE('Weekly Analysis'!BL23:BM23)</f>
        <v>906.70624999999995</v>
      </c>
      <c r="AJ20" s="269">
        <f>AVERAGE('Weekly Analysis'!BN23:BO23)</f>
        <v>456.76750000000004</v>
      </c>
      <c r="AK20" s="246">
        <f>AVERAGE('Weekly Analysis'!BP23:BQ23)</f>
        <v>202.58625000000001</v>
      </c>
      <c r="AL20" s="247">
        <f>AVERAGE('Weekly Analysis'!BR23:BS23)</f>
        <v>352.06000000000006</v>
      </c>
      <c r="AM20" s="247">
        <f>AVERAGE('Weekly Analysis'!BT23:BU23)</f>
        <v>383.92750000000001</v>
      </c>
      <c r="AN20" s="245">
        <f>AVERAGE('Weekly Analysis'!BV23:BW23)</f>
        <v>624.45125000000007</v>
      </c>
      <c r="AO20" s="247">
        <f>AVERAGE('Weekly Analysis'!BX23:BY23)</f>
        <v>5.3112500000000002</v>
      </c>
      <c r="AP20" s="247">
        <f>AVERAGE('Weekly Analysis'!BZ23:CA23)</f>
        <v>199.55125000000001</v>
      </c>
      <c r="AQ20" s="247">
        <f>AVERAGE('Weekly Analysis'!CB23:CC23)</f>
        <v>412.00125000000003</v>
      </c>
      <c r="AR20" s="246">
        <f>AVERAGE('Weekly Analysis'!CD23:CE23)</f>
        <v>421.86500000000001</v>
      </c>
      <c r="AS20" s="246">
        <f>AVERAGE('Weekly Analysis'!CF23:CG23)</f>
        <v>814.13875000000007</v>
      </c>
      <c r="AT20" s="246">
        <f>AVERAGE('Weekly Analysis'!CH23:CI23)</f>
        <v>854.35249999999996</v>
      </c>
      <c r="AU20" s="246">
        <f>AVERAGE('Weekly Analysis'!CJ23:CK23)</f>
        <v>1185.92625</v>
      </c>
      <c r="AV20" s="246">
        <f>AVERAGE('Weekly Analysis'!CL23:CM23)</f>
        <v>531.88374999999996</v>
      </c>
      <c r="AW20" s="246">
        <f>AVERAGE('Weekly Analysis'!CN23:CO23)</f>
        <v>267.08000000000004</v>
      </c>
      <c r="AX20" s="246">
        <f t="shared" si="2"/>
        <v>-49.786019971469322</v>
      </c>
      <c r="AY20" s="247">
        <f t="shared" si="1"/>
        <v>31.835205992509373</v>
      </c>
      <c r="AZ20" s="244"/>
      <c r="BA20" s="311"/>
      <c r="BB20" s="313"/>
      <c r="BC20" s="232"/>
      <c r="BD20" s="233"/>
    </row>
    <row r="21" spans="2:56" ht="25.5" customHeight="1">
      <c r="B21" s="189" t="s">
        <v>38</v>
      </c>
      <c r="C21" s="606">
        <f t="shared" si="0"/>
        <v>343.19687763713074</v>
      </c>
      <c r="D21" s="269">
        <f>AVERAGE('Weekly Analysis'!B24:C24)</f>
        <v>404.36556962025315</v>
      </c>
      <c r="E21" s="269">
        <f>AVERAGE('Weekly Analysis'!D24:E24)</f>
        <v>51.879746835443036</v>
      </c>
      <c r="F21" s="269">
        <f>AVERAGE('Weekly Analysis'!F24:G24)</f>
        <v>1310.9270886075949</v>
      </c>
      <c r="G21" s="269">
        <f>AVERAGE('Weekly Analysis'!H24:I24)</f>
        <v>133.40506329113924</v>
      </c>
      <c r="H21" s="269">
        <f>AVERAGE('Weekly Analysis'!J24:K24)</f>
        <v>775.82455696202533</v>
      </c>
      <c r="I21" s="269">
        <f>AVERAGE('Weekly Analysis'!L24:M24)</f>
        <v>413.85215189873418</v>
      </c>
      <c r="J21" s="269">
        <f>AVERAGE('Weekly Analysis'!N24:O24)</f>
        <v>77.671392405063287</v>
      </c>
      <c r="K21" s="269">
        <f>AVERAGE('Weekly Analysis'!P24:Q24)</f>
        <v>659.02101265822785</v>
      </c>
      <c r="L21" s="245">
        <f>AVERAGE('Weekly Analysis'!R24:S24)</f>
        <v>206.03670886075949</v>
      </c>
      <c r="M21" s="247">
        <f>AVERAGE('Weekly Analysis'!T24:U24)</f>
        <v>0</v>
      </c>
      <c r="N21" s="269">
        <f>AVERAGE('Weekly Analysis'!V24:W24)</f>
        <v>0</v>
      </c>
      <c r="O21" s="269">
        <f>AVERAGE('Weekly Analysis'!X24:Y24)</f>
        <v>85.379240506329111</v>
      </c>
      <c r="P21" s="269">
        <f>AVERAGE('Weekly Analysis'!Z24:AA24)</f>
        <v>659.02101265822785</v>
      </c>
      <c r="Q21" s="269">
        <f>AVERAGE('Weekly Analysis'!AB24:AC24)</f>
        <v>301.79189873417721</v>
      </c>
      <c r="R21" s="269">
        <f>AVERAGE('Weekly Analysis'!AD24:AE24)</f>
        <v>1837.7288607594937</v>
      </c>
      <c r="S21" s="269">
        <f>AVERAGE('Weekly Analysis'!AF24:AG24)</f>
        <v>53.954936708860757</v>
      </c>
      <c r="T21" s="269">
        <f>AVERAGE('Weekly Analysis'!AH24:AI24)</f>
        <v>288.15493670886076</v>
      </c>
      <c r="U21" s="269">
        <f>AVERAGE('Weekly Analysis'!AJ24:AK24)</f>
        <v>1471.6060759493671</v>
      </c>
      <c r="V21" s="269">
        <f>AVERAGE('Weekly Analysis'!AL24:AM24)</f>
        <v>393.10025316455699</v>
      </c>
      <c r="W21" s="269">
        <f>AVERAGE('Weekly Analysis'!AN24:AO24)</f>
        <v>0</v>
      </c>
      <c r="X21" s="269">
        <f>AVERAGE('Weekly Analysis'!AP24:AQ24)</f>
        <v>0</v>
      </c>
      <c r="Y21" s="269">
        <f>AVERAGE('Weekly Analysis'!AR24:AS24)</f>
        <v>0</v>
      </c>
      <c r="Z21" s="269">
        <f>AVERAGE('Weekly Analysis'!AT24:AU24)</f>
        <v>0</v>
      </c>
      <c r="AA21" s="269">
        <f>AVERAGE('Weekly Analysis'!AV24:AW24)</f>
        <v>0</v>
      </c>
      <c r="AB21" s="245">
        <f>AVERAGE('Weekly Analysis'!AX24:AY24)</f>
        <v>250.20860759493672</v>
      </c>
      <c r="AC21" s="246">
        <f>AVERAGE('Weekly Analysis'!AZ24:BA24)</f>
        <v>691.92759493670883</v>
      </c>
      <c r="AD21" s="246">
        <f>AVERAGE('Weekly Analysis'!BB24:BC24)</f>
        <v>1142.540253164557</v>
      </c>
      <c r="AE21" s="247">
        <f>AVERAGE('Weekly Analysis'!BD24:BE24)</f>
        <v>381.24202531645574</v>
      </c>
      <c r="AF21" s="245">
        <f>AVERAGE('Weekly Analysis'!BF24:BG24)</f>
        <v>538.95645569620251</v>
      </c>
      <c r="AG21" s="246">
        <f>AVERAGE('Weekly Analysis'!BH24:BI24)</f>
        <v>183.5060759493671</v>
      </c>
      <c r="AH21" s="246">
        <f>AVERAGE('Weekly Analysis'!BJ24:BK24)</f>
        <v>358.41493670886075</v>
      </c>
      <c r="AI21" s="247">
        <f>AVERAGE('Weekly Analysis'!BL24:BM24)</f>
        <v>298.8273417721519</v>
      </c>
      <c r="AJ21" s="245">
        <f>AVERAGE('Weekly Analysis'!BN24:BO24)</f>
        <v>239.83265822784813</v>
      </c>
      <c r="AK21" s="246">
        <f>AVERAGE('Weekly Analysis'!BP24:BQ24)</f>
        <v>294.38050632911393</v>
      </c>
      <c r="AL21" s="247">
        <f>AVERAGE('Weekly Analysis'!BR24:BS24)</f>
        <v>416.52025316455695</v>
      </c>
      <c r="AM21" s="247">
        <f>AVERAGE('Weekly Analysis'!BT24:BU24)</f>
        <v>324.3225316455696</v>
      </c>
      <c r="AN21" s="245">
        <f>AVERAGE('Weekly Analysis'!BV24:BW24)</f>
        <v>80.339493670886071</v>
      </c>
      <c r="AO21" s="246">
        <f>AVERAGE('Weekly Analysis'!BX24:BY24)</f>
        <v>106.7240506329114</v>
      </c>
      <c r="AP21" s="246">
        <f>AVERAGE('Weekly Analysis'!BZ24:CA24)</f>
        <v>285.48683544303799</v>
      </c>
      <c r="AQ21" s="247">
        <f>AVERAGE('Weekly Analysis'!CB24:CC24)</f>
        <v>358.71139240506329</v>
      </c>
      <c r="AR21" s="245">
        <f>AVERAGE('Weekly Analysis'!CD24:CE24)</f>
        <v>546.07139240506331</v>
      </c>
      <c r="AS21" s="246">
        <f>AVERAGE('Weekly Analysis'!CF24:CG24)</f>
        <v>526.80177215189872</v>
      </c>
      <c r="AT21" s="246">
        <f>AVERAGE('Weekly Analysis'!CH24:CI24)</f>
        <v>1244.5210126582278</v>
      </c>
      <c r="AU21" s="246">
        <f>AVERAGE('Weekly Analysis'!CJ24:CK24)</f>
        <v>1172.1858227848102</v>
      </c>
      <c r="AV21" s="246">
        <f>AVERAGE('Weekly Analysis'!CL24:CM24)</f>
        <v>543.10683544303799</v>
      </c>
      <c r="AW21" s="246">
        <f>AVERAGE('Weekly Analysis'!CN24:CO24)</f>
        <v>650.12734177215191</v>
      </c>
      <c r="AX21" s="246">
        <f t="shared" si="2"/>
        <v>19.705240174672483</v>
      </c>
      <c r="AY21" s="247">
        <f t="shared" si="1"/>
        <v>120.84592145015108</v>
      </c>
      <c r="AZ21" s="244"/>
      <c r="BA21" s="311"/>
      <c r="BB21" s="313"/>
      <c r="BC21" s="232" t="s">
        <v>161</v>
      </c>
      <c r="BD21" s="233"/>
    </row>
    <row r="22" spans="2:56" ht="25.5" customHeight="1">
      <c r="B22" s="189" t="s">
        <v>39</v>
      </c>
      <c r="C22" s="606">
        <f t="shared" si="0"/>
        <v>44.995517241379304</v>
      </c>
      <c r="D22" s="269">
        <f>AVERAGE('Weekly Analysis'!B25:C25)</f>
        <v>31.680517241379309</v>
      </c>
      <c r="E22" s="269">
        <f>AVERAGE('Weekly Analysis'!D25:E25)</f>
        <v>33.057931034482756</v>
      </c>
      <c r="F22" s="269">
        <f>AVERAGE('Weekly Analysis'!F25:G25)</f>
        <v>184.57344827586206</v>
      </c>
      <c r="G22" s="269">
        <f>AVERAGE('Weekly Analysis'!H25:I25)</f>
        <v>0</v>
      </c>
      <c r="H22" s="269">
        <f>AVERAGE('Weekly Analysis'!J25:K25)</f>
        <v>152.89293103448276</v>
      </c>
      <c r="I22" s="269">
        <f>AVERAGE('Weekly Analysis'!L25:M25)</f>
        <v>17.906379310344828</v>
      </c>
      <c r="J22" s="269">
        <f>AVERAGE('Weekly Analysis'!N25:O25)</f>
        <v>17.906379310344828</v>
      </c>
      <c r="K22" s="269">
        <f>AVERAGE('Weekly Analysis'!P25:Q25)</f>
        <v>84.022241379310344</v>
      </c>
      <c r="L22" s="245">
        <f>AVERAGE('Weekly Analysis'!R25:S25)</f>
        <v>11.019310344827586</v>
      </c>
      <c r="M22" s="247">
        <f>AVERAGE('Weekly Analysis'!T25:U25)</f>
        <v>0</v>
      </c>
      <c r="N22" s="269">
        <f>AVERAGE('Weekly Analysis'!V25:W25)</f>
        <v>0</v>
      </c>
      <c r="O22" s="269">
        <f>AVERAGE('Weekly Analysis'!X25:Y25)</f>
        <v>6.8870689655172415</v>
      </c>
      <c r="P22" s="269">
        <f>AVERAGE('Weekly Analysis'!Z25:AA25)</f>
        <v>84.022241379310344</v>
      </c>
      <c r="Q22" s="269">
        <f>AVERAGE('Weekly Analysis'!AB25:AC25)</f>
        <v>26.170862068965516</v>
      </c>
      <c r="R22" s="269">
        <f>AVERAGE('Weekly Analysis'!AD25:AE25)</f>
        <v>111.57051724137931</v>
      </c>
      <c r="S22" s="269">
        <f>AVERAGE('Weekly Analysis'!AF25:AG25)</f>
        <v>172.17672413793102</v>
      </c>
      <c r="T22" s="269">
        <f>AVERAGE('Weekly Analysis'!AH25:AI25)</f>
        <v>16.528965517241378</v>
      </c>
      <c r="U22" s="269">
        <f>AVERAGE('Weekly Analysis'!AJ25:AK25)</f>
        <v>53.719137931034481</v>
      </c>
      <c r="V22" s="269">
        <f>AVERAGE('Weekly Analysis'!AL25:AM25)</f>
        <v>534.43655172413787</v>
      </c>
      <c r="W22" s="269">
        <f>AVERAGE('Weekly Analysis'!AN25:AO25)</f>
        <v>0</v>
      </c>
      <c r="X22" s="269">
        <f>AVERAGE('Weekly Analysis'!AP25:AQ25)</f>
        <v>0</v>
      </c>
      <c r="Y22" s="269">
        <f>AVERAGE('Weekly Analysis'!AR25:AS25)</f>
        <v>0</v>
      </c>
      <c r="Z22" s="269">
        <f>AVERAGE('Weekly Analysis'!AT25:AU25)</f>
        <v>0</v>
      </c>
      <c r="AA22" s="269">
        <f>AVERAGE('Weekly Analysis'!AV25:AW25)</f>
        <v>0</v>
      </c>
      <c r="AB22" s="245">
        <f>AVERAGE('Weekly Analysis'!AX25:AY25)</f>
        <v>64.738448275862069</v>
      </c>
      <c r="AC22" s="246">
        <f>AVERAGE('Weekly Analysis'!AZ25:BA25)</f>
        <v>44.077241379310344</v>
      </c>
      <c r="AD22" s="246">
        <f>AVERAGE('Weekly Analysis'!BB25:BC25)</f>
        <v>184.57344827586206</v>
      </c>
      <c r="AE22" s="247">
        <f>AVERAGE('Weekly Analysis'!BD25:BE25)</f>
        <v>33.057931034482756</v>
      </c>
      <c r="AF22" s="245">
        <f>AVERAGE('Weekly Analysis'!BF25:BG25)</f>
        <v>504.13344827586207</v>
      </c>
      <c r="AG22" s="247">
        <f>AVERAGE('Weekly Analysis'!BH25:BI25)</f>
        <v>479.34</v>
      </c>
      <c r="AH22" s="246">
        <f>AVERAGE('Weekly Analysis'!BJ25:BK25)</f>
        <v>752.06793103448274</v>
      </c>
      <c r="AI22" s="247">
        <f>AVERAGE('Weekly Analysis'!BL25:BM25)</f>
        <v>1002.7572413793102</v>
      </c>
      <c r="AJ22" s="269">
        <f>AVERAGE('Weekly Analysis'!BN25:BO25)</f>
        <v>446.28206896551723</v>
      </c>
      <c r="AK22" s="247">
        <f>AVERAGE('Weekly Analysis'!BP25:BQ25)</f>
        <v>241.04741379310343</v>
      </c>
      <c r="AL22" s="247">
        <f>AVERAGE('Weekly Analysis'!BR25:BS25)</f>
        <v>333.33413793103449</v>
      </c>
      <c r="AM22" s="247">
        <f>AVERAGE('Weekly Analysis'!BT25:BU25)</f>
        <v>792.01293103448268</v>
      </c>
      <c r="AN22" s="269">
        <f>AVERAGE('Weekly Analysis'!BV25:BW25)</f>
        <v>294.76655172413791</v>
      </c>
      <c r="AO22" s="247">
        <f>AVERAGE('Weekly Analysis'!BX25:BY25)</f>
        <v>31.680517241379309</v>
      </c>
      <c r="AP22" s="246">
        <f>AVERAGE('Weekly Analysis'!BZ25:CA25)</f>
        <v>9.6418965517241375</v>
      </c>
      <c r="AQ22" s="247">
        <f>AVERAGE('Weekly Analysis'!CB25:CC25)</f>
        <v>151.51551724137931</v>
      </c>
      <c r="AR22" s="246">
        <f>AVERAGE('Weekly Analysis'!CD25:CE25)</f>
        <v>223.14103448275861</v>
      </c>
      <c r="AS22" s="246">
        <f>AVERAGE('Weekly Analysis'!CF25:CG25)</f>
        <v>305.78586206896546</v>
      </c>
      <c r="AT22" s="246">
        <f>AVERAGE('Weekly Analysis'!CH25:CI25)</f>
        <v>585.40086206896558</v>
      </c>
      <c r="AU22" s="246">
        <f>AVERAGE('Weekly Analysis'!CJ25:CK25)</f>
        <v>946.28327586206888</v>
      </c>
      <c r="AV22" s="246">
        <f>AVERAGE('Weekly Analysis'!CL25:CM25)</f>
        <v>517.90758620689655</v>
      </c>
      <c r="AW22" s="246">
        <f>AVERAGE('Weekly Analysis'!CN25:CO25)</f>
        <v>487.60448275862069</v>
      </c>
      <c r="AX22" s="246">
        <f t="shared" si="2"/>
        <v>-5.8510638297872362</v>
      </c>
      <c r="AY22" s="247">
        <f t="shared" si="1"/>
        <v>102.28571428571431</v>
      </c>
      <c r="AZ22" s="244"/>
      <c r="BA22" s="311"/>
      <c r="BB22" s="313"/>
      <c r="BC22" s="232"/>
      <c r="BD22" s="232"/>
    </row>
    <row r="23" spans="2:56" ht="25.5" customHeight="1">
      <c r="B23" s="189" t="s">
        <v>40</v>
      </c>
      <c r="C23" s="606">
        <f t="shared" si="0"/>
        <v>171.01616666666666</v>
      </c>
      <c r="D23" s="269">
        <f>AVERAGE('Weekly Analysis'!B26:C26)</f>
        <v>354.05799999999999</v>
      </c>
      <c r="E23" s="269">
        <f>AVERAGE('Weekly Analysis'!D26:E26)</f>
        <v>90.19250000000001</v>
      </c>
      <c r="F23" s="269">
        <f>AVERAGE('Weekly Analysis'!F26:G26)</f>
        <v>114.52350000000001</v>
      </c>
      <c r="G23" s="269">
        <f>AVERAGE('Weekly Analysis'!H26:I26)</f>
        <v>173.25350000000003</v>
      </c>
      <c r="H23" s="269">
        <f>AVERAGE('Weekly Analysis'!J26:K26)</f>
        <v>232.40300000000002</v>
      </c>
      <c r="I23" s="269">
        <f>AVERAGE('Weekly Analysis'!L26:M26)</f>
        <v>117.46000000000001</v>
      </c>
      <c r="J23" s="269">
        <f>AVERAGE('Weekly Analysis'!N26:O26)</f>
        <v>132.14250000000001</v>
      </c>
      <c r="K23" s="269">
        <f>AVERAGE('Weekly Analysis'!P26:Q26)</f>
        <v>400.62250000000006</v>
      </c>
      <c r="L23" s="245">
        <f>AVERAGE('Weekly Analysis'!R26:S26)</f>
        <v>166.96100000000001</v>
      </c>
      <c r="M23" s="247">
        <f>AVERAGE('Weekly Analysis'!T26:U26)</f>
        <v>0</v>
      </c>
      <c r="N23" s="269">
        <f>AVERAGE('Weekly Analysis'!V26:W26)</f>
        <v>0</v>
      </c>
      <c r="O23" s="269">
        <f>AVERAGE('Weekly Analysis'!X26:Y26)</f>
        <v>270.57750000000004</v>
      </c>
      <c r="P23" s="269">
        <f>AVERAGE('Weekly Analysis'!Z26:AA26)</f>
        <v>400.62250000000006</v>
      </c>
      <c r="Q23" s="269">
        <f>AVERAGE('Weekly Analysis'!AB26:AC26)</f>
        <v>172.834</v>
      </c>
      <c r="R23" s="269">
        <f>AVERAGE('Weekly Analysis'!AD26:AE26)</f>
        <v>221.07650000000001</v>
      </c>
      <c r="S23" s="269">
        <f>AVERAGE('Weekly Analysis'!AF26:AG26)</f>
        <v>278.12850000000003</v>
      </c>
      <c r="T23" s="269">
        <f>AVERAGE('Weekly Analysis'!AH26:AI26)</f>
        <v>228.20800000000003</v>
      </c>
      <c r="U23" s="269">
        <f>AVERAGE('Weekly Analysis'!AJ26:AK26)</f>
        <v>394.74950000000001</v>
      </c>
      <c r="V23" s="269">
        <f>AVERAGE('Weekly Analysis'!AL26:AM26)</f>
        <v>88.095000000000013</v>
      </c>
      <c r="W23" s="269">
        <f>AVERAGE('Weekly Analysis'!AN26:AO26)</f>
        <v>0</v>
      </c>
      <c r="X23" s="269">
        <f>AVERAGE('Weekly Analysis'!AP26:AQ26)</f>
        <v>0</v>
      </c>
      <c r="Y23" s="269">
        <f>AVERAGE('Weekly Analysis'!AR26:AS26)</f>
        <v>0</v>
      </c>
      <c r="Z23" s="269">
        <f>AVERAGE('Weekly Analysis'!AT26:AU26)</f>
        <v>0</v>
      </c>
      <c r="AA23" s="269">
        <f>AVERAGE('Weekly Analysis'!AV26:AW26)</f>
        <v>0</v>
      </c>
      <c r="AB23" s="269">
        <f>AVERAGE('Weekly Analysis'!AX26:AY26)</f>
        <v>161.92700000000002</v>
      </c>
      <c r="AC23" s="247">
        <f>AVERAGE('Weekly Analysis'!AZ26:BA26)</f>
        <v>281.904</v>
      </c>
      <c r="AD23" s="247">
        <f>AVERAGE('Weekly Analysis'!BB26:BC26)</f>
        <v>114.52350000000001</v>
      </c>
      <c r="AE23" s="247">
        <f>AVERAGE('Weekly Analysis'!BD26:BE26)</f>
        <v>281.06500000000005</v>
      </c>
      <c r="AF23" s="269">
        <f>AVERAGE('Weekly Analysis'!BF26:BG26)</f>
        <v>378.38900000000001</v>
      </c>
      <c r="AG23" s="246">
        <f>AVERAGE('Weekly Analysis'!BH26:BI26)</f>
        <v>82.222000000000008</v>
      </c>
      <c r="AH23" s="247">
        <f>AVERAGE('Weekly Analysis'!BJ26:BK26)</f>
        <v>93.129000000000005</v>
      </c>
      <c r="AI23" s="247">
        <f>AVERAGE('Weekly Analysis'!BL26:BM26)</f>
        <v>102.358</v>
      </c>
      <c r="AJ23" s="245">
        <f>AVERAGE('Weekly Analysis'!BN26:BO26)</f>
        <v>269.31900000000002</v>
      </c>
      <c r="AK23" s="246">
        <f>AVERAGE('Weekly Analysis'!BP26:BQ26)</f>
        <v>180.80450000000002</v>
      </c>
      <c r="AL23" s="247">
        <f>AVERAGE('Weekly Analysis'!BR26:BS26)</f>
        <v>129.62550000000002</v>
      </c>
      <c r="AM23" s="247">
        <f>AVERAGE('Weekly Analysis'!BT26:BU26)</f>
        <v>174.09250000000003</v>
      </c>
      <c r="AN23" s="245">
        <f>AVERAGE('Weekly Analysis'!BV26:BW26)</f>
        <v>109.90900000000001</v>
      </c>
      <c r="AO23" s="246">
        <f>AVERAGE('Weekly Analysis'!BX26:BY26)</f>
        <v>117.04050000000001</v>
      </c>
      <c r="AP23" s="247">
        <f>AVERAGE('Weekly Analysis'!BZ26:CA26)</f>
        <v>372.51600000000008</v>
      </c>
      <c r="AQ23" s="247">
        <f>AVERAGE('Weekly Analysis'!CB26:CC26)</f>
        <v>495.42950000000008</v>
      </c>
      <c r="AR23" s="246">
        <f>AVERAGE('Weekly Analysis'!CD26:CE26)</f>
        <v>286.51850000000002</v>
      </c>
      <c r="AS23" s="246">
        <f>AVERAGE('Weekly Analysis'!CF26:CG26)</f>
        <v>152.27850000000001</v>
      </c>
      <c r="AT23" s="246">
        <f>AVERAGE('Weekly Analysis'!CH26:CI26)</f>
        <v>132.98150000000001</v>
      </c>
      <c r="AU23" s="246">
        <f>AVERAGE('Weekly Analysis'!CJ26:CK26)</f>
        <v>197.58450000000002</v>
      </c>
      <c r="AV23" s="246">
        <f>AVERAGE('Weekly Analysis'!CL26:CM26)</f>
        <v>148.50300000000001</v>
      </c>
      <c r="AW23" s="246">
        <f>AVERAGE('Weekly Analysis'!CN26:CO26)</f>
        <v>88.094999999999999</v>
      </c>
      <c r="AX23" s="246">
        <f t="shared" si="2"/>
        <v>-40.677966101694921</v>
      </c>
      <c r="AY23" s="247">
        <f>AW23/AK23*100-100</f>
        <v>-51.276102088167058</v>
      </c>
      <c r="AZ23" s="244"/>
      <c r="BA23" s="311"/>
      <c r="BB23" s="313"/>
      <c r="BC23" s="232"/>
      <c r="BD23" s="233"/>
    </row>
    <row r="24" spans="2:56" ht="25.5" customHeight="1">
      <c r="B24" s="189" t="s">
        <v>41</v>
      </c>
      <c r="C24" s="606">
        <f t="shared" si="0"/>
        <v>44.664722222222217</v>
      </c>
      <c r="D24" s="269">
        <f>AVERAGE('Weekly Analysis'!B27:C27)</f>
        <v>35.153194444444445</v>
      </c>
      <c r="E24" s="269">
        <f>AVERAGE('Weekly Analysis'!D27:E27)</f>
        <v>2.1398148148148146</v>
      </c>
      <c r="F24" s="269">
        <f>AVERAGE('Weekly Analysis'!F27:G27)</f>
        <v>220.79111111111109</v>
      </c>
      <c r="G24" s="269">
        <f>AVERAGE('Weekly Analysis'!H27:I27)</f>
        <v>0</v>
      </c>
      <c r="H24" s="269">
        <f>AVERAGE('Weekly Analysis'!J27:K27)</f>
        <v>37.416481481481483</v>
      </c>
      <c r="I24" s="269">
        <f>AVERAGE('Weekly Analysis'!L27:M27)</f>
        <v>29.005787037037038</v>
      </c>
      <c r="J24" s="269">
        <f>AVERAGE('Weekly Analysis'!N27:O27)</f>
        <v>18.830370370370368</v>
      </c>
      <c r="K24" s="269">
        <f>AVERAGE('Weekly Analysis'!P27:Q27)</f>
        <v>109.5699074074074</v>
      </c>
      <c r="L24" s="245">
        <f>AVERAGE('Weekly Analysis'!R27:S27)</f>
        <v>74.960787037037036</v>
      </c>
      <c r="M24" s="247">
        <f>AVERAGE('Weekly Analysis'!T27:U27)</f>
        <v>0</v>
      </c>
      <c r="N24" s="269">
        <f>AVERAGE('Weekly Analysis'!V27:W27)</f>
        <v>0</v>
      </c>
      <c r="O24" s="269">
        <f>AVERAGE('Weekly Analysis'!X27:Y27)</f>
        <v>8.1092129629629621</v>
      </c>
      <c r="P24" s="269">
        <f>AVERAGE('Weekly Analysis'!Z27:AA27)</f>
        <v>109.5699074074074</v>
      </c>
      <c r="Q24" s="269">
        <f>AVERAGE('Weekly Analysis'!AB27:AC27)</f>
        <v>1.0941666666666667</v>
      </c>
      <c r="R24" s="269">
        <f>AVERAGE('Weekly Analysis'!AD27:AE27)</f>
        <v>28.245555555555555</v>
      </c>
      <c r="S24" s="269">
        <f>AVERAGE('Weekly Analysis'!AF27:AG27)</f>
        <v>0</v>
      </c>
      <c r="T24" s="269">
        <f>AVERAGE('Weekly Analysis'!AH27:AI27)</f>
        <v>18.830370370370368</v>
      </c>
      <c r="U24" s="269">
        <f>AVERAGE('Weekly Analysis'!AJ27:AK27)</f>
        <v>79.877499999999998</v>
      </c>
      <c r="V24" s="269">
        <f>AVERAGE('Weekly Analysis'!AL27:AM27)</f>
        <v>132.44333333333333</v>
      </c>
      <c r="W24" s="269">
        <f>AVERAGE('Weekly Analysis'!AN27:AO27)</f>
        <v>0</v>
      </c>
      <c r="X24" s="269">
        <f>AVERAGE('Weekly Analysis'!AP27:AQ27)</f>
        <v>0</v>
      </c>
      <c r="Y24" s="269">
        <f>AVERAGE('Weekly Analysis'!AR27:AS27)</f>
        <v>0</v>
      </c>
      <c r="Z24" s="269">
        <f>AVERAGE('Weekly Analysis'!AT27:AU27)</f>
        <v>0</v>
      </c>
      <c r="AA24" s="269">
        <f>AVERAGE('Weekly Analysis'!AV27:AW27)</f>
        <v>0</v>
      </c>
      <c r="AB24" s="245">
        <f>AVERAGE('Weekly Analysis'!AX27:AY27)</f>
        <v>64.122175925925916</v>
      </c>
      <c r="AC24" s="246">
        <f>AVERAGE('Weekly Analysis'!AZ27:BA27)</f>
        <v>12.410925925925925</v>
      </c>
      <c r="AD24" s="246">
        <f>AVERAGE('Weekly Analysis'!BB27:BC27)</f>
        <v>15.153703703703703</v>
      </c>
      <c r="AE24" s="247">
        <f>AVERAGE('Weekly Analysis'!BD27:BE27)</f>
        <v>1.7118518518518517</v>
      </c>
      <c r="AF24" s="245">
        <f>AVERAGE('Weekly Analysis'!BF27:BG27)</f>
        <v>53.189212962962969</v>
      </c>
      <c r="AG24" s="246">
        <f>AVERAGE('Weekly Analysis'!BH27:BI27)</f>
        <v>45.771296296296292</v>
      </c>
      <c r="AH24" s="246">
        <f>AVERAGE('Weekly Analysis'!BJ27:BK27)</f>
        <v>149.80444444444444</v>
      </c>
      <c r="AI24" s="247">
        <f>AVERAGE('Weekly Analysis'!BL27:BM27)</f>
        <v>445.97527777777782</v>
      </c>
      <c r="AJ24" s="245">
        <f>AVERAGE('Weekly Analysis'!BN27:BO27)</f>
        <v>185.07944444444445</v>
      </c>
      <c r="AK24" s="246">
        <f>AVERAGE('Weekly Analysis'!BP27:BQ27)</f>
        <v>217.81643518518516</v>
      </c>
      <c r="AL24" s="247">
        <f>AVERAGE('Weekly Analysis'!BR27:BS27)</f>
        <v>369.71083333333331</v>
      </c>
      <c r="AM24" s="247">
        <f>AVERAGE('Weekly Analysis'!BT27:BU27)</f>
        <v>167.30074074074074</v>
      </c>
      <c r="AN24" s="245">
        <f>AVERAGE('Weekly Analysis'!BV27:BW27)</f>
        <v>24.393888888888888</v>
      </c>
      <c r="AO24" s="246">
        <f>AVERAGE('Weekly Analysis'!BX27:BY27)</f>
        <v>0</v>
      </c>
      <c r="AP24" s="246">
        <f>AVERAGE('Weekly Analysis'!BZ27:CA27)</f>
        <v>5.1355555555555554</v>
      </c>
      <c r="AQ24" s="247">
        <f>AVERAGE('Weekly Analysis'!CB27:CC27)</f>
        <v>17.00375</v>
      </c>
      <c r="AR24" s="246">
        <f>AVERAGE('Weekly Analysis'!CD27:CE27)</f>
        <v>23.073194444444443</v>
      </c>
      <c r="AS24" s="246">
        <f>AVERAGE('Weekly Analysis'!CF27:CG27)</f>
        <v>65.609166666666667</v>
      </c>
      <c r="AT24" s="246">
        <f>AVERAGE('Weekly Analysis'!CH27:CI27)</f>
        <v>184.35134259259257</v>
      </c>
      <c r="AU24" s="246">
        <f>AVERAGE('Weekly Analysis'!CJ27:CK27)</f>
        <v>347.29347222222219</v>
      </c>
      <c r="AV24" s="246">
        <f>AVERAGE('Weekly Analysis'!CL27:CM27)</f>
        <v>318.87694444444446</v>
      </c>
      <c r="AW24" s="246">
        <f>AVERAGE('Weekly Analysis'!CN27:CO27)</f>
        <v>174.54666666666668</v>
      </c>
      <c r="AX24" s="246">
        <f t="shared" si="2"/>
        <v>-45.262061209609762</v>
      </c>
      <c r="AY24" s="247">
        <f t="shared" si="1"/>
        <v>-19.865245008592197</v>
      </c>
      <c r="AZ24" s="244"/>
      <c r="BA24" s="311"/>
      <c r="BB24" s="232"/>
      <c r="BC24" s="232"/>
      <c r="BD24" s="233"/>
    </row>
    <row r="25" spans="2:56" ht="25.5" customHeight="1">
      <c r="B25" s="189" t="s">
        <v>43</v>
      </c>
      <c r="C25" s="606">
        <f t="shared" si="0"/>
        <v>197.96069934318555</v>
      </c>
      <c r="D25" s="269">
        <f>AVERAGE('Weekly Analysis'!B28:C28)</f>
        <v>52.306714285714293</v>
      </c>
      <c r="E25" s="269">
        <f>AVERAGE('Weekly Analysis'!D28:E28)</f>
        <v>176.90643842364534</v>
      </c>
      <c r="F25" s="269">
        <f>AVERAGE('Weekly Analysis'!F28:G28)</f>
        <v>0</v>
      </c>
      <c r="G25" s="269">
        <f>AVERAGE('Weekly Analysis'!H28:I28)</f>
        <v>3.6835714285714287</v>
      </c>
      <c r="H25" s="269">
        <f>AVERAGE('Weekly Analysis'!J28:K28)</f>
        <v>54.516857142857148</v>
      </c>
      <c r="I25" s="269">
        <f>AVERAGE('Weekly Analysis'!L28:M28)</f>
        <v>28.51014285714286</v>
      </c>
      <c r="J25" s="269">
        <f>AVERAGE('Weekly Analysis'!N28:O28)</f>
        <v>131.11926995073892</v>
      </c>
      <c r="K25" s="269">
        <f>AVERAGE('Weekly Analysis'!P28:Q28)</f>
        <v>1035.7889940886701</v>
      </c>
      <c r="L25" s="245">
        <f>AVERAGE('Weekly Analysis'!R28:S28)</f>
        <v>765.22112807881774</v>
      </c>
      <c r="M25" s="247">
        <f>AVERAGE('Weekly Analysis'!T28:U28)</f>
        <v>0</v>
      </c>
      <c r="N25" s="269">
        <f>AVERAGE('Weekly Analysis'!V28:W28)</f>
        <v>0</v>
      </c>
      <c r="O25" s="269">
        <f>AVERAGE('Weekly Analysis'!X28:Y28)</f>
        <v>127.47527586206897</v>
      </c>
      <c r="P25" s="269">
        <f>AVERAGE('Weekly Analysis'!Z28:AA28)</f>
        <v>705.07589064039416</v>
      </c>
      <c r="Q25" s="269">
        <f>AVERAGE('Weekly Analysis'!AB28:AC28)</f>
        <v>57.242000000000004</v>
      </c>
      <c r="R25" s="269">
        <f>AVERAGE('Weekly Analysis'!AD28:AE28)</f>
        <v>55.861128571428573</v>
      </c>
      <c r="S25" s="269">
        <f>AVERAGE('Weekly Analysis'!AF28:AG28)</f>
        <v>0</v>
      </c>
      <c r="T25" s="269">
        <f>AVERAGE('Weekly Analysis'!AH28:AI28)</f>
        <v>0</v>
      </c>
      <c r="U25" s="269">
        <f>AVERAGE('Weekly Analysis'!AJ28:AK28)</f>
        <v>36.835714285714289</v>
      </c>
      <c r="V25" s="269">
        <f>AVERAGE('Weekly Analysis'!AL28:AM28)</f>
        <v>190.54066059113302</v>
      </c>
      <c r="W25" s="269">
        <f>AVERAGE('Weekly Analysis'!AN28:AO28)</f>
        <v>0</v>
      </c>
      <c r="X25" s="269">
        <f>AVERAGE('Weekly Analysis'!AP28:AQ28)</f>
        <v>0</v>
      </c>
      <c r="Y25" s="269">
        <f>AVERAGE('Weekly Analysis'!AR28:AS28)</f>
        <v>0</v>
      </c>
      <c r="Z25" s="269">
        <f>AVERAGE('Weekly Analysis'!AT28:AU28)</f>
        <v>0</v>
      </c>
      <c r="AA25" s="269">
        <f>AVERAGE('Weekly Analysis'!AV28:AW28)</f>
        <v>0</v>
      </c>
      <c r="AB25" s="269">
        <f>AVERAGE('Weekly Analysis'!AX28:AY28)</f>
        <v>370.75560492610845</v>
      </c>
      <c r="AC25" s="246">
        <f>AVERAGE('Weekly Analysis'!AZ28:BA28)</f>
        <v>74.408142857142863</v>
      </c>
      <c r="AD25" s="247">
        <f>AVERAGE('Weekly Analysis'!BB28:BC28)</f>
        <v>0</v>
      </c>
      <c r="AE25" s="247">
        <f>AVERAGE('Weekly Analysis'!BD28:BE28)</f>
        <v>4.7886428571428574</v>
      </c>
      <c r="AF25" s="245">
        <f>AVERAGE('Weekly Analysis'!BF28:BG28)</f>
        <v>30.205285714285719</v>
      </c>
      <c r="AG25" s="246">
        <f>AVERAGE('Weekly Analysis'!BH28:BI28)</f>
        <v>30.942000000000004</v>
      </c>
      <c r="AH25" s="246">
        <f>AVERAGE('Weekly Analysis'!BJ28:BK28)</f>
        <v>386.1976009852217</v>
      </c>
      <c r="AI25" s="247">
        <f>AVERAGE('Weekly Analysis'!BL28:BM28)</f>
        <v>1232.7364990147785</v>
      </c>
      <c r="AJ25" s="269">
        <f>AVERAGE('Weekly Analysis'!BN28:BO28)</f>
        <v>683.30237931034492</v>
      </c>
      <c r="AK25" s="246">
        <f>AVERAGE('Weekly Analysis'!BP28:BQ28)</f>
        <v>1020.9719423645322</v>
      </c>
      <c r="AL25" s="247">
        <f>AVERAGE('Weekly Analysis'!BR28:BS28)</f>
        <v>1888.4523995073896</v>
      </c>
      <c r="AM25" s="247">
        <f>AVERAGE('Weekly Analysis'!BT28:BU28)</f>
        <v>617.09241330049269</v>
      </c>
      <c r="AN25" s="245">
        <f>AVERAGE('Weekly Analysis'!BV28:BW28)</f>
        <v>348.26381034482756</v>
      </c>
      <c r="AO25" s="247">
        <f>AVERAGE('Weekly Analysis'!BX28:BY28)</f>
        <v>176.90643842364534</v>
      </c>
      <c r="AP25" s="247">
        <f>AVERAGE('Weekly Analysis'!BZ28:CA28)</f>
        <v>0</v>
      </c>
      <c r="AQ25" s="247">
        <f>AVERAGE('Weekly Analysis'!CB28:CC28)</f>
        <v>10.682357142857144</v>
      </c>
      <c r="AR25" s="245">
        <f>AVERAGE('Weekly Analysis'!CD28:CE28)</f>
        <v>13.985682266009853</v>
      </c>
      <c r="AS25" s="246">
        <f>AVERAGE('Weekly Analysis'!CF28:CG28)</f>
        <v>145.01954778325126</v>
      </c>
      <c r="AT25" s="246">
        <f>AVERAGE('Weekly Analysis'!CH28:CI28)</f>
        <v>288.46713251231529</v>
      </c>
      <c r="AU25" s="246">
        <f>AVERAGE('Weekly Analysis'!CJ28:CK28)</f>
        <v>1470.0439315270937</v>
      </c>
      <c r="AV25" s="246">
        <f>AVERAGE('Weekly Analysis'!CL28:CM28)</f>
        <v>1098.6028729064042</v>
      </c>
      <c r="AW25" s="246">
        <f>AVERAGE('Weekly Analysis'!CN28:CO28)</f>
        <v>1659.6568103448276</v>
      </c>
      <c r="AX25" s="246">
        <f t="shared" si="2"/>
        <v>51.069767909320092</v>
      </c>
      <c r="AY25" s="247">
        <f t="shared" si="1"/>
        <v>62.556554345766386</v>
      </c>
      <c r="AZ25" s="244"/>
      <c r="BA25" s="311"/>
      <c r="BB25" s="70"/>
      <c r="BC25" s="232"/>
      <c r="BD25" s="233"/>
    </row>
    <row r="26" spans="2:56" ht="24" customHeight="1">
      <c r="B26" s="189" t="s">
        <v>48</v>
      </c>
      <c r="C26" s="606">
        <f t="shared" si="0"/>
        <v>650.28941358024701</v>
      </c>
      <c r="D26" s="269">
        <f>AVERAGE('Weekly Analysis'!B13:C13)</f>
        <v>1988.5016666666668</v>
      </c>
      <c r="E26" s="269">
        <f>AVERAGE('Weekly Analysis'!D13:E13)</f>
        <v>403.0418518518519</v>
      </c>
      <c r="F26" s="269">
        <f>AVERAGE('Weekly Analysis'!F13:G13)</f>
        <v>1187.2738888888889</v>
      </c>
      <c r="G26" s="269">
        <f>AVERAGE('Weekly Analysis'!H13:I13)</f>
        <v>1075.5875925925925</v>
      </c>
      <c r="H26" s="269">
        <f>AVERAGE('Weekly Analysis'!J13:K13)</f>
        <v>1046.4520370370371</v>
      </c>
      <c r="I26" s="269">
        <f>AVERAGE('Weekly Analysis'!L13:M13)</f>
        <v>157.8175925925926</v>
      </c>
      <c r="J26" s="269">
        <f>AVERAGE('Weekly Analysis'!N13:O13)</f>
        <v>342.34277777777777</v>
      </c>
      <c r="K26" s="269">
        <f>AVERAGE('Weekly Analysis'!P13:Q13)</f>
        <v>735.67277777777781</v>
      </c>
      <c r="L26" s="245">
        <f>AVERAGE('Weekly Analysis'!R13:S13)</f>
        <v>203.94888888888889</v>
      </c>
      <c r="M26" s="247">
        <f>AVERAGE('Weekly Analysis'!T13:U13)</f>
        <v>0</v>
      </c>
      <c r="N26" s="269">
        <f>AVERAGE('Weekly Analysis'!V13:W13)</f>
        <v>0</v>
      </c>
      <c r="O26" s="269">
        <f>AVERAGE('Weekly Analysis'!X13:Y13)</f>
        <v>662.83388888888896</v>
      </c>
      <c r="P26" s="269">
        <f>AVERAGE('Weekly Analysis'!Z13:AA13)</f>
        <v>823.07944444444456</v>
      </c>
      <c r="Q26" s="269">
        <f>AVERAGE('Weekly Analysis'!AB13:AC13)</f>
        <v>471.02481481481482</v>
      </c>
      <c r="R26" s="269">
        <f>AVERAGE('Weekly Analysis'!AD13:AE13)</f>
        <v>963.90129629629632</v>
      </c>
      <c r="S26" s="269">
        <f>AVERAGE('Weekly Analysis'!AF13:AG13)</f>
        <v>254.93611111111113</v>
      </c>
      <c r="T26" s="269">
        <f>AVERAGE('Weekly Analysis'!AH13:AI13)</f>
        <v>2670.7592592592591</v>
      </c>
      <c r="U26" s="269">
        <f>AVERAGE('Weekly Analysis'!AJ13:AK13)</f>
        <v>4353.337592592593</v>
      </c>
      <c r="V26" s="269">
        <f>AVERAGE('Weekly Analysis'!AL13:AM13)</f>
        <v>1468.9175925925927</v>
      </c>
      <c r="W26" s="269">
        <f>AVERAGE('Weekly Analysis'!AN13:AO13)</f>
        <v>0</v>
      </c>
      <c r="X26" s="269">
        <f>AVERAGE('Weekly Analysis'!AP13:AQ13)</f>
        <v>0</v>
      </c>
      <c r="Y26" s="269">
        <f>AVERAGE('Weekly Analysis'!AR13:AS13)</f>
        <v>0</v>
      </c>
      <c r="Z26" s="269">
        <f>AVERAGE('Weekly Analysis'!AT13:AU13)</f>
        <v>0</v>
      </c>
      <c r="AA26" s="269">
        <f>AVERAGE('Weekly Analysis'!AV13:AW13)</f>
        <v>0</v>
      </c>
      <c r="AB26" s="245">
        <f>AVERAGE('Weekly Analysis'!AX13:AY13)</f>
        <v>475.88074074074075</v>
      </c>
      <c r="AC26" s="247">
        <f>AVERAGE('Weekly Analysis'!AZ13:BA13)</f>
        <v>1206.6975925925926</v>
      </c>
      <c r="AD26" s="246">
        <f>AVERAGE('Weekly Analysis'!BB13:BC13)</f>
        <v>1187.2738888888889</v>
      </c>
      <c r="AE26" s="247">
        <f>AVERAGE('Weekly Analysis'!BD13:BE13)</f>
        <v>1830.684074074074</v>
      </c>
      <c r="AF26" s="269">
        <f>AVERAGE('Weekly Analysis'!BF13:BG13)</f>
        <v>1721.4257407407408</v>
      </c>
      <c r="AG26" s="247">
        <f>AVERAGE('Weekly Analysis'!BH13:BI13)</f>
        <v>971.18518518518522</v>
      </c>
      <c r="AH26" s="247">
        <f>AVERAGE('Weekly Analysis'!BJ13:BK13)</f>
        <v>1580.6038888888891</v>
      </c>
      <c r="AI26" s="247">
        <f>AVERAGE('Weekly Analysis'!BL13:BM13)</f>
        <v>2680.4711111111114</v>
      </c>
      <c r="AJ26" s="245">
        <f>AVERAGE('Weekly Analysis'!BN13:BO13)</f>
        <v>847.3590740740741</v>
      </c>
      <c r="AK26" s="247">
        <f>AVERAGE('Weekly Analysis'!BP13:BQ13)</f>
        <v>2403.6833333333334</v>
      </c>
      <c r="AL26" s="247">
        <f>AVERAGE('Weekly Analysis'!BR13:BS13)</f>
        <v>602.13481481481483</v>
      </c>
      <c r="AM26" s="247">
        <f>AVERAGE('Weekly Analysis'!BT13:BU13)</f>
        <v>3076.2290740740741</v>
      </c>
      <c r="AN26" s="269">
        <f>AVERAGE('Weekly Analysis'!BV13:BW13)</f>
        <v>1799.1205555555557</v>
      </c>
      <c r="AO26" s="246">
        <f>AVERAGE('Weekly Analysis'!BX13:BY13)</f>
        <v>556.0035185185186</v>
      </c>
      <c r="AP26" s="246">
        <f>AVERAGE('Weekly Analysis'!BZ13:CA13)</f>
        <v>1403.3625925925926</v>
      </c>
      <c r="AQ26" s="247">
        <f>AVERAGE('Weekly Analysis'!CB13:CC13)</f>
        <v>2425.5350000000003</v>
      </c>
      <c r="AR26" s="246">
        <f>AVERAGE('Weekly Analysis'!CD13:CE13)</f>
        <v>2457.0985185185186</v>
      </c>
      <c r="AS26" s="246">
        <f>AVERAGE('Weekly Analysis'!CF13:CG13)</f>
        <v>2228.87</v>
      </c>
      <c r="AT26" s="246">
        <f>AVERAGE('Weekly Analysis'!CH13:CI13)</f>
        <v>2401.2553703703707</v>
      </c>
      <c r="AU26" s="246">
        <f>AVERAGE('Weekly Analysis'!CJ13:CK13)</f>
        <v>3076.2290740740746</v>
      </c>
      <c r="AV26" s="246">
        <f>AVERAGE('Weekly Analysis'!CL13:CM13)</f>
        <v>1553.8962962962964</v>
      </c>
      <c r="AW26" s="246">
        <f>AVERAGE('Weekly Analysis'!CN13:CO13)</f>
        <v>976.04111111111115</v>
      </c>
      <c r="AX26" s="246">
        <f t="shared" si="2"/>
        <v>-37.187500000000007</v>
      </c>
      <c r="AY26" s="247">
        <f t="shared" si="1"/>
        <v>-59.393939393939391</v>
      </c>
      <c r="AZ26" s="244"/>
      <c r="BA26" s="311"/>
      <c r="BB26" s="233"/>
      <c r="BC26" s="233"/>
      <c r="BD26" s="233"/>
    </row>
    <row r="27" spans="2:56" ht="22.5" customHeight="1">
      <c r="B27" s="248" t="s">
        <v>49</v>
      </c>
      <c r="C27" s="607">
        <f t="shared" si="0"/>
        <v>309.44554761904766</v>
      </c>
      <c r="D27" s="603">
        <f>AVERAGE('Weekly Analysis'!B18:C18)</f>
        <v>316.56578571428577</v>
      </c>
      <c r="E27" s="603">
        <f>AVERAGE('Weekly Analysis'!D18:E18)</f>
        <v>156.3604285714286</v>
      </c>
      <c r="F27" s="603">
        <f>AVERAGE('Weekly Analysis'!F18:G18)</f>
        <v>47.848000000000006</v>
      </c>
      <c r="G27" s="603">
        <f>AVERAGE('Weekly Analysis'!H18:I18)</f>
        <v>77.325785714285729</v>
      </c>
      <c r="H27" s="603">
        <f>AVERAGE('Weekly Analysis'!J18:K18)</f>
        <v>91.851071428571444</v>
      </c>
      <c r="I27" s="603">
        <f>AVERAGE('Weekly Analysis'!L18:M18)</f>
        <v>454.98321428571433</v>
      </c>
      <c r="J27" s="603">
        <f>AVERAGE('Weekly Analysis'!N18:O18)</f>
        <v>267.86335714285718</v>
      </c>
      <c r="K27" s="603">
        <f>AVERAGE('Weekly Analysis'!P18:Q18)</f>
        <v>1101.7856428571431</v>
      </c>
      <c r="L27" s="249">
        <f>AVERAGE('Weekly Analysis'!R18:S18)</f>
        <v>576.31207142857147</v>
      </c>
      <c r="M27" s="251">
        <f>AVERAGE('Weekly Analysis'!T18:U18)</f>
        <v>0</v>
      </c>
      <c r="N27" s="603">
        <f>AVERAGE('Weekly Analysis'!V18:W18)</f>
        <v>0</v>
      </c>
      <c r="O27" s="603">
        <f>AVERAGE('Weekly Analysis'!X18:Y18)</f>
        <v>622.4512142857144</v>
      </c>
      <c r="P27" s="603">
        <f>AVERAGE('Weekly Analysis'!Z18:AA18)</f>
        <v>1101.7856428571431</v>
      </c>
      <c r="Q27" s="603">
        <f>AVERAGE('Weekly Analysis'!AB18:AC18)</f>
        <v>65.363785714285726</v>
      </c>
      <c r="R27" s="603">
        <f>AVERAGE('Weekly Analysis'!AD18:AE18)</f>
        <v>86.297285714285721</v>
      </c>
      <c r="S27" s="603">
        <f>AVERAGE('Weekly Analysis'!AF18:AG18)</f>
        <v>193.52807142857145</v>
      </c>
      <c r="T27" s="603">
        <f>AVERAGE('Weekly Analysis'!AH18:AI18)</f>
        <v>158.06928571428574</v>
      </c>
      <c r="U27" s="603">
        <f>AVERAGE('Weekly Analysis'!AJ18:AK18)</f>
        <v>325.53728571428576</v>
      </c>
      <c r="V27" s="603">
        <f>AVERAGE('Weekly Analysis'!AL18:AM18)</f>
        <v>142.68957142857144</v>
      </c>
      <c r="W27" s="603">
        <f>AVERAGE('Weekly Analysis'!AN18:AO18)</f>
        <v>0</v>
      </c>
      <c r="X27" s="603">
        <f>AVERAGE('Weekly Analysis'!AP18:AQ18)</f>
        <v>0</v>
      </c>
      <c r="Y27" s="603">
        <f>AVERAGE('Weekly Analysis'!AR18:AS18)</f>
        <v>0</v>
      </c>
      <c r="Z27" s="603">
        <f>AVERAGE('Weekly Analysis'!AT18:AU18)</f>
        <v>0</v>
      </c>
      <c r="AA27" s="603">
        <f>AVERAGE('Weekly Analysis'!AV18:AW18)</f>
        <v>0</v>
      </c>
      <c r="AB27" s="249">
        <f>AVERAGE('Weekly Analysis'!AX18:AY18)</f>
        <v>946.27964285714302</v>
      </c>
      <c r="AC27" s="250">
        <f>AVERAGE('Weekly Analysis'!AZ18:BA18)</f>
        <v>434.90414285714292</v>
      </c>
      <c r="AD27" s="250">
        <f>AVERAGE('Weekly Analysis'!BB18:BC18)</f>
        <v>47.848000000000006</v>
      </c>
      <c r="AE27" s="251">
        <f>AVERAGE('Weekly Analysis'!BD18:BE18)</f>
        <v>304.17657142857149</v>
      </c>
      <c r="AF27" s="249">
        <f>AVERAGE('Weekly Analysis'!BF18:BG18)</f>
        <v>948.41571428571433</v>
      </c>
      <c r="AG27" s="250">
        <f>AVERAGE('Weekly Analysis'!BH18:BI18)</f>
        <v>495.56857142857149</v>
      </c>
      <c r="AH27" s="250">
        <f>AVERAGE('Weekly Analysis'!BJ18:BK18)</f>
        <v>1081.2793571428574</v>
      </c>
      <c r="AI27" s="251">
        <f>AVERAGE('Weekly Analysis'!BL18:BM18)</f>
        <v>883.90635714285736</v>
      </c>
      <c r="AJ27" s="249">
        <f>AVERAGE('Weekly Analysis'!BN18:BO18)</f>
        <v>660.90050000000008</v>
      </c>
      <c r="AK27" s="250">
        <f>AVERAGE('Weekly Analysis'!BP18:BQ18)</f>
        <v>155.07878571428574</v>
      </c>
      <c r="AL27" s="251">
        <f>AVERAGE('Weekly Analysis'!BR18:BS18)</f>
        <v>128.16428571428574</v>
      </c>
      <c r="AM27" s="251">
        <f>AVERAGE('Weekly Analysis'!BT18:BU18)</f>
        <v>1236.3581428571429</v>
      </c>
      <c r="AN27" s="249">
        <f>AVERAGE('Weekly Analysis'!BV18:BW18)</f>
        <v>404.99914285714294</v>
      </c>
      <c r="AO27" s="250">
        <f>AVERAGE('Weekly Analysis'!BX18:BY18)</f>
        <v>156.3604285714286</v>
      </c>
      <c r="AP27" s="250">
        <f>AVERAGE('Weekly Analysis'!BZ18:CA18)</f>
        <v>709.60292857142872</v>
      </c>
      <c r="AQ27" s="251">
        <f>AVERAGE('Weekly Analysis'!CB18:CC18)</f>
        <v>305.45821428571435</v>
      </c>
      <c r="AR27" s="250">
        <f>AVERAGE('Weekly Analysis'!CD18:CE18)</f>
        <v>553.66971428571435</v>
      </c>
      <c r="AS27" s="250">
        <f>AVERAGE('Weekly Analysis'!CF18:CG18)</f>
        <v>727.97314285714288</v>
      </c>
      <c r="AT27" s="250">
        <f>AVERAGE('Weekly Analysis'!CH18:CI18)</f>
        <v>1026.1687142857145</v>
      </c>
      <c r="AU27" s="250">
        <f>AVERAGE('Weekly Analysis'!CJ18:CK18)</f>
        <v>1498.2405000000003</v>
      </c>
      <c r="AV27" s="250">
        <f>AVERAGE('Weekly Analysis'!CL18:CM18)</f>
        <v>1765.2494285714288</v>
      </c>
      <c r="AW27" s="250">
        <f>AVERAGE('Weekly Analysis'!CN18:CO18)</f>
        <v>552.92499999999995</v>
      </c>
      <c r="AX27" s="250">
        <f t="shared" si="2"/>
        <v>-68.677231044483719</v>
      </c>
      <c r="AY27" s="251">
        <f t="shared" si="1"/>
        <v>256.54457665067008</v>
      </c>
      <c r="AZ27" s="244"/>
      <c r="BA27" s="311"/>
      <c r="BB27" s="233"/>
      <c r="BC27" s="233"/>
      <c r="BD27" s="233"/>
    </row>
    <row r="28" spans="2:56" ht="20.25" customHeight="1">
      <c r="B28" s="619"/>
      <c r="C28" s="245"/>
      <c r="D28" s="245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5"/>
      <c r="Z28" s="245"/>
      <c r="AA28" s="245"/>
      <c r="AB28" s="245"/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510"/>
      <c r="AP28" s="245"/>
      <c r="AQ28" s="245"/>
      <c r="AR28" s="245"/>
      <c r="AS28" s="245"/>
      <c r="AT28" s="245"/>
      <c r="AU28" s="245"/>
      <c r="AV28" s="245"/>
      <c r="AW28" s="245"/>
      <c r="AX28" s="245"/>
      <c r="AY28" s="313"/>
      <c r="AZ28" s="233"/>
      <c r="BA28" s="311"/>
      <c r="BB28" s="233"/>
      <c r="BC28" s="233"/>
      <c r="BD28" s="233"/>
    </row>
    <row r="29" spans="2:56" ht="18.5">
      <c r="B29" s="620" t="s">
        <v>162</v>
      </c>
      <c r="C29" s="234"/>
      <c r="D29" s="252"/>
      <c r="E29" s="234"/>
      <c r="F29" s="234"/>
      <c r="G29" s="234"/>
      <c r="H29" s="234"/>
      <c r="I29" s="234"/>
      <c r="J29" s="234"/>
      <c r="K29" s="234"/>
      <c r="L29" s="234"/>
      <c r="M29" s="234"/>
      <c r="N29" s="234"/>
      <c r="O29" s="234"/>
      <c r="P29" s="252"/>
      <c r="Q29" s="234"/>
      <c r="R29" s="234"/>
      <c r="S29" s="234"/>
      <c r="T29" s="234"/>
      <c r="U29" s="234"/>
      <c r="V29" s="234"/>
      <c r="W29" s="234"/>
      <c r="X29" s="234"/>
      <c r="Y29" s="234"/>
      <c r="Z29" s="234"/>
      <c r="AA29" s="234"/>
      <c r="AB29" s="252"/>
      <c r="AC29" s="234"/>
      <c r="AD29" s="234"/>
      <c r="AE29" s="234"/>
      <c r="AF29" s="234"/>
      <c r="AG29" s="234"/>
      <c r="AH29" s="234"/>
      <c r="AI29" s="234"/>
      <c r="AJ29" s="234"/>
      <c r="AK29" s="234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3"/>
      <c r="AZ29" s="233"/>
      <c r="BA29" s="311"/>
      <c r="BB29" s="233"/>
      <c r="BC29" s="233"/>
      <c r="BD29" s="233"/>
    </row>
    <row r="30" spans="2:56">
      <c r="B30" s="621"/>
      <c r="C30" s="234"/>
      <c r="D30" s="234"/>
      <c r="E30" s="234"/>
      <c r="F30" s="234"/>
      <c r="G30" s="234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  <c r="AA30" s="234"/>
      <c r="AB30" s="234"/>
      <c r="AC30" s="234"/>
      <c r="AD30" s="234"/>
      <c r="AE30" s="234"/>
      <c r="AF30" s="234"/>
      <c r="AG30" s="234"/>
      <c r="AH30" s="234"/>
      <c r="AI30" s="234"/>
      <c r="AJ30" s="234"/>
      <c r="AK30" s="234"/>
      <c r="AL30" s="234"/>
      <c r="AM30" s="234"/>
      <c r="AN30" s="234"/>
      <c r="AO30" s="234"/>
      <c r="AP30" s="234"/>
      <c r="AQ30" s="234"/>
      <c r="AR30" s="234"/>
      <c r="AS30" s="234"/>
      <c r="AT30" s="234"/>
      <c r="AU30" s="234"/>
      <c r="AV30" s="234"/>
      <c r="AW30" s="234"/>
      <c r="AX30" s="234"/>
      <c r="AY30" s="233"/>
      <c r="AZ30" s="233"/>
      <c r="BA30" s="311"/>
      <c r="BB30" s="233"/>
      <c r="BC30" s="233"/>
      <c r="BD30" s="233"/>
    </row>
    <row r="31" spans="2:56" ht="21">
      <c r="B31" s="238" t="s">
        <v>56</v>
      </c>
      <c r="C31" s="515" t="s">
        <v>213</v>
      </c>
      <c r="D31" s="238" t="s">
        <v>312</v>
      </c>
      <c r="E31" s="238" t="s">
        <v>313</v>
      </c>
      <c r="F31" s="238" t="s">
        <v>314</v>
      </c>
      <c r="G31" s="238" t="s">
        <v>315</v>
      </c>
      <c r="H31" s="238" t="s">
        <v>316</v>
      </c>
      <c r="I31" s="238" t="s">
        <v>317</v>
      </c>
      <c r="J31" s="238" t="s">
        <v>318</v>
      </c>
      <c r="K31" s="238" t="s">
        <v>319</v>
      </c>
      <c r="L31" s="238" t="s">
        <v>320</v>
      </c>
      <c r="M31" s="238" t="s">
        <v>321</v>
      </c>
      <c r="N31" s="238" t="s">
        <v>322</v>
      </c>
      <c r="O31" s="238" t="s">
        <v>323</v>
      </c>
      <c r="P31" s="238" t="s">
        <v>300</v>
      </c>
      <c r="Q31" s="238" t="s">
        <v>301</v>
      </c>
      <c r="R31" s="238" t="s">
        <v>302</v>
      </c>
      <c r="S31" s="238" t="s">
        <v>303</v>
      </c>
      <c r="T31" s="238" t="s">
        <v>304</v>
      </c>
      <c r="U31" s="238" t="s">
        <v>305</v>
      </c>
      <c r="V31" s="238" t="s">
        <v>306</v>
      </c>
      <c r="W31" s="238" t="s">
        <v>307</v>
      </c>
      <c r="X31" s="238" t="s">
        <v>308</v>
      </c>
      <c r="Y31" s="238" t="s">
        <v>309</v>
      </c>
      <c r="Z31" s="238" t="s">
        <v>310</v>
      </c>
      <c r="AA31" s="238" t="s">
        <v>311</v>
      </c>
      <c r="AB31" s="238" t="s">
        <v>166</v>
      </c>
      <c r="AC31" s="238" t="s">
        <v>167</v>
      </c>
      <c r="AD31" s="238" t="s">
        <v>168</v>
      </c>
      <c r="AE31" s="238" t="s">
        <v>169</v>
      </c>
      <c r="AF31" s="238" t="s">
        <v>170</v>
      </c>
      <c r="AG31" s="238" t="s">
        <v>171</v>
      </c>
      <c r="AH31" s="238" t="s">
        <v>172</v>
      </c>
      <c r="AI31" s="238" t="s">
        <v>173</v>
      </c>
      <c r="AJ31" s="238" t="s">
        <v>174</v>
      </c>
      <c r="AK31" s="238" t="s">
        <v>175</v>
      </c>
      <c r="AL31" s="238" t="s">
        <v>176</v>
      </c>
      <c r="AM31" s="238" t="s">
        <v>177</v>
      </c>
      <c r="AN31" s="238" t="s">
        <v>178</v>
      </c>
      <c r="AO31" s="238" t="s">
        <v>179</v>
      </c>
      <c r="AP31" s="238" t="s">
        <v>180</v>
      </c>
      <c r="AQ31" s="238" t="s">
        <v>181</v>
      </c>
      <c r="AR31" s="238" t="s">
        <v>183</v>
      </c>
      <c r="AS31" s="238" t="s">
        <v>334</v>
      </c>
      <c r="AT31" s="238" t="s">
        <v>335</v>
      </c>
      <c r="AU31" s="238" t="s">
        <v>336</v>
      </c>
      <c r="AV31" s="238" t="s">
        <v>337</v>
      </c>
      <c r="AW31" s="238" t="s">
        <v>338</v>
      </c>
      <c r="AX31" s="647" t="s">
        <v>160</v>
      </c>
      <c r="AY31" s="647" t="s">
        <v>341</v>
      </c>
      <c r="AZ31" s="253"/>
      <c r="BA31" s="308"/>
      <c r="BB31" s="254"/>
      <c r="BC31" s="254"/>
      <c r="BD31" s="254"/>
    </row>
    <row r="32" spans="2:56" ht="25.5" customHeight="1">
      <c r="B32" s="186" t="s">
        <v>9</v>
      </c>
      <c r="C32" s="517">
        <f t="shared" ref="C32:C51" si="3">AVERAGE(D32:O32)</f>
        <v>123.85666666666664</v>
      </c>
      <c r="D32" s="604">
        <f>ROUND(AVERAGE('Weekly Analysis'!B7*'Weekly Analysis'!B34+'Weekly Analysis'!C7*'Weekly Analysis'!C34)/('Weekly Analysis'!B7+'Weekly Analysis'!C7),2)</f>
        <v>243.66</v>
      </c>
      <c r="E32" s="604">
        <f>ROUND(AVERAGE('Weekly Analysis'!D7*'Weekly Analysis'!D34+'Weekly Analysis'!E7*'Weekly Analysis'!E34)/('Weekly Analysis'!D7+'Weekly Analysis'!E7),2)</f>
        <v>172.77</v>
      </c>
      <c r="F32" s="604">
        <f>ROUND(AVERAGE('Weekly Analysis'!F7*'Weekly Analysis'!F34+'Weekly Analysis'!G7*'Weekly Analysis'!G34)/('Weekly Analysis'!F7+'Weekly Analysis'!G7),2)</f>
        <v>119.81</v>
      </c>
      <c r="G32" s="604">
        <f>ROUND(AVERAGE('Weekly Analysis'!H7*'Weekly Analysis'!H34+'Weekly Analysis'!I7*'Weekly Analysis'!I34)/('Weekly Analysis'!H7+'Weekly Analysis'!I7),2)</f>
        <v>241.87</v>
      </c>
      <c r="H32" s="604">
        <f>ROUND(AVERAGE('Weekly Analysis'!J7*'Weekly Analysis'!J34+'Weekly Analysis'!K7*'Weekly Analysis'!K34)/('Weekly Analysis'!J7+'Weekly Analysis'!K7),2)</f>
        <v>144.51</v>
      </c>
      <c r="I32" s="604">
        <f>ROUND(AVERAGE('Weekly Analysis'!L7*'Weekly Analysis'!L34+'Weekly Analysis'!M7*'Weekly Analysis'!M34)/('Weekly Analysis'!L7+'Weekly Analysis'!M7),2)</f>
        <v>120.45</v>
      </c>
      <c r="J32" s="604">
        <f>ROUND(AVERAGE('Weekly Analysis'!N7*'Weekly Analysis'!N34+'Weekly Analysis'!O7*'Weekly Analysis'!O34)/('Weekly Analysis'!N7+'Weekly Analysis'!O7),2)</f>
        <v>111.36</v>
      </c>
      <c r="K32" s="604">
        <f>ROUND(AVERAGE('Weekly Analysis'!P7*'Weekly Analysis'!P34+'Weekly Analysis'!Q7*'Weekly Analysis'!Q34)/('Weekly Analysis'!P7+'Weekly Analysis'!Q7),2)</f>
        <v>112.75</v>
      </c>
      <c r="L32" s="604">
        <f>ROUND(AVERAGE('Weekly Analysis'!R7*'Weekly Analysis'!R34+'Weekly Analysis'!S7*'Weekly Analysis'!S34)/('Weekly Analysis'!R7+'Weekly Analysis'!S7),2)</f>
        <v>88.81</v>
      </c>
      <c r="M32" s="604">
        <v>0</v>
      </c>
      <c r="N32" s="604">
        <v>0</v>
      </c>
      <c r="O32" s="604">
        <f>ROUND(AVERAGE('Weekly Analysis'!X7*'Weekly Analysis'!X34+'Weekly Analysis'!Y7*'Weekly Analysis'!Y34)/('Weekly Analysis'!X7+'Weekly Analysis'!Y7),2)</f>
        <v>130.29</v>
      </c>
      <c r="P32" s="604">
        <f>ROUND(AVERAGE('Weekly Analysis'!Z7*'Weekly Analysis'!Z34+'Weekly Analysis'!AA7*'Weekly Analysis'!AA34)/('Weekly Analysis'!Z7+'Weekly Analysis'!AA7),2)</f>
        <v>95.4</v>
      </c>
      <c r="Q32" s="604">
        <f>ROUND(AVERAGE('Weekly Analysis'!AB7*'Weekly Analysis'!AB34+'Weekly Analysis'!AC7*'Weekly Analysis'!AC34)/('Weekly Analysis'!AB7+'Weekly Analysis'!AC7),2)</f>
        <v>179.99</v>
      </c>
      <c r="R32" s="604">
        <f>ROUND(AVERAGE('Weekly Analysis'!AD7*'Weekly Analysis'!AD34+'Weekly Analysis'!AE7*'Weekly Analysis'!AE34)/('Weekly Analysis'!AD7+'Weekly Analysis'!AE7),2)</f>
        <v>171.84</v>
      </c>
      <c r="S32" s="604">
        <f>ROUND(AVERAGE('Weekly Analysis'!AF7*'Weekly Analysis'!AF34+'Weekly Analysis'!AG7*'Weekly Analysis'!AG34)/('Weekly Analysis'!AF7+'Weekly Analysis'!AG7),2)</f>
        <v>152.63999999999999</v>
      </c>
      <c r="T32" s="604">
        <f>ROUND(AVERAGE('Weekly Analysis'!AH7*'Weekly Analysis'!AH34+'Weekly Analysis'!AI7*'Weekly Analysis'!AI34)/('Weekly Analysis'!AH7+'Weekly Analysis'!AI7),2)</f>
        <v>118.13</v>
      </c>
      <c r="U32" s="604">
        <f>ROUND(AVERAGE('Weekly Analysis'!AJ7*'Weekly Analysis'!AJ34+'Weekly Analysis'!AK7*'Weekly Analysis'!AK34)/('Weekly Analysis'!AJ7+'Weekly Analysis'!AK7),2)</f>
        <v>87.43</v>
      </c>
      <c r="V32" s="604">
        <f>ROUND(AVERAGE('Weekly Analysis'!AL7*'Weekly Analysis'!AL34+'Weekly Analysis'!AM7*'Weekly Analysis'!AM34)/('Weekly Analysis'!AL7+'Weekly Analysis'!AM7),2)</f>
        <v>104</v>
      </c>
      <c r="W32" s="604">
        <v>0</v>
      </c>
      <c r="X32" s="604">
        <v>0</v>
      </c>
      <c r="Y32" s="604">
        <v>0</v>
      </c>
      <c r="Z32" s="604">
        <v>0</v>
      </c>
      <c r="AA32" s="604">
        <v>0</v>
      </c>
      <c r="AB32" s="604">
        <f>ROUND(AVERAGE('Weekly Analysis'!AX7*'Weekly Analysis'!AX34+'Weekly Analysis'!AY7*'Weekly Analysis'!AY34)/('Weekly Analysis'!AX7+'Weekly Analysis'!AY7),2)</f>
        <v>80.989999999999995</v>
      </c>
      <c r="AC32" s="604">
        <f>ROUND(AVERAGE('Weekly Analysis'!AZ7*'Weekly Analysis'!AZ34+'Weekly Analysis'!BA7*'Weekly Analysis'!BA34)/('Weekly Analysis'!AZ7+'Weekly Analysis'!BA7),2)</f>
        <v>179.99</v>
      </c>
      <c r="AD32" s="243">
        <f>ROUND(AVERAGE('Weekly Analysis'!BB7*'Weekly Analysis'!BB34+'Weekly Analysis'!BC7*'Weekly Analysis'!BC34)/('Weekly Analysis'!BB7+'Weekly Analysis'!BC7),2)</f>
        <v>116.98</v>
      </c>
      <c r="AE32" s="243">
        <f>ROUND(AVERAGE('Weekly Analysis'!BD7*'Weekly Analysis'!BD34+'Weekly Analysis'!BE7*'Weekly Analysis'!BE34)/('Weekly Analysis'!BD7+'Weekly Analysis'!BE7),2)</f>
        <v>170.07</v>
      </c>
      <c r="AF32" s="243">
        <f>ROUND(AVERAGE('Weekly Analysis'!BF7*'Weekly Analysis'!BF34+'Weekly Analysis'!BG7*'Weekly Analysis'!BG34)/('Weekly Analysis'!BF7+'Weekly Analysis'!BG7),2)</f>
        <v>128.26</v>
      </c>
      <c r="AG32" s="243">
        <f>ROUND(AVERAGE('Weekly Analysis'!BH7*'Weekly Analysis'!BH34+'Weekly Analysis'!BI7*'Weekly Analysis'!BI34)/('Weekly Analysis'!BH7+'Weekly Analysis'!BI7),2)</f>
        <v>131.25</v>
      </c>
      <c r="AH32" s="243">
        <f>ROUND(AVERAGE('Weekly Analysis'!BJ7*'Weekly Analysis'!BJ34+'Weekly Analysis'!BK7*'Weekly Analysis'!BK34)/('Weekly Analysis'!BJ7+'Weekly Analysis'!BK7),2)</f>
        <v>126.35</v>
      </c>
      <c r="AI32" s="243">
        <f>ROUND(AVERAGE('Weekly Analysis'!BL7*'Weekly Analysis'!BL34+'Weekly Analysis'!BM7*'Weekly Analysis'!BM34)/('Weekly Analysis'!BL7+'Weekly Analysis'!BM7),2)</f>
        <v>112.1</v>
      </c>
      <c r="AJ32" s="243">
        <f>ROUND(AVERAGE('Weekly Analysis'!BN7*'Weekly Analysis'!BN34+'Weekly Analysis'!BO7*'Weekly Analysis'!BO34)/('Weekly Analysis'!BN7+'Weekly Analysis'!BO7),2)</f>
        <v>127.58</v>
      </c>
      <c r="AK32" s="243">
        <f>ROUND(AVERAGE('Weekly Analysis'!BP7*'Weekly Analysis'!BP34+'Weekly Analysis'!BQ7*'Weekly Analysis'!BQ34)/('Weekly Analysis'!BP7+'Weekly Analysis'!BQ7),2)</f>
        <v>134.71</v>
      </c>
      <c r="AL32" s="243">
        <f>ROUND(AVERAGE('Weekly Analysis'!BR7*'Weekly Analysis'!BR34+'Weekly Analysis'!BS7*'Weekly Analysis'!BS34)/('Weekly Analysis'!BR7+'Weekly Analysis'!BS7),2)</f>
        <v>112.67</v>
      </c>
      <c r="AM32" s="243">
        <f>ROUND(AVERAGE('Weekly Analysis'!BT7*'Weekly Analysis'!BT34+'Weekly Analysis'!BU7*'Weekly Analysis'!BU34)/('Weekly Analysis'!BT7+'Weekly Analysis'!BU7),2)</f>
        <v>98.2</v>
      </c>
      <c r="AN32" s="243">
        <f>ROUND(AVERAGE('Weekly Analysis'!BV7*'Weekly Analysis'!BV34+'Weekly Analysis'!BW7*'Weekly Analysis'!BW34)/('Weekly Analysis'!BV7+'Weekly Analysis'!BW7),2)</f>
        <v>243.66</v>
      </c>
      <c r="AO32" s="243">
        <f>ROUND(AVERAGE('Weekly Analysis'!BX7*'Weekly Analysis'!BX34+'Weekly Analysis'!BY7*'Weekly Analysis'!BY34)/('Weekly Analysis'!BX7+'Weekly Analysis'!BY7),2)</f>
        <v>172.77</v>
      </c>
      <c r="AP32" s="243">
        <f>ROUND(AVERAGE('Weekly Analysis'!BZ7*'Weekly Analysis'!BZ34+'Weekly Analysis'!CA7*'Weekly Analysis'!CA34)/('Weekly Analysis'!BZ7+'Weekly Analysis'!CA7),2)</f>
        <v>145.37</v>
      </c>
      <c r="AQ32" s="243">
        <f>ROUND(AVERAGE('Weekly Analysis'!CB7*'Weekly Analysis'!CB34+'Weekly Analysis'!CC7*'Weekly Analysis'!CC34)/('Weekly Analysis'!CB7+'Weekly Analysis'!CC7),2)</f>
        <v>171.8</v>
      </c>
      <c r="AR32" s="242">
        <f>ROUND(AVERAGE('Weekly Analysis'!CD7*'Weekly Analysis'!CD34+'Weekly Analysis'!CE7*'Weekly Analysis'!CE34)/('Weekly Analysis'!CD7+'Weekly Analysis'!CE7),2)</f>
        <v>156.29</v>
      </c>
      <c r="AS32" s="242">
        <f>ROUND(AVERAGE('Weekly Analysis'!CF7*'Weekly Analysis'!CF34+'Weekly Analysis'!CG7*'Weekly Analysis'!CG34)/('Weekly Analysis'!CF7+'Weekly Analysis'!CG7),2)</f>
        <v>163.88</v>
      </c>
      <c r="AT32" s="242">
        <f>ROUND(AVERAGE('Weekly Analysis'!CH7*'Weekly Analysis'!CH34+'Weekly Analysis'!CI7*'Weekly Analysis'!CI34)/('Weekly Analysis'!CH7+'Weekly Analysis'!CI7),2)</f>
        <v>141.85</v>
      </c>
      <c r="AU32" s="242">
        <f>ROUND(AVERAGE('Weekly Analysis'!CJ7*'Weekly Analysis'!CJ34+'Weekly Analysis'!CK7*'Weekly Analysis'!CK34)/('Weekly Analysis'!CJ7+'Weekly Analysis'!CK7),2)</f>
        <v>114.86</v>
      </c>
      <c r="AV32" s="243">
        <f>ROUND(AVERAGE('Weekly Analysis'!CL7*'Weekly Analysis'!CL34+'Weekly Analysis'!CM7*'Weekly Analysis'!CM34)/('Weekly Analysis'!CL7+'Weekly Analysis'!CM7),2)</f>
        <v>127.84</v>
      </c>
      <c r="AW32" s="241">
        <f>ROUND(AVERAGE('Weekly Analysis'!CN7*'Weekly Analysis'!CN34+'Weekly Analysis'!CO7*'Weekly Analysis'!CO34)/('Weekly Analysis'!CN7+'Weekly Analysis'!CO7),2)</f>
        <v>132.83000000000001</v>
      </c>
      <c r="AX32" s="242">
        <f>AW32/AV32*100-100</f>
        <v>3.9033166458072799</v>
      </c>
      <c r="AY32" s="243">
        <f>AW32/AK32*100-100</f>
        <v>-1.395590527800465</v>
      </c>
      <c r="AZ32" s="244"/>
      <c r="BA32" s="311"/>
      <c r="BB32" s="622"/>
      <c r="BC32" s="233"/>
      <c r="BD32" s="233"/>
    </row>
    <row r="33" spans="2:56" ht="25.5" customHeight="1">
      <c r="B33" s="189" t="s">
        <v>12</v>
      </c>
      <c r="C33" s="518">
        <f t="shared" si="3"/>
        <v>144.45249999999999</v>
      </c>
      <c r="D33" s="269">
        <f>ROUND(AVERAGE('Weekly Analysis'!B8*'Weekly Analysis'!B35+'Weekly Analysis'!C8*'Weekly Analysis'!C35)/('Weekly Analysis'!B8+'Weekly Analysis'!C8),2)</f>
        <v>141.88999999999999</v>
      </c>
      <c r="E33" s="269">
        <f>ROUND(AVERAGE('Weekly Analysis'!D8*'Weekly Analysis'!D35+'Weekly Analysis'!E8*'Weekly Analysis'!E35)/('Weekly Analysis'!D8+'Weekly Analysis'!E8),2)</f>
        <v>192.31</v>
      </c>
      <c r="F33" s="269">
        <f>ROUND(AVERAGE('Weekly Analysis'!F8*'Weekly Analysis'!F35+'Weekly Analysis'!G8*'Weekly Analysis'!G35)/('Weekly Analysis'!F8+'Weekly Analysis'!G8),2)</f>
        <v>122.77</v>
      </c>
      <c r="G33" s="269">
        <f>ROUND(AVERAGE('Weekly Analysis'!H8*'Weekly Analysis'!H35+'Weekly Analysis'!I8*'Weekly Analysis'!I35)/('Weekly Analysis'!H8+'Weekly Analysis'!I8),2)</f>
        <v>188.3</v>
      </c>
      <c r="H33" s="269">
        <f>ROUND(AVERAGE('Weekly Analysis'!J8*'Weekly Analysis'!J35+'Weekly Analysis'!K8*'Weekly Analysis'!K35)/('Weekly Analysis'!J8+'Weekly Analysis'!K8),2)</f>
        <v>139.47</v>
      </c>
      <c r="I33" s="269">
        <f>ROUND(AVERAGE('Weekly Analysis'!L8*'Weekly Analysis'!L35+'Weekly Analysis'!M8*'Weekly Analysis'!M35)/('Weekly Analysis'!L8+'Weekly Analysis'!M8),2)</f>
        <v>161.75</v>
      </c>
      <c r="J33" s="269">
        <f>ROUND(AVERAGE('Weekly Analysis'!N8*'Weekly Analysis'!N35+'Weekly Analysis'!O8*'Weekly Analysis'!O35)/('Weekly Analysis'!N8+'Weekly Analysis'!O8),2)</f>
        <v>216.82</v>
      </c>
      <c r="K33" s="269">
        <f>ROUND(AVERAGE('Weekly Analysis'!P8*'Weekly Analysis'!P35+'Weekly Analysis'!Q8*'Weekly Analysis'!Q35)/('Weekly Analysis'!P8+'Weekly Analysis'!Q8),2)</f>
        <v>227.15</v>
      </c>
      <c r="L33" s="269">
        <f>ROUND(AVERAGE('Weekly Analysis'!R8*'Weekly Analysis'!R35+'Weekly Analysis'!S8*'Weekly Analysis'!S35)/('Weekly Analysis'!R8+'Weekly Analysis'!S8),2)</f>
        <v>136.63999999999999</v>
      </c>
      <c r="M33" s="269">
        <v>0</v>
      </c>
      <c r="N33" s="269">
        <v>0</v>
      </c>
      <c r="O33" s="269">
        <f>ROUND(AVERAGE('Weekly Analysis'!X8*'Weekly Analysis'!X35+'Weekly Analysis'!Y8*'Weekly Analysis'!Y35)/('Weekly Analysis'!X8+'Weekly Analysis'!Y8),2)</f>
        <v>206.33</v>
      </c>
      <c r="P33" s="269">
        <f>ROUND(AVERAGE('Weekly Analysis'!Z8*'Weekly Analysis'!Z35+'Weekly Analysis'!AA8*'Weekly Analysis'!AA35)/('Weekly Analysis'!Z8+'Weekly Analysis'!AA8),2)</f>
        <v>227.18</v>
      </c>
      <c r="Q33" s="269">
        <f>ROUND(AVERAGE('Weekly Analysis'!AB8*'Weekly Analysis'!AB35+'Weekly Analysis'!AC8*'Weekly Analysis'!AC35)/('Weekly Analysis'!AB8+'Weekly Analysis'!AC8),2)</f>
        <v>187.32</v>
      </c>
      <c r="R33" s="269">
        <f>ROUND(AVERAGE('Weekly Analysis'!AD8*'Weekly Analysis'!AD35+'Weekly Analysis'!AE8*'Weekly Analysis'!AE35)/('Weekly Analysis'!AD8+'Weekly Analysis'!AE8),2)</f>
        <v>128.55000000000001</v>
      </c>
      <c r="S33" s="269">
        <f>ROUND(AVERAGE('Weekly Analysis'!AF8*'Weekly Analysis'!AF35+'Weekly Analysis'!AG8*'Weekly Analysis'!AG35)/('Weekly Analysis'!AF8+'Weekly Analysis'!AG8),2)</f>
        <v>127.59</v>
      </c>
      <c r="T33" s="269">
        <f>ROUND(AVERAGE('Weekly Analysis'!AH8*'Weekly Analysis'!AH35+'Weekly Analysis'!AI8*'Weekly Analysis'!AI35)/('Weekly Analysis'!AH8+'Weekly Analysis'!AI8),2)</f>
        <v>218.56</v>
      </c>
      <c r="U33" s="269">
        <f>ROUND(AVERAGE('Weekly Analysis'!AJ8*'Weekly Analysis'!AJ35+'Weekly Analysis'!AK8*'Weekly Analysis'!AK35)/('Weekly Analysis'!AJ8+'Weekly Analysis'!AK8),2)</f>
        <v>93.93</v>
      </c>
      <c r="V33" s="269">
        <f>ROUND(AVERAGE('Weekly Analysis'!AL8*'Weekly Analysis'!AL35+'Weekly Analysis'!AM8*'Weekly Analysis'!AM35)/('Weekly Analysis'!AL8+'Weekly Analysis'!AM8),2)</f>
        <v>137.85</v>
      </c>
      <c r="W33" s="269">
        <v>0</v>
      </c>
      <c r="X33" s="269">
        <v>0</v>
      </c>
      <c r="Y33" s="269">
        <v>0</v>
      </c>
      <c r="Z33" s="269">
        <v>0</v>
      </c>
      <c r="AA33" s="269">
        <v>0</v>
      </c>
      <c r="AB33" s="269">
        <f>ROUND(AVERAGE('Weekly Analysis'!AX8*'Weekly Analysis'!AX35+'Weekly Analysis'!AY8*'Weekly Analysis'!AY35)/('Weekly Analysis'!AX8+'Weekly Analysis'!AY8),2)</f>
        <v>234.85</v>
      </c>
      <c r="AC33" s="269">
        <f>ROUND(AVERAGE('Weekly Analysis'!AZ8*'Weekly Analysis'!AZ35+'Weekly Analysis'!BA8*'Weekly Analysis'!BA35)/('Weekly Analysis'!AZ8+'Weekly Analysis'!BA8),2)</f>
        <v>149.5</v>
      </c>
      <c r="AD33" s="247">
        <f>ROUND(AVERAGE('Weekly Analysis'!BB8*'Weekly Analysis'!BB35+'Weekly Analysis'!BC8*'Weekly Analysis'!BC35)/('Weekly Analysis'!BB8+'Weekly Analysis'!BC8),2)</f>
        <v>122.77</v>
      </c>
      <c r="AE33" s="247">
        <f>ROUND(AVERAGE('Weekly Analysis'!BD8*'Weekly Analysis'!BD35+'Weekly Analysis'!BE8*'Weekly Analysis'!BE35)/('Weekly Analysis'!BD8+'Weekly Analysis'!BE8),2)</f>
        <v>86.91</v>
      </c>
      <c r="AF33" s="247">
        <f>ROUND(AVERAGE('Weekly Analysis'!BF8*'Weekly Analysis'!BF35+'Weekly Analysis'!BG8*'Weekly Analysis'!BG35)/('Weekly Analysis'!BF8+'Weekly Analysis'!BG8),2)</f>
        <v>160.74</v>
      </c>
      <c r="AG33" s="247">
        <f>ROUND(AVERAGE('Weekly Analysis'!BH8*'Weekly Analysis'!BH35+'Weekly Analysis'!BI8*'Weekly Analysis'!BI35)/('Weekly Analysis'!BH8+'Weekly Analysis'!BI8),2)</f>
        <v>122.06</v>
      </c>
      <c r="AH33" s="247">
        <f>ROUND(AVERAGE('Weekly Analysis'!BJ8*'Weekly Analysis'!BJ35+'Weekly Analysis'!BK8*'Weekly Analysis'!BK35)/('Weekly Analysis'!BJ8+'Weekly Analysis'!BK8),2)</f>
        <v>168.04</v>
      </c>
      <c r="AI33" s="247">
        <f>ROUND(AVERAGE('Weekly Analysis'!BL8*'Weekly Analysis'!BL35+'Weekly Analysis'!BM8*'Weekly Analysis'!BM35)/('Weekly Analysis'!BL8+'Weekly Analysis'!BM8),2)</f>
        <v>145.05000000000001</v>
      </c>
      <c r="AJ33" s="247">
        <f>ROUND(AVERAGE('Weekly Analysis'!BN8*'Weekly Analysis'!BN35+'Weekly Analysis'!BO8*'Weekly Analysis'!BO35)/('Weekly Analysis'!BN8+'Weekly Analysis'!BO8),2)</f>
        <v>178.19</v>
      </c>
      <c r="AK33" s="247">
        <f>ROUND(AVERAGE('Weekly Analysis'!BP8*'Weekly Analysis'!BP35+'Weekly Analysis'!BQ8*'Weekly Analysis'!BQ35)/('Weekly Analysis'!BP8+'Weekly Analysis'!BQ8),2)</f>
        <v>145.47999999999999</v>
      </c>
      <c r="AL33" s="247">
        <f>ROUND(AVERAGE('Weekly Analysis'!BR8*'Weekly Analysis'!BR35+'Weekly Analysis'!BS8*'Weekly Analysis'!BS35)/('Weekly Analysis'!BR8+'Weekly Analysis'!BS8),2)</f>
        <v>149.28</v>
      </c>
      <c r="AM33" s="247">
        <f>ROUND(AVERAGE('Weekly Analysis'!BT8*'Weekly Analysis'!BT35+'Weekly Analysis'!BU8*'Weekly Analysis'!BU35)/('Weekly Analysis'!BT8+'Weekly Analysis'!BU8),2)</f>
        <v>174.56</v>
      </c>
      <c r="AN33" s="247">
        <f>ROUND(AVERAGE('Weekly Analysis'!BV8*'Weekly Analysis'!BV35+'Weekly Analysis'!BW8*'Weekly Analysis'!BW35)/('Weekly Analysis'!BV8+'Weekly Analysis'!BW8),2)</f>
        <v>141.96</v>
      </c>
      <c r="AO33" s="247">
        <f>ROUND(AVERAGE('Weekly Analysis'!BX8*'Weekly Analysis'!BX35+'Weekly Analysis'!BY8*'Weekly Analysis'!BY35)/('Weekly Analysis'!BX8+'Weekly Analysis'!BY8),2)</f>
        <v>192.31</v>
      </c>
      <c r="AP33" s="247">
        <f>ROUND(AVERAGE('Weekly Analysis'!BZ8*'Weekly Analysis'!BZ35+'Weekly Analysis'!CA8*'Weekly Analysis'!CA35)/('Weekly Analysis'!BZ8+'Weekly Analysis'!CA8),2)</f>
        <v>212.78</v>
      </c>
      <c r="AQ33" s="247">
        <f>ROUND(AVERAGE('Weekly Analysis'!CB8*'Weekly Analysis'!CB35+'Weekly Analysis'!CC8*'Weekly Analysis'!CC35)/('Weekly Analysis'!CB8+'Weekly Analysis'!CC8),2)</f>
        <v>141.47999999999999</v>
      </c>
      <c r="AR33" s="246">
        <f>ROUND(AVERAGE('Weekly Analysis'!CD8*'Weekly Analysis'!CD35+'Weekly Analysis'!CE8*'Weekly Analysis'!CE35)/('Weekly Analysis'!CD8+'Weekly Analysis'!CE8),2)</f>
        <v>216.74</v>
      </c>
      <c r="AS33" s="246">
        <f>ROUND(AVERAGE('Weekly Analysis'!CF8*'Weekly Analysis'!CF35+'Weekly Analysis'!CG8*'Weekly Analysis'!CG35)/('Weekly Analysis'!CF8+'Weekly Analysis'!CG8),2)</f>
        <v>196</v>
      </c>
      <c r="AT33" s="246">
        <f>ROUND(AVERAGE('Weekly Analysis'!CH8*'Weekly Analysis'!CH35+'Weekly Analysis'!CI8*'Weekly Analysis'!CI35)/('Weekly Analysis'!CH8+'Weekly Analysis'!CI8),2)</f>
        <v>130.54</v>
      </c>
      <c r="AU33" s="246">
        <f>ROUND(AVERAGE('Weekly Analysis'!CJ8*'Weekly Analysis'!CJ35+'Weekly Analysis'!CK8*'Weekly Analysis'!CK35)/('Weekly Analysis'!CJ8+'Weekly Analysis'!CK8),2)</f>
        <v>220.26</v>
      </c>
      <c r="AV33" s="247">
        <f>ROUND(AVERAGE('Weekly Analysis'!CL8*'Weekly Analysis'!CL35+'Weekly Analysis'!CM8*'Weekly Analysis'!CM35)/('Weekly Analysis'!CL8+'Weekly Analysis'!CM8),2)</f>
        <v>161.13999999999999</v>
      </c>
      <c r="AW33" s="245">
        <f>ROUND(AVERAGE('Weekly Analysis'!CN8*'Weekly Analysis'!CN35+'Weekly Analysis'!CO8*'Weekly Analysis'!CO35)/('Weekly Analysis'!CN8+'Weekly Analysis'!CO8),2)</f>
        <v>187.43</v>
      </c>
      <c r="AX33" s="246">
        <f t="shared" ref="AX33:AX51" si="4">AW33/AV33*100-100</f>
        <v>16.315005585205427</v>
      </c>
      <c r="AY33" s="247">
        <f t="shared" ref="AY33:AY51" si="5">AW33/AK33*100-100</f>
        <v>28.835578773714616</v>
      </c>
      <c r="AZ33" s="244"/>
      <c r="BA33" s="311"/>
      <c r="BB33" s="622"/>
      <c r="BC33" s="233"/>
      <c r="BD33" s="233"/>
    </row>
    <row r="34" spans="2:56" ht="25.5" customHeight="1">
      <c r="B34" s="189" t="s">
        <v>15</v>
      </c>
      <c r="C34" s="518">
        <f t="shared" si="3"/>
        <v>44.576666666666675</v>
      </c>
      <c r="D34" s="269">
        <f>ROUND(AVERAGE('Weekly Analysis'!B9*'Weekly Analysis'!B36+'Weekly Analysis'!C9*'Weekly Analysis'!C36)/('Weekly Analysis'!B9+'Weekly Analysis'!C9),2)</f>
        <v>59.56</v>
      </c>
      <c r="E34" s="269">
        <f>ROUND(AVERAGE('Weekly Analysis'!D9*'Weekly Analysis'!D36+'Weekly Analysis'!E9*'Weekly Analysis'!E36)/('Weekly Analysis'!D9+'Weekly Analysis'!E9),2)</f>
        <v>46.18</v>
      </c>
      <c r="F34" s="269">
        <f>ROUND(AVERAGE('Weekly Analysis'!F9*'Weekly Analysis'!F36+'Weekly Analysis'!G9*'Weekly Analysis'!G36)/('Weekly Analysis'!F9+'Weekly Analysis'!G9),2)</f>
        <v>68.06</v>
      </c>
      <c r="G34" s="269">
        <f>ROUND(AVERAGE('Weekly Analysis'!H9*'Weekly Analysis'!H36+'Weekly Analysis'!I9*'Weekly Analysis'!I36)/('Weekly Analysis'!H9+'Weekly Analysis'!I9),2)</f>
        <v>59.44</v>
      </c>
      <c r="H34" s="269">
        <f>ROUND(AVERAGE('Weekly Analysis'!J9*'Weekly Analysis'!J36+'Weekly Analysis'!K9*'Weekly Analysis'!K36)/('Weekly Analysis'!J9+'Weekly Analysis'!K9),2)</f>
        <v>77.349999999999994</v>
      </c>
      <c r="I34" s="269">
        <f>ROUND(AVERAGE('Weekly Analysis'!L9*'Weekly Analysis'!L36+'Weekly Analysis'!M9*'Weekly Analysis'!M36)/('Weekly Analysis'!L9+'Weekly Analysis'!M9),2)</f>
        <v>45.05</v>
      </c>
      <c r="J34" s="269">
        <f>ROUND(AVERAGE('Weekly Analysis'!N9*'Weekly Analysis'!N36+'Weekly Analysis'!O9*'Weekly Analysis'!O36)/('Weekly Analysis'!N9+'Weekly Analysis'!O9),2)</f>
        <v>46.4</v>
      </c>
      <c r="K34" s="269">
        <f>ROUND(AVERAGE('Weekly Analysis'!P9*'Weekly Analysis'!P36+'Weekly Analysis'!Q9*'Weekly Analysis'!Q36)/('Weekly Analysis'!P9+'Weekly Analysis'!Q9),2)</f>
        <v>42.73</v>
      </c>
      <c r="L34" s="269">
        <f>ROUND(AVERAGE('Weekly Analysis'!R9*'Weekly Analysis'!R36+'Weekly Analysis'!S9*'Weekly Analysis'!S36)/('Weekly Analysis'!R9+'Weekly Analysis'!S9),2)</f>
        <v>32.54</v>
      </c>
      <c r="M34" s="269">
        <v>0</v>
      </c>
      <c r="N34" s="269">
        <v>0</v>
      </c>
      <c r="O34" s="269">
        <f>ROUND(AVERAGE('Weekly Analysis'!X9*'Weekly Analysis'!X36+'Weekly Analysis'!Y9*'Weekly Analysis'!Y36)/('Weekly Analysis'!X9+'Weekly Analysis'!Y9),2)</f>
        <v>57.61</v>
      </c>
      <c r="P34" s="269">
        <f>ROUND(AVERAGE('Weekly Analysis'!Z9*'Weekly Analysis'!Z36+'Weekly Analysis'!AA9*'Weekly Analysis'!AA36)/('Weekly Analysis'!Z9+'Weekly Analysis'!AA9),2)</f>
        <v>47.68</v>
      </c>
      <c r="Q34" s="269">
        <f>ROUND(AVERAGE('Weekly Analysis'!AB9*'Weekly Analysis'!AB36+'Weekly Analysis'!AC9*'Weekly Analysis'!AC36)/('Weekly Analysis'!AB9+'Weekly Analysis'!AC9),2)</f>
        <v>43.57</v>
      </c>
      <c r="R34" s="269">
        <f>ROUND(AVERAGE('Weekly Analysis'!AD9*'Weekly Analysis'!AD36+'Weekly Analysis'!AE9*'Weekly Analysis'!AE36)/('Weekly Analysis'!AD9+'Weekly Analysis'!AE9),2)</f>
        <v>37.049999999999997</v>
      </c>
      <c r="S34" s="269">
        <f>ROUND(AVERAGE('Weekly Analysis'!AF9*'Weekly Analysis'!AF36+'Weekly Analysis'!AG9*'Weekly Analysis'!AG36)/('Weekly Analysis'!AF9+'Weekly Analysis'!AG9),2)</f>
        <v>34.700000000000003</v>
      </c>
      <c r="T34" s="269">
        <f>ROUND(AVERAGE('Weekly Analysis'!AH9*'Weekly Analysis'!AH36+'Weekly Analysis'!AI9*'Weekly Analysis'!AI36)/('Weekly Analysis'!AH9+'Weekly Analysis'!AI9),2)</f>
        <v>47.35</v>
      </c>
      <c r="U34" s="269">
        <f>ROUND(AVERAGE('Weekly Analysis'!AJ9*'Weekly Analysis'!AJ36+'Weekly Analysis'!AK9*'Weekly Analysis'!AK36)/('Weekly Analysis'!AJ9+'Weekly Analysis'!AK9),2)</f>
        <v>38.42</v>
      </c>
      <c r="V34" s="269">
        <f>ROUND(AVERAGE('Weekly Analysis'!AL9*'Weekly Analysis'!AL36+'Weekly Analysis'!AM9*'Weekly Analysis'!AM36)/('Weekly Analysis'!AL9+'Weekly Analysis'!AM9),2)</f>
        <v>51.69</v>
      </c>
      <c r="W34" s="269">
        <v>0</v>
      </c>
      <c r="X34" s="269">
        <v>0</v>
      </c>
      <c r="Y34" s="269">
        <v>0</v>
      </c>
      <c r="Z34" s="269">
        <v>0</v>
      </c>
      <c r="AA34" s="269">
        <v>0</v>
      </c>
      <c r="AB34" s="269">
        <f>ROUND(AVERAGE('Weekly Analysis'!AX9*'Weekly Analysis'!AX36+'Weekly Analysis'!AY9*'Weekly Analysis'!AY36)/('Weekly Analysis'!AX9+'Weekly Analysis'!AY9),2)</f>
        <v>48.88</v>
      </c>
      <c r="AC34" s="269">
        <f>ROUND(AVERAGE('Weekly Analysis'!AZ9*'Weekly Analysis'!AZ36+'Weekly Analysis'!BA9*'Weekly Analysis'!BA36)/('Weekly Analysis'!AZ9+'Weekly Analysis'!BA9),2)</f>
        <v>44.67</v>
      </c>
      <c r="AD34" s="247">
        <f>ROUND(AVERAGE('Weekly Analysis'!BB9*'Weekly Analysis'!BB36+'Weekly Analysis'!BC9*'Weekly Analysis'!BC36)/('Weekly Analysis'!BB9+'Weekly Analysis'!BC9),2)</f>
        <v>64.67</v>
      </c>
      <c r="AE34" s="247">
        <f>ROUND(AVERAGE('Weekly Analysis'!BD9*'Weekly Analysis'!BD36+'Weekly Analysis'!BE9*'Weekly Analysis'!BE36)/('Weekly Analysis'!BD9+'Weekly Analysis'!BE9),2)</f>
        <v>56.25</v>
      </c>
      <c r="AF34" s="247">
        <f>ROUND(AVERAGE('Weekly Analysis'!BF9*'Weekly Analysis'!BF36+'Weekly Analysis'!BG9*'Weekly Analysis'!BG36)/('Weekly Analysis'!BF9+'Weekly Analysis'!BG9),2)</f>
        <v>44.55</v>
      </c>
      <c r="AG34" s="247">
        <f>ROUND(AVERAGE('Weekly Analysis'!BH9*'Weekly Analysis'!BH36+'Weekly Analysis'!BI9*'Weekly Analysis'!BI36)/('Weekly Analysis'!BH9+'Weekly Analysis'!BI9),2)</f>
        <v>56.22</v>
      </c>
      <c r="AH34" s="247">
        <f>ROUND(AVERAGE('Weekly Analysis'!BJ9*'Weekly Analysis'!BJ36+'Weekly Analysis'!BK9*'Weekly Analysis'!BK36)/('Weekly Analysis'!BJ9+'Weekly Analysis'!BK9),2)</f>
        <v>50.37</v>
      </c>
      <c r="AI34" s="247">
        <f>ROUND(AVERAGE('Weekly Analysis'!BL9*'Weekly Analysis'!BL36+'Weekly Analysis'!BM9*'Weekly Analysis'!BM36)/('Weekly Analysis'!BL9+'Weekly Analysis'!BM9),2)</f>
        <v>46.8</v>
      </c>
      <c r="AJ34" s="247">
        <f>ROUND(AVERAGE('Weekly Analysis'!BN9*'Weekly Analysis'!BN36+'Weekly Analysis'!BO9*'Weekly Analysis'!BO36)/('Weekly Analysis'!BN9+'Weekly Analysis'!BO9),2)</f>
        <v>58.35</v>
      </c>
      <c r="AK34" s="247">
        <f>ROUND(AVERAGE('Weekly Analysis'!BP9*'Weekly Analysis'!BP36+'Weekly Analysis'!BQ9*'Weekly Analysis'!BQ36)/('Weekly Analysis'!BP9+'Weekly Analysis'!BQ9),2)</f>
        <v>64.73</v>
      </c>
      <c r="AL34" s="247">
        <f>ROUND(AVERAGE('Weekly Analysis'!BR9*'Weekly Analysis'!BR36+'Weekly Analysis'!BS9*'Weekly Analysis'!BS36)/('Weekly Analysis'!BR9+'Weekly Analysis'!BS9),2)</f>
        <v>58.06</v>
      </c>
      <c r="AM34" s="247">
        <f>ROUND(AVERAGE('Weekly Analysis'!BT9*'Weekly Analysis'!BT36+'Weekly Analysis'!BU9*'Weekly Analysis'!BU36)/('Weekly Analysis'!BT9+'Weekly Analysis'!BU9),2)</f>
        <v>33.479999999999997</v>
      </c>
      <c r="AN34" s="247">
        <f>ROUND(AVERAGE('Weekly Analysis'!BV9*'Weekly Analysis'!BV36+'Weekly Analysis'!BW9*'Weekly Analysis'!BW36)/('Weekly Analysis'!BV9+'Weekly Analysis'!BW9),2)</f>
        <v>57.8</v>
      </c>
      <c r="AO34" s="247">
        <f>ROUND(AVERAGE('Weekly Analysis'!BX9*'Weekly Analysis'!BX36+'Weekly Analysis'!BY9*'Weekly Analysis'!BY36)/('Weekly Analysis'!BX9+'Weekly Analysis'!BY9),2)</f>
        <v>46.18</v>
      </c>
      <c r="AP34" s="247">
        <f>ROUND(AVERAGE('Weekly Analysis'!BZ9*'Weekly Analysis'!BZ36+'Weekly Analysis'!CA9*'Weekly Analysis'!CA36)/('Weekly Analysis'!BZ9+'Weekly Analysis'!CA9),2)</f>
        <v>72</v>
      </c>
      <c r="AQ34" s="247">
        <f>ROUND(AVERAGE('Weekly Analysis'!CB9*'Weekly Analysis'!CB36+'Weekly Analysis'!CC9*'Weekly Analysis'!CC36)/('Weekly Analysis'!CB9+'Weekly Analysis'!CC9),2)</f>
        <v>51.78</v>
      </c>
      <c r="AR34" s="246">
        <f>ROUND(AVERAGE('Weekly Analysis'!CD9*'Weekly Analysis'!CD36+'Weekly Analysis'!CE9*'Weekly Analysis'!CE36)/('Weekly Analysis'!CD9+'Weekly Analysis'!CE9),2)</f>
        <v>54.29</v>
      </c>
      <c r="AS34" s="246">
        <f>ROUND(AVERAGE('Weekly Analysis'!CF9*'Weekly Analysis'!CF36+'Weekly Analysis'!CG9*'Weekly Analysis'!CG36)/('Weekly Analysis'!CF9+'Weekly Analysis'!CG9),2)</f>
        <v>61.53</v>
      </c>
      <c r="AT34" s="246">
        <f>ROUND(AVERAGE('Weekly Analysis'!CH9*'Weekly Analysis'!CH36+'Weekly Analysis'!CI9*'Weekly Analysis'!CI36)/('Weekly Analysis'!CH9+'Weekly Analysis'!CI9),2)</f>
        <v>51.55</v>
      </c>
      <c r="AU34" s="246">
        <f>ROUND(AVERAGE('Weekly Analysis'!CJ9*'Weekly Analysis'!CJ36+'Weekly Analysis'!CK9*'Weekly Analysis'!CK36)/('Weekly Analysis'!CJ9+'Weekly Analysis'!CK9),2)</f>
        <v>59.41</v>
      </c>
      <c r="AV34" s="247">
        <f>ROUND(AVERAGE('Weekly Analysis'!CL9*'Weekly Analysis'!CL36+'Weekly Analysis'!CM9*'Weekly Analysis'!CM36)/('Weekly Analysis'!CL9+'Weekly Analysis'!CM9),2)</f>
        <v>54.66</v>
      </c>
      <c r="AW34" s="245">
        <f>ROUND(AVERAGE('Weekly Analysis'!CN9*'Weekly Analysis'!CN36+'Weekly Analysis'!CO9*'Weekly Analysis'!CO36)/('Weekly Analysis'!CN9+'Weekly Analysis'!CO9),2)</f>
        <v>51.02</v>
      </c>
      <c r="AX34" s="246">
        <f t="shared" si="4"/>
        <v>-6.6593487010610914</v>
      </c>
      <c r="AY34" s="247">
        <f t="shared" si="5"/>
        <v>-21.180287347443226</v>
      </c>
      <c r="AZ34" s="244"/>
      <c r="BA34" s="311"/>
      <c r="BB34" s="622"/>
      <c r="BC34" s="233"/>
      <c r="BD34" s="233"/>
    </row>
    <row r="35" spans="2:56" ht="25.5" customHeight="1">
      <c r="B35" s="189" t="s">
        <v>19</v>
      </c>
      <c r="C35" s="518">
        <f t="shared" si="3"/>
        <v>64.069166666666675</v>
      </c>
      <c r="D35" s="269">
        <f>ROUND(AVERAGE('Weekly Analysis'!B10*'Weekly Analysis'!B37+'Weekly Analysis'!C10*'Weekly Analysis'!C37)/('Weekly Analysis'!B10+'Weekly Analysis'!C10),2)</f>
        <v>75.790000000000006</v>
      </c>
      <c r="E35" s="269">
        <f>ROUND(AVERAGE('Weekly Analysis'!D10*'Weekly Analysis'!D37+'Weekly Analysis'!E10*'Weekly Analysis'!E37)/('Weekly Analysis'!D10+'Weekly Analysis'!E10),2)</f>
        <v>65.459999999999994</v>
      </c>
      <c r="F35" s="269">
        <f>ROUND(AVERAGE('Weekly Analysis'!F10*'Weekly Analysis'!F37+'Weekly Analysis'!G10*'Weekly Analysis'!G37)/('Weekly Analysis'!F10+'Weekly Analysis'!G10),2)</f>
        <v>84.12</v>
      </c>
      <c r="G35" s="269">
        <f>ROUND(AVERAGE('Weekly Analysis'!H10*'Weekly Analysis'!H37+'Weekly Analysis'!I10*'Weekly Analysis'!I37)/('Weekly Analysis'!H10+'Weekly Analysis'!I10),2)</f>
        <v>83.61</v>
      </c>
      <c r="H35" s="269">
        <f>ROUND(AVERAGE('Weekly Analysis'!J10*'Weekly Analysis'!J37+'Weekly Analysis'!K10*'Weekly Analysis'!K37)/('Weekly Analysis'!J10+'Weekly Analysis'!K10),2)</f>
        <v>94.13</v>
      </c>
      <c r="I35" s="269">
        <f>ROUND(AVERAGE('Weekly Analysis'!L10*'Weekly Analysis'!L37+'Weekly Analysis'!M10*'Weekly Analysis'!M37)/('Weekly Analysis'!L10+'Weekly Analysis'!M10),2)</f>
        <v>89.32</v>
      </c>
      <c r="J35" s="269">
        <f>ROUND(AVERAGE('Weekly Analysis'!N10*'Weekly Analysis'!N37+'Weekly Analysis'!O10*'Weekly Analysis'!O37)/('Weekly Analysis'!N10+'Weekly Analysis'!O10),2)</f>
        <v>67.94</v>
      </c>
      <c r="K35" s="269">
        <f>ROUND(AVERAGE('Weekly Analysis'!P10*'Weekly Analysis'!P37+'Weekly Analysis'!Q10*'Weekly Analysis'!Q37)/('Weekly Analysis'!P10+'Weekly Analysis'!Q10),2)</f>
        <v>81.22</v>
      </c>
      <c r="L35" s="269">
        <f>ROUND(AVERAGE('Weekly Analysis'!R10*'Weekly Analysis'!R37+'Weekly Analysis'!S10*'Weekly Analysis'!S37)/('Weekly Analysis'!R10+'Weekly Analysis'!S10),2)</f>
        <v>73.86</v>
      </c>
      <c r="M35" s="269">
        <v>0</v>
      </c>
      <c r="N35" s="269">
        <v>0</v>
      </c>
      <c r="O35" s="269">
        <f>ROUND(AVERAGE('Weekly Analysis'!X10*'Weekly Analysis'!X37+'Weekly Analysis'!Y10*'Weekly Analysis'!Y37)/('Weekly Analysis'!X10+'Weekly Analysis'!Y10),2)</f>
        <v>53.38</v>
      </c>
      <c r="P35" s="269">
        <f>ROUND(AVERAGE('Weekly Analysis'!Z10*'Weekly Analysis'!Z37+'Weekly Analysis'!AA10*'Weekly Analysis'!AA37)/('Weekly Analysis'!Z10+'Weekly Analysis'!AA10),2)</f>
        <v>71.36</v>
      </c>
      <c r="Q35" s="269">
        <f>ROUND(AVERAGE('Weekly Analysis'!AB10*'Weekly Analysis'!AB37+'Weekly Analysis'!AC10*'Weekly Analysis'!AC37)/('Weekly Analysis'!AB10+'Weekly Analysis'!AC10),2)</f>
        <v>50.49</v>
      </c>
      <c r="R35" s="269">
        <f>ROUND(AVERAGE('Weekly Analysis'!AD10*'Weekly Analysis'!AD37+'Weekly Analysis'!AE10*'Weekly Analysis'!AE37)/('Weekly Analysis'!AD10+'Weekly Analysis'!AE10),2)</f>
        <v>57.32</v>
      </c>
      <c r="S35" s="269">
        <f>ROUND(AVERAGE('Weekly Analysis'!AF10*'Weekly Analysis'!AF37+'Weekly Analysis'!AG10*'Weekly Analysis'!AG37)/('Weekly Analysis'!AF10+'Weekly Analysis'!AG10),2)</f>
        <v>51.47</v>
      </c>
      <c r="T35" s="269">
        <f>ROUND(AVERAGE('Weekly Analysis'!AH10*'Weekly Analysis'!AH37+'Weekly Analysis'!AI10*'Weekly Analysis'!AI37)/('Weekly Analysis'!AH10+'Weekly Analysis'!AI10),2)</f>
        <v>71.760000000000005</v>
      </c>
      <c r="U35" s="269">
        <f>ROUND(AVERAGE('Weekly Analysis'!AJ10*'Weekly Analysis'!AJ37+'Weekly Analysis'!AK10*'Weekly Analysis'!AK37)/('Weekly Analysis'!AJ10+'Weekly Analysis'!AK10),2)</f>
        <v>79.239999999999995</v>
      </c>
      <c r="V35" s="269">
        <f>ROUND(AVERAGE('Weekly Analysis'!AL10*'Weekly Analysis'!AL37+'Weekly Analysis'!AM10*'Weekly Analysis'!AM37)/('Weekly Analysis'!AL10+'Weekly Analysis'!AM10),2)</f>
        <v>97.67</v>
      </c>
      <c r="W35" s="269">
        <v>0</v>
      </c>
      <c r="X35" s="269">
        <v>0</v>
      </c>
      <c r="Y35" s="269">
        <v>0</v>
      </c>
      <c r="Z35" s="269">
        <v>0</v>
      </c>
      <c r="AA35" s="269">
        <v>0</v>
      </c>
      <c r="AB35" s="269">
        <f>ROUND(AVERAGE('Weekly Analysis'!AX10*'Weekly Analysis'!AX37+'Weekly Analysis'!AY10*'Weekly Analysis'!AY37)/('Weekly Analysis'!AX10+'Weekly Analysis'!AY10),2)</f>
        <v>72.61</v>
      </c>
      <c r="AC35" s="269">
        <f>ROUND(AVERAGE('Weekly Analysis'!AZ10*'Weekly Analysis'!AZ37+'Weekly Analysis'!BA10*'Weekly Analysis'!BA37)/('Weekly Analysis'!AZ10+'Weekly Analysis'!BA10),2)</f>
        <v>90.85</v>
      </c>
      <c r="AD35" s="247">
        <f>ROUND(AVERAGE('Weekly Analysis'!BB10*'Weekly Analysis'!BB37+'Weekly Analysis'!BC10*'Weekly Analysis'!BC37)/('Weekly Analysis'!BB10+'Weekly Analysis'!BC10),2)</f>
        <v>84.12</v>
      </c>
      <c r="AE35" s="247">
        <f>ROUND(AVERAGE('Weekly Analysis'!BD10*'Weekly Analysis'!BD37+'Weekly Analysis'!BE10*'Weekly Analysis'!BE37)/('Weekly Analysis'!BD10+'Weekly Analysis'!BE10),2)</f>
        <v>53.93</v>
      </c>
      <c r="AF35" s="247">
        <f>ROUND(AVERAGE('Weekly Analysis'!BF10*'Weekly Analysis'!BF37+'Weekly Analysis'!BG10*'Weekly Analysis'!BG37)/('Weekly Analysis'!BF10+'Weekly Analysis'!BG10),2)</f>
        <v>73.5</v>
      </c>
      <c r="AG35" s="247">
        <f>ROUND(AVERAGE('Weekly Analysis'!BH10*'Weekly Analysis'!BH37+'Weekly Analysis'!BI10*'Weekly Analysis'!BI37)/('Weekly Analysis'!BH10+'Weekly Analysis'!BI10),2)</f>
        <v>97.61</v>
      </c>
      <c r="AH35" s="247">
        <f>ROUND(AVERAGE('Weekly Analysis'!BJ10*'Weekly Analysis'!BJ37+'Weekly Analysis'!BK10*'Weekly Analysis'!BK37)/('Weekly Analysis'!BJ10+'Weekly Analysis'!BK10),2)</f>
        <v>67.94</v>
      </c>
      <c r="AI35" s="247">
        <f>ROUND(AVERAGE('Weekly Analysis'!BL10*'Weekly Analysis'!BL37+'Weekly Analysis'!BM10*'Weekly Analysis'!BM37)/('Weekly Analysis'!BL10+'Weekly Analysis'!BM10),2)</f>
        <v>64</v>
      </c>
      <c r="AJ35" s="247">
        <f>ROUND(AVERAGE('Weekly Analysis'!BN10*'Weekly Analysis'!BN37+'Weekly Analysis'!BO10*'Weekly Analysis'!BO37)/('Weekly Analysis'!BN10+'Weekly Analysis'!BO10),2)</f>
        <v>67.88</v>
      </c>
      <c r="AK35" s="247">
        <f>ROUND(AVERAGE('Weekly Analysis'!BP10*'Weekly Analysis'!BP37+'Weekly Analysis'!BQ10*'Weekly Analysis'!BQ37)/('Weekly Analysis'!BP10+'Weekly Analysis'!BQ10),2)</f>
        <v>83.71</v>
      </c>
      <c r="AL35" s="247">
        <f>ROUND(AVERAGE('Weekly Analysis'!BR10*'Weekly Analysis'!BR37+'Weekly Analysis'!BS10*'Weekly Analysis'!BS37)/('Weekly Analysis'!BR10+'Weekly Analysis'!BS10),2)</f>
        <v>52.96</v>
      </c>
      <c r="AM35" s="247">
        <f>ROUND(AVERAGE('Weekly Analysis'!BT10*'Weekly Analysis'!BT37+'Weekly Analysis'!BU10*'Weekly Analysis'!BU37)/('Weekly Analysis'!BT10+'Weekly Analysis'!BU10),2)</f>
        <v>78.17</v>
      </c>
      <c r="AN35" s="247">
        <f>ROUND(AVERAGE('Weekly Analysis'!BV10*'Weekly Analysis'!BV37+'Weekly Analysis'!BW10*'Weekly Analysis'!BW37)/('Weekly Analysis'!BV10+'Weekly Analysis'!BW10),2)</f>
        <v>75.790000000000006</v>
      </c>
      <c r="AO35" s="247">
        <f>ROUND(AVERAGE('Weekly Analysis'!BX10*'Weekly Analysis'!BX37+'Weekly Analysis'!BY10*'Weekly Analysis'!BY37)/('Weekly Analysis'!BX10+'Weekly Analysis'!BY10),2)</f>
        <v>65.459999999999994</v>
      </c>
      <c r="AP35" s="247">
        <f>ROUND(AVERAGE('Weekly Analysis'!BZ10*'Weekly Analysis'!BZ37+'Weekly Analysis'!CA10*'Weekly Analysis'!CA37)/('Weekly Analysis'!BZ10+'Weekly Analysis'!CA10),2)</f>
        <v>62.92</v>
      </c>
      <c r="AQ35" s="247">
        <f>ROUND(AVERAGE('Weekly Analysis'!CB10*'Weekly Analysis'!CB37+'Weekly Analysis'!CC10*'Weekly Analysis'!CC37)/('Weekly Analysis'!CB10+'Weekly Analysis'!CC10),2)</f>
        <v>90.31</v>
      </c>
      <c r="AR35" s="246">
        <f>ROUND(AVERAGE('Weekly Analysis'!CD10*'Weekly Analysis'!CD37+'Weekly Analysis'!CE10*'Weekly Analysis'!CE37)/('Weekly Analysis'!CD10+'Weekly Analysis'!CE10),2)</f>
        <v>83.37</v>
      </c>
      <c r="AS35" s="246">
        <f>ROUND(AVERAGE('Weekly Analysis'!CF10*'Weekly Analysis'!CF37+'Weekly Analysis'!CG10*'Weekly Analysis'!CG37)/('Weekly Analysis'!CF10+'Weekly Analysis'!CG10),2)</f>
        <v>83.95</v>
      </c>
      <c r="AT35" s="246">
        <f>ROUND(AVERAGE('Weekly Analysis'!CH10*'Weekly Analysis'!CH37+'Weekly Analysis'!CI10*'Weekly Analysis'!CI37)/('Weekly Analysis'!CH10+'Weekly Analysis'!CI10),2)</f>
        <v>96.57</v>
      </c>
      <c r="AU35" s="246">
        <f>ROUND(AVERAGE('Weekly Analysis'!CJ10*'Weekly Analysis'!CJ37+'Weekly Analysis'!CK10*'Weekly Analysis'!CK37)/('Weekly Analysis'!CJ10+'Weekly Analysis'!CK10),2)</f>
        <v>102.07</v>
      </c>
      <c r="AV35" s="247">
        <f>ROUND(AVERAGE('Weekly Analysis'!CL10*'Weekly Analysis'!CL37+'Weekly Analysis'!CM10*'Weekly Analysis'!CM37)/('Weekly Analysis'!CL10+'Weekly Analysis'!CM10),2)</f>
        <v>105.45</v>
      </c>
      <c r="AW35" s="245">
        <f>ROUND(AVERAGE('Weekly Analysis'!CN10*'Weekly Analysis'!CN37+'Weekly Analysis'!CO10*'Weekly Analysis'!CO37)/('Weekly Analysis'!CN10+'Weekly Analysis'!CO10),2)</f>
        <v>84.69</v>
      </c>
      <c r="AX35" s="246">
        <f t="shared" si="4"/>
        <v>-19.687055476529167</v>
      </c>
      <c r="AY35" s="247">
        <f t="shared" si="5"/>
        <v>1.1707083980408584</v>
      </c>
      <c r="AZ35" s="244"/>
      <c r="BA35" s="311"/>
      <c r="BB35" s="622"/>
      <c r="BC35" s="233"/>
      <c r="BD35" s="233"/>
    </row>
    <row r="36" spans="2:56" ht="25.5" customHeight="1">
      <c r="B36" s="189" t="s">
        <v>22</v>
      </c>
      <c r="C36" s="518">
        <f t="shared" si="3"/>
        <v>179.86166666666668</v>
      </c>
      <c r="D36" s="269">
        <f>ROUND(AVERAGE('Weekly Analysis'!B11*'Weekly Analysis'!B38+'Weekly Analysis'!C11*'Weekly Analysis'!C38)/('Weekly Analysis'!B11+'Weekly Analysis'!C11),2)</f>
        <v>112.68</v>
      </c>
      <c r="E36" s="269">
        <f>ROUND(AVERAGE('Weekly Analysis'!D11*'Weekly Analysis'!D38+'Weekly Analysis'!E11*'Weekly Analysis'!E38)/('Weekly Analysis'!D11+'Weekly Analysis'!E11),2)</f>
        <v>112.68</v>
      </c>
      <c r="F36" s="269">
        <f>ROUND(AVERAGE('Weekly Analysis'!F11*'Weekly Analysis'!F38+'Weekly Analysis'!G11*'Weekly Analysis'!G38)/('Weekly Analysis'!F11+'Weekly Analysis'!G11),2)</f>
        <v>212.96</v>
      </c>
      <c r="G36" s="269">
        <f>ROUND(AVERAGE('Weekly Analysis'!H11*'Weekly Analysis'!H38+'Weekly Analysis'!I11*'Weekly Analysis'!I38)/('Weekly Analysis'!H11+'Weekly Analysis'!I11),2)</f>
        <v>269.81</v>
      </c>
      <c r="H36" s="269">
        <f>ROUND(AVERAGE('Weekly Analysis'!J11*'Weekly Analysis'!J38+'Weekly Analysis'!K11*'Weekly Analysis'!K38)/('Weekly Analysis'!J11+'Weekly Analysis'!K11),2)</f>
        <v>247.62</v>
      </c>
      <c r="I36" s="269">
        <f>ROUND(AVERAGE('Weekly Analysis'!L11*'Weekly Analysis'!L38+'Weekly Analysis'!M11*'Weekly Analysis'!M38)/('Weekly Analysis'!L11+'Weekly Analysis'!M11),2)</f>
        <v>236.79</v>
      </c>
      <c r="J36" s="269">
        <f>ROUND(AVERAGE('Weekly Analysis'!N11*'Weekly Analysis'!N38+'Weekly Analysis'!O11*'Weekly Analysis'!O38)/('Weekly Analysis'!N11+'Weekly Analysis'!O11),2)</f>
        <v>144.26</v>
      </c>
      <c r="K36" s="269">
        <f>ROUND(AVERAGE('Weekly Analysis'!P11*'Weekly Analysis'!P38+'Weekly Analysis'!Q11*'Weekly Analysis'!Q38)/('Weekly Analysis'!P11+'Weekly Analysis'!Q11),2)</f>
        <v>246.58</v>
      </c>
      <c r="L36" s="269">
        <f>ROUND(AVERAGE('Weekly Analysis'!R11*'Weekly Analysis'!R38+'Weekly Analysis'!S11*'Weekly Analysis'!S38)/('Weekly Analysis'!R11+'Weekly Analysis'!S11),2)</f>
        <v>334.41</v>
      </c>
      <c r="M36" s="269">
        <v>0</v>
      </c>
      <c r="N36" s="269">
        <v>0</v>
      </c>
      <c r="O36" s="269">
        <f>ROUND(AVERAGE('Weekly Analysis'!X11*'Weekly Analysis'!X38+'Weekly Analysis'!Y11*'Weekly Analysis'!Y38)/('Weekly Analysis'!X11+'Weekly Analysis'!Y11),2)</f>
        <v>240.55</v>
      </c>
      <c r="P36" s="269">
        <f>ROUND(AVERAGE('Weekly Analysis'!Z11*'Weekly Analysis'!Z38+'Weekly Analysis'!AA11*'Weekly Analysis'!AA38)/('Weekly Analysis'!Z11+'Weekly Analysis'!AA11),2)</f>
        <v>158.58000000000001</v>
      </c>
      <c r="Q36" s="269">
        <f>ROUND(AVERAGE('Weekly Analysis'!AB11*'Weekly Analysis'!AB38+'Weekly Analysis'!AC11*'Weekly Analysis'!AC38)/('Weekly Analysis'!AB11+'Weekly Analysis'!AC11),2)</f>
        <v>338.86</v>
      </c>
      <c r="R36" s="269">
        <f>ROUND(AVERAGE('Weekly Analysis'!AD11*'Weekly Analysis'!AD38+'Weekly Analysis'!AE11*'Weekly Analysis'!AE38)/('Weekly Analysis'!AD11+'Weekly Analysis'!AE11),2)</f>
        <v>221.85</v>
      </c>
      <c r="S36" s="269">
        <f>ROUND(AVERAGE('Weekly Analysis'!AF11*'Weekly Analysis'!AF38+'Weekly Analysis'!AG11*'Weekly Analysis'!AG38)/('Weekly Analysis'!AF11+'Weekly Analysis'!AG11),2)</f>
        <v>183.93</v>
      </c>
      <c r="T36" s="269">
        <f>ROUND(AVERAGE('Weekly Analysis'!AH11*'Weekly Analysis'!AH38+'Weekly Analysis'!AI11*'Weekly Analysis'!AI38)/('Weekly Analysis'!AH11+'Weekly Analysis'!AI11),2)</f>
        <v>158.58000000000001</v>
      </c>
      <c r="U36" s="269">
        <f>ROUND(AVERAGE('Weekly Analysis'!AJ11*'Weekly Analysis'!AJ38+'Weekly Analysis'!AK11*'Weekly Analysis'!AK38)/('Weekly Analysis'!AJ11+'Weekly Analysis'!AK11),2)</f>
        <v>107.02</v>
      </c>
      <c r="V36" s="269">
        <f>ROUND(AVERAGE('Weekly Analysis'!AL11*'Weekly Analysis'!AL38+'Weekly Analysis'!AM11*'Weekly Analysis'!AM38)/('Weekly Analysis'!AL11+'Weekly Analysis'!AM11),2)</f>
        <v>278.64</v>
      </c>
      <c r="W36" s="269">
        <v>0</v>
      </c>
      <c r="X36" s="269">
        <v>0</v>
      </c>
      <c r="Y36" s="269">
        <v>0</v>
      </c>
      <c r="Z36" s="269">
        <v>0</v>
      </c>
      <c r="AA36" s="269">
        <v>0</v>
      </c>
      <c r="AB36" s="269">
        <f>ROUND(AVERAGE('Weekly Analysis'!AX11*'Weekly Analysis'!AX38+'Weekly Analysis'!AY11*'Weekly Analysis'!AY38)/('Weekly Analysis'!AX11+'Weekly Analysis'!AY11),2)</f>
        <v>158.58000000000001</v>
      </c>
      <c r="AC36" s="269">
        <f>ROUND(AVERAGE('Weekly Analysis'!AZ11*'Weekly Analysis'!AZ38+'Weekly Analysis'!BA11*'Weekly Analysis'!BA38)/('Weekly Analysis'!AZ11+'Weekly Analysis'!BA11),2)</f>
        <v>333.01</v>
      </c>
      <c r="AD36" s="247">
        <f>ROUND(AVERAGE('Weekly Analysis'!BB11*'Weekly Analysis'!BB38+'Weekly Analysis'!BC11*'Weekly Analysis'!BC38)/('Weekly Analysis'!BB11+'Weekly Analysis'!BC11),2)</f>
        <v>212.96</v>
      </c>
      <c r="AE36" s="247">
        <f>ROUND(AVERAGE('Weekly Analysis'!BD11*'Weekly Analysis'!BD38+'Weekly Analysis'!BE11*'Weekly Analysis'!BE38)/('Weekly Analysis'!BD11+'Weekly Analysis'!BE11),2)</f>
        <v>181.57</v>
      </c>
      <c r="AF36" s="247">
        <f>ROUND(AVERAGE('Weekly Analysis'!BF11*'Weekly Analysis'!BF38+'Weekly Analysis'!BG11*'Weekly Analysis'!BG38)/('Weekly Analysis'!BF11+'Weekly Analysis'!BG11),2)</f>
        <v>157.65</v>
      </c>
      <c r="AG36" s="247">
        <f>ROUND(AVERAGE('Weekly Analysis'!BH11*'Weekly Analysis'!BH38+'Weekly Analysis'!BI11*'Weekly Analysis'!BI38)/('Weekly Analysis'!BH11+'Weekly Analysis'!BI11),2)</f>
        <v>173.33</v>
      </c>
      <c r="AH36" s="247">
        <f>ROUND(AVERAGE('Weekly Analysis'!BJ11*'Weekly Analysis'!BJ38+'Weekly Analysis'!BK11*'Weekly Analysis'!BK38)/('Weekly Analysis'!BJ11+'Weekly Analysis'!BK11),2)</f>
        <v>182.15</v>
      </c>
      <c r="AI36" s="247">
        <f>ROUND(AVERAGE('Weekly Analysis'!BL11*'Weekly Analysis'!BL38+'Weekly Analysis'!BM11*'Weekly Analysis'!BM38)/('Weekly Analysis'!BL11+'Weekly Analysis'!BM11),2)</f>
        <v>188.3</v>
      </c>
      <c r="AJ36" s="247">
        <f>ROUND(AVERAGE('Weekly Analysis'!BN11*'Weekly Analysis'!BN38+'Weekly Analysis'!BO11*'Weekly Analysis'!BO38)/('Weekly Analysis'!BN11+'Weekly Analysis'!BO11),2)</f>
        <v>220.23</v>
      </c>
      <c r="AK36" s="247">
        <f>ROUND(AVERAGE('Weekly Analysis'!BP11*'Weekly Analysis'!BP38+'Weekly Analysis'!BQ11*'Weekly Analysis'!BQ38)/('Weekly Analysis'!BP11+'Weekly Analysis'!BQ11),2)</f>
        <v>134.05000000000001</v>
      </c>
      <c r="AL36" s="247">
        <f>ROUND(AVERAGE('Weekly Analysis'!BR11*'Weekly Analysis'!BR38+'Weekly Analysis'!BS11*'Weekly Analysis'!BS38)/('Weekly Analysis'!BR11+'Weekly Analysis'!BS11),2)</f>
        <v>247.93</v>
      </c>
      <c r="AM36" s="247">
        <f>ROUND(AVERAGE('Weekly Analysis'!BT11*'Weekly Analysis'!BT38+'Weekly Analysis'!BU11*'Weekly Analysis'!BU38)/('Weekly Analysis'!BT11+'Weekly Analysis'!BU11),2)</f>
        <v>394.11</v>
      </c>
      <c r="AN36" s="247">
        <f>ROUND(AVERAGE('Weekly Analysis'!BV11*'Weekly Analysis'!BV38+'Weekly Analysis'!BW11*'Weekly Analysis'!BW38)/('Weekly Analysis'!BV11+'Weekly Analysis'!BW11),2)</f>
        <v>112.68</v>
      </c>
      <c r="AO36" s="247">
        <v>0</v>
      </c>
      <c r="AP36" s="247">
        <f>ROUND(AVERAGE('Weekly Analysis'!BZ11*'Weekly Analysis'!BZ38+'Weekly Analysis'!CA11*'Weekly Analysis'!CA38)/('Weekly Analysis'!BZ11+'Weekly Analysis'!CA11),2)</f>
        <v>242.82</v>
      </c>
      <c r="AQ36" s="247">
        <f>ROUND(AVERAGE('Weekly Analysis'!CB11*'Weekly Analysis'!CB38+'Weekly Analysis'!CC11*'Weekly Analysis'!CC38)/('Weekly Analysis'!CB11+'Weekly Analysis'!CC11),2)</f>
        <v>182.63</v>
      </c>
      <c r="AR36" s="246">
        <f>ROUND(AVERAGE('Weekly Analysis'!CD11*'Weekly Analysis'!CD38+'Weekly Analysis'!CE11*'Weekly Analysis'!CE38)/('Weekly Analysis'!CD11+'Weekly Analysis'!CE11),2)</f>
        <v>198.98</v>
      </c>
      <c r="AS36" s="246">
        <f>ROUND(AVERAGE('Weekly Analysis'!CF11*'Weekly Analysis'!CF38+'Weekly Analysis'!CG11*'Weekly Analysis'!CG38)/('Weekly Analysis'!CF11+'Weekly Analysis'!CG11),2)</f>
        <v>198.83</v>
      </c>
      <c r="AT36" s="246">
        <f>ROUND(AVERAGE('Weekly Analysis'!CH11*'Weekly Analysis'!CH38+'Weekly Analysis'!CI11*'Weekly Analysis'!CI38)/('Weekly Analysis'!CH11+'Weekly Analysis'!CI11),2)</f>
        <v>164.51</v>
      </c>
      <c r="AU36" s="246">
        <f>ROUND(AVERAGE('Weekly Analysis'!CJ11*'Weekly Analysis'!CJ38+'Weekly Analysis'!CK11*'Weekly Analysis'!CK38)/('Weekly Analysis'!CJ11+'Weekly Analysis'!CK11),2)</f>
        <v>193.85</v>
      </c>
      <c r="AV36" s="247">
        <f>ROUND(AVERAGE('Weekly Analysis'!CL11*'Weekly Analysis'!CL38+'Weekly Analysis'!CM11*'Weekly Analysis'!CM38)/('Weekly Analysis'!CL11+'Weekly Analysis'!CM11),2)</f>
        <v>178.08</v>
      </c>
      <c r="AW36" s="245">
        <f>ROUND(AVERAGE('Weekly Analysis'!CN11*'Weekly Analysis'!CN38+'Weekly Analysis'!CO11*'Weekly Analysis'!CO38)/('Weekly Analysis'!CN11+'Weekly Analysis'!CO11),2)</f>
        <v>151.35</v>
      </c>
      <c r="AX36" s="246">
        <f t="shared" si="4"/>
        <v>-15.01010781671161</v>
      </c>
      <c r="AY36" s="247">
        <f t="shared" si="5"/>
        <v>12.905632226781023</v>
      </c>
      <c r="AZ36" s="244"/>
      <c r="BA36" s="311"/>
      <c r="BB36" s="622"/>
      <c r="BC36" s="233"/>
      <c r="BD36" s="233"/>
    </row>
    <row r="37" spans="2:56" ht="25.5" customHeight="1">
      <c r="B37" s="189" t="s">
        <v>25</v>
      </c>
      <c r="C37" s="518">
        <f t="shared" si="3"/>
        <v>101.40416666666668</v>
      </c>
      <c r="D37" s="269">
        <f>ROUND(AVERAGE('Weekly Analysis'!B12*'Weekly Analysis'!B39+'Weekly Analysis'!C12*'Weekly Analysis'!C39)/('Weekly Analysis'!B12+'Weekly Analysis'!C12),2)</f>
        <v>126.01</v>
      </c>
      <c r="E37" s="269">
        <f>ROUND(AVERAGE('Weekly Analysis'!D12*'Weekly Analysis'!D39+'Weekly Analysis'!E12*'Weekly Analysis'!E39)/('Weekly Analysis'!D12+'Weekly Analysis'!E12),2)</f>
        <v>191.45</v>
      </c>
      <c r="F37" s="269">
        <f>ROUND(AVERAGE('Weekly Analysis'!F12*'Weekly Analysis'!F39+'Weekly Analysis'!G12*'Weekly Analysis'!G39)/('Weekly Analysis'!F12+'Weekly Analysis'!G12),2)</f>
        <v>247.31</v>
      </c>
      <c r="G37" s="269">
        <f>ROUND(AVERAGE('Weekly Analysis'!H12*'Weekly Analysis'!H39+'Weekly Analysis'!I12*'Weekly Analysis'!I39)/('Weekly Analysis'!H12+'Weekly Analysis'!I12),2)</f>
        <v>79.84</v>
      </c>
      <c r="H37" s="269">
        <v>0</v>
      </c>
      <c r="I37" s="269">
        <f>ROUND(AVERAGE('Weekly Analysis'!L12*'Weekly Analysis'!L39+'Weekly Analysis'!M12*'Weekly Analysis'!M39)/('Weekly Analysis'!L12+'Weekly Analysis'!M12),2)</f>
        <v>71.33</v>
      </c>
      <c r="J37" s="269">
        <f>ROUND(AVERAGE('Weekly Analysis'!N12*'Weekly Analysis'!N39+'Weekly Analysis'!O12*'Weekly Analysis'!O39)/('Weekly Analysis'!N12+'Weekly Analysis'!O12),2)</f>
        <v>202.11</v>
      </c>
      <c r="K37" s="269">
        <f>ROUND(AVERAGE('Weekly Analysis'!P12*'Weekly Analysis'!P39+'Weekly Analysis'!Q12*'Weekly Analysis'!Q39)/('Weekly Analysis'!P12+'Weekly Analysis'!Q12),2)</f>
        <v>104.9</v>
      </c>
      <c r="L37" s="269">
        <f>ROUND(AVERAGE('Weekly Analysis'!R12*'Weekly Analysis'!R39+'Weekly Analysis'!S12*'Weekly Analysis'!S39)/('Weekly Analysis'!R12+'Weekly Analysis'!S12),2)</f>
        <v>100.92</v>
      </c>
      <c r="M37" s="269">
        <v>0</v>
      </c>
      <c r="N37" s="269">
        <v>0</v>
      </c>
      <c r="O37" s="269">
        <f>ROUND(AVERAGE('Weekly Analysis'!X12*'Weekly Analysis'!X39+'Weekly Analysis'!Y12*'Weekly Analysis'!Y39)/('Weekly Analysis'!X12+'Weekly Analysis'!Y12),2)</f>
        <v>92.98</v>
      </c>
      <c r="P37" s="269">
        <f>ROUND(AVERAGE('Weekly Analysis'!Z12*'Weekly Analysis'!Z39+'Weekly Analysis'!AA12*'Weekly Analysis'!AA39)/('Weekly Analysis'!Z12+'Weekly Analysis'!AA12),2)</f>
        <v>142.9</v>
      </c>
      <c r="Q37" s="269">
        <f>ROUND(AVERAGE('Weekly Analysis'!AB12*'Weekly Analysis'!AB39+'Weekly Analysis'!AC12*'Weekly Analysis'!AC39)/('Weekly Analysis'!AB12+'Weekly Analysis'!AC12),2)</f>
        <v>89.69</v>
      </c>
      <c r="R37" s="269">
        <v>0</v>
      </c>
      <c r="S37" s="269">
        <f>ROUND(AVERAGE('Weekly Analysis'!AF12*'Weekly Analysis'!AF39+'Weekly Analysis'!AG12*'Weekly Analysis'!AG39)/('Weekly Analysis'!AF12+'Weekly Analysis'!AG12),2)</f>
        <v>77.150000000000006</v>
      </c>
      <c r="T37" s="269">
        <f>ROUND(AVERAGE('Weekly Analysis'!AH12*'Weekly Analysis'!AH39+'Weekly Analysis'!AI12*'Weekly Analysis'!AI39)/('Weekly Analysis'!AH12+'Weekly Analysis'!AI12),2)</f>
        <v>144.58000000000001</v>
      </c>
      <c r="U37" s="269">
        <f>ROUND(AVERAGE('Weekly Analysis'!AJ12*'Weekly Analysis'!AJ39+'Weekly Analysis'!AK12*'Weekly Analysis'!AK39)/('Weekly Analysis'!AJ12+'Weekly Analysis'!AK12),2)</f>
        <v>65.59</v>
      </c>
      <c r="V37" s="269">
        <f>ROUND(AVERAGE('Weekly Analysis'!AL12*'Weekly Analysis'!AL39+'Weekly Analysis'!AM12*'Weekly Analysis'!AM39)/('Weekly Analysis'!AL12+'Weekly Analysis'!AM12),2)</f>
        <v>102.2</v>
      </c>
      <c r="W37" s="269">
        <v>0</v>
      </c>
      <c r="X37" s="269">
        <v>0</v>
      </c>
      <c r="Y37" s="269">
        <v>0</v>
      </c>
      <c r="Z37" s="269">
        <v>0</v>
      </c>
      <c r="AA37" s="269">
        <v>0</v>
      </c>
      <c r="AB37" s="269">
        <f>ROUND(AVERAGE('Weekly Analysis'!AX12*'Weekly Analysis'!AX39+'Weekly Analysis'!AY12*'Weekly Analysis'!AY39)/('Weekly Analysis'!AX12+'Weekly Analysis'!AY12),2)</f>
        <v>136.19999999999999</v>
      </c>
      <c r="AC37" s="269">
        <f>ROUND(AVERAGE('Weekly Analysis'!AZ12*'Weekly Analysis'!AZ39+'Weekly Analysis'!BA12*'Weekly Analysis'!BA39)/('Weekly Analysis'!AZ12+'Weekly Analysis'!BA12),2)</f>
        <v>89.69</v>
      </c>
      <c r="AD37" s="247">
        <f>ROUND(AVERAGE('Weekly Analysis'!BB12*'Weekly Analysis'!BB39+'Weekly Analysis'!BC12*'Weekly Analysis'!BC39)/('Weekly Analysis'!BB12+'Weekly Analysis'!BC12),2)</f>
        <v>230.77</v>
      </c>
      <c r="AE37" s="247">
        <f>ROUND(AVERAGE('Weekly Analysis'!BD12*'Weekly Analysis'!BD39+'Weekly Analysis'!BE12*'Weekly Analysis'!BE39)/('Weekly Analysis'!BD12+'Weekly Analysis'!BE12),2)</f>
        <v>66.92</v>
      </c>
      <c r="AF37" s="247">
        <f>ROUND(AVERAGE('Weekly Analysis'!BF12*'Weekly Analysis'!BF39+'Weekly Analysis'!BG12*'Weekly Analysis'!BG39)/('Weekly Analysis'!BF12+'Weekly Analysis'!BG12),2)</f>
        <v>63.47</v>
      </c>
      <c r="AG37" s="247">
        <f>ROUND(AVERAGE('Weekly Analysis'!BH12*'Weekly Analysis'!BH39+'Weekly Analysis'!BI12*'Weekly Analysis'!BI39)/('Weekly Analysis'!BH12+'Weekly Analysis'!BI12),2)</f>
        <v>92.89</v>
      </c>
      <c r="AH37" s="247">
        <f>ROUND(AVERAGE('Weekly Analysis'!BJ12*'Weekly Analysis'!BJ39+'Weekly Analysis'!BK12*'Weekly Analysis'!BK39)/('Weekly Analysis'!BJ12+'Weekly Analysis'!BK12),2)</f>
        <v>55.11</v>
      </c>
      <c r="AI37" s="247">
        <f>ROUND(AVERAGE('Weekly Analysis'!BL12*'Weekly Analysis'!BL39+'Weekly Analysis'!BM12*'Weekly Analysis'!BM39)/('Weekly Analysis'!BL12+'Weekly Analysis'!BM12),2)</f>
        <v>74.5</v>
      </c>
      <c r="AJ37" s="247">
        <f>ROUND(AVERAGE('Weekly Analysis'!BN12*'Weekly Analysis'!BN39+'Weekly Analysis'!BO12*'Weekly Analysis'!BO39)/('Weekly Analysis'!BN12+'Weekly Analysis'!BO12),2)</f>
        <v>75.72</v>
      </c>
      <c r="AK37" s="247">
        <f>ROUND(AVERAGE('Weekly Analysis'!BP12*'Weekly Analysis'!BP39+'Weekly Analysis'!BQ12*'Weekly Analysis'!BQ39)/('Weekly Analysis'!BP12+'Weekly Analysis'!BQ12),2)</f>
        <v>294.20999999999998</v>
      </c>
      <c r="AL37" s="247">
        <f>ROUND(AVERAGE('Weekly Analysis'!BR12*'Weekly Analysis'!BR39+'Weekly Analysis'!BS12*'Weekly Analysis'!BS39)/('Weekly Analysis'!BR12+'Weekly Analysis'!BS12),2)</f>
        <v>330.75</v>
      </c>
      <c r="AM37" s="247">
        <f>ROUND(AVERAGE('Weekly Analysis'!BT12*'Weekly Analysis'!BT39+'Weekly Analysis'!BU12*'Weekly Analysis'!BU39)/('Weekly Analysis'!BT12+'Weekly Analysis'!BU12),2)</f>
        <v>72.900000000000006</v>
      </c>
      <c r="AN37" s="247">
        <f>ROUND(AVERAGE('Weekly Analysis'!BV12*'Weekly Analysis'!BV39+'Weekly Analysis'!BW12*'Weekly Analysis'!BW39)/('Weekly Analysis'!BV12+'Weekly Analysis'!BW12),2)</f>
        <v>125.78</v>
      </c>
      <c r="AO37" s="247">
        <f>ROUND(AVERAGE('Weekly Analysis'!BX12*'Weekly Analysis'!BX39+'Weekly Analysis'!BY12*'Weekly Analysis'!BY39)/('Weekly Analysis'!BX12+'Weekly Analysis'!BY12),2)</f>
        <v>198.43</v>
      </c>
      <c r="AP37" s="247">
        <f>ROUND(AVERAGE('Weekly Analysis'!BZ12*'Weekly Analysis'!BZ39+'Weekly Analysis'!CA12*'Weekly Analysis'!CA39)/('Weekly Analysis'!BZ12+'Weekly Analysis'!CA12),2)</f>
        <v>63.38</v>
      </c>
      <c r="AQ37" s="247">
        <f>ROUND(AVERAGE('Weekly Analysis'!CB12*'Weekly Analysis'!CB39+'Weekly Analysis'!CC12*'Weekly Analysis'!CC39)/('Weekly Analysis'!CB12+'Weekly Analysis'!CC12),2)</f>
        <v>65.69</v>
      </c>
      <c r="AR37" s="246">
        <f>ROUND(AVERAGE('Weekly Analysis'!CD12*'Weekly Analysis'!CD39+'Weekly Analysis'!CE12*'Weekly Analysis'!CE39)/('Weekly Analysis'!CD12+'Weekly Analysis'!CE12),2)</f>
        <v>83.13</v>
      </c>
      <c r="AS37" s="246">
        <f>ROUND(AVERAGE('Weekly Analysis'!CF12*'Weekly Analysis'!CF39+'Weekly Analysis'!CG12*'Weekly Analysis'!CG39)/('Weekly Analysis'!CF12+'Weekly Analysis'!CG12),2)</f>
        <v>84.63</v>
      </c>
      <c r="AT37" s="246">
        <f>ROUND(AVERAGE('Weekly Analysis'!CH12*'Weekly Analysis'!CH39+'Weekly Analysis'!CI12*'Weekly Analysis'!CI39)/('Weekly Analysis'!CH12+'Weekly Analysis'!CI12),2)</f>
        <v>71.42</v>
      </c>
      <c r="AU37" s="246">
        <f>ROUND(AVERAGE('Weekly Analysis'!CJ12*'Weekly Analysis'!CJ39+'Weekly Analysis'!CK12*'Weekly Analysis'!CK39)/('Weekly Analysis'!CJ12+'Weekly Analysis'!CK12),2)</f>
        <v>71.48</v>
      </c>
      <c r="AV37" s="247">
        <f>ROUND(AVERAGE('Weekly Analysis'!CL12*'Weekly Analysis'!CL39+'Weekly Analysis'!CM12*'Weekly Analysis'!CM39)/('Weekly Analysis'!CL12+'Weekly Analysis'!CM12),2)</f>
        <v>81.67</v>
      </c>
      <c r="AW37" s="245">
        <f>ROUND(AVERAGE('Weekly Analysis'!CN12*'Weekly Analysis'!CN39+'Weekly Analysis'!CO12*'Weekly Analysis'!CO39)/('Weekly Analysis'!CN12+'Weekly Analysis'!CO12),2)</f>
        <v>74.16</v>
      </c>
      <c r="AX37" s="246">
        <f t="shared" si="4"/>
        <v>-9.1955430390596433</v>
      </c>
      <c r="AY37" s="247">
        <f t="shared" si="5"/>
        <v>-74.793514836341387</v>
      </c>
      <c r="AZ37" s="244"/>
      <c r="BA37" s="311"/>
      <c r="BB37" s="622"/>
      <c r="BC37" s="233"/>
      <c r="BD37" s="233"/>
    </row>
    <row r="38" spans="2:56" ht="25.5" customHeight="1">
      <c r="B38" s="189" t="s">
        <v>30</v>
      </c>
      <c r="C38" s="518">
        <f t="shared" si="3"/>
        <v>93.837499999999991</v>
      </c>
      <c r="D38" s="269">
        <f>ROUND(AVERAGE('Weekly Analysis'!B15*'Weekly Analysis'!B42+'Weekly Analysis'!C15*'Weekly Analysis'!C42)/('Weekly Analysis'!B15+'Weekly Analysis'!C15),2)</f>
        <v>170.32</v>
      </c>
      <c r="E38" s="269">
        <f>ROUND(AVERAGE('Weekly Analysis'!D15*'Weekly Analysis'!D42+'Weekly Analysis'!E15*'Weekly Analysis'!E42)/('Weekly Analysis'!D15+'Weekly Analysis'!E15),2)</f>
        <v>232.85</v>
      </c>
      <c r="F38" s="269">
        <v>0</v>
      </c>
      <c r="G38" s="269">
        <f>ROUND(AVERAGE('Weekly Analysis'!H15*'Weekly Analysis'!H42+'Weekly Analysis'!I15*'Weekly Analysis'!I42)/('Weekly Analysis'!H15+'Weekly Analysis'!I15),2)</f>
        <v>104.77</v>
      </c>
      <c r="H38" s="269">
        <v>0</v>
      </c>
      <c r="I38" s="269">
        <f>ROUND(AVERAGE('Weekly Analysis'!L15*'Weekly Analysis'!L42+'Weekly Analysis'!M15*'Weekly Analysis'!M42)/('Weekly Analysis'!L15+'Weekly Analysis'!M15),2)</f>
        <v>154.46</v>
      </c>
      <c r="J38" s="269">
        <f>ROUND(AVERAGE('Weekly Analysis'!N15*'Weekly Analysis'!N42+'Weekly Analysis'!O15*'Weekly Analysis'!O42)/('Weekly Analysis'!N15+'Weekly Analysis'!O15),2)</f>
        <v>190.74</v>
      </c>
      <c r="K38" s="269">
        <f>ROUND(AVERAGE('Weekly Analysis'!P15*'Weekly Analysis'!P42+'Weekly Analysis'!Q15*'Weekly Analysis'!Q42)/('Weekly Analysis'!P15+'Weekly Analysis'!Q15),2)</f>
        <v>160.33000000000001</v>
      </c>
      <c r="L38" s="269">
        <f>ROUND(AVERAGE('Weekly Analysis'!R15*'Weekly Analysis'!R42+'Weekly Analysis'!S15*'Weekly Analysis'!S42)/('Weekly Analysis'!R15+'Weekly Analysis'!S15),2)</f>
        <v>58.54</v>
      </c>
      <c r="M38" s="269">
        <v>0</v>
      </c>
      <c r="N38" s="269">
        <v>0</v>
      </c>
      <c r="O38" s="269">
        <f>ROUND(AVERAGE('Weekly Analysis'!X15*'Weekly Analysis'!X42+'Weekly Analysis'!Y15*'Weekly Analysis'!Y42)/('Weekly Analysis'!X15+'Weekly Analysis'!Y15),2)</f>
        <v>54.04</v>
      </c>
      <c r="P38" s="269">
        <f>ROUND(AVERAGE('Weekly Analysis'!Z15*'Weekly Analysis'!Z42+'Weekly Analysis'!AA15*'Weekly Analysis'!AA42)/('Weekly Analysis'!Z15+'Weekly Analysis'!AA15),2)</f>
        <v>175.13</v>
      </c>
      <c r="Q38" s="269">
        <f>ROUND(AVERAGE('Weekly Analysis'!AB15*'Weekly Analysis'!AB42+'Weekly Analysis'!AC15*'Weekly Analysis'!AC42)/('Weekly Analysis'!AB15+'Weekly Analysis'!AC15),2)</f>
        <v>110.92</v>
      </c>
      <c r="R38" s="269">
        <f>ROUND(AVERAGE('Weekly Analysis'!AD15*'Weekly Analysis'!AD42+'Weekly Analysis'!AE15*'Weekly Analysis'!AE42)/('Weekly Analysis'!AD15+'Weekly Analysis'!AE15),2)</f>
        <v>90.79</v>
      </c>
      <c r="S38" s="269">
        <f>ROUND(AVERAGE('Weekly Analysis'!AF15*'Weekly Analysis'!AF42+'Weekly Analysis'!AG15*'Weekly Analysis'!AG42)/('Weekly Analysis'!AF15+'Weekly Analysis'!AG15),2)</f>
        <v>71.37</v>
      </c>
      <c r="T38" s="269">
        <f>ROUND(AVERAGE('Weekly Analysis'!AH15*'Weekly Analysis'!AH42+'Weekly Analysis'!AI15*'Weekly Analysis'!AI42)/('Weekly Analysis'!AH15+'Weekly Analysis'!AI15),2)</f>
        <v>169.24</v>
      </c>
      <c r="U38" s="269">
        <f>ROUND(AVERAGE('Weekly Analysis'!AJ15*'Weekly Analysis'!AJ42+'Weekly Analysis'!AK15*'Weekly Analysis'!AK42)/('Weekly Analysis'!AJ15+'Weekly Analysis'!AK15),2)</f>
        <v>154.91999999999999</v>
      </c>
      <c r="V38" s="269">
        <f>ROUND(AVERAGE('Weekly Analysis'!AL15*'Weekly Analysis'!AL42+'Weekly Analysis'!AM15*'Weekly Analysis'!AM42)/('Weekly Analysis'!AL15+'Weekly Analysis'!AM15),2)</f>
        <v>197.74</v>
      </c>
      <c r="W38" s="269">
        <v>0</v>
      </c>
      <c r="X38" s="269">
        <v>0</v>
      </c>
      <c r="Y38" s="269">
        <v>0</v>
      </c>
      <c r="Z38" s="269">
        <v>0</v>
      </c>
      <c r="AA38" s="269">
        <v>0</v>
      </c>
      <c r="AB38" s="269">
        <f>ROUND(AVERAGE('Weekly Analysis'!AX15*'Weekly Analysis'!AX42+'Weekly Analysis'!AY15*'Weekly Analysis'!AY42)/('Weekly Analysis'!AX15+'Weekly Analysis'!AY15),2)</f>
        <v>191.35</v>
      </c>
      <c r="AC38" s="269">
        <f>ROUND(AVERAGE('Weekly Analysis'!AZ15*'Weekly Analysis'!AZ42+'Weekly Analysis'!BA15*'Weekly Analysis'!BA42)/('Weekly Analysis'!AZ15+'Weekly Analysis'!BA15),2)</f>
        <v>129.29</v>
      </c>
      <c r="AD38" s="247">
        <v>0</v>
      </c>
      <c r="AE38" s="247">
        <f>ROUND(AVERAGE('Weekly Analysis'!BD15*'Weekly Analysis'!BD42+'Weekly Analysis'!BE15*'Weekly Analysis'!BE42)/('Weekly Analysis'!BD15+'Weekly Analysis'!BE15),2)</f>
        <v>69.44</v>
      </c>
      <c r="AF38" s="247">
        <f>ROUND(AVERAGE('Weekly Analysis'!BF15*'Weekly Analysis'!BF42+'Weekly Analysis'!BG15*'Weekly Analysis'!BG42)/('Weekly Analysis'!BF15+'Weekly Analysis'!BG15),2)</f>
        <v>68.88</v>
      </c>
      <c r="AG38" s="247">
        <f>ROUND(AVERAGE('Weekly Analysis'!BH15*'Weekly Analysis'!BH42+'Weekly Analysis'!BI15*'Weekly Analysis'!BI42)/('Weekly Analysis'!BH15+'Weekly Analysis'!BI15),2)</f>
        <v>116.75</v>
      </c>
      <c r="AH38" s="247">
        <f>ROUND(AVERAGE('Weekly Analysis'!BJ15*'Weekly Analysis'!BJ42+'Weekly Analysis'!BK15*'Weekly Analysis'!BK42)/('Weekly Analysis'!BJ15+'Weekly Analysis'!BK15),2)</f>
        <v>130.69</v>
      </c>
      <c r="AI38" s="247">
        <f>ROUND(AVERAGE('Weekly Analysis'!BL15*'Weekly Analysis'!BL42+'Weekly Analysis'!BM15*'Weekly Analysis'!BM42)/('Weekly Analysis'!BL15+'Weekly Analysis'!BM15),2)</f>
        <v>100.26</v>
      </c>
      <c r="AJ38" s="247">
        <f>ROUND(AVERAGE('Weekly Analysis'!BN15*'Weekly Analysis'!BN42+'Weekly Analysis'!BO15*'Weekly Analysis'!BO42)/('Weekly Analysis'!BN15+'Weekly Analysis'!BO15),2)</f>
        <v>93.68</v>
      </c>
      <c r="AK38" s="247">
        <f>ROUND(AVERAGE('Weekly Analysis'!BP15*'Weekly Analysis'!BP42+'Weekly Analysis'!BQ15*'Weekly Analysis'!BQ42)/('Weekly Analysis'!BP15+'Weekly Analysis'!BQ15),2)</f>
        <v>302.60000000000002</v>
      </c>
      <c r="AL38" s="247">
        <f>ROUND(AVERAGE('Weekly Analysis'!BR15*'Weekly Analysis'!BR42+'Weekly Analysis'!BS15*'Weekly Analysis'!BS42)/('Weekly Analysis'!BR15+'Weekly Analysis'!BS15),2)</f>
        <v>259.79000000000002</v>
      </c>
      <c r="AM38" s="247">
        <f>ROUND(AVERAGE('Weekly Analysis'!BT15*'Weekly Analysis'!BT42+'Weekly Analysis'!BU15*'Weekly Analysis'!BU42)/('Weekly Analysis'!BT15+'Weekly Analysis'!BU15),2)</f>
        <v>84.05</v>
      </c>
      <c r="AN38" s="247">
        <f>ROUND(AVERAGE('Weekly Analysis'!BV15*'Weekly Analysis'!BV42+'Weekly Analysis'!BW15*'Weekly Analysis'!BW42)/('Weekly Analysis'!BV15+'Weekly Analysis'!BW15),2)</f>
        <v>165.73</v>
      </c>
      <c r="AO38" s="247">
        <f>ROUND(AVERAGE('Weekly Analysis'!BX15*'Weekly Analysis'!BX42+'Weekly Analysis'!BY15*'Weekly Analysis'!BY42)/('Weekly Analysis'!BX15+'Weekly Analysis'!BY15),2)</f>
        <v>320.75</v>
      </c>
      <c r="AP38" s="247">
        <f>ROUND(AVERAGE('Weekly Analysis'!BZ15*'Weekly Analysis'!BZ42+'Weekly Analysis'!CA15*'Weekly Analysis'!CA42)/('Weekly Analysis'!BZ15+'Weekly Analysis'!CA15),2)</f>
        <v>66.14</v>
      </c>
      <c r="AQ38" s="247">
        <f>ROUND(AVERAGE('Weekly Analysis'!CB15*'Weekly Analysis'!CB42+'Weekly Analysis'!CC15*'Weekly Analysis'!CC42)/('Weekly Analysis'!CB15+'Weekly Analysis'!CC15),2)</f>
        <v>65.930000000000007</v>
      </c>
      <c r="AR38" s="246">
        <f>ROUND(AVERAGE('Weekly Analysis'!CD15*'Weekly Analysis'!CD42+'Weekly Analysis'!CE15*'Weekly Analysis'!CE42)/('Weekly Analysis'!CD15+'Weekly Analysis'!CE15),2)</f>
        <v>86.49</v>
      </c>
      <c r="AS38" s="246">
        <f>ROUND(AVERAGE('Weekly Analysis'!CF15*'Weekly Analysis'!CF42+'Weekly Analysis'!CG15*'Weekly Analysis'!CG42)/('Weekly Analysis'!CF15+'Weekly Analysis'!CG15),2)</f>
        <v>84.41</v>
      </c>
      <c r="AT38" s="246">
        <f>ROUND(AVERAGE('Weekly Analysis'!CH15*'Weekly Analysis'!CH42+'Weekly Analysis'!CI15*'Weekly Analysis'!CI42)/('Weekly Analysis'!CH15+'Weekly Analysis'!CI15),2)</f>
        <v>88.14</v>
      </c>
      <c r="AU38" s="246">
        <f>ROUND(AVERAGE('Weekly Analysis'!CJ15*'Weekly Analysis'!CJ42+'Weekly Analysis'!CK15*'Weekly Analysis'!CK42)/('Weekly Analysis'!CJ15+'Weekly Analysis'!CK15),2)</f>
        <v>76.430000000000007</v>
      </c>
      <c r="AV38" s="247">
        <f>ROUND(AVERAGE('Weekly Analysis'!CL15*'Weekly Analysis'!CL42+'Weekly Analysis'!CM15*'Weekly Analysis'!CM42)/('Weekly Analysis'!CL15+'Weekly Analysis'!CM15),2)</f>
        <v>80.569999999999993</v>
      </c>
      <c r="AW38" s="245">
        <f>ROUND(AVERAGE('Weekly Analysis'!CN15*'Weekly Analysis'!CN42+'Weekly Analysis'!CO15*'Weekly Analysis'!CO42)/('Weekly Analysis'!CN15+'Weekly Analysis'!CO15),2)</f>
        <v>187.5</v>
      </c>
      <c r="AX38" s="246">
        <f t="shared" si="4"/>
        <v>132.71689214347774</v>
      </c>
      <c r="AY38" s="247">
        <f t="shared" si="5"/>
        <v>-38.037012557832128</v>
      </c>
      <c r="AZ38" s="244"/>
      <c r="BA38" s="311"/>
      <c r="BB38" s="622"/>
      <c r="BC38" s="233"/>
      <c r="BD38" s="233"/>
    </row>
    <row r="39" spans="2:56" ht="25.5" customHeight="1">
      <c r="B39" s="189" t="s">
        <v>31</v>
      </c>
      <c r="C39" s="518">
        <f t="shared" si="3"/>
        <v>72.295000000000002</v>
      </c>
      <c r="D39" s="269">
        <f>ROUND(AVERAGE('Weekly Analysis'!B16*'Weekly Analysis'!B43+'Weekly Analysis'!C16*'Weekly Analysis'!C43)/('Weekly Analysis'!B16+'Weekly Analysis'!C16),2)</f>
        <v>91.76</v>
      </c>
      <c r="E39" s="269">
        <f>ROUND(AVERAGE('Weekly Analysis'!D16*'Weekly Analysis'!D43+'Weekly Analysis'!E16*'Weekly Analysis'!E43)/('Weekly Analysis'!D16+'Weekly Analysis'!E16),2)</f>
        <v>86.58</v>
      </c>
      <c r="F39" s="269">
        <f>ROUND(AVERAGE('Weekly Analysis'!F16*'Weekly Analysis'!F43+'Weekly Analysis'!G16*'Weekly Analysis'!G43)/('Weekly Analysis'!F16+'Weekly Analysis'!G16),2)</f>
        <v>83.77</v>
      </c>
      <c r="G39" s="269">
        <f>ROUND(AVERAGE('Weekly Analysis'!H16*'Weekly Analysis'!H43+'Weekly Analysis'!I16*'Weekly Analysis'!I43)/('Weekly Analysis'!H16+'Weekly Analysis'!I16),2)</f>
        <v>96.74</v>
      </c>
      <c r="H39" s="269">
        <f>ROUND(AVERAGE('Weekly Analysis'!J16*'Weekly Analysis'!J43+'Weekly Analysis'!K16*'Weekly Analysis'!K43)/('Weekly Analysis'!J16+'Weekly Analysis'!K16),2)</f>
        <v>100.25</v>
      </c>
      <c r="I39" s="269">
        <f>ROUND(AVERAGE('Weekly Analysis'!L16*'Weekly Analysis'!L43+'Weekly Analysis'!M16*'Weekly Analysis'!M43)/('Weekly Analysis'!L16+'Weekly Analysis'!M16),2)</f>
        <v>75.930000000000007</v>
      </c>
      <c r="J39" s="269">
        <f>ROUND(AVERAGE('Weekly Analysis'!N16*'Weekly Analysis'!N43+'Weekly Analysis'!O16*'Weekly Analysis'!O43)/('Weekly Analysis'!N16+'Weekly Analysis'!O16),2)</f>
        <v>115.27</v>
      </c>
      <c r="K39" s="269">
        <f>ROUND(AVERAGE('Weekly Analysis'!P16*'Weekly Analysis'!P43+'Weekly Analysis'!Q16*'Weekly Analysis'!Q43)/('Weekly Analysis'!P16+'Weekly Analysis'!Q16),2)</f>
        <v>103.7</v>
      </c>
      <c r="L39" s="269">
        <f>ROUND(AVERAGE('Weekly Analysis'!R16*'Weekly Analysis'!R43+'Weekly Analysis'!S16*'Weekly Analysis'!S43)/('Weekly Analysis'!R16+'Weekly Analysis'!S16),2)</f>
        <v>73</v>
      </c>
      <c r="M39" s="269">
        <v>0</v>
      </c>
      <c r="N39" s="269">
        <v>0</v>
      </c>
      <c r="O39" s="269">
        <f>ROUND(AVERAGE('Weekly Analysis'!X16*'Weekly Analysis'!X43+'Weekly Analysis'!Y16*'Weekly Analysis'!Y43)/('Weekly Analysis'!X16+'Weekly Analysis'!Y16),2)</f>
        <v>40.54</v>
      </c>
      <c r="P39" s="269">
        <f>ROUND(AVERAGE('Weekly Analysis'!Z16*'Weekly Analysis'!Z43+'Weekly Analysis'!AA16*'Weekly Analysis'!AA43)/('Weekly Analysis'!Z16+'Weekly Analysis'!AA16),2)</f>
        <v>68.23</v>
      </c>
      <c r="Q39" s="269">
        <f>ROUND(AVERAGE('Weekly Analysis'!AB16*'Weekly Analysis'!AB43+'Weekly Analysis'!AC16*'Weekly Analysis'!AC43)/('Weekly Analysis'!AB16+'Weekly Analysis'!AC16),2)</f>
        <v>147.34</v>
      </c>
      <c r="R39" s="269">
        <f>ROUND(AVERAGE('Weekly Analysis'!AD16*'Weekly Analysis'!AD43+'Weekly Analysis'!AE16*'Weekly Analysis'!AE43)/('Weekly Analysis'!AD16+'Weekly Analysis'!AE16),2)</f>
        <v>55.23</v>
      </c>
      <c r="S39" s="269">
        <f>ROUND(AVERAGE('Weekly Analysis'!AF16*'Weekly Analysis'!AF43+'Weekly Analysis'!AG16*'Weekly Analysis'!AG43)/('Weekly Analysis'!AF16+'Weekly Analysis'!AG16),2)</f>
        <v>38.58</v>
      </c>
      <c r="T39" s="269">
        <f>ROUND(AVERAGE('Weekly Analysis'!AH16*'Weekly Analysis'!AH43+'Weekly Analysis'!AI16*'Weekly Analysis'!AI43)/('Weekly Analysis'!AH16+'Weekly Analysis'!AI16),2)</f>
        <v>93.78</v>
      </c>
      <c r="U39" s="269">
        <f>ROUND(AVERAGE('Weekly Analysis'!AJ16*'Weekly Analysis'!AJ43+'Weekly Analysis'!AK16*'Weekly Analysis'!AK43)/('Weekly Analysis'!AJ16+'Weekly Analysis'!AK16),2)</f>
        <v>81.89</v>
      </c>
      <c r="V39" s="269">
        <f>ROUND(AVERAGE('Weekly Analysis'!AL16*'Weekly Analysis'!AL43+'Weekly Analysis'!AM16*'Weekly Analysis'!AM43)/('Weekly Analysis'!AL16+'Weekly Analysis'!AM16),2)</f>
        <v>137.11000000000001</v>
      </c>
      <c r="W39" s="269">
        <v>0</v>
      </c>
      <c r="X39" s="269">
        <v>0</v>
      </c>
      <c r="Y39" s="269">
        <v>0</v>
      </c>
      <c r="Z39" s="269">
        <v>0</v>
      </c>
      <c r="AA39" s="269">
        <v>0</v>
      </c>
      <c r="AB39" s="269">
        <f>ROUND(AVERAGE('Weekly Analysis'!AX16*'Weekly Analysis'!AX43+'Weekly Analysis'!AY16*'Weekly Analysis'!AY43)/('Weekly Analysis'!AX16+'Weekly Analysis'!AY16),2)</f>
        <v>47.47</v>
      </c>
      <c r="AC39" s="269">
        <f>ROUND(AVERAGE('Weekly Analysis'!AZ16*'Weekly Analysis'!AZ43+'Weekly Analysis'!BA16*'Weekly Analysis'!BA43)/('Weekly Analysis'!AZ16+'Weekly Analysis'!BA16),2)</f>
        <v>67.31</v>
      </c>
      <c r="AD39" s="247">
        <v>0</v>
      </c>
      <c r="AE39" s="247">
        <f>ROUND(AVERAGE('Weekly Analysis'!BD16*'Weekly Analysis'!BD43+'Weekly Analysis'!BE16*'Weekly Analysis'!BE43)/('Weekly Analysis'!BD16+'Weekly Analysis'!BE16),2)</f>
        <v>88.45</v>
      </c>
      <c r="AF39" s="247">
        <f>ROUND(AVERAGE('Weekly Analysis'!BF16*'Weekly Analysis'!BF43+'Weekly Analysis'!BG16*'Weekly Analysis'!BG43)/('Weekly Analysis'!BF16+'Weekly Analysis'!BG16),2)</f>
        <v>67.38</v>
      </c>
      <c r="AG39" s="247">
        <f>ROUND(AVERAGE('Weekly Analysis'!BH16*'Weekly Analysis'!BH43+'Weekly Analysis'!BI16*'Weekly Analysis'!BI43)/('Weekly Analysis'!BH16+'Weekly Analysis'!BI16),2)</f>
        <v>67.39</v>
      </c>
      <c r="AH39" s="247">
        <f>ROUND(AVERAGE('Weekly Analysis'!BJ16*'Weekly Analysis'!BJ43+'Weekly Analysis'!BK16*'Weekly Analysis'!BK43)/('Weekly Analysis'!BJ16+'Weekly Analysis'!BK16),2)</f>
        <v>176.7</v>
      </c>
      <c r="AI39" s="247">
        <f>ROUND(AVERAGE('Weekly Analysis'!BL16*'Weekly Analysis'!BL43+'Weekly Analysis'!BM16*'Weekly Analysis'!BM43)/('Weekly Analysis'!BL16+'Weekly Analysis'!BM16),2)</f>
        <v>75.13</v>
      </c>
      <c r="AJ39" s="247">
        <f>ROUND(AVERAGE('Weekly Analysis'!BN16*'Weekly Analysis'!BN43+'Weekly Analysis'!BO16*'Weekly Analysis'!BO43)/('Weekly Analysis'!BN16+'Weekly Analysis'!BO16),2)</f>
        <v>95.73</v>
      </c>
      <c r="AK39" s="247">
        <f>ROUND(AVERAGE('Weekly Analysis'!BP16*'Weekly Analysis'!BP43+'Weekly Analysis'!BQ16*'Weekly Analysis'!BQ43)/('Weekly Analysis'!BP16+'Weekly Analysis'!BQ16),2)</f>
        <v>373.96</v>
      </c>
      <c r="AL39" s="247">
        <v>0</v>
      </c>
      <c r="AM39" s="247">
        <f>ROUND(AVERAGE('Weekly Analysis'!BT16*'Weekly Analysis'!BT43+'Weekly Analysis'!BU16*'Weekly Analysis'!BU43)/('Weekly Analysis'!BT16+'Weekly Analysis'!BU16),2)</f>
        <v>82.37</v>
      </c>
      <c r="AN39" s="247">
        <f>ROUND(AVERAGE('Weekly Analysis'!BV16*'Weekly Analysis'!BV43+'Weekly Analysis'!BW16*'Weekly Analysis'!BW43)/('Weekly Analysis'!BV16+'Weekly Analysis'!BW16),2)</f>
        <v>91.69</v>
      </c>
      <c r="AO39" s="247">
        <f>ROUND(AVERAGE('Weekly Analysis'!BX16*'Weekly Analysis'!BX43+'Weekly Analysis'!BY16*'Weekly Analysis'!BY43)/('Weekly Analysis'!BX16+'Weekly Analysis'!BY16),2)</f>
        <v>86.58</v>
      </c>
      <c r="AP39" s="247">
        <f>ROUND(AVERAGE('Weekly Analysis'!BZ16*'Weekly Analysis'!BZ43+'Weekly Analysis'!CA16*'Weekly Analysis'!CA43)/('Weekly Analysis'!BZ16+'Weekly Analysis'!CA16),2)</f>
        <v>85.05</v>
      </c>
      <c r="AQ39" s="247">
        <f>ROUND(AVERAGE('Weekly Analysis'!CB16*'Weekly Analysis'!CB43+'Weekly Analysis'!CC16*'Weekly Analysis'!CC43)/('Weekly Analysis'!CB16+'Weekly Analysis'!CC16),2)</f>
        <v>82.05</v>
      </c>
      <c r="AR39" s="246">
        <f>ROUND(AVERAGE('Weekly Analysis'!CD16*'Weekly Analysis'!CD43+'Weekly Analysis'!CE16*'Weekly Analysis'!CE43)/('Weekly Analysis'!CD16+'Weekly Analysis'!CE16),2)</f>
        <v>85.04</v>
      </c>
      <c r="AS39" s="246">
        <f>ROUND(AVERAGE('Weekly Analysis'!CF16*'Weekly Analysis'!CF43+'Weekly Analysis'!CG16*'Weekly Analysis'!CG43)/('Weekly Analysis'!CF16+'Weekly Analysis'!CG16),2)</f>
        <v>82.06</v>
      </c>
      <c r="AT39" s="246">
        <f>ROUND(AVERAGE('Weekly Analysis'!CH16*'Weekly Analysis'!CH43+'Weekly Analysis'!CI16*'Weekly Analysis'!CI43)/('Weekly Analysis'!CH16+'Weekly Analysis'!CI16),2)</f>
        <v>71.930000000000007</v>
      </c>
      <c r="AU39" s="246">
        <f>ROUND(AVERAGE('Weekly Analysis'!CJ16*'Weekly Analysis'!CJ43+'Weekly Analysis'!CK16*'Weekly Analysis'!CK43)/('Weekly Analysis'!CJ16+'Weekly Analysis'!CK16),2)</f>
        <v>90.18</v>
      </c>
      <c r="AV39" s="247">
        <f>ROUND(AVERAGE('Weekly Analysis'!CL16*'Weekly Analysis'!CL43+'Weekly Analysis'!CM16*'Weekly Analysis'!CM43)/('Weekly Analysis'!CL16+'Weekly Analysis'!CM16),2)</f>
        <v>109.34</v>
      </c>
      <c r="AW39" s="245">
        <f>ROUND(AVERAGE('Weekly Analysis'!CN16*'Weekly Analysis'!CN43+'Weekly Analysis'!CO16*'Weekly Analysis'!CO43)/('Weekly Analysis'!CN16+'Weekly Analysis'!CO16),2)</f>
        <v>86.4</v>
      </c>
      <c r="AX39" s="246">
        <f>AW39/AV39*100-100</f>
        <v>-20.980428022681537</v>
      </c>
      <c r="AY39" s="247">
        <f t="shared" si="5"/>
        <v>-76.895924697828633</v>
      </c>
      <c r="AZ39" s="244"/>
      <c r="BA39" s="311"/>
      <c r="BB39" s="622"/>
      <c r="BC39" s="233"/>
      <c r="BD39" s="233"/>
    </row>
    <row r="40" spans="2:56" ht="25.5" customHeight="1">
      <c r="B40" s="189" t="s">
        <v>32</v>
      </c>
      <c r="C40" s="518">
        <f t="shared" si="3"/>
        <v>110.74166666666667</v>
      </c>
      <c r="D40" s="269">
        <f>ROUND(AVERAGE('Weekly Analysis'!B17*'Weekly Analysis'!B44+'Weekly Analysis'!C17*'Weekly Analysis'!C44)/('Weekly Analysis'!B17+'Weekly Analysis'!C17),2)</f>
        <v>205.63</v>
      </c>
      <c r="E40" s="269">
        <f>ROUND(AVERAGE('Weekly Analysis'!D17*'Weekly Analysis'!D44+'Weekly Analysis'!E17*'Weekly Analysis'!E44)/('Weekly Analysis'!D17+'Weekly Analysis'!E17),2)</f>
        <v>167.74</v>
      </c>
      <c r="F40" s="269">
        <f>ROUND(AVERAGE('Weekly Analysis'!F17*'Weekly Analysis'!F44+'Weekly Analysis'!G17*'Weekly Analysis'!G44)/('Weekly Analysis'!F17+'Weekly Analysis'!G17),2)</f>
        <v>229.81</v>
      </c>
      <c r="G40" s="269">
        <v>0</v>
      </c>
      <c r="H40" s="269">
        <v>0</v>
      </c>
      <c r="I40" s="269">
        <f>ROUND(AVERAGE('Weekly Analysis'!L17*'Weekly Analysis'!L44+'Weekly Analysis'!M17*'Weekly Analysis'!M44)/('Weekly Analysis'!L17+'Weekly Analysis'!M17),2)</f>
        <v>200</v>
      </c>
      <c r="J40" s="269">
        <f>ROUND(AVERAGE('Weekly Analysis'!N17*'Weekly Analysis'!N44+'Weekly Analysis'!O17*'Weekly Analysis'!O44)/('Weekly Analysis'!N17+'Weekly Analysis'!O17),2)</f>
        <v>177.92</v>
      </c>
      <c r="K40" s="269">
        <f>ROUND(AVERAGE('Weekly Analysis'!P17*'Weekly Analysis'!P44+'Weekly Analysis'!Q17*'Weekly Analysis'!Q44)/('Weekly Analysis'!P17+'Weekly Analysis'!Q17),2)</f>
        <v>191.69</v>
      </c>
      <c r="L40" s="269">
        <v>0</v>
      </c>
      <c r="M40" s="269">
        <v>0</v>
      </c>
      <c r="N40" s="269">
        <v>0</v>
      </c>
      <c r="O40" s="269">
        <f>ROUND(AVERAGE('Weekly Analysis'!X17*'Weekly Analysis'!X44+'Weekly Analysis'!Y17*'Weekly Analysis'!Y44)/('Weekly Analysis'!X17+'Weekly Analysis'!Y17),2)</f>
        <v>156.11000000000001</v>
      </c>
      <c r="P40" s="269">
        <f>ROUND(AVERAGE('Weekly Analysis'!Z17*'Weekly Analysis'!Z44+'Weekly Analysis'!AA17*'Weekly Analysis'!AA44)/('Weekly Analysis'!Z17+'Weekly Analysis'!AA17),2)</f>
        <v>199.62</v>
      </c>
      <c r="Q40" s="269">
        <f>ROUND(AVERAGE('Weekly Analysis'!AB17*'Weekly Analysis'!AB44+'Weekly Analysis'!AC17*'Weekly Analysis'!AC44)/('Weekly Analysis'!AB17+'Weekly Analysis'!AC17),2)</f>
        <v>287.5</v>
      </c>
      <c r="R40" s="269">
        <f>ROUND(AVERAGE('Weekly Analysis'!AD17*'Weekly Analysis'!AD44+'Weekly Analysis'!AE17*'Weekly Analysis'!AE44)/('Weekly Analysis'!AD17+'Weekly Analysis'!AE17),2)</f>
        <v>100</v>
      </c>
      <c r="S40" s="269">
        <v>0</v>
      </c>
      <c r="T40" s="269">
        <v>0</v>
      </c>
      <c r="U40" s="269">
        <v>0</v>
      </c>
      <c r="V40" s="269">
        <v>0</v>
      </c>
      <c r="W40" s="269">
        <v>0</v>
      </c>
      <c r="X40" s="269">
        <v>0</v>
      </c>
      <c r="Y40" s="269">
        <v>0</v>
      </c>
      <c r="Z40" s="269">
        <v>0</v>
      </c>
      <c r="AA40" s="269">
        <v>0</v>
      </c>
      <c r="AB40" s="269">
        <f>ROUND(AVERAGE('Weekly Analysis'!AX17*'Weekly Analysis'!AX44+'Weekly Analysis'!AY17*'Weekly Analysis'!AY44)/('Weekly Analysis'!AX17+'Weekly Analysis'!AY17),2)</f>
        <v>248.54</v>
      </c>
      <c r="AC40" s="269">
        <f>ROUND(AVERAGE('Weekly Analysis'!AZ17*'Weekly Analysis'!AZ44+'Weekly Analysis'!BA17*'Weekly Analysis'!BA44)/('Weekly Analysis'!AZ17+'Weekly Analysis'!BA17),2)</f>
        <v>160.78</v>
      </c>
      <c r="AD40" s="247">
        <f>ROUND(AVERAGE('Weekly Analysis'!BB17*'Weekly Analysis'!BB44+'Weekly Analysis'!BC17*'Weekly Analysis'!BC44)/('Weekly Analysis'!BB17+'Weekly Analysis'!BC17),2)</f>
        <v>229.81</v>
      </c>
      <c r="AE40" s="247">
        <f>ROUND(AVERAGE('Weekly Analysis'!BD17*'Weekly Analysis'!BD44+'Weekly Analysis'!BE17*'Weekly Analysis'!BE44)/('Weekly Analysis'!BD17+'Weekly Analysis'!BE17),2)</f>
        <v>160.08000000000001</v>
      </c>
      <c r="AF40" s="247">
        <f>ROUND(AVERAGE('Weekly Analysis'!BF17*'Weekly Analysis'!BF44+'Weekly Analysis'!BG17*'Weekly Analysis'!BG44)/('Weekly Analysis'!BF17+'Weekly Analysis'!BG17),2)</f>
        <v>149.37</v>
      </c>
      <c r="AG40" s="247">
        <v>0</v>
      </c>
      <c r="AH40" s="247">
        <f>ROUND(AVERAGE('Weekly Analysis'!BJ17*'Weekly Analysis'!BJ44+'Weekly Analysis'!BK17*'Weekly Analysis'!BK44)/('Weekly Analysis'!BJ17+'Weekly Analysis'!BK17),2)</f>
        <v>230.64</v>
      </c>
      <c r="AI40" s="247">
        <f>ROUND(AVERAGE('Weekly Analysis'!BL17*'Weekly Analysis'!BL44+'Weekly Analysis'!BM17*'Weekly Analysis'!BM44)/('Weekly Analysis'!BL17+'Weekly Analysis'!BM17),2)</f>
        <v>427.74</v>
      </c>
      <c r="AJ40" s="247">
        <v>0</v>
      </c>
      <c r="AK40" s="247">
        <f>ROUND(AVERAGE('Weekly Analysis'!BP17*'Weekly Analysis'!BP44+'Weekly Analysis'!BQ17*'Weekly Analysis'!BQ44)/('Weekly Analysis'!BP17+'Weekly Analysis'!BQ17),2)</f>
        <v>296.37</v>
      </c>
      <c r="AL40" s="247">
        <f>ROUND(AVERAGE('Weekly Analysis'!BR17*'Weekly Analysis'!BR44+'Weekly Analysis'!BS17*'Weekly Analysis'!BS44)/('Weekly Analysis'!BR17+'Weekly Analysis'!BS17),2)</f>
        <v>222.87</v>
      </c>
      <c r="AM40" s="247">
        <f>ROUND(AVERAGE('Weekly Analysis'!BT17*'Weekly Analysis'!BT44+'Weekly Analysis'!BU17*'Weekly Analysis'!BU44)/('Weekly Analysis'!BT17+'Weekly Analysis'!BU17),2)</f>
        <v>153.05000000000001</v>
      </c>
      <c r="AN40" s="247">
        <f>ROUND(AVERAGE('Weekly Analysis'!BV17*'Weekly Analysis'!BV44+'Weekly Analysis'!BW17*'Weekly Analysis'!BW44)/('Weekly Analysis'!BV17+'Weekly Analysis'!BW17),2)</f>
        <v>209.27</v>
      </c>
      <c r="AO40" s="247">
        <f>ROUND(AVERAGE('Weekly Analysis'!BX17*'Weekly Analysis'!BX44+'Weekly Analysis'!BY17*'Weekly Analysis'!BY44)/('Weekly Analysis'!BX17+'Weekly Analysis'!BY17),2)</f>
        <v>167.74</v>
      </c>
      <c r="AP40" s="247">
        <f>ROUND(AVERAGE('Weekly Analysis'!BZ17*'Weekly Analysis'!BZ44+'Weekly Analysis'!CA17*'Weekly Analysis'!CA44)/('Weekly Analysis'!BZ17+'Weekly Analysis'!CA17),2)</f>
        <v>191.79</v>
      </c>
      <c r="AQ40" s="247">
        <f>ROUND(AVERAGE('Weekly Analysis'!CB17*'Weekly Analysis'!CB44+'Weekly Analysis'!CC17*'Weekly Analysis'!CC44)/('Weekly Analysis'!CB17+'Weekly Analysis'!CC17),2)</f>
        <v>205.41</v>
      </c>
      <c r="AR40" s="246">
        <f>ROUND(AVERAGE('Weekly Analysis'!CD17*'Weekly Analysis'!CD44+'Weekly Analysis'!CE17*'Weekly Analysis'!CE44)/('Weekly Analysis'!CD17+'Weekly Analysis'!CE17),2)</f>
        <v>200</v>
      </c>
      <c r="AS40" s="246">
        <f>ROUND(AVERAGE('Weekly Analysis'!CF17*'Weekly Analysis'!CF44+'Weekly Analysis'!CG17*'Weekly Analysis'!CG44)/('Weekly Analysis'!CF17+'Weekly Analysis'!CG17),2)</f>
        <v>273.95999999999998</v>
      </c>
      <c r="AT40" s="246">
        <v>0</v>
      </c>
      <c r="AU40" s="246">
        <f>ROUND(AVERAGE('Weekly Analysis'!CJ17*'Weekly Analysis'!CJ44+'Weekly Analysis'!CK17*'Weekly Analysis'!CK44)/('Weekly Analysis'!CJ17+'Weekly Analysis'!CK17),2)</f>
        <v>246.22</v>
      </c>
      <c r="AV40" s="247">
        <f>ROUND(AVERAGE('Weekly Analysis'!CL17*'Weekly Analysis'!CL44+'Weekly Analysis'!CM17*'Weekly Analysis'!CM44)/('Weekly Analysis'!CL17+'Weekly Analysis'!CM17),2)</f>
        <v>222.95</v>
      </c>
      <c r="AW40" s="245">
        <f>ROUND(AVERAGE('Weekly Analysis'!CN17*'Weekly Analysis'!CN44+'Weekly Analysis'!CO17*'Weekly Analysis'!CO44)/('Weekly Analysis'!CN17+'Weekly Analysis'!CO17),2)</f>
        <v>191.67</v>
      </c>
      <c r="AX40" s="246">
        <f t="shared" si="4"/>
        <v>-14.030051581071987</v>
      </c>
      <c r="AY40" s="247">
        <f t="shared" si="5"/>
        <v>-35.327462293754436</v>
      </c>
      <c r="AZ40" s="244"/>
      <c r="BA40" s="311"/>
      <c r="BB40" s="622"/>
      <c r="BC40" s="233"/>
      <c r="BD40" s="233"/>
    </row>
    <row r="41" spans="2:56" ht="25.5" customHeight="1">
      <c r="B41" s="189" t="s">
        <v>33</v>
      </c>
      <c r="C41" s="518">
        <f t="shared" si="3"/>
        <v>177.33</v>
      </c>
      <c r="D41" s="269">
        <f>ROUND(AVERAGE('Weekly Analysis'!B20*'Weekly Analysis'!B47+'Weekly Analysis'!C20*'Weekly Analysis'!C47)/('Weekly Analysis'!B20+'Weekly Analysis'!C20),2)</f>
        <v>350</v>
      </c>
      <c r="E41" s="269">
        <v>0</v>
      </c>
      <c r="F41" s="269">
        <f>ROUND(AVERAGE('Weekly Analysis'!F20*'Weekly Analysis'!F47+'Weekly Analysis'!G20*'Weekly Analysis'!G47)/('Weekly Analysis'!F20+'Weekly Analysis'!G20),2)</f>
        <v>205.16</v>
      </c>
      <c r="G41" s="269">
        <f>ROUND(AVERAGE('Weekly Analysis'!H20*'Weekly Analysis'!H47+'Weekly Analysis'!I20*'Weekly Analysis'!I47)/('Weekly Analysis'!H20+'Weekly Analysis'!I20),2)</f>
        <v>198.11</v>
      </c>
      <c r="H41" s="269">
        <f>ROUND(AVERAGE('Weekly Analysis'!J20*'Weekly Analysis'!J47+'Weekly Analysis'!K20*'Weekly Analysis'!K47)/('Weekly Analysis'!J20+'Weekly Analysis'!K20),2)</f>
        <v>437.5</v>
      </c>
      <c r="I41" s="269">
        <f>ROUND(AVERAGE('Weekly Analysis'!L20*'Weekly Analysis'!L47+'Weekly Analysis'!M20*'Weekly Analysis'!M47)/('Weekly Analysis'!L20+'Weekly Analysis'!M20),2)</f>
        <v>340.74</v>
      </c>
      <c r="J41" s="269">
        <f>ROUND(AVERAGE('Weekly Analysis'!N20*'Weekly Analysis'!N47+'Weekly Analysis'!O20*'Weekly Analysis'!O47)/('Weekly Analysis'!N20+'Weekly Analysis'!O20),2)</f>
        <v>192.68</v>
      </c>
      <c r="K41" s="269">
        <f>ROUND(AVERAGE('Weekly Analysis'!P20*'Weekly Analysis'!P47+'Weekly Analysis'!Q20*'Weekly Analysis'!Q47)/('Weekly Analysis'!P20+'Weekly Analysis'!Q20),2)</f>
        <v>93.5</v>
      </c>
      <c r="L41" s="269">
        <f>ROUND(AVERAGE('Weekly Analysis'!R20*'Weekly Analysis'!R47+'Weekly Analysis'!S20*'Weekly Analysis'!S47)/('Weekly Analysis'!R20+'Weekly Analysis'!S20),2)</f>
        <v>92.2</v>
      </c>
      <c r="M41" s="269">
        <v>0</v>
      </c>
      <c r="N41" s="269">
        <v>0</v>
      </c>
      <c r="O41" s="269">
        <f>ROUND(AVERAGE('Weekly Analysis'!X20*'Weekly Analysis'!X47+'Weekly Analysis'!Y20*'Weekly Analysis'!Y47)/('Weekly Analysis'!X20+'Weekly Analysis'!Y20),2)</f>
        <v>218.07</v>
      </c>
      <c r="P41" s="269">
        <f>ROUND(AVERAGE('Weekly Analysis'!Z20*'Weekly Analysis'!Z47+'Weekly Analysis'!AA20*'Weekly Analysis'!AA47)/('Weekly Analysis'!Z20+'Weekly Analysis'!AA20),2)</f>
        <v>168.94</v>
      </c>
      <c r="Q41" s="269">
        <v>0</v>
      </c>
      <c r="R41" s="269">
        <v>0</v>
      </c>
      <c r="S41" s="269">
        <v>0</v>
      </c>
      <c r="T41" s="269">
        <f>ROUND(AVERAGE('Weekly Analysis'!AH20*'Weekly Analysis'!AH47+'Weekly Analysis'!AI20*'Weekly Analysis'!AI47)/('Weekly Analysis'!AH20+'Weekly Analysis'!AI20),2)</f>
        <v>81.290000000000006</v>
      </c>
      <c r="U41" s="269">
        <f>ROUND(AVERAGE('Weekly Analysis'!AJ20*'Weekly Analysis'!AJ47+'Weekly Analysis'!AK20*'Weekly Analysis'!AK47)/('Weekly Analysis'!AJ20+'Weekly Analysis'!AK20),2)</f>
        <v>314.61</v>
      </c>
      <c r="V41" s="269">
        <f>ROUND(AVERAGE('Weekly Analysis'!AL20*'Weekly Analysis'!AL47+'Weekly Analysis'!AM20*'Weekly Analysis'!AM47)/('Weekly Analysis'!AL20+'Weekly Analysis'!AM20),2)</f>
        <v>45.94</v>
      </c>
      <c r="W41" s="269">
        <v>0</v>
      </c>
      <c r="X41" s="269">
        <v>0</v>
      </c>
      <c r="Y41" s="269">
        <v>0</v>
      </c>
      <c r="Z41" s="269">
        <v>0</v>
      </c>
      <c r="AA41" s="269">
        <v>0</v>
      </c>
      <c r="AB41" s="269">
        <f>ROUND(AVERAGE('Weekly Analysis'!AX20*'Weekly Analysis'!AX47+'Weekly Analysis'!AY20*'Weekly Analysis'!AY47)/('Weekly Analysis'!AX20+'Weekly Analysis'!AY20),2)</f>
        <v>192.31</v>
      </c>
      <c r="AC41" s="269">
        <v>0</v>
      </c>
      <c r="AD41" s="247">
        <v>0</v>
      </c>
      <c r="AE41" s="247">
        <v>0</v>
      </c>
      <c r="AF41" s="247">
        <f>ROUND(AVERAGE('Weekly Analysis'!BF20*'Weekly Analysis'!BF47+'Weekly Analysis'!BG20*'Weekly Analysis'!BG47)/('Weekly Analysis'!BF20+'Weekly Analysis'!BG20),2)</f>
        <v>271.64999999999998</v>
      </c>
      <c r="AG41" s="247">
        <f>ROUND(AVERAGE('Weekly Analysis'!BH20*'Weekly Analysis'!BH47+'Weekly Analysis'!BI20*'Weekly Analysis'!BI47)/('Weekly Analysis'!BH20+'Weekly Analysis'!BI20),2)</f>
        <v>267.77</v>
      </c>
      <c r="AH41" s="247">
        <f>ROUND(AVERAGE('Weekly Analysis'!BJ20*'Weekly Analysis'!BJ47+'Weekly Analysis'!BK20*'Weekly Analysis'!BK47)/('Weekly Analysis'!BJ20+'Weekly Analysis'!BK20),2)</f>
        <v>162.52000000000001</v>
      </c>
      <c r="AI41" s="247">
        <f>ROUND(AVERAGE('Weekly Analysis'!BL20*'Weekly Analysis'!BL47+'Weekly Analysis'!BM20*'Weekly Analysis'!BM47)/('Weekly Analysis'!BL20+'Weekly Analysis'!BM20),2)</f>
        <v>130.28</v>
      </c>
      <c r="AJ41" s="247">
        <f>ROUND(AVERAGE('Weekly Analysis'!BN20*'Weekly Analysis'!BN47+'Weekly Analysis'!BO20*'Weekly Analysis'!BO47)/('Weekly Analysis'!BN20+'Weekly Analysis'!BO20),2)</f>
        <v>286.38</v>
      </c>
      <c r="AK41" s="247">
        <f>ROUND(AVERAGE('Weekly Analysis'!BP20*'Weekly Analysis'!BP47+'Weekly Analysis'!BQ20*'Weekly Analysis'!BQ47)/('Weekly Analysis'!BP20+'Weekly Analysis'!BQ20),2)</f>
        <v>117.88</v>
      </c>
      <c r="AL41" s="247">
        <f>ROUND(AVERAGE('Weekly Analysis'!BR20*'Weekly Analysis'!BR47+'Weekly Analysis'!BS20*'Weekly Analysis'!BS47)/('Weekly Analysis'!BR20+'Weekly Analysis'!BS20),2)</f>
        <v>49.89</v>
      </c>
      <c r="AM41" s="247">
        <f>ROUND(AVERAGE('Weekly Analysis'!BT20*'Weekly Analysis'!BT47+'Weekly Analysis'!BU20*'Weekly Analysis'!BU47)/('Weekly Analysis'!BT20+'Weekly Analysis'!BU20),2)</f>
        <v>144.74</v>
      </c>
      <c r="AN41" s="247">
        <f>ROUND(AVERAGE('Weekly Analysis'!BV20*'Weekly Analysis'!BV47+'Weekly Analysis'!BW20*'Weekly Analysis'!BW47)/('Weekly Analysis'!BV20+'Weekly Analysis'!BW20),2)</f>
        <v>144.47999999999999</v>
      </c>
      <c r="AO41" s="247">
        <v>0</v>
      </c>
      <c r="AP41" s="247">
        <v>0</v>
      </c>
      <c r="AQ41" s="247">
        <f>ROUND(AVERAGE('Weekly Analysis'!CB20*'Weekly Analysis'!CB47+'Weekly Analysis'!CC20*'Weekly Analysis'!CC47)/('Weekly Analysis'!CB20+'Weekly Analysis'!CC20),2)</f>
        <v>606.05999999999995</v>
      </c>
      <c r="AR41" s="246">
        <f>ROUND(AVERAGE('Weekly Analysis'!CD20*'Weekly Analysis'!CD47+'Weekly Analysis'!CE20*'Weekly Analysis'!CE47)/('Weekly Analysis'!CD20+'Weekly Analysis'!CE20),2)</f>
        <v>421.4</v>
      </c>
      <c r="AS41" s="246">
        <f>ROUND(AVERAGE('Weekly Analysis'!CF20*'Weekly Analysis'!CF47+'Weekly Analysis'!CG20*'Weekly Analysis'!CG47)/('Weekly Analysis'!CF20+'Weekly Analysis'!CG20),2)</f>
        <v>203.34</v>
      </c>
      <c r="AT41" s="246">
        <f>ROUND(AVERAGE('Weekly Analysis'!CH20*'Weekly Analysis'!CH47+'Weekly Analysis'!CI20*'Weekly Analysis'!CI47)/('Weekly Analysis'!CH20+'Weekly Analysis'!CI20),2)</f>
        <v>136.36000000000001</v>
      </c>
      <c r="AU41" s="246">
        <f>ROUND(AVERAGE('Weekly Analysis'!CJ20*'Weekly Analysis'!CJ47+'Weekly Analysis'!CK20*'Weekly Analysis'!CK47)/('Weekly Analysis'!CJ20+'Weekly Analysis'!CK20),2)</f>
        <v>93.19</v>
      </c>
      <c r="AV41" s="247">
        <f>ROUND(AVERAGE('Weekly Analysis'!CL20*'Weekly Analysis'!CL47+'Weekly Analysis'!CM20*'Weekly Analysis'!CM47)/('Weekly Analysis'!CL20+'Weekly Analysis'!CM20),2)</f>
        <v>93.66</v>
      </c>
      <c r="AW41" s="245">
        <f>ROUND(AVERAGE('Weekly Analysis'!CN20*'Weekly Analysis'!CN47+'Weekly Analysis'!CO20*'Weekly Analysis'!CO47)/('Weekly Analysis'!CN20+'Weekly Analysis'!CO20),2)</f>
        <v>75.48</v>
      </c>
      <c r="AX41" s="246">
        <f t="shared" si="4"/>
        <v>-19.410634208840477</v>
      </c>
      <c r="AY41" s="247">
        <f t="shared" si="5"/>
        <v>-35.96878181201221</v>
      </c>
      <c r="AZ41" s="244"/>
      <c r="BA41" s="311"/>
      <c r="BB41" s="622"/>
      <c r="BC41" s="233"/>
      <c r="BD41" s="233"/>
    </row>
    <row r="42" spans="2:56" ht="25.5" customHeight="1">
      <c r="B42" s="189" t="s">
        <v>34</v>
      </c>
      <c r="C42" s="518">
        <f t="shared" si="3"/>
        <v>152.85916666666668</v>
      </c>
      <c r="D42" s="269">
        <f>ROUND(AVERAGE('Weekly Analysis'!B21*'Weekly Analysis'!B48+'Weekly Analysis'!C21*'Weekly Analysis'!C48)/('Weekly Analysis'!B21+'Weekly Analysis'!C21),2)</f>
        <v>321.43</v>
      </c>
      <c r="E42" s="269">
        <v>0</v>
      </c>
      <c r="F42" s="269">
        <f>ROUND(AVERAGE('Weekly Analysis'!F21*'Weekly Analysis'!F48+'Weekly Analysis'!G21*'Weekly Analysis'!G48)/('Weekly Analysis'!F21+'Weekly Analysis'!G21),2)</f>
        <v>321.43</v>
      </c>
      <c r="G42" s="269">
        <v>0</v>
      </c>
      <c r="H42" s="269">
        <v>0</v>
      </c>
      <c r="I42" s="269">
        <v>0</v>
      </c>
      <c r="J42" s="269">
        <f>ROUND(AVERAGE('Weekly Analysis'!N21*'Weekly Analysis'!N48+'Weekly Analysis'!O21*'Weekly Analysis'!O48)/('Weekly Analysis'!N21+'Weekly Analysis'!O21),2)</f>
        <v>403.73</v>
      </c>
      <c r="K42" s="269">
        <f>ROUND(AVERAGE('Weekly Analysis'!P21*'Weekly Analysis'!P48+'Weekly Analysis'!Q21*'Weekly Analysis'!Q48)/('Weekly Analysis'!P21+'Weekly Analysis'!Q21),2)</f>
        <v>286</v>
      </c>
      <c r="L42" s="269">
        <f>ROUND(AVERAGE('Weekly Analysis'!R21*'Weekly Analysis'!R48+'Weekly Analysis'!S21*'Weekly Analysis'!S48)/('Weekly Analysis'!R21+'Weekly Analysis'!S21),2)</f>
        <v>267.49</v>
      </c>
      <c r="M42" s="269">
        <v>0</v>
      </c>
      <c r="N42" s="269">
        <v>0</v>
      </c>
      <c r="O42" s="269">
        <f>ROUND(AVERAGE('Weekly Analysis'!X21*'Weekly Analysis'!X48+'Weekly Analysis'!Y21*'Weekly Analysis'!Y48)/('Weekly Analysis'!X21+'Weekly Analysis'!Y21),2)</f>
        <v>234.23</v>
      </c>
      <c r="P42" s="269">
        <f>ROUND(AVERAGE('Weekly Analysis'!Z21*'Weekly Analysis'!Z48+'Weekly Analysis'!AA21*'Weekly Analysis'!AA48)/('Weekly Analysis'!Z21+'Weekly Analysis'!AA21),2)</f>
        <v>234.23</v>
      </c>
      <c r="Q42" s="269">
        <f>ROUND(AVERAGE('Weekly Analysis'!AB21*'Weekly Analysis'!AB48+'Weekly Analysis'!AC21*'Weekly Analysis'!AC48)/('Weekly Analysis'!AB21+'Weekly Analysis'!AC21),2)</f>
        <v>293.33</v>
      </c>
      <c r="R42" s="269">
        <f>ROUND(AVERAGE('Weekly Analysis'!AD21*'Weekly Analysis'!AD48+'Weekly Analysis'!AE21*'Weekly Analysis'!AE48)/('Weekly Analysis'!AD21+'Weekly Analysis'!AE21),2)</f>
        <v>293.33</v>
      </c>
      <c r="S42" s="269">
        <v>0</v>
      </c>
      <c r="T42" s="269">
        <v>0</v>
      </c>
      <c r="U42" s="269">
        <v>0</v>
      </c>
      <c r="V42" s="269">
        <v>0</v>
      </c>
      <c r="W42" s="269">
        <v>0</v>
      </c>
      <c r="X42" s="269">
        <v>0</v>
      </c>
      <c r="Y42" s="269">
        <v>0</v>
      </c>
      <c r="Z42" s="269">
        <v>0</v>
      </c>
      <c r="AA42" s="269">
        <v>0</v>
      </c>
      <c r="AB42" s="269">
        <f>ROUND(AVERAGE('Weekly Analysis'!AX21*'Weekly Analysis'!AX48+'Weekly Analysis'!AY21*'Weekly Analysis'!AY48)/('Weekly Analysis'!AX21+'Weekly Analysis'!AY21),2)</f>
        <v>316.62</v>
      </c>
      <c r="AC42" s="269">
        <v>0</v>
      </c>
      <c r="AD42" s="247">
        <v>0</v>
      </c>
      <c r="AE42" s="247">
        <v>0</v>
      </c>
      <c r="AF42" s="247">
        <v>0</v>
      </c>
      <c r="AG42" s="247">
        <v>0</v>
      </c>
      <c r="AH42" s="247">
        <v>0</v>
      </c>
      <c r="AI42" s="247">
        <f>ROUND(AVERAGE('Weekly Analysis'!BL21*'Weekly Analysis'!BL48+'Weekly Analysis'!BM21*'Weekly Analysis'!BM48)/('Weekly Analysis'!BL21+'Weekly Analysis'!BM21),2)</f>
        <v>310.29000000000002</v>
      </c>
      <c r="AJ42" s="247">
        <f>ROUND(AVERAGE('Weekly Analysis'!BN21*'Weekly Analysis'!BN48+'Weekly Analysis'!BO21*'Weekly Analysis'!BO48)/('Weekly Analysis'!BN21+'Weekly Analysis'!BO21),2)</f>
        <v>423.86</v>
      </c>
      <c r="AK42" s="247">
        <f>ROUND(AVERAGE('Weekly Analysis'!BP21*'Weekly Analysis'!BP48+'Weekly Analysis'!BQ21*'Weekly Analysis'!BQ48)/('Weekly Analysis'!BP21+'Weekly Analysis'!BQ21),2)</f>
        <v>167.26</v>
      </c>
      <c r="AL42" s="247">
        <f>ROUND(AVERAGE('Weekly Analysis'!BR21*'Weekly Analysis'!BR48+'Weekly Analysis'!BS21*'Weekly Analysis'!BS48)/('Weekly Analysis'!BR21+'Weekly Analysis'!BS21),2)</f>
        <v>96.63</v>
      </c>
      <c r="AM42" s="247">
        <f>ROUND(AVERAGE('Weekly Analysis'!BT21*'Weekly Analysis'!BT48+'Weekly Analysis'!BU21*'Weekly Analysis'!BU48)/('Weekly Analysis'!BT21+'Weekly Analysis'!BU21),2)</f>
        <v>164.67</v>
      </c>
      <c r="AN42" s="247">
        <f>ROUND(AVERAGE('Weekly Analysis'!BV21*'Weekly Analysis'!BV48+'Weekly Analysis'!BW21*'Weekly Analysis'!BW48)/('Weekly Analysis'!BV21+'Weekly Analysis'!BW21),2)</f>
        <v>164.29</v>
      </c>
      <c r="AO42" s="247">
        <v>0</v>
      </c>
      <c r="AP42" s="247">
        <v>0</v>
      </c>
      <c r="AQ42" s="247">
        <v>0</v>
      </c>
      <c r="AR42" s="246">
        <v>0</v>
      </c>
      <c r="AS42" s="246">
        <v>0</v>
      </c>
      <c r="AT42" s="246">
        <f>ROUND(AVERAGE('Weekly Analysis'!CH21*'Weekly Analysis'!CH48+'Weekly Analysis'!CI21*'Weekly Analysis'!CI48)/('Weekly Analysis'!CH21+'Weekly Analysis'!CI21),2)</f>
        <v>430.77</v>
      </c>
      <c r="AU42" s="246">
        <f>ROUND(AVERAGE('Weekly Analysis'!CJ21*'Weekly Analysis'!CJ48+'Weekly Analysis'!CK21*'Weekly Analysis'!CK48)/('Weekly Analysis'!CJ21+'Weekly Analysis'!CK21),2)</f>
        <v>420.64</v>
      </c>
      <c r="AV42" s="247">
        <f>ROUND(AVERAGE('Weekly Analysis'!CL21*'Weekly Analysis'!CL48+'Weekly Analysis'!CM21*'Weekly Analysis'!CM48)/('Weekly Analysis'!CL21+'Weekly Analysis'!CM21),2)</f>
        <v>222.63</v>
      </c>
      <c r="AW42" s="245">
        <f>ROUND(AVERAGE('Weekly Analysis'!CN21*'Weekly Analysis'!CN48+'Weekly Analysis'!CO21*'Weekly Analysis'!CO48)/('Weekly Analysis'!CN21+'Weekly Analysis'!CO21),2)</f>
        <v>164.67</v>
      </c>
      <c r="AX42" s="246">
        <f t="shared" si="4"/>
        <v>-26.034227193100662</v>
      </c>
      <c r="AY42" s="247">
        <f t="shared" si="5"/>
        <v>-1.5484873849097198</v>
      </c>
      <c r="AZ42" s="244"/>
      <c r="BA42" s="311"/>
      <c r="BB42" s="622"/>
      <c r="BC42" s="233"/>
      <c r="BD42" s="233"/>
    </row>
    <row r="43" spans="2:56" ht="25.5" customHeight="1">
      <c r="B43" s="189" t="s">
        <v>35</v>
      </c>
      <c r="C43" s="518">
        <f t="shared" si="3"/>
        <v>133.19166666666666</v>
      </c>
      <c r="D43" s="269">
        <f>ROUND(AVERAGE('Weekly Analysis'!B22*'Weekly Analysis'!B49+'Weekly Analysis'!C22*'Weekly Analysis'!C49)/('Weekly Analysis'!B22+'Weekly Analysis'!C22),2)</f>
        <v>259.45</v>
      </c>
      <c r="E43" s="269">
        <f>ROUND(AVERAGE('Weekly Analysis'!D22*'Weekly Analysis'!D49+'Weekly Analysis'!E22*'Weekly Analysis'!E49)/('Weekly Analysis'!D22+'Weekly Analysis'!E22),2)</f>
        <v>264.32</v>
      </c>
      <c r="F43" s="269">
        <f>ROUND(AVERAGE('Weekly Analysis'!F22*'Weekly Analysis'!F49+'Weekly Analysis'!G22*'Weekly Analysis'!G49)/('Weekly Analysis'!F22+'Weekly Analysis'!G22),2)</f>
        <v>264.32</v>
      </c>
      <c r="G43" s="269">
        <v>0</v>
      </c>
      <c r="H43" s="269">
        <v>0</v>
      </c>
      <c r="I43" s="269">
        <v>0</v>
      </c>
      <c r="J43" s="269">
        <f>ROUND(AVERAGE('Weekly Analysis'!N22*'Weekly Analysis'!N49+'Weekly Analysis'!O22*'Weekly Analysis'!O49)/('Weekly Analysis'!N22+'Weekly Analysis'!O22),2)</f>
        <v>211.54</v>
      </c>
      <c r="K43" s="269">
        <f>ROUND(AVERAGE('Weekly Analysis'!P22*'Weekly Analysis'!P49+'Weekly Analysis'!Q22*'Weekly Analysis'!Q49)/('Weekly Analysis'!P22+'Weekly Analysis'!Q22),2)</f>
        <v>180.64</v>
      </c>
      <c r="L43" s="269">
        <f>ROUND(AVERAGE('Weekly Analysis'!R22*'Weekly Analysis'!R49+'Weekly Analysis'!S22*'Weekly Analysis'!S49)/('Weekly Analysis'!R22+'Weekly Analysis'!S22),2)</f>
        <v>230.06</v>
      </c>
      <c r="M43" s="269">
        <v>0</v>
      </c>
      <c r="N43" s="269">
        <v>0</v>
      </c>
      <c r="O43" s="269">
        <f>ROUND(AVERAGE('Weekly Analysis'!X22*'Weekly Analysis'!X49+'Weekly Analysis'!Y22*'Weekly Analysis'!Y49)/('Weekly Analysis'!X22+'Weekly Analysis'!Y22),2)</f>
        <v>187.97</v>
      </c>
      <c r="P43" s="269">
        <f>ROUND(AVERAGE('Weekly Analysis'!Z22*'Weekly Analysis'!Z49+'Weekly Analysis'!AA22*'Weekly Analysis'!AA49)/('Weekly Analysis'!Z22+'Weekly Analysis'!AA22),2)</f>
        <v>179</v>
      </c>
      <c r="Q43" s="269">
        <v>0</v>
      </c>
      <c r="R43" s="269">
        <v>0</v>
      </c>
      <c r="S43" s="269">
        <v>0</v>
      </c>
      <c r="T43" s="269">
        <f>ROUND(AVERAGE('Weekly Analysis'!AH22*'Weekly Analysis'!AH49+'Weekly Analysis'!AI22*'Weekly Analysis'!AI49)/('Weekly Analysis'!AH22+'Weekly Analysis'!AI22),2)</f>
        <v>191.49</v>
      </c>
      <c r="U43" s="269">
        <f>ROUND(AVERAGE('Weekly Analysis'!AJ22*'Weekly Analysis'!AJ49+'Weekly Analysis'!AK22*'Weekly Analysis'!AK49)/('Weekly Analysis'!AJ22+'Weekly Analysis'!AK22),2)</f>
        <v>294.12</v>
      </c>
      <c r="V43" s="269">
        <f>ROUND(AVERAGE('Weekly Analysis'!AL22*'Weekly Analysis'!AL49+'Weekly Analysis'!AM22*'Weekly Analysis'!AM49)/('Weekly Analysis'!AL22+'Weekly Analysis'!AM22),2)</f>
        <v>141.69</v>
      </c>
      <c r="W43" s="269">
        <v>0</v>
      </c>
      <c r="X43" s="269">
        <v>0</v>
      </c>
      <c r="Y43" s="269">
        <v>0</v>
      </c>
      <c r="Z43" s="269">
        <v>0</v>
      </c>
      <c r="AA43" s="269">
        <v>0</v>
      </c>
      <c r="AB43" s="269">
        <f>ROUND(AVERAGE('Weekly Analysis'!AX22*'Weekly Analysis'!AX49+'Weekly Analysis'!AY22*'Weekly Analysis'!AY49)/('Weekly Analysis'!AX22+'Weekly Analysis'!AY22),2)</f>
        <v>178.57</v>
      </c>
      <c r="AC43" s="269">
        <v>0</v>
      </c>
      <c r="AD43" s="247">
        <v>0</v>
      </c>
      <c r="AE43" s="247">
        <v>0</v>
      </c>
      <c r="AF43" s="247">
        <v>0</v>
      </c>
      <c r="AG43" s="247">
        <f>ROUND(AVERAGE('Weekly Analysis'!BH22*'Weekly Analysis'!BH49+'Weekly Analysis'!BI22*'Weekly Analysis'!BI49)/('Weekly Analysis'!BH22+'Weekly Analysis'!BI22),2)</f>
        <v>294.12</v>
      </c>
      <c r="AH43" s="247">
        <f>ROUND(AVERAGE('Weekly Analysis'!BJ22*'Weekly Analysis'!BJ49+'Weekly Analysis'!BK22*'Weekly Analysis'!BK49)/('Weekly Analysis'!BJ22+'Weekly Analysis'!BK22),2)</f>
        <v>318.56</v>
      </c>
      <c r="AI43" s="247">
        <f>ROUND(AVERAGE('Weekly Analysis'!BL22*'Weekly Analysis'!BL49+'Weekly Analysis'!BM22*'Weekly Analysis'!BM49)/('Weekly Analysis'!BL22+'Weekly Analysis'!BM22),2)</f>
        <v>339.3</v>
      </c>
      <c r="AJ43" s="247">
        <f>ROUND(AVERAGE('Weekly Analysis'!BN22*'Weekly Analysis'!BN49+'Weekly Analysis'!BO22*'Weekly Analysis'!BO49)/('Weekly Analysis'!BN22+'Weekly Analysis'!BO22),2)</f>
        <v>236.65</v>
      </c>
      <c r="AK43" s="247">
        <f>ROUND(AVERAGE('Weekly Analysis'!BP22*'Weekly Analysis'!BP49+'Weekly Analysis'!BQ22*'Weekly Analysis'!BQ49)/('Weekly Analysis'!BP22+'Weekly Analysis'!BQ22),2)</f>
        <v>182.13</v>
      </c>
      <c r="AL43" s="247">
        <f>ROUND(AVERAGE('Weekly Analysis'!BR22*'Weekly Analysis'!BR49+'Weekly Analysis'!BS22*'Weekly Analysis'!BS49)/('Weekly Analysis'!BR22+'Weekly Analysis'!BS22),2)</f>
        <v>196.94</v>
      </c>
      <c r="AM43" s="247">
        <f>ROUND(AVERAGE('Weekly Analysis'!BT22*'Weekly Analysis'!BT49+'Weekly Analysis'!BU22*'Weekly Analysis'!BU49)/('Weekly Analysis'!BT22+'Weekly Analysis'!BU22),2)</f>
        <v>179.09</v>
      </c>
      <c r="AN43" s="247">
        <f>ROUND(AVERAGE('Weekly Analysis'!BV22*'Weekly Analysis'!BV49+'Weekly Analysis'!BW22*'Weekly Analysis'!BW49)/('Weekly Analysis'!BV22+'Weekly Analysis'!BW22),2)</f>
        <v>255.78</v>
      </c>
      <c r="AO43" s="247">
        <v>0</v>
      </c>
      <c r="AP43" s="247">
        <v>0</v>
      </c>
      <c r="AQ43" s="247">
        <f>ROUND(AVERAGE('Weekly Analysis'!CB22*'Weekly Analysis'!CB49+'Weekly Analysis'!CC22*'Weekly Analysis'!CC49)/('Weekly Analysis'!CB22+'Weekly Analysis'!CC22),2)</f>
        <v>332.23</v>
      </c>
      <c r="AR43" s="246">
        <v>0</v>
      </c>
      <c r="AS43" s="246">
        <f>ROUND(AVERAGE('Weekly Analysis'!CF22*'Weekly Analysis'!CF49+'Weekly Analysis'!CG22*'Weekly Analysis'!CG49)/('Weekly Analysis'!CF22+'Weekly Analysis'!CG22),2)</f>
        <v>227.96</v>
      </c>
      <c r="AT43" s="246">
        <f>ROUND(AVERAGE('Weekly Analysis'!CH22*'Weekly Analysis'!CH49+'Weekly Analysis'!CI22*'Weekly Analysis'!CI49)/('Weekly Analysis'!CH22+'Weekly Analysis'!CI22),2)</f>
        <v>374.11</v>
      </c>
      <c r="AU43" s="246">
        <f>ROUND(AVERAGE('Weekly Analysis'!CJ22*'Weekly Analysis'!CJ49+'Weekly Analysis'!CK22*'Weekly Analysis'!CK49)/('Weekly Analysis'!CJ22+'Weekly Analysis'!CK22),2)</f>
        <v>248.76</v>
      </c>
      <c r="AV43" s="247">
        <f>ROUND(AVERAGE('Weekly Analysis'!CL22*'Weekly Analysis'!CL49+'Weekly Analysis'!CM22*'Weekly Analysis'!CM49)/('Weekly Analysis'!CL22+'Weekly Analysis'!CM22),2)</f>
        <v>248.76</v>
      </c>
      <c r="AW43" s="245">
        <f>ROUND(AVERAGE('Weekly Analysis'!CN22*'Weekly Analysis'!CN49+'Weekly Analysis'!CO22*'Weekly Analysis'!CO49)/('Weekly Analysis'!CN22+'Weekly Analysis'!CO22),2)</f>
        <v>172.24</v>
      </c>
      <c r="AX43" s="246">
        <f t="shared" si="4"/>
        <v>-30.760572439298912</v>
      </c>
      <c r="AY43" s="247">
        <f>AW43/AK43*100-100</f>
        <v>-5.430187228902426</v>
      </c>
      <c r="AZ43" s="244"/>
      <c r="BA43" s="311"/>
      <c r="BB43" s="622"/>
      <c r="BC43" s="233"/>
      <c r="BD43" s="233"/>
    </row>
    <row r="44" spans="2:56" ht="25.5" customHeight="1">
      <c r="B44" s="189" t="s">
        <v>37</v>
      </c>
      <c r="C44" s="518">
        <f t="shared" si="3"/>
        <v>150.22500000000002</v>
      </c>
      <c r="D44" s="269">
        <f>ROUND(AVERAGE('Weekly Analysis'!B23*'Weekly Analysis'!B50+'Weekly Analysis'!C23*'Weekly Analysis'!C50)/('Weekly Analysis'!B23+'Weekly Analysis'!C23),2)</f>
        <v>349.21</v>
      </c>
      <c r="E44" s="269">
        <f>ROUND(AVERAGE('Weekly Analysis'!D23*'Weekly Analysis'!D50+'Weekly Analysis'!E23*'Weekly Analysis'!E50)/('Weekly Analysis'!D23+'Weekly Analysis'!E23),2)</f>
        <v>342.47</v>
      </c>
      <c r="F44" s="269">
        <f>ROUND(AVERAGE('Weekly Analysis'!F23*'Weekly Analysis'!F50+'Weekly Analysis'!G23*'Weekly Analysis'!G50)/('Weekly Analysis'!F23+'Weekly Analysis'!G23),2)</f>
        <v>134.65</v>
      </c>
      <c r="G44" s="269">
        <f>ROUND(AVERAGE('Weekly Analysis'!H23*'Weekly Analysis'!H50+'Weekly Analysis'!I23*'Weekly Analysis'!I50)/('Weekly Analysis'!H23+'Weekly Analysis'!I23),2)</f>
        <v>370.41</v>
      </c>
      <c r="H44" s="269">
        <f>ROUND(AVERAGE('Weekly Analysis'!J23*'Weekly Analysis'!J50+'Weekly Analysis'!K23*'Weekly Analysis'!K50)/('Weekly Analysis'!J23+'Weekly Analysis'!K23),2)</f>
        <v>148.4</v>
      </c>
      <c r="I44" s="269">
        <f>ROUND(AVERAGE('Weekly Analysis'!L23*'Weekly Analysis'!L50+'Weekly Analysis'!M23*'Weekly Analysis'!M50)/('Weekly Analysis'!L23+'Weekly Analysis'!M23),2)</f>
        <v>108.96</v>
      </c>
      <c r="J44" s="269">
        <f>ROUND(AVERAGE('Weekly Analysis'!N23*'Weekly Analysis'!N50+'Weekly Analysis'!O23*'Weekly Analysis'!O50)/('Weekly Analysis'!N23+'Weekly Analysis'!O23),2)</f>
        <v>104.71</v>
      </c>
      <c r="K44" s="269">
        <f>ROUND(AVERAGE('Weekly Analysis'!P23*'Weekly Analysis'!P50+'Weekly Analysis'!Q23*'Weekly Analysis'!Q50)/('Weekly Analysis'!P23+'Weekly Analysis'!Q23),2)</f>
        <v>74.37</v>
      </c>
      <c r="L44" s="269">
        <f>ROUND(AVERAGE('Weekly Analysis'!R23*'Weekly Analysis'!R50+'Weekly Analysis'!S23*'Weekly Analysis'!S50)/('Weekly Analysis'!R23+'Weekly Analysis'!S23),2)</f>
        <v>29.66</v>
      </c>
      <c r="M44" s="269">
        <v>0</v>
      </c>
      <c r="N44" s="269">
        <v>0</v>
      </c>
      <c r="O44" s="269">
        <f>ROUND(AVERAGE('Weekly Analysis'!X23*'Weekly Analysis'!X50+'Weekly Analysis'!Y23*'Weekly Analysis'!Y50)/('Weekly Analysis'!X23+'Weekly Analysis'!Y23),2)</f>
        <v>139.86000000000001</v>
      </c>
      <c r="P44" s="269">
        <f>ROUND(AVERAGE('Weekly Analysis'!Z23*'Weekly Analysis'!Z50+'Weekly Analysis'!AA23*'Weekly Analysis'!AA50)/('Weekly Analysis'!Z23+'Weekly Analysis'!AA23),2)</f>
        <v>101.63</v>
      </c>
      <c r="Q44" s="269">
        <f>ROUND(AVERAGE('Weekly Analysis'!AB23*'Weekly Analysis'!AB50+'Weekly Analysis'!AC23*'Weekly Analysis'!AC50)/('Weekly Analysis'!AB23+'Weekly Analysis'!AC23),2)</f>
        <v>265</v>
      </c>
      <c r="R44" s="269">
        <f>ROUND(AVERAGE('Weekly Analysis'!AD23*'Weekly Analysis'!AD50+'Weekly Analysis'!AE23*'Weekly Analysis'!AE50)/('Weekly Analysis'!AD23+'Weekly Analysis'!AE23),2)</f>
        <v>392.27</v>
      </c>
      <c r="S44" s="269">
        <f>ROUND(AVERAGE('Weekly Analysis'!AF23*'Weekly Analysis'!AF50+'Weekly Analysis'!AG23*'Weekly Analysis'!AG50)/('Weekly Analysis'!AF23+'Weekly Analysis'!AG23),2)</f>
        <v>299</v>
      </c>
      <c r="T44" s="269">
        <f>ROUND(AVERAGE('Weekly Analysis'!AH23*'Weekly Analysis'!AH50+'Weekly Analysis'!AI23*'Weekly Analysis'!AI50)/('Weekly Analysis'!AH23+'Weekly Analysis'!AI23),2)</f>
        <v>121.07</v>
      </c>
      <c r="U44" s="269">
        <f>ROUND(AVERAGE('Weekly Analysis'!AJ23*'Weekly Analysis'!AJ50+'Weekly Analysis'!AK23*'Weekly Analysis'!AK50)/('Weekly Analysis'!AJ23+'Weekly Analysis'!AK23),2)</f>
        <v>87.86</v>
      </c>
      <c r="V44" s="269">
        <f>ROUND(AVERAGE('Weekly Analysis'!AL23*'Weekly Analysis'!AL50+'Weekly Analysis'!AM23*'Weekly Analysis'!AM50)/('Weekly Analysis'!AL23+'Weekly Analysis'!AM23),2)</f>
        <v>163.53</v>
      </c>
      <c r="W44" s="269">
        <v>0</v>
      </c>
      <c r="X44" s="269">
        <v>0</v>
      </c>
      <c r="Y44" s="269">
        <v>0</v>
      </c>
      <c r="Z44" s="269">
        <v>0</v>
      </c>
      <c r="AA44" s="269">
        <v>0</v>
      </c>
      <c r="AB44" s="269">
        <f>ROUND(AVERAGE('Weekly Analysis'!AX23*'Weekly Analysis'!AX50+'Weekly Analysis'!AY23*'Weekly Analysis'!AY50)/('Weekly Analysis'!AX23+'Weekly Analysis'!AY23),2)</f>
        <v>88.03</v>
      </c>
      <c r="AC44" s="269">
        <f>ROUND(AVERAGE('Weekly Analysis'!AZ23*'Weekly Analysis'!AZ50+'Weekly Analysis'!BA23*'Weekly Analysis'!BA50)/('Weekly Analysis'!AZ23+'Weekly Analysis'!BA23),2)</f>
        <v>139.63999999999999</v>
      </c>
      <c r="AD44" s="247">
        <f>ROUND(AVERAGE('Weekly Analysis'!BB23*'Weekly Analysis'!BB50+'Weekly Analysis'!BC23*'Weekly Analysis'!BC50)/('Weekly Analysis'!BB23+'Weekly Analysis'!BC23),2)</f>
        <v>130.74</v>
      </c>
      <c r="AE44" s="247">
        <f>ROUND(AVERAGE('Weekly Analysis'!BD23*'Weekly Analysis'!BD50+'Weekly Analysis'!BE23*'Weekly Analysis'!BE50)/('Weekly Analysis'!BD23+'Weekly Analysis'!BE23),2)</f>
        <v>184.3</v>
      </c>
      <c r="AF44" s="247">
        <f>ROUND(AVERAGE('Weekly Analysis'!BF23*'Weekly Analysis'!BF50+'Weekly Analysis'!BG23*'Weekly Analysis'!BG50)/('Weekly Analysis'!BF23+'Weekly Analysis'!BG23),2)</f>
        <v>159.53</v>
      </c>
      <c r="AG44" s="247">
        <f>ROUND(AVERAGE('Weekly Analysis'!BH23*'Weekly Analysis'!BH50+'Weekly Analysis'!BI23*'Weekly Analysis'!BI50)/('Weekly Analysis'!BH23+'Weekly Analysis'!BI23),2)</f>
        <v>117.87</v>
      </c>
      <c r="AH44" s="247">
        <f>ROUND(AVERAGE('Weekly Analysis'!BJ23*'Weekly Analysis'!BJ50+'Weekly Analysis'!BK23*'Weekly Analysis'!BK50)/('Weekly Analysis'!BJ23+'Weekly Analysis'!BK23),2)</f>
        <v>132.75</v>
      </c>
      <c r="AI44" s="247">
        <f>ROUND(AVERAGE('Weekly Analysis'!BL23*'Weekly Analysis'!BL50+'Weekly Analysis'!BM23*'Weekly Analysis'!BM50)/('Weekly Analysis'!BL23+'Weekly Analysis'!BM23),2)</f>
        <v>335.57</v>
      </c>
      <c r="AJ44" s="247">
        <f>ROUND(AVERAGE('Weekly Analysis'!BN23*'Weekly Analysis'!BN50+'Weekly Analysis'!BO23*'Weekly Analysis'!BO50)/('Weekly Analysis'!BN23+'Weekly Analysis'!BO23),2)</f>
        <v>127.49</v>
      </c>
      <c r="AK44" s="247">
        <f>ROUND(AVERAGE('Weekly Analysis'!BP23*'Weekly Analysis'!BP50+'Weekly Analysis'!BQ23*'Weekly Analysis'!BQ50)/('Weekly Analysis'!BP23+'Weekly Analysis'!BQ23),2)</f>
        <v>371.2</v>
      </c>
      <c r="AL44" s="247">
        <f>ROUND(AVERAGE('Weekly Analysis'!BR23*'Weekly Analysis'!BR50+'Weekly Analysis'!BS23*'Weekly Analysis'!BS50)/('Weekly Analysis'!BR23+'Weekly Analysis'!BS23),2)</f>
        <v>112.92</v>
      </c>
      <c r="AM44" s="247">
        <f>ROUND(AVERAGE('Weekly Analysis'!BT23*'Weekly Analysis'!BT50+'Weekly Analysis'!BU23*'Weekly Analysis'!BU50)/('Weekly Analysis'!BT23+'Weekly Analysis'!BU23),2)</f>
        <v>107.08</v>
      </c>
      <c r="AN44" s="247">
        <f>ROUND(AVERAGE('Weekly Analysis'!BV23*'Weekly Analysis'!BV50+'Weekly Analysis'!BW23*'Weekly Analysis'!BW50)/('Weekly Analysis'!BV23+'Weekly Analysis'!BW23),2)</f>
        <v>363.36</v>
      </c>
      <c r="AO44" s="247">
        <f>ROUND(AVERAGE('Weekly Analysis'!BX23*'Weekly Analysis'!BX50+'Weekly Analysis'!BY23*'Weekly Analysis'!BY50)/('Weekly Analysis'!BX23+'Weekly Analysis'!BY23),2)</f>
        <v>342.47</v>
      </c>
      <c r="AP44" s="247">
        <f>ROUND(AVERAGE('Weekly Analysis'!BZ23*'Weekly Analysis'!BZ50+'Weekly Analysis'!CA23*'Weekly Analysis'!CA50)/('Weekly Analysis'!BZ23+'Weekly Analysis'!CA23),2)</f>
        <v>233.69</v>
      </c>
      <c r="AQ44" s="247">
        <f>ROUND(AVERAGE('Weekly Analysis'!CB23*'Weekly Analysis'!CB50+'Weekly Analysis'!CC23*'Weekly Analysis'!CC50)/('Weekly Analysis'!CB23+'Weekly Analysis'!CC23),2)</f>
        <v>171.83</v>
      </c>
      <c r="AR44" s="246">
        <f>ROUND(AVERAGE('Weekly Analysis'!CD23*'Weekly Analysis'!CD50+'Weekly Analysis'!CE23*'Weekly Analysis'!CE50)/('Weekly Analysis'!CD23+'Weekly Analysis'!CE23),2)</f>
        <v>281.42</v>
      </c>
      <c r="AS44" s="246">
        <f>ROUND(AVERAGE('Weekly Analysis'!CF23*'Weekly Analysis'!CF50+'Weekly Analysis'!CG23*'Weekly Analysis'!CG50)/('Weekly Analysis'!CF23+'Weekly Analysis'!CG23),2)</f>
        <v>186.77</v>
      </c>
      <c r="AT44" s="246">
        <f>ROUND(AVERAGE('Weekly Analysis'!CH23*'Weekly Analysis'!CH50+'Weekly Analysis'!CI23*'Weekly Analysis'!CI50)/('Weekly Analysis'!CH23+'Weekly Analysis'!CI23),2)</f>
        <v>132.52000000000001</v>
      </c>
      <c r="AU44" s="246">
        <f>ROUND(AVERAGE('Weekly Analysis'!CJ23*'Weekly Analysis'!CJ50+'Weekly Analysis'!CK23*'Weekly Analysis'!CK50)/('Weekly Analysis'!CJ23+'Weekly Analysis'!CK23),2)</f>
        <v>115.82</v>
      </c>
      <c r="AV44" s="247">
        <f>ROUND(AVERAGE('Weekly Analysis'!CL23*'Weekly Analysis'!CL50+'Weekly Analysis'!CM23*'Weekly Analysis'!CM50)/('Weekly Analysis'!CL23+'Weekly Analysis'!CM23),2)</f>
        <v>118.49</v>
      </c>
      <c r="AW44" s="245">
        <f>ROUND(AVERAGE('Weekly Analysis'!CN23*'Weekly Analysis'!CN50+'Weekly Analysis'!CO23*'Weekly Analysis'!CO50)/('Weekly Analysis'!CN23+'Weekly Analysis'!CO23),2)</f>
        <v>182.32</v>
      </c>
      <c r="AX44" s="246">
        <f t="shared" si="4"/>
        <v>53.869524854418103</v>
      </c>
      <c r="AY44" s="247">
        <f t="shared" si="5"/>
        <v>-50.883620689655174</v>
      </c>
      <c r="AZ44" s="244"/>
      <c r="BA44" s="311"/>
      <c r="BB44" s="622"/>
      <c r="BC44" s="233"/>
      <c r="BD44" s="233"/>
    </row>
    <row r="45" spans="2:56" ht="25.5" customHeight="1">
      <c r="B45" s="189" t="s">
        <v>38</v>
      </c>
      <c r="C45" s="518">
        <f t="shared" si="3"/>
        <v>177.06416666666667</v>
      </c>
      <c r="D45" s="269">
        <f>ROUND(AVERAGE('Weekly Analysis'!B24*'Weekly Analysis'!B51+'Weekly Analysis'!C24*'Weekly Analysis'!C51)/('Weekly Analysis'!B24+'Weekly Analysis'!C24),2)</f>
        <v>225.46</v>
      </c>
      <c r="E45" s="269">
        <f>ROUND(AVERAGE('Weekly Analysis'!D24*'Weekly Analysis'!D51+'Weekly Analysis'!E24*'Weekly Analysis'!E51)/('Weekly Analysis'!D24+'Weekly Analysis'!E24),2)</f>
        <v>233.64</v>
      </c>
      <c r="F45" s="269">
        <f>ROUND(AVERAGE('Weekly Analysis'!F24*'Weekly Analysis'!F51+'Weekly Analysis'!G24*'Weekly Analysis'!G51)/('Weekly Analysis'!F24+'Weekly Analysis'!G24),2)</f>
        <v>140.88999999999999</v>
      </c>
      <c r="G45" s="269">
        <f>ROUND(AVERAGE('Weekly Analysis'!H24*'Weekly Analysis'!H51+'Weekly Analysis'!I24*'Weekly Analysis'!I51)/('Weekly Analysis'!H24+'Weekly Analysis'!I24),2)</f>
        <v>275.7</v>
      </c>
      <c r="H45" s="269">
        <f>ROUND(AVERAGE('Weekly Analysis'!J24*'Weekly Analysis'!J51+'Weekly Analysis'!K24*'Weekly Analysis'!K51)/('Weekly Analysis'!J24+'Weekly Analysis'!K24),2)</f>
        <v>235.75</v>
      </c>
      <c r="I45" s="269">
        <f>ROUND(AVERAGE('Weekly Analysis'!L24*'Weekly Analysis'!L51+'Weekly Analysis'!M24*'Weekly Analysis'!M51)/('Weekly Analysis'!L24+'Weekly Analysis'!M24),2)</f>
        <v>161.62</v>
      </c>
      <c r="J45" s="269">
        <f>ROUND(AVERAGE('Weekly Analysis'!N24*'Weekly Analysis'!N51+'Weekly Analysis'!O24*'Weekly Analysis'!O51)/('Weekly Analysis'!N24+'Weekly Analysis'!O24),2)</f>
        <v>176.74</v>
      </c>
      <c r="K45" s="269">
        <f>ROUND(AVERAGE('Weekly Analysis'!P24*'Weekly Analysis'!P51+'Weekly Analysis'!Q24*'Weekly Analysis'!Q51)/('Weekly Analysis'!P24+'Weekly Analysis'!Q24),2)</f>
        <v>230.52</v>
      </c>
      <c r="L45" s="269">
        <f>ROUND(AVERAGE('Weekly Analysis'!R24*'Weekly Analysis'!R51+'Weekly Analysis'!S24*'Weekly Analysis'!S51)/('Weekly Analysis'!R24+'Weekly Analysis'!S24),2)</f>
        <v>252.14</v>
      </c>
      <c r="M45" s="269">
        <v>0</v>
      </c>
      <c r="N45" s="269">
        <v>0</v>
      </c>
      <c r="O45" s="269">
        <f>ROUND(AVERAGE('Weekly Analysis'!X24*'Weekly Analysis'!X51+'Weekly Analysis'!Y24*'Weekly Analysis'!Y51)/('Weekly Analysis'!X24+'Weekly Analysis'!Y24),2)</f>
        <v>192.31</v>
      </c>
      <c r="P45" s="269">
        <f>ROUND(AVERAGE('Weekly Analysis'!Z24*'Weekly Analysis'!Z51+'Weekly Analysis'!AA24*'Weekly Analysis'!AA51)/('Weekly Analysis'!Z24+'Weekly Analysis'!AA24),2)</f>
        <v>528.33000000000004</v>
      </c>
      <c r="Q45" s="269">
        <f>ROUND(AVERAGE('Weekly Analysis'!AB24*'Weekly Analysis'!AB51+'Weekly Analysis'!AC24*'Weekly Analysis'!AC51)/('Weekly Analysis'!AB24+'Weekly Analysis'!AC24),2)</f>
        <v>131.25</v>
      </c>
      <c r="R45" s="269">
        <f>ROUND(AVERAGE('Weekly Analysis'!AD24*'Weekly Analysis'!AD51+'Weekly Analysis'!AE24*'Weekly Analysis'!AE51)/('Weekly Analysis'!AD24+'Weekly Analysis'!AE24),2)</f>
        <v>227.34</v>
      </c>
      <c r="S45" s="269">
        <f>ROUND(AVERAGE('Weekly Analysis'!AF24*'Weekly Analysis'!AF51+'Weekly Analysis'!AG24*'Weekly Analysis'!AG51)/('Weekly Analysis'!AF24+'Weekly Analysis'!AG24),2)</f>
        <v>373.83</v>
      </c>
      <c r="T45" s="269">
        <f>ROUND(AVERAGE('Weekly Analysis'!AH24*'Weekly Analysis'!AH51+'Weekly Analysis'!AI24*'Weekly Analysis'!AI51)/('Weekly Analysis'!AH24+'Weekly Analysis'!AI24),2)</f>
        <v>293.44</v>
      </c>
      <c r="U45" s="269">
        <f>ROUND(AVERAGE('Weekly Analysis'!AJ24*'Weekly Analysis'!AJ51+'Weekly Analysis'!AK24*'Weekly Analysis'!AK51)/('Weekly Analysis'!AJ24+'Weekly Analysis'!AK24),2)</f>
        <v>243.47</v>
      </c>
      <c r="V45" s="269">
        <f>ROUND(AVERAGE('Weekly Analysis'!AL24*'Weekly Analysis'!AL51+'Weekly Analysis'!AM24*'Weekly Analysis'!AM51)/('Weekly Analysis'!AL24+'Weekly Analysis'!AM24),2)</f>
        <v>163.62</v>
      </c>
      <c r="W45" s="269">
        <v>0</v>
      </c>
      <c r="X45" s="269">
        <v>0</v>
      </c>
      <c r="Y45" s="269">
        <v>0</v>
      </c>
      <c r="Z45" s="269">
        <v>0</v>
      </c>
      <c r="AA45" s="269">
        <v>0</v>
      </c>
      <c r="AB45" s="269">
        <f>ROUND(AVERAGE('Weekly Analysis'!AX24*'Weekly Analysis'!AX51+'Weekly Analysis'!AY24*'Weekly Analysis'!AY51)/('Weekly Analysis'!AX24+'Weekly Analysis'!AY24),2)</f>
        <v>575.54</v>
      </c>
      <c r="AC45" s="269">
        <f>ROUND(AVERAGE('Weekly Analysis'!AZ24*'Weekly Analysis'!AZ51+'Weekly Analysis'!BA24*'Weekly Analysis'!BA51)/('Weekly Analysis'!AZ24+'Weekly Analysis'!BA24),2)</f>
        <v>203.65</v>
      </c>
      <c r="AD45" s="247">
        <f>ROUND(AVERAGE('Weekly Analysis'!BB24*'Weekly Analysis'!BB51+'Weekly Analysis'!BC24*'Weekly Analysis'!BC51)/('Weekly Analysis'!BB24+'Weekly Analysis'!BC24),2)</f>
        <v>141.88</v>
      </c>
      <c r="AE45" s="247">
        <f>ROUND(AVERAGE('Weekly Analysis'!BD24*'Weekly Analysis'!BD51+'Weekly Analysis'!BE24*'Weekly Analysis'!BE51)/('Weekly Analysis'!BD24+'Weekly Analysis'!BE24),2)</f>
        <v>293.87</v>
      </c>
      <c r="AF45" s="247">
        <f>ROUND(AVERAGE('Weekly Analysis'!BF24*'Weekly Analysis'!BF51+'Weekly Analysis'!BG24*'Weekly Analysis'!BG51)/('Weekly Analysis'!BF24+'Weekly Analysis'!BG24),2)</f>
        <v>412.79</v>
      </c>
      <c r="AG45" s="247">
        <f>ROUND(AVERAGE('Weekly Analysis'!BH24*'Weekly Analysis'!BH51+'Weekly Analysis'!BI24*'Weekly Analysis'!BI51)/('Weekly Analysis'!BH24+'Weekly Analysis'!BI24),2)</f>
        <v>95.61</v>
      </c>
      <c r="AH45" s="247">
        <f>ROUND(AVERAGE('Weekly Analysis'!BJ24*'Weekly Analysis'!BJ51+'Weekly Analysis'!BK24*'Weekly Analysis'!BK51)/('Weekly Analysis'!BJ24+'Weekly Analysis'!BK24),2)</f>
        <v>93.68</v>
      </c>
      <c r="AI45" s="247">
        <f>ROUND(AVERAGE('Weekly Analysis'!BL24*'Weekly Analysis'!BL51+'Weekly Analysis'!BM24*'Weekly Analysis'!BM51)/('Weekly Analysis'!BL24+'Weekly Analysis'!BM24),2)</f>
        <v>60.44</v>
      </c>
      <c r="AJ45" s="247">
        <f>ROUND(AVERAGE('Weekly Analysis'!BN24*'Weekly Analysis'!BN51+'Weekly Analysis'!BO24*'Weekly Analysis'!BO51)/('Weekly Analysis'!BN24+'Weekly Analysis'!BO24),2)</f>
        <v>157.72999999999999</v>
      </c>
      <c r="AK45" s="247">
        <f>ROUND(AVERAGE('Weekly Analysis'!BP24*'Weekly Analysis'!BP51+'Weekly Analysis'!BQ24*'Weekly Analysis'!BQ51)/('Weekly Analysis'!BP24+'Weekly Analysis'!BQ24),2)</f>
        <v>271.2</v>
      </c>
      <c r="AL45" s="247">
        <f>ROUND(AVERAGE('Weekly Analysis'!BR24*'Weekly Analysis'!BR51+'Weekly Analysis'!BS24*'Weekly Analysis'!BS51)/('Weekly Analysis'!BR24+'Weekly Analysis'!BS24),2)</f>
        <v>210.06</v>
      </c>
      <c r="AM45" s="247">
        <f>ROUND(AVERAGE('Weekly Analysis'!BT24*'Weekly Analysis'!BT51+'Weekly Analysis'!BU24*'Weekly Analysis'!BU51)/('Weekly Analysis'!BT24+'Weekly Analysis'!BU24),2)</f>
        <v>363.05</v>
      </c>
      <c r="AN45" s="247">
        <f>ROUND(AVERAGE('Weekly Analysis'!BV24*'Weekly Analysis'!BV51+'Weekly Analysis'!BW24*'Weekly Analysis'!BW51)/('Weekly Analysis'!BV24+'Weekly Analysis'!BW24),2)</f>
        <v>227.28</v>
      </c>
      <c r="AO45" s="247">
        <f>ROUND(AVERAGE('Weekly Analysis'!BX24*'Weekly Analysis'!BX51+'Weekly Analysis'!BY24*'Weekly Analysis'!BY51)/('Weekly Analysis'!BX24+'Weekly Analysis'!BY24),2)</f>
        <v>364.98</v>
      </c>
      <c r="AP45" s="247">
        <f>ROUND(AVERAGE('Weekly Analysis'!BZ24*'Weekly Analysis'!BZ51+'Weekly Analysis'!CA24*'Weekly Analysis'!CA51)/('Weekly Analysis'!BZ24+'Weekly Analysis'!CA24),2)</f>
        <v>135.94</v>
      </c>
      <c r="AQ45" s="247">
        <f>ROUND(AVERAGE('Weekly Analysis'!CB24*'Weekly Analysis'!CB51+'Weekly Analysis'!CC24*'Weekly Analysis'!CC51)/('Weekly Analysis'!CB24+'Weekly Analysis'!CC24),2)</f>
        <v>193.53</v>
      </c>
      <c r="AR45" s="246">
        <f>ROUND(AVERAGE('Weekly Analysis'!CD24*'Weekly Analysis'!CD51+'Weekly Analysis'!CE24*'Weekly Analysis'!CE51)/('Weekly Analysis'!CD24+'Weekly Analysis'!CE24),2)</f>
        <v>166.7</v>
      </c>
      <c r="AS45" s="246">
        <f>ROUND(AVERAGE('Weekly Analysis'!CF24*'Weekly Analysis'!CF51+'Weekly Analysis'!CG24*'Weekly Analysis'!CG51)/('Weekly Analysis'!CF24+'Weekly Analysis'!CG24),2)</f>
        <v>119.49</v>
      </c>
      <c r="AT45" s="246">
        <f>ROUND(AVERAGE('Weekly Analysis'!CH24*'Weekly Analysis'!CH51+'Weekly Analysis'!CI24*'Weekly Analysis'!CI51)/('Weekly Analysis'!CH24+'Weekly Analysis'!CI24),2)</f>
        <v>266.41000000000003</v>
      </c>
      <c r="AU45" s="246">
        <f>ROUND(AVERAGE('Weekly Analysis'!CJ24*'Weekly Analysis'!CJ51+'Weekly Analysis'!CK24*'Weekly Analysis'!CK51)/('Weekly Analysis'!CJ24+'Weekly Analysis'!CK24),2)</f>
        <v>174.5</v>
      </c>
      <c r="AV45" s="247">
        <f>ROUND(AVERAGE('Weekly Analysis'!CL24*'Weekly Analysis'!CL51+'Weekly Analysis'!CM24*'Weekly Analysis'!CM51)/('Weekly Analysis'!CL24+'Weekly Analysis'!CM24),2)</f>
        <v>234.36</v>
      </c>
      <c r="AW45" s="245">
        <f>ROUND(AVERAGE('Weekly Analysis'!CN24*'Weekly Analysis'!CN51+'Weekly Analysis'!CO24*'Weekly Analysis'!CO51)/('Weekly Analysis'!CN24+'Weekly Analysis'!CO24),2)</f>
        <v>119.93</v>
      </c>
      <c r="AX45" s="246">
        <f t="shared" si="4"/>
        <v>-48.826591568527057</v>
      </c>
      <c r="AY45" s="247">
        <f t="shared" si="5"/>
        <v>-55.778023598820056</v>
      </c>
      <c r="AZ45" s="244"/>
      <c r="BA45" s="311"/>
      <c r="BB45" s="622"/>
      <c r="BC45" s="233"/>
      <c r="BD45" s="233"/>
    </row>
    <row r="46" spans="2:56" ht="25.5" customHeight="1">
      <c r="B46" s="189" t="s">
        <v>39</v>
      </c>
      <c r="C46" s="518">
        <f t="shared" si="3"/>
        <v>110.42166666666667</v>
      </c>
      <c r="D46" s="269">
        <f>ROUND(AVERAGE('Weekly Analysis'!B25*'Weekly Analysis'!B52+'Weekly Analysis'!C25*'Weekly Analysis'!C52)/('Weekly Analysis'!B25+'Weekly Analysis'!C25),2)</f>
        <v>208.33</v>
      </c>
      <c r="E46" s="269">
        <f>ROUND(AVERAGE('Weekly Analysis'!D25*'Weekly Analysis'!D52+'Weekly Analysis'!E25*'Weekly Analysis'!E52)/('Weekly Analysis'!D25+'Weekly Analysis'!E25),2)</f>
        <v>141.51</v>
      </c>
      <c r="F46" s="269">
        <f>ROUND(AVERAGE('Weekly Analysis'!F25*'Weekly Analysis'!F52+'Weekly Analysis'!G25*'Weekly Analysis'!G52)/('Weekly Analysis'!F25+'Weekly Analysis'!G25),2)</f>
        <v>123.75</v>
      </c>
      <c r="G46" s="269">
        <v>0</v>
      </c>
      <c r="H46" s="269">
        <f>ROUND(AVERAGE('Weekly Analysis'!J25*'Weekly Analysis'!J52+'Weekly Analysis'!K25*'Weekly Analysis'!K52)/('Weekly Analysis'!J25+'Weekly Analysis'!K25),2)</f>
        <v>200.94</v>
      </c>
      <c r="I46" s="269">
        <f>ROUND(AVERAGE('Weekly Analysis'!L25*'Weekly Analysis'!L52+'Weekly Analysis'!M25*'Weekly Analysis'!M52)/('Weekly Analysis'!L25+'Weekly Analysis'!M25),2)</f>
        <v>162.07</v>
      </c>
      <c r="J46" s="269">
        <f>ROUND(AVERAGE('Weekly Analysis'!N25*'Weekly Analysis'!N52+'Weekly Analysis'!O25*'Weekly Analysis'!O52)/('Weekly Analysis'!N25+'Weekly Analysis'!O25),2)</f>
        <v>133.63999999999999</v>
      </c>
      <c r="K46" s="269">
        <f>ROUND(AVERAGE('Weekly Analysis'!P25*'Weekly Analysis'!P52+'Weekly Analysis'!Q25*'Weekly Analysis'!Q52)/('Weekly Analysis'!P25+'Weekly Analysis'!Q25),2)</f>
        <v>122.26</v>
      </c>
      <c r="L46" s="269">
        <f>ROUND(AVERAGE('Weekly Analysis'!R25*'Weekly Analysis'!R52+'Weekly Analysis'!S25*'Weekly Analysis'!S52)/('Weekly Analysis'!R25+'Weekly Analysis'!S25),2)</f>
        <v>108.27</v>
      </c>
      <c r="M46" s="269">
        <v>0</v>
      </c>
      <c r="N46" s="269">
        <v>0</v>
      </c>
      <c r="O46" s="269">
        <f>ROUND(AVERAGE('Weekly Analysis'!X25*'Weekly Analysis'!X52+'Weekly Analysis'!Y25*'Weekly Analysis'!Y52)/('Weekly Analysis'!X25+'Weekly Analysis'!Y25),2)</f>
        <v>124.29</v>
      </c>
      <c r="P46" s="269">
        <f>ROUND(AVERAGE('Weekly Analysis'!Z25*'Weekly Analysis'!Z52+'Weekly Analysis'!AA25*'Weekly Analysis'!AA52)/('Weekly Analysis'!Z25+'Weekly Analysis'!AA25),2)</f>
        <v>122.26</v>
      </c>
      <c r="Q46" s="269">
        <f>ROUND(AVERAGE('Weekly Analysis'!AB25*'Weekly Analysis'!AB52+'Weekly Analysis'!AC25*'Weekly Analysis'!AC52)/('Weekly Analysis'!AB25+'Weekly Analysis'!AC25),2)</f>
        <v>93.75</v>
      </c>
      <c r="R46" s="269">
        <f>ROUND(AVERAGE('Weekly Analysis'!AD25*'Weekly Analysis'!AD52+'Weekly Analysis'!AE25*'Weekly Analysis'!AE52)/('Weekly Analysis'!AD25+'Weekly Analysis'!AE25),2)</f>
        <v>168.25</v>
      </c>
      <c r="S46" s="269">
        <f>ROUND(AVERAGE('Weekly Analysis'!AF25*'Weekly Analysis'!AF52+'Weekly Analysis'!AG25*'Weekly Analysis'!AG52)/('Weekly Analysis'!AF25+'Weekly Analysis'!AG25),2)</f>
        <v>123.46</v>
      </c>
      <c r="T46" s="269">
        <f>ROUND(AVERAGE('Weekly Analysis'!AH25*'Weekly Analysis'!AH52+'Weekly Analysis'!AI25*'Weekly Analysis'!AI52)/('Weekly Analysis'!AH25+'Weekly Analysis'!AI25),2)</f>
        <v>102.63</v>
      </c>
      <c r="U46" s="269">
        <f>ROUND(AVERAGE('Weekly Analysis'!AJ25*'Weekly Analysis'!AJ52+'Weekly Analysis'!AK25*'Weekly Analysis'!AK52)/('Weekly Analysis'!AJ25+'Weekly Analysis'!AK25),2)</f>
        <v>178.57</v>
      </c>
      <c r="V46" s="269">
        <f>ROUND(AVERAGE('Weekly Analysis'!AL25*'Weekly Analysis'!AL52+'Weekly Analysis'!AM25*'Weekly Analysis'!AM52)/('Weekly Analysis'!AL25+'Weekly Analysis'!AM25),2)</f>
        <v>175.17</v>
      </c>
      <c r="W46" s="269">
        <v>0</v>
      </c>
      <c r="X46" s="269">
        <v>0</v>
      </c>
      <c r="Y46" s="269">
        <v>0</v>
      </c>
      <c r="Z46" s="269">
        <v>0</v>
      </c>
      <c r="AA46" s="269">
        <v>0</v>
      </c>
      <c r="AB46" s="269">
        <f>ROUND(AVERAGE('Weekly Analysis'!AX25*'Weekly Analysis'!AX52+'Weekly Analysis'!AY25*'Weekly Analysis'!AY52)/('Weekly Analysis'!AX25+'Weekly Analysis'!AY25),2)</f>
        <v>132.56</v>
      </c>
      <c r="AC46" s="269">
        <f>ROUND(AVERAGE('Weekly Analysis'!AZ25*'Weekly Analysis'!AZ52+'Weekly Analysis'!BA25*'Weekly Analysis'!BA52)/('Weekly Analysis'!AZ25+'Weekly Analysis'!BA25),2)</f>
        <v>143.77000000000001</v>
      </c>
      <c r="AD46" s="247">
        <f>ROUND(AVERAGE('Weekly Analysis'!BB25*'Weekly Analysis'!BB52+'Weekly Analysis'!BC25*'Weekly Analysis'!BC52)/('Weekly Analysis'!BB25+'Weekly Analysis'!BC25),2)</f>
        <v>123.75</v>
      </c>
      <c r="AE46" s="247">
        <f>ROUND(AVERAGE('Weekly Analysis'!BD25*'Weekly Analysis'!BD52+'Weekly Analysis'!BE25*'Weekly Analysis'!BE52)/('Weekly Analysis'!BD25+'Weekly Analysis'!BE25),2)</f>
        <v>185.16</v>
      </c>
      <c r="AF46" s="247">
        <f>ROUND(AVERAGE('Weekly Analysis'!BF25*'Weekly Analysis'!BF52+'Weekly Analysis'!BG25*'Weekly Analysis'!BG52)/('Weekly Analysis'!BF25+'Weekly Analysis'!BG25),2)</f>
        <v>152.21</v>
      </c>
      <c r="AG46" s="247">
        <f>ROUND(AVERAGE('Weekly Analysis'!BH25*'Weekly Analysis'!BH52+'Weekly Analysis'!BI25*'Weekly Analysis'!BI52)/('Weekly Analysis'!BH25+'Weekly Analysis'!BI25),2)</f>
        <v>132.29</v>
      </c>
      <c r="AH46" s="247">
        <f>ROUND(AVERAGE('Weekly Analysis'!BJ25*'Weekly Analysis'!BJ52+'Weekly Analysis'!BK25*'Weekly Analysis'!BK52)/('Weekly Analysis'!BJ25+'Weekly Analysis'!BK25),2)</f>
        <v>80.89</v>
      </c>
      <c r="AI46" s="247">
        <f>ROUND(AVERAGE('Weekly Analysis'!BL25*'Weekly Analysis'!BL52+'Weekly Analysis'!BM25*'Weekly Analysis'!BM52)/('Weekly Analysis'!BL25+'Weekly Analysis'!BM25),2)</f>
        <v>105.34</v>
      </c>
      <c r="AJ46" s="247">
        <f>ROUND(AVERAGE('Weekly Analysis'!BN25*'Weekly Analysis'!BN52+'Weekly Analysis'!BO25*'Weekly Analysis'!BO52)/('Weekly Analysis'!BN25+'Weekly Analysis'!BO25),2)</f>
        <v>121.48</v>
      </c>
      <c r="AK46" s="247">
        <f>ROUND(AVERAGE('Weekly Analysis'!BP25*'Weekly Analysis'!BP52+'Weekly Analysis'!BQ25*'Weekly Analysis'!BQ52)/('Weekly Analysis'!BP25+'Weekly Analysis'!BQ25),2)</f>
        <v>76.459999999999994</v>
      </c>
      <c r="AL46" s="247">
        <f>ROUND(AVERAGE('Weekly Analysis'!BR25*'Weekly Analysis'!BR52+'Weekly Analysis'!BS25*'Weekly Analysis'!BS52)/('Weekly Analysis'!BR25+'Weekly Analysis'!BS25),2)</f>
        <v>78.13</v>
      </c>
      <c r="AM46" s="247">
        <f>ROUND(AVERAGE('Weekly Analysis'!BT25*'Weekly Analysis'!BT52+'Weekly Analysis'!BU25*'Weekly Analysis'!BU52)/('Weekly Analysis'!BT25+'Weekly Analysis'!BU25),2)</f>
        <v>93.3</v>
      </c>
      <c r="AN46" s="247">
        <f>ROUND(AVERAGE('Weekly Analysis'!BV25*'Weekly Analysis'!BV52+'Weekly Analysis'!BW25*'Weekly Analysis'!BW52)/('Weekly Analysis'!BV25+'Weekly Analysis'!BW25),2)</f>
        <v>112.18</v>
      </c>
      <c r="AO46" s="247">
        <f>ROUND(AVERAGE('Weekly Analysis'!BX25*'Weekly Analysis'!BX52+'Weekly Analysis'!BY25*'Weekly Analysis'!BY52)/('Weekly Analysis'!BX25+'Weekly Analysis'!BY25),2)</f>
        <v>141.51</v>
      </c>
      <c r="AP46" s="247">
        <f>ROUND(AVERAGE('Weekly Analysis'!BZ25*'Weekly Analysis'!BZ52+'Weekly Analysis'!CA25*'Weekly Analysis'!CA52)/('Weekly Analysis'!BZ25+'Weekly Analysis'!CA25),2)</f>
        <v>112.36</v>
      </c>
      <c r="AQ46" s="247">
        <f>ROUND(AVERAGE('Weekly Analysis'!CB25*'Weekly Analysis'!CB52+'Weekly Analysis'!CC25*'Weekly Analysis'!CC52)/('Weekly Analysis'!CB25+'Weekly Analysis'!CC25),2)</f>
        <v>166.73</v>
      </c>
      <c r="AR46" s="246">
        <f>ROUND(AVERAGE('Weekly Analysis'!CD25*'Weekly Analysis'!CD52+'Weekly Analysis'!CE25*'Weekly Analysis'!CE52)/('Weekly Analysis'!CD25+'Weekly Analysis'!CE25),2)</f>
        <v>178.77</v>
      </c>
      <c r="AS46" s="246">
        <f>ROUND(AVERAGE('Weekly Analysis'!CF25*'Weekly Analysis'!CF52+'Weekly Analysis'!CG25*'Weekly Analysis'!CG52)/('Weekly Analysis'!CF25+'Weekly Analysis'!CG25),2)</f>
        <v>220.27</v>
      </c>
      <c r="AT46" s="246">
        <f>ROUND(AVERAGE('Weekly Analysis'!CH25*'Weekly Analysis'!CH52+'Weekly Analysis'!CI25*'Weekly Analysis'!CI52)/('Weekly Analysis'!CH25+'Weekly Analysis'!CI25),2)</f>
        <v>119.04</v>
      </c>
      <c r="AU46" s="246">
        <f>ROUND(AVERAGE('Weekly Analysis'!CJ25*'Weekly Analysis'!CJ52+'Weekly Analysis'!CK25*'Weekly Analysis'!CK52)/('Weekly Analysis'!CJ25+'Weekly Analysis'!CK25),2)</f>
        <v>100.97</v>
      </c>
      <c r="AV46" s="247">
        <f>ROUND(AVERAGE('Weekly Analysis'!CL25*'Weekly Analysis'!CL52+'Weekly Analysis'!CM25*'Weekly Analysis'!CM52)/('Weekly Analysis'!CL25+'Weekly Analysis'!CM25),2)</f>
        <v>95.4</v>
      </c>
      <c r="AW46" s="245">
        <f>ROUND(AVERAGE('Weekly Analysis'!CN25*'Weekly Analysis'!CN52+'Weekly Analysis'!CO25*'Weekly Analysis'!CO52)/('Weekly Analysis'!CN25+'Weekly Analysis'!CO25),2)</f>
        <v>103.37</v>
      </c>
      <c r="AX46" s="246">
        <f t="shared" si="4"/>
        <v>8.3542976939203299</v>
      </c>
      <c r="AY46" s="247">
        <f t="shared" si="5"/>
        <v>35.194873136280421</v>
      </c>
      <c r="AZ46" s="244"/>
      <c r="BA46" s="311"/>
      <c r="BB46" s="622"/>
      <c r="BC46" s="233"/>
      <c r="BD46" s="233"/>
    </row>
    <row r="47" spans="2:56" ht="25.5" customHeight="1">
      <c r="B47" s="189" t="s">
        <v>40</v>
      </c>
      <c r="C47" s="518">
        <f t="shared" si="3"/>
        <v>220.05583333333331</v>
      </c>
      <c r="D47" s="269">
        <f>ROUND(AVERAGE('Weekly Analysis'!B26*'Weekly Analysis'!B53+'Weekly Analysis'!C26*'Weekly Analysis'!C53)/('Weekly Analysis'!B26+'Weekly Analysis'!C26),2)</f>
        <v>249.34</v>
      </c>
      <c r="E47" s="269">
        <f>ROUND(AVERAGE('Weekly Analysis'!D26*'Weekly Analysis'!D53+'Weekly Analysis'!E26*'Weekly Analysis'!E53)/('Weekly Analysis'!D26+'Weekly Analysis'!E26),2)</f>
        <v>483.73</v>
      </c>
      <c r="F47" s="269">
        <f>ROUND(AVERAGE('Weekly Analysis'!F26*'Weekly Analysis'!F53+'Weekly Analysis'!G26*'Weekly Analysis'!G53)/('Weekly Analysis'!F26+'Weekly Analysis'!G26),2)</f>
        <v>173.08</v>
      </c>
      <c r="G47" s="269">
        <f>ROUND(AVERAGE('Weekly Analysis'!H26*'Weekly Analysis'!H53+'Weekly Analysis'!I26*'Weekly Analysis'!I53)/('Weekly Analysis'!H26+'Weekly Analysis'!I26),2)</f>
        <v>333.01</v>
      </c>
      <c r="H47" s="269">
        <f>ROUND(AVERAGE('Weekly Analysis'!J26*'Weekly Analysis'!J53+'Weekly Analysis'!K26*'Weekly Analysis'!K53)/('Weekly Analysis'!J26+'Weekly Analysis'!K26),2)</f>
        <v>234.47</v>
      </c>
      <c r="I47" s="269">
        <f>ROUND(AVERAGE('Weekly Analysis'!L26*'Weekly Analysis'!L53+'Weekly Analysis'!M26*'Weekly Analysis'!M53)/('Weekly Analysis'!L26+'Weekly Analysis'!M26),2)</f>
        <v>298.91000000000003</v>
      </c>
      <c r="J47" s="269">
        <f>ROUND(AVERAGE('Weekly Analysis'!N26*'Weekly Analysis'!N53+'Weekly Analysis'!O26*'Weekly Analysis'!O53)/('Weekly Analysis'!N26+'Weekly Analysis'!O26),2)</f>
        <v>281.69</v>
      </c>
      <c r="K47" s="269">
        <f>ROUND(AVERAGE('Weekly Analysis'!P26*'Weekly Analysis'!P53+'Weekly Analysis'!Q26*'Weekly Analysis'!Q53)/('Weekly Analysis'!P26+'Weekly Analysis'!Q26),2)</f>
        <v>253.72</v>
      </c>
      <c r="L47" s="269">
        <f>ROUND(AVERAGE('Weekly Analysis'!R26*'Weekly Analysis'!R53+'Weekly Analysis'!S26*'Weekly Analysis'!S53)/('Weekly Analysis'!R26+'Weekly Analysis'!S26),2)</f>
        <v>277.98</v>
      </c>
      <c r="M47" s="269">
        <v>0</v>
      </c>
      <c r="N47" s="269">
        <v>0</v>
      </c>
      <c r="O47" s="269">
        <f>ROUND(AVERAGE('Weekly Analysis'!X26*'Weekly Analysis'!X53+'Weekly Analysis'!Y26*'Weekly Analysis'!Y53)/('Weekly Analysis'!X26+'Weekly Analysis'!Y26),2)</f>
        <v>54.74</v>
      </c>
      <c r="P47" s="269">
        <f>ROUND(AVERAGE('Weekly Analysis'!Z26*'Weekly Analysis'!Z53+'Weekly Analysis'!AA26*'Weekly Analysis'!AA53)/('Weekly Analysis'!Z26+'Weekly Analysis'!AA26),2)</f>
        <v>189.25</v>
      </c>
      <c r="Q47" s="269">
        <f>ROUND(AVERAGE('Weekly Analysis'!AB26*'Weekly Analysis'!AB53+'Weekly Analysis'!AC26*'Weekly Analysis'!AC53)/('Weekly Analysis'!AB26+'Weekly Analysis'!AC26),2)</f>
        <v>200</v>
      </c>
      <c r="R47" s="269">
        <f>ROUND(AVERAGE('Weekly Analysis'!AD26*'Weekly Analysis'!AD53+'Weekly Analysis'!AE26*'Weekly Analysis'!AE53)/('Weekly Analysis'!AD26+'Weekly Analysis'!AE26),2)</f>
        <v>46.11</v>
      </c>
      <c r="S47" s="269">
        <f>ROUND(AVERAGE('Weekly Analysis'!AF26*'Weekly Analysis'!AF53+'Weekly Analysis'!AG26*'Weekly Analysis'!AG53)/('Weekly Analysis'!AF26+'Weekly Analysis'!AG26),2)</f>
        <v>114.16</v>
      </c>
      <c r="T47" s="269">
        <f>ROUND(AVERAGE('Weekly Analysis'!AH26*'Weekly Analysis'!AH53+'Weekly Analysis'!AI26*'Weekly Analysis'!AI53)/('Weekly Analysis'!AH26+'Weekly Analysis'!AI26),2)</f>
        <v>191.4</v>
      </c>
      <c r="U47" s="269">
        <f>ROUND(AVERAGE('Weekly Analysis'!AJ26*'Weekly Analysis'!AJ53+'Weekly Analysis'!AK26*'Weekly Analysis'!AK53)/('Weekly Analysis'!AJ26+'Weekly Analysis'!AK26),2)</f>
        <v>80.73</v>
      </c>
      <c r="V47" s="269">
        <f>ROUND(AVERAGE('Weekly Analysis'!AL26*'Weekly Analysis'!AL53+'Weekly Analysis'!AM26*'Weekly Analysis'!AM53)/('Weekly Analysis'!AL26+'Weekly Analysis'!AM26),2)</f>
        <v>509.58</v>
      </c>
      <c r="W47" s="269">
        <v>0</v>
      </c>
      <c r="X47" s="269">
        <v>0</v>
      </c>
      <c r="Y47" s="269">
        <v>0</v>
      </c>
      <c r="Z47" s="269">
        <v>0</v>
      </c>
      <c r="AA47" s="269">
        <v>0</v>
      </c>
      <c r="AB47" s="269">
        <f>ROUND(AVERAGE('Weekly Analysis'!AX26*'Weekly Analysis'!AX53+'Weekly Analysis'!AY26*'Weekly Analysis'!AY53)/('Weekly Analysis'!AX26+'Weekly Analysis'!AY26),2)</f>
        <v>173.41</v>
      </c>
      <c r="AC47" s="269">
        <f>ROUND(AVERAGE('Weekly Analysis'!AZ26*'Weekly Analysis'!AZ53+'Weekly Analysis'!BA26*'Weekly Analysis'!BA53)/('Weekly Analysis'!AZ26+'Weekly Analysis'!BA26),2)</f>
        <v>174.96</v>
      </c>
      <c r="AD47" s="247">
        <f>ROUND(AVERAGE('Weekly Analysis'!BB26*'Weekly Analysis'!BB53+'Weekly Analysis'!BC26*'Weekly Analysis'!BC53)/('Weekly Analysis'!BB26+'Weekly Analysis'!BC26),2)</f>
        <v>173.08</v>
      </c>
      <c r="AE47" s="247">
        <f>ROUND(AVERAGE('Weekly Analysis'!BD26*'Weekly Analysis'!BD53+'Weekly Analysis'!BE26*'Weekly Analysis'!BE53)/('Weekly Analysis'!BD26+'Weekly Analysis'!BE26),2)</f>
        <v>60.03</v>
      </c>
      <c r="AF47" s="247">
        <f>ROUND(AVERAGE('Weekly Analysis'!BF26*'Weekly Analysis'!BF53+'Weekly Analysis'!BG26*'Weekly Analysis'!BG53)/('Weekly Analysis'!BF26+'Weekly Analysis'!BG26),2)</f>
        <v>90.93</v>
      </c>
      <c r="AG47" s="247">
        <f>ROUND(AVERAGE('Weekly Analysis'!BH26*'Weekly Analysis'!BH53+'Weekly Analysis'!BI26*'Weekly Analysis'!BI53)/('Weekly Analysis'!BH26+'Weekly Analysis'!BI26),2)</f>
        <v>167.92</v>
      </c>
      <c r="AH47" s="247">
        <f>ROUND(AVERAGE('Weekly Analysis'!BJ26*'Weekly Analysis'!BJ53+'Weekly Analysis'!BK26*'Weekly Analysis'!BK53)/('Weekly Analysis'!BJ26+'Weekly Analysis'!BK26),2)</f>
        <v>148.82</v>
      </c>
      <c r="AI47" s="247">
        <f>ROUND(AVERAGE('Weekly Analysis'!BL26*'Weekly Analysis'!BL53+'Weekly Analysis'!BM26*'Weekly Analysis'!BM53)/('Weekly Analysis'!BL26+'Weekly Analysis'!BM26),2)</f>
        <v>253.68</v>
      </c>
      <c r="AJ47" s="247">
        <f>ROUND(AVERAGE('Weekly Analysis'!BN26*'Weekly Analysis'!BN53+'Weekly Analysis'!BO26*'Weekly Analysis'!BO53)/('Weekly Analysis'!BN26+'Weekly Analysis'!BO26),2)</f>
        <v>137.4</v>
      </c>
      <c r="AK47" s="247">
        <f>ROUND(AVERAGE('Weekly Analysis'!BP26*'Weekly Analysis'!BP53+'Weekly Analysis'!BQ26*'Weekly Analysis'!BQ53)/('Weekly Analysis'!BP26+'Weekly Analysis'!BQ26),2)</f>
        <v>560.21</v>
      </c>
      <c r="AL47" s="247">
        <f>ROUND(AVERAGE('Weekly Analysis'!BR26*'Weekly Analysis'!BR53+'Weekly Analysis'!BS26*'Weekly Analysis'!BS53)/('Weekly Analysis'!BR26+'Weekly Analysis'!BS26),2)</f>
        <v>329.59</v>
      </c>
      <c r="AM47" s="247">
        <f>ROUND(AVERAGE('Weekly Analysis'!BT26*'Weekly Analysis'!BT53+'Weekly Analysis'!BU26*'Weekly Analysis'!BU53)/('Weekly Analysis'!BT26+'Weekly Analysis'!BU26),2)</f>
        <v>195.85</v>
      </c>
      <c r="AN47" s="247">
        <f>ROUND(AVERAGE('Weekly Analysis'!BV26*'Weekly Analysis'!BV53+'Weekly Analysis'!BW26*'Weekly Analysis'!BW53)/('Weekly Analysis'!BV26+'Weekly Analysis'!BW26),2)</f>
        <v>252.47</v>
      </c>
      <c r="AO47" s="247">
        <f>ROUND(AVERAGE('Weekly Analysis'!BX26*'Weekly Analysis'!BX53+'Weekly Analysis'!BY26*'Weekly Analysis'!BY53)/('Weekly Analysis'!BX26+'Weekly Analysis'!BY26),2)</f>
        <v>483.64</v>
      </c>
      <c r="AP47" s="247">
        <f>ROUND(AVERAGE('Weekly Analysis'!BZ26*'Weekly Analysis'!BZ53+'Weekly Analysis'!CA26*'Weekly Analysis'!CA53)/('Weekly Analysis'!BZ26+'Weekly Analysis'!CA26),2)</f>
        <v>75.459999999999994</v>
      </c>
      <c r="AQ47" s="247">
        <f>ROUND(AVERAGE('Weekly Analysis'!CB26*'Weekly Analysis'!CB53+'Weekly Analysis'!CC26*'Weekly Analysis'!CC53)/('Weekly Analysis'!CB26+'Weekly Analysis'!CC26),2)</f>
        <v>68.61</v>
      </c>
      <c r="AR47" s="246">
        <f>ROUND(AVERAGE('Weekly Analysis'!CD26*'Weekly Analysis'!CD53+'Weekly Analysis'!CE26*'Weekly Analysis'!CE53)/('Weekly Analysis'!CD26+'Weekly Analysis'!CE26),2)</f>
        <v>104.65</v>
      </c>
      <c r="AS47" s="246">
        <f>ROUND(AVERAGE('Weekly Analysis'!CF26*'Weekly Analysis'!CF53+'Weekly Analysis'!CG26*'Weekly Analysis'!CG53)/('Weekly Analysis'!CF26+'Weekly Analysis'!CG26),2)</f>
        <v>179.97</v>
      </c>
      <c r="AT47" s="246">
        <f>ROUND(AVERAGE('Weekly Analysis'!CH26*'Weekly Analysis'!CH53+'Weekly Analysis'!CI26*'Weekly Analysis'!CI53)/('Weekly Analysis'!CH26+'Weekly Analysis'!CI26),2)</f>
        <v>220.42</v>
      </c>
      <c r="AU47" s="246">
        <f>ROUND(AVERAGE('Weekly Analysis'!CJ26*'Weekly Analysis'!CJ53+'Weekly Analysis'!CK26*'Weekly Analysis'!CK53)/('Weekly Analysis'!CJ26+'Weekly Analysis'!CK26),2)</f>
        <v>179.14</v>
      </c>
      <c r="AV47" s="247">
        <f>ROUND(AVERAGE('Weekly Analysis'!CL26*'Weekly Analysis'!CL53+'Weekly Analysis'!CM26*'Weekly Analysis'!CM53)/('Weekly Analysis'!CL26+'Weekly Analysis'!CM26),2)</f>
        <v>221</v>
      </c>
      <c r="AW47" s="245">
        <f>ROUND(AVERAGE('Weekly Analysis'!CN26*'Weekly Analysis'!CN53+'Weekly Analysis'!CO26*'Weekly Analysis'!CO53)/('Weekly Analysis'!CN26+'Weekly Analysis'!CO26),2)</f>
        <v>174.36</v>
      </c>
      <c r="AX47" s="246">
        <f t="shared" si="4"/>
        <v>-21.104072398190041</v>
      </c>
      <c r="AY47" s="247">
        <f t="shared" si="5"/>
        <v>-68.875957230324346</v>
      </c>
      <c r="AZ47" s="244"/>
      <c r="BA47" s="311"/>
      <c r="BB47" s="622"/>
      <c r="BC47" s="233"/>
      <c r="BD47" s="233"/>
    </row>
    <row r="48" spans="2:56" ht="25.5" customHeight="1">
      <c r="B48" s="189" t="s">
        <v>41</v>
      </c>
      <c r="C48" s="518">
        <f t="shared" si="3"/>
        <v>457.38750000000005</v>
      </c>
      <c r="D48" s="269">
        <f>ROUND(AVERAGE('Weekly Analysis'!B27*'Weekly Analysis'!B54+'Weekly Analysis'!C27*'Weekly Analysis'!C54)/('Weekly Analysis'!B27+'Weekly Analysis'!C27),2)</f>
        <v>729.93</v>
      </c>
      <c r="E48" s="269">
        <f>ROUND(AVERAGE('Weekly Analysis'!D27*'Weekly Analysis'!D54+'Weekly Analysis'!E27*'Weekly Analysis'!E54)/('Weekly Analysis'!D27+'Weekly Analysis'!E27),2)</f>
        <v>729.93</v>
      </c>
      <c r="F48" s="269">
        <f>ROUND(AVERAGE('Weekly Analysis'!F27*'Weekly Analysis'!F54+'Weekly Analysis'!G27*'Weekly Analysis'!G54)/('Weekly Analysis'!F27+'Weekly Analysis'!G27),2)</f>
        <v>271.99</v>
      </c>
      <c r="G48" s="269">
        <v>0</v>
      </c>
      <c r="H48" s="269">
        <f>ROUND(AVERAGE('Weekly Analysis'!J27*'Weekly Analysis'!J54+'Weekly Analysis'!K27*'Weekly Analysis'!K54)/('Weekly Analysis'!J27+'Weekly Analysis'!K27),2)</f>
        <v>473.68</v>
      </c>
      <c r="I48" s="269">
        <f>ROUND(AVERAGE('Weekly Analysis'!L27*'Weekly Analysis'!L54+'Weekly Analysis'!M27*'Weekly Analysis'!M54)/('Weekly Analysis'!L27+'Weekly Analysis'!M27),2)</f>
        <v>367.11</v>
      </c>
      <c r="J48" s="269">
        <f>ROUND(AVERAGE('Weekly Analysis'!N27*'Weekly Analysis'!N54+'Weekly Analysis'!O27*'Weekly Analysis'!O54)/('Weekly Analysis'!N27+'Weekly Analysis'!O27),2)</f>
        <v>527.11</v>
      </c>
      <c r="K48" s="269">
        <f>ROUND(AVERAGE('Weekly Analysis'!P27*'Weekly Analysis'!P54+'Weekly Analysis'!Q27*'Weekly Analysis'!Q54)/('Weekly Analysis'!P27+'Weekly Analysis'!Q27),2)</f>
        <v>432.76</v>
      </c>
      <c r="L48" s="269">
        <f>ROUND(AVERAGE('Weekly Analysis'!R27*'Weekly Analysis'!R54+'Weekly Analysis'!S27*'Weekly Analysis'!S54)/('Weekly Analysis'!R27+'Weekly Analysis'!S27),2)</f>
        <v>1451.09</v>
      </c>
      <c r="M48" s="269">
        <v>0</v>
      </c>
      <c r="N48" s="269">
        <v>0</v>
      </c>
      <c r="O48" s="269">
        <f>ROUND(AVERAGE('Weekly Analysis'!X27*'Weekly Analysis'!X54+'Weekly Analysis'!Y27*'Weekly Analysis'!Y54)/('Weekly Analysis'!X27+'Weekly Analysis'!Y27),2)</f>
        <v>505.05</v>
      </c>
      <c r="P48" s="269">
        <f>ROUND(AVERAGE('Weekly Analysis'!Z27*'Weekly Analysis'!Z54+'Weekly Analysis'!AA27*'Weekly Analysis'!AA54)/('Weekly Analysis'!Z27+'Weekly Analysis'!AA27),2)</f>
        <v>330.3</v>
      </c>
      <c r="Q48" s="269">
        <f>ROUND(AVERAGE('Weekly Analysis'!AB27*'Weekly Analysis'!AB54+'Weekly Analysis'!AC27*'Weekly Analysis'!AC54)/('Weekly Analysis'!AB27+'Weekly Analysis'!AC27),2)</f>
        <v>330.65</v>
      </c>
      <c r="R48" s="269">
        <f>ROUND(AVERAGE('Weekly Analysis'!AD27*'Weekly Analysis'!AD54+'Weekly Analysis'!AE27*'Weekly Analysis'!AE54)/('Weekly Analysis'!AD27+'Weekly Analysis'!AE27),2)</f>
        <v>330.65</v>
      </c>
      <c r="S48" s="269">
        <v>0</v>
      </c>
      <c r="T48" s="269">
        <f>ROUND(AVERAGE('Weekly Analysis'!AH27*'Weekly Analysis'!AH54+'Weekly Analysis'!AI27*'Weekly Analysis'!AI54)/('Weekly Analysis'!AH27+'Weekly Analysis'!AI27),2)</f>
        <v>330.65</v>
      </c>
      <c r="U48" s="269">
        <f>ROUND(AVERAGE('Weekly Analysis'!AJ27*'Weekly Analysis'!AJ54+'Weekly Analysis'!AK27*'Weekly Analysis'!AK54)/('Weekly Analysis'!AJ27+'Weekly Analysis'!AK27),2)</f>
        <v>370.7</v>
      </c>
      <c r="V48" s="269">
        <f>ROUND(AVERAGE('Weekly Analysis'!AL27*'Weekly Analysis'!AL54+'Weekly Analysis'!AM27*'Weekly Analysis'!AM54)/('Weekly Analysis'!AL27+'Weekly Analysis'!AM27),2)</f>
        <v>240.39</v>
      </c>
      <c r="W48" s="269">
        <v>0</v>
      </c>
      <c r="X48" s="269">
        <v>0</v>
      </c>
      <c r="Y48" s="269">
        <v>0</v>
      </c>
      <c r="Z48" s="269">
        <v>0</v>
      </c>
      <c r="AA48" s="269">
        <v>0</v>
      </c>
      <c r="AB48" s="269">
        <f>ROUND(AVERAGE('Weekly Analysis'!AX27*'Weekly Analysis'!AX54+'Weekly Analysis'!AY27*'Weekly Analysis'!AY54)/('Weekly Analysis'!AX27+'Weekly Analysis'!AY27),2)</f>
        <v>330.06</v>
      </c>
      <c r="AC48" s="269">
        <f>ROUND(AVERAGE('Weekly Analysis'!AZ27*'Weekly Analysis'!AZ54+'Weekly Analysis'!BA27*'Weekly Analysis'!BA54)/('Weekly Analysis'!AZ27+'Weekly Analysis'!BA27),2)</f>
        <v>367.11</v>
      </c>
      <c r="AD48" s="247">
        <f>ROUND(AVERAGE('Weekly Analysis'!BB27*'Weekly Analysis'!BB54+'Weekly Analysis'!BC27*'Weekly Analysis'!BC54)/('Weekly Analysis'!BB27+'Weekly Analysis'!BC27),2)</f>
        <v>338.44</v>
      </c>
      <c r="AE48" s="247">
        <f>ROUND(AVERAGE('Weekly Analysis'!BD27*'Weekly Analysis'!BD54+'Weekly Analysis'!BE27*'Weekly Analysis'!BE54)/('Weekly Analysis'!BD27+'Weekly Analysis'!BE27),2)</f>
        <v>833.33</v>
      </c>
      <c r="AF48" s="247">
        <f>ROUND(AVERAGE('Weekly Analysis'!BF27*'Weekly Analysis'!BF54+'Weekly Analysis'!BG27*'Weekly Analysis'!BG54)/('Weekly Analysis'!BF27+'Weekly Analysis'!BG27),2)</f>
        <v>425.65</v>
      </c>
      <c r="AG48" s="247">
        <f>ROUND(AVERAGE('Weekly Analysis'!BH27*'Weekly Analysis'!BH54+'Weekly Analysis'!BI27*'Weekly Analysis'!BI54)/('Weekly Analysis'!BH27+'Weekly Analysis'!BI27),2)</f>
        <v>423.16</v>
      </c>
      <c r="AH48" s="247">
        <f>ROUND(AVERAGE('Weekly Analysis'!BJ27*'Weekly Analysis'!BJ54+'Weekly Analysis'!BK27*'Weekly Analysis'!BK54)/('Weekly Analysis'!BJ27+'Weekly Analysis'!BK27),2)</f>
        <v>306.91000000000003</v>
      </c>
      <c r="AI48" s="247">
        <f>ROUND(AVERAGE('Weekly Analysis'!BL27*'Weekly Analysis'!BL54+'Weekly Analysis'!BM27*'Weekly Analysis'!BM54)/('Weekly Analysis'!BL27+'Weekly Analysis'!BM27),2)</f>
        <v>394.97</v>
      </c>
      <c r="AJ48" s="247">
        <f>ROUND(AVERAGE('Weekly Analysis'!BN27*'Weekly Analysis'!BN54+'Weekly Analysis'!BO27*'Weekly Analysis'!BO54)/('Weekly Analysis'!BN27+'Weekly Analysis'!BO27),2)</f>
        <v>199.68</v>
      </c>
      <c r="AK48" s="247">
        <f>ROUND(AVERAGE('Weekly Analysis'!BP27*'Weekly Analysis'!BP54+'Weekly Analysis'!BQ27*'Weekly Analysis'!BQ54)/('Weekly Analysis'!BP27+'Weekly Analysis'!BQ27),2)</f>
        <v>214.65</v>
      </c>
      <c r="AL48" s="247">
        <f>ROUND(AVERAGE('Weekly Analysis'!BR27*'Weekly Analysis'!BR54+'Weekly Analysis'!BS27*'Weekly Analysis'!BS54)/('Weekly Analysis'!BR27+'Weekly Analysis'!BS27),2)</f>
        <v>117.67</v>
      </c>
      <c r="AM48" s="247">
        <f>ROUND(AVERAGE('Weekly Analysis'!BT27*'Weekly Analysis'!BT54+'Weekly Analysis'!BU27*'Weekly Analysis'!BU54)/('Weekly Analysis'!BT27+'Weekly Analysis'!BU27),2)</f>
        <v>284.56</v>
      </c>
      <c r="AN48" s="247">
        <f>ROUND(AVERAGE('Weekly Analysis'!BV27*'Weekly Analysis'!BV54+'Weekly Analysis'!BW27*'Weekly Analysis'!BW54)/('Weekly Analysis'!BV27+'Weekly Analysis'!BW27),2)</f>
        <v>729.93</v>
      </c>
      <c r="AO48" s="247">
        <v>0</v>
      </c>
      <c r="AP48" s="247">
        <f>ROUND(AVERAGE('Weekly Analysis'!BZ27*'Weekly Analysis'!BZ54+'Weekly Analysis'!CA27*'Weekly Analysis'!CA54)/('Weekly Analysis'!BZ27+'Weekly Analysis'!CA27),2)</f>
        <v>957.45</v>
      </c>
      <c r="AQ48" s="247">
        <f>ROUND(AVERAGE('Weekly Analysis'!CB27*'Weekly Analysis'!CB54+'Weekly Analysis'!CC27*'Weekly Analysis'!CC54)/('Weekly Analysis'!CB27+'Weekly Analysis'!CC27),2)</f>
        <v>445.5</v>
      </c>
      <c r="AR48" s="246">
        <f>ROUND(AVERAGE('Weekly Analysis'!CD27*'Weekly Analysis'!CD54+'Weekly Analysis'!CE27*'Weekly Analysis'!CE54)/('Weekly Analysis'!CD27+'Weekly Analysis'!CE27),2)</f>
        <v>573.16999999999996</v>
      </c>
      <c r="AS48" s="246">
        <f>ROUND(AVERAGE('Weekly Analysis'!CF27*'Weekly Analysis'!CF54+'Weekly Analysis'!CG27*'Weekly Analysis'!CG54)/('Weekly Analysis'!CF27+'Weekly Analysis'!CG27),2)</f>
        <v>365.94</v>
      </c>
      <c r="AT48" s="246">
        <f>ROUND(AVERAGE('Weekly Analysis'!CH27*'Weekly Analysis'!CH54+'Weekly Analysis'!CI27*'Weekly Analysis'!CI54)/('Weekly Analysis'!CH27+'Weekly Analysis'!CI27),2)</f>
        <v>344.81</v>
      </c>
      <c r="AU48" s="246">
        <f>ROUND(AVERAGE('Weekly Analysis'!CJ27*'Weekly Analysis'!CJ54+'Weekly Analysis'!CK27*'Weekly Analysis'!CK54)/('Weekly Analysis'!CJ27+'Weekly Analysis'!CK27),2)</f>
        <v>180.3</v>
      </c>
      <c r="AV48" s="247">
        <f>ROUND(AVERAGE('Weekly Analysis'!CL27*'Weekly Analysis'!CL54+'Weekly Analysis'!CM27*'Weekly Analysis'!CM54)/('Weekly Analysis'!CL27+'Weekly Analysis'!CM27),2)</f>
        <v>143.13999999999999</v>
      </c>
      <c r="AW48" s="245">
        <f>ROUND(AVERAGE('Weekly Analysis'!CN27*'Weekly Analysis'!CN54+'Weekly Analysis'!CO27*'Weekly Analysis'!CO54)/('Weekly Analysis'!CN27+'Weekly Analysis'!CO27),2)</f>
        <v>174.81</v>
      </c>
      <c r="AX48" s="246">
        <f t="shared" si="4"/>
        <v>22.125192119603199</v>
      </c>
      <c r="AY48" s="247">
        <f t="shared" si="5"/>
        <v>-18.560447239692522</v>
      </c>
      <c r="AZ48" s="244"/>
      <c r="BA48" s="311"/>
      <c r="BB48" s="622"/>
      <c r="BC48" s="233"/>
      <c r="BD48" s="233"/>
    </row>
    <row r="49" spans="2:56" ht="25.5" customHeight="1">
      <c r="B49" s="189" t="s">
        <v>43</v>
      </c>
      <c r="C49" s="518">
        <f t="shared" si="3"/>
        <v>252.99333333333331</v>
      </c>
      <c r="D49" s="269">
        <f>ROUND(AVERAGE('Weekly Analysis'!B28*'Weekly Analysis'!B55+'Weekly Analysis'!C28*'Weekly Analysis'!C55)/('Weekly Analysis'!B28+'Weekly Analysis'!C28),2)</f>
        <v>440</v>
      </c>
      <c r="E49" s="269">
        <f>ROUND(AVERAGE('Weekly Analysis'!D28*'Weekly Analysis'!D55+'Weekly Analysis'!E28*'Weekly Analysis'!E55)/('Weekly Analysis'!D28+'Weekly Analysis'!E28),2)</f>
        <v>330.88</v>
      </c>
      <c r="F49" s="269">
        <v>0</v>
      </c>
      <c r="G49" s="269">
        <f>ROUND(AVERAGE('Weekly Analysis'!H28*'Weekly Analysis'!H55+'Weekly Analysis'!I28*'Weekly Analysis'!I55)/('Weekly Analysis'!H28+'Weekly Analysis'!I28),2)</f>
        <v>306.88</v>
      </c>
      <c r="H49" s="269">
        <f>ROUND(AVERAGE('Weekly Analysis'!J28*'Weekly Analysis'!J55+'Weekly Analysis'!K28*'Weekly Analysis'!K55)/('Weekly Analysis'!J28+'Weekly Analysis'!K28),2)</f>
        <v>364.86</v>
      </c>
      <c r="I49" s="269">
        <f>ROUND(AVERAGE('Weekly Analysis'!L28*'Weekly Analysis'!L55+'Weekly Analysis'!M28*'Weekly Analysis'!M55)/('Weekly Analysis'!L28+'Weekly Analysis'!M28),2)</f>
        <v>453.26</v>
      </c>
      <c r="J49" s="269">
        <f>ROUND(AVERAGE('Weekly Analysis'!N28*'Weekly Analysis'!N55+'Weekly Analysis'!O28*'Weekly Analysis'!O55)/('Weekly Analysis'!N28+'Weekly Analysis'!O28),2)</f>
        <v>325.88</v>
      </c>
      <c r="K49" s="269">
        <f>ROUND(AVERAGE('Weekly Analysis'!P28*'Weekly Analysis'!P55+'Weekly Analysis'!Q28*'Weekly Analysis'!Q55)/('Weekly Analysis'!P28+'Weekly Analysis'!Q28),2)</f>
        <v>264.06</v>
      </c>
      <c r="L49" s="269">
        <f>ROUND(AVERAGE('Weekly Analysis'!R28*'Weekly Analysis'!R55+'Weekly Analysis'!S28*'Weekly Analysis'!S55)/('Weekly Analysis'!R28+'Weekly Analysis'!S28),2)</f>
        <v>351.2</v>
      </c>
      <c r="M49" s="269">
        <v>0</v>
      </c>
      <c r="N49" s="269">
        <v>0</v>
      </c>
      <c r="O49" s="269">
        <f>ROUND(AVERAGE('Weekly Analysis'!X28*'Weekly Analysis'!X55+'Weekly Analysis'!Y28*'Weekly Analysis'!Y55)/('Weekly Analysis'!X28+'Weekly Analysis'!Y28),2)</f>
        <v>198.9</v>
      </c>
      <c r="P49" s="269">
        <f>ROUND(AVERAGE('Weekly Analysis'!Z28*'Weekly Analysis'!Z55+'Weekly Analysis'!AA28*'Weekly Analysis'!AA55)/('Weekly Analysis'!Z28+'Weekly Analysis'!AA28),2)</f>
        <v>213.75</v>
      </c>
      <c r="Q49" s="269">
        <f>ROUND(AVERAGE('Weekly Analysis'!AB28*'Weekly Analysis'!AB55+'Weekly Analysis'!AC28*'Weekly Analysis'!AC55)/('Weekly Analysis'!AB28+'Weekly Analysis'!AC28),2)</f>
        <v>125.63</v>
      </c>
      <c r="R49" s="269">
        <f>ROUND(AVERAGE('Weekly Analysis'!AD28*'Weekly Analysis'!AD55+'Weekly Analysis'!AE28*'Weekly Analysis'!AE55)/('Weekly Analysis'!AD28+'Weekly Analysis'!AE28),2)</f>
        <v>871.08</v>
      </c>
      <c r="S49" s="269">
        <v>0</v>
      </c>
      <c r="T49" s="269">
        <v>0</v>
      </c>
      <c r="U49" s="269">
        <f>ROUND(AVERAGE('Weekly Analysis'!AJ28*'Weekly Analysis'!AJ55+'Weekly Analysis'!AK28*'Weekly Analysis'!AK55)/('Weekly Analysis'!AJ28+'Weekly Analysis'!AK28),2)</f>
        <v>865.05</v>
      </c>
      <c r="V49" s="269">
        <f>ROUND(AVERAGE('Weekly Analysis'!AL28*'Weekly Analysis'!AL55+'Weekly Analysis'!AM28*'Weekly Analysis'!AM55)/('Weekly Analysis'!AL28+'Weekly Analysis'!AM28),2)</f>
        <v>312.63</v>
      </c>
      <c r="W49" s="269">
        <v>0</v>
      </c>
      <c r="X49" s="269">
        <v>0</v>
      </c>
      <c r="Y49" s="269">
        <v>0</v>
      </c>
      <c r="Z49" s="269">
        <v>0</v>
      </c>
      <c r="AA49" s="269">
        <v>0</v>
      </c>
      <c r="AB49" s="269">
        <f>ROUND(AVERAGE('Weekly Analysis'!AX28*'Weekly Analysis'!AX55+'Weekly Analysis'!AY28*'Weekly Analysis'!AY55)/('Weekly Analysis'!AX28+'Weekly Analysis'!AY28),2)</f>
        <v>160.08000000000001</v>
      </c>
      <c r="AC49" s="269">
        <f>ROUND(AVERAGE('Weekly Analysis'!AZ28*'Weekly Analysis'!AZ55+'Weekly Analysis'!BA28*'Weekly Analysis'!BA55)/('Weekly Analysis'!AZ28+'Weekly Analysis'!BA28),2)</f>
        <v>716.68</v>
      </c>
      <c r="AD49" s="247">
        <v>0</v>
      </c>
      <c r="AE49" s="247">
        <f>ROUND(AVERAGE('Weekly Analysis'!BD28*'Weekly Analysis'!BD55+'Weekly Analysis'!BE28*'Weekly Analysis'!BE55)/('Weekly Analysis'!BD28+'Weekly Analysis'!BE28),2)</f>
        <v>1213.5899999999999</v>
      </c>
      <c r="AF49" s="247">
        <f>ROUND(AVERAGE('Weekly Analysis'!BF28*'Weekly Analysis'!BF55+'Weekly Analysis'!BG28*'Weekly Analysis'!BG55)/('Weekly Analysis'!BF28+'Weekly Analysis'!BG28),2)</f>
        <v>781.92</v>
      </c>
      <c r="AG49" s="247">
        <f>ROUND(AVERAGE('Weekly Analysis'!BH28*'Weekly Analysis'!BH55+'Weekly Analysis'!BI28*'Weekly Analysis'!BI55)/('Weekly Analysis'!BH28+'Weekly Analysis'!BI28),2)</f>
        <v>868.06</v>
      </c>
      <c r="AH49" s="247">
        <f>ROUND(AVERAGE('Weekly Analysis'!BJ28*'Weekly Analysis'!BJ55+'Weekly Analysis'!BK28*'Weekly Analysis'!BK55)/('Weekly Analysis'!BJ28+'Weekly Analysis'!BK28),2)</f>
        <v>277.02</v>
      </c>
      <c r="AI49" s="247">
        <f>ROUND(AVERAGE('Weekly Analysis'!BL28*'Weekly Analysis'!BL55+'Weekly Analysis'!BM28*'Weekly Analysis'!BM55)/('Weekly Analysis'!BL28+'Weekly Analysis'!BM28),2)</f>
        <v>203.66</v>
      </c>
      <c r="AJ49" s="247">
        <f>ROUND(AVERAGE('Weekly Analysis'!BN28*'Weekly Analysis'!BN55+'Weekly Analysis'!BO28*'Weekly Analysis'!BO55)/('Weekly Analysis'!BN28+'Weekly Analysis'!BO28),2)</f>
        <v>285.25</v>
      </c>
      <c r="AK49" s="247">
        <f>ROUND(AVERAGE('Weekly Analysis'!BP28*'Weekly Analysis'!BP55+'Weekly Analysis'!BQ28*'Weekly Analysis'!BQ55)/('Weekly Analysis'!BP28+'Weekly Analysis'!BQ28),2)</f>
        <v>123.09</v>
      </c>
      <c r="AL49" s="247">
        <f>ROUND(AVERAGE('Weekly Analysis'!BR28*'Weekly Analysis'!BR55+'Weekly Analysis'!BS28*'Weekly Analysis'!BS55)/('Weekly Analysis'!BR28+'Weekly Analysis'!BS28),2)</f>
        <v>109.66</v>
      </c>
      <c r="AM49" s="247">
        <f>ROUND(AVERAGE('Weekly Analysis'!BT28*'Weekly Analysis'!BT55+'Weekly Analysis'!BU28*'Weekly Analysis'!BU55)/('Weekly Analysis'!BT28+'Weekly Analysis'!BU28),2)</f>
        <v>294.66000000000003</v>
      </c>
      <c r="AN49" s="247">
        <f>ROUND(AVERAGE('Weekly Analysis'!BV28*'Weekly Analysis'!BV55+'Weekly Analysis'!BW28*'Weekly Analysis'!BW55)/('Weekly Analysis'!BV28+'Weekly Analysis'!BW28),2)</f>
        <v>320.98</v>
      </c>
      <c r="AO49" s="247">
        <f>ROUND(AVERAGE('Weekly Analysis'!BX28*'Weekly Analysis'!BX55+'Weekly Analysis'!BY28*'Weekly Analysis'!BY55)/('Weekly Analysis'!BX28+'Weekly Analysis'!BY28),2)</f>
        <v>330.88</v>
      </c>
      <c r="AP49" s="247">
        <v>0</v>
      </c>
      <c r="AQ49" s="247">
        <f>ROUND(AVERAGE('Weekly Analysis'!CB28*'Weekly Analysis'!CB55+'Weekly Analysis'!CC28*'Weekly Analysis'!CC55)/('Weekly Analysis'!CB28+'Weekly Analysis'!CC28),2)</f>
        <v>929.27</v>
      </c>
      <c r="AR49" s="246">
        <f>ROUND(AVERAGE('Weekly Analysis'!CD28*'Weekly Analysis'!CD55+'Weekly Analysis'!CE28*'Weekly Analysis'!CE55)/('Weekly Analysis'!CD28+'Weekly Analysis'!CE28),2)</f>
        <v>899.89</v>
      </c>
      <c r="AS49" s="246">
        <f>ROUND(AVERAGE('Weekly Analysis'!CF28*'Weekly Analysis'!CF55+'Weekly Analysis'!CG28*'Weekly Analysis'!CG55)/('Weekly Analysis'!CF28+'Weekly Analysis'!CG28),2)</f>
        <v>655.13</v>
      </c>
      <c r="AT49" s="246">
        <f>ROUND(AVERAGE('Weekly Analysis'!CH28*'Weekly Analysis'!CH55+'Weekly Analysis'!CI28*'Weekly Analysis'!CI55)/('Weekly Analysis'!CH28+'Weekly Analysis'!CI28),2)</f>
        <v>518.79999999999995</v>
      </c>
      <c r="AU49" s="246">
        <f>ROUND(AVERAGE('Weekly Analysis'!CJ28*'Weekly Analysis'!CJ55+'Weekly Analysis'!CK28*'Weekly Analysis'!CK55)/('Weekly Analysis'!CJ28+'Weekly Analysis'!CK28),2)</f>
        <v>205.92</v>
      </c>
      <c r="AV49" s="247">
        <f>ROUND(AVERAGE('Weekly Analysis'!CL28*'Weekly Analysis'!CL55+'Weekly Analysis'!CM28*'Weekly Analysis'!CM55)/('Weekly Analysis'!CL28+'Weekly Analysis'!CM28),2)</f>
        <v>239.39</v>
      </c>
      <c r="AW49" s="245">
        <f>ROUND(AVERAGE('Weekly Analysis'!CN28*'Weekly Analysis'!CN55+'Weekly Analysis'!CO28*'Weekly Analysis'!CO55)/('Weekly Analysis'!CN28+'Weekly Analysis'!CO28),2)</f>
        <v>155.58000000000001</v>
      </c>
      <c r="AX49" s="246">
        <f t="shared" si="4"/>
        <v>-35.009816617235472</v>
      </c>
      <c r="AY49" s="247">
        <f t="shared" si="5"/>
        <v>26.395320497197176</v>
      </c>
      <c r="AZ49" s="244"/>
      <c r="BA49" s="311"/>
      <c r="BB49" s="622"/>
      <c r="BC49" s="233"/>
      <c r="BD49" s="233"/>
    </row>
    <row r="50" spans="2:56" ht="25.5" customHeight="1">
      <c r="B50" s="189" t="s">
        <v>48</v>
      </c>
      <c r="C50" s="518">
        <f t="shared" si="3"/>
        <v>50.26583333333334</v>
      </c>
      <c r="D50" s="269">
        <f>ROUND(AVERAGE('Weekly Analysis'!B13*'Weekly Analysis'!B40+'Weekly Analysis'!C13*'Weekly Analysis'!C40)/('Weekly Analysis'!B13+'Weekly Analysis'!C13),2)</f>
        <v>69.38</v>
      </c>
      <c r="E50" s="269">
        <f>ROUND(AVERAGE('Weekly Analysis'!D13*'Weekly Analysis'!D40+'Weekly Analysis'!E13*'Weekly Analysis'!E40)/('Weekly Analysis'!D13+'Weekly Analysis'!E13),2)</f>
        <v>85.01</v>
      </c>
      <c r="F50" s="269">
        <f>ROUND(AVERAGE('Weekly Analysis'!F13*'Weekly Analysis'!F40+'Weekly Analysis'!G13*'Weekly Analysis'!G40)/('Weekly Analysis'!F13+'Weekly Analysis'!G13),2)</f>
        <v>30.96</v>
      </c>
      <c r="G50" s="269">
        <f>ROUND(AVERAGE('Weekly Analysis'!H13*'Weekly Analysis'!H40+'Weekly Analysis'!I13*'Weekly Analysis'!I40)/('Weekly Analysis'!H13+'Weekly Analysis'!I13),2)</f>
        <v>62.13</v>
      </c>
      <c r="H50" s="269">
        <f>ROUND(AVERAGE('Weekly Analysis'!J13*'Weekly Analysis'!J40+'Weekly Analysis'!K13*'Weekly Analysis'!K40)/('Weekly Analysis'!J13+'Weekly Analysis'!K13),2)</f>
        <v>44.63</v>
      </c>
      <c r="I50" s="269">
        <f>ROUND(AVERAGE('Weekly Analysis'!L13*'Weekly Analysis'!L40+'Weekly Analysis'!M13*'Weekly Analysis'!M40)/('Weekly Analysis'!L13+'Weekly Analysis'!M13),2)</f>
        <v>60.93</v>
      </c>
      <c r="J50" s="269">
        <f>ROUND(AVERAGE('Weekly Analysis'!N13*'Weekly Analysis'!N40+'Weekly Analysis'!O13*'Weekly Analysis'!O40)/('Weekly Analysis'!N13+'Weekly Analysis'!O13),2)</f>
        <v>58.53</v>
      </c>
      <c r="K50" s="269">
        <f>ROUND(AVERAGE('Weekly Analysis'!P13*'Weekly Analysis'!P40+'Weekly Analysis'!Q13*'Weekly Analysis'!Q40)/('Weekly Analysis'!P13+'Weekly Analysis'!Q13),2)</f>
        <v>83.35</v>
      </c>
      <c r="L50" s="269">
        <f>ROUND(AVERAGE('Weekly Analysis'!R13*'Weekly Analysis'!R40+'Weekly Analysis'!S13*'Weekly Analysis'!S40)/('Weekly Analysis'!R13+'Weekly Analysis'!S13),2)</f>
        <v>71.53</v>
      </c>
      <c r="M50" s="269">
        <v>0</v>
      </c>
      <c r="N50" s="269">
        <v>0</v>
      </c>
      <c r="O50" s="269">
        <f>ROUND(AVERAGE('Weekly Analysis'!X13*'Weekly Analysis'!X40+'Weekly Analysis'!Y13*'Weekly Analysis'!Y40)/('Weekly Analysis'!X13+'Weekly Analysis'!Y13),2)</f>
        <v>36.74</v>
      </c>
      <c r="P50" s="269">
        <f>ROUND(AVERAGE('Weekly Analysis'!Z13*'Weekly Analysis'!Z40+'Weekly Analysis'!AA13*'Weekly Analysis'!AA40)/('Weekly Analysis'!Z13+'Weekly Analysis'!AA13),2)</f>
        <v>85.94</v>
      </c>
      <c r="Q50" s="269">
        <f>ROUND(AVERAGE('Weekly Analysis'!AB13*'Weekly Analysis'!AB40+'Weekly Analysis'!AC13*'Weekly Analysis'!AC40)/('Weekly Analysis'!AB13+'Weekly Analysis'!AC13),2)</f>
        <v>162.5</v>
      </c>
      <c r="R50" s="269">
        <f>ROUND(AVERAGE('Weekly Analysis'!AD13*'Weekly Analysis'!AD40+'Weekly Analysis'!AE13*'Weekly Analysis'!AE40)/('Weekly Analysis'!AD13+'Weekly Analysis'!AE13),2)</f>
        <v>54.22</v>
      </c>
      <c r="S50" s="269">
        <f>ROUND(AVERAGE('Weekly Analysis'!AF13*'Weekly Analysis'!AF40+'Weekly Analysis'!AG13*'Weekly Analysis'!AG40)/('Weekly Analysis'!AF13+'Weekly Analysis'!AG13),2)</f>
        <v>35.71</v>
      </c>
      <c r="T50" s="269">
        <f>ROUND(AVERAGE('Weekly Analysis'!AH13*'Weekly Analysis'!AH40+'Weekly Analysis'!AI13*'Weekly Analysis'!AI40)/('Weekly Analysis'!AH13+'Weekly Analysis'!AI13),2)</f>
        <v>86.78</v>
      </c>
      <c r="U50" s="269">
        <f>ROUND(AVERAGE('Weekly Analysis'!AJ13*'Weekly Analysis'!AJ40+'Weekly Analysis'!AK13*'Weekly Analysis'!AK40)/('Weekly Analysis'!AJ13+'Weekly Analysis'!AK13),2)</f>
        <v>33.68</v>
      </c>
      <c r="V50" s="269">
        <f>ROUND(AVERAGE('Weekly Analysis'!AL13*'Weekly Analysis'!AL40+'Weekly Analysis'!AM13*'Weekly Analysis'!AM40)/('Weekly Analysis'!AL13+'Weekly Analysis'!AM13),2)</f>
        <v>39.869999999999997</v>
      </c>
      <c r="W50" s="269">
        <v>0</v>
      </c>
      <c r="X50" s="269">
        <v>0</v>
      </c>
      <c r="Y50" s="269">
        <v>0</v>
      </c>
      <c r="Z50" s="269">
        <v>0</v>
      </c>
      <c r="AA50" s="269">
        <v>0</v>
      </c>
      <c r="AB50" s="269">
        <f>ROUND(AVERAGE('Weekly Analysis'!AX13*'Weekly Analysis'!AX40+'Weekly Analysis'!AY13*'Weekly Analysis'!AY40)/('Weekly Analysis'!AX13+'Weekly Analysis'!AY13),2)</f>
        <v>82.24</v>
      </c>
      <c r="AC50" s="269">
        <f>ROUND(AVERAGE('Weekly Analysis'!AZ13*'Weekly Analysis'!AZ40+'Weekly Analysis'!BA13*'Weekly Analysis'!BA40)/('Weekly Analysis'!AZ13+'Weekly Analysis'!BA13),2)</f>
        <v>51.01</v>
      </c>
      <c r="AD50" s="247">
        <f>ROUND(AVERAGE('Weekly Analysis'!BB13*'Weekly Analysis'!BB40+'Weekly Analysis'!BC13*'Weekly Analysis'!BC40)/('Weekly Analysis'!BB13+'Weekly Analysis'!BC13),2)</f>
        <v>30.96</v>
      </c>
      <c r="AE50" s="247">
        <f>ROUND(AVERAGE('Weekly Analysis'!BD13*'Weekly Analysis'!BD40+'Weekly Analysis'!BE13*'Weekly Analysis'!BE40)/('Weekly Analysis'!BD13+'Weekly Analysis'!BE13),2)</f>
        <v>31.33</v>
      </c>
      <c r="AF50" s="247">
        <f>ROUND(AVERAGE('Weekly Analysis'!BF13*'Weekly Analysis'!BF40+'Weekly Analysis'!BG13*'Weekly Analysis'!BG40)/('Weekly Analysis'!BF13+'Weekly Analysis'!BG13),2)</f>
        <v>32.9</v>
      </c>
      <c r="AG50" s="247">
        <f>ROUND(AVERAGE('Weekly Analysis'!BH13*'Weekly Analysis'!BH40+'Weekly Analysis'!BI13*'Weekly Analysis'!BI40)/('Weekly Analysis'!BH13+'Weekly Analysis'!BI13),2)</f>
        <v>44.4</v>
      </c>
      <c r="AH50" s="247">
        <f>ROUND(AVERAGE('Weekly Analysis'!BJ13*'Weekly Analysis'!BJ40+'Weekly Analysis'!BK13*'Weekly Analysis'!BK40)/('Weekly Analysis'!BJ13+'Weekly Analysis'!BK13),2)</f>
        <v>44.82</v>
      </c>
      <c r="AI50" s="247">
        <f>ROUND(AVERAGE('Weekly Analysis'!BL13*'Weekly Analysis'!BL40+'Weekly Analysis'!BM13*'Weekly Analysis'!BM40)/('Weekly Analysis'!BL13+'Weekly Analysis'!BM13),2)</f>
        <v>39.520000000000003</v>
      </c>
      <c r="AJ50" s="247">
        <f>ROUND(AVERAGE('Weekly Analysis'!BN13*'Weekly Analysis'!BN40+'Weekly Analysis'!BO13*'Weekly Analysis'!BO40)/('Weekly Analysis'!BN13+'Weekly Analysis'!BO13),2)</f>
        <v>36.64</v>
      </c>
      <c r="AK50" s="247">
        <f>ROUND(AVERAGE('Weekly Analysis'!BP13*'Weekly Analysis'!BP40+'Weekly Analysis'!BQ13*'Weekly Analysis'!BQ40)/('Weekly Analysis'!BP13+'Weekly Analysis'!BQ13),2)</f>
        <v>75.75</v>
      </c>
      <c r="AL50" s="247">
        <f>ROUND(AVERAGE('Weekly Analysis'!BR13*'Weekly Analysis'!BR40+'Weekly Analysis'!BS13*'Weekly Analysis'!BS40)/('Weekly Analysis'!BR13+'Weekly Analysis'!BS13),2)</f>
        <v>58.8</v>
      </c>
      <c r="AM50" s="247">
        <f>ROUND(AVERAGE('Weekly Analysis'!BT13*'Weekly Analysis'!BT40+'Weekly Analysis'!BU13*'Weekly Analysis'!BU40)/('Weekly Analysis'!BT13+'Weekly Analysis'!BU13),2)</f>
        <v>55.21</v>
      </c>
      <c r="AN50" s="247">
        <f>ROUND(AVERAGE('Weekly Analysis'!BV13*'Weekly Analysis'!BV40+'Weekly Analysis'!BW13*'Weekly Analysis'!BW40)/('Weekly Analysis'!BV13+'Weekly Analysis'!BW13),2)</f>
        <v>68.95</v>
      </c>
      <c r="AO50" s="247">
        <f>ROUND(AVERAGE('Weekly Analysis'!BX13*'Weekly Analysis'!BX40+'Weekly Analysis'!BY13*'Weekly Analysis'!BY40)/('Weekly Analysis'!BX13+'Weekly Analysis'!BY13),2)</f>
        <v>85.09</v>
      </c>
      <c r="AP50" s="247">
        <f>ROUND(AVERAGE('Weekly Analysis'!BZ13*'Weekly Analysis'!BZ40+'Weekly Analysis'!CA13*'Weekly Analysis'!CA40)/('Weekly Analysis'!BZ13+'Weekly Analysis'!CA13),2)</f>
        <v>32.35</v>
      </c>
      <c r="AQ50" s="247">
        <f>ROUND(AVERAGE('Weekly Analysis'!CB13*'Weekly Analysis'!CB40+'Weekly Analysis'!CC13*'Weekly Analysis'!CC40)/('Weekly Analysis'!CB13+'Weekly Analysis'!CC13),2)</f>
        <v>34.380000000000003</v>
      </c>
      <c r="AR50" s="246">
        <f>ROUND(AVERAGE('Weekly Analysis'!CD13*'Weekly Analysis'!CD40+'Weekly Analysis'!CE13*'Weekly Analysis'!CE40)/('Weekly Analysis'!CD13+'Weekly Analysis'!CE13),2)</f>
        <v>44.03</v>
      </c>
      <c r="AS50" s="246">
        <f>ROUND(AVERAGE('Weekly Analysis'!CF13*'Weekly Analysis'!CF40+'Weekly Analysis'!CG13*'Weekly Analysis'!CG40)/('Weekly Analysis'!CF13+'Weekly Analysis'!CG13),2)</f>
        <v>47.75</v>
      </c>
      <c r="AT50" s="246">
        <f>ROUND(AVERAGE('Weekly Analysis'!CH13*'Weekly Analysis'!CH40+'Weekly Analysis'!CI13*'Weekly Analysis'!CI40)/('Weekly Analysis'!CH13+'Weekly Analysis'!CI13),2)</f>
        <v>41.21</v>
      </c>
      <c r="AU50" s="246">
        <f>ROUND(AVERAGE('Weekly Analysis'!CJ13*'Weekly Analysis'!CJ40+'Weekly Analysis'!CK13*'Weekly Analysis'!CK40)/('Weekly Analysis'!CJ13+'Weekly Analysis'!CK13),2)</f>
        <v>50.58</v>
      </c>
      <c r="AV50" s="247">
        <f>ROUND(AVERAGE('Weekly Analysis'!CL13*'Weekly Analysis'!CL40+'Weekly Analysis'!CM13*'Weekly Analysis'!CM40)/('Weekly Analysis'!CL13+'Weekly Analysis'!CM13),2)</f>
        <v>49.09</v>
      </c>
      <c r="AW50" s="245">
        <f>ROUND(AVERAGE('Weekly Analysis'!CN13*'Weekly Analysis'!CN40+'Weekly Analysis'!CO13*'Weekly Analysis'!CO40)/('Weekly Analysis'!CN13+'Weekly Analysis'!CO13),2)</f>
        <v>53.63</v>
      </c>
      <c r="AX50" s="246">
        <f t="shared" si="4"/>
        <v>9.2483194133224629</v>
      </c>
      <c r="AY50" s="247">
        <f t="shared" si="5"/>
        <v>-29.201320132013194</v>
      </c>
      <c r="AZ50" s="244"/>
      <c r="BA50" s="311"/>
      <c r="BB50" s="622"/>
      <c r="BC50" s="233"/>
      <c r="BD50" s="233"/>
    </row>
    <row r="51" spans="2:56" ht="25.5" customHeight="1">
      <c r="B51" s="248" t="s">
        <v>49</v>
      </c>
      <c r="C51" s="519">
        <f t="shared" si="3"/>
        <v>123.08416666666669</v>
      </c>
      <c r="D51" s="603">
        <f>ROUND(AVERAGE('Weekly Analysis'!B18*'Weekly Analysis'!B45+'Weekly Analysis'!C18*'Weekly Analysis'!C45)/('Weekly Analysis'!B18+'Weekly Analysis'!C18),2)</f>
        <v>97.41</v>
      </c>
      <c r="E51" s="603">
        <f>ROUND(AVERAGE('Weekly Analysis'!D18*'Weekly Analysis'!D45+'Weekly Analysis'!E18*'Weekly Analysis'!E45)/('Weekly Analysis'!D18+'Weekly Analysis'!E18),2)</f>
        <v>175.62</v>
      </c>
      <c r="F51" s="603">
        <f>ROUND(AVERAGE('Weekly Analysis'!F18*'Weekly Analysis'!F45+'Weekly Analysis'!G18*'Weekly Analysis'!G45)/('Weekly Analysis'!F18+'Weekly Analysis'!G18),2)</f>
        <v>150.75</v>
      </c>
      <c r="G51" s="603">
        <f>ROUND(AVERAGE('Weekly Analysis'!H18*'Weekly Analysis'!H45+'Weekly Analysis'!I18*'Weekly Analysis'!I45)/('Weekly Analysis'!H18+'Weekly Analysis'!I18),2)</f>
        <v>157.52000000000001</v>
      </c>
      <c r="H51" s="603">
        <f>ROUND(AVERAGE('Weekly Analysis'!J18*'Weekly Analysis'!J45+'Weekly Analysis'!K18*'Weekly Analysis'!K45)/('Weekly Analysis'!J18+'Weekly Analysis'!K18),2)</f>
        <v>186.91</v>
      </c>
      <c r="I51" s="603">
        <f>ROUND(AVERAGE('Weekly Analysis'!L18*'Weekly Analysis'!L45+'Weekly Analysis'!M18*'Weekly Analysis'!M45)/('Weekly Analysis'!L18+'Weekly Analysis'!M18),2)</f>
        <v>164.84</v>
      </c>
      <c r="J51" s="603">
        <f>ROUND(AVERAGE('Weekly Analysis'!N18*'Weekly Analysis'!N45+'Weekly Analysis'!O18*'Weekly Analysis'!O45)/('Weekly Analysis'!N18+'Weekly Analysis'!O18),2)</f>
        <v>119.05</v>
      </c>
      <c r="K51" s="603">
        <f>ROUND(AVERAGE('Weekly Analysis'!P18*'Weekly Analysis'!P45+'Weekly Analysis'!Q18*'Weekly Analysis'!Q45)/('Weekly Analysis'!P18+'Weekly Analysis'!Q18),2)</f>
        <v>101.4</v>
      </c>
      <c r="L51" s="603">
        <f>ROUND(AVERAGE('Weekly Analysis'!R18*'Weekly Analysis'!R45+'Weekly Analysis'!S18*'Weekly Analysis'!S45)/('Weekly Analysis'!R18+'Weekly Analysis'!S18),2)</f>
        <v>224.36</v>
      </c>
      <c r="M51" s="603">
        <v>0</v>
      </c>
      <c r="N51" s="603">
        <v>0</v>
      </c>
      <c r="O51" s="603">
        <f>ROUND(AVERAGE('Weekly Analysis'!X18*'Weekly Analysis'!X45+'Weekly Analysis'!Y18*'Weekly Analysis'!Y45)/('Weekly Analysis'!X18+'Weekly Analysis'!Y18),2)</f>
        <v>99.15</v>
      </c>
      <c r="P51" s="603">
        <f>ROUND(AVERAGE('Weekly Analysis'!Z18*'Weekly Analysis'!Z45+'Weekly Analysis'!AA18*'Weekly Analysis'!AA45)/('Weekly Analysis'!Z18+'Weekly Analysis'!AA18),2)</f>
        <v>101.93</v>
      </c>
      <c r="Q51" s="603">
        <f>ROUND(AVERAGE('Weekly Analysis'!AB18*'Weekly Analysis'!AB45+'Weekly Analysis'!AC18*'Weekly Analysis'!AC45)/('Weekly Analysis'!AB18+'Weekly Analysis'!AC18),2)</f>
        <v>148.15</v>
      </c>
      <c r="R51" s="603">
        <f>ROUND(AVERAGE('Weekly Analysis'!AD18*'Weekly Analysis'!AD45+'Weekly Analysis'!AE18*'Weekly Analysis'!AE45)/('Weekly Analysis'!AD18+'Weekly Analysis'!AE18),2)</f>
        <v>126.15</v>
      </c>
      <c r="S51" s="603">
        <f>ROUND(AVERAGE('Weekly Analysis'!AF18*'Weekly Analysis'!AF45+'Weekly Analysis'!AG18*'Weekly Analysis'!AG45)/('Weekly Analysis'!AF18+'Weekly Analysis'!AG18),2)</f>
        <v>137.30000000000001</v>
      </c>
      <c r="T51" s="603">
        <f>ROUND(AVERAGE('Weekly Analysis'!AH18*'Weekly Analysis'!AH45+'Weekly Analysis'!AI18*'Weekly Analysis'!AI45)/('Weekly Analysis'!AH18+'Weekly Analysis'!AI18),2)</f>
        <v>126.33</v>
      </c>
      <c r="U51" s="603">
        <f>ROUND(AVERAGE('Weekly Analysis'!AJ18*'Weekly Analysis'!AJ45+'Weekly Analysis'!AK18*'Weekly Analysis'!AK45)/('Weekly Analysis'!AJ18+'Weekly Analysis'!AK18),2)</f>
        <v>88.05</v>
      </c>
      <c r="V51" s="603">
        <f>ROUND(AVERAGE('Weekly Analysis'!AL18*'Weekly Analysis'!AL45+'Weekly Analysis'!AM18*'Weekly Analysis'!AM45)/('Weekly Analysis'!AL18+'Weekly Analysis'!AM18),2)</f>
        <v>103.93</v>
      </c>
      <c r="W51" s="603">
        <v>0</v>
      </c>
      <c r="X51" s="603">
        <v>0</v>
      </c>
      <c r="Y51" s="603">
        <v>0</v>
      </c>
      <c r="Z51" s="603">
        <v>0</v>
      </c>
      <c r="AA51" s="603">
        <v>0</v>
      </c>
      <c r="AB51" s="603">
        <f>ROUND(AVERAGE('Weekly Analysis'!AX18*'Weekly Analysis'!AX45+'Weekly Analysis'!AY18*'Weekly Analysis'!AY45)/('Weekly Analysis'!AX18+'Weekly Analysis'!AY18),2)</f>
        <v>94.34</v>
      </c>
      <c r="AC51" s="603">
        <f>ROUND(AVERAGE('Weekly Analysis'!AZ18*'Weekly Analysis'!AZ45+'Weekly Analysis'!BA18*'Weekly Analysis'!BA45)/('Weekly Analysis'!AZ18+'Weekly Analysis'!BA18),2)</f>
        <v>164.48</v>
      </c>
      <c r="AD51" s="251">
        <f>ROUND(AVERAGE('Weekly Analysis'!BB18*'Weekly Analysis'!BB45+'Weekly Analysis'!BC18*'Weekly Analysis'!BC45)/('Weekly Analysis'!BB18+'Weekly Analysis'!BC18),2)</f>
        <v>150.75</v>
      </c>
      <c r="AE51" s="251">
        <f>ROUND(AVERAGE('Weekly Analysis'!BD18*'Weekly Analysis'!BD45+'Weekly Analysis'!BE18*'Weekly Analysis'!BE45)/('Weekly Analysis'!BD18+'Weekly Analysis'!BE18),2)</f>
        <v>47.83</v>
      </c>
      <c r="AF51" s="251">
        <f>ROUND(AVERAGE('Weekly Analysis'!BF18*'Weekly Analysis'!BF45+'Weekly Analysis'!BG18*'Weekly Analysis'!BG45)/('Weekly Analysis'!BF18+'Weekly Analysis'!BG18),2)</f>
        <v>61.15</v>
      </c>
      <c r="AG51" s="251">
        <f>ROUND(AVERAGE('Weekly Analysis'!BH18*'Weekly Analysis'!BH45+'Weekly Analysis'!BI18*'Weekly Analysis'!BI45)/('Weekly Analysis'!BH18+'Weekly Analysis'!BI18),2)</f>
        <v>132.97999999999999</v>
      </c>
      <c r="AH51" s="251">
        <f>ROUND(AVERAGE('Weekly Analysis'!BJ18*'Weekly Analysis'!BJ45+'Weekly Analysis'!BK18*'Weekly Analysis'!BK45)/('Weekly Analysis'!BJ18+'Weekly Analysis'!BK18),2)</f>
        <v>97.49</v>
      </c>
      <c r="AI51" s="251">
        <f>ROUND(AVERAGE('Weekly Analysis'!BL18*'Weekly Analysis'!BL45+'Weekly Analysis'!BM18*'Weekly Analysis'!BM45)/('Weekly Analysis'!BL18+'Weekly Analysis'!BM18),2)</f>
        <v>84.32</v>
      </c>
      <c r="AJ51" s="251">
        <f>ROUND(AVERAGE('Weekly Analysis'!BN18*'Weekly Analysis'!BN45+'Weekly Analysis'!BO18*'Weekly Analysis'!BO45)/('Weekly Analysis'!BN18+'Weekly Analysis'!BO18),2)</f>
        <v>104.17</v>
      </c>
      <c r="AK51" s="251">
        <f>ROUND(AVERAGE('Weekly Analysis'!BP18*'Weekly Analysis'!BP45+'Weekly Analysis'!BQ18*'Weekly Analysis'!BQ45)/('Weekly Analysis'!BP18+'Weekly Analysis'!BQ18),2)</f>
        <v>199.38</v>
      </c>
      <c r="AL51" s="251">
        <f>ROUND(AVERAGE('Weekly Analysis'!BR18*'Weekly Analysis'!BR45+'Weekly Analysis'!BS18*'Weekly Analysis'!BS45)/('Weekly Analysis'!BR18+'Weekly Analysis'!BS18),2)</f>
        <v>182.68</v>
      </c>
      <c r="AM51" s="251">
        <f>ROUND(AVERAGE('Weekly Analysis'!BT18*'Weekly Analysis'!BT45+'Weekly Analysis'!BU18*'Weekly Analysis'!BU45)/('Weekly Analysis'!BT18+'Weekly Analysis'!BU18),2)</f>
        <v>55.95</v>
      </c>
      <c r="AN51" s="251">
        <f>ROUND(AVERAGE('Weekly Analysis'!BV18*'Weekly Analysis'!BV45+'Weekly Analysis'!BW18*'Weekly Analysis'!BW45)/('Weekly Analysis'!BV18+'Weekly Analysis'!BW18),2)</f>
        <v>88.66</v>
      </c>
      <c r="AO51" s="251">
        <f>ROUND(AVERAGE('Weekly Analysis'!BX18*'Weekly Analysis'!BX45+'Weekly Analysis'!BY18*'Weekly Analysis'!BY45)/('Weekly Analysis'!BX18+'Weekly Analysis'!BY18),2)</f>
        <v>175.62</v>
      </c>
      <c r="AP51" s="251">
        <f>ROUND(AVERAGE('Weekly Analysis'!BZ18*'Weekly Analysis'!BZ45+'Weekly Analysis'!CA18*'Weekly Analysis'!CA45)/('Weekly Analysis'!BZ18+'Weekly Analysis'!CA18),2)</f>
        <v>117.1</v>
      </c>
      <c r="AQ51" s="251">
        <f>ROUND(AVERAGE('Weekly Analysis'!CB18*'Weekly Analysis'!CB45+'Weekly Analysis'!CC18*'Weekly Analysis'!CC45)/('Weekly Analysis'!CB18+'Weekly Analysis'!CC18),2)</f>
        <v>122.84</v>
      </c>
      <c r="AR51" s="250">
        <f>ROUND(AVERAGE('Weekly Analysis'!CD18*'Weekly Analysis'!CD45+'Weekly Analysis'!CE18*'Weekly Analysis'!CE45)/('Weekly Analysis'!CD18+'Weekly Analysis'!CE18),2)</f>
        <v>49.48</v>
      </c>
      <c r="AS51" s="250">
        <f>ROUND(AVERAGE('Weekly Analysis'!CF18*'Weekly Analysis'!CF45+'Weekly Analysis'!CG18*'Weekly Analysis'!CG45)/('Weekly Analysis'!CF18+'Weekly Analysis'!CG18),2)</f>
        <v>76.13</v>
      </c>
      <c r="AT51" s="250">
        <f>ROUND(AVERAGE('Weekly Analysis'!CH18*'Weekly Analysis'!CH45+'Weekly Analysis'!CI18*'Weekly Analysis'!CI45)/('Weekly Analysis'!CH18+'Weekly Analysis'!CI18),2)</f>
        <v>89.87</v>
      </c>
      <c r="AU51" s="250">
        <f>ROUND(AVERAGE('Weekly Analysis'!CJ18*'Weekly Analysis'!CJ45+'Weekly Analysis'!CK18*'Weekly Analysis'!CK45)/('Weekly Analysis'!CJ18+'Weekly Analysis'!CK18),2)</f>
        <v>128.77000000000001</v>
      </c>
      <c r="AV51" s="251">
        <f>ROUND(AVERAGE('Weekly Analysis'!CL18*'Weekly Analysis'!CL45+'Weekly Analysis'!CM18*'Weekly Analysis'!CM45)/('Weekly Analysis'!CL18+'Weekly Analysis'!CM18),2)</f>
        <v>127.55</v>
      </c>
      <c r="AW51" s="249">
        <f>ROUND(AVERAGE('Weekly Analysis'!CN18*'Weekly Analysis'!CN45+'Weekly Analysis'!CO18*'Weekly Analysis'!CO45)/('Weekly Analysis'!CN18+'Weekly Analysis'!CO18),2)</f>
        <v>150.21</v>
      </c>
      <c r="AX51" s="250">
        <f t="shared" si="4"/>
        <v>17.765582124657001</v>
      </c>
      <c r="AY51" s="251">
        <f t="shared" si="5"/>
        <v>-24.66145049653926</v>
      </c>
      <c r="AZ51" s="244"/>
      <c r="BA51" s="311"/>
      <c r="BB51" s="622"/>
      <c r="BC51" s="233"/>
      <c r="BD51" s="233"/>
    </row>
    <row r="52" spans="2:56" ht="8.25" customHeight="1">
      <c r="B52" s="71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7"/>
      <c r="AX52" s="264"/>
      <c r="AY52" s="264"/>
      <c r="AZ52" s="244"/>
      <c r="BA52" s="311"/>
      <c r="BB52" s="233"/>
      <c r="BC52" s="233"/>
      <c r="BD52" s="233"/>
    </row>
    <row r="53" spans="2:56">
      <c r="B53" s="623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5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  <c r="AA53" s="235"/>
      <c r="AB53" s="234"/>
      <c r="AC53" s="234"/>
      <c r="AD53" s="234"/>
      <c r="AE53" s="234"/>
      <c r="AF53" s="234"/>
      <c r="AG53" s="234"/>
      <c r="AH53" s="234"/>
      <c r="AI53" s="234"/>
      <c r="AJ53" s="234"/>
      <c r="AK53" s="234"/>
      <c r="AL53" s="234"/>
      <c r="AM53" s="235"/>
      <c r="AN53" s="235"/>
      <c r="AO53" s="234"/>
      <c r="AP53" s="511"/>
      <c r="AQ53" s="234"/>
      <c r="AR53" s="234"/>
      <c r="AS53" s="234"/>
      <c r="AT53" s="234"/>
      <c r="AU53" s="234"/>
      <c r="AV53" s="234"/>
      <c r="AW53" s="234"/>
      <c r="AX53" s="235"/>
      <c r="AY53" s="233"/>
      <c r="AZ53" s="233"/>
      <c r="BA53" s="311"/>
      <c r="BB53" s="233"/>
      <c r="BC53" s="233"/>
      <c r="BD53" s="233"/>
    </row>
    <row r="54" spans="2:56">
      <c r="B54" s="62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  <c r="AA54" s="234"/>
      <c r="AB54" s="234"/>
      <c r="AC54" s="234"/>
      <c r="AD54" s="234"/>
      <c r="AE54" s="234"/>
      <c r="AF54" s="234"/>
      <c r="AG54" s="234"/>
      <c r="AH54" s="234"/>
      <c r="AI54" s="234"/>
      <c r="AJ54" s="234"/>
      <c r="AK54" s="234"/>
      <c r="AL54" s="234"/>
      <c r="AM54" s="234"/>
      <c r="AN54" s="234"/>
      <c r="AO54" s="234"/>
      <c r="AP54" s="234"/>
      <c r="AQ54" s="234"/>
      <c r="AR54" s="234"/>
      <c r="AS54" s="234"/>
      <c r="AT54" s="234"/>
      <c r="AU54" s="234"/>
      <c r="AV54" s="234"/>
      <c r="AW54" s="234"/>
      <c r="AX54" s="234"/>
      <c r="AY54" s="233"/>
      <c r="AZ54" s="233"/>
      <c r="BA54" s="311"/>
      <c r="BB54" s="233"/>
      <c r="BC54" s="233"/>
      <c r="BD54" s="233"/>
    </row>
    <row r="55" spans="2:56" ht="18.5">
      <c r="B55" s="625" t="s">
        <v>165</v>
      </c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234"/>
      <c r="AA55" s="234"/>
      <c r="AB55" s="234"/>
      <c r="AC55" s="234"/>
      <c r="AD55" s="234"/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234"/>
      <c r="AQ55" s="234"/>
      <c r="AR55" s="234"/>
      <c r="AS55" s="234"/>
      <c r="AT55" s="234"/>
      <c r="AU55" s="234"/>
      <c r="AV55" s="234"/>
      <c r="AW55" s="234"/>
      <c r="AX55" s="235"/>
      <c r="AY55" s="233"/>
      <c r="AZ55" s="233"/>
      <c r="BA55" s="311"/>
      <c r="BB55" s="233"/>
      <c r="BC55" s="233"/>
      <c r="BD55" s="233"/>
    </row>
    <row r="56" spans="2:56">
      <c r="B56" s="626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  <c r="AA56" s="234"/>
      <c r="AB56" s="234"/>
      <c r="AC56" s="234"/>
      <c r="AD56" s="234"/>
      <c r="AE56" s="234"/>
      <c r="AF56" s="234"/>
      <c r="AG56" s="234"/>
      <c r="AH56" s="234"/>
      <c r="AI56" s="234"/>
      <c r="AJ56" s="234"/>
      <c r="AK56" s="234"/>
      <c r="AL56" s="234"/>
      <c r="AM56" s="234"/>
      <c r="AN56" s="234"/>
      <c r="AO56" s="234"/>
      <c r="AP56" s="234"/>
      <c r="AQ56" s="234"/>
      <c r="AR56" s="234"/>
      <c r="AS56" s="234"/>
      <c r="AT56" s="234"/>
      <c r="AU56" s="234"/>
      <c r="AV56" s="234"/>
      <c r="AW56" s="234"/>
      <c r="AX56" s="234"/>
      <c r="AY56" s="233"/>
      <c r="AZ56" s="233"/>
      <c r="BA56" s="311"/>
      <c r="BB56" s="233"/>
      <c r="BC56" s="233"/>
      <c r="BD56" s="233"/>
    </row>
    <row r="57" spans="2:56" ht="39.75" customHeight="1">
      <c r="B57" s="627" t="s">
        <v>56</v>
      </c>
      <c r="C57" s="258" t="s">
        <v>214</v>
      </c>
      <c r="D57" s="270" t="s">
        <v>312</v>
      </c>
      <c r="E57" s="270" t="s">
        <v>313</v>
      </c>
      <c r="F57" s="270" t="s">
        <v>314</v>
      </c>
      <c r="G57" s="270" t="s">
        <v>315</v>
      </c>
      <c r="H57" s="270" t="s">
        <v>316</v>
      </c>
      <c r="I57" s="270" t="s">
        <v>317</v>
      </c>
      <c r="J57" s="270" t="s">
        <v>318</v>
      </c>
      <c r="K57" s="270" t="s">
        <v>319</v>
      </c>
      <c r="L57" s="270" t="s">
        <v>320</v>
      </c>
      <c r="M57" s="270" t="s">
        <v>321</v>
      </c>
      <c r="N57" s="270" t="s">
        <v>322</v>
      </c>
      <c r="O57" s="270" t="s">
        <v>323</v>
      </c>
      <c r="P57" s="270" t="s">
        <v>300</v>
      </c>
      <c r="Q57" s="270" t="s">
        <v>301</v>
      </c>
      <c r="R57" s="270" t="s">
        <v>302</v>
      </c>
      <c r="S57" s="270" t="s">
        <v>303</v>
      </c>
      <c r="T57" s="270" t="s">
        <v>304</v>
      </c>
      <c r="U57" s="270" t="s">
        <v>305</v>
      </c>
      <c r="V57" s="270" t="s">
        <v>306</v>
      </c>
      <c r="W57" s="270" t="s">
        <v>307</v>
      </c>
      <c r="X57" s="270" t="s">
        <v>308</v>
      </c>
      <c r="Y57" s="270" t="s">
        <v>309</v>
      </c>
      <c r="Z57" s="270" t="s">
        <v>310</v>
      </c>
      <c r="AA57" s="270" t="s">
        <v>311</v>
      </c>
      <c r="AB57" s="270" t="s">
        <v>166</v>
      </c>
      <c r="AC57" s="270" t="s">
        <v>167</v>
      </c>
      <c r="AD57" s="270" t="s">
        <v>168</v>
      </c>
      <c r="AE57" s="270" t="s">
        <v>169</v>
      </c>
      <c r="AF57" s="270" t="s">
        <v>170</v>
      </c>
      <c r="AG57" s="270" t="s">
        <v>171</v>
      </c>
      <c r="AH57" s="270" t="s">
        <v>172</v>
      </c>
      <c r="AI57" s="270" t="s">
        <v>173</v>
      </c>
      <c r="AJ57" s="270" t="s">
        <v>174</v>
      </c>
      <c r="AK57" s="270" t="s">
        <v>175</v>
      </c>
      <c r="AL57" s="270" t="s">
        <v>176</v>
      </c>
      <c r="AM57" s="270" t="s">
        <v>177</v>
      </c>
      <c r="AN57" s="270" t="s">
        <v>178</v>
      </c>
      <c r="AO57" s="270" t="s">
        <v>179</v>
      </c>
      <c r="AP57" s="270" t="s">
        <v>180</v>
      </c>
      <c r="AQ57" s="270" t="s">
        <v>181</v>
      </c>
      <c r="AR57" s="270" t="s">
        <v>183</v>
      </c>
      <c r="AS57" s="270" t="s">
        <v>334</v>
      </c>
      <c r="AT57" s="270" t="s">
        <v>335</v>
      </c>
      <c r="AU57" s="270" t="s">
        <v>336</v>
      </c>
      <c r="AV57" s="270" t="s">
        <v>337</v>
      </c>
      <c r="AW57" s="270" t="s">
        <v>338</v>
      </c>
      <c r="AX57" s="646" t="s">
        <v>160</v>
      </c>
      <c r="AY57" s="646" t="s">
        <v>341</v>
      </c>
      <c r="AZ57" s="253"/>
      <c r="BA57" s="309"/>
      <c r="BB57" s="271"/>
      <c r="BC57" s="271"/>
    </row>
    <row r="58" spans="2:56" ht="25.5" customHeight="1">
      <c r="B58" s="186" t="s">
        <v>9</v>
      </c>
      <c r="C58" s="520">
        <f>SUM(D58:O58)</f>
        <v>115.92999999999999</v>
      </c>
      <c r="D58" s="241">
        <f t="shared" ref="D58:AT58" si="6">ROUND((D32*D8)/1000,2)</f>
        <v>1.88</v>
      </c>
      <c r="E58" s="242">
        <f t="shared" si="6"/>
        <v>2.56</v>
      </c>
      <c r="F58" s="242">
        <f t="shared" si="6"/>
        <v>15.94</v>
      </c>
      <c r="G58" s="242">
        <f t="shared" si="6"/>
        <v>20.03</v>
      </c>
      <c r="H58" s="242">
        <f t="shared" si="6"/>
        <v>16.03</v>
      </c>
      <c r="I58" s="242">
        <f t="shared" si="6"/>
        <v>2.89</v>
      </c>
      <c r="J58" s="242">
        <f t="shared" si="6"/>
        <v>10.84</v>
      </c>
      <c r="K58" s="242">
        <f t="shared" si="6"/>
        <v>36.53</v>
      </c>
      <c r="L58" s="242">
        <f t="shared" si="6"/>
        <v>7.27</v>
      </c>
      <c r="M58" s="242">
        <f t="shared" si="6"/>
        <v>0</v>
      </c>
      <c r="N58" s="242">
        <f t="shared" si="6"/>
        <v>0</v>
      </c>
      <c r="O58" s="243">
        <f t="shared" si="6"/>
        <v>1.96</v>
      </c>
      <c r="P58" s="241">
        <f t="shared" si="6"/>
        <v>19.14</v>
      </c>
      <c r="Q58" s="242">
        <f t="shared" si="6"/>
        <v>5.63</v>
      </c>
      <c r="R58" s="242">
        <f t="shared" si="6"/>
        <v>42.26</v>
      </c>
      <c r="S58" s="242">
        <f t="shared" si="6"/>
        <v>27.99</v>
      </c>
      <c r="T58" s="242">
        <f t="shared" si="6"/>
        <v>62.52</v>
      </c>
      <c r="U58" s="242">
        <f t="shared" si="6"/>
        <v>80.650000000000006</v>
      </c>
      <c r="V58" s="242">
        <f t="shared" si="6"/>
        <v>78.47</v>
      </c>
      <c r="W58" s="242">
        <f t="shared" si="6"/>
        <v>0</v>
      </c>
      <c r="X58" s="242">
        <f t="shared" si="6"/>
        <v>0</v>
      </c>
      <c r="Y58" s="242">
        <f t="shared" si="6"/>
        <v>0</v>
      </c>
      <c r="Z58" s="242">
        <f t="shared" si="6"/>
        <v>0</v>
      </c>
      <c r="AA58" s="243">
        <f t="shared" si="6"/>
        <v>0</v>
      </c>
      <c r="AB58" s="241">
        <f t="shared" si="6"/>
        <v>13.29</v>
      </c>
      <c r="AC58" s="242">
        <f t="shared" si="6"/>
        <v>3.47</v>
      </c>
      <c r="AD58" s="242">
        <f t="shared" si="6"/>
        <v>13.81</v>
      </c>
      <c r="AE58" s="242">
        <f t="shared" si="6"/>
        <v>24.14</v>
      </c>
      <c r="AF58" s="242">
        <f t="shared" si="6"/>
        <v>56.14</v>
      </c>
      <c r="AG58" s="242">
        <f t="shared" si="6"/>
        <v>108.43</v>
      </c>
      <c r="AH58" s="242">
        <f t="shared" si="6"/>
        <v>87.45</v>
      </c>
      <c r="AI58" s="242">
        <f t="shared" si="6"/>
        <v>99.9</v>
      </c>
      <c r="AJ58" s="242">
        <f t="shared" si="6"/>
        <v>46.02</v>
      </c>
      <c r="AK58" s="242">
        <f t="shared" si="6"/>
        <v>33.86</v>
      </c>
      <c r="AL58" s="242">
        <f t="shared" si="6"/>
        <v>41.59</v>
      </c>
      <c r="AM58" s="242">
        <f t="shared" si="6"/>
        <v>138.78</v>
      </c>
      <c r="AN58" s="242">
        <f t="shared" si="6"/>
        <v>1.88</v>
      </c>
      <c r="AO58" s="242">
        <f>ROUND((AO32*AO8)/1000,2)</f>
        <v>2.56</v>
      </c>
      <c r="AP58" s="242">
        <f t="shared" si="6"/>
        <v>25.7</v>
      </c>
      <c r="AQ58" s="242">
        <f t="shared" si="6"/>
        <v>6.22</v>
      </c>
      <c r="AR58" s="242">
        <f t="shared" si="6"/>
        <v>91.16</v>
      </c>
      <c r="AS58" s="242">
        <f t="shared" si="6"/>
        <v>58.78</v>
      </c>
      <c r="AT58" s="242">
        <f t="shared" si="6"/>
        <v>137.25</v>
      </c>
      <c r="AU58" s="242">
        <f t="shared" ref="AU58:AW58" si="7">ROUND((AU32*AU8)/1000,2)</f>
        <v>59.08</v>
      </c>
      <c r="AV58" s="242">
        <f t="shared" si="7"/>
        <v>58.8</v>
      </c>
      <c r="AW58" s="242">
        <f t="shared" si="7"/>
        <v>53.6</v>
      </c>
      <c r="AX58" s="242">
        <f>AW58/AV58*100-100</f>
        <v>-8.8435374149659793</v>
      </c>
      <c r="AY58" s="243">
        <f>AW58/AK58*100-100</f>
        <v>58.298877731836967</v>
      </c>
      <c r="AZ58" s="244"/>
      <c r="BA58" s="634"/>
      <c r="BB58" s="653"/>
      <c r="BC58" s="628"/>
    </row>
    <row r="59" spans="2:56" ht="25.5" customHeight="1">
      <c r="B59" s="189" t="s">
        <v>12</v>
      </c>
      <c r="C59" s="521">
        <f t="shared" ref="C59:C77" si="8">SUM(D59:O59)</f>
        <v>1267.17</v>
      </c>
      <c r="D59" s="245">
        <f t="shared" ref="D59:AS59" si="9">ROUND((D33*D9)/1000,2)</f>
        <v>32.340000000000003</v>
      </c>
      <c r="E59" s="246">
        <f t="shared" si="9"/>
        <v>59.41</v>
      </c>
      <c r="F59" s="246">
        <f t="shared" si="9"/>
        <v>42.53</v>
      </c>
      <c r="G59" s="246">
        <f t="shared" si="9"/>
        <v>172.26</v>
      </c>
      <c r="H59" s="246">
        <f t="shared" si="9"/>
        <v>103.35</v>
      </c>
      <c r="I59" s="246">
        <f t="shared" si="9"/>
        <v>50.46</v>
      </c>
      <c r="J59" s="246">
        <f t="shared" si="9"/>
        <v>337.41</v>
      </c>
      <c r="K59" s="246">
        <f t="shared" si="9"/>
        <v>211.7</v>
      </c>
      <c r="L59" s="246">
        <f t="shared" si="9"/>
        <v>5.4</v>
      </c>
      <c r="M59" s="246">
        <f t="shared" si="9"/>
        <v>0</v>
      </c>
      <c r="N59" s="246">
        <f t="shared" si="9"/>
        <v>0</v>
      </c>
      <c r="O59" s="247">
        <f t="shared" si="9"/>
        <v>252.31</v>
      </c>
      <c r="P59" s="245">
        <f t="shared" si="9"/>
        <v>208.98</v>
      </c>
      <c r="Q59" s="246">
        <f t="shared" si="9"/>
        <v>161.36000000000001</v>
      </c>
      <c r="R59" s="246">
        <f t="shared" si="9"/>
        <v>35.14</v>
      </c>
      <c r="S59" s="246">
        <f t="shared" si="9"/>
        <v>15.65</v>
      </c>
      <c r="T59" s="246">
        <f t="shared" si="9"/>
        <v>154.81</v>
      </c>
      <c r="U59" s="246">
        <f t="shared" si="9"/>
        <v>212.25</v>
      </c>
      <c r="V59" s="246">
        <f t="shared" si="9"/>
        <v>175.08</v>
      </c>
      <c r="W59" s="246">
        <f t="shared" si="9"/>
        <v>0</v>
      </c>
      <c r="X59" s="246">
        <f t="shared" si="9"/>
        <v>0</v>
      </c>
      <c r="Y59" s="246">
        <f t="shared" si="9"/>
        <v>0</v>
      </c>
      <c r="Z59" s="246">
        <f t="shared" si="9"/>
        <v>0</v>
      </c>
      <c r="AA59" s="247">
        <f t="shared" si="9"/>
        <v>0</v>
      </c>
      <c r="AB59" s="245">
        <f t="shared" si="9"/>
        <v>187.97</v>
      </c>
      <c r="AC59" s="246">
        <f t="shared" si="9"/>
        <v>175.42</v>
      </c>
      <c r="AD59" s="246">
        <f t="shared" si="9"/>
        <v>42.53</v>
      </c>
      <c r="AE59" s="246">
        <f t="shared" si="9"/>
        <v>5.96</v>
      </c>
      <c r="AF59" s="246">
        <f t="shared" si="9"/>
        <v>118.1</v>
      </c>
      <c r="AG59" s="246">
        <f t="shared" si="9"/>
        <v>105.56</v>
      </c>
      <c r="AH59" s="246">
        <f t="shared" si="9"/>
        <v>82.79</v>
      </c>
      <c r="AI59" s="246">
        <f t="shared" si="9"/>
        <v>218.07</v>
      </c>
      <c r="AJ59" s="246">
        <f t="shared" si="9"/>
        <v>112.57</v>
      </c>
      <c r="AK59" s="246">
        <f t="shared" si="9"/>
        <v>230.55</v>
      </c>
      <c r="AL59" s="246">
        <f t="shared" si="9"/>
        <v>196.07</v>
      </c>
      <c r="AM59" s="246">
        <f t="shared" si="9"/>
        <v>61.83</v>
      </c>
      <c r="AN59" s="246">
        <f t="shared" si="9"/>
        <v>87</v>
      </c>
      <c r="AO59" s="246">
        <f t="shared" si="9"/>
        <v>20.57</v>
      </c>
      <c r="AP59" s="246">
        <f t="shared" si="9"/>
        <v>306.60000000000002</v>
      </c>
      <c r="AQ59" s="246">
        <f t="shared" si="9"/>
        <v>189.85</v>
      </c>
      <c r="AR59" s="247">
        <f t="shared" si="9"/>
        <v>328.55</v>
      </c>
      <c r="AS59" s="246">
        <f t="shared" si="9"/>
        <v>162.21</v>
      </c>
      <c r="AT59" s="246">
        <f t="shared" ref="AT59:AW77" si="10">ROUND((AT33*AT9)/1000,2)</f>
        <v>99.9</v>
      </c>
      <c r="AU59" s="246">
        <f t="shared" si="10"/>
        <v>140.58000000000001</v>
      </c>
      <c r="AV59" s="246">
        <f t="shared" si="10"/>
        <v>50.16</v>
      </c>
      <c r="AW59" s="246">
        <f t="shared" si="10"/>
        <v>100.37</v>
      </c>
      <c r="AX59" s="246">
        <f t="shared" ref="AX59:AX78" si="11">AW59/AV59*100-100</f>
        <v>100.09968102073367</v>
      </c>
      <c r="AY59" s="247">
        <f t="shared" ref="AY59:AY78" si="12">AW59/AK59*100-100</f>
        <v>-56.464975059639997</v>
      </c>
      <c r="AZ59" s="244"/>
      <c r="BA59" s="634"/>
      <c r="BB59" s="653"/>
      <c r="BC59" s="628"/>
    </row>
    <row r="60" spans="2:56" ht="25.5" customHeight="1">
      <c r="B60" s="189" t="s">
        <v>15</v>
      </c>
      <c r="C60" s="521">
        <f t="shared" si="8"/>
        <v>341.34000000000003</v>
      </c>
      <c r="D60" s="245">
        <f t="shared" ref="D60:AS60" si="13">ROUND((D34*D10)/1000,2)</f>
        <v>47.08</v>
      </c>
      <c r="E60" s="246">
        <f t="shared" si="13"/>
        <v>21.31</v>
      </c>
      <c r="F60" s="246">
        <f t="shared" si="13"/>
        <v>52.09</v>
      </c>
      <c r="G60" s="246">
        <f t="shared" si="13"/>
        <v>36.82</v>
      </c>
      <c r="H60" s="246">
        <f t="shared" si="13"/>
        <v>39.49</v>
      </c>
      <c r="I60" s="246">
        <f t="shared" si="13"/>
        <v>18.34</v>
      </c>
      <c r="J60" s="246">
        <f t="shared" si="13"/>
        <v>41.69</v>
      </c>
      <c r="K60" s="246">
        <f t="shared" si="13"/>
        <v>39.950000000000003</v>
      </c>
      <c r="L60" s="246">
        <f t="shared" si="13"/>
        <v>18.86</v>
      </c>
      <c r="M60" s="246">
        <f t="shared" si="13"/>
        <v>0</v>
      </c>
      <c r="N60" s="246">
        <f t="shared" si="13"/>
        <v>0</v>
      </c>
      <c r="O60" s="247">
        <f t="shared" si="13"/>
        <v>25.71</v>
      </c>
      <c r="P60" s="245">
        <f t="shared" si="13"/>
        <v>41.84</v>
      </c>
      <c r="Q60" s="246">
        <f t="shared" si="13"/>
        <v>20.07</v>
      </c>
      <c r="R60" s="246">
        <f t="shared" si="13"/>
        <v>50</v>
      </c>
      <c r="S60" s="246">
        <f t="shared" si="13"/>
        <v>51.26</v>
      </c>
      <c r="T60" s="246">
        <f t="shared" si="13"/>
        <v>59.12</v>
      </c>
      <c r="U60" s="246">
        <f t="shared" si="13"/>
        <v>109.72</v>
      </c>
      <c r="V60" s="246">
        <f t="shared" si="13"/>
        <v>76.87</v>
      </c>
      <c r="W60" s="246">
        <f t="shared" si="13"/>
        <v>0</v>
      </c>
      <c r="X60" s="246">
        <f t="shared" si="13"/>
        <v>0</v>
      </c>
      <c r="Y60" s="246">
        <f t="shared" si="13"/>
        <v>0</v>
      </c>
      <c r="Z60" s="246">
        <f t="shared" si="13"/>
        <v>0</v>
      </c>
      <c r="AA60" s="247">
        <f t="shared" si="13"/>
        <v>0</v>
      </c>
      <c r="AB60" s="245">
        <f t="shared" si="13"/>
        <v>21.5</v>
      </c>
      <c r="AC60" s="246">
        <f t="shared" si="13"/>
        <v>21.36</v>
      </c>
      <c r="AD60" s="246">
        <f t="shared" si="13"/>
        <v>48.13</v>
      </c>
      <c r="AE60" s="246">
        <f t="shared" si="13"/>
        <v>66.64</v>
      </c>
      <c r="AF60" s="246">
        <f t="shared" si="13"/>
        <v>50.98</v>
      </c>
      <c r="AG60" s="246">
        <f t="shared" si="13"/>
        <v>57.04</v>
      </c>
      <c r="AH60" s="246">
        <f t="shared" si="13"/>
        <v>28.13</v>
      </c>
      <c r="AI60" s="246">
        <f t="shared" si="13"/>
        <v>51.06</v>
      </c>
      <c r="AJ60" s="246">
        <f t="shared" si="13"/>
        <v>36.6</v>
      </c>
      <c r="AK60" s="246">
        <f t="shared" si="13"/>
        <v>31.04</v>
      </c>
      <c r="AL60" s="246">
        <f t="shared" si="13"/>
        <v>25.46</v>
      </c>
      <c r="AM60" s="246">
        <f t="shared" si="13"/>
        <v>58.53</v>
      </c>
      <c r="AN60" s="246">
        <f t="shared" si="13"/>
        <v>47.04</v>
      </c>
      <c r="AO60" s="246">
        <f t="shared" si="13"/>
        <v>21.31</v>
      </c>
      <c r="AP60" s="246">
        <f t="shared" si="13"/>
        <v>93.64</v>
      </c>
      <c r="AQ60" s="247">
        <f t="shared" si="13"/>
        <v>49.16</v>
      </c>
      <c r="AR60" s="246">
        <f t="shared" si="13"/>
        <v>51.87</v>
      </c>
      <c r="AS60" s="246">
        <f t="shared" si="13"/>
        <v>22.25</v>
      </c>
      <c r="AT60" s="246">
        <f t="shared" si="10"/>
        <v>53.86</v>
      </c>
      <c r="AU60" s="246">
        <f t="shared" si="10"/>
        <v>94.96</v>
      </c>
      <c r="AV60" s="246">
        <f t="shared" si="10"/>
        <v>42.13</v>
      </c>
      <c r="AW60" s="246">
        <f t="shared" si="10"/>
        <v>13.9</v>
      </c>
      <c r="AX60" s="246">
        <f t="shared" si="11"/>
        <v>-67.006883455969614</v>
      </c>
      <c r="AY60" s="247">
        <f t="shared" si="12"/>
        <v>-55.21907216494845</v>
      </c>
      <c r="AZ60" s="244"/>
      <c r="BA60" s="634"/>
      <c r="BB60" s="653"/>
      <c r="BC60" s="628"/>
    </row>
    <row r="61" spans="2:56" ht="25.5" customHeight="1">
      <c r="B61" s="189" t="s">
        <v>19</v>
      </c>
      <c r="C61" s="521">
        <f t="shared" si="8"/>
        <v>843.22000000000014</v>
      </c>
      <c r="D61" s="245">
        <f t="shared" ref="D61:AS61" si="14">ROUND((D35*D11)/1000,2)</f>
        <v>178.24</v>
      </c>
      <c r="E61" s="246">
        <f t="shared" si="14"/>
        <v>79.98</v>
      </c>
      <c r="F61" s="246">
        <f t="shared" si="14"/>
        <v>98.53</v>
      </c>
      <c r="G61" s="246">
        <f t="shared" si="14"/>
        <v>23.75</v>
      </c>
      <c r="H61" s="246">
        <f t="shared" si="14"/>
        <v>62.54</v>
      </c>
      <c r="I61" s="246">
        <f t="shared" si="14"/>
        <v>52.9</v>
      </c>
      <c r="J61" s="246">
        <f t="shared" si="14"/>
        <v>86.83</v>
      </c>
      <c r="K61" s="246">
        <f t="shared" si="14"/>
        <v>73.930000000000007</v>
      </c>
      <c r="L61" s="246">
        <f t="shared" si="14"/>
        <v>99.19</v>
      </c>
      <c r="M61" s="246">
        <f t="shared" si="14"/>
        <v>0</v>
      </c>
      <c r="N61" s="246">
        <f t="shared" si="14"/>
        <v>0</v>
      </c>
      <c r="O61" s="247">
        <f t="shared" si="14"/>
        <v>87.33</v>
      </c>
      <c r="P61" s="245">
        <f t="shared" si="14"/>
        <v>81.96</v>
      </c>
      <c r="Q61" s="246">
        <f t="shared" si="14"/>
        <v>26.99</v>
      </c>
      <c r="R61" s="246">
        <f t="shared" si="14"/>
        <v>115.7</v>
      </c>
      <c r="S61" s="246">
        <f t="shared" si="14"/>
        <v>108.5</v>
      </c>
      <c r="T61" s="246">
        <f t="shared" si="14"/>
        <v>55.36</v>
      </c>
      <c r="U61" s="246">
        <f t="shared" si="14"/>
        <v>156.59</v>
      </c>
      <c r="V61" s="246">
        <f t="shared" si="14"/>
        <v>162.72999999999999</v>
      </c>
      <c r="W61" s="246">
        <f t="shared" si="14"/>
        <v>0</v>
      </c>
      <c r="X61" s="246">
        <f t="shared" si="14"/>
        <v>0</v>
      </c>
      <c r="Y61" s="246">
        <f t="shared" si="14"/>
        <v>0</v>
      </c>
      <c r="Z61" s="246">
        <f t="shared" si="14"/>
        <v>0</v>
      </c>
      <c r="AA61" s="247">
        <f t="shared" si="14"/>
        <v>0</v>
      </c>
      <c r="AB61" s="245">
        <f t="shared" si="14"/>
        <v>52</v>
      </c>
      <c r="AC61" s="246">
        <f t="shared" si="14"/>
        <v>93.46</v>
      </c>
      <c r="AD61" s="246">
        <f t="shared" si="14"/>
        <v>98.53</v>
      </c>
      <c r="AE61" s="246">
        <f t="shared" si="14"/>
        <v>142.19999999999999</v>
      </c>
      <c r="AF61" s="246">
        <f t="shared" si="14"/>
        <v>191.47</v>
      </c>
      <c r="AG61" s="246">
        <f t="shared" si="14"/>
        <v>149.43</v>
      </c>
      <c r="AH61" s="246">
        <f t="shared" si="14"/>
        <v>124.3</v>
      </c>
      <c r="AI61" s="246">
        <f t="shared" si="14"/>
        <v>120.06</v>
      </c>
      <c r="AJ61" s="246">
        <f t="shared" si="14"/>
        <v>64.89</v>
      </c>
      <c r="AK61" s="246">
        <f t="shared" si="14"/>
        <v>100.11</v>
      </c>
      <c r="AL61" s="246">
        <f t="shared" si="14"/>
        <v>102.6</v>
      </c>
      <c r="AM61" s="246">
        <f t="shared" si="14"/>
        <v>261.11</v>
      </c>
      <c r="AN61" s="246">
        <f t="shared" si="14"/>
        <v>178.24</v>
      </c>
      <c r="AO61" s="246">
        <f t="shared" si="14"/>
        <v>79.98</v>
      </c>
      <c r="AP61" s="246">
        <f t="shared" si="14"/>
        <v>149.22</v>
      </c>
      <c r="AQ61" s="247">
        <f t="shared" si="14"/>
        <v>140.69999999999999</v>
      </c>
      <c r="AR61" s="247">
        <f t="shared" si="14"/>
        <v>73.77</v>
      </c>
      <c r="AS61" s="246">
        <f t="shared" si="14"/>
        <v>57.64</v>
      </c>
      <c r="AT61" s="246">
        <f t="shared" si="10"/>
        <v>99.49</v>
      </c>
      <c r="AU61" s="246">
        <f t="shared" si="10"/>
        <v>91.89</v>
      </c>
      <c r="AV61" s="246">
        <f t="shared" si="10"/>
        <v>103.66</v>
      </c>
      <c r="AW61" s="246">
        <f t="shared" si="10"/>
        <v>101.68</v>
      </c>
      <c r="AX61" s="246">
        <f t="shared" si="11"/>
        <v>-1.9100906810727309</v>
      </c>
      <c r="AY61" s="247">
        <f t="shared" si="12"/>
        <v>1.5682748976126391</v>
      </c>
      <c r="AZ61" s="244"/>
      <c r="BA61" s="634"/>
      <c r="BB61" s="653"/>
      <c r="BC61" s="628"/>
    </row>
    <row r="62" spans="2:56" ht="25.5" customHeight="1">
      <c r="B62" s="189" t="s">
        <v>22</v>
      </c>
      <c r="C62" s="521">
        <f t="shared" si="8"/>
        <v>647.91999999999996</v>
      </c>
      <c r="D62" s="245">
        <f t="shared" ref="D62:AS62" si="15">ROUND((D36*D12)/1000,2)</f>
        <v>3.12</v>
      </c>
      <c r="E62" s="246">
        <f t="shared" si="15"/>
        <v>7.7</v>
      </c>
      <c r="F62" s="246">
        <f t="shared" si="15"/>
        <v>125.77</v>
      </c>
      <c r="G62" s="246">
        <f t="shared" si="15"/>
        <v>39.58</v>
      </c>
      <c r="H62" s="246">
        <f t="shared" si="15"/>
        <v>96.92</v>
      </c>
      <c r="I62" s="246">
        <f t="shared" si="15"/>
        <v>42.94</v>
      </c>
      <c r="J62" s="246">
        <f t="shared" si="15"/>
        <v>95.95</v>
      </c>
      <c r="K62" s="246">
        <f t="shared" si="15"/>
        <v>198.06</v>
      </c>
      <c r="L62" s="246">
        <f t="shared" si="15"/>
        <v>27.9</v>
      </c>
      <c r="M62" s="246">
        <f t="shared" si="15"/>
        <v>0</v>
      </c>
      <c r="N62" s="246">
        <f t="shared" si="15"/>
        <v>0</v>
      </c>
      <c r="O62" s="247">
        <f t="shared" si="15"/>
        <v>9.98</v>
      </c>
      <c r="P62" s="245">
        <f t="shared" si="15"/>
        <v>114.43</v>
      </c>
      <c r="Q62" s="246">
        <f t="shared" si="15"/>
        <v>185.54</v>
      </c>
      <c r="R62" s="246">
        <f t="shared" si="15"/>
        <v>53.88</v>
      </c>
      <c r="S62" s="246">
        <f t="shared" si="15"/>
        <v>85.3</v>
      </c>
      <c r="T62" s="246">
        <f t="shared" si="15"/>
        <v>145.94999999999999</v>
      </c>
      <c r="U62" s="246">
        <f t="shared" si="15"/>
        <v>189.46</v>
      </c>
      <c r="V62" s="246">
        <f t="shared" si="15"/>
        <v>119.24</v>
      </c>
      <c r="W62" s="246">
        <f t="shared" si="15"/>
        <v>0</v>
      </c>
      <c r="X62" s="246">
        <f t="shared" si="15"/>
        <v>0</v>
      </c>
      <c r="Y62" s="246">
        <f t="shared" si="15"/>
        <v>0</v>
      </c>
      <c r="Z62" s="246">
        <f t="shared" si="15"/>
        <v>0</v>
      </c>
      <c r="AA62" s="247">
        <f t="shared" si="15"/>
        <v>0</v>
      </c>
      <c r="AB62" s="245">
        <f t="shared" si="15"/>
        <v>9.1999999999999993</v>
      </c>
      <c r="AC62" s="246">
        <f t="shared" si="15"/>
        <v>207.7</v>
      </c>
      <c r="AD62" s="246">
        <f t="shared" si="15"/>
        <v>125.77</v>
      </c>
      <c r="AE62" s="246">
        <f t="shared" si="15"/>
        <v>169.31</v>
      </c>
      <c r="AF62" s="246">
        <f t="shared" si="15"/>
        <v>281.91000000000003</v>
      </c>
      <c r="AG62" s="246">
        <f t="shared" si="15"/>
        <v>328.84</v>
      </c>
      <c r="AH62" s="246">
        <f t="shared" si="15"/>
        <v>291.36</v>
      </c>
      <c r="AI62" s="246">
        <f t="shared" si="15"/>
        <v>130.91</v>
      </c>
      <c r="AJ62" s="246">
        <f t="shared" si="15"/>
        <v>154.44</v>
      </c>
      <c r="AK62" s="246">
        <f t="shared" si="15"/>
        <v>2.4300000000000002</v>
      </c>
      <c r="AL62" s="246">
        <f t="shared" si="15"/>
        <v>93.37</v>
      </c>
      <c r="AM62" s="246">
        <f t="shared" si="15"/>
        <v>388.25</v>
      </c>
      <c r="AN62" s="246">
        <f t="shared" si="15"/>
        <v>1.23</v>
      </c>
      <c r="AO62" s="246">
        <f t="shared" si="15"/>
        <v>0</v>
      </c>
      <c r="AP62" s="246">
        <f t="shared" si="15"/>
        <v>165.13</v>
      </c>
      <c r="AQ62" s="246">
        <f t="shared" si="15"/>
        <v>193.43</v>
      </c>
      <c r="AR62" s="247">
        <f t="shared" si="15"/>
        <v>407.7</v>
      </c>
      <c r="AS62" s="246">
        <f t="shared" si="15"/>
        <v>627.29</v>
      </c>
      <c r="AT62" s="246">
        <f t="shared" si="10"/>
        <v>400.16</v>
      </c>
      <c r="AU62" s="246">
        <f t="shared" si="10"/>
        <v>405.2</v>
      </c>
      <c r="AV62" s="246">
        <f t="shared" si="10"/>
        <v>76.510000000000005</v>
      </c>
      <c r="AW62" s="246">
        <f t="shared" si="10"/>
        <v>37.659999999999997</v>
      </c>
      <c r="AX62" s="246">
        <f t="shared" si="11"/>
        <v>-50.777676120768533</v>
      </c>
      <c r="AY62" s="247">
        <f t="shared" si="12"/>
        <v>1449.7942386831273</v>
      </c>
      <c r="AZ62" s="244"/>
      <c r="BA62" s="634"/>
      <c r="BB62" s="653"/>
      <c r="BC62" s="628"/>
    </row>
    <row r="63" spans="2:56" ht="25.5" customHeight="1">
      <c r="B63" s="189" t="s">
        <v>25</v>
      </c>
      <c r="C63" s="521">
        <f t="shared" si="8"/>
        <v>390.78999999999996</v>
      </c>
      <c r="D63" s="245">
        <f t="shared" ref="D63:AS63" si="16">ROUND((D37*D13)/1000,2)</f>
        <v>61.42</v>
      </c>
      <c r="E63" s="246">
        <f t="shared" si="16"/>
        <v>52.08</v>
      </c>
      <c r="F63" s="246">
        <f t="shared" si="16"/>
        <v>40.1</v>
      </c>
      <c r="G63" s="246">
        <f t="shared" si="16"/>
        <v>36.89</v>
      </c>
      <c r="H63" s="246">
        <f t="shared" si="16"/>
        <v>0</v>
      </c>
      <c r="I63" s="246">
        <f t="shared" si="16"/>
        <v>9.8699999999999992</v>
      </c>
      <c r="J63" s="246">
        <f t="shared" si="16"/>
        <v>74.28</v>
      </c>
      <c r="K63" s="246">
        <f t="shared" si="16"/>
        <v>41.43</v>
      </c>
      <c r="L63" s="246">
        <f t="shared" si="16"/>
        <v>33.46</v>
      </c>
      <c r="M63" s="246">
        <f t="shared" si="16"/>
        <v>0</v>
      </c>
      <c r="N63" s="246">
        <f t="shared" si="16"/>
        <v>0</v>
      </c>
      <c r="O63" s="247">
        <f t="shared" si="16"/>
        <v>41.26</v>
      </c>
      <c r="P63" s="245">
        <f t="shared" si="16"/>
        <v>56.44</v>
      </c>
      <c r="Q63" s="246">
        <f t="shared" si="16"/>
        <v>82.97</v>
      </c>
      <c r="R63" s="246">
        <f t="shared" si="16"/>
        <v>0</v>
      </c>
      <c r="S63" s="246">
        <f t="shared" si="16"/>
        <v>74.16</v>
      </c>
      <c r="T63" s="246">
        <f t="shared" si="16"/>
        <v>120.93</v>
      </c>
      <c r="U63" s="246">
        <f t="shared" si="16"/>
        <v>115.17</v>
      </c>
      <c r="V63" s="246">
        <f t="shared" si="16"/>
        <v>52.07</v>
      </c>
      <c r="W63" s="246">
        <f t="shared" si="16"/>
        <v>0</v>
      </c>
      <c r="X63" s="246">
        <f t="shared" si="16"/>
        <v>0</v>
      </c>
      <c r="Y63" s="246">
        <f t="shared" si="16"/>
        <v>0</v>
      </c>
      <c r="Z63" s="246">
        <f t="shared" si="16"/>
        <v>0</v>
      </c>
      <c r="AA63" s="247">
        <f t="shared" si="16"/>
        <v>0</v>
      </c>
      <c r="AB63" s="245">
        <f t="shared" si="16"/>
        <v>30.95</v>
      </c>
      <c r="AC63" s="246">
        <f t="shared" si="16"/>
        <v>82.97</v>
      </c>
      <c r="AD63" s="246">
        <f t="shared" si="16"/>
        <v>20.03</v>
      </c>
      <c r="AE63" s="246">
        <f t="shared" si="16"/>
        <v>152.24</v>
      </c>
      <c r="AF63" s="246">
        <f t="shared" si="16"/>
        <v>165.25</v>
      </c>
      <c r="AG63" s="246">
        <f t="shared" si="16"/>
        <v>212.91</v>
      </c>
      <c r="AH63" s="246">
        <f t="shared" si="16"/>
        <v>101.52</v>
      </c>
      <c r="AI63" s="246">
        <f t="shared" si="16"/>
        <v>117.35</v>
      </c>
      <c r="AJ63" s="246">
        <f t="shared" si="16"/>
        <v>87.02</v>
      </c>
      <c r="AK63" s="246">
        <f t="shared" si="16"/>
        <v>21.95</v>
      </c>
      <c r="AL63" s="246">
        <f t="shared" si="16"/>
        <v>54.74</v>
      </c>
      <c r="AM63" s="246">
        <f t="shared" si="16"/>
        <v>80.5</v>
      </c>
      <c r="AN63" s="246">
        <f t="shared" si="16"/>
        <v>29.68</v>
      </c>
      <c r="AO63" s="246">
        <f t="shared" si="16"/>
        <v>50.28</v>
      </c>
      <c r="AP63" s="246">
        <f t="shared" si="16"/>
        <v>188.52</v>
      </c>
      <c r="AQ63" s="246">
        <f t="shared" si="16"/>
        <v>156.09</v>
      </c>
      <c r="AR63" s="247">
        <f t="shared" si="16"/>
        <v>168.09</v>
      </c>
      <c r="AS63" s="246">
        <f t="shared" si="16"/>
        <v>127.65</v>
      </c>
      <c r="AT63" s="246">
        <f t="shared" si="10"/>
        <v>176.99</v>
      </c>
      <c r="AU63" s="246">
        <f t="shared" si="10"/>
        <v>159.54</v>
      </c>
      <c r="AV63" s="246">
        <f t="shared" si="10"/>
        <v>106.38</v>
      </c>
      <c r="AW63" s="246">
        <f t="shared" si="10"/>
        <v>123.36</v>
      </c>
      <c r="AX63" s="246">
        <f t="shared" si="11"/>
        <v>15.961646926113929</v>
      </c>
      <c r="AY63" s="247">
        <f t="shared" si="12"/>
        <v>462.00455580865605</v>
      </c>
      <c r="AZ63" s="244"/>
      <c r="BA63" s="634"/>
      <c r="BB63" s="653"/>
      <c r="BC63" s="628"/>
    </row>
    <row r="64" spans="2:56" ht="25.5" customHeight="1">
      <c r="B64" s="189" t="s">
        <v>30</v>
      </c>
      <c r="C64" s="521">
        <f t="shared" si="8"/>
        <v>768.91</v>
      </c>
      <c r="D64" s="245">
        <f t="shared" ref="D64:AS64" si="17">ROUND((D38*D14)/1000,2)</f>
        <v>202.97</v>
      </c>
      <c r="E64" s="246">
        <f t="shared" si="17"/>
        <v>170.78</v>
      </c>
      <c r="F64" s="246">
        <f t="shared" si="17"/>
        <v>0</v>
      </c>
      <c r="G64" s="246">
        <f t="shared" si="17"/>
        <v>80.62</v>
      </c>
      <c r="H64" s="246">
        <f t="shared" si="17"/>
        <v>0</v>
      </c>
      <c r="I64" s="246">
        <f t="shared" si="17"/>
        <v>66.599999999999994</v>
      </c>
      <c r="J64" s="246">
        <f t="shared" si="17"/>
        <v>63.55</v>
      </c>
      <c r="K64" s="246">
        <f t="shared" si="17"/>
        <v>132.78</v>
      </c>
      <c r="L64" s="246">
        <f t="shared" si="17"/>
        <v>19.29</v>
      </c>
      <c r="M64" s="246">
        <f t="shared" si="17"/>
        <v>0</v>
      </c>
      <c r="N64" s="246">
        <f t="shared" si="17"/>
        <v>0</v>
      </c>
      <c r="O64" s="247">
        <f t="shared" si="17"/>
        <v>32.32</v>
      </c>
      <c r="P64" s="245">
        <f t="shared" si="17"/>
        <v>128.72</v>
      </c>
      <c r="Q64" s="246">
        <f t="shared" si="17"/>
        <v>60.39</v>
      </c>
      <c r="R64" s="246">
        <f t="shared" si="17"/>
        <v>0.11</v>
      </c>
      <c r="S64" s="246">
        <f t="shared" si="17"/>
        <v>51.45</v>
      </c>
      <c r="T64" s="246">
        <f t="shared" si="17"/>
        <v>88.44</v>
      </c>
      <c r="U64" s="246">
        <f t="shared" si="17"/>
        <v>96.13</v>
      </c>
      <c r="V64" s="246">
        <f t="shared" si="17"/>
        <v>47.93</v>
      </c>
      <c r="W64" s="246">
        <f t="shared" si="17"/>
        <v>0</v>
      </c>
      <c r="X64" s="246">
        <f t="shared" si="17"/>
        <v>0</v>
      </c>
      <c r="Y64" s="246">
        <f t="shared" si="17"/>
        <v>0</v>
      </c>
      <c r="Z64" s="246">
        <f t="shared" si="17"/>
        <v>0</v>
      </c>
      <c r="AA64" s="247">
        <f t="shared" si="17"/>
        <v>0</v>
      </c>
      <c r="AB64" s="245">
        <f t="shared" si="17"/>
        <v>54.35</v>
      </c>
      <c r="AC64" s="246">
        <f t="shared" si="17"/>
        <v>120.61</v>
      </c>
      <c r="AD64" s="246">
        <f t="shared" si="17"/>
        <v>0</v>
      </c>
      <c r="AE64" s="246">
        <f t="shared" si="17"/>
        <v>145.96</v>
      </c>
      <c r="AF64" s="246">
        <f t="shared" si="17"/>
        <v>228.59</v>
      </c>
      <c r="AG64" s="246">
        <f t="shared" si="17"/>
        <v>254</v>
      </c>
      <c r="AH64" s="246">
        <f t="shared" si="17"/>
        <v>158.34</v>
      </c>
      <c r="AI64" s="246">
        <f t="shared" si="17"/>
        <v>263.54000000000002</v>
      </c>
      <c r="AJ64" s="246">
        <f t="shared" si="17"/>
        <v>188.63</v>
      </c>
      <c r="AK64" s="246">
        <f t="shared" si="17"/>
        <v>24.84</v>
      </c>
      <c r="AL64" s="246">
        <f t="shared" si="17"/>
        <v>23.3</v>
      </c>
      <c r="AM64" s="246">
        <f t="shared" si="17"/>
        <v>129.6</v>
      </c>
      <c r="AN64" s="246">
        <f t="shared" si="17"/>
        <v>21.75</v>
      </c>
      <c r="AO64" s="246">
        <f t="shared" si="17"/>
        <v>85.65</v>
      </c>
      <c r="AP64" s="246">
        <f t="shared" si="17"/>
        <v>128.56</v>
      </c>
      <c r="AQ64" s="247">
        <f t="shared" si="17"/>
        <v>104.61</v>
      </c>
      <c r="AR64" s="246">
        <f t="shared" si="17"/>
        <v>246.05</v>
      </c>
      <c r="AS64" s="246">
        <f t="shared" si="17"/>
        <v>102.37</v>
      </c>
      <c r="AT64" s="246">
        <f t="shared" si="10"/>
        <v>123.63</v>
      </c>
      <c r="AU64" s="246">
        <f t="shared" si="10"/>
        <v>198.18</v>
      </c>
      <c r="AV64" s="246">
        <f t="shared" si="10"/>
        <v>147.32</v>
      </c>
      <c r="AW64" s="246">
        <f t="shared" si="10"/>
        <v>377.46</v>
      </c>
      <c r="AX64" s="246">
        <f t="shared" si="11"/>
        <v>156.21775726310074</v>
      </c>
      <c r="AY64" s="247">
        <f t="shared" si="12"/>
        <v>1419.5652173913043</v>
      </c>
      <c r="AZ64" s="244"/>
      <c r="BA64" s="634"/>
      <c r="BB64" s="653"/>
      <c r="BC64" s="628"/>
    </row>
    <row r="65" spans="2:56" ht="25.5" customHeight="1">
      <c r="B65" s="189" t="s">
        <v>31</v>
      </c>
      <c r="C65" s="521">
        <f t="shared" si="8"/>
        <v>617.89</v>
      </c>
      <c r="D65" s="245">
        <f t="shared" ref="D65:AS65" si="18">ROUND((D39*D15)/1000,2)</f>
        <v>52.61</v>
      </c>
      <c r="E65" s="246">
        <f t="shared" si="18"/>
        <v>78.900000000000006</v>
      </c>
      <c r="F65" s="246">
        <f t="shared" si="18"/>
        <v>0.36</v>
      </c>
      <c r="G65" s="246">
        <f t="shared" si="18"/>
        <v>182.2</v>
      </c>
      <c r="H65" s="246">
        <f t="shared" si="18"/>
        <v>0.09</v>
      </c>
      <c r="I65" s="246">
        <f t="shared" si="18"/>
        <v>49.38</v>
      </c>
      <c r="J65" s="246">
        <f t="shared" si="18"/>
        <v>55.33</v>
      </c>
      <c r="K65" s="246">
        <f t="shared" si="18"/>
        <v>123.79</v>
      </c>
      <c r="L65" s="246">
        <f t="shared" si="18"/>
        <v>67.53</v>
      </c>
      <c r="M65" s="246">
        <f t="shared" si="18"/>
        <v>0</v>
      </c>
      <c r="N65" s="246">
        <f t="shared" si="18"/>
        <v>0</v>
      </c>
      <c r="O65" s="247">
        <f t="shared" si="18"/>
        <v>7.7</v>
      </c>
      <c r="P65" s="245">
        <f t="shared" si="18"/>
        <v>86.23</v>
      </c>
      <c r="Q65" s="246">
        <f t="shared" si="18"/>
        <v>37.57</v>
      </c>
      <c r="R65" s="246">
        <f t="shared" si="18"/>
        <v>33.03</v>
      </c>
      <c r="S65" s="246">
        <f t="shared" si="18"/>
        <v>20.5</v>
      </c>
      <c r="T65" s="246">
        <f t="shared" si="18"/>
        <v>65.56</v>
      </c>
      <c r="U65" s="246">
        <f t="shared" si="18"/>
        <v>64.12</v>
      </c>
      <c r="V65" s="246">
        <f t="shared" si="18"/>
        <v>37.19</v>
      </c>
      <c r="W65" s="246">
        <f t="shared" si="18"/>
        <v>0</v>
      </c>
      <c r="X65" s="246">
        <f t="shared" si="18"/>
        <v>0</v>
      </c>
      <c r="Y65" s="246">
        <f t="shared" si="18"/>
        <v>0</v>
      </c>
      <c r="Z65" s="246">
        <f t="shared" si="18"/>
        <v>0</v>
      </c>
      <c r="AA65" s="247">
        <f t="shared" si="18"/>
        <v>0</v>
      </c>
      <c r="AB65" s="245">
        <f t="shared" si="18"/>
        <v>33.11</v>
      </c>
      <c r="AC65" s="246">
        <f t="shared" si="18"/>
        <v>65.83</v>
      </c>
      <c r="AD65" s="246">
        <f t="shared" si="18"/>
        <v>0</v>
      </c>
      <c r="AE65" s="246">
        <f t="shared" si="18"/>
        <v>92.64</v>
      </c>
      <c r="AF65" s="246">
        <f t="shared" si="18"/>
        <v>83.54</v>
      </c>
      <c r="AG65" s="246">
        <f t="shared" si="18"/>
        <v>76.23</v>
      </c>
      <c r="AH65" s="246">
        <f t="shared" si="18"/>
        <v>211.98</v>
      </c>
      <c r="AI65" s="246">
        <f t="shared" si="18"/>
        <v>102.67</v>
      </c>
      <c r="AJ65" s="246">
        <f t="shared" si="18"/>
        <v>155.56</v>
      </c>
      <c r="AK65" s="246">
        <f t="shared" si="18"/>
        <v>228.48</v>
      </c>
      <c r="AL65" s="246">
        <f t="shared" si="18"/>
        <v>0</v>
      </c>
      <c r="AM65" s="246">
        <f t="shared" si="18"/>
        <v>91.56</v>
      </c>
      <c r="AN65" s="246">
        <f t="shared" si="18"/>
        <v>2.12</v>
      </c>
      <c r="AO65" s="246">
        <f t="shared" si="18"/>
        <v>78.900000000000006</v>
      </c>
      <c r="AP65" s="246">
        <f t="shared" si="18"/>
        <v>97.59</v>
      </c>
      <c r="AQ65" s="246">
        <f t="shared" si="18"/>
        <v>58.06</v>
      </c>
      <c r="AR65" s="247">
        <f t="shared" si="18"/>
        <v>108.79</v>
      </c>
      <c r="AS65" s="246">
        <f t="shared" si="18"/>
        <v>73.52</v>
      </c>
      <c r="AT65" s="246">
        <f t="shared" si="10"/>
        <v>24.99</v>
      </c>
      <c r="AU65" s="246">
        <f t="shared" si="10"/>
        <v>82.1</v>
      </c>
      <c r="AV65" s="246">
        <f t="shared" si="10"/>
        <v>172.25</v>
      </c>
      <c r="AW65" s="246">
        <f t="shared" si="10"/>
        <v>138.84</v>
      </c>
      <c r="AX65" s="246">
        <f t="shared" si="11"/>
        <v>-19.396226415094347</v>
      </c>
      <c r="AY65" s="247">
        <f t="shared" si="12"/>
        <v>-39.233193277310917</v>
      </c>
      <c r="AZ65" s="244"/>
      <c r="BA65" s="634"/>
      <c r="BB65" s="653"/>
      <c r="BC65" s="628"/>
    </row>
    <row r="66" spans="2:56" ht="25.5" customHeight="1">
      <c r="B66" s="189" t="s">
        <v>32</v>
      </c>
      <c r="C66" s="521">
        <f>SUM(D66:O66)</f>
        <v>947.04</v>
      </c>
      <c r="D66" s="245">
        <f t="shared" ref="D66:AS66" si="19">ROUND((D40*D16)/1000,2)</f>
        <v>18.11</v>
      </c>
      <c r="E66" s="246">
        <f t="shared" si="19"/>
        <v>4.38</v>
      </c>
      <c r="F66" s="246">
        <f t="shared" si="19"/>
        <v>6</v>
      </c>
      <c r="G66" s="246">
        <f t="shared" si="19"/>
        <v>0</v>
      </c>
      <c r="H66" s="246">
        <f t="shared" si="19"/>
        <v>0</v>
      </c>
      <c r="I66" s="246">
        <f t="shared" si="19"/>
        <v>89.4</v>
      </c>
      <c r="J66" s="246">
        <f t="shared" si="19"/>
        <v>580.5</v>
      </c>
      <c r="K66" s="246">
        <f t="shared" si="19"/>
        <v>58.16</v>
      </c>
      <c r="L66" s="246">
        <f t="shared" si="19"/>
        <v>0</v>
      </c>
      <c r="M66" s="246">
        <f>ROUND((M40*M16)/1000,2)</f>
        <v>0</v>
      </c>
      <c r="N66" s="246">
        <f t="shared" si="19"/>
        <v>0</v>
      </c>
      <c r="O66" s="247">
        <f t="shared" si="19"/>
        <v>190.49</v>
      </c>
      <c r="P66" s="245">
        <f t="shared" si="19"/>
        <v>2627.98</v>
      </c>
      <c r="Q66" s="246">
        <f t="shared" si="19"/>
        <v>375.21</v>
      </c>
      <c r="R66" s="246">
        <f t="shared" si="19"/>
        <v>26.43</v>
      </c>
      <c r="S66" s="246">
        <f t="shared" si="19"/>
        <v>0</v>
      </c>
      <c r="T66" s="246">
        <f t="shared" si="19"/>
        <v>0</v>
      </c>
      <c r="U66" s="246">
        <f t="shared" si="19"/>
        <v>0</v>
      </c>
      <c r="V66" s="246">
        <f t="shared" si="19"/>
        <v>0</v>
      </c>
      <c r="W66" s="246">
        <f t="shared" si="19"/>
        <v>0</v>
      </c>
      <c r="X66" s="246">
        <f t="shared" si="19"/>
        <v>0</v>
      </c>
      <c r="Y66" s="246">
        <f t="shared" si="19"/>
        <v>0</v>
      </c>
      <c r="Z66" s="246">
        <f t="shared" si="19"/>
        <v>0</v>
      </c>
      <c r="AA66" s="247">
        <f t="shared" si="19"/>
        <v>0</v>
      </c>
      <c r="AB66" s="245">
        <f t="shared" si="19"/>
        <v>28.38</v>
      </c>
      <c r="AC66" s="246">
        <f t="shared" si="19"/>
        <v>281.7</v>
      </c>
      <c r="AD66" s="246">
        <f t="shared" si="19"/>
        <v>6</v>
      </c>
      <c r="AE66" s="246">
        <f t="shared" si="19"/>
        <v>36.04</v>
      </c>
      <c r="AF66" s="246">
        <f t="shared" si="19"/>
        <v>34.6</v>
      </c>
      <c r="AG66" s="246">
        <f t="shared" si="19"/>
        <v>0</v>
      </c>
      <c r="AH66" s="246">
        <f t="shared" si="19"/>
        <v>26.34</v>
      </c>
      <c r="AI66" s="246">
        <f t="shared" si="19"/>
        <v>12.56</v>
      </c>
      <c r="AJ66" s="246">
        <f t="shared" si="19"/>
        <v>0</v>
      </c>
      <c r="AK66" s="246">
        <f t="shared" si="19"/>
        <v>923.45</v>
      </c>
      <c r="AL66" s="246">
        <f t="shared" si="19"/>
        <v>117.07</v>
      </c>
      <c r="AM66" s="246">
        <f t="shared" si="19"/>
        <v>245.18</v>
      </c>
      <c r="AN66" s="246">
        <f t="shared" si="19"/>
        <v>699.17</v>
      </c>
      <c r="AO66" s="246">
        <f t="shared" si="19"/>
        <v>4.38</v>
      </c>
      <c r="AP66" s="246">
        <f t="shared" si="19"/>
        <v>250.3</v>
      </c>
      <c r="AQ66" s="246">
        <f t="shared" si="19"/>
        <v>318.33999999999997</v>
      </c>
      <c r="AR66" s="246">
        <f t="shared" si="19"/>
        <v>3.26</v>
      </c>
      <c r="AS66" s="246">
        <f t="shared" si="19"/>
        <v>134.08000000000001</v>
      </c>
      <c r="AT66" s="246">
        <f t="shared" si="10"/>
        <v>0</v>
      </c>
      <c r="AU66" s="246">
        <f t="shared" si="10"/>
        <v>6.43</v>
      </c>
      <c r="AV66" s="246">
        <f t="shared" si="10"/>
        <v>413.9</v>
      </c>
      <c r="AW66" s="246">
        <f t="shared" si="10"/>
        <v>316.43</v>
      </c>
      <c r="AX66" s="246">
        <f t="shared" si="11"/>
        <v>-23.54916646532979</v>
      </c>
      <c r="AY66" s="247">
        <f t="shared" si="12"/>
        <v>-65.733932535600189</v>
      </c>
      <c r="AZ66" s="244"/>
      <c r="BA66" s="634"/>
      <c r="BB66" s="653"/>
      <c r="BC66" s="628"/>
    </row>
    <row r="67" spans="2:56" ht="25.5" customHeight="1">
      <c r="B67" s="189" t="s">
        <v>33</v>
      </c>
      <c r="C67" s="521">
        <f t="shared" si="8"/>
        <v>552.23</v>
      </c>
      <c r="D67" s="245">
        <f t="shared" ref="D67:AS67" si="20">ROUND((D41*D17)/1000,2)</f>
        <v>76.63</v>
      </c>
      <c r="E67" s="246">
        <f t="shared" si="20"/>
        <v>0</v>
      </c>
      <c r="F67" s="246">
        <f t="shared" si="20"/>
        <v>143.05000000000001</v>
      </c>
      <c r="G67" s="246">
        <f t="shared" si="20"/>
        <v>6.4</v>
      </c>
      <c r="H67" s="246">
        <f t="shared" si="20"/>
        <v>7.07</v>
      </c>
      <c r="I67" s="246">
        <f t="shared" si="20"/>
        <v>21.03</v>
      </c>
      <c r="J67" s="246">
        <f t="shared" si="20"/>
        <v>43.6</v>
      </c>
      <c r="K67" s="246">
        <f t="shared" si="20"/>
        <v>145.37</v>
      </c>
      <c r="L67" s="246">
        <f t="shared" si="20"/>
        <v>64.22</v>
      </c>
      <c r="M67" s="246">
        <f t="shared" si="20"/>
        <v>0</v>
      </c>
      <c r="N67" s="246">
        <f t="shared" si="20"/>
        <v>0</v>
      </c>
      <c r="O67" s="247">
        <f t="shared" si="20"/>
        <v>44.86</v>
      </c>
      <c r="P67" s="245">
        <f t="shared" si="20"/>
        <v>231.75</v>
      </c>
      <c r="Q67" s="246">
        <f t="shared" si="20"/>
        <v>0</v>
      </c>
      <c r="R67" s="246">
        <f t="shared" si="20"/>
        <v>0</v>
      </c>
      <c r="S67" s="246">
        <f t="shared" si="20"/>
        <v>0</v>
      </c>
      <c r="T67" s="246">
        <f t="shared" si="20"/>
        <v>2.99</v>
      </c>
      <c r="U67" s="246">
        <f t="shared" si="20"/>
        <v>93.85</v>
      </c>
      <c r="V67" s="246">
        <f t="shared" si="20"/>
        <v>5.27</v>
      </c>
      <c r="W67" s="246">
        <f t="shared" si="20"/>
        <v>0</v>
      </c>
      <c r="X67" s="246">
        <f t="shared" si="20"/>
        <v>0</v>
      </c>
      <c r="Y67" s="246">
        <f t="shared" si="20"/>
        <v>0</v>
      </c>
      <c r="Z67" s="246">
        <f t="shared" si="20"/>
        <v>0</v>
      </c>
      <c r="AA67" s="247">
        <f t="shared" si="20"/>
        <v>0</v>
      </c>
      <c r="AB67" s="245">
        <f t="shared" si="20"/>
        <v>30.52</v>
      </c>
      <c r="AC67" s="246">
        <f t="shared" si="20"/>
        <v>0</v>
      </c>
      <c r="AD67" s="246">
        <f t="shared" si="20"/>
        <v>0</v>
      </c>
      <c r="AE67" s="246">
        <f t="shared" si="20"/>
        <v>0</v>
      </c>
      <c r="AF67" s="246">
        <f t="shared" si="20"/>
        <v>65.67</v>
      </c>
      <c r="AG67" s="246">
        <f t="shared" si="20"/>
        <v>85.19</v>
      </c>
      <c r="AH67" s="246">
        <f t="shared" si="20"/>
        <v>134.93</v>
      </c>
      <c r="AI67" s="246">
        <f t="shared" si="20"/>
        <v>250.7</v>
      </c>
      <c r="AJ67" s="246">
        <f t="shared" si="20"/>
        <v>762.55</v>
      </c>
      <c r="AK67" s="246">
        <f t="shared" si="20"/>
        <v>111.56</v>
      </c>
      <c r="AL67" s="246">
        <f t="shared" si="20"/>
        <v>83.06</v>
      </c>
      <c r="AM67" s="246">
        <f t="shared" si="20"/>
        <v>170.15</v>
      </c>
      <c r="AN67" s="246">
        <f t="shared" si="20"/>
        <v>62.74</v>
      </c>
      <c r="AO67" s="246">
        <f t="shared" si="20"/>
        <v>0</v>
      </c>
      <c r="AP67" s="246">
        <f t="shared" si="20"/>
        <v>0</v>
      </c>
      <c r="AQ67" s="246">
        <f t="shared" si="20"/>
        <v>0.89</v>
      </c>
      <c r="AR67" s="247">
        <f t="shared" si="20"/>
        <v>61</v>
      </c>
      <c r="AS67" s="246">
        <f t="shared" si="20"/>
        <v>100.1</v>
      </c>
      <c r="AT67" s="246">
        <f t="shared" si="10"/>
        <v>177.04</v>
      </c>
      <c r="AU67" s="246">
        <f t="shared" si="10"/>
        <v>152.07</v>
      </c>
      <c r="AV67" s="246">
        <f t="shared" si="10"/>
        <v>375.32</v>
      </c>
      <c r="AW67" s="246">
        <f t="shared" si="10"/>
        <v>228.38</v>
      </c>
      <c r="AX67" s="246">
        <f t="shared" si="11"/>
        <v>-39.15059149525738</v>
      </c>
      <c r="AY67" s="247">
        <f t="shared" si="12"/>
        <v>104.71495159555397</v>
      </c>
      <c r="AZ67" s="244"/>
      <c r="BA67" s="634"/>
      <c r="BB67" s="653"/>
      <c r="BC67" s="628"/>
    </row>
    <row r="68" spans="2:56" ht="25.5" customHeight="1">
      <c r="B68" s="189" t="s">
        <v>34</v>
      </c>
      <c r="C68" s="521">
        <f t="shared" si="8"/>
        <v>184.22</v>
      </c>
      <c r="D68" s="245">
        <f t="shared" ref="D68:AS68" si="21">ROUND((D42*D18)/1000,2)</f>
        <v>9.8000000000000007</v>
      </c>
      <c r="E68" s="246">
        <f t="shared" si="21"/>
        <v>0</v>
      </c>
      <c r="F68" s="246">
        <f t="shared" si="21"/>
        <v>24.65</v>
      </c>
      <c r="G68" s="246">
        <f t="shared" si="21"/>
        <v>0</v>
      </c>
      <c r="H68" s="246">
        <f t="shared" si="21"/>
        <v>0</v>
      </c>
      <c r="I68" s="246">
        <f t="shared" si="21"/>
        <v>0</v>
      </c>
      <c r="J68" s="246">
        <f t="shared" si="21"/>
        <v>14.03</v>
      </c>
      <c r="K68" s="246">
        <f t="shared" si="21"/>
        <v>58.28</v>
      </c>
      <c r="L68" s="246">
        <f t="shared" si="21"/>
        <v>72.3</v>
      </c>
      <c r="M68" s="246">
        <f t="shared" si="21"/>
        <v>0</v>
      </c>
      <c r="N68" s="246">
        <f t="shared" si="21"/>
        <v>0</v>
      </c>
      <c r="O68" s="247">
        <f t="shared" si="21"/>
        <v>5.16</v>
      </c>
      <c r="P68" s="245">
        <f t="shared" si="21"/>
        <v>7.74</v>
      </c>
      <c r="Q68" s="246">
        <f t="shared" si="21"/>
        <v>7.21</v>
      </c>
      <c r="R68" s="246">
        <f t="shared" si="21"/>
        <v>673.57</v>
      </c>
      <c r="S68" s="246">
        <f t="shared" si="21"/>
        <v>0</v>
      </c>
      <c r="T68" s="246">
        <f t="shared" si="21"/>
        <v>0</v>
      </c>
      <c r="U68" s="246">
        <f t="shared" si="21"/>
        <v>0</v>
      </c>
      <c r="V68" s="246">
        <f t="shared" si="21"/>
        <v>0</v>
      </c>
      <c r="W68" s="246">
        <f t="shared" si="21"/>
        <v>0</v>
      </c>
      <c r="X68" s="246">
        <f t="shared" si="21"/>
        <v>0</v>
      </c>
      <c r="Y68" s="246">
        <f t="shared" si="21"/>
        <v>0</v>
      </c>
      <c r="Z68" s="246">
        <f t="shared" si="21"/>
        <v>0</v>
      </c>
      <c r="AA68" s="247">
        <f t="shared" si="21"/>
        <v>0</v>
      </c>
      <c r="AB68" s="245">
        <f t="shared" si="21"/>
        <v>17.170000000000002</v>
      </c>
      <c r="AC68" s="246">
        <f t="shared" si="21"/>
        <v>0</v>
      </c>
      <c r="AD68" s="246">
        <f t="shared" si="21"/>
        <v>0</v>
      </c>
      <c r="AE68" s="246">
        <f t="shared" si="21"/>
        <v>0</v>
      </c>
      <c r="AF68" s="246">
        <f t="shared" si="21"/>
        <v>0</v>
      </c>
      <c r="AG68" s="246">
        <f t="shared" si="21"/>
        <v>0</v>
      </c>
      <c r="AH68" s="246">
        <f t="shared" si="21"/>
        <v>0</v>
      </c>
      <c r="AI68" s="246">
        <f t="shared" si="21"/>
        <v>31.02</v>
      </c>
      <c r="AJ68" s="246">
        <f t="shared" si="21"/>
        <v>66.8</v>
      </c>
      <c r="AK68" s="246">
        <f t="shared" si="21"/>
        <v>26.93</v>
      </c>
      <c r="AL68" s="246">
        <f t="shared" si="21"/>
        <v>37.42</v>
      </c>
      <c r="AM68" s="246">
        <f t="shared" si="21"/>
        <v>13.53</v>
      </c>
      <c r="AN68" s="246">
        <f t="shared" si="21"/>
        <v>28.19</v>
      </c>
      <c r="AO68" s="246">
        <f t="shared" si="21"/>
        <v>0</v>
      </c>
      <c r="AP68" s="246">
        <f t="shared" si="21"/>
        <v>0</v>
      </c>
      <c r="AQ68" s="246">
        <f t="shared" si="21"/>
        <v>0</v>
      </c>
      <c r="AR68" s="247">
        <f t="shared" si="21"/>
        <v>0</v>
      </c>
      <c r="AS68" s="246">
        <f t="shared" si="21"/>
        <v>0</v>
      </c>
      <c r="AT68" s="246">
        <f t="shared" si="10"/>
        <v>1.83</v>
      </c>
      <c r="AU68" s="246">
        <f t="shared" si="10"/>
        <v>18.89</v>
      </c>
      <c r="AV68" s="246">
        <f>ROUND((AV42*AV18)/1000,2)</f>
        <v>38.01</v>
      </c>
      <c r="AW68" s="246">
        <f t="shared" ref="AW68" si="22">ROUND((AW42*AW18)/1000,2)</f>
        <v>37.880000000000003</v>
      </c>
      <c r="AX68" s="246">
        <f t="shared" si="11"/>
        <v>-0.34201525914231468</v>
      </c>
      <c r="AY68" s="247">
        <f t="shared" si="12"/>
        <v>40.660972892684754</v>
      </c>
      <c r="AZ68" s="244"/>
      <c r="BA68" s="634"/>
      <c r="BB68" s="653"/>
      <c r="BC68" s="628"/>
    </row>
    <row r="69" spans="2:56" ht="25.5" customHeight="1">
      <c r="B69" s="189" t="s">
        <v>35</v>
      </c>
      <c r="C69" s="521">
        <f t="shared" si="8"/>
        <v>197.33999999999997</v>
      </c>
      <c r="D69" s="245">
        <f t="shared" ref="D69:AS69" si="23">ROUND((D43*D19)/1000,2)</f>
        <v>3.32</v>
      </c>
      <c r="E69" s="246">
        <f t="shared" si="23"/>
        <v>1.0900000000000001</v>
      </c>
      <c r="F69" s="246">
        <f t="shared" si="23"/>
        <v>1</v>
      </c>
      <c r="G69" s="246">
        <f t="shared" si="23"/>
        <v>0</v>
      </c>
      <c r="H69" s="246">
        <f t="shared" si="23"/>
        <v>0</v>
      </c>
      <c r="I69" s="246">
        <f t="shared" si="23"/>
        <v>0</v>
      </c>
      <c r="J69" s="246">
        <f t="shared" si="23"/>
        <v>21.75</v>
      </c>
      <c r="K69" s="246">
        <f t="shared" si="23"/>
        <v>58.5</v>
      </c>
      <c r="L69" s="246">
        <f t="shared" si="23"/>
        <v>106.3</v>
      </c>
      <c r="M69" s="246">
        <f t="shared" si="23"/>
        <v>0</v>
      </c>
      <c r="N69" s="246">
        <f t="shared" si="23"/>
        <v>0</v>
      </c>
      <c r="O69" s="247">
        <f t="shared" si="23"/>
        <v>5.38</v>
      </c>
      <c r="P69" s="245">
        <f t="shared" si="23"/>
        <v>50.35</v>
      </c>
      <c r="Q69" s="246">
        <f t="shared" si="23"/>
        <v>0</v>
      </c>
      <c r="R69" s="246">
        <f t="shared" si="23"/>
        <v>0</v>
      </c>
      <c r="S69" s="246">
        <f t="shared" si="23"/>
        <v>0</v>
      </c>
      <c r="T69" s="246">
        <f t="shared" si="23"/>
        <v>2.02</v>
      </c>
      <c r="U69" s="246">
        <f t="shared" si="23"/>
        <v>3.99</v>
      </c>
      <c r="V69" s="246">
        <f t="shared" si="23"/>
        <v>48.02</v>
      </c>
      <c r="W69" s="246">
        <f t="shared" si="23"/>
        <v>0</v>
      </c>
      <c r="X69" s="246">
        <f t="shared" si="23"/>
        <v>0</v>
      </c>
      <c r="Y69" s="246">
        <f t="shared" si="23"/>
        <v>0</v>
      </c>
      <c r="Z69" s="246">
        <f t="shared" si="23"/>
        <v>0</v>
      </c>
      <c r="AA69" s="247">
        <f t="shared" si="23"/>
        <v>0</v>
      </c>
      <c r="AB69" s="245">
        <f t="shared" si="23"/>
        <v>48.55</v>
      </c>
      <c r="AC69" s="246">
        <f t="shared" si="23"/>
        <v>0</v>
      </c>
      <c r="AD69" s="246">
        <f t="shared" si="23"/>
        <v>0</v>
      </c>
      <c r="AE69" s="246">
        <f t="shared" si="23"/>
        <v>0</v>
      </c>
      <c r="AF69" s="246">
        <f t="shared" si="23"/>
        <v>0</v>
      </c>
      <c r="AG69" s="246">
        <f t="shared" si="23"/>
        <v>0.66</v>
      </c>
      <c r="AH69" s="246">
        <f t="shared" si="23"/>
        <v>2.4</v>
      </c>
      <c r="AI69" s="246">
        <f t="shared" si="23"/>
        <v>98.64</v>
      </c>
      <c r="AJ69" s="246">
        <f t="shared" si="23"/>
        <v>121.73</v>
      </c>
      <c r="AK69" s="246">
        <f t="shared" si="23"/>
        <v>2.4700000000000002</v>
      </c>
      <c r="AL69" s="246">
        <f t="shared" si="23"/>
        <v>110.94</v>
      </c>
      <c r="AM69" s="246">
        <f t="shared" si="23"/>
        <v>35.94</v>
      </c>
      <c r="AN69" s="246">
        <f t="shared" si="23"/>
        <v>20.32</v>
      </c>
      <c r="AO69" s="246">
        <f t="shared" si="23"/>
        <v>0</v>
      </c>
      <c r="AP69" s="246">
        <f t="shared" si="23"/>
        <v>0</v>
      </c>
      <c r="AQ69" s="246">
        <f t="shared" si="23"/>
        <v>1.38</v>
      </c>
      <c r="AR69" s="247">
        <f t="shared" si="23"/>
        <v>0</v>
      </c>
      <c r="AS69" s="246">
        <f t="shared" si="23"/>
        <v>1.03</v>
      </c>
      <c r="AT69" s="246">
        <f t="shared" si="10"/>
        <v>7.18</v>
      </c>
      <c r="AU69" s="246">
        <f t="shared" si="10"/>
        <v>10.119999999999999</v>
      </c>
      <c r="AV69" s="246">
        <f t="shared" si="10"/>
        <v>7.77</v>
      </c>
      <c r="AW69" s="246">
        <f t="shared" si="10"/>
        <v>19.98</v>
      </c>
      <c r="AX69" s="246">
        <f t="shared" si="11"/>
        <v>157.14285714285717</v>
      </c>
      <c r="AY69" s="247">
        <f t="shared" si="12"/>
        <v>708.90688259109299</v>
      </c>
      <c r="AZ69" s="244"/>
      <c r="BA69" s="634"/>
      <c r="BB69" s="653"/>
      <c r="BC69" s="628"/>
    </row>
    <row r="70" spans="2:56" ht="25.5" customHeight="1">
      <c r="B70" s="189" t="s">
        <v>37</v>
      </c>
      <c r="C70" s="521">
        <f t="shared" si="8"/>
        <v>928.43</v>
      </c>
      <c r="D70" s="245">
        <f t="shared" ref="D70:AS70" si="24">ROUND((D44*D20)/1000,2)</f>
        <v>58.03</v>
      </c>
      <c r="E70" s="246">
        <f t="shared" si="24"/>
        <v>1.82</v>
      </c>
      <c r="F70" s="246">
        <f t="shared" si="24"/>
        <v>199.84</v>
      </c>
      <c r="G70" s="246">
        <f t="shared" si="24"/>
        <v>142.49</v>
      </c>
      <c r="H70" s="246">
        <f t="shared" si="24"/>
        <v>339.37</v>
      </c>
      <c r="I70" s="246">
        <f t="shared" si="24"/>
        <v>81.099999999999994</v>
      </c>
      <c r="J70" s="246">
        <f t="shared" si="24"/>
        <v>42.9</v>
      </c>
      <c r="K70" s="246">
        <f t="shared" si="24"/>
        <v>50.73</v>
      </c>
      <c r="L70" s="246">
        <f t="shared" si="24"/>
        <v>10.130000000000001</v>
      </c>
      <c r="M70" s="246">
        <f t="shared" si="24"/>
        <v>0</v>
      </c>
      <c r="N70" s="246">
        <f t="shared" si="24"/>
        <v>0</v>
      </c>
      <c r="O70" s="247">
        <f t="shared" si="24"/>
        <v>2.02</v>
      </c>
      <c r="P70" s="245">
        <f t="shared" si="24"/>
        <v>77.19</v>
      </c>
      <c r="Q70" s="246">
        <f t="shared" si="24"/>
        <v>35.79</v>
      </c>
      <c r="R70" s="246">
        <f t="shared" si="24"/>
        <v>2533.17</v>
      </c>
      <c r="S70" s="246">
        <f t="shared" si="24"/>
        <v>28.36</v>
      </c>
      <c r="T70" s="246">
        <f t="shared" si="24"/>
        <v>17.18</v>
      </c>
      <c r="U70" s="246">
        <f t="shared" si="24"/>
        <v>97.93</v>
      </c>
      <c r="V70" s="246">
        <f t="shared" si="24"/>
        <v>95.91</v>
      </c>
      <c r="W70" s="246">
        <f t="shared" si="24"/>
        <v>0</v>
      </c>
      <c r="X70" s="246">
        <f t="shared" si="24"/>
        <v>0</v>
      </c>
      <c r="Y70" s="246">
        <f t="shared" si="24"/>
        <v>0</v>
      </c>
      <c r="Z70" s="246">
        <f t="shared" si="24"/>
        <v>0</v>
      </c>
      <c r="AA70" s="247">
        <f t="shared" si="24"/>
        <v>0</v>
      </c>
      <c r="AB70" s="245">
        <f t="shared" si="24"/>
        <v>38.47</v>
      </c>
      <c r="AC70" s="246">
        <f t="shared" si="24"/>
        <v>91.75</v>
      </c>
      <c r="AD70" s="246">
        <f t="shared" si="24"/>
        <v>161.19999999999999</v>
      </c>
      <c r="AE70" s="246">
        <f t="shared" si="24"/>
        <v>50.62</v>
      </c>
      <c r="AF70" s="246">
        <f t="shared" si="24"/>
        <v>133.87</v>
      </c>
      <c r="AG70" s="246">
        <f t="shared" si="24"/>
        <v>21.64</v>
      </c>
      <c r="AH70" s="246">
        <f t="shared" si="24"/>
        <v>65.67</v>
      </c>
      <c r="AI70" s="246">
        <f t="shared" si="24"/>
        <v>304.26</v>
      </c>
      <c r="AJ70" s="246">
        <f t="shared" si="24"/>
        <v>58.23</v>
      </c>
      <c r="AK70" s="246">
        <f t="shared" si="24"/>
        <v>75.2</v>
      </c>
      <c r="AL70" s="246">
        <f t="shared" si="24"/>
        <v>39.75</v>
      </c>
      <c r="AM70" s="246">
        <f t="shared" si="24"/>
        <v>41.11</v>
      </c>
      <c r="AN70" s="246">
        <f t="shared" si="24"/>
        <v>226.9</v>
      </c>
      <c r="AO70" s="246">
        <f t="shared" si="24"/>
        <v>1.82</v>
      </c>
      <c r="AP70" s="246">
        <f t="shared" si="24"/>
        <v>46.63</v>
      </c>
      <c r="AQ70" s="246">
        <f t="shared" si="24"/>
        <v>70.790000000000006</v>
      </c>
      <c r="AR70" s="247">
        <f t="shared" si="24"/>
        <v>118.72</v>
      </c>
      <c r="AS70" s="246">
        <f t="shared" si="24"/>
        <v>152.06</v>
      </c>
      <c r="AT70" s="246">
        <f t="shared" si="10"/>
        <v>113.22</v>
      </c>
      <c r="AU70" s="246">
        <f t="shared" si="10"/>
        <v>137.35</v>
      </c>
      <c r="AV70" s="246">
        <f t="shared" si="10"/>
        <v>63.02</v>
      </c>
      <c r="AW70" s="246">
        <f t="shared" si="10"/>
        <v>48.69</v>
      </c>
      <c r="AX70" s="246">
        <f t="shared" si="11"/>
        <v>-22.738813075214225</v>
      </c>
      <c r="AY70" s="247">
        <f t="shared" si="12"/>
        <v>-35.252659574468098</v>
      </c>
      <c r="AZ70" s="244"/>
      <c r="BA70" s="634"/>
      <c r="BB70" s="653"/>
      <c r="BC70" s="628"/>
    </row>
    <row r="71" spans="2:56" ht="25.5" customHeight="1">
      <c r="B71" s="189" t="s">
        <v>38</v>
      </c>
      <c r="C71" s="521">
        <f t="shared" si="8"/>
        <v>808.57999999999993</v>
      </c>
      <c r="D71" s="245">
        <f t="shared" ref="D71:AS71" si="25">ROUND((D45*D21)/1000,2)</f>
        <v>91.17</v>
      </c>
      <c r="E71" s="246">
        <f t="shared" si="25"/>
        <v>12.12</v>
      </c>
      <c r="F71" s="246">
        <f t="shared" si="25"/>
        <v>184.7</v>
      </c>
      <c r="G71" s="246">
        <f t="shared" si="25"/>
        <v>36.78</v>
      </c>
      <c r="H71" s="246">
        <f t="shared" si="25"/>
        <v>182.9</v>
      </c>
      <c r="I71" s="246">
        <f t="shared" si="25"/>
        <v>66.89</v>
      </c>
      <c r="J71" s="246">
        <f t="shared" si="25"/>
        <v>13.73</v>
      </c>
      <c r="K71" s="246">
        <f t="shared" si="25"/>
        <v>151.91999999999999</v>
      </c>
      <c r="L71" s="246">
        <f t="shared" si="25"/>
        <v>51.95</v>
      </c>
      <c r="M71" s="246">
        <f t="shared" si="25"/>
        <v>0</v>
      </c>
      <c r="N71" s="246">
        <f t="shared" si="25"/>
        <v>0</v>
      </c>
      <c r="O71" s="247">
        <f t="shared" si="25"/>
        <v>16.420000000000002</v>
      </c>
      <c r="P71" s="245">
        <f t="shared" si="25"/>
        <v>348.18</v>
      </c>
      <c r="Q71" s="246">
        <f t="shared" si="25"/>
        <v>39.61</v>
      </c>
      <c r="R71" s="246">
        <f t="shared" si="25"/>
        <v>417.79</v>
      </c>
      <c r="S71" s="246">
        <f t="shared" si="25"/>
        <v>20.170000000000002</v>
      </c>
      <c r="T71" s="246">
        <f t="shared" si="25"/>
        <v>84.56</v>
      </c>
      <c r="U71" s="246">
        <f t="shared" si="25"/>
        <v>358.29</v>
      </c>
      <c r="V71" s="246">
        <f t="shared" si="25"/>
        <v>64.319999999999993</v>
      </c>
      <c r="W71" s="246">
        <f t="shared" si="25"/>
        <v>0</v>
      </c>
      <c r="X71" s="246">
        <f t="shared" si="25"/>
        <v>0</v>
      </c>
      <c r="Y71" s="246">
        <f t="shared" si="25"/>
        <v>0</v>
      </c>
      <c r="Z71" s="246">
        <f t="shared" si="25"/>
        <v>0</v>
      </c>
      <c r="AA71" s="247">
        <f t="shared" si="25"/>
        <v>0</v>
      </c>
      <c r="AB71" s="245">
        <f t="shared" si="25"/>
        <v>144.01</v>
      </c>
      <c r="AC71" s="246">
        <f t="shared" si="25"/>
        <v>140.91</v>
      </c>
      <c r="AD71" s="246">
        <f t="shared" si="25"/>
        <v>162.1</v>
      </c>
      <c r="AE71" s="246">
        <f t="shared" si="25"/>
        <v>112.04</v>
      </c>
      <c r="AF71" s="246">
        <f t="shared" si="25"/>
        <v>222.48</v>
      </c>
      <c r="AG71" s="246">
        <f t="shared" si="25"/>
        <v>17.55</v>
      </c>
      <c r="AH71" s="246">
        <f t="shared" si="25"/>
        <v>33.58</v>
      </c>
      <c r="AI71" s="246">
        <f t="shared" si="25"/>
        <v>18.059999999999999</v>
      </c>
      <c r="AJ71" s="246">
        <f t="shared" si="25"/>
        <v>37.83</v>
      </c>
      <c r="AK71" s="246">
        <f t="shared" si="25"/>
        <v>79.84</v>
      </c>
      <c r="AL71" s="246">
        <f t="shared" si="25"/>
        <v>87.49</v>
      </c>
      <c r="AM71" s="246">
        <f t="shared" si="25"/>
        <v>117.75</v>
      </c>
      <c r="AN71" s="246">
        <f t="shared" si="25"/>
        <v>18.260000000000002</v>
      </c>
      <c r="AO71" s="246">
        <f t="shared" si="25"/>
        <v>38.950000000000003</v>
      </c>
      <c r="AP71" s="246">
        <f t="shared" si="25"/>
        <v>38.81</v>
      </c>
      <c r="AQ71" s="246">
        <f t="shared" si="25"/>
        <v>69.42</v>
      </c>
      <c r="AR71" s="247">
        <f t="shared" si="25"/>
        <v>91.03</v>
      </c>
      <c r="AS71" s="246">
        <f t="shared" si="25"/>
        <v>62.95</v>
      </c>
      <c r="AT71" s="246">
        <f t="shared" si="10"/>
        <v>331.55</v>
      </c>
      <c r="AU71" s="246">
        <f t="shared" si="10"/>
        <v>204.55</v>
      </c>
      <c r="AV71" s="246">
        <f t="shared" si="10"/>
        <v>127.28</v>
      </c>
      <c r="AW71" s="246">
        <f t="shared" si="10"/>
        <v>77.97</v>
      </c>
      <c r="AX71" s="246">
        <f t="shared" si="11"/>
        <v>-38.741357636706475</v>
      </c>
      <c r="AY71" s="247">
        <f t="shared" si="12"/>
        <v>-2.3421843687374775</v>
      </c>
      <c r="AZ71" s="244"/>
      <c r="BA71" s="634"/>
      <c r="BB71" s="653"/>
      <c r="BC71" s="628"/>
    </row>
    <row r="72" spans="2:56" ht="25.5" customHeight="1">
      <c r="B72" s="189" t="s">
        <v>39</v>
      </c>
      <c r="C72" s="521">
        <f t="shared" si="8"/>
        <v>82.45</v>
      </c>
      <c r="D72" s="245">
        <f t="shared" ref="D72:AS72" si="26">ROUND((D46*D22)/1000,2)</f>
        <v>6.6</v>
      </c>
      <c r="E72" s="246">
        <f t="shared" si="26"/>
        <v>4.68</v>
      </c>
      <c r="F72" s="246">
        <f t="shared" si="26"/>
        <v>22.84</v>
      </c>
      <c r="G72" s="246">
        <f t="shared" si="26"/>
        <v>0</v>
      </c>
      <c r="H72" s="246">
        <f t="shared" si="26"/>
        <v>30.72</v>
      </c>
      <c r="I72" s="246">
        <f t="shared" si="26"/>
        <v>2.9</v>
      </c>
      <c r="J72" s="246">
        <f t="shared" si="26"/>
        <v>2.39</v>
      </c>
      <c r="K72" s="246">
        <f t="shared" si="26"/>
        <v>10.27</v>
      </c>
      <c r="L72" s="246">
        <f t="shared" si="26"/>
        <v>1.19</v>
      </c>
      <c r="M72" s="246">
        <f t="shared" si="26"/>
        <v>0</v>
      </c>
      <c r="N72" s="246">
        <f t="shared" si="26"/>
        <v>0</v>
      </c>
      <c r="O72" s="247">
        <f t="shared" si="26"/>
        <v>0.86</v>
      </c>
      <c r="P72" s="245">
        <f t="shared" si="26"/>
        <v>10.27</v>
      </c>
      <c r="Q72" s="246">
        <f t="shared" si="26"/>
        <v>2.4500000000000002</v>
      </c>
      <c r="R72" s="246">
        <f t="shared" si="26"/>
        <v>18.77</v>
      </c>
      <c r="S72" s="246">
        <f t="shared" si="26"/>
        <v>21.26</v>
      </c>
      <c r="T72" s="246">
        <f t="shared" si="26"/>
        <v>1.7</v>
      </c>
      <c r="U72" s="246">
        <f t="shared" si="26"/>
        <v>9.59</v>
      </c>
      <c r="V72" s="246">
        <f t="shared" si="26"/>
        <v>93.62</v>
      </c>
      <c r="W72" s="246">
        <f t="shared" si="26"/>
        <v>0</v>
      </c>
      <c r="X72" s="246">
        <f t="shared" si="26"/>
        <v>0</v>
      </c>
      <c r="Y72" s="246">
        <f t="shared" si="26"/>
        <v>0</v>
      </c>
      <c r="Z72" s="246">
        <f t="shared" si="26"/>
        <v>0</v>
      </c>
      <c r="AA72" s="247">
        <f t="shared" si="26"/>
        <v>0</v>
      </c>
      <c r="AB72" s="245">
        <f t="shared" si="26"/>
        <v>8.58</v>
      </c>
      <c r="AC72" s="246">
        <f t="shared" si="26"/>
        <v>6.34</v>
      </c>
      <c r="AD72" s="246">
        <f t="shared" si="26"/>
        <v>22.84</v>
      </c>
      <c r="AE72" s="246">
        <f t="shared" si="26"/>
        <v>6.12</v>
      </c>
      <c r="AF72" s="246">
        <f t="shared" si="26"/>
        <v>76.73</v>
      </c>
      <c r="AG72" s="246">
        <f t="shared" si="26"/>
        <v>63.41</v>
      </c>
      <c r="AH72" s="246">
        <f t="shared" si="26"/>
        <v>60.83</v>
      </c>
      <c r="AI72" s="246">
        <f t="shared" si="26"/>
        <v>105.63</v>
      </c>
      <c r="AJ72" s="246">
        <f t="shared" si="26"/>
        <v>54.21</v>
      </c>
      <c r="AK72" s="246">
        <f t="shared" si="26"/>
        <v>18.43</v>
      </c>
      <c r="AL72" s="246">
        <f t="shared" si="26"/>
        <v>26.04</v>
      </c>
      <c r="AM72" s="246">
        <f t="shared" si="26"/>
        <v>73.89</v>
      </c>
      <c r="AN72" s="246">
        <f t="shared" si="26"/>
        <v>33.07</v>
      </c>
      <c r="AO72" s="246">
        <f t="shared" si="26"/>
        <v>4.4800000000000004</v>
      </c>
      <c r="AP72" s="246">
        <f t="shared" si="26"/>
        <v>1.08</v>
      </c>
      <c r="AQ72" s="247">
        <f t="shared" si="26"/>
        <v>25.26</v>
      </c>
      <c r="AR72" s="247">
        <f t="shared" si="26"/>
        <v>39.89</v>
      </c>
      <c r="AS72" s="246">
        <f t="shared" si="26"/>
        <v>67.36</v>
      </c>
      <c r="AT72" s="246">
        <f t="shared" si="10"/>
        <v>69.69</v>
      </c>
      <c r="AU72" s="246">
        <f t="shared" si="10"/>
        <v>95.55</v>
      </c>
      <c r="AV72" s="246">
        <f t="shared" si="10"/>
        <v>49.41</v>
      </c>
      <c r="AW72" s="246">
        <f t="shared" si="10"/>
        <v>50.4</v>
      </c>
      <c r="AX72" s="246">
        <f t="shared" si="11"/>
        <v>2.0036429872495489</v>
      </c>
      <c r="AY72" s="247">
        <f t="shared" si="12"/>
        <v>173.46717308735754</v>
      </c>
      <c r="AZ72" s="244"/>
      <c r="BA72" s="634"/>
      <c r="BB72" s="653"/>
      <c r="BC72" s="628"/>
    </row>
    <row r="73" spans="2:56" ht="25.5" customHeight="1">
      <c r="B73" s="189" t="s">
        <v>40</v>
      </c>
      <c r="C73" s="521">
        <f t="shared" si="8"/>
        <v>499.11999999999995</v>
      </c>
      <c r="D73" s="245">
        <f t="shared" ref="D73:AS73" si="27">ROUND((D47*D23)/1000,2)</f>
        <v>88.28</v>
      </c>
      <c r="E73" s="246">
        <f t="shared" si="27"/>
        <v>43.63</v>
      </c>
      <c r="F73" s="246">
        <f t="shared" si="27"/>
        <v>19.82</v>
      </c>
      <c r="G73" s="246">
        <f t="shared" si="27"/>
        <v>57.7</v>
      </c>
      <c r="H73" s="246">
        <f t="shared" si="27"/>
        <v>54.49</v>
      </c>
      <c r="I73" s="246">
        <f t="shared" si="27"/>
        <v>35.11</v>
      </c>
      <c r="J73" s="246">
        <f t="shared" si="27"/>
        <v>37.22</v>
      </c>
      <c r="K73" s="246">
        <f t="shared" si="27"/>
        <v>101.65</v>
      </c>
      <c r="L73" s="246">
        <f t="shared" si="27"/>
        <v>46.41</v>
      </c>
      <c r="M73" s="246">
        <f t="shared" si="27"/>
        <v>0</v>
      </c>
      <c r="N73" s="246">
        <f t="shared" si="27"/>
        <v>0</v>
      </c>
      <c r="O73" s="247">
        <f t="shared" si="27"/>
        <v>14.81</v>
      </c>
      <c r="P73" s="245">
        <f t="shared" si="27"/>
        <v>75.819999999999993</v>
      </c>
      <c r="Q73" s="246">
        <f t="shared" si="27"/>
        <v>34.57</v>
      </c>
      <c r="R73" s="246">
        <f t="shared" si="27"/>
        <v>10.19</v>
      </c>
      <c r="S73" s="246">
        <f t="shared" si="27"/>
        <v>31.75</v>
      </c>
      <c r="T73" s="246">
        <f t="shared" si="27"/>
        <v>43.68</v>
      </c>
      <c r="U73" s="246">
        <f t="shared" si="27"/>
        <v>31.87</v>
      </c>
      <c r="V73" s="246">
        <f t="shared" si="27"/>
        <v>44.89</v>
      </c>
      <c r="W73" s="246">
        <f t="shared" si="27"/>
        <v>0</v>
      </c>
      <c r="X73" s="246">
        <f t="shared" si="27"/>
        <v>0</v>
      </c>
      <c r="Y73" s="246">
        <f t="shared" si="27"/>
        <v>0</v>
      </c>
      <c r="Z73" s="246">
        <f t="shared" si="27"/>
        <v>0</v>
      </c>
      <c r="AA73" s="247">
        <f t="shared" si="27"/>
        <v>0</v>
      </c>
      <c r="AB73" s="245">
        <f t="shared" si="27"/>
        <v>28.08</v>
      </c>
      <c r="AC73" s="246">
        <f t="shared" si="27"/>
        <v>49.32</v>
      </c>
      <c r="AD73" s="246">
        <f t="shared" si="27"/>
        <v>19.82</v>
      </c>
      <c r="AE73" s="246">
        <f t="shared" si="27"/>
        <v>16.87</v>
      </c>
      <c r="AF73" s="246">
        <f t="shared" si="27"/>
        <v>34.409999999999997</v>
      </c>
      <c r="AG73" s="246">
        <f t="shared" si="27"/>
        <v>13.81</v>
      </c>
      <c r="AH73" s="246">
        <f t="shared" si="27"/>
        <v>13.86</v>
      </c>
      <c r="AI73" s="246">
        <f t="shared" si="27"/>
        <v>25.97</v>
      </c>
      <c r="AJ73" s="246">
        <f t="shared" si="27"/>
        <v>37</v>
      </c>
      <c r="AK73" s="246">
        <f t="shared" si="27"/>
        <v>101.29</v>
      </c>
      <c r="AL73" s="246">
        <f t="shared" si="27"/>
        <v>42.72</v>
      </c>
      <c r="AM73" s="246">
        <f t="shared" si="27"/>
        <v>34.1</v>
      </c>
      <c r="AN73" s="246">
        <f t="shared" si="27"/>
        <v>27.75</v>
      </c>
      <c r="AO73" s="246">
        <f t="shared" si="27"/>
        <v>56.61</v>
      </c>
      <c r="AP73" s="246">
        <f t="shared" si="27"/>
        <v>28.11</v>
      </c>
      <c r="AQ73" s="246">
        <f t="shared" si="27"/>
        <v>33.99</v>
      </c>
      <c r="AR73" s="247">
        <f t="shared" si="27"/>
        <v>29.98</v>
      </c>
      <c r="AS73" s="246">
        <f t="shared" si="27"/>
        <v>27.41</v>
      </c>
      <c r="AT73" s="246">
        <f t="shared" si="10"/>
        <v>29.31</v>
      </c>
      <c r="AU73" s="246">
        <f t="shared" si="10"/>
        <v>35.4</v>
      </c>
      <c r="AV73" s="246">
        <f t="shared" si="10"/>
        <v>32.82</v>
      </c>
      <c r="AW73" s="246">
        <f t="shared" si="10"/>
        <v>15.36</v>
      </c>
      <c r="AX73" s="246">
        <f t="shared" si="11"/>
        <v>-53.199268738574041</v>
      </c>
      <c r="AY73" s="247">
        <f t="shared" si="12"/>
        <v>-84.835620495606676</v>
      </c>
      <c r="AZ73" s="244"/>
      <c r="BA73" s="634"/>
      <c r="BB73" s="653"/>
      <c r="BC73" s="628"/>
    </row>
    <row r="74" spans="2:56" ht="25.5" customHeight="1">
      <c r="B74" s="189" t="s">
        <v>41</v>
      </c>
      <c r="C74" s="521">
        <f t="shared" si="8"/>
        <v>285.86</v>
      </c>
      <c r="D74" s="245">
        <f t="shared" ref="D74:AS74" si="28">ROUND((D48*D24)/1000,2)</f>
        <v>25.66</v>
      </c>
      <c r="E74" s="246">
        <f t="shared" si="28"/>
        <v>1.56</v>
      </c>
      <c r="F74" s="246">
        <f t="shared" si="28"/>
        <v>60.05</v>
      </c>
      <c r="G74" s="246">
        <f t="shared" si="28"/>
        <v>0</v>
      </c>
      <c r="H74" s="246">
        <f t="shared" si="28"/>
        <v>17.72</v>
      </c>
      <c r="I74" s="246">
        <f t="shared" si="28"/>
        <v>10.65</v>
      </c>
      <c r="J74" s="246">
        <f t="shared" si="28"/>
        <v>9.93</v>
      </c>
      <c r="K74" s="246">
        <f t="shared" si="28"/>
        <v>47.42</v>
      </c>
      <c r="L74" s="246">
        <f t="shared" si="28"/>
        <v>108.77</v>
      </c>
      <c r="M74" s="246">
        <f t="shared" si="28"/>
        <v>0</v>
      </c>
      <c r="N74" s="246">
        <f t="shared" si="28"/>
        <v>0</v>
      </c>
      <c r="O74" s="247">
        <f t="shared" si="28"/>
        <v>4.0999999999999996</v>
      </c>
      <c r="P74" s="245">
        <f t="shared" si="28"/>
        <v>36.19</v>
      </c>
      <c r="Q74" s="246">
        <f t="shared" si="28"/>
        <v>0.36</v>
      </c>
      <c r="R74" s="246">
        <f t="shared" si="28"/>
        <v>9.34</v>
      </c>
      <c r="S74" s="246">
        <f t="shared" si="28"/>
        <v>0</v>
      </c>
      <c r="T74" s="246">
        <f t="shared" si="28"/>
        <v>6.23</v>
      </c>
      <c r="U74" s="246">
        <f t="shared" si="28"/>
        <v>29.61</v>
      </c>
      <c r="V74" s="246">
        <f t="shared" si="28"/>
        <v>31.84</v>
      </c>
      <c r="W74" s="246">
        <f t="shared" si="28"/>
        <v>0</v>
      </c>
      <c r="X74" s="246">
        <f t="shared" si="28"/>
        <v>0</v>
      </c>
      <c r="Y74" s="246">
        <f t="shared" si="28"/>
        <v>0</v>
      </c>
      <c r="Z74" s="246">
        <f t="shared" si="28"/>
        <v>0</v>
      </c>
      <c r="AA74" s="247">
        <f t="shared" si="28"/>
        <v>0</v>
      </c>
      <c r="AB74" s="245">
        <f t="shared" si="28"/>
        <v>21.16</v>
      </c>
      <c r="AC74" s="246">
        <f t="shared" si="28"/>
        <v>4.5599999999999996</v>
      </c>
      <c r="AD74" s="246">
        <f t="shared" si="28"/>
        <v>5.13</v>
      </c>
      <c r="AE74" s="246">
        <f t="shared" si="28"/>
        <v>1.43</v>
      </c>
      <c r="AF74" s="246">
        <f t="shared" si="28"/>
        <v>22.64</v>
      </c>
      <c r="AG74" s="246">
        <f t="shared" si="28"/>
        <v>19.37</v>
      </c>
      <c r="AH74" s="246">
        <f t="shared" si="28"/>
        <v>45.98</v>
      </c>
      <c r="AI74" s="246">
        <f t="shared" si="28"/>
        <v>176.15</v>
      </c>
      <c r="AJ74" s="246">
        <f t="shared" si="28"/>
        <v>36.96</v>
      </c>
      <c r="AK74" s="246">
        <f t="shared" si="28"/>
        <v>46.75</v>
      </c>
      <c r="AL74" s="246">
        <f t="shared" si="28"/>
        <v>43.5</v>
      </c>
      <c r="AM74" s="246">
        <f t="shared" si="28"/>
        <v>47.61</v>
      </c>
      <c r="AN74" s="246">
        <f t="shared" si="28"/>
        <v>17.809999999999999</v>
      </c>
      <c r="AO74" s="246">
        <f t="shared" si="28"/>
        <v>0</v>
      </c>
      <c r="AP74" s="246">
        <f t="shared" si="28"/>
        <v>4.92</v>
      </c>
      <c r="AQ74" s="247">
        <f t="shared" si="28"/>
        <v>7.58</v>
      </c>
      <c r="AR74" s="247">
        <f t="shared" si="28"/>
        <v>13.22</v>
      </c>
      <c r="AS74" s="246">
        <f t="shared" si="28"/>
        <v>24.01</v>
      </c>
      <c r="AT74" s="246">
        <f t="shared" si="10"/>
        <v>63.57</v>
      </c>
      <c r="AU74" s="246">
        <f t="shared" si="10"/>
        <v>62.62</v>
      </c>
      <c r="AV74" s="246">
        <f t="shared" si="10"/>
        <v>45.64</v>
      </c>
      <c r="AW74" s="246">
        <f t="shared" si="10"/>
        <v>30.51</v>
      </c>
      <c r="AX74" s="246">
        <f t="shared" si="11"/>
        <v>-33.150744960560914</v>
      </c>
      <c r="AY74" s="247">
        <f t="shared" si="12"/>
        <v>-34.737967914438499</v>
      </c>
      <c r="AZ74" s="244"/>
      <c r="BA74" s="634"/>
      <c r="BB74" s="653"/>
      <c r="BC74" s="628"/>
    </row>
    <row r="75" spans="2:56" ht="25.5" customHeight="1">
      <c r="B75" s="189" t="s">
        <v>43</v>
      </c>
      <c r="C75" s="521">
        <f t="shared" si="8"/>
        <v>725.82</v>
      </c>
      <c r="D75" s="245">
        <f t="shared" ref="D75:AS75" si="29">ROUND((D49*D25)/1000,2)</f>
        <v>23.01</v>
      </c>
      <c r="E75" s="246">
        <f t="shared" si="29"/>
        <v>58.53</v>
      </c>
      <c r="F75" s="246">
        <f t="shared" si="29"/>
        <v>0</v>
      </c>
      <c r="G75" s="246">
        <f t="shared" si="29"/>
        <v>1.1299999999999999</v>
      </c>
      <c r="H75" s="246">
        <f t="shared" si="29"/>
        <v>19.89</v>
      </c>
      <c r="I75" s="246">
        <f t="shared" si="29"/>
        <v>12.92</v>
      </c>
      <c r="J75" s="246">
        <f t="shared" si="29"/>
        <v>42.73</v>
      </c>
      <c r="K75" s="246">
        <f t="shared" si="29"/>
        <v>273.51</v>
      </c>
      <c r="L75" s="246">
        <f t="shared" si="29"/>
        <v>268.75</v>
      </c>
      <c r="M75" s="246">
        <f t="shared" si="29"/>
        <v>0</v>
      </c>
      <c r="N75" s="246">
        <f t="shared" si="29"/>
        <v>0</v>
      </c>
      <c r="O75" s="247">
        <f t="shared" si="29"/>
        <v>25.35</v>
      </c>
      <c r="P75" s="245">
        <f t="shared" si="29"/>
        <v>150.71</v>
      </c>
      <c r="Q75" s="246">
        <f t="shared" si="29"/>
        <v>7.19</v>
      </c>
      <c r="R75" s="246">
        <f t="shared" si="29"/>
        <v>48.66</v>
      </c>
      <c r="S75" s="246">
        <f t="shared" si="29"/>
        <v>0</v>
      </c>
      <c r="T75" s="246">
        <f t="shared" si="29"/>
        <v>0</v>
      </c>
      <c r="U75" s="246">
        <f t="shared" si="29"/>
        <v>31.86</v>
      </c>
      <c r="V75" s="246">
        <f t="shared" si="29"/>
        <v>59.57</v>
      </c>
      <c r="W75" s="246">
        <f t="shared" si="29"/>
        <v>0</v>
      </c>
      <c r="X75" s="246">
        <f t="shared" si="29"/>
        <v>0</v>
      </c>
      <c r="Y75" s="246">
        <f t="shared" si="29"/>
        <v>0</v>
      </c>
      <c r="Z75" s="246">
        <f t="shared" si="29"/>
        <v>0</v>
      </c>
      <c r="AA75" s="247">
        <f t="shared" si="29"/>
        <v>0</v>
      </c>
      <c r="AB75" s="245">
        <f t="shared" si="29"/>
        <v>59.35</v>
      </c>
      <c r="AC75" s="246">
        <f t="shared" si="29"/>
        <v>53.33</v>
      </c>
      <c r="AD75" s="246">
        <f t="shared" si="29"/>
        <v>0</v>
      </c>
      <c r="AE75" s="246">
        <f t="shared" si="29"/>
        <v>5.81</v>
      </c>
      <c r="AF75" s="246">
        <f t="shared" si="29"/>
        <v>23.62</v>
      </c>
      <c r="AG75" s="246">
        <f t="shared" si="29"/>
        <v>26.86</v>
      </c>
      <c r="AH75" s="246">
        <f t="shared" si="29"/>
        <v>106.98</v>
      </c>
      <c r="AI75" s="246">
        <f t="shared" si="29"/>
        <v>251.06</v>
      </c>
      <c r="AJ75" s="246">
        <f t="shared" si="29"/>
        <v>194.91</v>
      </c>
      <c r="AK75" s="246">
        <f t="shared" si="29"/>
        <v>125.67</v>
      </c>
      <c r="AL75" s="246">
        <f t="shared" si="29"/>
        <v>207.09</v>
      </c>
      <c r="AM75" s="246">
        <f t="shared" si="29"/>
        <v>181.83</v>
      </c>
      <c r="AN75" s="246">
        <f t="shared" si="29"/>
        <v>111.79</v>
      </c>
      <c r="AO75" s="246">
        <f t="shared" si="29"/>
        <v>58.53</v>
      </c>
      <c r="AP75" s="246">
        <f t="shared" si="29"/>
        <v>0</v>
      </c>
      <c r="AQ75" s="247">
        <f t="shared" si="29"/>
        <v>9.93</v>
      </c>
      <c r="AR75" s="247">
        <f t="shared" si="29"/>
        <v>12.59</v>
      </c>
      <c r="AS75" s="246">
        <f t="shared" si="29"/>
        <v>95.01</v>
      </c>
      <c r="AT75" s="246">
        <f t="shared" si="10"/>
        <v>149.66</v>
      </c>
      <c r="AU75" s="246">
        <f t="shared" si="10"/>
        <v>302.70999999999998</v>
      </c>
      <c r="AV75" s="246">
        <f t="shared" si="10"/>
        <v>262.99</v>
      </c>
      <c r="AW75" s="246">
        <f t="shared" si="10"/>
        <v>258.20999999999998</v>
      </c>
      <c r="AX75" s="246">
        <f t="shared" si="11"/>
        <v>-1.8175596030267371</v>
      </c>
      <c r="AY75" s="247">
        <f t="shared" si="12"/>
        <v>105.4666984960611</v>
      </c>
      <c r="AZ75" s="244"/>
      <c r="BA75" s="634"/>
      <c r="BB75" s="653"/>
      <c r="BC75" s="628"/>
    </row>
    <row r="76" spans="2:56" ht="25.5" customHeight="1">
      <c r="B76" s="189" t="s">
        <v>48</v>
      </c>
      <c r="C76" s="521">
        <f t="shared" si="8"/>
        <v>452.43</v>
      </c>
      <c r="D76" s="245">
        <f t="shared" ref="D76:AS76" si="30">ROUND((D50*D26)/1000,2)</f>
        <v>137.96</v>
      </c>
      <c r="E76" s="246">
        <f t="shared" si="30"/>
        <v>34.26</v>
      </c>
      <c r="F76" s="246">
        <f t="shared" si="30"/>
        <v>36.76</v>
      </c>
      <c r="G76" s="246">
        <f t="shared" si="30"/>
        <v>66.83</v>
      </c>
      <c r="H76" s="246">
        <f t="shared" si="30"/>
        <v>46.7</v>
      </c>
      <c r="I76" s="246">
        <f t="shared" si="30"/>
        <v>9.6199999999999992</v>
      </c>
      <c r="J76" s="246">
        <f t="shared" si="30"/>
        <v>20.04</v>
      </c>
      <c r="K76" s="246">
        <f t="shared" si="30"/>
        <v>61.32</v>
      </c>
      <c r="L76" s="246">
        <f t="shared" si="30"/>
        <v>14.59</v>
      </c>
      <c r="M76" s="246">
        <f t="shared" si="30"/>
        <v>0</v>
      </c>
      <c r="N76" s="246">
        <f t="shared" si="30"/>
        <v>0</v>
      </c>
      <c r="O76" s="247">
        <f t="shared" si="30"/>
        <v>24.35</v>
      </c>
      <c r="P76" s="245">
        <f t="shared" si="30"/>
        <v>70.739999999999995</v>
      </c>
      <c r="Q76" s="246">
        <f t="shared" si="30"/>
        <v>76.540000000000006</v>
      </c>
      <c r="R76" s="246">
        <f t="shared" si="30"/>
        <v>52.26</v>
      </c>
      <c r="S76" s="246">
        <f t="shared" si="30"/>
        <v>9.1</v>
      </c>
      <c r="T76" s="246">
        <f t="shared" si="30"/>
        <v>231.77</v>
      </c>
      <c r="U76" s="246">
        <f t="shared" si="30"/>
        <v>146.62</v>
      </c>
      <c r="V76" s="246">
        <f t="shared" si="30"/>
        <v>58.57</v>
      </c>
      <c r="W76" s="246">
        <f t="shared" si="30"/>
        <v>0</v>
      </c>
      <c r="X76" s="246">
        <f t="shared" si="30"/>
        <v>0</v>
      </c>
      <c r="Y76" s="246">
        <f t="shared" si="30"/>
        <v>0</v>
      </c>
      <c r="Z76" s="246">
        <f t="shared" si="30"/>
        <v>0</v>
      </c>
      <c r="AA76" s="247">
        <f t="shared" si="30"/>
        <v>0</v>
      </c>
      <c r="AB76" s="245">
        <f t="shared" si="30"/>
        <v>39.14</v>
      </c>
      <c r="AC76" s="246">
        <f t="shared" si="30"/>
        <v>61.55</v>
      </c>
      <c r="AD76" s="246">
        <f t="shared" si="30"/>
        <v>36.76</v>
      </c>
      <c r="AE76" s="246">
        <f t="shared" si="30"/>
        <v>57.36</v>
      </c>
      <c r="AF76" s="246">
        <f t="shared" si="30"/>
        <v>56.63</v>
      </c>
      <c r="AG76" s="246">
        <f t="shared" si="30"/>
        <v>43.12</v>
      </c>
      <c r="AH76" s="246">
        <f t="shared" si="30"/>
        <v>70.84</v>
      </c>
      <c r="AI76" s="246">
        <f t="shared" si="30"/>
        <v>105.93</v>
      </c>
      <c r="AJ76" s="246">
        <f t="shared" si="30"/>
        <v>31.05</v>
      </c>
      <c r="AK76" s="246">
        <f t="shared" si="30"/>
        <v>182.08</v>
      </c>
      <c r="AL76" s="246">
        <f t="shared" si="30"/>
        <v>35.409999999999997</v>
      </c>
      <c r="AM76" s="246">
        <f t="shared" si="30"/>
        <v>169.84</v>
      </c>
      <c r="AN76" s="246">
        <f t="shared" si="30"/>
        <v>124.05</v>
      </c>
      <c r="AO76" s="246">
        <f t="shared" si="30"/>
        <v>47.31</v>
      </c>
      <c r="AP76" s="246">
        <f t="shared" si="30"/>
        <v>45.4</v>
      </c>
      <c r="AQ76" s="246">
        <f t="shared" si="30"/>
        <v>83.39</v>
      </c>
      <c r="AR76" s="246">
        <f t="shared" si="30"/>
        <v>108.19</v>
      </c>
      <c r="AS76" s="246">
        <f t="shared" si="30"/>
        <v>106.43</v>
      </c>
      <c r="AT76" s="246">
        <f t="shared" si="10"/>
        <v>98.96</v>
      </c>
      <c r="AU76" s="246">
        <f t="shared" si="10"/>
        <v>155.6</v>
      </c>
      <c r="AV76" s="246">
        <f t="shared" si="10"/>
        <v>76.28</v>
      </c>
      <c r="AW76" s="246">
        <f t="shared" si="10"/>
        <v>52.35</v>
      </c>
      <c r="AX76" s="246">
        <f t="shared" si="11"/>
        <v>-31.371263765076023</v>
      </c>
      <c r="AY76" s="247">
        <f t="shared" si="12"/>
        <v>-71.248901581722322</v>
      </c>
      <c r="AZ76" s="244"/>
      <c r="BA76" s="634"/>
      <c r="BB76" s="653"/>
      <c r="BC76" s="628"/>
    </row>
    <row r="77" spans="2:56" ht="25.5" customHeight="1">
      <c r="B77" s="248" t="s">
        <v>49</v>
      </c>
      <c r="C77" s="521">
        <f t="shared" si="8"/>
        <v>504.49</v>
      </c>
      <c r="D77" s="249">
        <f t="shared" ref="D77:AS77" si="31">ROUND((D51*D27)/1000,2)</f>
        <v>30.84</v>
      </c>
      <c r="E77" s="250">
        <f t="shared" si="31"/>
        <v>27.46</v>
      </c>
      <c r="F77" s="250">
        <f t="shared" si="31"/>
        <v>7.21</v>
      </c>
      <c r="G77" s="250">
        <f t="shared" si="31"/>
        <v>12.18</v>
      </c>
      <c r="H77" s="250">
        <f t="shared" si="31"/>
        <v>17.170000000000002</v>
      </c>
      <c r="I77" s="250">
        <f t="shared" si="31"/>
        <v>75</v>
      </c>
      <c r="J77" s="250">
        <f t="shared" si="31"/>
        <v>31.89</v>
      </c>
      <c r="K77" s="250">
        <f t="shared" si="31"/>
        <v>111.72</v>
      </c>
      <c r="L77" s="250">
        <f t="shared" si="31"/>
        <v>129.30000000000001</v>
      </c>
      <c r="M77" s="250">
        <f t="shared" si="31"/>
        <v>0</v>
      </c>
      <c r="N77" s="250">
        <f t="shared" si="31"/>
        <v>0</v>
      </c>
      <c r="O77" s="251">
        <f t="shared" si="31"/>
        <v>61.72</v>
      </c>
      <c r="P77" s="249">
        <f t="shared" si="31"/>
        <v>112.31</v>
      </c>
      <c r="Q77" s="250">
        <f t="shared" si="31"/>
        <v>9.68</v>
      </c>
      <c r="R77" s="250">
        <f t="shared" si="31"/>
        <v>10.89</v>
      </c>
      <c r="S77" s="250">
        <f t="shared" si="31"/>
        <v>26.57</v>
      </c>
      <c r="T77" s="250">
        <f t="shared" si="31"/>
        <v>19.97</v>
      </c>
      <c r="U77" s="250">
        <f t="shared" si="31"/>
        <v>28.66</v>
      </c>
      <c r="V77" s="250">
        <f t="shared" si="31"/>
        <v>14.83</v>
      </c>
      <c r="W77" s="250">
        <f t="shared" si="31"/>
        <v>0</v>
      </c>
      <c r="X77" s="250">
        <f t="shared" si="31"/>
        <v>0</v>
      </c>
      <c r="Y77" s="250">
        <f t="shared" si="31"/>
        <v>0</v>
      </c>
      <c r="Z77" s="250">
        <f t="shared" si="31"/>
        <v>0</v>
      </c>
      <c r="AA77" s="251">
        <f t="shared" si="31"/>
        <v>0</v>
      </c>
      <c r="AB77" s="249">
        <f t="shared" si="31"/>
        <v>89.27</v>
      </c>
      <c r="AC77" s="250">
        <f t="shared" si="31"/>
        <v>71.53</v>
      </c>
      <c r="AD77" s="250">
        <f t="shared" si="31"/>
        <v>7.21</v>
      </c>
      <c r="AE77" s="250">
        <f t="shared" si="31"/>
        <v>14.55</v>
      </c>
      <c r="AF77" s="250">
        <f t="shared" si="31"/>
        <v>58</v>
      </c>
      <c r="AG77" s="250">
        <f t="shared" si="31"/>
        <v>65.900000000000006</v>
      </c>
      <c r="AH77" s="250">
        <f t="shared" si="31"/>
        <v>105.41</v>
      </c>
      <c r="AI77" s="250">
        <f t="shared" si="31"/>
        <v>74.53</v>
      </c>
      <c r="AJ77" s="250">
        <f t="shared" si="31"/>
        <v>68.849999999999994</v>
      </c>
      <c r="AK77" s="250">
        <f t="shared" si="31"/>
        <v>30.92</v>
      </c>
      <c r="AL77" s="250">
        <f t="shared" si="31"/>
        <v>23.41</v>
      </c>
      <c r="AM77" s="250">
        <f t="shared" si="31"/>
        <v>69.17</v>
      </c>
      <c r="AN77" s="250">
        <f t="shared" si="31"/>
        <v>35.909999999999997</v>
      </c>
      <c r="AO77" s="250">
        <f t="shared" si="31"/>
        <v>27.46</v>
      </c>
      <c r="AP77" s="250">
        <f t="shared" si="31"/>
        <v>83.09</v>
      </c>
      <c r="AQ77" s="246">
        <f t="shared" si="31"/>
        <v>37.520000000000003</v>
      </c>
      <c r="AR77" s="251">
        <f t="shared" si="31"/>
        <v>27.4</v>
      </c>
      <c r="AS77" s="250">
        <f t="shared" si="31"/>
        <v>55.42</v>
      </c>
      <c r="AT77" s="250">
        <f t="shared" si="10"/>
        <v>92.22</v>
      </c>
      <c r="AU77" s="250">
        <f t="shared" si="10"/>
        <v>192.93</v>
      </c>
      <c r="AV77" s="250">
        <f t="shared" si="10"/>
        <v>225.16</v>
      </c>
      <c r="AW77" s="250">
        <f t="shared" si="10"/>
        <v>83.05</v>
      </c>
      <c r="AX77" s="246">
        <f t="shared" si="11"/>
        <v>-63.115118138212829</v>
      </c>
      <c r="AY77" s="247">
        <f t="shared" si="12"/>
        <v>168.59637774902973</v>
      </c>
      <c r="AZ77" s="244"/>
      <c r="BA77" s="634"/>
      <c r="BB77" s="653"/>
      <c r="BC77" s="628"/>
    </row>
    <row r="78" spans="2:56" ht="25.5" customHeight="1">
      <c r="B78" s="629"/>
      <c r="C78" s="610">
        <f>SUM(C58:C77)</f>
        <v>11161.180000000004</v>
      </c>
      <c r="D78" s="603">
        <f>SUM(D58:D77)</f>
        <v>1149.07</v>
      </c>
      <c r="E78" s="251">
        <f t="shared" ref="E78:O78" si="32">SUM(E58:E77)</f>
        <v>662.24999999999989</v>
      </c>
      <c r="F78" s="251">
        <f t="shared" si="32"/>
        <v>1081.2400000000002</v>
      </c>
      <c r="G78" s="251">
        <f t="shared" si="32"/>
        <v>915.66</v>
      </c>
      <c r="H78" s="251">
        <f t="shared" si="32"/>
        <v>1034.45</v>
      </c>
      <c r="I78" s="251">
        <f t="shared" si="32"/>
        <v>697.99999999999989</v>
      </c>
      <c r="J78" s="251">
        <f t="shared" si="32"/>
        <v>1626.5900000000004</v>
      </c>
      <c r="K78" s="251">
        <f t="shared" si="32"/>
        <v>1987.02</v>
      </c>
      <c r="L78" s="251">
        <f t="shared" si="32"/>
        <v>1152.8100000000002</v>
      </c>
      <c r="M78" s="251">
        <f t="shared" si="32"/>
        <v>0</v>
      </c>
      <c r="N78" s="251">
        <f t="shared" si="32"/>
        <v>0</v>
      </c>
      <c r="O78" s="251">
        <f t="shared" si="32"/>
        <v>854.08999999999992</v>
      </c>
      <c r="P78" s="603">
        <f>SUM(P58:P77)</f>
        <v>4536.9699999999993</v>
      </c>
      <c r="Q78" s="251">
        <f t="shared" ref="Q78:AA78" si="33">SUM(Q58:Q77)</f>
        <v>1169.1299999999999</v>
      </c>
      <c r="R78" s="251">
        <f t="shared" si="33"/>
        <v>4131.1900000000005</v>
      </c>
      <c r="S78" s="251">
        <f t="shared" si="33"/>
        <v>572.0200000000001</v>
      </c>
      <c r="T78" s="251">
        <f t="shared" si="33"/>
        <v>1162.7900000000002</v>
      </c>
      <c r="U78" s="251">
        <f t="shared" si="33"/>
        <v>1856.36</v>
      </c>
      <c r="V78" s="251">
        <f t="shared" si="33"/>
        <v>1266.4199999999996</v>
      </c>
      <c r="W78" s="251">
        <f t="shared" si="33"/>
        <v>0</v>
      </c>
      <c r="X78" s="251">
        <f t="shared" si="33"/>
        <v>0</v>
      </c>
      <c r="Y78" s="251">
        <f t="shared" si="33"/>
        <v>0</v>
      </c>
      <c r="Z78" s="251">
        <f t="shared" si="33"/>
        <v>0</v>
      </c>
      <c r="AA78" s="251">
        <f t="shared" si="33"/>
        <v>0</v>
      </c>
      <c r="AB78" s="251">
        <f>SUM(AB58:AB77)</f>
        <v>955.05000000000007</v>
      </c>
      <c r="AC78" s="251">
        <f t="shared" ref="AC78:AP78" si="34">SUM(AC58:AC77)</f>
        <v>1531.8099999999997</v>
      </c>
      <c r="AD78" s="251">
        <f t="shared" si="34"/>
        <v>769.86000000000013</v>
      </c>
      <c r="AE78" s="251">
        <f t="shared" si="34"/>
        <v>1099.9299999999998</v>
      </c>
      <c r="AF78" s="251">
        <f t="shared" si="34"/>
        <v>1904.63</v>
      </c>
      <c r="AG78" s="251">
        <f t="shared" si="34"/>
        <v>1649.95</v>
      </c>
      <c r="AH78" s="251">
        <f t="shared" si="34"/>
        <v>1752.6899999999998</v>
      </c>
      <c r="AI78" s="251">
        <f t="shared" si="34"/>
        <v>2558.0700000000002</v>
      </c>
      <c r="AJ78" s="251">
        <f t="shared" si="34"/>
        <v>2315.85</v>
      </c>
      <c r="AK78" s="251">
        <f t="shared" si="34"/>
        <v>2397.8500000000004</v>
      </c>
      <c r="AL78" s="251">
        <f t="shared" si="34"/>
        <v>1391.03</v>
      </c>
      <c r="AM78" s="251">
        <f t="shared" si="34"/>
        <v>2410.2600000000002</v>
      </c>
      <c r="AN78" s="251">
        <f>SUM(AN58:AN77)</f>
        <v>1774.8999999999999</v>
      </c>
      <c r="AO78" s="251">
        <f t="shared" si="34"/>
        <v>578.79</v>
      </c>
      <c r="AP78" s="251">
        <f t="shared" si="34"/>
        <v>1653.2999999999997</v>
      </c>
      <c r="AQ78" s="630">
        <f>SUM(AQ58:AQ77)</f>
        <v>1556.6100000000001</v>
      </c>
      <c r="AR78" s="630">
        <f>SUM(AR58:AR77)</f>
        <v>1981.26</v>
      </c>
      <c r="AS78" s="630">
        <f>SUM(AS58:AS77)</f>
        <v>2057.5699999999997</v>
      </c>
      <c r="AT78" s="251">
        <f t="shared" ref="AT78:AW78" si="35">SUM(AT58:AT77)</f>
        <v>2250.5</v>
      </c>
      <c r="AU78" s="251">
        <f t="shared" si="35"/>
        <v>2605.7499999999995</v>
      </c>
      <c r="AV78" s="251">
        <f>SUM(AV58:AV77)</f>
        <v>2474.81</v>
      </c>
      <c r="AW78" s="250">
        <f t="shared" si="35"/>
        <v>2166.0800000000004</v>
      </c>
      <c r="AX78" s="645">
        <f t="shared" si="11"/>
        <v>-12.4748970628048</v>
      </c>
      <c r="AY78" s="630">
        <f t="shared" si="12"/>
        <v>-9.6657422274120535</v>
      </c>
      <c r="AZ78" s="244"/>
      <c r="BA78" s="634"/>
      <c r="BB78" s="653"/>
      <c r="BC78" s="316"/>
      <c r="BD78" s="632"/>
    </row>
    <row r="79" spans="2:56" ht="20.25" customHeight="1">
      <c r="B79" s="633" t="s">
        <v>163</v>
      </c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4"/>
      <c r="AI79" s="234"/>
      <c r="AJ79" s="234"/>
      <c r="AK79" s="234"/>
      <c r="AL79" s="234"/>
      <c r="AM79" s="234"/>
      <c r="AN79" s="512"/>
      <c r="AO79" s="234"/>
      <c r="AP79" s="234"/>
      <c r="AQ79" s="234"/>
      <c r="AR79" s="234"/>
      <c r="AS79" s="234"/>
      <c r="AT79" s="234"/>
      <c r="AU79" s="234"/>
      <c r="AV79" s="234"/>
      <c r="AW79" s="512"/>
      <c r="AX79" s="259"/>
      <c r="AY79" s="233"/>
      <c r="AZ79" s="233"/>
      <c r="BA79" s="634"/>
      <c r="BB79" s="261"/>
      <c r="BC79" s="261"/>
      <c r="BD79" s="261"/>
    </row>
    <row r="80" spans="2:56" ht="15.75" customHeight="1">
      <c r="B80" s="635"/>
      <c r="C80" s="252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234"/>
      <c r="AI80" s="234"/>
      <c r="AJ80" s="234"/>
      <c r="AK80" s="234"/>
      <c r="AL80" s="234"/>
      <c r="AM80" s="234"/>
      <c r="AN80" s="234"/>
      <c r="AO80" s="234"/>
      <c r="AP80" s="234"/>
      <c r="AQ80" s="234"/>
      <c r="AR80" s="234"/>
      <c r="AS80" s="234"/>
      <c r="AT80" s="234"/>
      <c r="AU80" s="234"/>
      <c r="AV80" s="234"/>
      <c r="AW80" s="234"/>
      <c r="AX80" s="234"/>
      <c r="AY80" s="233"/>
      <c r="AZ80" s="233"/>
      <c r="BA80" s="311"/>
      <c r="BB80" s="233"/>
      <c r="BC80" s="233"/>
      <c r="BD80" s="233"/>
    </row>
    <row r="81" spans="2:56">
      <c r="B81" s="636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234"/>
      <c r="Q81" s="234"/>
      <c r="R81" s="234"/>
      <c r="S81" s="234"/>
      <c r="T81" s="234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234"/>
      <c r="AI81" s="234"/>
      <c r="AJ81" s="234"/>
      <c r="AK81" s="234"/>
      <c r="AL81" s="234"/>
      <c r="AM81" s="234"/>
      <c r="AN81" s="234"/>
      <c r="AO81" s="234"/>
      <c r="AP81" s="234"/>
      <c r="AQ81" s="234"/>
      <c r="AR81" s="234"/>
      <c r="AS81" s="234"/>
      <c r="AT81" s="234"/>
      <c r="AU81" s="234"/>
      <c r="AV81" s="234"/>
      <c r="AW81" s="234"/>
      <c r="AX81" s="235"/>
      <c r="AY81" s="233"/>
      <c r="AZ81" s="233"/>
      <c r="BA81" s="311"/>
      <c r="BB81" s="233"/>
      <c r="BC81" s="233"/>
      <c r="BD81" s="233"/>
    </row>
    <row r="82" spans="2:56">
      <c r="B82" s="637"/>
      <c r="C82" s="234"/>
      <c r="D82" s="260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260"/>
      <c r="Q82" s="234"/>
      <c r="R82" s="234"/>
      <c r="S82" s="234"/>
      <c r="T82" s="234"/>
      <c r="U82" s="234"/>
      <c r="V82" s="234"/>
      <c r="W82" s="234"/>
      <c r="X82" s="234"/>
      <c r="Y82" s="234"/>
      <c r="Z82" s="234"/>
      <c r="AA82" s="234"/>
      <c r="AB82" s="260"/>
      <c r="AC82" s="234"/>
      <c r="AD82" s="234"/>
      <c r="AE82" s="234"/>
      <c r="AF82" s="234"/>
      <c r="AG82" s="234"/>
      <c r="AH82" s="234"/>
      <c r="AI82" s="234"/>
      <c r="AJ82" s="234"/>
      <c r="AK82" s="234"/>
      <c r="AL82" s="234"/>
      <c r="AM82" s="234"/>
      <c r="AN82" s="234"/>
      <c r="AO82" s="234"/>
      <c r="AP82" s="234"/>
      <c r="AQ82" s="234"/>
      <c r="AR82" s="234"/>
      <c r="AS82" s="234"/>
      <c r="AT82" s="234"/>
      <c r="AU82" s="234"/>
      <c r="AV82" s="234"/>
      <c r="AW82" s="234"/>
      <c r="AX82" s="234"/>
      <c r="AY82" s="233"/>
      <c r="AZ82" s="233"/>
      <c r="BA82" s="311"/>
      <c r="BB82" s="233"/>
      <c r="BC82" s="233"/>
      <c r="BD82" s="233"/>
    </row>
    <row r="83" spans="2:56" ht="18.5">
      <c r="B83" s="638" t="s">
        <v>217</v>
      </c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4"/>
      <c r="P83" s="234"/>
      <c r="Q83" s="234"/>
      <c r="R83" s="234"/>
      <c r="S83" s="234"/>
      <c r="T83" s="234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234"/>
      <c r="AI83" s="234"/>
      <c r="AJ83" s="234"/>
      <c r="AK83" s="234"/>
      <c r="AL83" s="234"/>
      <c r="AM83" s="234"/>
      <c r="AN83" s="234"/>
      <c r="AO83" s="234"/>
      <c r="AP83" s="234"/>
      <c r="AQ83" s="234"/>
      <c r="AR83" s="234"/>
      <c r="AS83" s="234"/>
      <c r="AT83" s="234"/>
      <c r="AU83" s="234"/>
      <c r="AV83" s="234"/>
      <c r="AW83" s="234"/>
      <c r="AX83" s="234"/>
      <c r="AY83" s="233"/>
      <c r="AZ83" s="233"/>
      <c r="BA83" s="311"/>
      <c r="BB83" s="261"/>
      <c r="BC83" s="233"/>
      <c r="BD83" s="233"/>
    </row>
    <row r="84" spans="2:56">
      <c r="B84" s="240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234"/>
      <c r="AI84" s="234"/>
      <c r="AJ84" s="234"/>
      <c r="AK84" s="234"/>
      <c r="AL84" s="234"/>
      <c r="AM84" s="234"/>
      <c r="AN84" s="234"/>
      <c r="AO84" s="234"/>
      <c r="AP84" s="234"/>
      <c r="AQ84" s="234"/>
      <c r="AR84" s="234"/>
      <c r="AS84" s="234"/>
      <c r="AT84" s="234"/>
      <c r="AU84" s="234"/>
      <c r="AV84" s="234"/>
      <c r="AW84" s="234"/>
      <c r="AX84" s="234"/>
      <c r="AY84" s="233"/>
      <c r="AZ84" s="233"/>
      <c r="BA84" s="311"/>
      <c r="BB84" s="233"/>
      <c r="BC84" s="233"/>
      <c r="BD84" s="233"/>
    </row>
    <row r="85" spans="2:56" ht="39" customHeight="1">
      <c r="B85" s="616" t="s">
        <v>56</v>
      </c>
      <c r="C85" s="608" t="s">
        <v>215</v>
      </c>
      <c r="D85" s="270" t="s">
        <v>312</v>
      </c>
      <c r="E85" s="270" t="s">
        <v>313</v>
      </c>
      <c r="F85" s="270" t="s">
        <v>314</v>
      </c>
      <c r="G85" s="270" t="s">
        <v>315</v>
      </c>
      <c r="H85" s="270" t="s">
        <v>316</v>
      </c>
      <c r="I85" s="270" t="s">
        <v>317</v>
      </c>
      <c r="J85" s="270" t="s">
        <v>318</v>
      </c>
      <c r="K85" s="270" t="s">
        <v>319</v>
      </c>
      <c r="L85" s="270" t="s">
        <v>320</v>
      </c>
      <c r="M85" s="270" t="s">
        <v>321</v>
      </c>
      <c r="N85" s="270" t="s">
        <v>322</v>
      </c>
      <c r="O85" s="270" t="s">
        <v>323</v>
      </c>
      <c r="P85" s="270" t="s">
        <v>300</v>
      </c>
      <c r="Q85" s="270" t="s">
        <v>301</v>
      </c>
      <c r="R85" s="270" t="s">
        <v>302</v>
      </c>
      <c r="S85" s="270" t="s">
        <v>303</v>
      </c>
      <c r="T85" s="270" t="s">
        <v>304</v>
      </c>
      <c r="U85" s="270" t="s">
        <v>305</v>
      </c>
      <c r="V85" s="270" t="s">
        <v>306</v>
      </c>
      <c r="W85" s="270" t="s">
        <v>307</v>
      </c>
      <c r="X85" s="270" t="s">
        <v>308</v>
      </c>
      <c r="Y85" s="270" t="s">
        <v>309</v>
      </c>
      <c r="Z85" s="270" t="s">
        <v>310</v>
      </c>
      <c r="AA85" s="270" t="s">
        <v>311</v>
      </c>
      <c r="AB85" s="270" t="s">
        <v>166</v>
      </c>
      <c r="AC85" s="270" t="s">
        <v>167</v>
      </c>
      <c r="AD85" s="270" t="s">
        <v>168</v>
      </c>
      <c r="AE85" s="270" t="s">
        <v>169</v>
      </c>
      <c r="AF85" s="270" t="s">
        <v>170</v>
      </c>
      <c r="AG85" s="270" t="s">
        <v>171</v>
      </c>
      <c r="AH85" s="270" t="s">
        <v>172</v>
      </c>
      <c r="AI85" s="270" t="s">
        <v>173</v>
      </c>
      <c r="AJ85" s="270" t="s">
        <v>174</v>
      </c>
      <c r="AK85" s="270" t="s">
        <v>175</v>
      </c>
      <c r="AL85" s="270" t="s">
        <v>176</v>
      </c>
      <c r="AM85" s="270" t="s">
        <v>177</v>
      </c>
      <c r="AN85" s="270" t="s">
        <v>178</v>
      </c>
      <c r="AO85" s="270" t="s">
        <v>179</v>
      </c>
      <c r="AP85" s="270" t="s">
        <v>180</v>
      </c>
      <c r="AQ85" s="270" t="s">
        <v>181</v>
      </c>
      <c r="AR85" s="270" t="s">
        <v>183</v>
      </c>
      <c r="AS85" s="270" t="s">
        <v>334</v>
      </c>
      <c r="AT85" s="270" t="s">
        <v>335</v>
      </c>
      <c r="AU85" s="270" t="s">
        <v>336</v>
      </c>
      <c r="AV85" s="270" t="s">
        <v>337</v>
      </c>
      <c r="AW85" s="270" t="s">
        <v>338</v>
      </c>
      <c r="AX85" s="646" t="s">
        <v>160</v>
      </c>
      <c r="AY85" s="646" t="s">
        <v>341</v>
      </c>
      <c r="AZ85" s="254"/>
      <c r="BA85" s="308"/>
      <c r="BB85" s="254"/>
      <c r="BC85" s="254"/>
      <c r="BD85" s="254"/>
    </row>
    <row r="86" spans="2:56" ht="25.5" customHeight="1">
      <c r="B86" s="186" t="s">
        <v>9</v>
      </c>
      <c r="C86" s="522">
        <f>C58/$C$78</f>
        <v>1.0386894575663143E-2</v>
      </c>
      <c r="D86" s="604">
        <f t="shared" ref="D86:AU86" si="36">D8/$C8*100</f>
        <v>10.371163958112216</v>
      </c>
      <c r="E86" s="243">
        <f t="shared" si="36"/>
        <v>19.90800949653222</v>
      </c>
      <c r="F86" s="243">
        <f t="shared" si="36"/>
        <v>179.08224973833856</v>
      </c>
      <c r="G86" s="243">
        <f t="shared" si="36"/>
        <v>111.49001254970632</v>
      </c>
      <c r="H86" s="243">
        <f t="shared" si="36"/>
        <v>149.32934332000511</v>
      </c>
      <c r="I86" s="243">
        <f t="shared" si="36"/>
        <v>32.345697407861486</v>
      </c>
      <c r="J86" s="243">
        <f t="shared" si="36"/>
        <v>131.05142647083036</v>
      </c>
      <c r="K86" s="243">
        <f t="shared" si="36"/>
        <v>436.07660908499713</v>
      </c>
      <c r="L86" s="243">
        <f t="shared" si="36"/>
        <v>110.1294270937031</v>
      </c>
      <c r="M86" s="243">
        <f t="shared" si="36"/>
        <v>0</v>
      </c>
      <c r="N86" s="243">
        <f t="shared" si="36"/>
        <v>0</v>
      </c>
      <c r="O86" s="243">
        <f t="shared" si="36"/>
        <v>20.216060879913424</v>
      </c>
      <c r="P86" s="243">
        <f t="shared" si="36"/>
        <v>270.13798575520167</v>
      </c>
      <c r="Q86" s="243">
        <f t="shared" si="36"/>
        <v>42.100758599211282</v>
      </c>
      <c r="R86" s="243">
        <f t="shared" si="36"/>
        <v>331.05567558629616</v>
      </c>
      <c r="S86" s="243">
        <f t="shared" si="36"/>
        <v>246.80286684944917</v>
      </c>
      <c r="T86" s="243">
        <f t="shared" si="36"/>
        <v>712.46545823827432</v>
      </c>
      <c r="U86" s="243">
        <f t="shared" si="36"/>
        <v>1241.7541630238031</v>
      </c>
      <c r="V86" s="243">
        <f t="shared" si="36"/>
        <v>1015.6292830529219</v>
      </c>
      <c r="W86" s="243">
        <f t="shared" si="36"/>
        <v>0</v>
      </c>
      <c r="X86" s="243">
        <f t="shared" si="36"/>
        <v>0</v>
      </c>
      <c r="Y86" s="243">
        <f t="shared" si="36"/>
        <v>0</v>
      </c>
      <c r="Z86" s="243">
        <f t="shared" si="36"/>
        <v>0</v>
      </c>
      <c r="AA86" s="243">
        <f t="shared" si="36"/>
        <v>0</v>
      </c>
      <c r="AB86" s="243">
        <f t="shared" si="36"/>
        <v>220.87495695416862</v>
      </c>
      <c r="AC86" s="243">
        <f t="shared" si="36"/>
        <v>25.927909895280543</v>
      </c>
      <c r="AD86" s="243">
        <f t="shared" si="36"/>
        <v>158.86618885842512</v>
      </c>
      <c r="AE86" s="243">
        <f t="shared" si="36"/>
        <v>191.0322148053838</v>
      </c>
      <c r="AF86" s="243">
        <f t="shared" si="36"/>
        <v>589.15386054400119</v>
      </c>
      <c r="AG86" s="243">
        <f t="shared" si="36"/>
        <v>1112.0760693553734</v>
      </c>
      <c r="AH86" s="243">
        <f t="shared" si="36"/>
        <v>931.72306989148308</v>
      </c>
      <c r="AI86" s="243">
        <f t="shared" si="36"/>
        <v>1199.6661517709892</v>
      </c>
      <c r="AJ86" s="243">
        <f t="shared" si="36"/>
        <v>485.57060088535735</v>
      </c>
      <c r="AK86" s="243">
        <f t="shared" si="36"/>
        <v>338.38486990262328</v>
      </c>
      <c r="AL86" s="243">
        <f t="shared" si="36"/>
        <v>496.86591899361321</v>
      </c>
      <c r="AM86" s="243">
        <f t="shared" si="36"/>
        <v>1902.4278403563383</v>
      </c>
      <c r="AN86" s="243">
        <f t="shared" si="36"/>
        <v>10.371163958112216</v>
      </c>
      <c r="AO86" s="243">
        <f t="shared" si="36"/>
        <v>19.90800949653222</v>
      </c>
      <c r="AP86" s="243">
        <f t="shared" si="36"/>
        <v>237.93341561621602</v>
      </c>
      <c r="AQ86" s="242">
        <f t="shared" si="36"/>
        <v>48.736761764722019</v>
      </c>
      <c r="AR86" s="242">
        <f t="shared" si="36"/>
        <v>785.15344167551132</v>
      </c>
      <c r="AS86" s="242">
        <f t="shared" si="36"/>
        <v>482.83668262695352</v>
      </c>
      <c r="AT86" s="242">
        <f t="shared" si="36"/>
        <v>1302.4794340475974</v>
      </c>
      <c r="AU86" s="242">
        <f t="shared" si="36"/>
        <v>692.37777728083927</v>
      </c>
      <c r="AV86" s="242">
        <f t="shared" ref="AV86" si="37">AV8/$C8*100</f>
        <v>619.16352680729142</v>
      </c>
      <c r="AW86" s="242">
        <f>AW8/$C8*100</f>
        <v>543.13826969128559</v>
      </c>
      <c r="AX86" s="242">
        <f>AW86/AV86*100-100</f>
        <v>-12.278704061918674</v>
      </c>
      <c r="AY86" s="243">
        <f>AW86/AK86*100-100</f>
        <v>60.509029215042631</v>
      </c>
      <c r="AZ86" s="233"/>
      <c r="BA86" s="311"/>
      <c r="BB86" s="233"/>
      <c r="BC86" s="233"/>
      <c r="BD86" s="233"/>
    </row>
    <row r="87" spans="2:56" ht="25.5" customHeight="1">
      <c r="B87" s="189" t="s">
        <v>12</v>
      </c>
      <c r="C87" s="523">
        <f t="shared" ref="C87:C105" si="38">C59/$C$78</f>
        <v>0.11353369446599729</v>
      </c>
      <c r="D87" s="269">
        <f t="shared" ref="D87:AS87" si="39">D9/$C9*100</f>
        <v>41.427633377278092</v>
      </c>
      <c r="E87" s="247">
        <f t="shared" si="39"/>
        <v>56.158559160767766</v>
      </c>
      <c r="F87" s="247">
        <f t="shared" si="39"/>
        <v>62.970626720770248</v>
      </c>
      <c r="G87" s="247">
        <f t="shared" si="39"/>
        <v>166.29142552047603</v>
      </c>
      <c r="H87" s="247">
        <f t="shared" si="39"/>
        <v>134.69368186091134</v>
      </c>
      <c r="I87" s="247">
        <f t="shared" si="39"/>
        <v>56.704185569071711</v>
      </c>
      <c r="J87" s="247">
        <f t="shared" si="39"/>
        <v>282.87288001028344</v>
      </c>
      <c r="K87" s="247">
        <f t="shared" si="39"/>
        <v>169.41289089530537</v>
      </c>
      <c r="L87" s="247">
        <f t="shared" si="39"/>
        <v>7.1877094543746924</v>
      </c>
      <c r="M87" s="247">
        <f t="shared" si="39"/>
        <v>0</v>
      </c>
      <c r="N87" s="247">
        <f t="shared" si="39"/>
        <v>0</v>
      </c>
      <c r="O87" s="247">
        <f t="shared" si="39"/>
        <v>222.28040743076113</v>
      </c>
      <c r="P87" s="247">
        <f t="shared" si="39"/>
        <v>167.21606920556002</v>
      </c>
      <c r="Q87" s="247">
        <f t="shared" si="39"/>
        <v>156.58298773363356</v>
      </c>
      <c r="R87" s="247">
        <f t="shared" si="39"/>
        <v>49.685238838281499</v>
      </c>
      <c r="S87" s="247">
        <f t="shared" si="39"/>
        <v>22.29427713223658</v>
      </c>
      <c r="T87" s="247">
        <f t="shared" si="39"/>
        <v>128.75801539156606</v>
      </c>
      <c r="U87" s="247">
        <f t="shared" si="39"/>
        <v>410.75909148394743</v>
      </c>
      <c r="V87" s="247">
        <f t="shared" si="39"/>
        <v>230.86581945515908</v>
      </c>
      <c r="W87" s="247">
        <f t="shared" si="39"/>
        <v>0</v>
      </c>
      <c r="X87" s="247">
        <f t="shared" si="39"/>
        <v>0</v>
      </c>
      <c r="Y87" s="247">
        <f t="shared" si="39"/>
        <v>0</v>
      </c>
      <c r="Z87" s="247">
        <f t="shared" si="39"/>
        <v>0</v>
      </c>
      <c r="AA87" s="247">
        <f t="shared" si="39"/>
        <v>0</v>
      </c>
      <c r="AB87" s="247">
        <f t="shared" si="39"/>
        <v>145.48673897436115</v>
      </c>
      <c r="AC87" s="247">
        <f t="shared" si="39"/>
        <v>213.28717330270527</v>
      </c>
      <c r="AD87" s="247">
        <f t="shared" si="39"/>
        <v>62.970626720770248</v>
      </c>
      <c r="AE87" s="247">
        <f t="shared" si="39"/>
        <v>12.474920825195777</v>
      </c>
      <c r="AF87" s="247">
        <f t="shared" si="39"/>
        <v>133.5595981495299</v>
      </c>
      <c r="AG87" s="247">
        <f t="shared" si="39"/>
        <v>157.19739901944536</v>
      </c>
      <c r="AH87" s="247">
        <f t="shared" si="39"/>
        <v>89.556940332624563</v>
      </c>
      <c r="AI87" s="247">
        <f t="shared" si="39"/>
        <v>273.27850157641689</v>
      </c>
      <c r="AJ87" s="247">
        <f t="shared" si="39"/>
        <v>114.83796392881843</v>
      </c>
      <c r="AK87" s="247">
        <f t="shared" si="39"/>
        <v>288.0690178919042</v>
      </c>
      <c r="AL87" s="247">
        <f t="shared" si="39"/>
        <v>238.74603669317872</v>
      </c>
      <c r="AM87" s="247">
        <f t="shared" si="39"/>
        <v>64.389686100772636</v>
      </c>
      <c r="AN87" s="247">
        <f t="shared" si="39"/>
        <v>111.406383429532</v>
      </c>
      <c r="AO87" s="247">
        <f t="shared" si="39"/>
        <v>19.441435052253158</v>
      </c>
      <c r="AP87" s="247">
        <f t="shared" si="39"/>
        <v>261.92590926158272</v>
      </c>
      <c r="AQ87" s="246">
        <f t="shared" si="39"/>
        <v>243.92634673928865</v>
      </c>
      <c r="AR87" s="246">
        <f t="shared" si="39"/>
        <v>275.54666899917976</v>
      </c>
      <c r="AS87" s="246">
        <f t="shared" si="39"/>
        <v>150.43398131731877</v>
      </c>
      <c r="AT87" s="246">
        <f t="shared" ref="AT87:AW105" si="40">AT9/$C9*100</f>
        <v>139.10408487762615</v>
      </c>
      <c r="AU87" s="246">
        <f t="shared" si="40"/>
        <v>116.01988297117762</v>
      </c>
      <c r="AV87" s="246">
        <f t="shared" si="40"/>
        <v>56.589194414382504</v>
      </c>
      <c r="AW87" s="246">
        <f t="shared" si="40"/>
        <v>97.341486908688765</v>
      </c>
      <c r="AX87" s="246">
        <f t="shared" ref="AX87:AX105" si="41">AW87/AV87*100-100</f>
        <v>72.014265119046826</v>
      </c>
      <c r="AY87" s="247">
        <f t="shared" ref="AY87:AY106" si="42">AW87/AK87*100-100</f>
        <v>-66.208970467898268</v>
      </c>
      <c r="AZ87" s="233"/>
      <c r="BA87" s="311"/>
      <c r="BB87" s="233"/>
      <c r="BC87" s="233"/>
      <c r="BD87" s="233"/>
    </row>
    <row r="88" spans="2:56" ht="25.5" customHeight="1">
      <c r="B88" s="189" t="s">
        <v>15</v>
      </c>
      <c r="C88" s="523">
        <f t="shared" si="38"/>
        <v>3.0582787841428944E-2</v>
      </c>
      <c r="D88" s="269">
        <f t="shared" ref="D88:AS88" si="43">D10/$C10*100</f>
        <v>147.89874141782263</v>
      </c>
      <c r="E88" s="247">
        <f t="shared" si="43"/>
        <v>86.329706863663176</v>
      </c>
      <c r="F88" s="247">
        <f t="shared" si="43"/>
        <v>143.20708382363532</v>
      </c>
      <c r="G88" s="247">
        <f t="shared" si="43"/>
        <v>115.89423853766694</v>
      </c>
      <c r="H88" s="247">
        <f t="shared" si="43"/>
        <v>95.518015188070464</v>
      </c>
      <c r="I88" s="247">
        <f t="shared" si="43"/>
        <v>76.174670779530274</v>
      </c>
      <c r="J88" s="247">
        <f t="shared" si="43"/>
        <v>168.1239284741128</v>
      </c>
      <c r="K88" s="247">
        <f t="shared" si="43"/>
        <v>174.93675468498498</v>
      </c>
      <c r="L88" s="247">
        <f t="shared" si="43"/>
        <v>108.4174200884827</v>
      </c>
      <c r="M88" s="247">
        <f t="shared" si="43"/>
        <v>0</v>
      </c>
      <c r="N88" s="247">
        <f t="shared" si="43"/>
        <v>0</v>
      </c>
      <c r="O88" s="247">
        <f t="shared" si="43"/>
        <v>83.499440142030892</v>
      </c>
      <c r="P88" s="247">
        <f t="shared" si="43"/>
        <v>164.18537633788586</v>
      </c>
      <c r="Q88" s="247">
        <f t="shared" si="43"/>
        <v>86.19447498400217</v>
      </c>
      <c r="R88" s="247">
        <f t="shared" si="43"/>
        <v>252.49935784985897</v>
      </c>
      <c r="S88" s="247">
        <f t="shared" si="43"/>
        <v>276.39537623617611</v>
      </c>
      <c r="T88" s="247">
        <f t="shared" si="43"/>
        <v>233.6116419281301</v>
      </c>
      <c r="U88" s="247">
        <f t="shared" si="43"/>
        <v>534.32119878635933</v>
      </c>
      <c r="V88" s="247">
        <f t="shared" si="43"/>
        <v>278.23666651638246</v>
      </c>
      <c r="W88" s="247">
        <f t="shared" si="43"/>
        <v>0</v>
      </c>
      <c r="X88" s="247">
        <f t="shared" si="43"/>
        <v>0</v>
      </c>
      <c r="Y88" s="247">
        <f t="shared" si="43"/>
        <v>0</v>
      </c>
      <c r="Z88" s="247">
        <f t="shared" si="43"/>
        <v>0</v>
      </c>
      <c r="AA88" s="247">
        <f t="shared" si="43"/>
        <v>0</v>
      </c>
      <c r="AB88" s="247">
        <f t="shared" si="43"/>
        <v>82.288857544667678</v>
      </c>
      <c r="AC88" s="247">
        <f t="shared" si="43"/>
        <v>89.467777083345794</v>
      </c>
      <c r="AD88" s="247">
        <f t="shared" si="43"/>
        <v>139.26030683779243</v>
      </c>
      <c r="AE88" s="247">
        <f t="shared" si="43"/>
        <v>221.66447260393562</v>
      </c>
      <c r="AF88" s="247">
        <f t="shared" si="43"/>
        <v>214.10197959562799</v>
      </c>
      <c r="AG88" s="247">
        <f t="shared" si="43"/>
        <v>189.84453557774901</v>
      </c>
      <c r="AH88" s="247">
        <f t="shared" si="43"/>
        <v>104.48417692433647</v>
      </c>
      <c r="AI88" s="247">
        <f t="shared" si="43"/>
        <v>204.15585170494984</v>
      </c>
      <c r="AJ88" s="247">
        <f t="shared" si="43"/>
        <v>117.34928447590242</v>
      </c>
      <c r="AK88" s="247">
        <f t="shared" si="43"/>
        <v>89.724761452537379</v>
      </c>
      <c r="AL88" s="247">
        <f t="shared" si="43"/>
        <v>82.044639208989253</v>
      </c>
      <c r="AM88" s="247">
        <f t="shared" si="43"/>
        <v>327.12152612904259</v>
      </c>
      <c r="AN88" s="247">
        <f t="shared" si="43"/>
        <v>152.26314421694747</v>
      </c>
      <c r="AO88" s="247">
        <f t="shared" si="43"/>
        <v>86.329706863663162</v>
      </c>
      <c r="AP88" s="247">
        <f t="shared" si="43"/>
        <v>243.34129971053838</v>
      </c>
      <c r="AQ88" s="247">
        <f t="shared" si="43"/>
        <v>177.65583643943185</v>
      </c>
      <c r="AR88" s="247">
        <f t="shared" si="43"/>
        <v>178.77706081195294</v>
      </c>
      <c r="AS88" s="246">
        <f t="shared" si="43"/>
        <v>67.658284116040818</v>
      </c>
      <c r="AT88" s="246">
        <f t="shared" si="40"/>
        <v>195.50309786582511</v>
      </c>
      <c r="AU88" s="246">
        <f t="shared" si="40"/>
        <v>299.06004448823046</v>
      </c>
      <c r="AV88" s="246">
        <f t="shared" si="40"/>
        <v>144.2204570361132</v>
      </c>
      <c r="AW88" s="246">
        <f t="shared" si="40"/>
        <v>50.984914843618981</v>
      </c>
      <c r="AX88" s="246">
        <f t="shared" si="41"/>
        <v>-64.647931443697871</v>
      </c>
      <c r="AY88" s="247">
        <f t="shared" si="42"/>
        <v>-43.176316082390485</v>
      </c>
      <c r="AZ88" s="233"/>
      <c r="BA88" s="311"/>
      <c r="BB88" s="233"/>
      <c r="BC88" s="233"/>
      <c r="BD88" s="233"/>
    </row>
    <row r="89" spans="2:56" ht="25.5" customHeight="1">
      <c r="B89" s="189" t="s">
        <v>19</v>
      </c>
      <c r="C89" s="523">
        <f t="shared" si="38"/>
        <v>7.5549359476327752E-2</v>
      </c>
      <c r="D89" s="269">
        <f t="shared" ref="D89:AS89" si="44">D11/$C11*100</f>
        <v>246.40966188951001</v>
      </c>
      <c r="E89" s="247">
        <f t="shared" si="44"/>
        <v>128.02060207575016</v>
      </c>
      <c r="F89" s="247">
        <f t="shared" si="44"/>
        <v>122.72426948116401</v>
      </c>
      <c r="G89" s="247">
        <f t="shared" si="44"/>
        <v>29.761747937277011</v>
      </c>
      <c r="H89" s="247">
        <f t="shared" si="44"/>
        <v>69.613646459674612</v>
      </c>
      <c r="I89" s="247">
        <f t="shared" si="44"/>
        <v>62.049901779604788</v>
      </c>
      <c r="J89" s="247">
        <f t="shared" si="44"/>
        <v>133.90842540161188</v>
      </c>
      <c r="K89" s="247">
        <f t="shared" si="44"/>
        <v>95.378289072598449</v>
      </c>
      <c r="L89" s="247">
        <f t="shared" si="44"/>
        <v>140.71317448238887</v>
      </c>
      <c r="M89" s="247">
        <f t="shared" si="44"/>
        <v>0</v>
      </c>
      <c r="N89" s="247">
        <f t="shared" si="44"/>
        <v>0</v>
      </c>
      <c r="O89" s="247">
        <f t="shared" si="44"/>
        <v>171.4202814204202</v>
      </c>
      <c r="P89" s="247">
        <f t="shared" si="44"/>
        <v>120.33354969992978</v>
      </c>
      <c r="Q89" s="247">
        <f t="shared" si="44"/>
        <v>56.003857406775346</v>
      </c>
      <c r="R89" s="247">
        <f t="shared" si="44"/>
        <v>211.49094387117034</v>
      </c>
      <c r="S89" s="247">
        <f t="shared" si="44"/>
        <v>220.86291053090309</v>
      </c>
      <c r="T89" s="247">
        <f t="shared" si="44"/>
        <v>80.8363921210466</v>
      </c>
      <c r="U89" s="247">
        <f t="shared" si="44"/>
        <v>207.05467053982156</v>
      </c>
      <c r="V89" s="247">
        <f t="shared" si="44"/>
        <v>174.5702876922924</v>
      </c>
      <c r="W89" s="247">
        <f t="shared" si="44"/>
        <v>0</v>
      </c>
      <c r="X89" s="247">
        <f t="shared" si="44"/>
        <v>0</v>
      </c>
      <c r="Y89" s="247">
        <f t="shared" si="44"/>
        <v>0</v>
      </c>
      <c r="Z89" s="247">
        <f t="shared" si="44"/>
        <v>0</v>
      </c>
      <c r="AA89" s="247">
        <f t="shared" si="44"/>
        <v>0</v>
      </c>
      <c r="AB89" s="247">
        <f t="shared" si="44"/>
        <v>75.030192142994807</v>
      </c>
      <c r="AC89" s="247">
        <f t="shared" si="44"/>
        <v>107.78314352248589</v>
      </c>
      <c r="AD89" s="247">
        <f t="shared" si="44"/>
        <v>122.72426948116401</v>
      </c>
      <c r="AE89" s="247">
        <f t="shared" si="44"/>
        <v>276.26318966968211</v>
      </c>
      <c r="AF89" s="247">
        <f t="shared" si="44"/>
        <v>272.95244952651603</v>
      </c>
      <c r="AG89" s="247">
        <f t="shared" si="44"/>
        <v>160.40082665231824</v>
      </c>
      <c r="AH89" s="247">
        <f t="shared" si="44"/>
        <v>191.70193714595115</v>
      </c>
      <c r="AI89" s="247">
        <f t="shared" si="44"/>
        <v>196.54981791249222</v>
      </c>
      <c r="AJ89" s="247">
        <f t="shared" si="44"/>
        <v>100.16901245611636</v>
      </c>
      <c r="AK89" s="247">
        <f t="shared" si="44"/>
        <v>125.29825805684318</v>
      </c>
      <c r="AL89" s="247">
        <f t="shared" si="44"/>
        <v>202.98773851303409</v>
      </c>
      <c r="AM89" s="247">
        <f t="shared" si="44"/>
        <v>349.99076904408224</v>
      </c>
      <c r="AN89" s="247">
        <f t="shared" si="44"/>
        <v>246.40966188951001</v>
      </c>
      <c r="AO89" s="247">
        <f t="shared" si="44"/>
        <v>128.02060207575016</v>
      </c>
      <c r="AP89" s="247">
        <f t="shared" si="44"/>
        <v>248.48703418382522</v>
      </c>
      <c r="AQ89" s="247">
        <f t="shared" si="44"/>
        <v>163.23380904756453</v>
      </c>
      <c r="AR89" s="247">
        <f t="shared" si="44"/>
        <v>92.709716938352884</v>
      </c>
      <c r="AS89" s="246">
        <f t="shared" si="44"/>
        <v>71.937925036836177</v>
      </c>
      <c r="AT89" s="246">
        <f t="shared" si="40"/>
        <v>107.94475006781532</v>
      </c>
      <c r="AU89" s="246">
        <f t="shared" si="40"/>
        <v>94.328771800883061</v>
      </c>
      <c r="AV89" s="246">
        <f t="shared" si="40"/>
        <v>103.00228574270788</v>
      </c>
      <c r="AW89" s="246">
        <f t="shared" si="40"/>
        <v>125.79487433820715</v>
      </c>
      <c r="AX89" s="246">
        <f t="shared" si="41"/>
        <v>22.128235729091955</v>
      </c>
      <c r="AY89" s="247">
        <f t="shared" si="42"/>
        <v>0.39634731485148222</v>
      </c>
      <c r="AZ89" s="233"/>
      <c r="BA89" s="311"/>
      <c r="BB89" s="233"/>
      <c r="BC89" s="233"/>
      <c r="BD89" s="233"/>
    </row>
    <row r="90" spans="2:56" ht="25.5" customHeight="1">
      <c r="B90" s="189" t="s">
        <v>22</v>
      </c>
      <c r="C90" s="523">
        <f t="shared" si="38"/>
        <v>5.8051209639124156E-2</v>
      </c>
      <c r="D90" s="269">
        <f t="shared" ref="D90:AS90" si="45">D12/$C12*100</f>
        <v>11.066171010942719</v>
      </c>
      <c r="E90" s="247">
        <f t="shared" si="45"/>
        <v>27.34659493516914</v>
      </c>
      <c r="F90" s="247">
        <f t="shared" si="45"/>
        <v>236.29102674904655</v>
      </c>
      <c r="G90" s="247">
        <f t="shared" si="45"/>
        <v>58.694904365297603</v>
      </c>
      <c r="H90" s="247">
        <f t="shared" si="45"/>
        <v>156.59600152713392</v>
      </c>
      <c r="I90" s="247">
        <f t="shared" si="45"/>
        <v>72.552687872903462</v>
      </c>
      <c r="J90" s="247">
        <f t="shared" si="45"/>
        <v>266.10796516866299</v>
      </c>
      <c r="K90" s="247">
        <f t="shared" si="45"/>
        <v>321.37115543289394</v>
      </c>
      <c r="L90" s="247">
        <f t="shared" si="45"/>
        <v>33.374236421535592</v>
      </c>
      <c r="M90" s="247">
        <f t="shared" si="45"/>
        <v>0</v>
      </c>
      <c r="N90" s="247">
        <f t="shared" si="45"/>
        <v>0</v>
      </c>
      <c r="O90" s="247">
        <f t="shared" si="45"/>
        <v>16.599256516414076</v>
      </c>
      <c r="P90" s="247">
        <f t="shared" si="45"/>
        <v>288.69981256618809</v>
      </c>
      <c r="Q90" s="247">
        <f t="shared" si="45"/>
        <v>219.06919393085667</v>
      </c>
      <c r="R90" s="247">
        <f t="shared" si="45"/>
        <v>97.170462261835709</v>
      </c>
      <c r="S90" s="247">
        <f t="shared" si="45"/>
        <v>185.55428472586905</v>
      </c>
      <c r="T90" s="247">
        <f t="shared" si="45"/>
        <v>368.24151254207737</v>
      </c>
      <c r="U90" s="247">
        <f t="shared" si="45"/>
        <v>708.29820701319045</v>
      </c>
      <c r="V90" s="247">
        <f t="shared" si="45"/>
        <v>171.2194705399958</v>
      </c>
      <c r="W90" s="247">
        <f t="shared" si="45"/>
        <v>0</v>
      </c>
      <c r="X90" s="247">
        <f t="shared" si="45"/>
        <v>0</v>
      </c>
      <c r="Y90" s="247">
        <f t="shared" si="45"/>
        <v>0</v>
      </c>
      <c r="Z90" s="247">
        <f t="shared" si="45"/>
        <v>0</v>
      </c>
      <c r="AA90" s="247">
        <f t="shared" si="45"/>
        <v>0</v>
      </c>
      <c r="AB90" s="247">
        <f t="shared" si="45"/>
        <v>23.216860119329109</v>
      </c>
      <c r="AC90" s="247">
        <f t="shared" si="45"/>
        <v>249.54132283747614</v>
      </c>
      <c r="AD90" s="247">
        <f t="shared" si="45"/>
        <v>236.29102674904655</v>
      </c>
      <c r="AE90" s="247">
        <f t="shared" si="45"/>
        <v>373.08679337531856</v>
      </c>
      <c r="AF90" s="247">
        <f t="shared" si="45"/>
        <v>715.44054436219972</v>
      </c>
      <c r="AG90" s="247">
        <f t="shared" si="45"/>
        <v>759.06222001910862</v>
      </c>
      <c r="AH90" s="247">
        <f t="shared" si="45"/>
        <v>639.9701897293503</v>
      </c>
      <c r="AI90" s="247">
        <f t="shared" si="45"/>
        <v>278.16324814139585</v>
      </c>
      <c r="AJ90" s="247">
        <f t="shared" si="45"/>
        <v>280.57567251547334</v>
      </c>
      <c r="AK90" s="247">
        <f t="shared" si="45"/>
        <v>7.2552687872903459</v>
      </c>
      <c r="AL90" s="247">
        <f t="shared" si="45"/>
        <v>150.68129147904864</v>
      </c>
      <c r="AM90" s="247">
        <f t="shared" si="45"/>
        <v>394.14726976233163</v>
      </c>
      <c r="AN90" s="247">
        <f t="shared" si="45"/>
        <v>4.3531612723742077</v>
      </c>
      <c r="AO90" s="247">
        <f t="shared" si="45"/>
        <v>0</v>
      </c>
      <c r="AP90" s="247">
        <f t="shared" si="45"/>
        <v>272.08790358720267</v>
      </c>
      <c r="AQ90" s="246">
        <f t="shared" si="45"/>
        <v>423.7583070280416</v>
      </c>
      <c r="AR90" s="246">
        <f t="shared" si="45"/>
        <v>819.78352173824351</v>
      </c>
      <c r="AS90" s="246">
        <f t="shared" si="45"/>
        <v>1262.2575455697036</v>
      </c>
      <c r="AT90" s="246">
        <f t="shared" si="40"/>
        <v>973.21115906615694</v>
      </c>
      <c r="AU90" s="246">
        <f t="shared" si="40"/>
        <v>836.30246100160366</v>
      </c>
      <c r="AV90" s="246">
        <f t="shared" si="40"/>
        <v>171.88974990959832</v>
      </c>
      <c r="AW90" s="246">
        <f t="shared" si="40"/>
        <v>99.56292491325722</v>
      </c>
      <c r="AX90" s="246">
        <f t="shared" si="41"/>
        <v>-42.077450827859032</v>
      </c>
      <c r="AY90" s="247">
        <f t="shared" si="42"/>
        <v>1272.2844436538289</v>
      </c>
      <c r="AZ90" s="233"/>
      <c r="BA90" s="311"/>
      <c r="BB90" s="233"/>
      <c r="BC90" s="233"/>
      <c r="BD90" s="233"/>
    </row>
    <row r="91" spans="2:56" ht="25.5" customHeight="1">
      <c r="B91" s="189" t="s">
        <v>25</v>
      </c>
      <c r="C91" s="523">
        <f t="shared" si="38"/>
        <v>3.5013322964059339E-2</v>
      </c>
      <c r="D91" s="269">
        <f t="shared" ref="D91:AS91" si="46">D13/$C13*100</f>
        <v>191.15297026393768</v>
      </c>
      <c r="E91" s="247">
        <f t="shared" si="46"/>
        <v>106.69486116878346</v>
      </c>
      <c r="F91" s="247">
        <f t="shared" si="46"/>
        <v>63.596289058252189</v>
      </c>
      <c r="G91" s="247">
        <f t="shared" si="46"/>
        <v>181.1927702687197</v>
      </c>
      <c r="H91" s="247">
        <f t="shared" si="46"/>
        <v>0</v>
      </c>
      <c r="I91" s="247">
        <f t="shared" si="46"/>
        <v>54.273483801288926</v>
      </c>
      <c r="J91" s="247">
        <f t="shared" si="46"/>
        <v>144.14725659302991</v>
      </c>
      <c r="K91" s="247">
        <f t="shared" si="46"/>
        <v>154.90314225189189</v>
      </c>
      <c r="L91" s="247">
        <f t="shared" si="46"/>
        <v>130.02548206424515</v>
      </c>
      <c r="M91" s="247">
        <f t="shared" si="46"/>
        <v>0</v>
      </c>
      <c r="N91" s="247">
        <f t="shared" si="46"/>
        <v>0</v>
      </c>
      <c r="O91" s="247">
        <f t="shared" si="46"/>
        <v>174.01374452985115</v>
      </c>
      <c r="P91" s="247">
        <f t="shared" si="46"/>
        <v>154.90314225189189</v>
      </c>
      <c r="Q91" s="247">
        <f t="shared" si="46"/>
        <v>362.78807683937265</v>
      </c>
      <c r="R91" s="247">
        <f t="shared" si="46"/>
        <v>0</v>
      </c>
      <c r="S91" s="247">
        <f t="shared" si="46"/>
        <v>376.98611272068621</v>
      </c>
      <c r="T91" s="247">
        <f t="shared" si="46"/>
        <v>328.03817530536759</v>
      </c>
      <c r="U91" s="247">
        <f t="shared" si="46"/>
        <v>688.66391265228026</v>
      </c>
      <c r="V91" s="247">
        <f t="shared" si="46"/>
        <v>199.8151178572727</v>
      </c>
      <c r="W91" s="247">
        <f t="shared" si="46"/>
        <v>0</v>
      </c>
      <c r="X91" s="247">
        <f t="shared" si="46"/>
        <v>0</v>
      </c>
      <c r="Y91" s="247">
        <f t="shared" si="46"/>
        <v>0</v>
      </c>
      <c r="Z91" s="247">
        <f t="shared" si="46"/>
        <v>0</v>
      </c>
      <c r="AA91" s="247">
        <f t="shared" si="46"/>
        <v>0</v>
      </c>
      <c r="AB91" s="247">
        <f t="shared" si="46"/>
        <v>89.133647101867012</v>
      </c>
      <c r="AC91" s="247">
        <f t="shared" si="46"/>
        <v>362.78807683937265</v>
      </c>
      <c r="AD91" s="247">
        <f t="shared" si="46"/>
        <v>34.044504476284679</v>
      </c>
      <c r="AE91" s="247">
        <f t="shared" si="46"/>
        <v>892.20923999665263</v>
      </c>
      <c r="AF91" s="247">
        <f t="shared" si="46"/>
        <v>1021.0725837500535</v>
      </c>
      <c r="AG91" s="247">
        <f t="shared" si="46"/>
        <v>898.94339648289701</v>
      </c>
      <c r="AH91" s="247">
        <f t="shared" si="46"/>
        <v>722.45045342672984</v>
      </c>
      <c r="AI91" s="247">
        <f t="shared" si="46"/>
        <v>617.74568792742116</v>
      </c>
      <c r="AJ91" s="247">
        <f t="shared" si="46"/>
        <v>450.73163488083782</v>
      </c>
      <c r="AK91" s="247">
        <f t="shared" si="46"/>
        <v>29.266328409437715</v>
      </c>
      <c r="AL91" s="247">
        <f t="shared" si="46"/>
        <v>64.911282012075318</v>
      </c>
      <c r="AM91" s="247">
        <f t="shared" si="46"/>
        <v>433.07313338854402</v>
      </c>
      <c r="AN91" s="247">
        <f t="shared" si="46"/>
        <v>92.538654152716887</v>
      </c>
      <c r="AO91" s="247">
        <f t="shared" si="46"/>
        <v>99.38047570503204</v>
      </c>
      <c r="AP91" s="247">
        <f t="shared" si="46"/>
        <v>1166.5295418911239</v>
      </c>
      <c r="AQ91" s="247">
        <f t="shared" si="46"/>
        <v>931.93311772103516</v>
      </c>
      <c r="AR91" s="246">
        <f t="shared" si="46"/>
        <v>792.99506795980562</v>
      </c>
      <c r="AS91" s="246">
        <f t="shared" si="46"/>
        <v>591.53175006571109</v>
      </c>
      <c r="AT91" s="246">
        <f t="shared" si="40"/>
        <v>971.93009044577389</v>
      </c>
      <c r="AU91" s="246">
        <f t="shared" si="40"/>
        <v>875.34279181266447</v>
      </c>
      <c r="AV91" s="246">
        <f t="shared" si="40"/>
        <v>510.84919343334701</v>
      </c>
      <c r="AW91" s="246">
        <f t="shared" si="40"/>
        <v>652.40595237422076</v>
      </c>
      <c r="AX91" s="246">
        <f t="shared" si="41"/>
        <v>27.710087587589257</v>
      </c>
      <c r="AY91" s="247">
        <f t="shared" si="42"/>
        <v>2129.2032784127264</v>
      </c>
      <c r="AZ91" s="259"/>
      <c r="BA91" s="311"/>
      <c r="BB91" s="233"/>
      <c r="BC91" s="233"/>
      <c r="BD91" s="233"/>
    </row>
    <row r="92" spans="2:56" ht="25.5" customHeight="1">
      <c r="B92" s="189" t="s">
        <v>30</v>
      </c>
      <c r="C92" s="523">
        <f t="shared" si="38"/>
        <v>6.8891461297102968E-2</v>
      </c>
      <c r="D92" s="269">
        <f t="shared" ref="D92:AS92" si="47">D14/$C14*100</f>
        <v>274.23496760743387</v>
      </c>
      <c r="E92" s="247">
        <f t="shared" si="47"/>
        <v>168.77335221781058</v>
      </c>
      <c r="F92" s="247">
        <f t="shared" si="47"/>
        <v>0</v>
      </c>
      <c r="G92" s="247">
        <f t="shared" si="47"/>
        <v>177.06814691772976</v>
      </c>
      <c r="H92" s="247">
        <f t="shared" si="47"/>
        <v>0</v>
      </c>
      <c r="I92" s="247">
        <f t="shared" si="47"/>
        <v>99.215385327749331</v>
      </c>
      <c r="J92" s="247">
        <f t="shared" si="47"/>
        <v>76.668784445383082</v>
      </c>
      <c r="K92" s="247">
        <f t="shared" si="47"/>
        <v>190.58182842125436</v>
      </c>
      <c r="L92" s="247">
        <f t="shared" si="47"/>
        <v>75.816382266164766</v>
      </c>
      <c r="M92" s="247">
        <f t="shared" si="47"/>
        <v>0</v>
      </c>
      <c r="N92" s="247">
        <f t="shared" si="47"/>
        <v>0</v>
      </c>
      <c r="O92" s="247">
        <f t="shared" si="47"/>
        <v>137.64115279647422</v>
      </c>
      <c r="P92" s="247">
        <f t="shared" si="47"/>
        <v>169.13545621686197</v>
      </c>
      <c r="Q92" s="247">
        <f t="shared" si="47"/>
        <v>125.28761109921894</v>
      </c>
      <c r="R92" s="247">
        <f t="shared" si="47"/>
        <v>0.28918205262470481</v>
      </c>
      <c r="S92" s="247">
        <f t="shared" si="47"/>
        <v>165.87433958013725</v>
      </c>
      <c r="T92" s="247">
        <f t="shared" si="47"/>
        <v>120.25335226115563</v>
      </c>
      <c r="U92" s="247">
        <f t="shared" si="47"/>
        <v>142.78678891316113</v>
      </c>
      <c r="V92" s="247">
        <f t="shared" si="47"/>
        <v>55.783382321551478</v>
      </c>
      <c r="W92" s="247">
        <f t="shared" si="47"/>
        <v>0</v>
      </c>
      <c r="X92" s="247">
        <f t="shared" si="47"/>
        <v>0</v>
      </c>
      <c r="Y92" s="247">
        <f t="shared" si="47"/>
        <v>0</v>
      </c>
      <c r="Z92" s="247">
        <f t="shared" si="47"/>
        <v>0</v>
      </c>
      <c r="AA92" s="247">
        <f t="shared" si="47"/>
        <v>0</v>
      </c>
      <c r="AB92" s="247">
        <f t="shared" si="47"/>
        <v>65.361433794593182</v>
      </c>
      <c r="AC92" s="247">
        <f t="shared" si="47"/>
        <v>214.66160190395777</v>
      </c>
      <c r="AD92" s="247">
        <f t="shared" si="47"/>
        <v>0</v>
      </c>
      <c r="AE92" s="247">
        <f t="shared" si="47"/>
        <v>483.69938323291757</v>
      </c>
      <c r="AF92" s="247">
        <f t="shared" si="47"/>
        <v>763.69049822971419</v>
      </c>
      <c r="AG92" s="247">
        <f t="shared" si="47"/>
        <v>500.64803395592196</v>
      </c>
      <c r="AH92" s="247">
        <f t="shared" si="47"/>
        <v>278.81020244411741</v>
      </c>
      <c r="AI92" s="247">
        <f t="shared" si="47"/>
        <v>604.88013068481644</v>
      </c>
      <c r="AJ92" s="247">
        <f t="shared" si="47"/>
        <v>463.34446964071202</v>
      </c>
      <c r="AK92" s="247">
        <f t="shared" si="47"/>
        <v>18.892058583065413</v>
      </c>
      <c r="AL92" s="247">
        <f t="shared" si="47"/>
        <v>20.641359793403886</v>
      </c>
      <c r="AM92" s="247">
        <f t="shared" si="47"/>
        <v>354.84101482774253</v>
      </c>
      <c r="AN92" s="247">
        <f t="shared" si="47"/>
        <v>30.206867990347153</v>
      </c>
      <c r="AO92" s="247">
        <f t="shared" si="47"/>
        <v>61.45025840402846</v>
      </c>
      <c r="AP92" s="247">
        <f t="shared" si="47"/>
        <v>447.30667480904106</v>
      </c>
      <c r="AQ92" s="247">
        <f t="shared" si="47"/>
        <v>365.11521447157526</v>
      </c>
      <c r="AR92" s="247">
        <f t="shared" si="47"/>
        <v>654.6541843009054</v>
      </c>
      <c r="AS92" s="246">
        <f t="shared" si="47"/>
        <v>279.0727346008731</v>
      </c>
      <c r="AT92" s="246">
        <f t="shared" si="40"/>
        <v>322.78676042231854</v>
      </c>
      <c r="AU92" s="246">
        <f t="shared" si="40"/>
        <v>596.67442465817658</v>
      </c>
      <c r="AV92" s="246">
        <f t="shared" si="40"/>
        <v>420.77817184563429</v>
      </c>
      <c r="AW92" s="246">
        <f t="shared" si="40"/>
        <v>463.25382858177704</v>
      </c>
      <c r="AX92" s="246">
        <f t="shared" si="41"/>
        <v>10.094548524186592</v>
      </c>
      <c r="AY92" s="247">
        <f t="shared" si="42"/>
        <v>2352.108787112441</v>
      </c>
      <c r="AZ92" s="259"/>
      <c r="BA92" s="311"/>
      <c r="BB92" s="233"/>
      <c r="BC92" s="233"/>
      <c r="BD92" s="233"/>
    </row>
    <row r="93" spans="2:56" ht="25.5" customHeight="1">
      <c r="B93" s="189" t="s">
        <v>31</v>
      </c>
      <c r="C93" s="523">
        <f t="shared" si="38"/>
        <v>5.5360633911468123E-2</v>
      </c>
      <c r="D93" s="269">
        <f t="shared" ref="D93:AS93" si="48">D15/$C15*100</f>
        <v>100.99233764602438</v>
      </c>
      <c r="E93" s="247">
        <f t="shared" si="48"/>
        <v>160.53259640748649</v>
      </c>
      <c r="F93" s="247">
        <f t="shared" si="48"/>
        <v>0.75367416153749534</v>
      </c>
      <c r="G93" s="247">
        <f t="shared" si="48"/>
        <v>331.76736590880546</v>
      </c>
      <c r="H93" s="247">
        <f t="shared" si="48"/>
        <v>0.15073483230749904</v>
      </c>
      <c r="I93" s="247">
        <f t="shared" si="48"/>
        <v>114.55847255369929</v>
      </c>
      <c r="J93" s="247">
        <f t="shared" si="48"/>
        <v>84.562240924506966</v>
      </c>
      <c r="K93" s="247">
        <f t="shared" si="48"/>
        <v>210.27509106896122</v>
      </c>
      <c r="L93" s="247">
        <f t="shared" si="48"/>
        <v>162.94435372440648</v>
      </c>
      <c r="M93" s="247">
        <f t="shared" si="48"/>
        <v>0</v>
      </c>
      <c r="N93" s="247">
        <f t="shared" si="48"/>
        <v>0</v>
      </c>
      <c r="O93" s="247">
        <f t="shared" si="48"/>
        <v>33.463132772264792</v>
      </c>
      <c r="P93" s="247">
        <f t="shared" si="48"/>
        <v>222.63534731817609</v>
      </c>
      <c r="Q93" s="247">
        <f t="shared" si="48"/>
        <v>44.918980027634717</v>
      </c>
      <c r="R93" s="247">
        <f t="shared" si="48"/>
        <v>105.36364778294185</v>
      </c>
      <c r="S93" s="247">
        <f t="shared" si="48"/>
        <v>93.606330862956909</v>
      </c>
      <c r="T93" s="247">
        <f t="shared" si="48"/>
        <v>123.15035799522673</v>
      </c>
      <c r="U93" s="247">
        <f t="shared" si="48"/>
        <v>137.92237156136164</v>
      </c>
      <c r="V93" s="247">
        <f t="shared" si="48"/>
        <v>47.782941841477196</v>
      </c>
      <c r="W93" s="247">
        <f t="shared" si="48"/>
        <v>0</v>
      </c>
      <c r="X93" s="247">
        <f t="shared" si="48"/>
        <v>0</v>
      </c>
      <c r="Y93" s="247">
        <f t="shared" si="48"/>
        <v>0</v>
      </c>
      <c r="Z93" s="247">
        <f t="shared" si="48"/>
        <v>0</v>
      </c>
      <c r="AA93" s="247">
        <f t="shared" si="48"/>
        <v>0</v>
      </c>
      <c r="AB93" s="247">
        <f t="shared" si="48"/>
        <v>122.84888833061174</v>
      </c>
      <c r="AC93" s="247">
        <f t="shared" si="48"/>
        <v>172.28991332747142</v>
      </c>
      <c r="AD93" s="247">
        <f t="shared" si="48"/>
        <v>0</v>
      </c>
      <c r="AE93" s="247">
        <f t="shared" si="48"/>
        <v>184.49943474437885</v>
      </c>
      <c r="AF93" s="247">
        <f t="shared" si="48"/>
        <v>218.41477201356611</v>
      </c>
      <c r="AG93" s="247">
        <f t="shared" si="48"/>
        <v>199.27144831051376</v>
      </c>
      <c r="AH93" s="247">
        <f t="shared" si="48"/>
        <v>211.33023489511368</v>
      </c>
      <c r="AI93" s="247">
        <f t="shared" si="48"/>
        <v>240.723527195076</v>
      </c>
      <c r="AJ93" s="247">
        <f t="shared" si="48"/>
        <v>286.24544655194069</v>
      </c>
      <c r="AK93" s="247">
        <f t="shared" si="48"/>
        <v>107.62467026755434</v>
      </c>
      <c r="AL93" s="247">
        <f t="shared" si="48"/>
        <v>0</v>
      </c>
      <c r="AM93" s="247">
        <f t="shared" si="48"/>
        <v>195.80454716744131</v>
      </c>
      <c r="AN93" s="247">
        <f t="shared" si="48"/>
        <v>4.0698404723024746</v>
      </c>
      <c r="AO93" s="247">
        <f t="shared" si="48"/>
        <v>160.53259640748649</v>
      </c>
      <c r="AP93" s="247">
        <f t="shared" si="48"/>
        <v>202.13541012435624</v>
      </c>
      <c r="AQ93" s="246">
        <f t="shared" si="48"/>
        <v>124.65770631830171</v>
      </c>
      <c r="AR93" s="247">
        <f t="shared" si="48"/>
        <v>225.34857429971115</v>
      </c>
      <c r="AS93" s="246">
        <f t="shared" si="48"/>
        <v>157.81936942595149</v>
      </c>
      <c r="AT93" s="246">
        <f t="shared" si="40"/>
        <v>61.198341916844626</v>
      </c>
      <c r="AU93" s="246">
        <f t="shared" si="40"/>
        <v>160.38186157517899</v>
      </c>
      <c r="AV93" s="246">
        <f t="shared" si="40"/>
        <v>277.50282627810577</v>
      </c>
      <c r="AW93" s="246">
        <f>AW15/$C15*100</f>
        <v>283.08001507348325</v>
      </c>
      <c r="AX93" s="246">
        <f t="shared" si="41"/>
        <v>2.0097772949484067</v>
      </c>
      <c r="AY93" s="247">
        <f t="shared" si="42"/>
        <v>163.02521008403363</v>
      </c>
      <c r="AZ93" s="259"/>
      <c r="BA93" s="311"/>
      <c r="BB93" s="233"/>
      <c r="BC93" s="233"/>
      <c r="BD93" s="233"/>
    </row>
    <row r="94" spans="2:56" ht="25.5" customHeight="1">
      <c r="B94" s="189" t="s">
        <v>32</v>
      </c>
      <c r="C94" s="523">
        <f t="shared" si="38"/>
        <v>8.4851243327318401E-2</v>
      </c>
      <c r="D94" s="269">
        <f t="shared" ref="D94:AS94" si="49">D16/$C16*100</f>
        <v>19.672131147540984</v>
      </c>
      <c r="E94" s="247">
        <f t="shared" si="49"/>
        <v>5.8287795992714022</v>
      </c>
      <c r="F94" s="247">
        <f t="shared" si="49"/>
        <v>5.8287795992714022</v>
      </c>
      <c r="G94" s="247">
        <f t="shared" si="49"/>
        <v>0</v>
      </c>
      <c r="H94" s="247">
        <f t="shared" si="49"/>
        <v>0</v>
      </c>
      <c r="I94" s="247">
        <f t="shared" si="49"/>
        <v>99.817850637522753</v>
      </c>
      <c r="J94" s="247">
        <f t="shared" si="49"/>
        <v>728.59744990892534</v>
      </c>
      <c r="K94" s="247">
        <f t="shared" si="49"/>
        <v>67.759562841530041</v>
      </c>
      <c r="L94" s="247">
        <f t="shared" si="49"/>
        <v>0</v>
      </c>
      <c r="M94" s="247">
        <f t="shared" si="49"/>
        <v>0</v>
      </c>
      <c r="N94" s="247">
        <f t="shared" si="49"/>
        <v>0</v>
      </c>
      <c r="O94" s="247">
        <f t="shared" si="49"/>
        <v>272.49544626593803</v>
      </c>
      <c r="P94" s="247">
        <f t="shared" si="49"/>
        <v>2939.890710382514</v>
      </c>
      <c r="Q94" s="247">
        <f t="shared" si="49"/>
        <v>291.43897996357009</v>
      </c>
      <c r="R94" s="247">
        <f t="shared" si="49"/>
        <v>59.016393442622942</v>
      </c>
      <c r="S94" s="247">
        <f t="shared" si="49"/>
        <v>0</v>
      </c>
      <c r="T94" s="247">
        <f t="shared" si="49"/>
        <v>0</v>
      </c>
      <c r="U94" s="247">
        <f t="shared" si="49"/>
        <v>0</v>
      </c>
      <c r="V94" s="247">
        <f t="shared" si="49"/>
        <v>0</v>
      </c>
      <c r="W94" s="247">
        <f t="shared" si="49"/>
        <v>0</v>
      </c>
      <c r="X94" s="247">
        <f t="shared" si="49"/>
        <v>0</v>
      </c>
      <c r="Y94" s="247">
        <f t="shared" si="49"/>
        <v>0</v>
      </c>
      <c r="Z94" s="247">
        <f t="shared" si="49"/>
        <v>0</v>
      </c>
      <c r="AA94" s="247">
        <f t="shared" si="49"/>
        <v>0</v>
      </c>
      <c r="AB94" s="247">
        <f t="shared" si="49"/>
        <v>25.500910746812384</v>
      </c>
      <c r="AC94" s="247">
        <f t="shared" si="49"/>
        <v>391.25683060109287</v>
      </c>
      <c r="AD94" s="247">
        <f t="shared" si="49"/>
        <v>5.8287795992714022</v>
      </c>
      <c r="AE94" s="247">
        <f t="shared" si="49"/>
        <v>50.273224043715835</v>
      </c>
      <c r="AF94" s="247">
        <f t="shared" si="49"/>
        <v>51.730418943533692</v>
      </c>
      <c r="AG94" s="247">
        <f t="shared" si="49"/>
        <v>0</v>
      </c>
      <c r="AH94" s="247">
        <f t="shared" si="49"/>
        <v>25.500910746812384</v>
      </c>
      <c r="AI94" s="247">
        <f t="shared" si="49"/>
        <v>6.5573770491803272</v>
      </c>
      <c r="AJ94" s="247">
        <f t="shared" si="49"/>
        <v>0</v>
      </c>
      <c r="AK94" s="247">
        <f t="shared" si="49"/>
        <v>695.81056466302357</v>
      </c>
      <c r="AL94" s="247">
        <f t="shared" si="49"/>
        <v>117.30418943533695</v>
      </c>
      <c r="AM94" s="247">
        <f t="shared" si="49"/>
        <v>357.74134790528228</v>
      </c>
      <c r="AN94" s="247">
        <f t="shared" si="49"/>
        <v>746.08378870673948</v>
      </c>
      <c r="AO94" s="247">
        <f t="shared" si="49"/>
        <v>5.8287795992714022</v>
      </c>
      <c r="AP94" s="247">
        <f t="shared" si="49"/>
        <v>291.43897996357009</v>
      </c>
      <c r="AQ94" s="247">
        <f t="shared" si="49"/>
        <v>346.08378870673948</v>
      </c>
      <c r="AR94" s="246">
        <f t="shared" si="49"/>
        <v>3.6429872495446256</v>
      </c>
      <c r="AS94" s="246">
        <f t="shared" si="49"/>
        <v>109.28961748633878</v>
      </c>
      <c r="AT94" s="246">
        <f t="shared" si="40"/>
        <v>0</v>
      </c>
      <c r="AU94" s="246">
        <f t="shared" si="40"/>
        <v>5.8287795992714022</v>
      </c>
      <c r="AV94" s="246">
        <f t="shared" si="40"/>
        <v>414.57194899817847</v>
      </c>
      <c r="AW94" s="246">
        <f t="shared" si="40"/>
        <v>368.67030965391615</v>
      </c>
      <c r="AX94" s="246">
        <f t="shared" si="41"/>
        <v>-11.072056239015822</v>
      </c>
      <c r="AY94" s="247">
        <f t="shared" si="42"/>
        <v>-47.015706806282722</v>
      </c>
      <c r="AZ94" s="259"/>
      <c r="BA94" s="311"/>
      <c r="BB94" s="233"/>
      <c r="BC94" s="233"/>
      <c r="BD94" s="233"/>
    </row>
    <row r="95" spans="2:56" ht="25.5" customHeight="1">
      <c r="B95" s="189" t="s">
        <v>33</v>
      </c>
      <c r="C95" s="523">
        <f t="shared" si="38"/>
        <v>4.9477743392723691E-2</v>
      </c>
      <c r="D95" s="269">
        <f t="shared" ref="D95:AS95" si="50">D17/$C17*100</f>
        <v>70.825906120023774</v>
      </c>
      <c r="E95" s="247">
        <f t="shared" si="50"/>
        <v>0</v>
      </c>
      <c r="F95" s="247">
        <f t="shared" si="50"/>
        <v>225.54961378490793</v>
      </c>
      <c r="G95" s="247">
        <f t="shared" si="50"/>
        <v>10.457516339869283</v>
      </c>
      <c r="H95" s="247">
        <f t="shared" si="50"/>
        <v>5.2287581699346415</v>
      </c>
      <c r="I95" s="247">
        <f t="shared" si="50"/>
        <v>19.964349376114082</v>
      </c>
      <c r="J95" s="247">
        <f t="shared" si="50"/>
        <v>73.202614379084977</v>
      </c>
      <c r="K95" s="247">
        <f t="shared" si="50"/>
        <v>502.91146761735001</v>
      </c>
      <c r="L95" s="247">
        <f t="shared" si="50"/>
        <v>225.31194295900181</v>
      </c>
      <c r="M95" s="247">
        <f t="shared" si="50"/>
        <v>0</v>
      </c>
      <c r="N95" s="247">
        <f t="shared" si="50"/>
        <v>0</v>
      </c>
      <c r="O95" s="247">
        <f t="shared" si="50"/>
        <v>66.547831253713611</v>
      </c>
      <c r="P95" s="247">
        <f t="shared" si="50"/>
        <v>443.73143196672612</v>
      </c>
      <c r="Q95" s="247">
        <f t="shared" si="50"/>
        <v>0</v>
      </c>
      <c r="R95" s="247">
        <f t="shared" si="50"/>
        <v>0</v>
      </c>
      <c r="S95" s="247">
        <f t="shared" si="50"/>
        <v>0</v>
      </c>
      <c r="T95" s="247">
        <f t="shared" si="50"/>
        <v>11.883541295306003</v>
      </c>
      <c r="U95" s="247">
        <f t="shared" si="50"/>
        <v>96.49435531788474</v>
      </c>
      <c r="V95" s="247">
        <f t="shared" si="50"/>
        <v>37.076648841354725</v>
      </c>
      <c r="W95" s="247">
        <f t="shared" si="50"/>
        <v>0</v>
      </c>
      <c r="X95" s="247">
        <f t="shared" si="50"/>
        <v>0</v>
      </c>
      <c r="Y95" s="247">
        <f t="shared" si="50"/>
        <v>0</v>
      </c>
      <c r="Z95" s="247">
        <f t="shared" si="50"/>
        <v>0</v>
      </c>
      <c r="AA95" s="247">
        <f t="shared" si="50"/>
        <v>0</v>
      </c>
      <c r="AB95" s="247">
        <f t="shared" si="50"/>
        <v>51.336898395721917</v>
      </c>
      <c r="AC95" s="247">
        <f t="shared" si="50"/>
        <v>12.834224598930479</v>
      </c>
      <c r="AD95" s="247">
        <f t="shared" si="50"/>
        <v>0</v>
      </c>
      <c r="AE95" s="247">
        <f t="shared" si="50"/>
        <v>0</v>
      </c>
      <c r="AF95" s="247">
        <f t="shared" si="50"/>
        <v>78.193701723113492</v>
      </c>
      <c r="AG95" s="247">
        <f t="shared" si="50"/>
        <v>102.91146761734997</v>
      </c>
      <c r="AH95" s="247">
        <f t="shared" si="50"/>
        <v>268.5680332739156</v>
      </c>
      <c r="AI95" s="247">
        <f t="shared" si="50"/>
        <v>622.45989304812838</v>
      </c>
      <c r="AJ95" s="247">
        <f t="shared" si="50"/>
        <v>861.31907308377913</v>
      </c>
      <c r="AK95" s="247">
        <f t="shared" si="50"/>
        <v>306.12002376708261</v>
      </c>
      <c r="AL95" s="247">
        <f t="shared" si="50"/>
        <v>538.56209150326788</v>
      </c>
      <c r="AM95" s="247">
        <f t="shared" si="50"/>
        <v>380.27332144979209</v>
      </c>
      <c r="AN95" s="247">
        <f t="shared" si="50"/>
        <v>140.46345811051694</v>
      </c>
      <c r="AO95" s="247">
        <f t="shared" si="50"/>
        <v>0</v>
      </c>
      <c r="AP95" s="247">
        <f t="shared" si="50"/>
        <v>0</v>
      </c>
      <c r="AQ95" s="246">
        <f t="shared" si="50"/>
        <v>0.47534165181224008</v>
      </c>
      <c r="AR95" s="247">
        <f t="shared" si="50"/>
        <v>46.821152703505646</v>
      </c>
      <c r="AS95" s="246">
        <f t="shared" si="50"/>
        <v>159.23945335710044</v>
      </c>
      <c r="AT95" s="246">
        <f t="shared" si="40"/>
        <v>419.96434937611411</v>
      </c>
      <c r="AU95" s="246">
        <f t="shared" si="40"/>
        <v>527.86690433749254</v>
      </c>
      <c r="AV95" s="246">
        <f t="shared" si="40"/>
        <v>1296.2566844919786</v>
      </c>
      <c r="AW95" s="246">
        <f t="shared" si="40"/>
        <v>978.72846108140232</v>
      </c>
      <c r="AX95" s="246">
        <f t="shared" si="41"/>
        <v>-24.495782911624488</v>
      </c>
      <c r="AY95" s="247">
        <f t="shared" si="42"/>
        <v>219.72049689440996</v>
      </c>
      <c r="AZ95" s="259"/>
      <c r="BA95" s="311"/>
      <c r="BB95" s="233"/>
      <c r="BC95" s="233"/>
      <c r="BD95" s="233"/>
    </row>
    <row r="96" spans="2:56" ht="25.5" customHeight="1">
      <c r="B96" s="189" t="s">
        <v>34</v>
      </c>
      <c r="C96" s="523">
        <f t="shared" si="38"/>
        <v>1.650542326169813E-2</v>
      </c>
      <c r="D96" s="269">
        <f t="shared" ref="D96:AS96" si="51">D18/$C18*100</f>
        <v>57.370517928286858</v>
      </c>
      <c r="E96" s="247">
        <f t="shared" si="51"/>
        <v>0</v>
      </c>
      <c r="F96" s="247">
        <f t="shared" si="51"/>
        <v>144.22310756972112</v>
      </c>
      <c r="G96" s="247">
        <f t="shared" si="51"/>
        <v>0</v>
      </c>
      <c r="H96" s="247">
        <f t="shared" si="51"/>
        <v>0</v>
      </c>
      <c r="I96" s="247">
        <f t="shared" si="51"/>
        <v>0</v>
      </c>
      <c r="J96" s="247">
        <f t="shared" si="51"/>
        <v>65.338645418326706</v>
      </c>
      <c r="K96" s="247">
        <f t="shared" si="51"/>
        <v>383.26693227091636</v>
      </c>
      <c r="L96" s="247">
        <f t="shared" si="51"/>
        <v>508.36653386454185</v>
      </c>
      <c r="M96" s="247">
        <f t="shared" si="51"/>
        <v>0</v>
      </c>
      <c r="N96" s="247">
        <f t="shared" si="51"/>
        <v>0</v>
      </c>
      <c r="O96" s="247">
        <f t="shared" si="51"/>
        <v>41.43426294820717</v>
      </c>
      <c r="P96" s="247">
        <f t="shared" si="51"/>
        <v>62.151394422310759</v>
      </c>
      <c r="Q96" s="247">
        <f t="shared" si="51"/>
        <v>46.21513944223107</v>
      </c>
      <c r="R96" s="247">
        <f t="shared" si="51"/>
        <v>4318.7250996015937</v>
      </c>
      <c r="S96" s="247">
        <f t="shared" si="51"/>
        <v>0</v>
      </c>
      <c r="T96" s="247">
        <f t="shared" si="51"/>
        <v>0</v>
      </c>
      <c r="U96" s="247">
        <f t="shared" si="51"/>
        <v>0</v>
      </c>
      <c r="V96" s="247">
        <f t="shared" si="51"/>
        <v>0</v>
      </c>
      <c r="W96" s="247">
        <f t="shared" si="51"/>
        <v>0</v>
      </c>
      <c r="X96" s="247">
        <f t="shared" si="51"/>
        <v>0</v>
      </c>
      <c r="Y96" s="247">
        <f t="shared" si="51"/>
        <v>0</v>
      </c>
      <c r="Z96" s="247">
        <f t="shared" si="51"/>
        <v>0</v>
      </c>
      <c r="AA96" s="247">
        <f t="shared" si="51"/>
        <v>0</v>
      </c>
      <c r="AB96" s="247">
        <f t="shared" si="51"/>
        <v>101.99203187250995</v>
      </c>
      <c r="AC96" s="247">
        <f t="shared" si="51"/>
        <v>0</v>
      </c>
      <c r="AD96" s="247">
        <f t="shared" si="51"/>
        <v>0</v>
      </c>
      <c r="AE96" s="247">
        <f t="shared" si="51"/>
        <v>0</v>
      </c>
      <c r="AF96" s="247">
        <f t="shared" si="51"/>
        <v>0</v>
      </c>
      <c r="AG96" s="247">
        <f t="shared" si="51"/>
        <v>0</v>
      </c>
      <c r="AH96" s="247">
        <f t="shared" si="51"/>
        <v>0</v>
      </c>
      <c r="AI96" s="247">
        <f t="shared" si="51"/>
        <v>188.04780876494021</v>
      </c>
      <c r="AJ96" s="247">
        <f t="shared" si="51"/>
        <v>296.41434262948201</v>
      </c>
      <c r="AK96" s="247">
        <f t="shared" si="51"/>
        <v>302.78884462151393</v>
      </c>
      <c r="AL96" s="247">
        <f t="shared" si="51"/>
        <v>728.28685258964163</v>
      </c>
      <c r="AM96" s="247">
        <f t="shared" si="51"/>
        <v>154.5816733067729</v>
      </c>
      <c r="AN96" s="247">
        <f t="shared" si="51"/>
        <v>322.70916334661359</v>
      </c>
      <c r="AO96" s="247">
        <f t="shared" si="51"/>
        <v>0</v>
      </c>
      <c r="AP96" s="247">
        <f t="shared" si="51"/>
        <v>0</v>
      </c>
      <c r="AQ96" s="246">
        <f t="shared" si="51"/>
        <v>0</v>
      </c>
      <c r="AR96" s="246">
        <f t="shared" si="51"/>
        <v>0</v>
      </c>
      <c r="AS96" s="246">
        <f t="shared" si="51"/>
        <v>0</v>
      </c>
      <c r="AT96" s="246">
        <f t="shared" si="40"/>
        <v>7.9681274900398416</v>
      </c>
      <c r="AU96" s="246">
        <f t="shared" si="40"/>
        <v>84.462151394422307</v>
      </c>
      <c r="AV96" s="246">
        <f t="shared" si="40"/>
        <v>321.11553784860558</v>
      </c>
      <c r="AW96" s="246">
        <f t="shared" si="40"/>
        <v>432.66932270916334</v>
      </c>
      <c r="AX96" s="246">
        <f t="shared" si="41"/>
        <v>34.739454094292796</v>
      </c>
      <c r="AY96" s="247">
        <f t="shared" si="42"/>
        <v>42.89473684210526</v>
      </c>
      <c r="AZ96" s="259"/>
      <c r="BA96" s="311"/>
      <c r="BB96" s="233"/>
      <c r="BC96" s="233"/>
      <c r="BD96" s="233"/>
    </row>
    <row r="97" spans="2:56" ht="25.5" customHeight="1">
      <c r="B97" s="189" t="s">
        <v>35</v>
      </c>
      <c r="C97" s="523">
        <f t="shared" si="38"/>
        <v>1.7680926210311088E-2</v>
      </c>
      <c r="D97" s="269">
        <f t="shared" ref="D97:AS97" si="52">D19/$C19*100</f>
        <v>16.378964271376958</v>
      </c>
      <c r="E97" s="247">
        <f t="shared" si="52"/>
        <v>5.2990766760337218</v>
      </c>
      <c r="F97" s="247">
        <f t="shared" si="52"/>
        <v>4.8173424327579291</v>
      </c>
      <c r="G97" s="247">
        <f t="shared" si="52"/>
        <v>0</v>
      </c>
      <c r="H97" s="247">
        <f t="shared" si="52"/>
        <v>0</v>
      </c>
      <c r="I97" s="247">
        <f t="shared" si="52"/>
        <v>0</v>
      </c>
      <c r="J97" s="247">
        <f t="shared" si="52"/>
        <v>131.51344841429145</v>
      </c>
      <c r="K97" s="247">
        <f t="shared" si="52"/>
        <v>414.29144921718193</v>
      </c>
      <c r="L97" s="247">
        <f t="shared" si="52"/>
        <v>591.08791649939792</v>
      </c>
      <c r="M97" s="247">
        <f t="shared" si="52"/>
        <v>0</v>
      </c>
      <c r="N97" s="247">
        <f t="shared" si="52"/>
        <v>0</v>
      </c>
      <c r="O97" s="247">
        <f t="shared" si="52"/>
        <v>36.611802488960258</v>
      </c>
      <c r="P97" s="247">
        <f t="shared" si="52"/>
        <v>359.85547972701733</v>
      </c>
      <c r="Q97" s="247">
        <f t="shared" si="52"/>
        <v>0</v>
      </c>
      <c r="R97" s="247">
        <f t="shared" si="52"/>
        <v>0</v>
      </c>
      <c r="S97" s="247">
        <f t="shared" si="52"/>
        <v>0</v>
      </c>
      <c r="T97" s="247">
        <f t="shared" si="52"/>
        <v>13.488558811722202</v>
      </c>
      <c r="U97" s="247">
        <f t="shared" si="52"/>
        <v>17.342432757928545</v>
      </c>
      <c r="V97" s="247">
        <f t="shared" si="52"/>
        <v>433.56081894821364</v>
      </c>
      <c r="W97" s="247">
        <f t="shared" si="52"/>
        <v>0</v>
      </c>
      <c r="X97" s="247">
        <f t="shared" si="52"/>
        <v>0</v>
      </c>
      <c r="Y97" s="247">
        <f t="shared" si="52"/>
        <v>0</v>
      </c>
      <c r="Z97" s="247">
        <f t="shared" si="52"/>
        <v>0</v>
      </c>
      <c r="AA97" s="247">
        <f t="shared" si="52"/>
        <v>0</v>
      </c>
      <c r="AB97" s="247">
        <f t="shared" si="52"/>
        <v>347.81212364512248</v>
      </c>
      <c r="AC97" s="247">
        <f t="shared" si="52"/>
        <v>0</v>
      </c>
      <c r="AD97" s="247">
        <f t="shared" si="52"/>
        <v>0</v>
      </c>
      <c r="AE97" s="247">
        <f t="shared" si="52"/>
        <v>0</v>
      </c>
      <c r="AF97" s="247">
        <f t="shared" si="52"/>
        <v>0</v>
      </c>
      <c r="AG97" s="247">
        <f t="shared" si="52"/>
        <v>2.8904054596547577</v>
      </c>
      <c r="AH97" s="247">
        <f t="shared" si="52"/>
        <v>9.6346848655158581</v>
      </c>
      <c r="AI97" s="247">
        <f t="shared" si="52"/>
        <v>371.89883580891211</v>
      </c>
      <c r="AJ97" s="247">
        <f t="shared" si="52"/>
        <v>658.04897631473318</v>
      </c>
      <c r="AK97" s="247">
        <f t="shared" si="52"/>
        <v>17.342432757928545</v>
      </c>
      <c r="AL97" s="247">
        <f t="shared" si="52"/>
        <v>720.67442794058627</v>
      </c>
      <c r="AM97" s="247">
        <f t="shared" si="52"/>
        <v>256.76435166599759</v>
      </c>
      <c r="AN97" s="247">
        <f t="shared" si="52"/>
        <v>101.6459253311923</v>
      </c>
      <c r="AO97" s="247">
        <f t="shared" si="52"/>
        <v>0</v>
      </c>
      <c r="AP97" s="247">
        <f t="shared" si="52"/>
        <v>0</v>
      </c>
      <c r="AQ97" s="246">
        <f t="shared" si="52"/>
        <v>5.2990766760337218</v>
      </c>
      <c r="AR97" s="246">
        <f t="shared" si="52"/>
        <v>0</v>
      </c>
      <c r="AS97" s="246">
        <f t="shared" si="52"/>
        <v>5.7808109193095154</v>
      </c>
      <c r="AT97" s="246">
        <f t="shared" si="40"/>
        <v>24.568446407065434</v>
      </c>
      <c r="AU97" s="246">
        <f t="shared" si="40"/>
        <v>52.02729827378564</v>
      </c>
      <c r="AV97" s="246">
        <f t="shared" si="40"/>
        <v>39.983942191890812</v>
      </c>
      <c r="AW97" s="246">
        <f t="shared" si="40"/>
        <v>148.37414692894421</v>
      </c>
      <c r="AX97" s="246">
        <f t="shared" si="41"/>
        <v>271.08433734939757</v>
      </c>
      <c r="AY97" s="247">
        <f t="shared" si="42"/>
        <v>755.55555555555554</v>
      </c>
      <c r="AZ97" s="259"/>
      <c r="BA97" s="311"/>
      <c r="BB97" s="233"/>
      <c r="BC97" s="233"/>
      <c r="BD97" s="233"/>
    </row>
    <row r="98" spans="2:56" ht="25.5" customHeight="1">
      <c r="B98" s="189" t="s">
        <v>37</v>
      </c>
      <c r="C98" s="523">
        <f t="shared" si="38"/>
        <v>8.3183856904019068E-2</v>
      </c>
      <c r="D98" s="269">
        <f t="shared" ref="D98:AS98" si="53">D20/$C20*100</f>
        <v>30.58659217877095</v>
      </c>
      <c r="E98" s="247">
        <f t="shared" si="53"/>
        <v>0.97765363128491622</v>
      </c>
      <c r="F98" s="247">
        <f t="shared" si="53"/>
        <v>273.18435754189949</v>
      </c>
      <c r="G98" s="247">
        <f t="shared" si="53"/>
        <v>70.810055865921797</v>
      </c>
      <c r="H98" s="247">
        <f t="shared" si="53"/>
        <v>420.94972067039106</v>
      </c>
      <c r="I98" s="247">
        <f t="shared" si="53"/>
        <v>137.01117318435755</v>
      </c>
      <c r="J98" s="247">
        <f t="shared" si="53"/>
        <v>75.41899441340783</v>
      </c>
      <c r="K98" s="247">
        <f t="shared" si="53"/>
        <v>125.55865921787711</v>
      </c>
      <c r="L98" s="247">
        <f t="shared" si="53"/>
        <v>62.849162011173185</v>
      </c>
      <c r="M98" s="247">
        <f t="shared" si="53"/>
        <v>0</v>
      </c>
      <c r="N98" s="247">
        <f t="shared" si="53"/>
        <v>0</v>
      </c>
      <c r="O98" s="247">
        <f t="shared" si="53"/>
        <v>2.6536312849162016</v>
      </c>
      <c r="P98" s="247">
        <f t="shared" si="53"/>
        <v>139.80446927374302</v>
      </c>
      <c r="Q98" s="247">
        <f t="shared" si="53"/>
        <v>24.860335195530727</v>
      </c>
      <c r="R98" s="247">
        <f t="shared" si="53"/>
        <v>1188.6871508379891</v>
      </c>
      <c r="S98" s="247">
        <f t="shared" si="53"/>
        <v>17.458100558659218</v>
      </c>
      <c r="T98" s="247">
        <f t="shared" si="53"/>
        <v>26.117318435754193</v>
      </c>
      <c r="U98" s="247">
        <f t="shared" si="53"/>
        <v>205.16759776536313</v>
      </c>
      <c r="V98" s="247">
        <f t="shared" si="53"/>
        <v>107.96089385474863</v>
      </c>
      <c r="W98" s="247">
        <f t="shared" si="53"/>
        <v>0</v>
      </c>
      <c r="X98" s="247">
        <f t="shared" si="53"/>
        <v>0</v>
      </c>
      <c r="Y98" s="247">
        <f t="shared" si="53"/>
        <v>0</v>
      </c>
      <c r="Z98" s="247">
        <f t="shared" si="53"/>
        <v>0</v>
      </c>
      <c r="AA98" s="247">
        <f t="shared" si="53"/>
        <v>0</v>
      </c>
      <c r="AB98" s="247">
        <f t="shared" si="53"/>
        <v>80.44692737430168</v>
      </c>
      <c r="AC98" s="247">
        <f t="shared" si="53"/>
        <v>120.94972067039107</v>
      </c>
      <c r="AD98" s="247">
        <f t="shared" si="53"/>
        <v>226.95530726256985</v>
      </c>
      <c r="AE98" s="247">
        <f t="shared" si="53"/>
        <v>50.5586592178771</v>
      </c>
      <c r="AF98" s="247">
        <f t="shared" si="53"/>
        <v>154.46927374301674</v>
      </c>
      <c r="AG98" s="247">
        <f t="shared" si="53"/>
        <v>33.798882681564244</v>
      </c>
      <c r="AH98" s="247">
        <f t="shared" si="53"/>
        <v>91.061452513966486</v>
      </c>
      <c r="AI98" s="247">
        <f t="shared" si="53"/>
        <v>166.89944134078212</v>
      </c>
      <c r="AJ98" s="247">
        <f t="shared" si="53"/>
        <v>84.078212290502805</v>
      </c>
      <c r="AK98" s="247">
        <f t="shared" si="53"/>
        <v>37.290502793296092</v>
      </c>
      <c r="AL98" s="247">
        <f t="shared" si="53"/>
        <v>64.804469273743024</v>
      </c>
      <c r="AM98" s="247">
        <f t="shared" si="53"/>
        <v>70.67039106145252</v>
      </c>
      <c r="AN98" s="247">
        <f t="shared" si="53"/>
        <v>114.94413407821231</v>
      </c>
      <c r="AO98" s="247">
        <f t="shared" si="53"/>
        <v>0.97765363128491622</v>
      </c>
      <c r="AP98" s="247">
        <f t="shared" si="53"/>
        <v>36.731843575418999</v>
      </c>
      <c r="AQ98" s="246">
        <f t="shared" si="53"/>
        <v>75.837988826815646</v>
      </c>
      <c r="AR98" s="247">
        <f t="shared" si="53"/>
        <v>77.653631284916202</v>
      </c>
      <c r="AS98" s="246">
        <f t="shared" si="53"/>
        <v>149.86033519553075</v>
      </c>
      <c r="AT98" s="246">
        <f t="shared" si="40"/>
        <v>157.26256983240222</v>
      </c>
      <c r="AU98" s="246">
        <f t="shared" si="40"/>
        <v>218.29608938547486</v>
      </c>
      <c r="AV98" s="246">
        <f t="shared" si="40"/>
        <v>97.905027932960891</v>
      </c>
      <c r="AW98" s="246">
        <f t="shared" si="40"/>
        <v>49.162011173184368</v>
      </c>
      <c r="AX98" s="246">
        <f t="shared" si="41"/>
        <v>-49.786019971469322</v>
      </c>
      <c r="AY98" s="247">
        <f t="shared" si="42"/>
        <v>31.835205992509373</v>
      </c>
      <c r="AZ98" s="259"/>
      <c r="BA98" s="311"/>
      <c r="BB98" s="233"/>
      <c r="BC98" s="233"/>
      <c r="BD98" s="233"/>
    </row>
    <row r="99" spans="2:56" ht="25.5" customHeight="1">
      <c r="B99" s="189" t="s">
        <v>38</v>
      </c>
      <c r="C99" s="523">
        <f t="shared" si="38"/>
        <v>7.2445744983953272E-2</v>
      </c>
      <c r="D99" s="269">
        <f t="shared" ref="D99:AS99" si="54">D21/$C21*100</f>
        <v>117.82320760149729</v>
      </c>
      <c r="E99" s="247">
        <f t="shared" si="54"/>
        <v>15.11661387849122</v>
      </c>
      <c r="F99" s="247">
        <f t="shared" si="54"/>
        <v>381.97523754678957</v>
      </c>
      <c r="G99" s="247">
        <f t="shared" si="54"/>
        <v>38.871292830405999</v>
      </c>
      <c r="H99" s="247">
        <f t="shared" si="54"/>
        <v>226.05816297149443</v>
      </c>
      <c r="I99" s="247">
        <f t="shared" si="54"/>
        <v>120.58738842499281</v>
      </c>
      <c r="J99" s="247">
        <f t="shared" si="54"/>
        <v>22.631730492369712</v>
      </c>
      <c r="K99" s="247">
        <f t="shared" si="54"/>
        <v>192.0241865822056</v>
      </c>
      <c r="L99" s="247">
        <f t="shared" si="54"/>
        <v>60.034552260293708</v>
      </c>
      <c r="M99" s="247">
        <f t="shared" si="54"/>
        <v>0</v>
      </c>
      <c r="N99" s="247">
        <f t="shared" si="54"/>
        <v>0</v>
      </c>
      <c r="O99" s="247">
        <f t="shared" si="54"/>
        <v>24.877627411459837</v>
      </c>
      <c r="P99" s="247">
        <f t="shared" si="54"/>
        <v>192.0241865822056</v>
      </c>
      <c r="Q99" s="247">
        <f t="shared" si="54"/>
        <v>87.935502447451782</v>
      </c>
      <c r="R99" s="247">
        <f t="shared" si="54"/>
        <v>535.47365390152618</v>
      </c>
      <c r="S99" s="247">
        <f t="shared" si="54"/>
        <v>15.72127843363087</v>
      </c>
      <c r="T99" s="247">
        <f t="shared" si="54"/>
        <v>83.961992513676947</v>
      </c>
      <c r="U99" s="247">
        <f t="shared" si="54"/>
        <v>428.79355024474523</v>
      </c>
      <c r="V99" s="247">
        <f t="shared" si="54"/>
        <v>114.54074287359634</v>
      </c>
      <c r="W99" s="247">
        <f t="shared" si="54"/>
        <v>0</v>
      </c>
      <c r="X99" s="247">
        <f t="shared" si="54"/>
        <v>0</v>
      </c>
      <c r="Y99" s="247">
        <f t="shared" si="54"/>
        <v>0</v>
      </c>
      <c r="Z99" s="247">
        <f t="shared" si="54"/>
        <v>0</v>
      </c>
      <c r="AA99" s="247">
        <f t="shared" si="54"/>
        <v>0</v>
      </c>
      <c r="AB99" s="247">
        <f t="shared" si="54"/>
        <v>72.905269219694802</v>
      </c>
      <c r="AC99" s="247">
        <f t="shared" si="54"/>
        <v>201.61243881370575</v>
      </c>
      <c r="AD99" s="247">
        <f t="shared" si="54"/>
        <v>332.9110279297438</v>
      </c>
      <c r="AE99" s="247">
        <f t="shared" si="54"/>
        <v>111.08551684422692</v>
      </c>
      <c r="AF99" s="247">
        <f t="shared" si="54"/>
        <v>157.0400230348402</v>
      </c>
      <c r="AG99" s="247">
        <f t="shared" si="54"/>
        <v>53.469622804491813</v>
      </c>
      <c r="AH99" s="247">
        <f t="shared" si="54"/>
        <v>104.43420673769077</v>
      </c>
      <c r="AI99" s="247">
        <f t="shared" si="54"/>
        <v>87.071695940109421</v>
      </c>
      <c r="AJ99" s="247">
        <f t="shared" si="54"/>
        <v>69.881946443996569</v>
      </c>
      <c r="AK99" s="247">
        <f t="shared" si="54"/>
        <v>85.775986179095895</v>
      </c>
      <c r="AL99" s="247">
        <f t="shared" si="54"/>
        <v>121.36481428160093</v>
      </c>
      <c r="AM99" s="247">
        <f t="shared" si="54"/>
        <v>94.500431903253684</v>
      </c>
      <c r="AN99" s="247">
        <f t="shared" si="54"/>
        <v>23.409156348977834</v>
      </c>
      <c r="AO99" s="247">
        <f t="shared" si="54"/>
        <v>31.097034264324797</v>
      </c>
      <c r="AP99" s="247">
        <f t="shared" si="54"/>
        <v>83.184566657068842</v>
      </c>
      <c r="AQ99" s="246">
        <f t="shared" si="54"/>
        <v>104.520587388425</v>
      </c>
      <c r="AR99" s="246">
        <f t="shared" si="54"/>
        <v>159.11315865246186</v>
      </c>
      <c r="AS99" s="246">
        <f t="shared" si="54"/>
        <v>153.49841635473655</v>
      </c>
      <c r="AT99" s="246">
        <f t="shared" si="40"/>
        <v>362.62597178232079</v>
      </c>
      <c r="AU99" s="246">
        <f t="shared" si="40"/>
        <v>341.54909300316734</v>
      </c>
      <c r="AV99" s="246">
        <f t="shared" si="40"/>
        <v>158.24935214511953</v>
      </c>
      <c r="AW99" s="246">
        <f t="shared" si="40"/>
        <v>189.43276706017855</v>
      </c>
      <c r="AX99" s="246">
        <f t="shared" si="41"/>
        <v>19.705240174672483</v>
      </c>
      <c r="AY99" s="247">
        <f t="shared" si="42"/>
        <v>120.84592145015108</v>
      </c>
      <c r="AZ99" s="259"/>
      <c r="BA99" s="311"/>
      <c r="BB99" s="233"/>
      <c r="BC99" s="233"/>
      <c r="BD99" s="233"/>
    </row>
    <row r="100" spans="2:56" ht="25.5" customHeight="1">
      <c r="B100" s="189" t="s">
        <v>39</v>
      </c>
      <c r="C100" s="523">
        <f t="shared" si="38"/>
        <v>7.3872117464282424E-3</v>
      </c>
      <c r="D100" s="269">
        <f t="shared" ref="D100:AS100" si="55">D22/$C22*100</f>
        <v>70.408163265306129</v>
      </c>
      <c r="E100" s="247">
        <f t="shared" si="55"/>
        <v>73.469387755102048</v>
      </c>
      <c r="F100" s="247">
        <f t="shared" si="55"/>
        <v>410.20408163265313</v>
      </c>
      <c r="G100" s="247">
        <f t="shared" si="55"/>
        <v>0</v>
      </c>
      <c r="H100" s="247">
        <f t="shared" si="55"/>
        <v>339.79591836734699</v>
      </c>
      <c r="I100" s="247">
        <f t="shared" si="55"/>
        <v>39.795918367346943</v>
      </c>
      <c r="J100" s="247">
        <f t="shared" si="55"/>
        <v>39.795918367346943</v>
      </c>
      <c r="K100" s="247">
        <f t="shared" si="55"/>
        <v>186.73469387755105</v>
      </c>
      <c r="L100" s="247">
        <f t="shared" si="55"/>
        <v>24.489795918367349</v>
      </c>
      <c r="M100" s="247">
        <f t="shared" si="55"/>
        <v>0</v>
      </c>
      <c r="N100" s="247">
        <f t="shared" si="55"/>
        <v>0</v>
      </c>
      <c r="O100" s="247">
        <f t="shared" si="55"/>
        <v>15.306122448979595</v>
      </c>
      <c r="P100" s="247">
        <f t="shared" si="55"/>
        <v>186.73469387755105</v>
      </c>
      <c r="Q100" s="247">
        <f t="shared" si="55"/>
        <v>58.163265306122454</v>
      </c>
      <c r="R100" s="247">
        <f t="shared" si="55"/>
        <v>247.9591836734694</v>
      </c>
      <c r="S100" s="247">
        <f t="shared" si="55"/>
        <v>382.65306122448982</v>
      </c>
      <c r="T100" s="247">
        <f t="shared" si="55"/>
        <v>36.734693877551024</v>
      </c>
      <c r="U100" s="247">
        <f t="shared" si="55"/>
        <v>119.38775510204083</v>
      </c>
      <c r="V100" s="247">
        <f t="shared" si="55"/>
        <v>1187.7551020408164</v>
      </c>
      <c r="W100" s="247">
        <f t="shared" si="55"/>
        <v>0</v>
      </c>
      <c r="X100" s="247">
        <f t="shared" si="55"/>
        <v>0</v>
      </c>
      <c r="Y100" s="247">
        <f t="shared" si="55"/>
        <v>0</v>
      </c>
      <c r="Z100" s="247">
        <f t="shared" si="55"/>
        <v>0</v>
      </c>
      <c r="AA100" s="247">
        <f t="shared" si="55"/>
        <v>0</v>
      </c>
      <c r="AB100" s="247">
        <f t="shared" si="55"/>
        <v>143.87755102040819</v>
      </c>
      <c r="AC100" s="247">
        <f t="shared" si="55"/>
        <v>97.959183673469397</v>
      </c>
      <c r="AD100" s="247">
        <f t="shared" si="55"/>
        <v>410.20408163265313</v>
      </c>
      <c r="AE100" s="247">
        <f t="shared" si="55"/>
        <v>73.469387755102048</v>
      </c>
      <c r="AF100" s="247">
        <f t="shared" si="55"/>
        <v>1120.4081632653063</v>
      </c>
      <c r="AG100" s="247">
        <f t="shared" si="55"/>
        <v>1065.3061224489797</v>
      </c>
      <c r="AH100" s="247">
        <f t="shared" si="55"/>
        <v>1671.4285714285716</v>
      </c>
      <c r="AI100" s="247">
        <f t="shared" si="55"/>
        <v>2228.5714285714289</v>
      </c>
      <c r="AJ100" s="247">
        <f t="shared" si="55"/>
        <v>991.83673469387759</v>
      </c>
      <c r="AK100" s="247">
        <f t="shared" si="55"/>
        <v>535.71428571428578</v>
      </c>
      <c r="AL100" s="247">
        <f t="shared" si="55"/>
        <v>740.8163265306124</v>
      </c>
      <c r="AM100" s="247">
        <f t="shared" si="55"/>
        <v>1760.2040816326532</v>
      </c>
      <c r="AN100" s="247">
        <f t="shared" si="55"/>
        <v>655.10204081632662</v>
      </c>
      <c r="AO100" s="247">
        <f t="shared" si="55"/>
        <v>70.408163265306129</v>
      </c>
      <c r="AP100" s="247">
        <f t="shared" si="55"/>
        <v>21.428571428571431</v>
      </c>
      <c r="AQ100" s="246">
        <f t="shared" si="55"/>
        <v>336.73469387755108</v>
      </c>
      <c r="AR100" s="247">
        <f t="shared" si="55"/>
        <v>495.91836734693879</v>
      </c>
      <c r="AS100" s="246">
        <f t="shared" si="55"/>
        <v>679.59183673469386</v>
      </c>
      <c r="AT100" s="246">
        <f t="shared" si="40"/>
        <v>1301.0204081632655</v>
      </c>
      <c r="AU100" s="246">
        <f t="shared" si="40"/>
        <v>2103.0612244897961</v>
      </c>
      <c r="AV100" s="246">
        <f t="shared" si="40"/>
        <v>1151.0204081632655</v>
      </c>
      <c r="AW100" s="246">
        <f t="shared" si="40"/>
        <v>1083.6734693877552</v>
      </c>
      <c r="AX100" s="246">
        <f t="shared" si="41"/>
        <v>-5.8510638297872504</v>
      </c>
      <c r="AY100" s="247">
        <f t="shared" si="42"/>
        <v>102.28571428571428</v>
      </c>
      <c r="AZ100" s="259"/>
      <c r="BA100" s="311"/>
      <c r="BB100" s="233"/>
      <c r="BC100" s="233"/>
      <c r="BD100" s="233"/>
    </row>
    <row r="101" spans="2:56" ht="25.5" customHeight="1">
      <c r="B101" s="189" t="s">
        <v>40</v>
      </c>
      <c r="C101" s="523">
        <f t="shared" si="38"/>
        <v>4.471928595363571E-2</v>
      </c>
      <c r="D101" s="269">
        <f t="shared" ref="D101:AS101" si="56">D23/$C23*100</f>
        <v>207.03188879803761</v>
      </c>
      <c r="E101" s="247">
        <f t="shared" si="56"/>
        <v>52.739165985282099</v>
      </c>
      <c r="F101" s="247">
        <f t="shared" si="56"/>
        <v>66.966475878986103</v>
      </c>
      <c r="G101" s="247">
        <f t="shared" si="56"/>
        <v>101.30825838103029</v>
      </c>
      <c r="H101" s="247">
        <f t="shared" si="56"/>
        <v>135.89533932951758</v>
      </c>
      <c r="I101" s="247">
        <f t="shared" si="56"/>
        <v>68.683565004088308</v>
      </c>
      <c r="J101" s="247">
        <f t="shared" si="56"/>
        <v>77.26901062959935</v>
      </c>
      <c r="K101" s="247">
        <f t="shared" si="56"/>
        <v>234.26001635322979</v>
      </c>
      <c r="L101" s="247">
        <f t="shared" si="56"/>
        <v>97.628781684382673</v>
      </c>
      <c r="M101" s="247">
        <f t="shared" si="56"/>
        <v>0</v>
      </c>
      <c r="N101" s="247">
        <f t="shared" si="56"/>
        <v>0</v>
      </c>
      <c r="O101" s="247">
        <f t="shared" si="56"/>
        <v>158.21749795584628</v>
      </c>
      <c r="P101" s="247">
        <f t="shared" si="56"/>
        <v>234.26001635322979</v>
      </c>
      <c r="Q101" s="247">
        <f t="shared" si="56"/>
        <v>101.0629599345871</v>
      </c>
      <c r="R101" s="247">
        <f t="shared" si="56"/>
        <v>129.27228127555193</v>
      </c>
      <c r="S101" s="247">
        <f t="shared" si="56"/>
        <v>162.63286999182341</v>
      </c>
      <c r="T101" s="247">
        <f t="shared" si="56"/>
        <v>133.44235486508586</v>
      </c>
      <c r="U101" s="247">
        <f t="shared" si="56"/>
        <v>230.82583810302535</v>
      </c>
      <c r="V101" s="247">
        <f t="shared" si="56"/>
        <v>51.512673753066238</v>
      </c>
      <c r="W101" s="247">
        <f t="shared" si="56"/>
        <v>0</v>
      </c>
      <c r="X101" s="247">
        <f t="shared" si="56"/>
        <v>0</v>
      </c>
      <c r="Y101" s="247">
        <f t="shared" si="56"/>
        <v>0</v>
      </c>
      <c r="Z101" s="247">
        <f t="shared" si="56"/>
        <v>0</v>
      </c>
      <c r="AA101" s="247">
        <f t="shared" si="56"/>
        <v>0</v>
      </c>
      <c r="AB101" s="247">
        <f t="shared" si="56"/>
        <v>94.685200327064607</v>
      </c>
      <c r="AC101" s="247">
        <f t="shared" si="56"/>
        <v>164.84055600981193</v>
      </c>
      <c r="AD101" s="247">
        <f t="shared" si="56"/>
        <v>66.966475878986103</v>
      </c>
      <c r="AE101" s="247">
        <f t="shared" si="56"/>
        <v>164.34995911692562</v>
      </c>
      <c r="AF101" s="247">
        <f t="shared" si="56"/>
        <v>221.25919869174163</v>
      </c>
      <c r="AG101" s="247">
        <f t="shared" si="56"/>
        <v>48.07849550286182</v>
      </c>
      <c r="AH101" s="247">
        <f t="shared" si="56"/>
        <v>54.456255110384298</v>
      </c>
      <c r="AI101" s="247">
        <f t="shared" si="56"/>
        <v>59.852820932134101</v>
      </c>
      <c r="AJ101" s="247">
        <f t="shared" si="56"/>
        <v>157.48160261651677</v>
      </c>
      <c r="AK101" s="247">
        <f t="shared" si="56"/>
        <v>105.72363041700737</v>
      </c>
      <c r="AL101" s="247">
        <f t="shared" si="56"/>
        <v>75.797219950940317</v>
      </c>
      <c r="AM101" s="247">
        <f t="shared" si="56"/>
        <v>101.79885527391662</v>
      </c>
      <c r="AN101" s="247">
        <f t="shared" si="56"/>
        <v>64.268192968111208</v>
      </c>
      <c r="AO101" s="247">
        <f t="shared" si="56"/>
        <v>68.43826655764515</v>
      </c>
      <c r="AP101" s="247">
        <f t="shared" si="56"/>
        <v>217.82502044153725</v>
      </c>
      <c r="AQ101" s="246">
        <f t="shared" si="56"/>
        <v>289.69746524938682</v>
      </c>
      <c r="AR101" s="246">
        <f t="shared" si="56"/>
        <v>167.53883892068683</v>
      </c>
      <c r="AS101" s="246">
        <f t="shared" si="56"/>
        <v>89.043336058871631</v>
      </c>
      <c r="AT101" s="246">
        <f t="shared" si="40"/>
        <v>77.759607522485695</v>
      </c>
      <c r="AU101" s="246">
        <f t="shared" si="40"/>
        <v>115.53556827473427</v>
      </c>
      <c r="AV101" s="246">
        <f t="shared" si="40"/>
        <v>86.835650040883081</v>
      </c>
      <c r="AW101" s="246">
        <f t="shared" si="40"/>
        <v>51.512673753066231</v>
      </c>
      <c r="AX101" s="246">
        <f t="shared" si="41"/>
        <v>-40.677966101694921</v>
      </c>
      <c r="AY101" s="247">
        <f t="shared" si="42"/>
        <v>-51.276102088167058</v>
      </c>
      <c r="AZ101" s="259"/>
      <c r="BA101" s="311"/>
      <c r="BB101" s="233"/>
      <c r="BC101" s="233"/>
      <c r="BD101" s="233"/>
    </row>
    <row r="102" spans="2:56" ht="25.5" customHeight="1">
      <c r="B102" s="189" t="s">
        <v>41</v>
      </c>
      <c r="C102" s="523">
        <f t="shared" si="38"/>
        <v>2.5611987262995482E-2</v>
      </c>
      <c r="D102" s="269">
        <f t="shared" ref="D102:AS102" si="57">D24/$C24*100</f>
        <v>78.704607787652463</v>
      </c>
      <c r="E102" s="247">
        <f t="shared" si="57"/>
        <v>4.7908387388339877</v>
      </c>
      <c r="F102" s="247">
        <f t="shared" si="57"/>
        <v>494.32997705123984</v>
      </c>
      <c r="G102" s="247">
        <f t="shared" si="57"/>
        <v>0</v>
      </c>
      <c r="H102" s="247">
        <f t="shared" si="57"/>
        <v>83.771888908928474</v>
      </c>
      <c r="I102" s="247">
        <f t="shared" si="57"/>
        <v>64.941156227779402</v>
      </c>
      <c r="J102" s="247">
        <f t="shared" si="57"/>
        <v>42.159380901739084</v>
      </c>
      <c r="K102" s="247">
        <f t="shared" si="57"/>
        <v>245.31644205075261</v>
      </c>
      <c r="L102" s="247">
        <f t="shared" si="57"/>
        <v>167.82996357635801</v>
      </c>
      <c r="M102" s="247">
        <f t="shared" si="57"/>
        <v>0</v>
      </c>
      <c r="N102" s="247">
        <f t="shared" si="57"/>
        <v>0</v>
      </c>
      <c r="O102" s="247">
        <f t="shared" si="57"/>
        <v>18.155744756716192</v>
      </c>
      <c r="P102" s="247">
        <f t="shared" si="57"/>
        <v>245.31644205075261</v>
      </c>
      <c r="Q102" s="247">
        <f t="shared" si="57"/>
        <v>2.4497335082994911</v>
      </c>
      <c r="R102" s="247">
        <f t="shared" si="57"/>
        <v>63.239071352608647</v>
      </c>
      <c r="S102" s="247">
        <f t="shared" si="57"/>
        <v>0</v>
      </c>
      <c r="T102" s="247">
        <f t="shared" si="57"/>
        <v>42.159380901739084</v>
      </c>
      <c r="U102" s="247">
        <f t="shared" si="57"/>
        <v>178.83800911731234</v>
      </c>
      <c r="V102" s="247">
        <f t="shared" si="57"/>
        <v>296.52783392311858</v>
      </c>
      <c r="W102" s="247">
        <f t="shared" si="57"/>
        <v>0</v>
      </c>
      <c r="X102" s="247">
        <f t="shared" si="57"/>
        <v>0</v>
      </c>
      <c r="Y102" s="247">
        <f t="shared" si="57"/>
        <v>0</v>
      </c>
      <c r="Z102" s="247">
        <f t="shared" si="57"/>
        <v>0</v>
      </c>
      <c r="AA102" s="247">
        <f t="shared" si="57"/>
        <v>0</v>
      </c>
      <c r="AB102" s="247">
        <f t="shared" si="57"/>
        <v>143.56335993067691</v>
      </c>
      <c r="AC102" s="247">
        <f t="shared" si="57"/>
        <v>27.786864685237127</v>
      </c>
      <c r="AD102" s="247">
        <f t="shared" si="57"/>
        <v>33.927679272936842</v>
      </c>
      <c r="AE102" s="247">
        <f t="shared" si="57"/>
        <v>3.8326709910671899</v>
      </c>
      <c r="AF102" s="247">
        <f t="shared" si="57"/>
        <v>119.08551159980018</v>
      </c>
      <c r="AG102" s="247">
        <f t="shared" si="57"/>
        <v>102.47751249536154</v>
      </c>
      <c r="AH102" s="247">
        <f t="shared" si="57"/>
        <v>335.39768522261545</v>
      </c>
      <c r="AI102" s="247">
        <f t="shared" si="57"/>
        <v>998.49558127530452</v>
      </c>
      <c r="AJ102" s="247">
        <f t="shared" si="57"/>
        <v>414.37500388698521</v>
      </c>
      <c r="AK102" s="247">
        <f t="shared" si="57"/>
        <v>487.66996490311561</v>
      </c>
      <c r="AL102" s="247">
        <f t="shared" si="57"/>
        <v>827.74685465163293</v>
      </c>
      <c r="AM102" s="247">
        <f t="shared" si="57"/>
        <v>374.57020309756439</v>
      </c>
      <c r="AN102" s="247">
        <f t="shared" si="57"/>
        <v>54.615561622707467</v>
      </c>
      <c r="AO102" s="247">
        <f t="shared" si="57"/>
        <v>0</v>
      </c>
      <c r="AP102" s="247">
        <f t="shared" si="57"/>
        <v>11.498012973201572</v>
      </c>
      <c r="AQ102" s="246">
        <f t="shared" si="57"/>
        <v>38.069754280348029</v>
      </c>
      <c r="AR102" s="247">
        <f t="shared" si="57"/>
        <v>51.658654294652131</v>
      </c>
      <c r="AS102" s="246">
        <f t="shared" si="57"/>
        <v>146.89258860771304</v>
      </c>
      <c r="AT102" s="246">
        <f t="shared" si="40"/>
        <v>412.74485414995263</v>
      </c>
      <c r="AU102" s="246">
        <f t="shared" si="40"/>
        <v>777.55654785967056</v>
      </c>
      <c r="AV102" s="246">
        <f t="shared" si="40"/>
        <v>713.93468621146451</v>
      </c>
      <c r="AW102" s="246">
        <f t="shared" si="40"/>
        <v>390.79313154179607</v>
      </c>
      <c r="AX102" s="246">
        <f t="shared" si="41"/>
        <v>-45.262061209609762</v>
      </c>
      <c r="AY102" s="247">
        <f t="shared" si="42"/>
        <v>-19.865245008592197</v>
      </c>
      <c r="AZ102" s="259"/>
      <c r="BA102" s="311"/>
      <c r="BB102" s="233"/>
      <c r="BC102" s="233"/>
      <c r="BD102" s="233"/>
    </row>
    <row r="103" spans="2:56" ht="25.5" customHeight="1">
      <c r="B103" s="189" t="s">
        <v>43</v>
      </c>
      <c r="C103" s="523">
        <f t="shared" si="38"/>
        <v>6.5030758396513608E-2</v>
      </c>
      <c r="D103" s="269">
        <f t="shared" ref="D103:AS103" si="58">D25/$C25*100</f>
        <v>26.422777076087783</v>
      </c>
      <c r="E103" s="247">
        <f t="shared" si="58"/>
        <v>89.364423853120229</v>
      </c>
      <c r="F103" s="247">
        <f t="shared" si="58"/>
        <v>0</v>
      </c>
      <c r="G103" s="247">
        <f t="shared" si="58"/>
        <v>1.8607589490202665</v>
      </c>
      <c r="H103" s="247">
        <f t="shared" si="58"/>
        <v>27.539232445499945</v>
      </c>
      <c r="I103" s="247">
        <f t="shared" si="58"/>
        <v>14.401920659876813</v>
      </c>
      <c r="J103" s="247">
        <f t="shared" si="58"/>
        <v>66.235000374205583</v>
      </c>
      <c r="K103" s="247">
        <f t="shared" si="58"/>
        <v>523.22960947567765</v>
      </c>
      <c r="L103" s="247">
        <f t="shared" si="58"/>
        <v>386.55204321754138</v>
      </c>
      <c r="M103" s="247">
        <f t="shared" si="58"/>
        <v>0</v>
      </c>
      <c r="N103" s="247">
        <f t="shared" si="58"/>
        <v>0</v>
      </c>
      <c r="O103" s="247">
        <f t="shared" si="58"/>
        <v>64.394233948970481</v>
      </c>
      <c r="P103" s="247">
        <f t="shared" si="58"/>
        <v>356.16963012343751</v>
      </c>
      <c r="Q103" s="247">
        <f t="shared" si="58"/>
        <v>28.915840462234886</v>
      </c>
      <c r="R103" s="247">
        <f t="shared" si="58"/>
        <v>28.218292194748955</v>
      </c>
      <c r="S103" s="247">
        <f t="shared" si="58"/>
        <v>0</v>
      </c>
      <c r="T103" s="247">
        <f t="shared" si="58"/>
        <v>0</v>
      </c>
      <c r="U103" s="247">
        <f t="shared" si="58"/>
        <v>18.607589490202663</v>
      </c>
      <c r="V103" s="247">
        <f t="shared" si="58"/>
        <v>96.251761699836635</v>
      </c>
      <c r="W103" s="247">
        <f t="shared" si="58"/>
        <v>0</v>
      </c>
      <c r="X103" s="247">
        <f t="shared" si="58"/>
        <v>0</v>
      </c>
      <c r="Y103" s="247">
        <f t="shared" si="58"/>
        <v>0</v>
      </c>
      <c r="Z103" s="247">
        <f t="shared" si="58"/>
        <v>0</v>
      </c>
      <c r="AA103" s="247">
        <f t="shared" si="58"/>
        <v>0</v>
      </c>
      <c r="AB103" s="247">
        <f t="shared" si="58"/>
        <v>187.28747986657942</v>
      </c>
      <c r="AC103" s="247">
        <f t="shared" si="58"/>
        <v>37.587330770209384</v>
      </c>
      <c r="AD103" s="247">
        <f t="shared" si="58"/>
        <v>0</v>
      </c>
      <c r="AE103" s="247">
        <f t="shared" si="58"/>
        <v>2.4189866337263459</v>
      </c>
      <c r="AF103" s="247">
        <f t="shared" si="58"/>
        <v>15.258223381966186</v>
      </c>
      <c r="AG103" s="247">
        <f t="shared" si="58"/>
        <v>15.63037517177024</v>
      </c>
      <c r="AH103" s="247">
        <f t="shared" si="58"/>
        <v>195.08801608934903</v>
      </c>
      <c r="AI103" s="247">
        <f t="shared" si="58"/>
        <v>622.71779353421107</v>
      </c>
      <c r="AJ103" s="247">
        <f t="shared" si="58"/>
        <v>345.170724076787</v>
      </c>
      <c r="AK103" s="247">
        <f t="shared" si="58"/>
        <v>515.74476436586576</v>
      </c>
      <c r="AL103" s="247">
        <f t="shared" si="58"/>
        <v>953.95318655323604</v>
      </c>
      <c r="AM103" s="247">
        <f t="shared" si="58"/>
        <v>311.72470866588446</v>
      </c>
      <c r="AN103" s="247">
        <f t="shared" si="58"/>
        <v>175.92573248141332</v>
      </c>
      <c r="AO103" s="247">
        <f t="shared" si="58"/>
        <v>89.364423853120229</v>
      </c>
      <c r="AP103" s="247">
        <f t="shared" si="58"/>
        <v>0</v>
      </c>
      <c r="AQ103" s="247">
        <f t="shared" si="58"/>
        <v>5.3962009521587726</v>
      </c>
      <c r="AR103" s="246">
        <f t="shared" si="58"/>
        <v>7.0648781866365358</v>
      </c>
      <c r="AS103" s="246">
        <f t="shared" si="58"/>
        <v>73.256736445371274</v>
      </c>
      <c r="AT103" s="246">
        <f t="shared" si="40"/>
        <v>145.71939454114948</v>
      </c>
      <c r="AU103" s="246">
        <f t="shared" si="40"/>
        <v>742.5938261506235</v>
      </c>
      <c r="AV103" s="246">
        <f t="shared" si="40"/>
        <v>554.96008882139847</v>
      </c>
      <c r="AW103" s="246">
        <f t="shared" si="40"/>
        <v>838.37691817184327</v>
      </c>
      <c r="AX103" s="246">
        <f t="shared" si="41"/>
        <v>51.069767909320092</v>
      </c>
      <c r="AY103" s="247">
        <f t="shared" si="42"/>
        <v>62.556554345766358</v>
      </c>
      <c r="AZ103" s="233"/>
      <c r="BA103" s="311"/>
      <c r="BB103" s="233"/>
      <c r="BC103" s="233"/>
      <c r="BD103" s="233"/>
    </row>
    <row r="104" spans="2:56" ht="25.5" customHeight="1">
      <c r="B104" s="189" t="s">
        <v>48</v>
      </c>
      <c r="C104" s="523">
        <f t="shared" si="38"/>
        <v>4.0536036512268406E-2</v>
      </c>
      <c r="D104" s="269">
        <f t="shared" ref="D104:AS104" si="59">D26/$C26*100</f>
        <v>305.78718108276286</v>
      </c>
      <c r="E104" s="247">
        <f t="shared" si="59"/>
        <v>61.978842563783445</v>
      </c>
      <c r="F104" s="247">
        <f t="shared" si="59"/>
        <v>182.57622899813316</v>
      </c>
      <c r="G104" s="247">
        <f t="shared" si="59"/>
        <v>165.40136901057866</v>
      </c>
      <c r="H104" s="247">
        <f t="shared" si="59"/>
        <v>160.92097075295581</v>
      </c>
      <c r="I104" s="247">
        <f t="shared" si="59"/>
        <v>24.268823895457373</v>
      </c>
      <c r="J104" s="247">
        <f t="shared" si="59"/>
        <v>52.644679527069059</v>
      </c>
      <c r="K104" s="247">
        <f t="shared" si="59"/>
        <v>113.1300560049782</v>
      </c>
      <c r="L104" s="247">
        <f t="shared" si="59"/>
        <v>31.362787803360291</v>
      </c>
      <c r="M104" s="247">
        <f t="shared" si="59"/>
        <v>0</v>
      </c>
      <c r="N104" s="247">
        <f t="shared" si="59"/>
        <v>0</v>
      </c>
      <c r="O104" s="247">
        <f t="shared" si="59"/>
        <v>101.92906036092097</v>
      </c>
      <c r="P104" s="247">
        <f t="shared" si="59"/>
        <v>126.57125077784693</v>
      </c>
      <c r="Q104" s="247">
        <f t="shared" si="59"/>
        <v>72.433105164903537</v>
      </c>
      <c r="R104" s="247">
        <f t="shared" si="59"/>
        <v>148.22650902302425</v>
      </c>
      <c r="S104" s="247">
        <f t="shared" si="59"/>
        <v>39.203484754200367</v>
      </c>
      <c r="T104" s="247">
        <f t="shared" si="59"/>
        <v>410.70317361543243</v>
      </c>
      <c r="U104" s="247">
        <f t="shared" si="59"/>
        <v>669.44617299315496</v>
      </c>
      <c r="V104" s="247">
        <f t="shared" si="59"/>
        <v>225.88674548848786</v>
      </c>
      <c r="W104" s="247">
        <f t="shared" si="59"/>
        <v>0</v>
      </c>
      <c r="X104" s="247">
        <f t="shared" si="59"/>
        <v>0</v>
      </c>
      <c r="Y104" s="247">
        <f t="shared" si="59"/>
        <v>0</v>
      </c>
      <c r="Z104" s="247">
        <f t="shared" si="59"/>
        <v>0</v>
      </c>
      <c r="AA104" s="247">
        <f t="shared" si="59"/>
        <v>0</v>
      </c>
      <c r="AB104" s="247">
        <f t="shared" si="59"/>
        <v>73.179838207840689</v>
      </c>
      <c r="AC104" s="247">
        <f t="shared" si="59"/>
        <v>185.56316116988174</v>
      </c>
      <c r="AD104" s="247">
        <f t="shared" si="59"/>
        <v>182.57622899813316</v>
      </c>
      <c r="AE104" s="247">
        <f t="shared" si="59"/>
        <v>281.51835718730547</v>
      </c>
      <c r="AF104" s="247">
        <f t="shared" si="59"/>
        <v>264.71686372121962</v>
      </c>
      <c r="AG104" s="247">
        <f t="shared" si="59"/>
        <v>149.34660858742998</v>
      </c>
      <c r="AH104" s="247">
        <f t="shared" si="59"/>
        <v>243.0616054760423</v>
      </c>
      <c r="AI104" s="247">
        <f t="shared" si="59"/>
        <v>412.19663970130671</v>
      </c>
      <c r="AJ104" s="247">
        <f t="shared" si="59"/>
        <v>130.30491599253264</v>
      </c>
      <c r="AK104" s="247">
        <f t="shared" si="59"/>
        <v>369.6328562538892</v>
      </c>
      <c r="AL104" s="247">
        <f t="shared" si="59"/>
        <v>92.594897324206585</v>
      </c>
      <c r="AM104" s="247">
        <f t="shared" si="59"/>
        <v>473.0553827006845</v>
      </c>
      <c r="AN104" s="247">
        <f t="shared" si="59"/>
        <v>276.66459240821405</v>
      </c>
      <c r="AO104" s="247">
        <f t="shared" si="59"/>
        <v>85.500933416303667</v>
      </c>
      <c r="AP104" s="247">
        <f t="shared" si="59"/>
        <v>215.80584940883631</v>
      </c>
      <c r="AQ104" s="246">
        <f t="shared" si="59"/>
        <v>372.9931549471064</v>
      </c>
      <c r="AR104" s="247">
        <f t="shared" si="59"/>
        <v>377.84691972619788</v>
      </c>
      <c r="AS104" s="246">
        <f t="shared" si="59"/>
        <v>342.75046670815175</v>
      </c>
      <c r="AT104" s="246">
        <f t="shared" si="40"/>
        <v>369.25948973242066</v>
      </c>
      <c r="AU104" s="246">
        <f t="shared" si="40"/>
        <v>473.0553827006845</v>
      </c>
      <c r="AV104" s="246">
        <f t="shared" si="40"/>
        <v>238.95457373988796</v>
      </c>
      <c r="AW104" s="246">
        <f t="shared" si="40"/>
        <v>150.09334163036712</v>
      </c>
      <c r="AX104" s="246">
        <f t="shared" si="41"/>
        <v>-37.187500000000007</v>
      </c>
      <c r="AY104" s="247">
        <f t="shared" si="42"/>
        <v>-59.393939393939398</v>
      </c>
      <c r="AZ104" s="233"/>
      <c r="BA104" s="311"/>
      <c r="BB104" s="233"/>
      <c r="BC104" s="233"/>
      <c r="BD104" s="233"/>
    </row>
    <row r="105" spans="2:56" ht="25.5" customHeight="1">
      <c r="B105" s="248" t="s">
        <v>49</v>
      </c>
      <c r="C105" s="523">
        <f t="shared" si="38"/>
        <v>4.5200417876962815E-2</v>
      </c>
      <c r="D105" s="269">
        <f t="shared" ref="D105:AS105" si="60">D27/$C27*100</f>
        <v>102.30096640589048</v>
      </c>
      <c r="E105" s="247">
        <f t="shared" si="60"/>
        <v>50.529222273354812</v>
      </c>
      <c r="F105" s="247">
        <f t="shared" si="60"/>
        <v>15.462494247583985</v>
      </c>
      <c r="G105" s="247">
        <f t="shared" si="60"/>
        <v>24.988495167970548</v>
      </c>
      <c r="H105" s="247">
        <f t="shared" si="60"/>
        <v>29.682466635987115</v>
      </c>
      <c r="I105" s="247">
        <f t="shared" si="60"/>
        <v>147.03175333640129</v>
      </c>
      <c r="J105" s="247">
        <f t="shared" si="60"/>
        <v>86.562356189599626</v>
      </c>
      <c r="K105" s="247">
        <f t="shared" si="60"/>
        <v>356.051541647492</v>
      </c>
      <c r="L105" s="247">
        <f t="shared" si="60"/>
        <v>186.24022089277497</v>
      </c>
      <c r="M105" s="247">
        <f t="shared" si="60"/>
        <v>0</v>
      </c>
      <c r="N105" s="247">
        <f t="shared" si="60"/>
        <v>0</v>
      </c>
      <c r="O105" s="247">
        <f t="shared" si="60"/>
        <v>201.15048320294525</v>
      </c>
      <c r="P105" s="247">
        <f t="shared" si="60"/>
        <v>356.051541647492</v>
      </c>
      <c r="Q105" s="247">
        <f t="shared" si="60"/>
        <v>21.122871606074554</v>
      </c>
      <c r="R105" s="247">
        <f t="shared" si="60"/>
        <v>27.887712839392542</v>
      </c>
      <c r="S105" s="247">
        <f t="shared" si="60"/>
        <v>62.540266912103078</v>
      </c>
      <c r="T105" s="247">
        <f t="shared" si="60"/>
        <v>51.081454210768527</v>
      </c>
      <c r="U105" s="247">
        <f t="shared" si="60"/>
        <v>105.20018407731246</v>
      </c>
      <c r="V105" s="247">
        <f t="shared" si="60"/>
        <v>46.111366774045095</v>
      </c>
      <c r="W105" s="247">
        <f t="shared" si="60"/>
        <v>0</v>
      </c>
      <c r="X105" s="247">
        <f t="shared" si="60"/>
        <v>0</v>
      </c>
      <c r="Y105" s="247">
        <f t="shared" si="60"/>
        <v>0</v>
      </c>
      <c r="Z105" s="247">
        <f t="shared" si="60"/>
        <v>0</v>
      </c>
      <c r="AA105" s="247">
        <f t="shared" si="60"/>
        <v>0</v>
      </c>
      <c r="AB105" s="247">
        <f t="shared" si="60"/>
        <v>305.79843534284402</v>
      </c>
      <c r="AC105" s="247">
        <f t="shared" si="60"/>
        <v>140.54302807179016</v>
      </c>
      <c r="AD105" s="247">
        <f t="shared" si="60"/>
        <v>15.462494247583985</v>
      </c>
      <c r="AE105" s="247">
        <f t="shared" si="60"/>
        <v>98.297284859641053</v>
      </c>
      <c r="AF105" s="247">
        <f t="shared" si="60"/>
        <v>306.48872526461111</v>
      </c>
      <c r="AG105" s="247">
        <f t="shared" si="60"/>
        <v>160.14726184997699</v>
      </c>
      <c r="AH105" s="247">
        <f t="shared" si="60"/>
        <v>349.42475839852739</v>
      </c>
      <c r="AI105" s="247">
        <f t="shared" si="60"/>
        <v>285.64196962724344</v>
      </c>
      <c r="AJ105" s="247">
        <f t="shared" si="60"/>
        <v>213.5757017947538</v>
      </c>
      <c r="AK105" s="247">
        <f t="shared" si="60"/>
        <v>50.115048320294534</v>
      </c>
      <c r="AL105" s="247">
        <f t="shared" si="60"/>
        <v>41.417395306028538</v>
      </c>
      <c r="AM105" s="247">
        <f t="shared" si="60"/>
        <v>399.53980671882186</v>
      </c>
      <c r="AN105" s="247">
        <f t="shared" si="60"/>
        <v>130.87896916705017</v>
      </c>
      <c r="AO105" s="247">
        <f t="shared" si="60"/>
        <v>50.529222273354812</v>
      </c>
      <c r="AP105" s="247">
        <f t="shared" si="60"/>
        <v>229.31431201104465</v>
      </c>
      <c r="AQ105" s="251">
        <f t="shared" si="60"/>
        <v>98.711458812701352</v>
      </c>
      <c r="AR105" s="246">
        <f t="shared" si="60"/>
        <v>178.92314772204324</v>
      </c>
      <c r="AS105" s="246">
        <f t="shared" si="60"/>
        <v>235.25080533824206</v>
      </c>
      <c r="AT105" s="250">
        <f t="shared" si="40"/>
        <v>331.61527841693515</v>
      </c>
      <c r="AU105" s="250">
        <f t="shared" si="40"/>
        <v>484.16935112747359</v>
      </c>
      <c r="AV105" s="250">
        <f t="shared" si="40"/>
        <v>570.45559134836628</v>
      </c>
      <c r="AW105" s="250">
        <f t="shared" si="40"/>
        <v>178.68248687187287</v>
      </c>
      <c r="AX105" s="246">
        <f t="shared" si="41"/>
        <v>-68.677231044483719</v>
      </c>
      <c r="AY105" s="247">
        <f t="shared" si="42"/>
        <v>256.54457665067002</v>
      </c>
      <c r="AZ105" s="233"/>
      <c r="BA105" s="311"/>
      <c r="BB105" s="233"/>
      <c r="BC105" s="233"/>
      <c r="BD105" s="233"/>
    </row>
    <row r="106" spans="2:56" ht="25.5" customHeight="1">
      <c r="B106" s="629"/>
      <c r="C106" s="524">
        <f>SUM(C86:C105)</f>
        <v>0.99999999999999978</v>
      </c>
      <c r="D106" s="644">
        <f>SUMPRODUCT($C$86:$C$105,D86:D105)</f>
        <v>107.79124835161174</v>
      </c>
      <c r="E106" s="630">
        <f t="shared" ref="E106:O106" si="61">SUMPRODUCT($C$86:$C$105,E86:E105)</f>
        <v>60.128603047335766</v>
      </c>
      <c r="F106" s="630">
        <f t="shared" si="61"/>
        <v>129.9487005057247</v>
      </c>
      <c r="G106" s="630">
        <f t="shared" si="61"/>
        <v>87.856744598008746</v>
      </c>
      <c r="H106" s="630">
        <f t="shared" si="61"/>
        <v>106.16313256546944</v>
      </c>
      <c r="I106" s="630">
        <f t="shared" si="61"/>
        <v>76.266040082584439</v>
      </c>
      <c r="J106" s="630">
        <f t="shared" si="61"/>
        <v>171.13781395088625</v>
      </c>
      <c r="K106" s="630">
        <f t="shared" si="61"/>
        <v>226.65266433351863</v>
      </c>
      <c r="L106" s="630">
        <f t="shared" si="61"/>
        <v>119.87977795115427</v>
      </c>
      <c r="M106" s="630">
        <f t="shared" si="61"/>
        <v>0</v>
      </c>
      <c r="N106" s="630">
        <f t="shared" si="61"/>
        <v>0</v>
      </c>
      <c r="O106" s="630">
        <f t="shared" si="61"/>
        <v>114.17527461370554</v>
      </c>
      <c r="P106" s="630">
        <f t="shared" ref="P106:AA106" si="62">SUMPRODUCT($C$86:$C$105,P86:P105)</f>
        <v>448.92541467854807</v>
      </c>
      <c r="Q106" s="630">
        <f t="shared" si="62"/>
        <v>106.332996501208</v>
      </c>
      <c r="R106" s="630">
        <f t="shared" si="62"/>
        <v>276.5723596543059</v>
      </c>
      <c r="S106" s="630">
        <f t="shared" si="62"/>
        <v>87.921015203649063</v>
      </c>
      <c r="T106" s="630">
        <f t="shared" si="62"/>
        <v>118.59246320873592</v>
      </c>
      <c r="U106" s="630">
        <f t="shared" si="62"/>
        <v>276.31749857940815</v>
      </c>
      <c r="V106" s="630">
        <f t="shared" si="62"/>
        <v>144.83361713227941</v>
      </c>
      <c r="W106" s="630">
        <f t="shared" si="62"/>
        <v>0</v>
      </c>
      <c r="X106" s="630">
        <f t="shared" si="62"/>
        <v>0</v>
      </c>
      <c r="Y106" s="630">
        <f t="shared" si="62"/>
        <v>0</v>
      </c>
      <c r="Z106" s="630">
        <f t="shared" si="62"/>
        <v>0</v>
      </c>
      <c r="AA106" s="630">
        <f t="shared" si="62"/>
        <v>0</v>
      </c>
      <c r="AB106" s="630">
        <f t="shared" ref="AB106:AR106" si="63">SUMPRODUCT($C$86:$C$105,AB86:AB105)</f>
        <v>105.22200469521231</v>
      </c>
      <c r="AC106" s="630">
        <f t="shared" si="63"/>
        <v>170.50520465169524</v>
      </c>
      <c r="AD106" s="630">
        <f t="shared" si="63"/>
        <v>95.724438780967645</v>
      </c>
      <c r="AE106" s="630">
        <f t="shared" si="63"/>
        <v>168.00691004034164</v>
      </c>
      <c r="AF106" s="630">
        <f t="shared" si="63"/>
        <v>269.72085637414818</v>
      </c>
      <c r="AG106" s="630">
        <f t="shared" si="63"/>
        <v>207.16554594917628</v>
      </c>
      <c r="AH106" s="630">
        <f t="shared" si="63"/>
        <v>223.34646314297964</v>
      </c>
      <c r="AI106" s="630">
        <f t="shared" si="63"/>
        <v>333.40839268169077</v>
      </c>
      <c r="AJ106" s="630">
        <f t="shared" si="63"/>
        <v>242.63959160169563</v>
      </c>
      <c r="AK106" s="630">
        <f t="shared" si="63"/>
        <v>217.90644754735047</v>
      </c>
      <c r="AL106" s="630">
        <f t="shared" si="63"/>
        <v>235.8237522263772</v>
      </c>
      <c r="AM106" s="630">
        <f t="shared" si="63"/>
        <v>290.48764991302795</v>
      </c>
      <c r="AN106" s="630">
        <f t="shared" si="63"/>
        <v>168.14838215664005</v>
      </c>
      <c r="AO106" s="630">
        <f t="shared" si="63"/>
        <v>49.296972640750589</v>
      </c>
      <c r="AP106" s="630">
        <f t="shared" si="63"/>
        <v>220.18656389549787</v>
      </c>
      <c r="AQ106" s="630">
        <f t="shared" si="63"/>
        <v>214.96314938727465</v>
      </c>
      <c r="AR106" s="630">
        <f t="shared" si="63"/>
        <v>241.79545967525314</v>
      </c>
      <c r="AS106" s="630">
        <f t="shared" ref="AS106" si="64">SUMPRODUCT($C$86:$C$105,AS86:AS105)</f>
        <v>234.44454315220145</v>
      </c>
      <c r="AT106" s="251">
        <f>SUMPRODUCT($C$86:$C$105,AT86:AT105)</f>
        <v>283.39812718927959</v>
      </c>
      <c r="AU106" s="251">
        <f>SUMPRODUCT($C$86:$C$105,AU86:AU105)</f>
        <v>367.61582104304978</v>
      </c>
      <c r="AV106" s="251">
        <f>SUMPRODUCT($C$86:$C$105,AV86:AV105)</f>
        <v>324.42451385269482</v>
      </c>
      <c r="AW106" s="250">
        <f>SUMPRODUCT($C$86:$C$105,AW86:AW105)</f>
        <v>300.24861164463482</v>
      </c>
      <c r="AX106" s="645">
        <f>AW106/AV106*100-100</f>
        <v>-7.4519344795988758</v>
      </c>
      <c r="AY106" s="630">
        <f t="shared" si="42"/>
        <v>37.787851173789448</v>
      </c>
      <c r="AZ106" s="244"/>
      <c r="BA106" s="311"/>
      <c r="BB106" s="233"/>
      <c r="BC106" s="233"/>
      <c r="BD106" s="233"/>
    </row>
    <row r="107" spans="2:56">
      <c r="B107" s="619"/>
      <c r="C107" s="235"/>
      <c r="D107" s="235"/>
      <c r="E107" s="235"/>
      <c r="F107" s="235"/>
      <c r="G107" s="235"/>
      <c r="H107" s="235"/>
      <c r="I107" s="235"/>
      <c r="J107" s="235"/>
      <c r="K107" s="235"/>
      <c r="L107" s="235"/>
      <c r="M107" s="235"/>
      <c r="N107" s="235"/>
      <c r="O107" s="235"/>
      <c r="P107" s="235"/>
      <c r="Q107" s="235"/>
      <c r="R107" s="235"/>
      <c r="S107" s="235"/>
      <c r="T107" s="235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511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64"/>
      <c r="AY107" s="232"/>
      <c r="AZ107" s="232"/>
      <c r="BA107" s="311"/>
      <c r="BB107" s="233"/>
      <c r="BC107" s="233"/>
      <c r="BD107" s="233"/>
    </row>
    <row r="108" spans="2:56">
      <c r="B108" s="232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  <c r="AA108" s="234"/>
      <c r="AB108" s="234"/>
      <c r="AC108" s="234"/>
      <c r="AD108" s="234"/>
      <c r="AE108" s="234"/>
      <c r="AF108" s="234"/>
      <c r="AG108" s="234"/>
      <c r="AH108" s="234"/>
      <c r="AI108" s="234"/>
      <c r="AJ108" s="234"/>
      <c r="AK108" s="234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3"/>
      <c r="AZ108" s="233"/>
      <c r="BA108" s="311"/>
      <c r="BB108" s="233"/>
      <c r="BC108" s="233"/>
      <c r="BD108" s="233"/>
    </row>
    <row r="109" spans="2:56">
      <c r="B109" s="232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  <c r="Y109" s="234"/>
      <c r="Z109" s="234"/>
      <c r="AA109" s="234"/>
      <c r="AB109" s="234"/>
      <c r="AC109" s="234"/>
      <c r="AD109" s="234"/>
      <c r="AE109" s="234"/>
      <c r="AF109" s="234"/>
      <c r="AG109" s="234"/>
      <c r="AH109" s="234"/>
      <c r="AI109" s="234"/>
      <c r="AJ109" s="234"/>
      <c r="AK109" s="234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3"/>
      <c r="AZ109" s="233"/>
      <c r="BA109" s="311"/>
      <c r="BB109" s="233"/>
      <c r="BC109" s="233"/>
      <c r="BD109" s="233"/>
    </row>
    <row r="110" spans="2:56" ht="18.5">
      <c r="B110" s="614" t="s">
        <v>218</v>
      </c>
      <c r="C110" s="234"/>
      <c r="D110" s="234"/>
      <c r="E110" s="234"/>
      <c r="F110" s="252"/>
      <c r="G110" s="234"/>
      <c r="H110" s="234"/>
      <c r="I110" s="234"/>
      <c r="J110" s="234"/>
      <c r="K110" s="234"/>
      <c r="L110" s="234"/>
      <c r="M110" s="234"/>
      <c r="N110" s="234"/>
      <c r="O110" s="234"/>
      <c r="P110" s="234"/>
      <c r="Q110" s="234"/>
      <c r="R110" s="252"/>
      <c r="S110" s="234"/>
      <c r="T110" s="234"/>
      <c r="U110" s="234"/>
      <c r="V110" s="234"/>
      <c r="W110" s="234"/>
      <c r="X110" s="234"/>
      <c r="Y110" s="234"/>
      <c r="Z110" s="234"/>
      <c r="AA110" s="234"/>
      <c r="AB110" s="234"/>
      <c r="AC110" s="234"/>
      <c r="AD110" s="252"/>
      <c r="AE110" s="234"/>
      <c r="AF110" s="234"/>
      <c r="AG110" s="234"/>
      <c r="AH110" s="234"/>
      <c r="AI110" s="234"/>
      <c r="AJ110" s="234"/>
      <c r="AK110" s="234"/>
      <c r="AL110" s="234"/>
      <c r="AM110" s="234"/>
      <c r="AN110" s="234"/>
      <c r="AO110" s="234"/>
      <c r="AP110" s="252"/>
      <c r="AQ110" s="252"/>
      <c r="AR110" s="252"/>
      <c r="AS110" s="252"/>
      <c r="AT110" s="252"/>
      <c r="AU110" s="252"/>
      <c r="AV110" s="252"/>
      <c r="AW110" s="252"/>
      <c r="AX110" s="234"/>
      <c r="AY110" s="233"/>
      <c r="AZ110" s="233"/>
      <c r="BA110" s="311"/>
      <c r="BB110" s="233"/>
      <c r="BC110" s="233"/>
      <c r="BD110" s="233"/>
    </row>
    <row r="111" spans="2:56">
      <c r="B111" s="615"/>
      <c r="C111" s="234"/>
      <c r="D111" s="234"/>
      <c r="E111" s="234"/>
      <c r="F111" s="234"/>
      <c r="G111" s="234"/>
      <c r="H111" s="234"/>
      <c r="I111" s="234"/>
      <c r="J111" s="234"/>
      <c r="K111" s="234"/>
      <c r="L111" s="234"/>
      <c r="M111" s="234"/>
      <c r="N111" s="234"/>
      <c r="O111" s="234"/>
      <c r="P111" s="234"/>
      <c r="Q111" s="234"/>
      <c r="R111" s="234"/>
      <c r="S111" s="234"/>
      <c r="T111" s="234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4"/>
      <c r="AI111" s="234"/>
      <c r="AJ111" s="234"/>
      <c r="AK111" s="234"/>
      <c r="AL111" s="234"/>
      <c r="AM111" s="234"/>
      <c r="AN111" s="234"/>
      <c r="AO111" s="234"/>
      <c r="AP111" s="234"/>
      <c r="AQ111" s="234"/>
      <c r="AR111" s="234"/>
      <c r="AS111" s="234"/>
      <c r="AT111" s="234"/>
      <c r="AU111" s="234"/>
      <c r="AV111" s="234"/>
      <c r="AW111" s="234"/>
      <c r="AX111" s="234"/>
      <c r="AY111" s="233"/>
      <c r="AZ111" s="233"/>
      <c r="BA111" s="311"/>
      <c r="BB111" s="233"/>
      <c r="BC111" s="233"/>
      <c r="BD111" s="233"/>
    </row>
    <row r="112" spans="2:56" ht="39" customHeight="1">
      <c r="B112" s="616" t="s">
        <v>56</v>
      </c>
      <c r="C112" s="258" t="s">
        <v>215</v>
      </c>
      <c r="D112" s="270" t="s">
        <v>312</v>
      </c>
      <c r="E112" s="270" t="s">
        <v>313</v>
      </c>
      <c r="F112" s="270" t="s">
        <v>314</v>
      </c>
      <c r="G112" s="270" t="s">
        <v>315</v>
      </c>
      <c r="H112" s="270" t="s">
        <v>316</v>
      </c>
      <c r="I112" s="270" t="s">
        <v>317</v>
      </c>
      <c r="J112" s="270" t="s">
        <v>318</v>
      </c>
      <c r="K112" s="270" t="s">
        <v>319</v>
      </c>
      <c r="L112" s="270" t="s">
        <v>320</v>
      </c>
      <c r="M112" s="270" t="s">
        <v>321</v>
      </c>
      <c r="N112" s="270" t="s">
        <v>322</v>
      </c>
      <c r="O112" s="270" t="s">
        <v>323</v>
      </c>
      <c r="P112" s="270" t="s">
        <v>300</v>
      </c>
      <c r="Q112" s="270" t="s">
        <v>301</v>
      </c>
      <c r="R112" s="270" t="s">
        <v>302</v>
      </c>
      <c r="S112" s="270" t="s">
        <v>303</v>
      </c>
      <c r="T112" s="270" t="s">
        <v>304</v>
      </c>
      <c r="U112" s="270" t="s">
        <v>305</v>
      </c>
      <c r="V112" s="270" t="s">
        <v>306</v>
      </c>
      <c r="W112" s="270" t="s">
        <v>307</v>
      </c>
      <c r="X112" s="270" t="s">
        <v>308</v>
      </c>
      <c r="Y112" s="270" t="s">
        <v>309</v>
      </c>
      <c r="Z112" s="270" t="s">
        <v>310</v>
      </c>
      <c r="AA112" s="270" t="s">
        <v>311</v>
      </c>
      <c r="AB112" s="270" t="s">
        <v>166</v>
      </c>
      <c r="AC112" s="270" t="s">
        <v>167</v>
      </c>
      <c r="AD112" s="270" t="s">
        <v>168</v>
      </c>
      <c r="AE112" s="270" t="s">
        <v>169</v>
      </c>
      <c r="AF112" s="270" t="s">
        <v>170</v>
      </c>
      <c r="AG112" s="270" t="s">
        <v>171</v>
      </c>
      <c r="AH112" s="270" t="s">
        <v>172</v>
      </c>
      <c r="AI112" s="270" t="s">
        <v>173</v>
      </c>
      <c r="AJ112" s="270" t="s">
        <v>174</v>
      </c>
      <c r="AK112" s="270" t="s">
        <v>175</v>
      </c>
      <c r="AL112" s="270" t="s">
        <v>176</v>
      </c>
      <c r="AM112" s="270" t="s">
        <v>177</v>
      </c>
      <c r="AN112" s="270" t="s">
        <v>178</v>
      </c>
      <c r="AO112" s="270" t="s">
        <v>179</v>
      </c>
      <c r="AP112" s="270" t="s">
        <v>180</v>
      </c>
      <c r="AQ112" s="270" t="s">
        <v>181</v>
      </c>
      <c r="AR112" s="270" t="s">
        <v>183</v>
      </c>
      <c r="AS112" s="270" t="s">
        <v>334</v>
      </c>
      <c r="AT112" s="270" t="s">
        <v>335</v>
      </c>
      <c r="AU112" s="270" t="s">
        <v>336</v>
      </c>
      <c r="AV112" s="270" t="s">
        <v>337</v>
      </c>
      <c r="AW112" s="270" t="s">
        <v>338</v>
      </c>
      <c r="AX112" s="646" t="s">
        <v>160</v>
      </c>
      <c r="AY112" s="646" t="s">
        <v>341</v>
      </c>
      <c r="AZ112" s="254"/>
      <c r="BA112" s="308"/>
      <c r="BB112" s="254"/>
      <c r="BC112" s="254"/>
      <c r="BD112" s="254"/>
    </row>
    <row r="113" spans="2:56" ht="25.5" customHeight="1">
      <c r="B113" s="186" t="s">
        <v>9</v>
      </c>
      <c r="C113" s="255">
        <v>1.0386894575663143E-2</v>
      </c>
      <c r="D113" s="243">
        <f>D32/$C32*100</f>
        <v>196.72739995155695</v>
      </c>
      <c r="E113" s="243">
        <f t="shared" ref="E113:N113" si="65">E32/$C32*100</f>
        <v>139.49188578195228</v>
      </c>
      <c r="F113" s="243">
        <f t="shared" si="65"/>
        <v>96.732782517426074</v>
      </c>
      <c r="G113" s="243">
        <f t="shared" si="65"/>
        <v>195.28218101569021</v>
      </c>
      <c r="H113" s="243">
        <f t="shared" si="65"/>
        <v>116.67518906262617</v>
      </c>
      <c r="I113" s="243">
        <f t="shared" si="65"/>
        <v>97.249508840864465</v>
      </c>
      <c r="J113" s="243">
        <f t="shared" si="65"/>
        <v>89.91038027827868</v>
      </c>
      <c r="K113" s="243">
        <f t="shared" si="65"/>
        <v>91.032645261996407</v>
      </c>
      <c r="L113" s="243">
        <f t="shared" si="65"/>
        <v>71.70385122587939</v>
      </c>
      <c r="M113" s="243">
        <f t="shared" si="65"/>
        <v>0</v>
      </c>
      <c r="N113" s="243">
        <f t="shared" si="65"/>
        <v>0</v>
      </c>
      <c r="O113" s="243">
        <f>O32/$C32*100</f>
        <v>105.1941760637296</v>
      </c>
      <c r="P113" s="243">
        <f>P32/$C32*100</f>
        <v>77.024517587534007</v>
      </c>
      <c r="Q113" s="243">
        <f t="shared" ref="Q113:Z113" si="66">Q32/$C32*100</f>
        <v>145.32120461824155</v>
      </c>
      <c r="R113" s="243">
        <f t="shared" si="66"/>
        <v>138.7410178432059</v>
      </c>
      <c r="S113" s="243">
        <f t="shared" si="66"/>
        <v>123.23922814005437</v>
      </c>
      <c r="T113" s="243">
        <f t="shared" si="66"/>
        <v>95.376375918400313</v>
      </c>
      <c r="U113" s="243">
        <f t="shared" si="66"/>
        <v>70.589660090965381</v>
      </c>
      <c r="V113" s="243">
        <f t="shared" si="66"/>
        <v>83.968027558737262</v>
      </c>
      <c r="W113" s="243">
        <f t="shared" si="66"/>
        <v>0</v>
      </c>
      <c r="X113" s="243">
        <f t="shared" si="66"/>
        <v>0</v>
      </c>
      <c r="Y113" s="243">
        <f t="shared" si="66"/>
        <v>0</v>
      </c>
      <c r="Z113" s="243">
        <f t="shared" si="66"/>
        <v>0</v>
      </c>
      <c r="AA113" s="243">
        <f>AA32/$C32*100</f>
        <v>0</v>
      </c>
      <c r="AB113" s="243">
        <f>AB32/$C32*100</f>
        <v>65.39010146136664</v>
      </c>
      <c r="AC113" s="243">
        <f t="shared" ref="AB113:AR128" si="67">AC32/$C32*100</f>
        <v>145.32120461824155</v>
      </c>
      <c r="AD113" s="243">
        <f t="shared" si="67"/>
        <v>94.447883305971985</v>
      </c>
      <c r="AE113" s="243">
        <f t="shared" si="67"/>
        <v>137.3119466049466</v>
      </c>
      <c r="AF113" s="243">
        <f t="shared" si="67"/>
        <v>103.55518475657348</v>
      </c>
      <c r="AG113" s="243">
        <f t="shared" si="67"/>
        <v>105.96926554888717</v>
      </c>
      <c r="AH113" s="243">
        <f t="shared" si="67"/>
        <v>102.01307963506206</v>
      </c>
      <c r="AI113" s="243">
        <f t="shared" si="67"/>
        <v>90.507845089754298</v>
      </c>
      <c r="AJ113" s="243">
        <f t="shared" si="67"/>
        <v>103.0061630379202</v>
      </c>
      <c r="AK113" s="243">
        <f t="shared" si="67"/>
        <v>108.76281723497594</v>
      </c>
      <c r="AL113" s="243">
        <f t="shared" si="67"/>
        <v>90.968054471566617</v>
      </c>
      <c r="AM113" s="243">
        <f>AM32/$C32*100</f>
        <v>79.285195252576926</v>
      </c>
      <c r="AN113" s="243">
        <f t="shared" si="67"/>
        <v>196.72739995155695</v>
      </c>
      <c r="AO113" s="243">
        <f t="shared" si="67"/>
        <v>139.49188578195228</v>
      </c>
      <c r="AP113" s="243">
        <f>AP32/$C32*100</f>
        <v>117.36954005974651</v>
      </c>
      <c r="AQ113" s="243">
        <f>AQ32/$C32*100</f>
        <v>138.70872244799099</v>
      </c>
      <c r="AR113" s="243">
        <f>AR32/$C32*100</f>
        <v>126.1861829534139</v>
      </c>
      <c r="AS113" s="242">
        <f>AS32/$C32*100</f>
        <v>132.314234195441</v>
      </c>
      <c r="AT113" s="242">
        <f>AT32/$C32*100</f>
        <v>114.5275452808354</v>
      </c>
      <c r="AU113" s="242">
        <f t="shared" ref="AU113:AW113" si="68">AU32/$C32*100</f>
        <v>92.73622735958233</v>
      </c>
      <c r="AV113" s="242">
        <f t="shared" si="68"/>
        <v>103.21608310681705</v>
      </c>
      <c r="AW113" s="242">
        <f t="shared" si="68"/>
        <v>107.24493365987568</v>
      </c>
      <c r="AX113" s="242">
        <f>AW113/AV113*100-100</f>
        <v>3.9033166458072515</v>
      </c>
      <c r="AY113" s="243">
        <f>AW113/AK113*100-100</f>
        <v>-1.395590527800465</v>
      </c>
      <c r="AZ113" s="244"/>
      <c r="BA113" s="311"/>
      <c r="BB113" s="233"/>
      <c r="BC113" s="233"/>
      <c r="BD113" s="233"/>
    </row>
    <row r="114" spans="2:56" ht="25.5" customHeight="1">
      <c r="B114" s="189" t="s">
        <v>12</v>
      </c>
      <c r="C114" s="262">
        <v>0.11353369446599729</v>
      </c>
      <c r="D114" s="247">
        <f t="shared" ref="D114:O114" si="69">D33/$C33*100</f>
        <v>98.226060469704578</v>
      </c>
      <c r="E114" s="247">
        <f t="shared" si="69"/>
        <v>133.13026773506863</v>
      </c>
      <c r="F114" s="247">
        <f t="shared" si="69"/>
        <v>84.989875564631973</v>
      </c>
      <c r="G114" s="247">
        <f t="shared" si="69"/>
        <v>130.35426870424536</v>
      </c>
      <c r="H114" s="247">
        <f t="shared" si="69"/>
        <v>96.550769284020703</v>
      </c>
      <c r="I114" s="247">
        <f t="shared" si="69"/>
        <v>111.97452449767225</v>
      </c>
      <c r="J114" s="247">
        <f t="shared" si="69"/>
        <v>150.09778300825531</v>
      </c>
      <c r="K114" s="247">
        <f t="shared" si="69"/>
        <v>157.24892265623649</v>
      </c>
      <c r="L114" s="247">
        <f t="shared" si="69"/>
        <v>94.591647773489555</v>
      </c>
      <c r="M114" s="247">
        <f t="shared" si="69"/>
        <v>0</v>
      </c>
      <c r="N114" s="247">
        <f t="shared" si="69"/>
        <v>0</v>
      </c>
      <c r="O114" s="247">
        <f t="shared" si="69"/>
        <v>142.83588030667522</v>
      </c>
      <c r="P114" s="247">
        <f t="shared" ref="P114:AA114" si="70">P33/$C33*100</f>
        <v>157.26969072878629</v>
      </c>
      <c r="Q114" s="247">
        <f t="shared" si="70"/>
        <v>129.67584500095188</v>
      </c>
      <c r="R114" s="247">
        <f t="shared" si="70"/>
        <v>88.99119087589348</v>
      </c>
      <c r="S114" s="247">
        <f t="shared" si="70"/>
        <v>88.326612554299871</v>
      </c>
      <c r="T114" s="247">
        <f t="shared" si="70"/>
        <v>151.30233121614373</v>
      </c>
      <c r="U114" s="247">
        <f t="shared" si="70"/>
        <v>65.024835153424149</v>
      </c>
      <c r="V114" s="247">
        <f t="shared" si="70"/>
        <v>95.429293366331507</v>
      </c>
      <c r="W114" s="247">
        <f t="shared" si="70"/>
        <v>0</v>
      </c>
      <c r="X114" s="247">
        <f t="shared" si="70"/>
        <v>0</v>
      </c>
      <c r="Y114" s="247">
        <f t="shared" si="70"/>
        <v>0</v>
      </c>
      <c r="Z114" s="247">
        <f t="shared" si="70"/>
        <v>0</v>
      </c>
      <c r="AA114" s="247">
        <f t="shared" si="70"/>
        <v>0</v>
      </c>
      <c r="AB114" s="247">
        <f t="shared" si="67"/>
        <v>162.57939461068517</v>
      </c>
      <c r="AC114" s="247">
        <f t="shared" si="67"/>
        <v>103.49422820650386</v>
      </c>
      <c r="AD114" s="247">
        <f t="shared" si="67"/>
        <v>84.989875564631973</v>
      </c>
      <c r="AE114" s="247">
        <f t="shared" si="67"/>
        <v>60.165106176770912</v>
      </c>
      <c r="AF114" s="247">
        <f t="shared" si="67"/>
        <v>111.27533272182899</v>
      </c>
      <c r="AG114" s="247">
        <f t="shared" si="67"/>
        <v>84.49836451428672</v>
      </c>
      <c r="AH114" s="247">
        <f t="shared" si="67"/>
        <v>116.32889704228033</v>
      </c>
      <c r="AI114" s="247">
        <f t="shared" si="67"/>
        <v>100.41363077828353</v>
      </c>
      <c r="AJ114" s="247">
        <f t="shared" si="67"/>
        <v>123.3554282549627</v>
      </c>
      <c r="AK114" s="247">
        <f t="shared" si="67"/>
        <v>100.71130648483066</v>
      </c>
      <c r="AL114" s="247">
        <f t="shared" si="67"/>
        <v>103.34192900780535</v>
      </c>
      <c r="AM114" s="247">
        <f t="shared" si="67"/>
        <v>120.8424914764369</v>
      </c>
      <c r="AN114" s="247">
        <f t="shared" si="67"/>
        <v>98.274519305654124</v>
      </c>
      <c r="AO114" s="247">
        <f>AO33/$C33*100</f>
        <v>133.13026773506863</v>
      </c>
      <c r="AP114" s="247">
        <f t="shared" si="67"/>
        <v>147.30101590488226</v>
      </c>
      <c r="AQ114" s="247">
        <f t="shared" si="67"/>
        <v>97.942230144857305</v>
      </c>
      <c r="AR114" s="247">
        <f t="shared" si="67"/>
        <v>150.04240148145587</v>
      </c>
      <c r="AS114" s="246">
        <f t="shared" ref="AS114:AW114" si="71">AS33/$C33*100</f>
        <v>135.68474065869404</v>
      </c>
      <c r="AT114" s="246">
        <f t="shared" si="71"/>
        <v>90.368806355030202</v>
      </c>
      <c r="AU114" s="246">
        <f t="shared" si="71"/>
        <v>152.47918866063239</v>
      </c>
      <c r="AV114" s="246">
        <f t="shared" si="71"/>
        <v>111.55224035582631</v>
      </c>
      <c r="AW114" s="246">
        <f t="shared" si="71"/>
        <v>129.75199460030115</v>
      </c>
      <c r="AX114" s="246">
        <f t="shared" ref="AX114:AX132" si="72">AW114/AV114*100-100</f>
        <v>16.315005585205427</v>
      </c>
      <c r="AY114" s="247">
        <f t="shared" ref="AY114:AY132" si="73">AW114/AK114*100-100</f>
        <v>28.835578773714616</v>
      </c>
      <c r="AZ114" s="244"/>
      <c r="BA114" s="311"/>
      <c r="BB114" s="233"/>
      <c r="BC114" s="233"/>
      <c r="BD114" s="233"/>
    </row>
    <row r="115" spans="2:56" ht="25.5" customHeight="1">
      <c r="B115" s="189" t="s">
        <v>15</v>
      </c>
      <c r="C115" s="256">
        <v>3.0582787841428944E-2</v>
      </c>
      <c r="D115" s="247">
        <f t="shared" ref="D115:O115" si="74">D34/$C34*100</f>
        <v>133.61250280415763</v>
      </c>
      <c r="E115" s="247">
        <f t="shared" si="74"/>
        <v>103.59679952142375</v>
      </c>
      <c r="F115" s="247">
        <f t="shared" si="74"/>
        <v>152.68077469528151</v>
      </c>
      <c r="G115" s="247">
        <f t="shared" si="74"/>
        <v>133.34330367157702</v>
      </c>
      <c r="H115" s="247">
        <f t="shared" si="74"/>
        <v>173.5212742092275</v>
      </c>
      <c r="I115" s="247">
        <f t="shared" si="74"/>
        <v>101.06184102295668</v>
      </c>
      <c r="J115" s="247">
        <f t="shared" si="74"/>
        <v>104.09033126448813</v>
      </c>
      <c r="K115" s="247">
        <f t="shared" si="74"/>
        <v>95.857324459732268</v>
      </c>
      <c r="L115" s="247">
        <f t="shared" si="74"/>
        <v>72.997831451431978</v>
      </c>
      <c r="M115" s="247">
        <f t="shared" si="74"/>
        <v>0</v>
      </c>
      <c r="N115" s="247">
        <f t="shared" si="74"/>
        <v>0</v>
      </c>
      <c r="O115" s="247">
        <f t="shared" si="74"/>
        <v>129.23801689972331</v>
      </c>
      <c r="P115" s="247">
        <f t="shared" ref="P115:AA115" si="75">P34/$C34*100</f>
        <v>106.96178867868092</v>
      </c>
      <c r="Q115" s="247">
        <f t="shared" si="75"/>
        <v>97.741718387796283</v>
      </c>
      <c r="R115" s="247">
        <f t="shared" si="75"/>
        <v>83.115232184251823</v>
      </c>
      <c r="S115" s="247">
        <f t="shared" si="75"/>
        <v>77.84341583788229</v>
      </c>
      <c r="T115" s="247">
        <f t="shared" si="75"/>
        <v>106.22149106408433</v>
      </c>
      <c r="U115" s="247">
        <f t="shared" si="75"/>
        <v>86.188588947880035</v>
      </c>
      <c r="V115" s="247">
        <f t="shared" si="75"/>
        <v>115.9575263590817</v>
      </c>
      <c r="W115" s="247">
        <f t="shared" si="75"/>
        <v>0</v>
      </c>
      <c r="X115" s="247">
        <f t="shared" si="75"/>
        <v>0</v>
      </c>
      <c r="Y115" s="247">
        <f t="shared" si="75"/>
        <v>0</v>
      </c>
      <c r="Z115" s="247">
        <f t="shared" si="75"/>
        <v>0</v>
      </c>
      <c r="AA115" s="247">
        <f t="shared" si="75"/>
        <v>0</v>
      </c>
      <c r="AB115" s="247">
        <f t="shared" si="67"/>
        <v>109.65378000448665</v>
      </c>
      <c r="AC115" s="247">
        <f t="shared" si="67"/>
        <v>100.20937710311821</v>
      </c>
      <c r="AD115" s="247">
        <f t="shared" si="67"/>
        <v>145.07589919988033</v>
      </c>
      <c r="AE115" s="247">
        <f t="shared" si="67"/>
        <v>126.18709339714347</v>
      </c>
      <c r="AF115" s="247">
        <f t="shared" si="67"/>
        <v>99.940177970537619</v>
      </c>
      <c r="AG115" s="247">
        <f t="shared" si="67"/>
        <v>126.11979361399833</v>
      </c>
      <c r="AH115" s="247">
        <f t="shared" si="67"/>
        <v>112.9963359006954</v>
      </c>
      <c r="AI115" s="247">
        <f t="shared" si="67"/>
        <v>104.98766170642338</v>
      </c>
      <c r="AJ115" s="247">
        <f t="shared" si="67"/>
        <v>130.89807821730349</v>
      </c>
      <c r="AK115" s="247">
        <f t="shared" si="67"/>
        <v>145.21049876617062</v>
      </c>
      <c r="AL115" s="247">
        <f t="shared" si="67"/>
        <v>130.24751364690047</v>
      </c>
      <c r="AM115" s="247">
        <f t="shared" si="67"/>
        <v>75.106557989979791</v>
      </c>
      <c r="AN115" s="247">
        <f t="shared" si="67"/>
        <v>129.66424885964253</v>
      </c>
      <c r="AO115" s="247">
        <f t="shared" si="67"/>
        <v>103.59679952142375</v>
      </c>
      <c r="AP115" s="247">
        <f t="shared" si="67"/>
        <v>161.51947954834364</v>
      </c>
      <c r="AQ115" s="247">
        <f t="shared" si="67"/>
        <v>116.15942570851713</v>
      </c>
      <c r="AR115" s="247">
        <f t="shared" si="67"/>
        <v>121.79017423166079</v>
      </c>
      <c r="AS115" s="246">
        <f t="shared" ref="AS115:AW115" si="76">AS34/$C34*100</f>
        <v>138.03185523068868</v>
      </c>
      <c r="AT115" s="246">
        <f t="shared" si="76"/>
        <v>115.64346070440436</v>
      </c>
      <c r="AU115" s="246">
        <f t="shared" si="76"/>
        <v>133.27600388843189</v>
      </c>
      <c r="AV115" s="246">
        <f t="shared" si="76"/>
        <v>122.62020489045086</v>
      </c>
      <c r="AW115" s="246">
        <f t="shared" si="76"/>
        <v>114.45449786884019</v>
      </c>
      <c r="AX115" s="246">
        <f t="shared" si="72"/>
        <v>-6.6593487010610772</v>
      </c>
      <c r="AY115" s="247">
        <f t="shared" si="73"/>
        <v>-21.180287347443212</v>
      </c>
      <c r="AZ115" s="244"/>
      <c r="BA115" s="311"/>
      <c r="BB115" s="233"/>
      <c r="BC115" s="233"/>
      <c r="BD115" s="233"/>
    </row>
    <row r="116" spans="2:56" ht="25.5" customHeight="1">
      <c r="B116" s="189" t="s">
        <v>19</v>
      </c>
      <c r="C116" s="256">
        <v>7.5549359476327752E-2</v>
      </c>
      <c r="D116" s="247">
        <f t="shared" ref="D116:O117" si="77">D35/$C35*100</f>
        <v>118.29403119025011</v>
      </c>
      <c r="E116" s="247">
        <f t="shared" si="77"/>
        <v>102.17083100295253</v>
      </c>
      <c r="F116" s="247">
        <f t="shared" si="77"/>
        <v>131.29560501021032</v>
      </c>
      <c r="G116" s="247">
        <f t="shared" si="77"/>
        <v>130.49959028653927</v>
      </c>
      <c r="H116" s="247">
        <f t="shared" si="77"/>
        <v>146.9193449787339</v>
      </c>
      <c r="I116" s="247">
        <f t="shared" si="77"/>
        <v>139.41183356528748</v>
      </c>
      <c r="J116" s="247">
        <f t="shared" si="77"/>
        <v>106.04164769845087</v>
      </c>
      <c r="K116" s="247">
        <f t="shared" si="77"/>
        <v>126.76924677757108</v>
      </c>
      <c r="L116" s="247">
        <f t="shared" si="77"/>
        <v>115.28166174576953</v>
      </c>
      <c r="M116" s="247">
        <f t="shared" si="77"/>
        <v>0</v>
      </c>
      <c r="N116" s="247">
        <f t="shared" si="77"/>
        <v>0</v>
      </c>
      <c r="O116" s="247">
        <f t="shared" si="77"/>
        <v>83.316207744234731</v>
      </c>
      <c r="P116" s="247">
        <f t="shared" ref="P116:AA116" si="78">P35/$C35*100</f>
        <v>111.37962878659779</v>
      </c>
      <c r="Q116" s="247">
        <f t="shared" si="78"/>
        <v>78.80545764343222</v>
      </c>
      <c r="R116" s="247">
        <f t="shared" si="78"/>
        <v>89.465811687889385</v>
      </c>
      <c r="S116" s="247">
        <f t="shared" si="78"/>
        <v>80.335054563427533</v>
      </c>
      <c r="T116" s="247">
        <f t="shared" si="78"/>
        <v>112.0039540600653</v>
      </c>
      <c r="U116" s="247">
        <f t="shared" si="78"/>
        <v>123.67883667390709</v>
      </c>
      <c r="V116" s="247">
        <f t="shared" si="78"/>
        <v>152.44462364892107</v>
      </c>
      <c r="W116" s="247">
        <f t="shared" si="78"/>
        <v>0</v>
      </c>
      <c r="X116" s="247">
        <f t="shared" si="78"/>
        <v>0</v>
      </c>
      <c r="Y116" s="247">
        <f t="shared" si="78"/>
        <v>0</v>
      </c>
      <c r="Z116" s="247">
        <f t="shared" si="78"/>
        <v>0</v>
      </c>
      <c r="AA116" s="247">
        <f t="shared" si="78"/>
        <v>0</v>
      </c>
      <c r="AB116" s="247">
        <f t="shared" si="67"/>
        <v>113.33064526618367</v>
      </c>
      <c r="AC116" s="247">
        <f t="shared" si="67"/>
        <v>141.79987773630057</v>
      </c>
      <c r="AD116" s="247">
        <f t="shared" si="67"/>
        <v>131.29560501021032</v>
      </c>
      <c r="AE116" s="247">
        <f t="shared" si="67"/>
        <v>84.174654995252524</v>
      </c>
      <c r="AF116" s="247">
        <f t="shared" si="67"/>
        <v>114.71976899964879</v>
      </c>
      <c r="AG116" s="247">
        <f t="shared" si="67"/>
        <v>152.35097485790095</v>
      </c>
      <c r="AH116" s="247">
        <f t="shared" si="67"/>
        <v>106.04164769845087</v>
      </c>
      <c r="AI116" s="247">
        <f t="shared" si="67"/>
        <v>99.892043754796234</v>
      </c>
      <c r="AJ116" s="247">
        <f t="shared" si="67"/>
        <v>105.94799890743074</v>
      </c>
      <c r="AK116" s="247">
        <f t="shared" si="67"/>
        <v>130.65567160490613</v>
      </c>
      <c r="AL116" s="247">
        <f t="shared" si="67"/>
        <v>82.660666207093897</v>
      </c>
      <c r="AM116" s="247">
        <f t="shared" si="67"/>
        <v>122.0087665673816</v>
      </c>
      <c r="AN116" s="247">
        <f t="shared" si="67"/>
        <v>118.29403119025011</v>
      </c>
      <c r="AO116" s="247">
        <f t="shared" si="67"/>
        <v>102.17083100295253</v>
      </c>
      <c r="AP116" s="247">
        <f t="shared" si="67"/>
        <v>98.206365516434062</v>
      </c>
      <c r="AQ116" s="247">
        <f t="shared" ref="AQ116:AR117" si="79">AQ35/$C35*100</f>
        <v>140.95703861711951</v>
      </c>
      <c r="AR116" s="247">
        <f t="shared" si="79"/>
        <v>130.12499512245878</v>
      </c>
      <c r="AS116" s="246">
        <f t="shared" ref="AS116:AW116" si="80">AS35/$C35*100</f>
        <v>131.03026676898665</v>
      </c>
      <c r="AT116" s="246">
        <f t="shared" si="80"/>
        <v>150.72772914688551</v>
      </c>
      <c r="AU116" s="246">
        <f t="shared" si="80"/>
        <v>159.3122016570633</v>
      </c>
      <c r="AV116" s="246">
        <f t="shared" si="80"/>
        <v>164.58775021786349</v>
      </c>
      <c r="AW116" s="246">
        <f t="shared" si="80"/>
        <v>132.18526852490143</v>
      </c>
      <c r="AX116" s="246">
        <f t="shared" si="72"/>
        <v>-19.687055476529181</v>
      </c>
      <c r="AY116" s="247">
        <f t="shared" si="73"/>
        <v>1.1707083980408299</v>
      </c>
      <c r="AZ116" s="244"/>
      <c r="BA116" s="311"/>
      <c r="BB116" s="233"/>
      <c r="BC116" s="233"/>
      <c r="BD116" s="233"/>
    </row>
    <row r="117" spans="2:56" ht="25.5" customHeight="1">
      <c r="B117" s="189" t="s">
        <v>22</v>
      </c>
      <c r="C117" s="256">
        <v>5.8051209639124156E-2</v>
      </c>
      <c r="D117" s="247">
        <f t="shared" si="77"/>
        <v>62.648146260552096</v>
      </c>
      <c r="E117" s="247">
        <f>E36/$C36*100</f>
        <v>62.648146260552096</v>
      </c>
      <c r="F117" s="247">
        <f t="shared" ref="F117:O117" si="81">F36/$C36*100</f>
        <v>118.4021053216824</v>
      </c>
      <c r="G117" s="247">
        <f t="shared" si="81"/>
        <v>150.0097296996766</v>
      </c>
      <c r="H117" s="247">
        <f t="shared" si="81"/>
        <v>137.67247050974359</v>
      </c>
      <c r="I117" s="247">
        <f t="shared" si="81"/>
        <v>131.6511763670228</v>
      </c>
      <c r="J117" s="247">
        <f t="shared" si="81"/>
        <v>80.206084305531093</v>
      </c>
      <c r="K117" s="247">
        <f t="shared" si="81"/>
        <v>137.09424835753404</v>
      </c>
      <c r="L117" s="247">
        <f t="shared" si="81"/>
        <v>185.92622107730941</v>
      </c>
      <c r="M117" s="247">
        <f t="shared" si="81"/>
        <v>0</v>
      </c>
      <c r="N117" s="247">
        <f t="shared" si="81"/>
        <v>0</v>
      </c>
      <c r="O117" s="247">
        <f t="shared" si="81"/>
        <v>133.74167184039584</v>
      </c>
      <c r="P117" s="247">
        <f t="shared" ref="P117" si="82">P36/$C36*100</f>
        <v>88.167758555185927</v>
      </c>
      <c r="Q117" s="247">
        <f>Q36/$C36*100</f>
        <v>188.40034470935996</v>
      </c>
      <c r="R117" s="247">
        <f t="shared" ref="R117:AA117" si="83">R36/$C36*100</f>
        <v>123.34479275739687</v>
      </c>
      <c r="S117" s="247">
        <f t="shared" si="83"/>
        <v>102.26192351529416</v>
      </c>
      <c r="T117" s="247">
        <f t="shared" si="83"/>
        <v>88.167758555185927</v>
      </c>
      <c r="U117" s="247">
        <f t="shared" si="83"/>
        <v>59.501283393719241</v>
      </c>
      <c r="V117" s="247">
        <f t="shared" si="83"/>
        <v>154.91905816507128</v>
      </c>
      <c r="W117" s="247">
        <f t="shared" si="83"/>
        <v>0</v>
      </c>
      <c r="X117" s="247">
        <f t="shared" si="83"/>
        <v>0</v>
      </c>
      <c r="Y117" s="247">
        <f t="shared" si="83"/>
        <v>0</v>
      </c>
      <c r="Z117" s="247">
        <f t="shared" si="83"/>
        <v>0</v>
      </c>
      <c r="AA117" s="247">
        <f t="shared" si="83"/>
        <v>0</v>
      </c>
      <c r="AB117" s="247">
        <f t="shared" si="67"/>
        <v>88.167758555185927</v>
      </c>
      <c r="AC117" s="247">
        <f>AC36/$C36*100</f>
        <v>185.14784510318114</v>
      </c>
      <c r="AD117" s="247">
        <f t="shared" si="67"/>
        <v>118.4021053216824</v>
      </c>
      <c r="AE117" s="247">
        <f t="shared" si="67"/>
        <v>100.94980401604936</v>
      </c>
      <c r="AF117" s="247">
        <f t="shared" si="67"/>
        <v>87.650694515229304</v>
      </c>
      <c r="AG117" s="247">
        <f t="shared" si="67"/>
        <v>96.36850542546587</v>
      </c>
      <c r="AH117" s="247">
        <f t="shared" si="67"/>
        <v>101.27227406247394</v>
      </c>
      <c r="AI117" s="247">
        <f t="shared" si="67"/>
        <v>104.69156852025168</v>
      </c>
      <c r="AJ117" s="247">
        <f t="shared" si="67"/>
        <v>122.44410055876274</v>
      </c>
      <c r="AK117" s="247">
        <f t="shared" si="67"/>
        <v>74.529499522781393</v>
      </c>
      <c r="AL117" s="247">
        <f t="shared" si="67"/>
        <v>137.84482518972914</v>
      </c>
      <c r="AM117" s="247">
        <f t="shared" si="67"/>
        <v>219.11839654549331</v>
      </c>
      <c r="AN117" s="247">
        <f t="shared" si="67"/>
        <v>62.648146260552096</v>
      </c>
      <c r="AO117" s="247">
        <f t="shared" si="67"/>
        <v>0</v>
      </c>
      <c r="AP117" s="247">
        <f t="shared" si="67"/>
        <v>135.00375288416095</v>
      </c>
      <c r="AQ117" s="247">
        <f t="shared" si="79"/>
        <v>101.53914582503218</v>
      </c>
      <c r="AR117" s="247">
        <f t="shared" si="79"/>
        <v>110.62946523717301</v>
      </c>
      <c r="AS117" s="246">
        <f t="shared" ref="AS117:AW117" si="84">AS36/$C36*100</f>
        <v>110.54606781137355</v>
      </c>
      <c r="AT117" s="246">
        <f t="shared" si="84"/>
        <v>91.464736788457785</v>
      </c>
      <c r="AU117" s="246">
        <f t="shared" si="84"/>
        <v>107.77727327483157</v>
      </c>
      <c r="AV117" s="246">
        <f t="shared" si="84"/>
        <v>99.009423909115341</v>
      </c>
      <c r="AW117" s="246">
        <f t="shared" si="84"/>
        <v>84.148002631652091</v>
      </c>
      <c r="AX117" s="246">
        <f t="shared" si="72"/>
        <v>-15.01010781671161</v>
      </c>
      <c r="AY117" s="247">
        <f t="shared" si="73"/>
        <v>12.905632226781051</v>
      </c>
      <c r="AZ117" s="244"/>
      <c r="BA117" s="311"/>
      <c r="BB117" s="233"/>
      <c r="BC117" s="233"/>
      <c r="BD117" s="233"/>
    </row>
    <row r="118" spans="2:56" ht="25.5" customHeight="1">
      <c r="B118" s="189" t="s">
        <v>25</v>
      </c>
      <c r="C118" s="256">
        <v>3.5013322964059339E-2</v>
      </c>
      <c r="D118" s="247">
        <f t="shared" ref="D118:O118" si="85">D37/$C37*100</f>
        <v>124.26511073673829</v>
      </c>
      <c r="E118" s="247">
        <f t="shared" si="85"/>
        <v>188.79894810371036</v>
      </c>
      <c r="F118" s="247">
        <f t="shared" si="85"/>
        <v>243.8854419197107</v>
      </c>
      <c r="G118" s="247">
        <f t="shared" si="85"/>
        <v>78.734437276574752</v>
      </c>
      <c r="H118" s="247">
        <f t="shared" si="85"/>
        <v>0</v>
      </c>
      <c r="I118" s="247">
        <f t="shared" si="85"/>
        <v>70.342277191108167</v>
      </c>
      <c r="J118" s="247">
        <f t="shared" si="85"/>
        <v>199.31133664790235</v>
      </c>
      <c r="K118" s="247">
        <f t="shared" si="85"/>
        <v>103.44742573036937</v>
      </c>
      <c r="L118" s="247">
        <f t="shared" si="85"/>
        <v>99.522537699798647</v>
      </c>
      <c r="M118" s="247">
        <f t="shared" si="85"/>
        <v>0</v>
      </c>
      <c r="N118" s="247">
        <f t="shared" si="85"/>
        <v>0</v>
      </c>
      <c r="O118" s="247">
        <f t="shared" si="85"/>
        <v>91.692484694087184</v>
      </c>
      <c r="P118" s="247">
        <f t="shared" ref="P118:AA118" si="86">P37/$C37*100</f>
        <v>140.92123104737641</v>
      </c>
      <c r="Q118" s="247">
        <f t="shared" si="86"/>
        <v>88.448042075851561</v>
      </c>
      <c r="R118" s="247">
        <f t="shared" si="86"/>
        <v>0</v>
      </c>
      <c r="S118" s="247">
        <f t="shared" si="86"/>
        <v>76.08168632123926</v>
      </c>
      <c r="T118" s="247">
        <f t="shared" si="86"/>
        <v>142.57796770349674</v>
      </c>
      <c r="U118" s="247">
        <f t="shared" si="86"/>
        <v>64.681760282697127</v>
      </c>
      <c r="V118" s="247">
        <f t="shared" si="86"/>
        <v>100.78481324731889</v>
      </c>
      <c r="W118" s="247">
        <f t="shared" si="86"/>
        <v>0</v>
      </c>
      <c r="X118" s="247">
        <f t="shared" si="86"/>
        <v>0</v>
      </c>
      <c r="Y118" s="247">
        <f t="shared" si="86"/>
        <v>0</v>
      </c>
      <c r="Z118" s="247">
        <f t="shared" si="86"/>
        <v>0</v>
      </c>
      <c r="AA118" s="247">
        <f t="shared" si="86"/>
        <v>0</v>
      </c>
      <c r="AB118" s="247">
        <f t="shared" si="67"/>
        <v>134.31400747832515</v>
      </c>
      <c r="AC118" s="247">
        <f t="shared" si="67"/>
        <v>88.448042075851561</v>
      </c>
      <c r="AD118" s="247">
        <f t="shared" si="67"/>
        <v>227.57447507909765</v>
      </c>
      <c r="AE118" s="247">
        <f t="shared" si="67"/>
        <v>65.993343468792361</v>
      </c>
      <c r="AF118" s="247">
        <f t="shared" si="67"/>
        <v>62.591116407116722</v>
      </c>
      <c r="AG118" s="247">
        <f t="shared" si="67"/>
        <v>91.603730944652156</v>
      </c>
      <c r="AH118" s="247">
        <f t="shared" si="67"/>
        <v>54.346879237375177</v>
      </c>
      <c r="AI118" s="247">
        <f t="shared" si="67"/>
        <v>73.468381476763767</v>
      </c>
      <c r="AJ118" s="247">
        <f t="shared" si="67"/>
        <v>74.671487857993995</v>
      </c>
      <c r="AK118" s="247">
        <f t="shared" si="67"/>
        <v>290.13600690306936</v>
      </c>
      <c r="AL118" s="247">
        <f t="shared" si="67"/>
        <v>326.17002917368609</v>
      </c>
      <c r="AM118" s="247">
        <f t="shared" si="67"/>
        <v>71.890537042363476</v>
      </c>
      <c r="AN118" s="247">
        <f t="shared" si="67"/>
        <v>124.03829559929325</v>
      </c>
      <c r="AO118" s="247">
        <f t="shared" si="67"/>
        <v>195.68229444878168</v>
      </c>
      <c r="AP118" s="247">
        <f t="shared" si="67"/>
        <v>62.502362657681708</v>
      </c>
      <c r="AQ118" s="247">
        <f t="shared" ref="AQ118:AR119" si="87">AQ37/$C37*100</f>
        <v>64.78037555984713</v>
      </c>
      <c r="AR118" s="247">
        <f t="shared" si="87"/>
        <v>81.978879894810348</v>
      </c>
      <c r="AS118" s="246">
        <f t="shared" ref="AS118:AW118" si="88">AS37/$C37*100</f>
        <v>83.458109052060635</v>
      </c>
      <c r="AT118" s="246">
        <f t="shared" si="88"/>
        <v>70.431030940543195</v>
      </c>
      <c r="AU118" s="246">
        <f t="shared" si="88"/>
        <v>70.490200106833214</v>
      </c>
      <c r="AV118" s="246">
        <f t="shared" si="88"/>
        <v>80.539096848420087</v>
      </c>
      <c r="AW118" s="246">
        <f t="shared" si="88"/>
        <v>73.133089534453703</v>
      </c>
      <c r="AX118" s="246">
        <f t="shared" si="72"/>
        <v>-9.1955430390596291</v>
      </c>
      <c r="AY118" s="247">
        <f t="shared" si="73"/>
        <v>-74.793514836341387</v>
      </c>
      <c r="AZ118" s="245"/>
      <c r="BA118" s="311"/>
      <c r="BB118" s="233"/>
      <c r="BC118" s="233"/>
      <c r="BD118" s="233"/>
    </row>
    <row r="119" spans="2:56" ht="25.5" customHeight="1">
      <c r="B119" s="189" t="s">
        <v>30</v>
      </c>
      <c r="C119" s="256">
        <v>6.8891461297102968E-2</v>
      </c>
      <c r="D119" s="247">
        <f t="shared" ref="D119:F119" si="89">D38/$C38*100</f>
        <v>181.5052617556947</v>
      </c>
      <c r="E119" s="247">
        <f t="shared" si="89"/>
        <v>248.14173438124419</v>
      </c>
      <c r="F119" s="247">
        <f t="shared" si="89"/>
        <v>0</v>
      </c>
      <c r="G119" s="247">
        <f>G38/$C38*100</f>
        <v>111.650459571067</v>
      </c>
      <c r="H119" s="247">
        <f t="shared" ref="H119:O119" si="90">H38/$C38*100</f>
        <v>0</v>
      </c>
      <c r="I119" s="247">
        <f t="shared" si="90"/>
        <v>164.60370321033704</v>
      </c>
      <c r="J119" s="247">
        <f t="shared" si="90"/>
        <v>203.26628480085259</v>
      </c>
      <c r="K119" s="247">
        <f t="shared" si="90"/>
        <v>170.85919808179034</v>
      </c>
      <c r="L119" s="247">
        <f t="shared" si="90"/>
        <v>62.384441188224329</v>
      </c>
      <c r="M119" s="247">
        <f t="shared" si="90"/>
        <v>0</v>
      </c>
      <c r="N119" s="247">
        <f t="shared" si="90"/>
        <v>0</v>
      </c>
      <c r="O119" s="247">
        <f t="shared" si="90"/>
        <v>57.588917010789928</v>
      </c>
      <c r="P119" s="247">
        <f t="shared" ref="P119:R119" si="91">P38/$C38*100</f>
        <v>186.63114426535233</v>
      </c>
      <c r="Q119" s="247">
        <f t="shared" si="91"/>
        <v>118.2043426135607</v>
      </c>
      <c r="R119" s="247">
        <f t="shared" si="91"/>
        <v>96.752364459837509</v>
      </c>
      <c r="S119" s="247">
        <f>S38/$C38*100</f>
        <v>76.057013454109509</v>
      </c>
      <c r="T119" s="247">
        <f t="shared" ref="T119:AA119" si="92">T38/$C38*100</f>
        <v>180.35433595311045</v>
      </c>
      <c r="U119" s="247">
        <f t="shared" si="92"/>
        <v>165.09391234847476</v>
      </c>
      <c r="V119" s="247">
        <f t="shared" si="92"/>
        <v>210.72598907686162</v>
      </c>
      <c r="W119" s="247">
        <f t="shared" si="92"/>
        <v>0</v>
      </c>
      <c r="X119" s="247">
        <f t="shared" si="92"/>
        <v>0</v>
      </c>
      <c r="Y119" s="247">
        <f t="shared" si="92"/>
        <v>0</v>
      </c>
      <c r="Z119" s="247">
        <f t="shared" si="92"/>
        <v>0</v>
      </c>
      <c r="AA119" s="247">
        <f t="shared" si="92"/>
        <v>0</v>
      </c>
      <c r="AB119" s="247">
        <f t="shared" si="67"/>
        <v>203.91634474490479</v>
      </c>
      <c r="AC119" s="247">
        <f t="shared" si="67"/>
        <v>137.7807379778873</v>
      </c>
      <c r="AD119" s="247">
        <f t="shared" si="67"/>
        <v>0</v>
      </c>
      <c r="AE119" s="247">
        <f>AE38/$C38*100</f>
        <v>74.000266418009858</v>
      </c>
      <c r="AF119" s="247">
        <f t="shared" si="67"/>
        <v>73.403490075929128</v>
      </c>
      <c r="AG119" s="247">
        <f t="shared" si="67"/>
        <v>124.4172106034368</v>
      </c>
      <c r="AH119" s="247">
        <f t="shared" si="67"/>
        <v>139.27267883308915</v>
      </c>
      <c r="AI119" s="247">
        <f t="shared" si="67"/>
        <v>106.84427867323834</v>
      </c>
      <c r="AJ119" s="247">
        <f t="shared" si="67"/>
        <v>99.832156653789809</v>
      </c>
      <c r="AK119" s="247">
        <f t="shared" si="67"/>
        <v>322.47235913147733</v>
      </c>
      <c r="AL119" s="247">
        <f t="shared" si="67"/>
        <v>276.85093912348481</v>
      </c>
      <c r="AM119" s="247">
        <f t="shared" si="67"/>
        <v>89.5697349140802</v>
      </c>
      <c r="AN119" s="247">
        <f t="shared" si="67"/>
        <v>176.61382709471161</v>
      </c>
      <c r="AO119" s="247">
        <f t="shared" si="67"/>
        <v>341.8143066471294</v>
      </c>
      <c r="AP119" s="247">
        <f t="shared" si="67"/>
        <v>70.4835486878913</v>
      </c>
      <c r="AQ119" s="247">
        <f t="shared" si="87"/>
        <v>70.259757559611046</v>
      </c>
      <c r="AR119" s="247">
        <f t="shared" si="87"/>
        <v>92.169974690289067</v>
      </c>
      <c r="AS119" s="246">
        <f t="shared" ref="AS119:AW119" si="93">AS38/$C38*100</f>
        <v>89.953376848274942</v>
      </c>
      <c r="AT119" s="246">
        <f t="shared" si="93"/>
        <v>93.92833355534836</v>
      </c>
      <c r="AU119" s="246">
        <f t="shared" si="93"/>
        <v>81.449313973624626</v>
      </c>
      <c r="AV119" s="246">
        <f t="shared" si="93"/>
        <v>85.861196216864258</v>
      </c>
      <c r="AW119" s="246">
        <f t="shared" si="93"/>
        <v>199.8135073930998</v>
      </c>
      <c r="AX119" s="246">
        <f t="shared" si="72"/>
        <v>132.71689214347776</v>
      </c>
      <c r="AY119" s="247">
        <f t="shared" si="73"/>
        <v>-38.037012557832128</v>
      </c>
      <c r="AZ119" s="245"/>
      <c r="BA119" s="311"/>
      <c r="BB119" s="233"/>
      <c r="BC119" s="233"/>
      <c r="BD119" s="233"/>
    </row>
    <row r="120" spans="2:56" ht="25.5" customHeight="1">
      <c r="B120" s="189" t="s">
        <v>31</v>
      </c>
      <c r="C120" s="256">
        <v>5.5360633911468123E-2</v>
      </c>
      <c r="D120" s="247">
        <f>D39/$C39*100</f>
        <v>126.92440694377206</v>
      </c>
      <c r="E120" s="247">
        <f t="shared" ref="E120:O120" si="94">E39/$C39*100</f>
        <v>119.75931945501071</v>
      </c>
      <c r="F120" s="247">
        <f t="shared" si="94"/>
        <v>115.87246697558614</v>
      </c>
      <c r="G120" s="247">
        <f t="shared" si="94"/>
        <v>133.812850127948</v>
      </c>
      <c r="H120" s="247">
        <f t="shared" si="94"/>
        <v>138.6679576734214</v>
      </c>
      <c r="I120" s="247">
        <f t="shared" si="94"/>
        <v>105.02801023583928</v>
      </c>
      <c r="J120" s="247">
        <f t="shared" si="94"/>
        <v>159.44394494778336</v>
      </c>
      <c r="K120" s="247">
        <f t="shared" si="94"/>
        <v>143.4400719275192</v>
      </c>
      <c r="L120" s="247">
        <f t="shared" si="94"/>
        <v>100.97517117366345</v>
      </c>
      <c r="M120" s="247">
        <f t="shared" si="94"/>
        <v>0</v>
      </c>
      <c r="N120" s="247">
        <f t="shared" si="94"/>
        <v>0</v>
      </c>
      <c r="O120" s="247">
        <f t="shared" si="94"/>
        <v>56.075800539456388</v>
      </c>
      <c r="P120" s="247">
        <f>P39/$C39*100</f>
        <v>94.377204509302175</v>
      </c>
      <c r="Q120" s="247">
        <f t="shared" ref="Q120:AA120" si="95">Q39/$C39*100</f>
        <v>203.80385918804899</v>
      </c>
      <c r="R120" s="247">
        <f t="shared" si="95"/>
        <v>76.395324711252499</v>
      </c>
      <c r="S120" s="247">
        <f t="shared" si="95"/>
        <v>53.364686354519677</v>
      </c>
      <c r="T120" s="247">
        <f t="shared" si="95"/>
        <v>129.71851442008438</v>
      </c>
      <c r="U120" s="247">
        <f t="shared" si="95"/>
        <v>113.27201051248356</v>
      </c>
      <c r="V120" s="247">
        <f t="shared" si="95"/>
        <v>189.65350300850682</v>
      </c>
      <c r="W120" s="247">
        <f t="shared" si="95"/>
        <v>0</v>
      </c>
      <c r="X120" s="247">
        <f t="shared" si="95"/>
        <v>0</v>
      </c>
      <c r="Y120" s="247">
        <f t="shared" si="95"/>
        <v>0</v>
      </c>
      <c r="Z120" s="247">
        <f t="shared" si="95"/>
        <v>0</v>
      </c>
      <c r="AA120" s="247">
        <f t="shared" si="95"/>
        <v>0</v>
      </c>
      <c r="AB120" s="247">
        <f>AB39/$C39*100</f>
        <v>65.661525693339783</v>
      </c>
      <c r="AC120" s="247">
        <f t="shared" si="67"/>
        <v>93.104640708209416</v>
      </c>
      <c r="AD120" s="247">
        <f t="shared" si="67"/>
        <v>0</v>
      </c>
      <c r="AE120" s="247">
        <f t="shared" si="67"/>
        <v>122.34594370288401</v>
      </c>
      <c r="AF120" s="247">
        <f t="shared" si="67"/>
        <v>93.201466214814303</v>
      </c>
      <c r="AG120" s="247">
        <f t="shared" si="67"/>
        <v>93.215298430043575</v>
      </c>
      <c r="AH120" s="247">
        <f t="shared" si="67"/>
        <v>244.41524310118263</v>
      </c>
      <c r="AI120" s="247">
        <f t="shared" si="67"/>
        <v>103.92143301749775</v>
      </c>
      <c r="AJ120" s="247">
        <f t="shared" si="67"/>
        <v>132.41579638979181</v>
      </c>
      <c r="AK120" s="247">
        <f t="shared" si="67"/>
        <v>517.26952071374228</v>
      </c>
      <c r="AL120" s="247">
        <f t="shared" si="67"/>
        <v>0</v>
      </c>
      <c r="AM120" s="247">
        <f t="shared" si="67"/>
        <v>113.9359568434885</v>
      </c>
      <c r="AN120" s="247">
        <f t="shared" si="67"/>
        <v>126.82758143716714</v>
      </c>
      <c r="AO120" s="247">
        <f t="shared" si="67"/>
        <v>119.75931945501071</v>
      </c>
      <c r="AP120" s="247">
        <f t="shared" si="67"/>
        <v>117.64299052493257</v>
      </c>
      <c r="AQ120" s="247">
        <f t="shared" ref="AQ120:AR121" si="96">AQ39/$C39*100</f>
        <v>113.49332595615186</v>
      </c>
      <c r="AR120" s="247">
        <f t="shared" si="96"/>
        <v>117.62915830970331</v>
      </c>
      <c r="AS120" s="246">
        <f t="shared" ref="AS120:AW120" si="97">AS39/$C39*100</f>
        <v>113.50715817138115</v>
      </c>
      <c r="AT120" s="246">
        <f t="shared" si="97"/>
        <v>99.49512414413168</v>
      </c>
      <c r="AU120" s="246">
        <f t="shared" si="97"/>
        <v>124.73891693754754</v>
      </c>
      <c r="AV120" s="246">
        <f t="shared" si="97"/>
        <v>151.24144131682689</v>
      </c>
      <c r="AW120" s="246">
        <f t="shared" si="97"/>
        <v>119.51033958088388</v>
      </c>
      <c r="AX120" s="246">
        <f t="shared" si="72"/>
        <v>-20.980428022681537</v>
      </c>
      <c r="AY120" s="247">
        <f t="shared" si="73"/>
        <v>-76.895924697828647</v>
      </c>
      <c r="AZ120" s="245"/>
      <c r="BA120" s="311"/>
      <c r="BB120" s="233"/>
      <c r="BC120" s="233"/>
      <c r="BD120" s="233"/>
    </row>
    <row r="121" spans="2:56" ht="25.5" customHeight="1">
      <c r="B121" s="189" t="s">
        <v>32</v>
      </c>
      <c r="C121" s="256">
        <v>8.4851243327318401E-2</v>
      </c>
      <c r="D121" s="247">
        <f t="shared" ref="D121:O121" si="98">D40/$C40*100</f>
        <v>185.68440063210173</v>
      </c>
      <c r="E121" s="247">
        <f t="shared" si="98"/>
        <v>151.46963654150051</v>
      </c>
      <c r="F121" s="247">
        <f t="shared" si="98"/>
        <v>207.51900067725185</v>
      </c>
      <c r="G121" s="247">
        <f t="shared" si="98"/>
        <v>0</v>
      </c>
      <c r="H121" s="247">
        <f t="shared" si="98"/>
        <v>0</v>
      </c>
      <c r="I121" s="247">
        <f t="shared" si="98"/>
        <v>180.60049665136577</v>
      </c>
      <c r="J121" s="247">
        <f t="shared" si="98"/>
        <v>160.66220182105499</v>
      </c>
      <c r="K121" s="247">
        <f t="shared" si="98"/>
        <v>173.09654601550153</v>
      </c>
      <c r="L121" s="247">
        <f t="shared" si="98"/>
        <v>0</v>
      </c>
      <c r="M121" s="247">
        <f t="shared" si="98"/>
        <v>0</v>
      </c>
      <c r="N121" s="247">
        <f t="shared" si="98"/>
        <v>0</v>
      </c>
      <c r="O121" s="247">
        <f t="shared" si="98"/>
        <v>140.96771766122359</v>
      </c>
      <c r="P121" s="247">
        <f t="shared" ref="P121:AA121" si="99">P40/$C40*100</f>
        <v>180.25735570772818</v>
      </c>
      <c r="Q121" s="247">
        <f t="shared" si="99"/>
        <v>259.6132139363383</v>
      </c>
      <c r="R121" s="247">
        <f t="shared" si="99"/>
        <v>90.300248325682887</v>
      </c>
      <c r="S121" s="247">
        <f t="shared" si="99"/>
        <v>0</v>
      </c>
      <c r="T121" s="247">
        <f t="shared" si="99"/>
        <v>0</v>
      </c>
      <c r="U121" s="247">
        <f t="shared" si="99"/>
        <v>0</v>
      </c>
      <c r="V121" s="247">
        <f t="shared" si="99"/>
        <v>0</v>
      </c>
      <c r="W121" s="247">
        <f t="shared" si="99"/>
        <v>0</v>
      </c>
      <c r="X121" s="247">
        <f t="shared" si="99"/>
        <v>0</v>
      </c>
      <c r="Y121" s="247">
        <f t="shared" si="99"/>
        <v>0</v>
      </c>
      <c r="Z121" s="247">
        <f t="shared" si="99"/>
        <v>0</v>
      </c>
      <c r="AA121" s="247">
        <f t="shared" si="99"/>
        <v>0</v>
      </c>
      <c r="AB121" s="247">
        <f t="shared" si="67"/>
        <v>224.43223718865224</v>
      </c>
      <c r="AC121" s="247">
        <f t="shared" si="67"/>
        <v>145.18473925803295</v>
      </c>
      <c r="AD121" s="247">
        <f t="shared" si="67"/>
        <v>207.51900067725185</v>
      </c>
      <c r="AE121" s="247">
        <f t="shared" si="67"/>
        <v>144.55263751975318</v>
      </c>
      <c r="AF121" s="247">
        <f t="shared" si="67"/>
        <v>134.88148092407252</v>
      </c>
      <c r="AG121" s="247">
        <f t="shared" si="67"/>
        <v>0</v>
      </c>
      <c r="AH121" s="247">
        <f t="shared" si="67"/>
        <v>208.26849273835501</v>
      </c>
      <c r="AI121" s="247">
        <f t="shared" si="67"/>
        <v>386.250282188276</v>
      </c>
      <c r="AJ121" s="247">
        <f t="shared" si="67"/>
        <v>0</v>
      </c>
      <c r="AK121" s="247">
        <f t="shared" si="67"/>
        <v>267.62284596282637</v>
      </c>
      <c r="AL121" s="247">
        <f t="shared" si="67"/>
        <v>201.25216344344946</v>
      </c>
      <c r="AM121" s="247">
        <f t="shared" si="67"/>
        <v>138.20453006245768</v>
      </c>
      <c r="AN121" s="247">
        <f>AN40/$C40*100</f>
        <v>188.97132967115658</v>
      </c>
      <c r="AO121" s="247">
        <f t="shared" si="67"/>
        <v>151.46963654150051</v>
      </c>
      <c r="AP121" s="247">
        <f t="shared" si="67"/>
        <v>173.18684626382722</v>
      </c>
      <c r="AQ121" s="247">
        <f t="shared" si="96"/>
        <v>185.48574008578521</v>
      </c>
      <c r="AR121" s="247">
        <f t="shared" si="96"/>
        <v>180.60049665136577</v>
      </c>
      <c r="AS121" s="246">
        <f t="shared" ref="AS121:AW121" si="100">AS40/$C40*100</f>
        <v>247.38656031304083</v>
      </c>
      <c r="AT121" s="246">
        <f t="shared" si="100"/>
        <v>0</v>
      </c>
      <c r="AU121" s="246">
        <f t="shared" si="100"/>
        <v>222.3372714274964</v>
      </c>
      <c r="AV121" s="246">
        <f t="shared" si="100"/>
        <v>201.32440364210998</v>
      </c>
      <c r="AW121" s="246">
        <f t="shared" si="100"/>
        <v>173.07848596583639</v>
      </c>
      <c r="AX121" s="246">
        <f t="shared" si="72"/>
        <v>-14.030051581071973</v>
      </c>
      <c r="AY121" s="247">
        <f t="shared" si="73"/>
        <v>-35.327462293754436</v>
      </c>
      <c r="AZ121" s="245"/>
      <c r="BA121" s="311"/>
      <c r="BB121" s="233"/>
      <c r="BC121" s="233"/>
      <c r="BD121" s="233"/>
    </row>
    <row r="122" spans="2:56" ht="25.5" customHeight="1">
      <c r="B122" s="189" t="s">
        <v>33</v>
      </c>
      <c r="C122" s="256">
        <v>4.9477743392723691E-2</v>
      </c>
      <c r="D122" s="247">
        <f t="shared" ref="D122:O122" si="101">D41/$C41*100</f>
        <v>197.37213105509502</v>
      </c>
      <c r="E122" s="247">
        <f t="shared" si="101"/>
        <v>0</v>
      </c>
      <c r="F122" s="247">
        <f t="shared" si="101"/>
        <v>115.69390402075226</v>
      </c>
      <c r="G122" s="247">
        <f t="shared" si="101"/>
        <v>111.71826538092822</v>
      </c>
      <c r="H122" s="247">
        <f t="shared" si="101"/>
        <v>246.71516381886875</v>
      </c>
      <c r="I122" s="247">
        <f t="shared" si="101"/>
        <v>192.15022838775164</v>
      </c>
      <c r="J122" s="247">
        <f t="shared" si="101"/>
        <v>108.65617774770202</v>
      </c>
      <c r="K122" s="247">
        <f t="shared" si="101"/>
        <v>52.72655501043252</v>
      </c>
      <c r="L122" s="247">
        <f t="shared" si="101"/>
        <v>51.993458523656457</v>
      </c>
      <c r="M122" s="247">
        <f t="shared" si="101"/>
        <v>0</v>
      </c>
      <c r="N122" s="247">
        <f t="shared" si="101"/>
        <v>0</v>
      </c>
      <c r="O122" s="247">
        <f t="shared" si="101"/>
        <v>122.97411605481305</v>
      </c>
      <c r="P122" s="247">
        <f t="shared" ref="P122:AA122" si="102">P41/$C41*100</f>
        <v>95.268708058422149</v>
      </c>
      <c r="Q122" s="247">
        <f t="shared" si="102"/>
        <v>0</v>
      </c>
      <c r="R122" s="247">
        <f t="shared" si="102"/>
        <v>0</v>
      </c>
      <c r="S122" s="247">
        <f t="shared" si="102"/>
        <v>0</v>
      </c>
      <c r="T122" s="247">
        <f t="shared" si="102"/>
        <v>45.841087238481926</v>
      </c>
      <c r="U122" s="247">
        <f t="shared" si="102"/>
        <v>177.41498900355271</v>
      </c>
      <c r="V122" s="247">
        <f t="shared" si="102"/>
        <v>25.906502001917325</v>
      </c>
      <c r="W122" s="247">
        <f t="shared" si="102"/>
        <v>0</v>
      </c>
      <c r="X122" s="247">
        <f t="shared" si="102"/>
        <v>0</v>
      </c>
      <c r="Y122" s="247">
        <f t="shared" si="102"/>
        <v>0</v>
      </c>
      <c r="Z122" s="247">
        <f t="shared" si="102"/>
        <v>0</v>
      </c>
      <c r="AA122" s="247">
        <f t="shared" si="102"/>
        <v>0</v>
      </c>
      <c r="AB122" s="247">
        <f t="shared" si="67"/>
        <v>108.44752720915807</v>
      </c>
      <c r="AC122" s="247">
        <f t="shared" si="67"/>
        <v>0</v>
      </c>
      <c r="AD122" s="247">
        <f t="shared" si="67"/>
        <v>0</v>
      </c>
      <c r="AE122" s="247">
        <f t="shared" si="67"/>
        <v>0</v>
      </c>
      <c r="AF122" s="247">
        <f t="shared" si="67"/>
        <v>153.18896971747586</v>
      </c>
      <c r="AG122" s="247">
        <f t="shared" si="67"/>
        <v>151.00095866463653</v>
      </c>
      <c r="AH122" s="247">
        <f t="shared" si="67"/>
        <v>91.648339254497273</v>
      </c>
      <c r="AI122" s="247">
        <f t="shared" si="67"/>
        <v>73.467546382450791</v>
      </c>
      <c r="AJ122" s="247">
        <f t="shared" si="67"/>
        <v>161.49551683302317</v>
      </c>
      <c r="AK122" s="247">
        <f t="shared" si="67"/>
        <v>66.47493373935599</v>
      </c>
      <c r="AL122" s="247">
        <f t="shared" si="67"/>
        <v>28.133987480967686</v>
      </c>
      <c r="AM122" s="247">
        <f t="shared" si="67"/>
        <v>81.621834996898428</v>
      </c>
      <c r="AN122" s="247">
        <f t="shared" si="67"/>
        <v>81.475215699543213</v>
      </c>
      <c r="AO122" s="247">
        <f t="shared" si="67"/>
        <v>0</v>
      </c>
      <c r="AP122" s="247">
        <f t="shared" si="67"/>
        <v>0</v>
      </c>
      <c r="AQ122" s="247">
        <f t="shared" ref="AQ122:AR123" si="103">AQ41/$C41*100</f>
        <v>341.76958213500251</v>
      </c>
      <c r="AR122" s="247">
        <f t="shared" si="103"/>
        <v>237.63604579033438</v>
      </c>
      <c r="AS122" s="246">
        <f t="shared" ref="AS122:AW122" si="104">AS41/$C41*100</f>
        <v>114.66756893926578</v>
      </c>
      <c r="AT122" s="246">
        <f t="shared" si="104"/>
        <v>76.896182259065029</v>
      </c>
      <c r="AU122" s="246">
        <f t="shared" si="104"/>
        <v>52.551739694355149</v>
      </c>
      <c r="AV122" s="246">
        <f t="shared" si="104"/>
        <v>52.816782270343424</v>
      </c>
      <c r="AW122" s="246">
        <f t="shared" si="104"/>
        <v>42.564709862967348</v>
      </c>
      <c r="AX122" s="246">
        <f t="shared" si="72"/>
        <v>-19.410634208840477</v>
      </c>
      <c r="AY122" s="247">
        <f t="shared" si="73"/>
        <v>-35.96878181201221</v>
      </c>
      <c r="AZ122" s="245"/>
      <c r="BA122" s="311"/>
      <c r="BB122" s="233"/>
      <c r="BC122" s="233"/>
      <c r="BD122" s="233"/>
    </row>
    <row r="123" spans="2:56" ht="25.5" customHeight="1">
      <c r="B123" s="189" t="s">
        <v>34</v>
      </c>
      <c r="C123" s="256">
        <v>1.650542326169813E-2</v>
      </c>
      <c r="D123" s="247">
        <f t="shared" ref="D123:O123" si="105">D42/$C42*100</f>
        <v>210.27852434975549</v>
      </c>
      <c r="E123" s="247">
        <f t="shared" si="105"/>
        <v>0</v>
      </c>
      <c r="F123" s="247">
        <f t="shared" si="105"/>
        <v>210.27852434975549</v>
      </c>
      <c r="G123" s="247">
        <f t="shared" si="105"/>
        <v>0</v>
      </c>
      <c r="H123" s="247">
        <f t="shared" si="105"/>
        <v>0</v>
      </c>
      <c r="I123" s="247">
        <f t="shared" si="105"/>
        <v>0</v>
      </c>
      <c r="J123" s="247">
        <f t="shared" si="105"/>
        <v>264.11893300478107</v>
      </c>
      <c r="K123" s="247">
        <f t="shared" si="105"/>
        <v>187.10032655330886</v>
      </c>
      <c r="L123" s="247">
        <f t="shared" si="105"/>
        <v>174.99114108302302</v>
      </c>
      <c r="M123" s="247">
        <f t="shared" si="105"/>
        <v>0</v>
      </c>
      <c r="N123" s="247">
        <f t="shared" si="105"/>
        <v>0</v>
      </c>
      <c r="O123" s="247">
        <f t="shared" si="105"/>
        <v>153.23255065937599</v>
      </c>
      <c r="P123" s="247">
        <f t="shared" ref="P123:AA123" si="106">P42/$C42*100</f>
        <v>153.23255065937599</v>
      </c>
      <c r="Q123" s="247">
        <f t="shared" si="106"/>
        <v>191.89559016741987</v>
      </c>
      <c r="R123" s="247">
        <f t="shared" si="106"/>
        <v>191.89559016741987</v>
      </c>
      <c r="S123" s="247">
        <f t="shared" si="106"/>
        <v>0</v>
      </c>
      <c r="T123" s="247">
        <f t="shared" si="106"/>
        <v>0</v>
      </c>
      <c r="U123" s="247">
        <f t="shared" si="106"/>
        <v>0</v>
      </c>
      <c r="V123" s="247">
        <f t="shared" si="106"/>
        <v>0</v>
      </c>
      <c r="W123" s="247">
        <f t="shared" si="106"/>
        <v>0</v>
      </c>
      <c r="X123" s="247">
        <f t="shared" si="106"/>
        <v>0</v>
      </c>
      <c r="Y123" s="247">
        <f t="shared" si="106"/>
        <v>0</v>
      </c>
      <c r="Z123" s="247">
        <f t="shared" si="106"/>
        <v>0</v>
      </c>
      <c r="AA123" s="247">
        <f t="shared" si="106"/>
        <v>0</v>
      </c>
      <c r="AB123" s="247">
        <f t="shared" si="67"/>
        <v>207.13183703954076</v>
      </c>
      <c r="AC123" s="247">
        <f t="shared" si="67"/>
        <v>0</v>
      </c>
      <c r="AD123" s="247">
        <f t="shared" si="67"/>
        <v>0</v>
      </c>
      <c r="AE123" s="247">
        <f t="shared" si="67"/>
        <v>0</v>
      </c>
      <c r="AF123" s="247">
        <f t="shared" si="67"/>
        <v>0</v>
      </c>
      <c r="AG123" s="247">
        <f t="shared" si="67"/>
        <v>0</v>
      </c>
      <c r="AH123" s="247">
        <f t="shared" si="67"/>
        <v>0</v>
      </c>
      <c r="AI123" s="247">
        <f t="shared" si="67"/>
        <v>202.9907703714203</v>
      </c>
      <c r="AJ123" s="247">
        <f t="shared" si="67"/>
        <v>277.28791752757166</v>
      </c>
      <c r="AK123" s="247">
        <f t="shared" si="67"/>
        <v>109.42098118638614</v>
      </c>
      <c r="AL123" s="247">
        <f t="shared" si="67"/>
        <v>63.215050891070746</v>
      </c>
      <c r="AM123" s="247">
        <f t="shared" si="67"/>
        <v>107.7266110962705</v>
      </c>
      <c r="AN123" s="247">
        <f t="shared" si="67"/>
        <v>107.47801625679409</v>
      </c>
      <c r="AO123" s="247">
        <f t="shared" si="67"/>
        <v>0</v>
      </c>
      <c r="AP123" s="247">
        <f t="shared" si="67"/>
        <v>0</v>
      </c>
      <c r="AQ123" s="247">
        <f t="shared" si="103"/>
        <v>0</v>
      </c>
      <c r="AR123" s="247">
        <f t="shared" si="103"/>
        <v>0</v>
      </c>
      <c r="AS123" s="246">
        <f t="shared" ref="AS123:AW123" si="107">AS42/$C42*100</f>
        <v>0</v>
      </c>
      <c r="AT123" s="246">
        <f t="shared" si="107"/>
        <v>281.80841842436666</v>
      </c>
      <c r="AU123" s="246">
        <f t="shared" si="107"/>
        <v>275.18140336148196</v>
      </c>
      <c r="AV123" s="246">
        <f t="shared" si="107"/>
        <v>145.64386608588512</v>
      </c>
      <c r="AW123" s="246">
        <f t="shared" si="107"/>
        <v>107.7266110962705</v>
      </c>
      <c r="AX123" s="246">
        <f t="shared" si="72"/>
        <v>-26.034227193100662</v>
      </c>
      <c r="AY123" s="247">
        <f t="shared" si="73"/>
        <v>-1.548487384909734</v>
      </c>
      <c r="AZ123" s="245"/>
      <c r="BA123" s="311"/>
      <c r="BB123" s="233"/>
      <c r="BC123" s="233"/>
      <c r="BD123" s="233"/>
    </row>
    <row r="124" spans="2:56" ht="25.5" customHeight="1">
      <c r="B124" s="189" t="s">
        <v>35</v>
      </c>
      <c r="C124" s="256">
        <v>1.7680926210311088E-2</v>
      </c>
      <c r="D124" s="247">
        <f t="shared" ref="D124:O124" si="108">D43/$C43*100</f>
        <v>194.79446912344366</v>
      </c>
      <c r="E124" s="247">
        <f t="shared" si="108"/>
        <v>198.45085403240944</v>
      </c>
      <c r="F124" s="247">
        <f t="shared" si="108"/>
        <v>198.45085403240944</v>
      </c>
      <c r="G124" s="247">
        <f t="shared" si="108"/>
        <v>0</v>
      </c>
      <c r="H124" s="247">
        <f t="shared" si="108"/>
        <v>0</v>
      </c>
      <c r="I124" s="247">
        <f t="shared" si="108"/>
        <v>0</v>
      </c>
      <c r="J124" s="247">
        <f t="shared" si="108"/>
        <v>158.8237502346243</v>
      </c>
      <c r="K124" s="247">
        <f t="shared" si="108"/>
        <v>135.62410060689481</v>
      </c>
      <c r="L124" s="247">
        <f t="shared" si="108"/>
        <v>172.72852405681036</v>
      </c>
      <c r="M124" s="247">
        <f t="shared" si="108"/>
        <v>0</v>
      </c>
      <c r="N124" s="247">
        <f t="shared" si="108"/>
        <v>0</v>
      </c>
      <c r="O124" s="247">
        <f t="shared" si="108"/>
        <v>141.12744791340799</v>
      </c>
      <c r="P124" s="247">
        <f t="shared" ref="P124:AA124" si="109">P43/$C43*100</f>
        <v>134.39279234186324</v>
      </c>
      <c r="Q124" s="247">
        <f t="shared" si="109"/>
        <v>0</v>
      </c>
      <c r="R124" s="247">
        <f t="shared" si="109"/>
        <v>0</v>
      </c>
      <c r="S124" s="247">
        <f t="shared" si="109"/>
        <v>0</v>
      </c>
      <c r="T124" s="247">
        <f t="shared" si="109"/>
        <v>143.77025589689046</v>
      </c>
      <c r="U124" s="247">
        <f t="shared" si="109"/>
        <v>220.82462616530063</v>
      </c>
      <c r="V124" s="247">
        <f t="shared" si="109"/>
        <v>106.38052931239442</v>
      </c>
      <c r="W124" s="247">
        <f t="shared" si="109"/>
        <v>0</v>
      </c>
      <c r="X124" s="247">
        <f t="shared" si="109"/>
        <v>0</v>
      </c>
      <c r="Y124" s="247">
        <f t="shared" si="109"/>
        <v>0</v>
      </c>
      <c r="Z124" s="247">
        <f t="shared" si="109"/>
        <v>0</v>
      </c>
      <c r="AA124" s="247">
        <f t="shared" si="109"/>
        <v>0</v>
      </c>
      <c r="AB124" s="247">
        <f t="shared" si="67"/>
        <v>134.06994932115373</v>
      </c>
      <c r="AC124" s="247">
        <f t="shared" si="67"/>
        <v>0</v>
      </c>
      <c r="AD124" s="247">
        <f t="shared" si="67"/>
        <v>0</v>
      </c>
      <c r="AE124" s="247">
        <f t="shared" si="67"/>
        <v>0</v>
      </c>
      <c r="AF124" s="247">
        <f t="shared" si="67"/>
        <v>0</v>
      </c>
      <c r="AG124" s="247">
        <f t="shared" si="67"/>
        <v>220.82462616530063</v>
      </c>
      <c r="AH124" s="247">
        <f t="shared" si="67"/>
        <v>239.17412250516173</v>
      </c>
      <c r="AI124" s="247">
        <f t="shared" si="67"/>
        <v>254.74566727147595</v>
      </c>
      <c r="AJ124" s="247">
        <f t="shared" si="67"/>
        <v>177.67628104861416</v>
      </c>
      <c r="AK124" s="247">
        <f t="shared" si="67"/>
        <v>136.7427892135394</v>
      </c>
      <c r="AL124" s="247">
        <f t="shared" si="67"/>
        <v>147.86210348495277</v>
      </c>
      <c r="AM124" s="247">
        <f t="shared" si="67"/>
        <v>134.46036413689546</v>
      </c>
      <c r="AN124" s="247">
        <f t="shared" si="67"/>
        <v>192.03904148157417</v>
      </c>
      <c r="AO124" s="247">
        <f t="shared" si="67"/>
        <v>0</v>
      </c>
      <c r="AP124" s="247">
        <f t="shared" si="67"/>
        <v>0</v>
      </c>
      <c r="AQ124" s="247">
        <f t="shared" ref="AQ124:AR125" si="110">AQ43/$C43*100</f>
        <v>249.43752737283367</v>
      </c>
      <c r="AR124" s="247">
        <f t="shared" si="110"/>
        <v>0</v>
      </c>
      <c r="AS124" s="246">
        <f t="shared" ref="AS124:AW124" si="111">AS43/$C43*100</f>
        <v>171.15184883939187</v>
      </c>
      <c r="AT124" s="246">
        <f t="shared" si="111"/>
        <v>280.88093599449417</v>
      </c>
      <c r="AU124" s="246">
        <f t="shared" si="111"/>
        <v>186.76844146906089</v>
      </c>
      <c r="AV124" s="246">
        <f t="shared" si="111"/>
        <v>186.76844146906089</v>
      </c>
      <c r="AW124" s="246">
        <f t="shared" si="111"/>
        <v>129.3173997372208</v>
      </c>
      <c r="AX124" s="246">
        <f t="shared" si="72"/>
        <v>-30.760572439298926</v>
      </c>
      <c r="AY124" s="247">
        <f t="shared" si="73"/>
        <v>-5.4301872289024402</v>
      </c>
      <c r="AZ124" s="245"/>
      <c r="BA124" s="311"/>
      <c r="BB124" s="233"/>
      <c r="BC124" s="233"/>
      <c r="BD124" s="233"/>
    </row>
    <row r="125" spans="2:56" ht="25.5" customHeight="1">
      <c r="B125" s="189" t="s">
        <v>37</v>
      </c>
      <c r="C125" s="256">
        <v>8.3183856904019068E-2</v>
      </c>
      <c r="D125" s="247">
        <f t="shared" ref="D125:F125" si="112">D44/$C44*100</f>
        <v>232.45797969712095</v>
      </c>
      <c r="E125" s="247">
        <f t="shared" si="112"/>
        <v>227.97137626892993</v>
      </c>
      <c r="F125" s="247">
        <f t="shared" si="112"/>
        <v>89.632218339157916</v>
      </c>
      <c r="G125" s="247">
        <f>G44/$C44*100</f>
        <v>246.57014478282574</v>
      </c>
      <c r="H125" s="247">
        <f t="shared" ref="H125:O125" si="113">H44/$C44*100</f>
        <v>98.785155599933432</v>
      </c>
      <c r="I125" s="247">
        <f t="shared" si="113"/>
        <v>72.531203195207169</v>
      </c>
      <c r="J125" s="247">
        <f t="shared" si="113"/>
        <v>69.702113496422015</v>
      </c>
      <c r="K125" s="247">
        <f t="shared" si="113"/>
        <v>49.505741387918114</v>
      </c>
      <c r="L125" s="247">
        <f t="shared" si="113"/>
        <v>19.743717756698285</v>
      </c>
      <c r="M125" s="247">
        <f t="shared" si="113"/>
        <v>0</v>
      </c>
      <c r="N125" s="247">
        <f t="shared" si="113"/>
        <v>0</v>
      </c>
      <c r="O125" s="247">
        <f t="shared" si="113"/>
        <v>93.100349475786317</v>
      </c>
      <c r="P125" s="247">
        <f t="shared" ref="P125:R125" si="114">P44/$C44*100</f>
        <v>67.651855550008307</v>
      </c>
      <c r="Q125" s="247">
        <f t="shared" si="114"/>
        <v>176.40206357130967</v>
      </c>
      <c r="R125" s="247">
        <f t="shared" si="114"/>
        <v>261.12165085704771</v>
      </c>
      <c r="S125" s="247">
        <f>S44/$C44*100</f>
        <v>199.03478116159093</v>
      </c>
      <c r="T125" s="247">
        <f t="shared" ref="T125:AA125" si="115">T44/$C44*100</f>
        <v>80.592444666333819</v>
      </c>
      <c r="U125" s="247">
        <f t="shared" si="115"/>
        <v>58.485604925944415</v>
      </c>
      <c r="V125" s="247">
        <f t="shared" si="115"/>
        <v>108.85671492760858</v>
      </c>
      <c r="W125" s="247">
        <f t="shared" si="115"/>
        <v>0</v>
      </c>
      <c r="X125" s="247">
        <f t="shared" si="115"/>
        <v>0</v>
      </c>
      <c r="Y125" s="247">
        <f t="shared" si="115"/>
        <v>0</v>
      </c>
      <c r="Z125" s="247">
        <f t="shared" si="115"/>
        <v>0</v>
      </c>
      <c r="AA125" s="247">
        <f t="shared" si="115"/>
        <v>0</v>
      </c>
      <c r="AB125" s="247">
        <f t="shared" si="67"/>
        <v>58.598768513895813</v>
      </c>
      <c r="AC125" s="247">
        <f t="shared" si="67"/>
        <v>92.953902479613888</v>
      </c>
      <c r="AD125" s="247">
        <f t="shared" si="67"/>
        <v>87.029455816275586</v>
      </c>
      <c r="AE125" s="247">
        <f>AE44/$C44*100</f>
        <v>122.68264270261272</v>
      </c>
      <c r="AF125" s="247">
        <f t="shared" si="67"/>
        <v>106.19404226992843</v>
      </c>
      <c r="AG125" s="247">
        <f t="shared" si="67"/>
        <v>78.462306540189701</v>
      </c>
      <c r="AH125" s="247">
        <f t="shared" si="67"/>
        <v>88.367448826759841</v>
      </c>
      <c r="AI125" s="247">
        <f t="shared" si="67"/>
        <v>223.37826593443165</v>
      </c>
      <c r="AJ125" s="247">
        <f t="shared" si="67"/>
        <v>84.866034281910459</v>
      </c>
      <c r="AK125" s="247">
        <f t="shared" si="67"/>
        <v>247.09602263271756</v>
      </c>
      <c r="AL125" s="247">
        <f t="shared" si="67"/>
        <v>75.167249126310523</v>
      </c>
      <c r="AM125" s="247">
        <f t="shared" si="67"/>
        <v>71.279747046097512</v>
      </c>
      <c r="AN125" s="247">
        <f t="shared" si="67"/>
        <v>241.8771842236645</v>
      </c>
      <c r="AO125" s="247">
        <f t="shared" si="67"/>
        <v>227.97137626892993</v>
      </c>
      <c r="AP125" s="247">
        <f t="shared" si="67"/>
        <v>155.55999334331833</v>
      </c>
      <c r="AQ125" s="247">
        <f t="shared" si="110"/>
        <v>114.38176069229489</v>
      </c>
      <c r="AR125" s="247">
        <f t="shared" si="110"/>
        <v>187.33233483108668</v>
      </c>
      <c r="AS125" s="246">
        <f t="shared" ref="AS125:AW125" si="116">AS44/$C44*100</f>
        <v>124.32684306873023</v>
      </c>
      <c r="AT125" s="246">
        <f t="shared" si="116"/>
        <v>88.214345148943238</v>
      </c>
      <c r="AU125" s="246">
        <f t="shared" si="116"/>
        <v>77.097686803128624</v>
      </c>
      <c r="AV125" s="246">
        <f t="shared" si="116"/>
        <v>78.875020802130123</v>
      </c>
      <c r="AW125" s="246">
        <f t="shared" si="116"/>
        <v>121.36461973706105</v>
      </c>
      <c r="AX125" s="246">
        <f t="shared" si="72"/>
        <v>53.869524854418103</v>
      </c>
      <c r="AY125" s="247">
        <f t="shared" si="73"/>
        <v>-50.883620689655181</v>
      </c>
      <c r="AZ125" s="245"/>
      <c r="BA125" s="311"/>
      <c r="BB125" s="233"/>
      <c r="BC125" s="233"/>
      <c r="BD125" s="233"/>
    </row>
    <row r="126" spans="2:56" ht="25.5" customHeight="1">
      <c r="B126" s="189" t="s">
        <v>38</v>
      </c>
      <c r="C126" s="256">
        <v>7.2445744983953272E-2</v>
      </c>
      <c r="D126" s="247">
        <f t="shared" ref="D126:O126" si="117">D45/$C45*100</f>
        <v>127.3323700918217</v>
      </c>
      <c r="E126" s="247">
        <f t="shared" si="117"/>
        <v>131.95216423424651</v>
      </c>
      <c r="F126" s="247">
        <f t="shared" si="117"/>
        <v>79.570024049661839</v>
      </c>
      <c r="G126" s="247">
        <f t="shared" si="117"/>
        <v>155.70626467805926</v>
      </c>
      <c r="H126" s="247">
        <f t="shared" si="117"/>
        <v>133.14382262550771</v>
      </c>
      <c r="I126" s="247">
        <f t="shared" si="117"/>
        <v>91.277644168545308</v>
      </c>
      <c r="J126" s="247">
        <f t="shared" si="117"/>
        <v>99.816921360900253</v>
      </c>
      <c r="K126" s="247">
        <f t="shared" si="117"/>
        <v>130.19009116280822</v>
      </c>
      <c r="L126" s="247">
        <f t="shared" si="117"/>
        <v>142.40035392065963</v>
      </c>
      <c r="M126" s="247">
        <f t="shared" si="117"/>
        <v>0</v>
      </c>
      <c r="N126" s="247">
        <f t="shared" si="117"/>
        <v>0</v>
      </c>
      <c r="O126" s="247">
        <f t="shared" si="117"/>
        <v>108.61034370778955</v>
      </c>
      <c r="P126" s="247">
        <f t="shared" ref="P126:AA126" si="118">P45/$C45*100</f>
        <v>298.38335443365634</v>
      </c>
      <c r="Q126" s="247">
        <f t="shared" si="118"/>
        <v>74.125670072525494</v>
      </c>
      <c r="R126" s="247">
        <f t="shared" si="118"/>
        <v>128.39413207076532</v>
      </c>
      <c r="S126" s="247">
        <f t="shared" si="118"/>
        <v>211.12685137685489</v>
      </c>
      <c r="T126" s="247">
        <f t="shared" si="118"/>
        <v>165.72523143681434</v>
      </c>
      <c r="U126" s="247">
        <f t="shared" si="118"/>
        <v>137.50382394329739</v>
      </c>
      <c r="V126" s="247">
        <f t="shared" si="118"/>
        <v>92.407178188698069</v>
      </c>
      <c r="W126" s="247">
        <f t="shared" si="118"/>
        <v>0</v>
      </c>
      <c r="X126" s="247">
        <f t="shared" si="118"/>
        <v>0</v>
      </c>
      <c r="Y126" s="247">
        <f t="shared" si="118"/>
        <v>0</v>
      </c>
      <c r="Z126" s="247">
        <f t="shared" si="118"/>
        <v>0</v>
      </c>
      <c r="AA126" s="247">
        <f t="shared" si="118"/>
        <v>0</v>
      </c>
      <c r="AB126" s="247">
        <f t="shared" si="67"/>
        <v>325.04600497936246</v>
      </c>
      <c r="AC126" s="247">
        <f t="shared" si="67"/>
        <v>115.01480160205575</v>
      </c>
      <c r="AD126" s="247">
        <f t="shared" si="67"/>
        <v>80.129143389637463</v>
      </c>
      <c r="AE126" s="247">
        <f t="shared" si="67"/>
        <v>165.9680812511472</v>
      </c>
      <c r="AF126" s="247">
        <f t="shared" si="67"/>
        <v>233.13017408943088</v>
      </c>
      <c r="AG126" s="247">
        <f t="shared" si="67"/>
        <v>53.997373833403138</v>
      </c>
      <c r="AH126" s="247">
        <f t="shared" si="67"/>
        <v>52.907373503955725</v>
      </c>
      <c r="AI126" s="247">
        <f t="shared" si="67"/>
        <v>34.134518089016694</v>
      </c>
      <c r="AJ126" s="247">
        <f t="shared" si="67"/>
        <v>89.080700499348168</v>
      </c>
      <c r="AK126" s="247">
        <f t="shared" si="67"/>
        <v>153.16481313271552</v>
      </c>
      <c r="AL126" s="247">
        <f t="shared" si="67"/>
        <v>118.63495813664538</v>
      </c>
      <c r="AM126" s="247">
        <f t="shared" si="67"/>
        <v>205.03866300823148</v>
      </c>
      <c r="AN126" s="247">
        <f t="shared" si="67"/>
        <v>128.36024605016073</v>
      </c>
      <c r="AO126" s="247">
        <f t="shared" si="67"/>
        <v>206.12866333767892</v>
      </c>
      <c r="AP126" s="247">
        <f t="shared" si="67"/>
        <v>76.774427349783736</v>
      </c>
      <c r="AQ126" s="247">
        <f t="shared" ref="AQ126:AR127" si="119">AQ45/$C45*100</f>
        <v>109.29935946008274</v>
      </c>
      <c r="AR126" s="247">
        <f t="shared" si="119"/>
        <v>94.146660579733336</v>
      </c>
      <c r="AS126" s="246">
        <f t="shared" ref="AS126:AW126" si="120">AS45/$C45*100</f>
        <v>67.484010034027207</v>
      </c>
      <c r="AT126" s="246">
        <f t="shared" si="120"/>
        <v>150.45957915444967</v>
      </c>
      <c r="AU126" s="246">
        <f t="shared" si="120"/>
        <v>98.551843258329143</v>
      </c>
      <c r="AV126" s="246">
        <f t="shared" si="120"/>
        <v>132.35879648150154</v>
      </c>
      <c r="AW126" s="246">
        <f t="shared" si="120"/>
        <v>67.732507518460821</v>
      </c>
      <c r="AX126" s="246">
        <f t="shared" si="72"/>
        <v>-48.826591568527057</v>
      </c>
      <c r="AY126" s="247">
        <f t="shared" si="73"/>
        <v>-55.778023598820056</v>
      </c>
      <c r="AZ126" s="245"/>
      <c r="BA126" s="311"/>
      <c r="BB126" s="233"/>
      <c r="BC126" s="233"/>
      <c r="BD126" s="233"/>
    </row>
    <row r="127" spans="2:56" ht="25.5" customHeight="1">
      <c r="B127" s="189" t="s">
        <v>39</v>
      </c>
      <c r="C127" s="256">
        <v>7.3872117464282424E-3</v>
      </c>
      <c r="D127" s="247">
        <f t="shared" ref="D127:O127" si="121">D46/$C46*100</f>
        <v>188.66768297284653</v>
      </c>
      <c r="E127" s="247">
        <f t="shared" si="121"/>
        <v>128.15419679108871</v>
      </c>
      <c r="F127" s="247">
        <f t="shared" si="121"/>
        <v>112.07039681221983</v>
      </c>
      <c r="G127" s="247">
        <f t="shared" si="121"/>
        <v>0</v>
      </c>
      <c r="H127" s="247">
        <f t="shared" si="121"/>
        <v>181.97515584199962</v>
      </c>
      <c r="I127" s="247">
        <f t="shared" si="121"/>
        <v>146.77373100086032</v>
      </c>
      <c r="J127" s="247">
        <f t="shared" si="121"/>
        <v>121.02697236351561</v>
      </c>
      <c r="K127" s="247">
        <f t="shared" si="121"/>
        <v>110.7210239536323</v>
      </c>
      <c r="L127" s="247">
        <f t="shared" si="121"/>
        <v>98.051408992800333</v>
      </c>
      <c r="M127" s="247">
        <f t="shared" si="121"/>
        <v>0</v>
      </c>
      <c r="N127" s="247">
        <f t="shared" si="121"/>
        <v>0</v>
      </c>
      <c r="O127" s="247">
        <f t="shared" si="121"/>
        <v>112.55943127103679</v>
      </c>
      <c r="P127" s="247">
        <f t="shared" ref="P127:AA127" si="122">P46/$C46*100</f>
        <v>110.7210239536323</v>
      </c>
      <c r="Q127" s="247">
        <f t="shared" si="122"/>
        <v>84.901815766833195</v>
      </c>
      <c r="R127" s="247">
        <f t="shared" si="122"/>
        <v>152.37045869620997</v>
      </c>
      <c r="S127" s="247">
        <f t="shared" si="122"/>
        <v>111.80776719544774</v>
      </c>
      <c r="T127" s="247">
        <f t="shared" si="122"/>
        <v>92.943715756267636</v>
      </c>
      <c r="U127" s="247">
        <f t="shared" si="122"/>
        <v>161.71645057582299</v>
      </c>
      <c r="V127" s="247">
        <f t="shared" si="122"/>
        <v>158.63734472401251</v>
      </c>
      <c r="W127" s="247">
        <f t="shared" si="122"/>
        <v>0</v>
      </c>
      <c r="X127" s="247">
        <f t="shared" si="122"/>
        <v>0</v>
      </c>
      <c r="Y127" s="247">
        <f t="shared" si="122"/>
        <v>0</v>
      </c>
      <c r="Z127" s="247">
        <f t="shared" si="122"/>
        <v>0</v>
      </c>
      <c r="AA127" s="247">
        <f t="shared" si="122"/>
        <v>0</v>
      </c>
      <c r="AB127" s="247">
        <f t="shared" si="67"/>
        <v>120.04890344588171</v>
      </c>
      <c r="AC127" s="247">
        <f t="shared" si="67"/>
        <v>130.2008965631745</v>
      </c>
      <c r="AD127" s="247">
        <f t="shared" si="67"/>
        <v>112.07039681221983</v>
      </c>
      <c r="AE127" s="247">
        <f t="shared" si="67"/>
        <v>167.68448221212623</v>
      </c>
      <c r="AF127" s="247">
        <f t="shared" si="67"/>
        <v>137.84432403060993</v>
      </c>
      <c r="AG127" s="247">
        <f t="shared" si="67"/>
        <v>119.8043862164732</v>
      </c>
      <c r="AH127" s="247">
        <f t="shared" si="67"/>
        <v>73.255550692044139</v>
      </c>
      <c r="AI127" s="247">
        <f t="shared" si="67"/>
        <v>95.397944244034235</v>
      </c>
      <c r="AJ127" s="247">
        <f t="shared" si="67"/>
        <v>110.01464084645225</v>
      </c>
      <c r="AK127" s="247">
        <f t="shared" si="67"/>
        <v>69.243656891008698</v>
      </c>
      <c r="AL127" s="247">
        <f t="shared" si="67"/>
        <v>70.756041235868565</v>
      </c>
      <c r="AM127" s="247">
        <f t="shared" si="67"/>
        <v>84.494287051152398</v>
      </c>
      <c r="AN127" s="247">
        <f t="shared" si="67"/>
        <v>101.59238072238239</v>
      </c>
      <c r="AO127" s="247">
        <f t="shared" si="67"/>
        <v>128.15419679108871</v>
      </c>
      <c r="AP127" s="247">
        <f t="shared" si="67"/>
        <v>101.75539220865471</v>
      </c>
      <c r="AQ127" s="247">
        <f t="shared" si="119"/>
        <v>150.99391725657705</v>
      </c>
      <c r="AR127" s="247">
        <f t="shared" si="119"/>
        <v>161.89757444945889</v>
      </c>
      <c r="AS127" s="246">
        <f t="shared" ref="AS127:AW127" si="123">AS46/$C46*100</f>
        <v>199.4807782289104</v>
      </c>
      <c r="AT127" s="246">
        <f t="shared" si="123"/>
        <v>107.80492958809414</v>
      </c>
      <c r="AU127" s="246">
        <f t="shared" si="123"/>
        <v>91.440387605089583</v>
      </c>
      <c r="AV127" s="246">
        <f t="shared" si="123"/>
        <v>86.396087724329476</v>
      </c>
      <c r="AW127" s="246">
        <f t="shared" si="123"/>
        <v>93.613874088720522</v>
      </c>
      <c r="AX127" s="246">
        <f t="shared" si="72"/>
        <v>8.3542976939203299</v>
      </c>
      <c r="AY127" s="247">
        <f t="shared" si="73"/>
        <v>35.194873136280449</v>
      </c>
      <c r="AZ127" s="245"/>
      <c r="BA127" s="311"/>
      <c r="BB127" s="233"/>
      <c r="BC127" s="233"/>
      <c r="BD127" s="233"/>
    </row>
    <row r="128" spans="2:56" ht="25.5" customHeight="1">
      <c r="B128" s="189" t="s">
        <v>40</v>
      </c>
      <c r="C128" s="256">
        <v>4.471928595363571E-2</v>
      </c>
      <c r="D128" s="247">
        <f t="shared" ref="D128:O128" si="124">D47/$C47*100</f>
        <v>113.3076075389958</v>
      </c>
      <c r="E128" s="247">
        <f t="shared" si="124"/>
        <v>219.82148469895901</v>
      </c>
      <c r="F128" s="247">
        <f t="shared" si="124"/>
        <v>78.652766154044258</v>
      </c>
      <c r="G128" s="247">
        <f t="shared" si="124"/>
        <v>151.32977615529393</v>
      </c>
      <c r="H128" s="247">
        <f t="shared" si="124"/>
        <v>106.55023157001821</v>
      </c>
      <c r="I128" s="247">
        <f t="shared" si="124"/>
        <v>135.83370886934</v>
      </c>
      <c r="J128" s="247">
        <f t="shared" si="124"/>
        <v>128.0084221049961</v>
      </c>
      <c r="K128" s="247">
        <f t="shared" si="124"/>
        <v>115.29801148950835</v>
      </c>
      <c r="L128" s="247">
        <f t="shared" si="124"/>
        <v>126.32248633869436</v>
      </c>
      <c r="M128" s="247">
        <f t="shared" si="124"/>
        <v>0</v>
      </c>
      <c r="N128" s="247">
        <f t="shared" si="124"/>
        <v>0</v>
      </c>
      <c r="O128" s="247">
        <f t="shared" si="124"/>
        <v>24.875505080150116</v>
      </c>
      <c r="P128" s="247">
        <f t="shared" ref="P128:AA128" si="125">P47/$C47*100</f>
        <v>86.000901286415953</v>
      </c>
      <c r="Q128" s="247">
        <f t="shared" si="125"/>
        <v>90.886025137559798</v>
      </c>
      <c r="R128" s="247">
        <f t="shared" si="125"/>
        <v>20.95377309546441</v>
      </c>
      <c r="S128" s="247">
        <f t="shared" si="125"/>
        <v>51.87774314851913</v>
      </c>
      <c r="T128" s="247">
        <f t="shared" si="125"/>
        <v>86.977926056644733</v>
      </c>
      <c r="U128" s="247">
        <f t="shared" si="125"/>
        <v>36.686144046776015</v>
      </c>
      <c r="V128" s="247">
        <f t="shared" si="125"/>
        <v>231.56850344798858</v>
      </c>
      <c r="W128" s="247">
        <f t="shared" si="125"/>
        <v>0</v>
      </c>
      <c r="X128" s="247">
        <f t="shared" si="125"/>
        <v>0</v>
      </c>
      <c r="Y128" s="247">
        <f t="shared" si="125"/>
        <v>0</v>
      </c>
      <c r="Z128" s="247">
        <f t="shared" si="125"/>
        <v>0</v>
      </c>
      <c r="AA128" s="247">
        <f t="shared" si="125"/>
        <v>0</v>
      </c>
      <c r="AB128" s="247">
        <f t="shared" si="67"/>
        <v>78.802728095521218</v>
      </c>
      <c r="AC128" s="247">
        <f t="shared" si="67"/>
        <v>79.507094790337305</v>
      </c>
      <c r="AD128" s="247">
        <f t="shared" si="67"/>
        <v>78.652766154044258</v>
      </c>
      <c r="AE128" s="247">
        <f t="shared" si="67"/>
        <v>27.279440445038571</v>
      </c>
      <c r="AF128" s="247">
        <f t="shared" si="67"/>
        <v>41.321331328791565</v>
      </c>
      <c r="AG128" s="247">
        <f t="shared" si="67"/>
        <v>76.307906705495199</v>
      </c>
      <c r="AH128" s="247">
        <f t="shared" si="67"/>
        <v>67.628291304858251</v>
      </c>
      <c r="AI128" s="247">
        <f t="shared" si="67"/>
        <v>115.27983428448086</v>
      </c>
      <c r="AJ128" s="247">
        <f t="shared" si="67"/>
        <v>62.438699269503587</v>
      </c>
      <c r="AK128" s="247">
        <f t="shared" si="67"/>
        <v>254.57630071156188</v>
      </c>
      <c r="AL128" s="247">
        <f t="shared" si="67"/>
        <v>149.77562512544165</v>
      </c>
      <c r="AM128" s="247">
        <f t="shared" si="67"/>
        <v>89.000140115955432</v>
      </c>
      <c r="AN128" s="247">
        <f t="shared" si="67"/>
        <v>114.7299738323986</v>
      </c>
      <c r="AO128" s="247">
        <f t="shared" si="67"/>
        <v>219.78058598764707</v>
      </c>
      <c r="AP128" s="247">
        <f t="shared" si="67"/>
        <v>34.29129728440131</v>
      </c>
      <c r="AQ128" s="247">
        <f t="shared" ref="AQ128:AR129" si="126">AQ47/$C47*100</f>
        <v>31.178450923439886</v>
      </c>
      <c r="AR128" s="247">
        <f t="shared" si="126"/>
        <v>47.556112653228169</v>
      </c>
      <c r="AS128" s="246">
        <f t="shared" ref="AS128:AW128" si="127">AS47/$C47*100</f>
        <v>81.783789720033184</v>
      </c>
      <c r="AT128" s="246">
        <f t="shared" si="127"/>
        <v>100.16548830410466</v>
      </c>
      <c r="AU128" s="246">
        <f t="shared" si="127"/>
        <v>81.406612715712299</v>
      </c>
      <c r="AV128" s="246">
        <f t="shared" si="127"/>
        <v>100.42905777700358</v>
      </c>
      <c r="AW128" s="246">
        <f t="shared" si="127"/>
        <v>79.234436714924641</v>
      </c>
      <c r="AX128" s="246">
        <f t="shared" si="72"/>
        <v>-21.104072398190027</v>
      </c>
      <c r="AY128" s="247">
        <f t="shared" si="73"/>
        <v>-68.875957230324346</v>
      </c>
      <c r="AZ128" s="245"/>
      <c r="BA128" s="311"/>
      <c r="BB128" s="233"/>
      <c r="BC128" s="233"/>
      <c r="BD128" s="233"/>
    </row>
    <row r="129" spans="2:56" ht="25.5" customHeight="1">
      <c r="B129" s="189" t="s">
        <v>41</v>
      </c>
      <c r="C129" s="256">
        <v>2.5611987262995482E-2</v>
      </c>
      <c r="D129" s="247">
        <f t="shared" ref="D129:O129" si="128">D48/$C48*100</f>
        <v>159.58678363532013</v>
      </c>
      <c r="E129" s="247">
        <f t="shared" si="128"/>
        <v>159.58678363532013</v>
      </c>
      <c r="F129" s="247">
        <f t="shared" si="128"/>
        <v>59.465988904375386</v>
      </c>
      <c r="G129" s="247">
        <f t="shared" si="128"/>
        <v>0</v>
      </c>
      <c r="H129" s="247">
        <f t="shared" si="128"/>
        <v>103.56207810663824</v>
      </c>
      <c r="I129" s="247">
        <f t="shared" si="128"/>
        <v>80.262359596622119</v>
      </c>
      <c r="J129" s="247">
        <f t="shared" si="128"/>
        <v>115.24363914623814</v>
      </c>
      <c r="K129" s="247">
        <f t="shared" si="128"/>
        <v>94.615615861823926</v>
      </c>
      <c r="L129" s="247">
        <f t="shared" si="128"/>
        <v>317.25615588532696</v>
      </c>
      <c r="M129" s="247">
        <f t="shared" si="128"/>
        <v>0</v>
      </c>
      <c r="N129" s="247">
        <f t="shared" si="128"/>
        <v>0</v>
      </c>
      <c r="O129" s="247">
        <f t="shared" si="128"/>
        <v>110.42059522833483</v>
      </c>
      <c r="P129" s="247">
        <f t="shared" ref="P129:AA129" si="129">P48/$C48*100</f>
        <v>72.214478970238588</v>
      </c>
      <c r="Q129" s="247">
        <f t="shared" si="129"/>
        <v>72.291000519253359</v>
      </c>
      <c r="R129" s="247">
        <f t="shared" si="129"/>
        <v>72.291000519253359</v>
      </c>
      <c r="S129" s="247">
        <f t="shared" si="129"/>
        <v>0</v>
      </c>
      <c r="T129" s="247">
        <f t="shared" si="129"/>
        <v>72.291000519253359</v>
      </c>
      <c r="U129" s="247">
        <f t="shared" si="129"/>
        <v>81.047252056516612</v>
      </c>
      <c r="V129" s="247">
        <f t="shared" si="129"/>
        <v>52.557186193326224</v>
      </c>
      <c r="W129" s="247">
        <f t="shared" si="129"/>
        <v>0</v>
      </c>
      <c r="X129" s="247">
        <f t="shared" si="129"/>
        <v>0</v>
      </c>
      <c r="Y129" s="247">
        <f t="shared" si="129"/>
        <v>0</v>
      </c>
      <c r="Z129" s="247">
        <f t="shared" si="129"/>
        <v>0</v>
      </c>
      <c r="AA129" s="247">
        <f t="shared" si="129"/>
        <v>0</v>
      </c>
      <c r="AB129" s="247">
        <f t="shared" ref="AB129:AQ132" si="130">AB48/$C48*100</f>
        <v>72.162007050914156</v>
      </c>
      <c r="AC129" s="247">
        <f t="shared" si="130"/>
        <v>80.262359596622119</v>
      </c>
      <c r="AD129" s="247">
        <f t="shared" si="130"/>
        <v>73.994151567325289</v>
      </c>
      <c r="AE129" s="247">
        <f t="shared" si="130"/>
        <v>182.1934355442595</v>
      </c>
      <c r="AF129" s="247">
        <f t="shared" si="130"/>
        <v>93.061135251837868</v>
      </c>
      <c r="AG129" s="247">
        <f t="shared" si="130"/>
        <v>92.516739088846975</v>
      </c>
      <c r="AH129" s="247">
        <f t="shared" si="130"/>
        <v>67.100653166079098</v>
      </c>
      <c r="AI129" s="247">
        <f t="shared" si="130"/>
        <v>86.353474898199011</v>
      </c>
      <c r="AJ129" s="247">
        <f t="shared" si="130"/>
        <v>43.656636877920796</v>
      </c>
      <c r="AK129" s="247">
        <f t="shared" si="130"/>
        <v>46.929572845781749</v>
      </c>
      <c r="AL129" s="247">
        <f t="shared" si="130"/>
        <v>25.726544778770734</v>
      </c>
      <c r="AM129" s="247">
        <f t="shared" si="130"/>
        <v>62.214205678992094</v>
      </c>
      <c r="AN129" s="247">
        <f t="shared" si="130"/>
        <v>159.58678363532013</v>
      </c>
      <c r="AO129" s="247">
        <f t="shared" si="130"/>
        <v>0</v>
      </c>
      <c r="AP129" s="247">
        <f t="shared" si="130"/>
        <v>209.33016315487416</v>
      </c>
      <c r="AQ129" s="247">
        <f t="shared" si="126"/>
        <v>97.401000245962109</v>
      </c>
      <c r="AR129" s="247">
        <f t="shared" si="126"/>
        <v>125.31387499658383</v>
      </c>
      <c r="AS129" s="246">
        <f t="shared" ref="AS129:AW129" si="131">AS48/$C48*100</f>
        <v>80.006558989915547</v>
      </c>
      <c r="AT129" s="246">
        <f t="shared" si="131"/>
        <v>75.386843759394381</v>
      </c>
      <c r="AU129" s="246">
        <f t="shared" si="131"/>
        <v>39.419529392473557</v>
      </c>
      <c r="AV129" s="246">
        <f t="shared" si="131"/>
        <v>31.29512721707523</v>
      </c>
      <c r="AW129" s="246">
        <f t="shared" si="131"/>
        <v>38.21923423792736</v>
      </c>
      <c r="AX129" s="246">
        <f t="shared" si="72"/>
        <v>22.125192119603227</v>
      </c>
      <c r="AY129" s="247">
        <f t="shared" si="73"/>
        <v>-18.560447239692522</v>
      </c>
      <c r="AZ129" s="244"/>
      <c r="BA129" s="311"/>
      <c r="BB129" s="233"/>
      <c r="BC129" s="233"/>
      <c r="BD129" s="233"/>
    </row>
    <row r="130" spans="2:56" ht="25.5" customHeight="1">
      <c r="B130" s="189" t="s">
        <v>43</v>
      </c>
      <c r="C130" s="256">
        <v>6.5030758396513608E-2</v>
      </c>
      <c r="D130" s="247">
        <f t="shared" ref="D130:O130" si="132">D49/$C49*100</f>
        <v>173.91762628791275</v>
      </c>
      <c r="E130" s="247">
        <f t="shared" si="132"/>
        <v>130.78605496851037</v>
      </c>
      <c r="F130" s="247">
        <f t="shared" si="132"/>
        <v>0</v>
      </c>
      <c r="G130" s="247">
        <f t="shared" si="132"/>
        <v>121.29963898916969</v>
      </c>
      <c r="H130" s="247">
        <f t="shared" si="132"/>
        <v>144.21723892592692</v>
      </c>
      <c r="I130" s="247">
        <f t="shared" si="132"/>
        <v>179.15887111649846</v>
      </c>
      <c r="J130" s="247">
        <f t="shared" si="132"/>
        <v>128.80971830614774</v>
      </c>
      <c r="K130" s="247">
        <f t="shared" si="132"/>
        <v>104.374291812696</v>
      </c>
      <c r="L130" s="247">
        <f t="shared" si="132"/>
        <v>138.81788716435216</v>
      </c>
      <c r="M130" s="247">
        <f t="shared" si="132"/>
        <v>0</v>
      </c>
      <c r="N130" s="247">
        <f t="shared" si="132"/>
        <v>0</v>
      </c>
      <c r="O130" s="247">
        <f t="shared" si="132"/>
        <v>78.618672428786013</v>
      </c>
      <c r="P130" s="247">
        <f t="shared" ref="P130:AA130" si="133">P49/$C49*100</f>
        <v>84.488392316003072</v>
      </c>
      <c r="Q130" s="247">
        <f t="shared" si="133"/>
        <v>49.65743497852381</v>
      </c>
      <c r="R130" s="247">
        <f t="shared" si="133"/>
        <v>344.30946797017054</v>
      </c>
      <c r="S130" s="247">
        <f t="shared" si="133"/>
        <v>0</v>
      </c>
      <c r="T130" s="247">
        <f t="shared" si="133"/>
        <v>0</v>
      </c>
      <c r="U130" s="247">
        <f t="shared" si="133"/>
        <v>341.92600595536112</v>
      </c>
      <c r="V130" s="247">
        <f t="shared" si="133"/>
        <v>123.57242615088673</v>
      </c>
      <c r="W130" s="247">
        <f t="shared" si="133"/>
        <v>0</v>
      </c>
      <c r="X130" s="247">
        <f t="shared" si="133"/>
        <v>0</v>
      </c>
      <c r="Y130" s="247">
        <f t="shared" si="133"/>
        <v>0</v>
      </c>
      <c r="Z130" s="247">
        <f t="shared" si="133"/>
        <v>0</v>
      </c>
      <c r="AA130" s="247">
        <f t="shared" si="133"/>
        <v>0</v>
      </c>
      <c r="AB130" s="247">
        <f t="shared" si="130"/>
        <v>63.27439458220244</v>
      </c>
      <c r="AC130" s="247">
        <f t="shared" si="130"/>
        <v>283.28019183641203</v>
      </c>
      <c r="AD130" s="247">
        <f t="shared" si="130"/>
        <v>0</v>
      </c>
      <c r="AE130" s="247">
        <f t="shared" si="130"/>
        <v>479.69248201533634</v>
      </c>
      <c r="AF130" s="247">
        <f t="shared" si="130"/>
        <v>309.06743260691985</v>
      </c>
      <c r="AG130" s="247">
        <f t="shared" si="130"/>
        <v>343.11576062610345</v>
      </c>
      <c r="AH130" s="247">
        <f t="shared" si="130"/>
        <v>109.49695644153996</v>
      </c>
      <c r="AI130" s="247">
        <f t="shared" si="130"/>
        <v>80.500144931355237</v>
      </c>
      <c r="AJ130" s="247">
        <f t="shared" si="130"/>
        <v>112.75000658778889</v>
      </c>
      <c r="AK130" s="247">
        <f t="shared" si="130"/>
        <v>48.653455954043586</v>
      </c>
      <c r="AL130" s="247">
        <f t="shared" si="130"/>
        <v>43.345015678937528</v>
      </c>
      <c r="AM130" s="247">
        <f t="shared" si="130"/>
        <v>116.46947218635539</v>
      </c>
      <c r="AN130" s="247">
        <f t="shared" si="130"/>
        <v>126.87290837703236</v>
      </c>
      <c r="AO130" s="247">
        <f t="shared" si="130"/>
        <v>130.78605496851037</v>
      </c>
      <c r="AP130" s="247">
        <f t="shared" si="130"/>
        <v>0</v>
      </c>
      <c r="AQ130" s="247">
        <f t="shared" si="130"/>
        <v>367.31007404674699</v>
      </c>
      <c r="AR130" s="247">
        <f t="shared" ref="AR130:AW132" si="134">AR49/$C49*100</f>
        <v>355.6971198187041</v>
      </c>
      <c r="AS130" s="246">
        <f t="shared" si="134"/>
        <v>258.95148752272792</v>
      </c>
      <c r="AT130" s="246">
        <f t="shared" si="134"/>
        <v>205.06469208674801</v>
      </c>
      <c r="AU130" s="246">
        <f t="shared" si="134"/>
        <v>81.393449102743148</v>
      </c>
      <c r="AV130" s="246">
        <f t="shared" si="134"/>
        <v>94.623046720598708</v>
      </c>
      <c r="AW130" s="246">
        <f t="shared" si="134"/>
        <v>61.495691586076063</v>
      </c>
      <c r="AX130" s="246">
        <f t="shared" si="72"/>
        <v>-35.009816617235472</v>
      </c>
      <c r="AY130" s="247">
        <f t="shared" si="73"/>
        <v>26.39532049719719</v>
      </c>
      <c r="AZ130" s="244"/>
      <c r="BA130" s="311"/>
      <c r="BB130" s="233"/>
      <c r="BC130" s="233"/>
      <c r="BD130" s="233"/>
    </row>
    <row r="131" spans="2:56" ht="25.5" customHeight="1">
      <c r="B131" s="189" t="s">
        <v>48</v>
      </c>
      <c r="C131" s="256">
        <v>4.0536036512268406E-2</v>
      </c>
      <c r="D131" s="247">
        <f t="shared" ref="D131:O131" si="135">D50/$C50*100</f>
        <v>138.02616091115567</v>
      </c>
      <c r="E131" s="247">
        <f t="shared" si="135"/>
        <v>169.12084086274638</v>
      </c>
      <c r="F131" s="247">
        <f t="shared" si="135"/>
        <v>61.592533032709419</v>
      </c>
      <c r="G131" s="247">
        <f t="shared" si="135"/>
        <v>123.60284487474924</v>
      </c>
      <c r="H131" s="247">
        <f t="shared" si="135"/>
        <v>88.787944097216453</v>
      </c>
      <c r="I131" s="247">
        <f t="shared" si="135"/>
        <v>121.21553739286126</v>
      </c>
      <c r="J131" s="247">
        <f t="shared" si="135"/>
        <v>116.44092242908535</v>
      </c>
      <c r="K131" s="247">
        <f t="shared" si="135"/>
        <v>165.81839884613467</v>
      </c>
      <c r="L131" s="247">
        <f t="shared" si="135"/>
        <v>142.30342014953828</v>
      </c>
      <c r="M131" s="247">
        <f t="shared" si="135"/>
        <v>0</v>
      </c>
      <c r="N131" s="247">
        <f t="shared" si="135"/>
        <v>0</v>
      </c>
      <c r="O131" s="247">
        <f t="shared" si="135"/>
        <v>73.0913974038031</v>
      </c>
      <c r="P131" s="247">
        <f t="shared" ref="P131:AA131" si="136">P50/$C50*100</f>
        <v>170.97100416120955</v>
      </c>
      <c r="Q131" s="247">
        <f t="shared" si="136"/>
        <v>323.28122150566151</v>
      </c>
      <c r="R131" s="247">
        <f t="shared" si="136"/>
        <v>107.8665097233044</v>
      </c>
      <c r="S131" s="247">
        <f t="shared" si="136"/>
        <v>71.042291815182608</v>
      </c>
      <c r="T131" s="247">
        <f t="shared" si="136"/>
        <v>172.64211939853112</v>
      </c>
      <c r="U131" s="247">
        <f t="shared" si="136"/>
        <v>67.003763324988796</v>
      </c>
      <c r="V131" s="247">
        <f t="shared" si="136"/>
        <v>79.318291085727537</v>
      </c>
      <c r="W131" s="247">
        <f t="shared" si="136"/>
        <v>0</v>
      </c>
      <c r="X131" s="247">
        <f t="shared" si="136"/>
        <v>0</v>
      </c>
      <c r="Y131" s="247">
        <f t="shared" si="136"/>
        <v>0</v>
      </c>
      <c r="Z131" s="247">
        <f t="shared" si="136"/>
        <v>0</v>
      </c>
      <c r="AA131" s="247">
        <f t="shared" si="136"/>
        <v>0</v>
      </c>
      <c r="AB131" s="247">
        <f t="shared" si="130"/>
        <v>163.61013942538833</v>
      </c>
      <c r="AC131" s="247">
        <f t="shared" si="130"/>
        <v>101.48046220925411</v>
      </c>
      <c r="AD131" s="247">
        <f t="shared" si="130"/>
        <v>61.592533032709419</v>
      </c>
      <c r="AE131" s="247">
        <f t="shared" si="130"/>
        <v>62.328619506291538</v>
      </c>
      <c r="AF131" s="247">
        <f t="shared" si="130"/>
        <v>65.452013461761624</v>
      </c>
      <c r="AG131" s="247">
        <f t="shared" si="130"/>
        <v>88.3303768298546</v>
      </c>
      <c r="AH131" s="247">
        <f t="shared" si="130"/>
        <v>89.165934448515387</v>
      </c>
      <c r="AI131" s="247">
        <f t="shared" si="130"/>
        <v>78.621993070176885</v>
      </c>
      <c r="AJ131" s="247">
        <f t="shared" si="130"/>
        <v>72.892455113645767</v>
      </c>
      <c r="AK131" s="247">
        <f t="shared" si="130"/>
        <v>150.69878479417758</v>
      </c>
      <c r="AL131" s="247">
        <f t="shared" si="130"/>
        <v>116.97806661251013</v>
      </c>
      <c r="AM131" s="247">
        <f t="shared" si="130"/>
        <v>109.83603839586198</v>
      </c>
      <c r="AN131" s="247">
        <f t="shared" si="130"/>
        <v>137.17070906347914</v>
      </c>
      <c r="AO131" s="247">
        <f t="shared" si="130"/>
        <v>169.27999469487224</v>
      </c>
      <c r="AP131" s="247">
        <f t="shared" si="130"/>
        <v>64.357830865896318</v>
      </c>
      <c r="AQ131" s="247">
        <f t="shared" si="130"/>
        <v>68.396359356090116</v>
      </c>
      <c r="AR131" s="247">
        <f t="shared" si="134"/>
        <v>87.594290356272481</v>
      </c>
      <c r="AS131" s="246">
        <f t="shared" si="134"/>
        <v>94.994943550125157</v>
      </c>
      <c r="AT131" s="246">
        <f t="shared" si="134"/>
        <v>81.984117773835763</v>
      </c>
      <c r="AU131" s="246">
        <f t="shared" si="134"/>
        <v>100.62501036157761</v>
      </c>
      <c r="AV131" s="246">
        <f t="shared" si="134"/>
        <v>97.660770238233383</v>
      </c>
      <c r="AW131" s="246">
        <f t="shared" si="134"/>
        <v>106.69275021137616</v>
      </c>
      <c r="AX131" s="246">
        <f t="shared" si="72"/>
        <v>9.2483194133224629</v>
      </c>
      <c r="AY131" s="247">
        <f t="shared" si="73"/>
        <v>-29.201320132013194</v>
      </c>
      <c r="AZ131" s="244"/>
      <c r="BA131" s="311"/>
      <c r="BB131" s="233"/>
      <c r="BC131" s="232"/>
      <c r="BD131" s="233"/>
    </row>
    <row r="132" spans="2:56" ht="25.5" customHeight="1">
      <c r="B132" s="248" t="s">
        <v>49</v>
      </c>
      <c r="C132" s="256">
        <v>4.5200417876962815E-2</v>
      </c>
      <c r="D132" s="247">
        <f t="shared" ref="D132:O132" si="137">D51/$C51*100</f>
        <v>79.140967224324797</v>
      </c>
      <c r="E132" s="247">
        <f t="shared" si="137"/>
        <v>142.68285251961731</v>
      </c>
      <c r="F132" s="247">
        <f t="shared" si="137"/>
        <v>122.47716670841766</v>
      </c>
      <c r="G132" s="247">
        <f t="shared" si="137"/>
        <v>127.97746799276916</v>
      </c>
      <c r="H132" s="247">
        <f t="shared" si="137"/>
        <v>151.85543767476182</v>
      </c>
      <c r="I132" s="247">
        <f t="shared" si="137"/>
        <v>133.92461797821272</v>
      </c>
      <c r="J132" s="247">
        <f t="shared" si="137"/>
        <v>96.722432481838283</v>
      </c>
      <c r="K132" s="247">
        <f t="shared" si="137"/>
        <v>82.382651437701838</v>
      </c>
      <c r="L132" s="247">
        <f t="shared" si="137"/>
        <v>182.28177195821286</v>
      </c>
      <c r="M132" s="247">
        <f t="shared" si="137"/>
        <v>0</v>
      </c>
      <c r="N132" s="247">
        <f t="shared" si="137"/>
        <v>0</v>
      </c>
      <c r="O132" s="247">
        <f t="shared" si="137"/>
        <v>80.554634024143354</v>
      </c>
      <c r="P132" s="247">
        <f t="shared" ref="P132:AA132" si="138">P51/$C51*100</f>
        <v>82.813251095117835</v>
      </c>
      <c r="Q132" s="247">
        <f t="shared" si="138"/>
        <v>120.36479103052787</v>
      </c>
      <c r="R132" s="247">
        <f t="shared" si="138"/>
        <v>102.49084298684504</v>
      </c>
      <c r="S132" s="247">
        <f t="shared" si="138"/>
        <v>111.54968483625703</v>
      </c>
      <c r="T132" s="247">
        <f t="shared" si="138"/>
        <v>102.63708437992972</v>
      </c>
      <c r="U132" s="247">
        <f t="shared" si="138"/>
        <v>71.536414783921558</v>
      </c>
      <c r="V132" s="247">
        <f t="shared" si="138"/>
        <v>84.438155462725362</v>
      </c>
      <c r="W132" s="247">
        <f t="shared" si="138"/>
        <v>0</v>
      </c>
      <c r="X132" s="247">
        <f t="shared" si="138"/>
        <v>0</v>
      </c>
      <c r="Y132" s="247">
        <f t="shared" si="138"/>
        <v>0</v>
      </c>
      <c r="Z132" s="247">
        <f t="shared" si="138"/>
        <v>0</v>
      </c>
      <c r="AA132" s="247">
        <f t="shared" si="138"/>
        <v>0</v>
      </c>
      <c r="AB132" s="247">
        <f t="shared" si="130"/>
        <v>76.646739020047249</v>
      </c>
      <c r="AC132" s="247">
        <f t="shared" si="130"/>
        <v>133.63213519204336</v>
      </c>
      <c r="AD132" s="247">
        <f t="shared" si="130"/>
        <v>122.47716670841766</v>
      </c>
      <c r="AE132" s="247">
        <f t="shared" si="130"/>
        <v>38.859587951334106</v>
      </c>
      <c r="AF132" s="247">
        <f t="shared" si="130"/>
        <v>49.681451039600262</v>
      </c>
      <c r="AG132" s="247">
        <f t="shared" si="130"/>
        <v>108.03989140222474</v>
      </c>
      <c r="AH132" s="247">
        <f t="shared" si="130"/>
        <v>79.205963399029102</v>
      </c>
      <c r="AI132" s="247">
        <f t="shared" si="130"/>
        <v>68.5059681383335</v>
      </c>
      <c r="AJ132" s="247">
        <f t="shared" si="130"/>
        <v>84.633143986838249</v>
      </c>
      <c r="AK132" s="247">
        <f t="shared" si="130"/>
        <v>161.98671640679478</v>
      </c>
      <c r="AL132" s="247">
        <f t="shared" si="130"/>
        <v>148.4187649372719</v>
      </c>
      <c r="AM132" s="247">
        <f t="shared" si="130"/>
        <v>45.45669968382068</v>
      </c>
      <c r="AN132" s="247">
        <f>AN51/$C51*100</f>
        <v>72.032010616041859</v>
      </c>
      <c r="AO132" s="247">
        <f t="shared" si="130"/>
        <v>142.68285251961731</v>
      </c>
      <c r="AP132" s="247">
        <f t="shared" si="130"/>
        <v>95.138150723420949</v>
      </c>
      <c r="AQ132" s="247">
        <f t="shared" si="130"/>
        <v>99.801626258454561</v>
      </c>
      <c r="AR132" s="247">
        <f>AR51/$C51*100</f>
        <v>40.200134054610324</v>
      </c>
      <c r="AS132" s="246">
        <f>AS51/$C51*100</f>
        <v>61.85198475298067</v>
      </c>
      <c r="AT132" s="250">
        <f t="shared" ref="AT132:AV132" si="139">AT51/$C51*100</f>
        <v>73.01507775844442</v>
      </c>
      <c r="AU132" s="250">
        <f t="shared" si="139"/>
        <v>104.61946770841091</v>
      </c>
      <c r="AV132" s="250">
        <f t="shared" si="139"/>
        <v>103.62827604417029</v>
      </c>
      <c r="AW132" s="250">
        <f t="shared" si="134"/>
        <v>122.03844252916363</v>
      </c>
      <c r="AX132" s="250">
        <f t="shared" si="72"/>
        <v>17.765582124657016</v>
      </c>
      <c r="AY132" s="251">
        <f t="shared" si="73"/>
        <v>-24.661450496539274</v>
      </c>
      <c r="AZ132" s="244"/>
      <c r="BA132" s="311"/>
      <c r="BB132" s="233"/>
      <c r="BC132" s="233"/>
      <c r="BD132" s="233"/>
    </row>
    <row r="133" spans="2:56" ht="25.5" customHeight="1">
      <c r="B133" s="639"/>
      <c r="C133" s="263">
        <v>0.99999999999999978</v>
      </c>
      <c r="D133" s="630">
        <f t="shared" ref="D133:O133" si="140">SUMPRODUCT($C113:$C132,D113:D132)</f>
        <v>145.76488273061167</v>
      </c>
      <c r="E133" s="630">
        <f t="shared" si="140"/>
        <v>142.98127542902219</v>
      </c>
      <c r="F133" s="630">
        <f t="shared" si="140"/>
        <v>104.50354327802964</v>
      </c>
      <c r="G133" s="630">
        <f t="shared" si="140"/>
        <v>120.09892680218142</v>
      </c>
      <c r="H133" s="630">
        <f t="shared" si="140"/>
        <v>102.92199478605392</v>
      </c>
      <c r="I133" s="630">
        <f t="shared" si="140"/>
        <v>123.91549878047766</v>
      </c>
      <c r="J133" s="630">
        <f t="shared" si="140"/>
        <v>129.87869318588645</v>
      </c>
      <c r="K133" s="630">
        <f t="shared" si="140"/>
        <v>124.56203865213476</v>
      </c>
      <c r="L133" s="630">
        <f t="shared" si="140"/>
        <v>104.59919443936997</v>
      </c>
      <c r="M133" s="630">
        <f t="shared" si="140"/>
        <v>0</v>
      </c>
      <c r="N133" s="630">
        <f t="shared" si="140"/>
        <v>0</v>
      </c>
      <c r="O133" s="630">
        <f t="shared" si="140"/>
        <v>100.77395191623182</v>
      </c>
      <c r="P133" s="630">
        <f t="shared" ref="P133:AA133" si="141">SUMPRODUCT($C113:$C132,P113:P132)</f>
        <v>133.31538837247325</v>
      </c>
      <c r="Q133" s="630">
        <f t="shared" si="141"/>
        <v>132.1917546441401</v>
      </c>
      <c r="R133" s="630">
        <f t="shared" si="141"/>
        <v>116.06267027966682</v>
      </c>
      <c r="S133" s="630">
        <f t="shared" si="141"/>
        <v>79.471804153555212</v>
      </c>
      <c r="T133" s="630">
        <f t="shared" si="141"/>
        <v>101.18085100408405</v>
      </c>
      <c r="U133" s="630">
        <f t="shared" si="141"/>
        <v>104.06402307748213</v>
      </c>
      <c r="V133" s="630">
        <f t="shared" si="141"/>
        <v>111.16240201382872</v>
      </c>
      <c r="W133" s="630">
        <f t="shared" si="141"/>
        <v>0</v>
      </c>
      <c r="X133" s="630">
        <f t="shared" si="141"/>
        <v>0</v>
      </c>
      <c r="Y133" s="630">
        <f t="shared" si="141"/>
        <v>0</v>
      </c>
      <c r="Z133" s="630">
        <f t="shared" si="141"/>
        <v>0</v>
      </c>
      <c r="AA133" s="630">
        <f t="shared" si="141"/>
        <v>0</v>
      </c>
      <c r="AB133" s="630">
        <f t="shared" ref="AB133:AG133" si="142">SUMPRODUCT($C113:$C132,AB113:AB132)</f>
        <v>137.64863703327319</v>
      </c>
      <c r="AC133" s="630">
        <f t="shared" si="142"/>
        <v>119.06072787940629</v>
      </c>
      <c r="AD133" s="630">
        <f t="shared" si="142"/>
        <v>84.753646462406991</v>
      </c>
      <c r="AE133" s="630">
        <f t="shared" si="142"/>
        <v>115.61467808688865</v>
      </c>
      <c r="AF133" s="630">
        <f t="shared" si="142"/>
        <v>117.92341689739614</v>
      </c>
      <c r="AG133" s="630">
        <f t="shared" si="142"/>
        <v>107.85294795643949</v>
      </c>
      <c r="AH133" s="630">
        <f t="shared" ref="AH133:AP133" si="143">SUMPRODUCT($C113:$C132,AH113:AH132)</f>
        <v>113.85963755251167</v>
      </c>
      <c r="AI133" s="630">
        <f t="shared" si="143"/>
        <v>129.76960843556924</v>
      </c>
      <c r="AJ133" s="630">
        <f t="shared" si="143"/>
        <v>99.070336942848414</v>
      </c>
      <c r="AK133" s="630">
        <f t="shared" si="143"/>
        <v>183.77683903811314</v>
      </c>
      <c r="AL133" s="630">
        <f t="shared" si="143"/>
        <v>120.52314588004478</v>
      </c>
      <c r="AM133" s="630">
        <f t="shared" si="143"/>
        <v>114.75620226641952</v>
      </c>
      <c r="AN133" s="630">
        <f t="shared" si="143"/>
        <v>134.96145003060019</v>
      </c>
      <c r="AO133" s="630">
        <f t="shared" si="143"/>
        <v>143.82098863836018</v>
      </c>
      <c r="AP133" s="630">
        <f t="shared" si="143"/>
        <v>99.448737352910285</v>
      </c>
      <c r="AQ133" s="630">
        <f>SUMPRODUCT($C113:$C132,AQ113:AQ132)</f>
        <v>136.71453534817539</v>
      </c>
      <c r="AR133" s="630">
        <f>SUMPRODUCT($C113:$C132,AR113:AR132)</f>
        <v>138.572019314773</v>
      </c>
      <c r="AS133" s="630">
        <f>SUMPRODUCT($C113:$C132,AS113:AS132)</f>
        <v>128.30800282144827</v>
      </c>
      <c r="AT133" s="251">
        <f>SUMPRODUCT($C113:$C132,AT113:AT132)</f>
        <v>104.95427631762546</v>
      </c>
      <c r="AU133" s="251">
        <f t="shared" ref="AU133:AW133" si="144">SUMPRODUCT($C113:$C132,AU113:AU132)</f>
        <v>117.91745126997561</v>
      </c>
      <c r="AV133" s="251">
        <f t="shared" si="144"/>
        <v>115.05617961324347</v>
      </c>
      <c r="AW133" s="251">
        <f t="shared" si="144"/>
        <v>112.07204274628353</v>
      </c>
      <c r="AX133" s="630">
        <f>AW133/AV133*100-100</f>
        <v>-2.593634585287802</v>
      </c>
      <c r="AY133" s="630">
        <f>AW133/AK133*100-100</f>
        <v>-39.017319411484095</v>
      </c>
      <c r="AZ133" s="244"/>
      <c r="BA133" s="311"/>
      <c r="BB133" s="233"/>
      <c r="BC133" s="233"/>
      <c r="BD133" s="233"/>
    </row>
    <row r="134" spans="2:56">
      <c r="B134" s="619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510"/>
      <c r="AO134" s="245"/>
      <c r="AP134" s="245"/>
      <c r="AQ134" s="245"/>
      <c r="AR134" s="245"/>
      <c r="AS134" s="245"/>
      <c r="AT134" s="245"/>
      <c r="AU134" s="245"/>
      <c r="AV134" s="245"/>
      <c r="AW134" s="245"/>
      <c r="AX134" s="264"/>
      <c r="AY134" s="264"/>
      <c r="AZ134" s="244"/>
      <c r="BA134" s="311"/>
      <c r="BB134" s="233"/>
      <c r="BC134" s="233"/>
      <c r="BD134" s="233"/>
    </row>
    <row r="135" spans="2:56">
      <c r="B135" s="640"/>
      <c r="C135" s="265"/>
      <c r="D135" s="265"/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S135" s="265"/>
      <c r="T135" s="265"/>
      <c r="U135" s="265"/>
      <c r="V135" s="265"/>
      <c r="W135" s="265"/>
      <c r="X135" s="265"/>
      <c r="Y135" s="265"/>
      <c r="Z135" s="265"/>
      <c r="AA135" s="265"/>
      <c r="AB135" s="265"/>
      <c r="AC135" s="265"/>
      <c r="AD135" s="265"/>
      <c r="AE135" s="265"/>
      <c r="AF135" s="265"/>
      <c r="AG135" s="265"/>
      <c r="AH135" s="265"/>
      <c r="AI135" s="265"/>
      <c r="AJ135" s="265"/>
      <c r="AK135" s="265"/>
      <c r="AL135" s="265"/>
      <c r="AM135" s="265"/>
      <c r="AN135" s="265"/>
      <c r="AO135" s="265"/>
      <c r="AP135" s="265"/>
      <c r="AQ135" s="265"/>
      <c r="AR135" s="265"/>
      <c r="AS135" s="265"/>
      <c r="AT135" s="265"/>
      <c r="AU135" s="265"/>
      <c r="AV135" s="265"/>
      <c r="AW135" s="265"/>
      <c r="AX135" s="266"/>
      <c r="AY135" s="267"/>
      <c r="AZ135" s="267"/>
      <c r="BA135" s="312"/>
      <c r="BB135" s="267"/>
      <c r="BC135" s="267"/>
      <c r="BD135" s="267"/>
    </row>
    <row r="136" spans="2:56" ht="18.5">
      <c r="B136" s="614" t="s">
        <v>164</v>
      </c>
      <c r="C136" s="266"/>
      <c r="D136" s="265"/>
      <c r="E136" s="265"/>
      <c r="F136" s="265"/>
      <c r="G136" s="265"/>
      <c r="H136" s="265"/>
      <c r="I136" s="265"/>
      <c r="J136" s="265"/>
      <c r="K136" s="265"/>
      <c r="L136" s="265"/>
      <c r="M136" s="265"/>
      <c r="N136" s="265"/>
      <c r="O136" s="265"/>
      <c r="P136" s="266"/>
      <c r="Q136" s="266"/>
      <c r="R136" s="266"/>
      <c r="S136" s="266"/>
      <c r="T136" s="266"/>
      <c r="U136" s="266"/>
      <c r="V136" s="266"/>
      <c r="W136" s="266"/>
      <c r="X136" s="266"/>
      <c r="Y136" s="266"/>
      <c r="Z136" s="266"/>
      <c r="AA136" s="266"/>
      <c r="AB136" s="266"/>
      <c r="AC136" s="266"/>
      <c r="AD136" s="266"/>
      <c r="AE136" s="266"/>
      <c r="AF136" s="266"/>
      <c r="AG136" s="266"/>
      <c r="AH136" s="266"/>
      <c r="AI136" s="266"/>
      <c r="AJ136" s="266"/>
      <c r="AK136" s="266"/>
      <c r="AL136" s="266"/>
      <c r="AM136" s="266"/>
      <c r="AN136" s="266"/>
      <c r="AO136" s="266"/>
      <c r="AP136" s="266"/>
      <c r="AQ136" s="266"/>
      <c r="AR136" s="266"/>
      <c r="AS136" s="266"/>
      <c r="AT136" s="266"/>
      <c r="AU136" s="266"/>
      <c r="AV136" s="266"/>
      <c r="AW136" s="266"/>
      <c r="AX136" s="266"/>
      <c r="AY136" s="268"/>
      <c r="AZ136" s="267"/>
      <c r="BA136" s="312"/>
      <c r="BB136" s="267"/>
      <c r="BC136" s="267"/>
      <c r="BD136" s="267"/>
    </row>
    <row r="137" spans="2:56" ht="8.25" customHeight="1">
      <c r="B137" s="641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66"/>
      <c r="Y137" s="266"/>
      <c r="Z137" s="266"/>
      <c r="AA137" s="266"/>
      <c r="AB137" s="266"/>
      <c r="AC137" s="266"/>
      <c r="AD137" s="266"/>
      <c r="AE137" s="266"/>
      <c r="AF137" s="266"/>
      <c r="AG137" s="266"/>
      <c r="AH137" s="266"/>
      <c r="AI137" s="266"/>
      <c r="AJ137" s="266"/>
      <c r="AK137" s="266"/>
      <c r="AL137" s="266"/>
      <c r="AM137" s="266"/>
      <c r="AN137" s="266"/>
      <c r="AO137" s="266"/>
      <c r="AP137" s="266"/>
      <c r="AQ137" s="266"/>
      <c r="AR137" s="266"/>
      <c r="AS137" s="266"/>
      <c r="AT137" s="266"/>
      <c r="AU137" s="266"/>
      <c r="AV137" s="266"/>
      <c r="AW137" s="266"/>
      <c r="AX137" s="266"/>
      <c r="AY137" s="267"/>
      <c r="AZ137" s="267"/>
      <c r="BA137" s="385"/>
      <c r="BB137" s="640"/>
      <c r="BC137" s="640"/>
      <c r="BD137" s="640"/>
    </row>
    <row r="138" spans="2:56" ht="39" customHeight="1">
      <c r="B138" s="627" t="s">
        <v>56</v>
      </c>
      <c r="C138" s="270" t="s">
        <v>216</v>
      </c>
      <c r="D138" s="270" t="s">
        <v>312</v>
      </c>
      <c r="E138" s="270" t="s">
        <v>313</v>
      </c>
      <c r="F138" s="270" t="s">
        <v>314</v>
      </c>
      <c r="G138" s="270" t="s">
        <v>315</v>
      </c>
      <c r="H138" s="270" t="s">
        <v>316</v>
      </c>
      <c r="I138" s="270" t="s">
        <v>317</v>
      </c>
      <c r="J138" s="270" t="s">
        <v>318</v>
      </c>
      <c r="K138" s="270" t="s">
        <v>319</v>
      </c>
      <c r="L138" s="270" t="s">
        <v>320</v>
      </c>
      <c r="M138" s="270" t="s">
        <v>321</v>
      </c>
      <c r="N138" s="270" t="s">
        <v>322</v>
      </c>
      <c r="O138" s="270" t="s">
        <v>323</v>
      </c>
      <c r="P138" s="270" t="s">
        <v>300</v>
      </c>
      <c r="Q138" s="270" t="s">
        <v>301</v>
      </c>
      <c r="R138" s="270" t="s">
        <v>302</v>
      </c>
      <c r="S138" s="270" t="s">
        <v>303</v>
      </c>
      <c r="T138" s="270" t="s">
        <v>304</v>
      </c>
      <c r="U138" s="270" t="s">
        <v>305</v>
      </c>
      <c r="V138" s="270" t="s">
        <v>306</v>
      </c>
      <c r="W138" s="270" t="s">
        <v>307</v>
      </c>
      <c r="X138" s="270" t="s">
        <v>308</v>
      </c>
      <c r="Y138" s="270" t="s">
        <v>309</v>
      </c>
      <c r="Z138" s="270" t="s">
        <v>310</v>
      </c>
      <c r="AA138" s="270" t="s">
        <v>311</v>
      </c>
      <c r="AB138" s="270" t="s">
        <v>166</v>
      </c>
      <c r="AC138" s="270" t="s">
        <v>167</v>
      </c>
      <c r="AD138" s="270" t="s">
        <v>168</v>
      </c>
      <c r="AE138" s="270" t="s">
        <v>169</v>
      </c>
      <c r="AF138" s="270" t="s">
        <v>170</v>
      </c>
      <c r="AG138" s="270" t="s">
        <v>171</v>
      </c>
      <c r="AH138" s="270" t="s">
        <v>172</v>
      </c>
      <c r="AI138" s="270" t="s">
        <v>173</v>
      </c>
      <c r="AJ138" s="270" t="s">
        <v>174</v>
      </c>
      <c r="AK138" s="270" t="s">
        <v>175</v>
      </c>
      <c r="AL138" s="270" t="s">
        <v>176</v>
      </c>
      <c r="AM138" s="270" t="s">
        <v>177</v>
      </c>
      <c r="AN138" s="270" t="s">
        <v>178</v>
      </c>
      <c r="AO138" s="270" t="s">
        <v>179</v>
      </c>
      <c r="AP138" s="270" t="s">
        <v>180</v>
      </c>
      <c r="AQ138" s="270" t="s">
        <v>181</v>
      </c>
      <c r="AR138" s="270" t="s">
        <v>183</v>
      </c>
      <c r="AS138" s="270" t="s">
        <v>334</v>
      </c>
      <c r="AT138" s="270" t="s">
        <v>335</v>
      </c>
      <c r="AU138" s="270" t="s">
        <v>336</v>
      </c>
      <c r="AV138" s="270" t="s">
        <v>337</v>
      </c>
      <c r="AW138" s="270" t="s">
        <v>338</v>
      </c>
      <c r="AX138" s="646" t="s">
        <v>160</v>
      </c>
      <c r="AY138" s="646" t="s">
        <v>341</v>
      </c>
      <c r="AZ138" s="253"/>
      <c r="BA138" s="309"/>
      <c r="BB138" s="271"/>
      <c r="BC138" s="271"/>
      <c r="BD138" s="253"/>
    </row>
    <row r="139" spans="2:56" ht="25.5" customHeight="1">
      <c r="B139" s="186" t="s">
        <v>9</v>
      </c>
      <c r="C139" s="617">
        <f>AVERAGE(D139:O139)</f>
        <v>2.5</v>
      </c>
      <c r="D139" s="604">
        <f>AVERAGE('Weekly Analysis'!B149:C149)</f>
        <v>3</v>
      </c>
      <c r="E139" s="604">
        <f>AVERAGE('Weekly Analysis'!D149:E149)</f>
        <v>1</v>
      </c>
      <c r="F139" s="604">
        <f>AVERAGE('Weekly Analysis'!F149:G149)</f>
        <v>5.5</v>
      </c>
      <c r="G139" s="604">
        <f>AVERAGE('Weekly Analysis'!H149:I149)</f>
        <v>2.5</v>
      </c>
      <c r="H139" s="604">
        <f>AVERAGE('Weekly Analysis'!J149:K149)</f>
        <v>7.5</v>
      </c>
      <c r="I139" s="604">
        <f>AVERAGE('Weekly Analysis'!L149:M149)</f>
        <v>0.5</v>
      </c>
      <c r="J139" s="604">
        <f>AVERAGE('Weekly Analysis'!N149:O149)</f>
        <v>2</v>
      </c>
      <c r="K139" s="604">
        <f>AVERAGE('Weekly Analysis'!P149:Q149)</f>
        <v>6</v>
      </c>
      <c r="L139" s="604">
        <f>AVERAGE('Weekly Analysis'!R149:S149)</f>
        <v>1.5</v>
      </c>
      <c r="M139" s="604">
        <f>AVERAGE('Weekly Analysis'!T149:U149)</f>
        <v>0</v>
      </c>
      <c r="N139" s="604">
        <f>AVERAGE('Weekly Analysis'!V149:W149)</f>
        <v>0</v>
      </c>
      <c r="O139" s="241">
        <f>AVERAGE('Weekly Analysis'!X149:Y149)</f>
        <v>0.5</v>
      </c>
      <c r="P139" s="243">
        <f>AVERAGE('Weekly Analysis'!Z149:AA149)</f>
        <v>5.5</v>
      </c>
      <c r="Q139" s="604">
        <f>AVERAGE('Weekly Analysis'!AB149:AC149)</f>
        <v>1.5</v>
      </c>
      <c r="R139" s="604">
        <f>AVERAGE('Weekly Analysis'!AD149:AE149)</f>
        <v>7</v>
      </c>
      <c r="S139" s="604">
        <f>AVERAGE('Weekly Analysis'!AF149:AG149)</f>
        <v>8</v>
      </c>
      <c r="T139" s="604">
        <f>AVERAGE('Weekly Analysis'!AH149:AI149)</f>
        <v>16</v>
      </c>
      <c r="U139" s="604">
        <f>AVERAGE('Weekly Analysis'!AJ149:AK149)</f>
        <v>35</v>
      </c>
      <c r="V139" s="604">
        <f>AVERAGE('Weekly Analysis'!AL149:AM149)</f>
        <v>19</v>
      </c>
      <c r="W139" s="604">
        <f>AVERAGE('Weekly Analysis'!AN149:AO149)</f>
        <v>0</v>
      </c>
      <c r="X139" s="604">
        <f>AVERAGE('Weekly Analysis'!AP149:AQ149)</f>
        <v>0</v>
      </c>
      <c r="Y139" s="604">
        <f>AVERAGE('Weekly Analysis'!AR149:AS149)</f>
        <v>0</v>
      </c>
      <c r="Z139" s="604">
        <f>AVERAGE('Weekly Analysis'!AT149:AU149)</f>
        <v>0</v>
      </c>
      <c r="AA139" s="604">
        <f>AVERAGE('Weekly Analysis'!AV149:AW149)</f>
        <v>0</v>
      </c>
      <c r="AB139" s="604">
        <f>AVERAGE('Weekly Analysis'!AX149:AY149)</f>
        <v>5.5</v>
      </c>
      <c r="AC139" s="243">
        <f>AVERAGE('Weekly Analysis'!AZ149:BA149)</f>
        <v>1</v>
      </c>
      <c r="AD139" s="243">
        <f>AVERAGE('Weekly Analysis'!BB149:BC149)</f>
        <v>3.5</v>
      </c>
      <c r="AE139" s="243">
        <f>AVERAGE('Weekly Analysis'!BD149:BE149)</f>
        <v>7</v>
      </c>
      <c r="AF139" s="243">
        <f>AVERAGE('Weekly Analysis'!BF149:BG149)</f>
        <v>13.5</v>
      </c>
      <c r="AG139" s="243">
        <f>AVERAGE('Weekly Analysis'!BH149:BI149)</f>
        <v>24.5</v>
      </c>
      <c r="AH139" s="243">
        <f>AVERAGE('Weekly Analysis'!BJ149:BK149)</f>
        <v>23</v>
      </c>
      <c r="AI139" s="243">
        <f>AVERAGE('Weekly Analysis'!BL149:BM149)</f>
        <v>27</v>
      </c>
      <c r="AJ139" s="243">
        <f>AVERAGE('Weekly Analysis'!BN149:BO149)</f>
        <v>8</v>
      </c>
      <c r="AK139" s="243">
        <f>AVERAGE('Weekly Analysis'!BP149:BQ149)</f>
        <v>7</v>
      </c>
      <c r="AL139" s="243">
        <f>AVERAGE('Weekly Analysis'!BR149:BS149)</f>
        <v>3.5</v>
      </c>
      <c r="AM139" s="243">
        <f>AVERAGE('Weekly Analysis'!BT149:BU149)</f>
        <v>29.5</v>
      </c>
      <c r="AN139" s="243">
        <f>AVERAGE('Weekly Analysis'!BV149:BW149)</f>
        <v>1.5</v>
      </c>
      <c r="AO139" s="243">
        <f>AVERAGE('Weekly Analysis'!BX149:BY149)</f>
        <v>1</v>
      </c>
      <c r="AP139" s="243">
        <f>AVERAGE('Weekly Analysis'!BZ149:CA149)</f>
        <v>6</v>
      </c>
      <c r="AQ139" s="242">
        <f>AVERAGE('Weekly Analysis'!CB149:CC149)</f>
        <v>2.5</v>
      </c>
      <c r="AR139" s="242">
        <f>AVERAGE('Weekly Analysis'!CD149:CE149)</f>
        <v>15</v>
      </c>
      <c r="AS139" s="242">
        <f>AVERAGE('Weekly Analysis'!CF149:CG149)</f>
        <v>17.5</v>
      </c>
      <c r="AT139" s="242">
        <f>AVERAGE('Weekly Analysis'!CH149:CI149)</f>
        <v>21.5</v>
      </c>
      <c r="AU139" s="242">
        <f>AVERAGE('Weekly Analysis'!CJ149:CK149)</f>
        <v>17</v>
      </c>
      <c r="AV139" s="242">
        <f>AVERAGE('Weekly Analysis'!CL149:CM149)</f>
        <v>18</v>
      </c>
      <c r="AW139" s="242">
        <f>AVERAGE('Weekly Analysis'!CN149:CO149)</f>
        <v>17.5</v>
      </c>
      <c r="AX139" s="242">
        <f>AW139/AV139*100-100</f>
        <v>-2.7777777777777857</v>
      </c>
      <c r="AY139" s="243">
        <f>AW139/AK139*100-100</f>
        <v>150</v>
      </c>
      <c r="AZ139" s="244"/>
      <c r="BB139" s="632"/>
      <c r="BC139" s="316"/>
      <c r="BD139" s="632"/>
    </row>
    <row r="140" spans="2:56" ht="25.5" customHeight="1">
      <c r="B140" s="189" t="s">
        <v>12</v>
      </c>
      <c r="C140" s="618">
        <f t="shared" ref="C140:C159" si="145">AVERAGE(D140:O140)</f>
        <v>3.4166666666666665</v>
      </c>
      <c r="D140" s="269">
        <f>AVERAGE('Weekly Analysis'!B150:C150)</f>
        <v>4.5</v>
      </c>
      <c r="E140" s="269">
        <f>AVERAGE('Weekly Analysis'!D150:E150)</f>
        <v>3</v>
      </c>
      <c r="F140" s="269">
        <f>AVERAGE('Weekly Analysis'!F150:G150)</f>
        <v>8.5</v>
      </c>
      <c r="G140" s="269">
        <f>AVERAGE('Weekly Analysis'!H150:I150)</f>
        <v>3.5</v>
      </c>
      <c r="H140" s="269">
        <f>AVERAGE('Weekly Analysis'!J150:K150)</f>
        <v>9</v>
      </c>
      <c r="I140" s="269">
        <f>AVERAGE('Weekly Analysis'!L150:M150)</f>
        <v>1</v>
      </c>
      <c r="J140" s="269">
        <f>AVERAGE('Weekly Analysis'!N150:O150)</f>
        <v>3.5</v>
      </c>
      <c r="K140" s="269">
        <f>AVERAGE('Weekly Analysis'!P150:Q150)</f>
        <v>5</v>
      </c>
      <c r="L140" s="269">
        <f>AVERAGE('Weekly Analysis'!R150:S150)</f>
        <v>1</v>
      </c>
      <c r="M140" s="269">
        <f>AVERAGE('Weekly Analysis'!T150:U150)</f>
        <v>0</v>
      </c>
      <c r="N140" s="269">
        <f>AVERAGE('Weekly Analysis'!V150:W150)</f>
        <v>0</v>
      </c>
      <c r="O140" s="245">
        <f>AVERAGE('Weekly Analysis'!X150:Y150)</f>
        <v>2</v>
      </c>
      <c r="P140" s="247">
        <f>AVERAGE('Weekly Analysis'!Z150:AA150)</f>
        <v>4</v>
      </c>
      <c r="Q140" s="269">
        <f>AVERAGE('Weekly Analysis'!AB150:AC150)</f>
        <v>1</v>
      </c>
      <c r="R140" s="269">
        <f>AVERAGE('Weekly Analysis'!AD150:AE150)</f>
        <v>7.5</v>
      </c>
      <c r="S140" s="269">
        <f>AVERAGE('Weekly Analysis'!AF150:AG150)</f>
        <v>2.5</v>
      </c>
      <c r="T140" s="269">
        <f>AVERAGE('Weekly Analysis'!AH150:AI150)</f>
        <v>14.5</v>
      </c>
      <c r="U140" s="269">
        <f>AVERAGE('Weekly Analysis'!AJ150:AK150)</f>
        <v>24</v>
      </c>
      <c r="V140" s="269">
        <f>AVERAGE('Weekly Analysis'!AL150:AM150)</f>
        <v>11.5</v>
      </c>
      <c r="W140" s="269">
        <f>AVERAGE('Weekly Analysis'!AN150:AO150)</f>
        <v>0</v>
      </c>
      <c r="X140" s="269">
        <f>AVERAGE('Weekly Analysis'!AP150:AQ150)</f>
        <v>0</v>
      </c>
      <c r="Y140" s="269">
        <f>AVERAGE('Weekly Analysis'!AR150:AS150)</f>
        <v>0</v>
      </c>
      <c r="Z140" s="269">
        <f>AVERAGE('Weekly Analysis'!AT150:AU150)</f>
        <v>0</v>
      </c>
      <c r="AA140" s="269">
        <f>AVERAGE('Weekly Analysis'!AV150:AW150)</f>
        <v>0</v>
      </c>
      <c r="AB140" s="245">
        <f>AVERAGE('Weekly Analysis'!AX150:AY150)</f>
        <v>3.5</v>
      </c>
      <c r="AC140" s="246">
        <f>AVERAGE('Weekly Analysis'!AZ150:BA150)</f>
        <v>2</v>
      </c>
      <c r="AD140" s="246">
        <f>AVERAGE('Weekly Analysis'!BB150:BC150)</f>
        <v>6.5</v>
      </c>
      <c r="AE140" s="246">
        <f>AVERAGE('Weekly Analysis'!BD150:BE150)</f>
        <v>4</v>
      </c>
      <c r="AF140" s="246">
        <f>AVERAGE('Weekly Analysis'!BF150:BG150)</f>
        <v>7</v>
      </c>
      <c r="AG140" s="247">
        <f>AVERAGE('Weekly Analysis'!BH150:BI150)</f>
        <v>12.5</v>
      </c>
      <c r="AH140" s="247">
        <f>AVERAGE('Weekly Analysis'!BJ150:BK150)</f>
        <v>8.5</v>
      </c>
      <c r="AI140" s="246">
        <f>AVERAGE('Weekly Analysis'!BL150:BM150)</f>
        <v>18</v>
      </c>
      <c r="AJ140" s="247">
        <f>AVERAGE('Weekly Analysis'!BN150:BO150)</f>
        <v>6.5</v>
      </c>
      <c r="AK140" s="247">
        <f>AVERAGE('Weekly Analysis'!BP150:BQ150)</f>
        <v>4.5</v>
      </c>
      <c r="AL140" s="247">
        <f>AVERAGE('Weekly Analysis'!BR150:BS150)</f>
        <v>6.5</v>
      </c>
      <c r="AM140" s="246">
        <f>AVERAGE('Weekly Analysis'!BT150:BU150)</f>
        <v>14</v>
      </c>
      <c r="AN140" s="247">
        <f>AVERAGE('Weekly Analysis'!BV150:BW150)</f>
        <v>3</v>
      </c>
      <c r="AO140" s="246">
        <f>AVERAGE('Weekly Analysis'!BX150:BY150)</f>
        <v>1.5</v>
      </c>
      <c r="AP140" s="247">
        <f>AVERAGE('Weekly Analysis'!BZ150:CA150)</f>
        <v>10.5</v>
      </c>
      <c r="AQ140" s="246">
        <f>AVERAGE('Weekly Analysis'!CB150:CC150)</f>
        <v>11.5</v>
      </c>
      <c r="AR140" s="246">
        <f>AVERAGE('Weekly Analysis'!CD150:CE150)</f>
        <v>19.5</v>
      </c>
      <c r="AS140" s="246">
        <f>AVERAGE('Weekly Analysis'!CF150:CG150)</f>
        <v>16</v>
      </c>
      <c r="AT140" s="246">
        <f>AVERAGE('Weekly Analysis'!CH150:CI150)</f>
        <v>14.5</v>
      </c>
      <c r="AU140" s="246">
        <f>AVERAGE('Weekly Analysis'!CJ150:CK150)</f>
        <v>11.5</v>
      </c>
      <c r="AV140" s="246">
        <f>AVERAGE('Weekly Analysis'!CL150:CM150)</f>
        <v>6.5</v>
      </c>
      <c r="AW140" s="246">
        <f>AVERAGE('Weekly Analysis'!CN150:CO150)</f>
        <v>10</v>
      </c>
      <c r="AX140" s="246">
        <f t="shared" ref="AX140:AX158" si="146">AW140/AV140*100-100</f>
        <v>53.846153846153868</v>
      </c>
      <c r="AY140" s="247">
        <f t="shared" ref="AY140:AY158" si="147">AW140/AK140*100-100</f>
        <v>122.22222222222223</v>
      </c>
      <c r="AZ140" s="244"/>
      <c r="BB140" s="632"/>
      <c r="BC140" s="316"/>
      <c r="BD140" s="632"/>
    </row>
    <row r="141" spans="2:56" ht="25.5" customHeight="1">
      <c r="B141" s="189" t="s">
        <v>15</v>
      </c>
      <c r="C141" s="618">
        <f t="shared" si="145"/>
        <v>8.125</v>
      </c>
      <c r="D141" s="269">
        <f>AVERAGE('Weekly Analysis'!B151:C151)</f>
        <v>16</v>
      </c>
      <c r="E141" s="269">
        <f>AVERAGE('Weekly Analysis'!D151:E151)</f>
        <v>5</v>
      </c>
      <c r="F141" s="269">
        <f>AVERAGE('Weekly Analysis'!F151:G151)</f>
        <v>11</v>
      </c>
      <c r="G141" s="269">
        <f>AVERAGE('Weekly Analysis'!H151:I151)</f>
        <v>10.5</v>
      </c>
      <c r="H141" s="269">
        <f>AVERAGE('Weekly Analysis'!J151:K151)</f>
        <v>8.5</v>
      </c>
      <c r="I141" s="269">
        <f>AVERAGE('Weekly Analysis'!L151:M151)</f>
        <v>6</v>
      </c>
      <c r="J141" s="269">
        <f>AVERAGE('Weekly Analysis'!N151:O151)</f>
        <v>10.5</v>
      </c>
      <c r="K141" s="269">
        <f>AVERAGE('Weekly Analysis'!P151:Q151)</f>
        <v>13.5</v>
      </c>
      <c r="L141" s="269">
        <f>AVERAGE('Weekly Analysis'!R151:S151)</f>
        <v>7.5</v>
      </c>
      <c r="M141" s="269">
        <f>AVERAGE('Weekly Analysis'!T151:U151)</f>
        <v>0</v>
      </c>
      <c r="N141" s="269">
        <f>AVERAGE('Weekly Analysis'!V151:W151)</f>
        <v>0</v>
      </c>
      <c r="O141" s="245">
        <f>AVERAGE('Weekly Analysis'!X151:Y151)</f>
        <v>9</v>
      </c>
      <c r="P141" s="247">
        <f>AVERAGE('Weekly Analysis'!Z151:AA151)</f>
        <v>12.5</v>
      </c>
      <c r="Q141" s="269">
        <f>AVERAGE('Weekly Analysis'!AB151:AC151)</f>
        <v>6</v>
      </c>
      <c r="R141" s="269">
        <f>AVERAGE('Weekly Analysis'!AD151:AE151)</f>
        <v>25.5</v>
      </c>
      <c r="S141" s="269">
        <f>AVERAGE('Weekly Analysis'!AF151:AG151)</f>
        <v>22</v>
      </c>
      <c r="T141" s="269">
        <f>AVERAGE('Weekly Analysis'!AH151:AI151)</f>
        <v>22.5</v>
      </c>
      <c r="U141" s="269">
        <f>AVERAGE('Weekly Analysis'!AJ151:AK151)</f>
        <v>51.5</v>
      </c>
      <c r="V141" s="269">
        <f>AVERAGE('Weekly Analysis'!AL151:AM151)</f>
        <v>17</v>
      </c>
      <c r="W141" s="269">
        <f>AVERAGE('Weekly Analysis'!AN151:AO151)</f>
        <v>0</v>
      </c>
      <c r="X141" s="269">
        <f>AVERAGE('Weekly Analysis'!AP151:AQ151)</f>
        <v>0</v>
      </c>
      <c r="Y141" s="269">
        <f>AVERAGE('Weekly Analysis'!AR151:AS151)</f>
        <v>0</v>
      </c>
      <c r="Z141" s="269">
        <f>AVERAGE('Weekly Analysis'!AT151:AU151)</f>
        <v>0</v>
      </c>
      <c r="AA141" s="269">
        <f>AVERAGE('Weekly Analysis'!AV151:AW151)</f>
        <v>0</v>
      </c>
      <c r="AB141" s="269">
        <f>AVERAGE('Weekly Analysis'!AX151:AY151)</f>
        <v>11.5</v>
      </c>
      <c r="AC141" s="247">
        <f>AVERAGE('Weekly Analysis'!AZ151:BA151)</f>
        <v>6.5</v>
      </c>
      <c r="AD141" s="247">
        <f>AVERAGE('Weekly Analysis'!BB151:BC151)</f>
        <v>7</v>
      </c>
      <c r="AE141" s="247">
        <f>AVERAGE('Weekly Analysis'!BD151:BE151)</f>
        <v>22.5</v>
      </c>
      <c r="AF141" s="247">
        <f>AVERAGE('Weekly Analysis'!BF151:BG151)</f>
        <v>18.5</v>
      </c>
      <c r="AG141" s="247">
        <f>AVERAGE('Weekly Analysis'!BH151:BI151)</f>
        <v>22.5</v>
      </c>
      <c r="AH141" s="247">
        <f>AVERAGE('Weekly Analysis'!BJ151:BK151)</f>
        <v>16</v>
      </c>
      <c r="AI141" s="247">
        <f>AVERAGE('Weekly Analysis'!BL151:BM151)</f>
        <v>25</v>
      </c>
      <c r="AJ141" s="247">
        <f>AVERAGE('Weekly Analysis'!BN151:BO151)</f>
        <v>12.5</v>
      </c>
      <c r="AK141" s="247">
        <f>AVERAGE('Weekly Analysis'!BP151:BQ151)</f>
        <v>7.5</v>
      </c>
      <c r="AL141" s="247">
        <f>AVERAGE('Weekly Analysis'!BR151:BS151)</f>
        <v>9</v>
      </c>
      <c r="AM141" s="247">
        <f>AVERAGE('Weekly Analysis'!BT151:BU151)</f>
        <v>25.5</v>
      </c>
      <c r="AN141" s="247">
        <f>AVERAGE('Weekly Analysis'!BV151:BW151)</f>
        <v>11</v>
      </c>
      <c r="AO141" s="247">
        <f>AVERAGE('Weekly Analysis'!BX151:BY151)</f>
        <v>5</v>
      </c>
      <c r="AP141" s="247">
        <f>AVERAGE('Weekly Analysis'!BZ151:CA151)</f>
        <v>12.5</v>
      </c>
      <c r="AQ141" s="247">
        <f>AVERAGE('Weekly Analysis'!CB151:CC151)</f>
        <v>20.5</v>
      </c>
      <c r="AR141" s="246">
        <f>AVERAGE('Weekly Analysis'!CD151:CE151)</f>
        <v>17</v>
      </c>
      <c r="AS141" s="246">
        <f>AVERAGE('Weekly Analysis'!CF151:CG151)</f>
        <v>10.5</v>
      </c>
      <c r="AT141" s="246">
        <f>AVERAGE('Weekly Analysis'!CH151:CI151)</f>
        <v>21.5</v>
      </c>
      <c r="AU141" s="246">
        <f>AVERAGE('Weekly Analysis'!CJ151:CK151)</f>
        <v>23</v>
      </c>
      <c r="AV141" s="246">
        <f>AVERAGE('Weekly Analysis'!CL151:CM151)</f>
        <v>16.5</v>
      </c>
      <c r="AW141" s="246">
        <f>AVERAGE('Weekly Analysis'!CN151:CO151)</f>
        <v>8</v>
      </c>
      <c r="AX141" s="246">
        <f t="shared" si="146"/>
        <v>-51.515151515151516</v>
      </c>
      <c r="AY141" s="247">
        <f t="shared" si="147"/>
        <v>6.6666666666666714</v>
      </c>
      <c r="AZ141" s="244"/>
      <c r="BB141" s="632"/>
      <c r="BC141" s="316"/>
      <c r="BD141" s="632"/>
    </row>
    <row r="142" spans="2:56" ht="25.5" customHeight="1">
      <c r="B142" s="189" t="s">
        <v>19</v>
      </c>
      <c r="C142" s="618">
        <f t="shared" si="145"/>
        <v>10.541666666666666</v>
      </c>
      <c r="D142" s="269">
        <f>AVERAGE('Weekly Analysis'!B152:C152)</f>
        <v>36</v>
      </c>
      <c r="E142" s="269">
        <f>AVERAGE('Weekly Analysis'!D152:E152)</f>
        <v>12.5</v>
      </c>
      <c r="F142" s="269">
        <f>AVERAGE('Weekly Analysis'!F152:G152)</f>
        <v>16.5</v>
      </c>
      <c r="G142" s="269">
        <f>AVERAGE('Weekly Analysis'!H152:I152)</f>
        <v>6.5</v>
      </c>
      <c r="H142" s="269">
        <f>AVERAGE('Weekly Analysis'!J152:K152)</f>
        <v>11</v>
      </c>
      <c r="I142" s="269">
        <f>AVERAGE('Weekly Analysis'!L152:M152)</f>
        <v>6.5</v>
      </c>
      <c r="J142" s="269">
        <f>AVERAGE('Weekly Analysis'!N152:O152)</f>
        <v>12.5</v>
      </c>
      <c r="K142" s="269">
        <f>AVERAGE('Weekly Analysis'!P152:Q152)</f>
        <v>9.5</v>
      </c>
      <c r="L142" s="269">
        <f>AVERAGE('Weekly Analysis'!R152:S152)</f>
        <v>5.5</v>
      </c>
      <c r="M142" s="269">
        <f>AVERAGE('Weekly Analysis'!T152:U152)</f>
        <v>0</v>
      </c>
      <c r="N142" s="269">
        <f>AVERAGE('Weekly Analysis'!V152:W152)</f>
        <v>0</v>
      </c>
      <c r="O142" s="245">
        <f>AVERAGE('Weekly Analysis'!X152:Y152)</f>
        <v>10</v>
      </c>
      <c r="P142" s="247">
        <f>AVERAGE('Weekly Analysis'!Z152:AA152)</f>
        <v>9.5</v>
      </c>
      <c r="Q142" s="269">
        <f>AVERAGE('Weekly Analysis'!AB152:AC152)</f>
        <v>6.5</v>
      </c>
      <c r="R142" s="269">
        <f>AVERAGE('Weekly Analysis'!AD152:AE152)</f>
        <v>27.5</v>
      </c>
      <c r="S142" s="269">
        <f>AVERAGE('Weekly Analysis'!AF152:AG152)</f>
        <v>24.5</v>
      </c>
      <c r="T142" s="269">
        <f>AVERAGE('Weekly Analysis'!AH152:AI152)</f>
        <v>19.5</v>
      </c>
      <c r="U142" s="269">
        <f>AVERAGE('Weekly Analysis'!AJ152:AK152)</f>
        <v>43.5</v>
      </c>
      <c r="V142" s="269">
        <f>AVERAGE('Weekly Analysis'!AL152:AM152)</f>
        <v>26</v>
      </c>
      <c r="W142" s="269">
        <f>AVERAGE('Weekly Analysis'!AN152:AO152)</f>
        <v>0</v>
      </c>
      <c r="X142" s="269">
        <f>AVERAGE('Weekly Analysis'!AP152:AQ152)</f>
        <v>0</v>
      </c>
      <c r="Y142" s="269">
        <f>AVERAGE('Weekly Analysis'!AR152:AS152)</f>
        <v>0</v>
      </c>
      <c r="Z142" s="269">
        <f>AVERAGE('Weekly Analysis'!AT152:AU152)</f>
        <v>0</v>
      </c>
      <c r="AA142" s="269">
        <f>AVERAGE('Weekly Analysis'!AV152:AW152)</f>
        <v>0</v>
      </c>
      <c r="AB142" s="269">
        <f>AVERAGE('Weekly Analysis'!AX152:AY152)</f>
        <v>8.5</v>
      </c>
      <c r="AC142" s="247">
        <f>AVERAGE('Weekly Analysis'!AZ152:BA152)</f>
        <v>10.5</v>
      </c>
      <c r="AD142" s="247">
        <f>AVERAGE('Weekly Analysis'!BB152:BC152)</f>
        <v>11.5</v>
      </c>
      <c r="AE142" s="247">
        <f>AVERAGE('Weekly Analysis'!BD152:BE152)</f>
        <v>41.5</v>
      </c>
      <c r="AF142" s="247">
        <f>AVERAGE('Weekly Analysis'!BF152:BG152)</f>
        <v>38</v>
      </c>
      <c r="AG142" s="246">
        <f>AVERAGE('Weekly Analysis'!BH152:BI152)</f>
        <v>33.5</v>
      </c>
      <c r="AH142" s="246">
        <f>AVERAGE('Weekly Analysis'!BJ152:BK152)</f>
        <v>25.5</v>
      </c>
      <c r="AI142" s="247">
        <f>AVERAGE('Weekly Analysis'!BL152:BM152)</f>
        <v>34</v>
      </c>
      <c r="AJ142" s="247">
        <f>AVERAGE('Weekly Analysis'!BN152:BO152)</f>
        <v>17</v>
      </c>
      <c r="AK142" s="247">
        <f>AVERAGE('Weekly Analysis'!BP152:BQ152)</f>
        <v>13.5</v>
      </c>
      <c r="AL142" s="246">
        <f>AVERAGE('Weekly Analysis'!BR152:BS152)</f>
        <v>16</v>
      </c>
      <c r="AM142" s="247">
        <f>AVERAGE('Weekly Analysis'!BT152:BU152)</f>
        <v>46</v>
      </c>
      <c r="AN142" s="246">
        <f>AVERAGE('Weekly Analysis'!BV152:BW152)</f>
        <v>24.5</v>
      </c>
      <c r="AO142" s="246">
        <f>AVERAGE('Weekly Analysis'!BX152:BY152)</f>
        <v>11</v>
      </c>
      <c r="AP142" s="247">
        <f>AVERAGE('Weekly Analysis'!BZ152:CA152)</f>
        <v>21</v>
      </c>
      <c r="AQ142" s="247">
        <f>AVERAGE('Weekly Analysis'!CB152:CC152)</f>
        <v>27.5</v>
      </c>
      <c r="AR142" s="246">
        <f>AVERAGE('Weekly Analysis'!CD152:CE152)</f>
        <v>25</v>
      </c>
      <c r="AS142" s="246">
        <f>AVERAGE('Weekly Analysis'!CF152:CG152)</f>
        <v>18</v>
      </c>
      <c r="AT142" s="246">
        <f>AVERAGE('Weekly Analysis'!CH152:CI152)</f>
        <v>20</v>
      </c>
      <c r="AU142" s="246">
        <f>AVERAGE('Weekly Analysis'!CJ152:CK152)</f>
        <v>22</v>
      </c>
      <c r="AV142" s="246">
        <f>AVERAGE('Weekly Analysis'!CL152:CM152)</f>
        <v>20</v>
      </c>
      <c r="AW142" s="246">
        <f>AVERAGE('Weekly Analysis'!CN152:CO152)</f>
        <v>27.5</v>
      </c>
      <c r="AX142" s="246">
        <f t="shared" si="146"/>
        <v>37.5</v>
      </c>
      <c r="AY142" s="247">
        <f t="shared" si="147"/>
        <v>103.70370370370372</v>
      </c>
      <c r="AZ142" s="244"/>
      <c r="BB142" s="632"/>
      <c r="BC142" s="316"/>
      <c r="BD142" s="632"/>
    </row>
    <row r="143" spans="2:56" ht="25.5" customHeight="1">
      <c r="B143" s="189" t="s">
        <v>22</v>
      </c>
      <c r="C143" s="618">
        <f t="shared" si="145"/>
        <v>3.5833333333333335</v>
      </c>
      <c r="D143" s="269">
        <f>AVERAGE('Weekly Analysis'!B153:C153)</f>
        <v>5</v>
      </c>
      <c r="E143" s="269">
        <f>AVERAGE('Weekly Analysis'!D153:E153)</f>
        <v>3.5</v>
      </c>
      <c r="F143" s="269">
        <f>AVERAGE('Weekly Analysis'!F153:G153)</f>
        <v>8</v>
      </c>
      <c r="G143" s="269">
        <f>AVERAGE('Weekly Analysis'!H153:I153)</f>
        <v>3.5</v>
      </c>
      <c r="H143" s="269">
        <f>AVERAGE('Weekly Analysis'!J153:K153)</f>
        <v>8.5</v>
      </c>
      <c r="I143" s="269">
        <f>AVERAGE('Weekly Analysis'!L153:M153)</f>
        <v>3</v>
      </c>
      <c r="J143" s="269">
        <f>AVERAGE('Weekly Analysis'!N153:O153)</f>
        <v>4</v>
      </c>
      <c r="K143" s="269">
        <f>AVERAGE('Weekly Analysis'!P153:Q153)</f>
        <v>4.5</v>
      </c>
      <c r="L143" s="269">
        <f>AVERAGE('Weekly Analysis'!R153:S153)</f>
        <v>1</v>
      </c>
      <c r="M143" s="269">
        <f>AVERAGE('Weekly Analysis'!T153:U153)</f>
        <v>0</v>
      </c>
      <c r="N143" s="269">
        <f>AVERAGE('Weekly Analysis'!V153:W153)</f>
        <v>0</v>
      </c>
      <c r="O143" s="245">
        <f>AVERAGE('Weekly Analysis'!X153:Y153)</f>
        <v>2</v>
      </c>
      <c r="P143" s="247">
        <f>AVERAGE('Weekly Analysis'!Z153:AA153)</f>
        <v>2</v>
      </c>
      <c r="Q143" s="269">
        <f>AVERAGE('Weekly Analysis'!AB153:AC153)</f>
        <v>2.5</v>
      </c>
      <c r="R143" s="269">
        <f>AVERAGE('Weekly Analysis'!AD153:AE153)</f>
        <v>6</v>
      </c>
      <c r="S143" s="269">
        <f>AVERAGE('Weekly Analysis'!AF153:AG153)</f>
        <v>14</v>
      </c>
      <c r="T143" s="269">
        <f>AVERAGE('Weekly Analysis'!AH153:AI153)</f>
        <v>27.5</v>
      </c>
      <c r="U143" s="269">
        <f>AVERAGE('Weekly Analysis'!AJ153:AK153)</f>
        <v>37</v>
      </c>
      <c r="V143" s="269">
        <f>AVERAGE('Weekly Analysis'!AL153:AM153)</f>
        <v>13.5</v>
      </c>
      <c r="W143" s="269">
        <f>AVERAGE('Weekly Analysis'!AN153:AO153)</f>
        <v>0</v>
      </c>
      <c r="X143" s="269">
        <f>AVERAGE('Weekly Analysis'!AP153:AQ153)</f>
        <v>0</v>
      </c>
      <c r="Y143" s="269">
        <f>AVERAGE('Weekly Analysis'!AR153:AS153)</f>
        <v>0</v>
      </c>
      <c r="Z143" s="269">
        <f>AVERAGE('Weekly Analysis'!AT153:AU153)</f>
        <v>0</v>
      </c>
      <c r="AA143" s="269">
        <f>AVERAGE('Weekly Analysis'!AV153:AW153)</f>
        <v>0</v>
      </c>
      <c r="AB143" s="269">
        <f>AVERAGE('Weekly Analysis'!AX153:AY153)</f>
        <v>1.5</v>
      </c>
      <c r="AC143" s="246">
        <f>AVERAGE('Weekly Analysis'!AZ153:BA153)</f>
        <v>3.5</v>
      </c>
      <c r="AD143" s="246">
        <f>AVERAGE('Weekly Analysis'!BB153:BC153)</f>
        <v>5</v>
      </c>
      <c r="AE143" s="247">
        <f>AVERAGE('Weekly Analysis'!BD153:BE153)</f>
        <v>20.5</v>
      </c>
      <c r="AF143" s="246">
        <f>AVERAGE('Weekly Analysis'!BF153:BG153)</f>
        <v>25</v>
      </c>
      <c r="AG143" s="247">
        <f>AVERAGE('Weekly Analysis'!BH153:BI153)</f>
        <v>27.5</v>
      </c>
      <c r="AH143" s="247">
        <f>AVERAGE('Weekly Analysis'!BJ153:BK153)</f>
        <v>21.5</v>
      </c>
      <c r="AI143" s="247">
        <f>AVERAGE('Weekly Analysis'!BL153:BM153)</f>
        <v>16</v>
      </c>
      <c r="AJ143" s="247">
        <f>AVERAGE('Weekly Analysis'!BN153:BO153)</f>
        <v>9</v>
      </c>
      <c r="AK143" s="247">
        <f>AVERAGE('Weekly Analysis'!BP153:BQ153)</f>
        <v>1.5</v>
      </c>
      <c r="AL143" s="247">
        <f>AVERAGE('Weekly Analysis'!BR153:BS153)</f>
        <v>5.5</v>
      </c>
      <c r="AM143" s="247">
        <f>AVERAGE('Weekly Analysis'!BT153:BU153)</f>
        <v>18.5</v>
      </c>
      <c r="AN143" s="247">
        <f>AVERAGE('Weekly Analysis'!BV153:BW153)</f>
        <v>1</v>
      </c>
      <c r="AO143" s="247">
        <f>AVERAGE('Weekly Analysis'!BX153:BY153)</f>
        <v>0</v>
      </c>
      <c r="AP143" s="247">
        <f>AVERAGE('Weekly Analysis'!BZ153:CA153)</f>
        <v>14</v>
      </c>
      <c r="AQ143" s="246">
        <f>AVERAGE('Weekly Analysis'!CB153:CC153)</f>
        <v>21.5</v>
      </c>
      <c r="AR143" s="246">
        <f>AVERAGE('Weekly Analysis'!CD153:CE153)</f>
        <v>22</v>
      </c>
      <c r="AS143" s="246">
        <f>AVERAGE('Weekly Analysis'!CF153:CG153)</f>
        <v>38.5</v>
      </c>
      <c r="AT143" s="246">
        <f>AVERAGE('Weekly Analysis'!CH153:CI153)</f>
        <v>34.5</v>
      </c>
      <c r="AU143" s="246">
        <f>AVERAGE('Weekly Analysis'!CJ153:CK153)</f>
        <v>23</v>
      </c>
      <c r="AV143" s="246">
        <f>AVERAGE('Weekly Analysis'!CL153:CM153)</f>
        <v>13.5</v>
      </c>
      <c r="AW143" s="246">
        <f>AVERAGE('Weekly Analysis'!CN153:CO153)</f>
        <v>8</v>
      </c>
      <c r="AX143" s="246">
        <f t="shared" si="146"/>
        <v>-40.740740740740748</v>
      </c>
      <c r="AY143" s="247">
        <f>AW143/AK143*100-100</f>
        <v>433.33333333333326</v>
      </c>
      <c r="AZ143" s="244"/>
      <c r="BB143" s="632"/>
      <c r="BC143" s="316"/>
      <c r="BD143" s="632"/>
    </row>
    <row r="144" spans="2:56" ht="25.5" customHeight="1">
      <c r="B144" s="189" t="s">
        <v>25</v>
      </c>
      <c r="C144" s="618">
        <f t="shared" si="145"/>
        <v>8.5416666666666661</v>
      </c>
      <c r="D144" s="269">
        <f>AVERAGE('Weekly Analysis'!B154:C154)</f>
        <v>22</v>
      </c>
      <c r="E144" s="269">
        <f>AVERAGE('Weekly Analysis'!D154:E154)</f>
        <v>11.5</v>
      </c>
      <c r="F144" s="269">
        <f>AVERAGE('Weekly Analysis'!F154:G154)</f>
        <v>1</v>
      </c>
      <c r="G144" s="269">
        <f>AVERAGE('Weekly Analysis'!H154:I154)</f>
        <v>11</v>
      </c>
      <c r="H144" s="269">
        <f>AVERAGE('Weekly Analysis'!J154:K154)</f>
        <v>0</v>
      </c>
      <c r="I144" s="269">
        <f>AVERAGE('Weekly Analysis'!L154:M154)</f>
        <v>4</v>
      </c>
      <c r="J144" s="269">
        <f>AVERAGE('Weekly Analysis'!N154:O154)</f>
        <v>11</v>
      </c>
      <c r="K144" s="269">
        <f>AVERAGE('Weekly Analysis'!P154:Q154)</f>
        <v>18</v>
      </c>
      <c r="L144" s="269">
        <f>AVERAGE('Weekly Analysis'!R154:S154)</f>
        <v>7</v>
      </c>
      <c r="M144" s="269">
        <f>AVERAGE('Weekly Analysis'!T154:U154)</f>
        <v>0</v>
      </c>
      <c r="N144" s="269">
        <f>AVERAGE('Weekly Analysis'!V154:W154)</f>
        <v>0</v>
      </c>
      <c r="O144" s="245">
        <f>AVERAGE('Weekly Analysis'!X154:Y154)</f>
        <v>17</v>
      </c>
      <c r="P144" s="247">
        <f>AVERAGE('Weekly Analysis'!Z154:AA154)</f>
        <v>18</v>
      </c>
      <c r="Q144" s="269">
        <f>AVERAGE('Weekly Analysis'!AB154:AC154)</f>
        <v>26</v>
      </c>
      <c r="R144" s="269">
        <f>AVERAGE('Weekly Analysis'!AD154:AE154)</f>
        <v>0</v>
      </c>
      <c r="S144" s="269">
        <f>AVERAGE('Weekly Analysis'!AF154:AG154)</f>
        <v>29.5</v>
      </c>
      <c r="T144" s="269">
        <f>AVERAGE('Weekly Analysis'!AH154:AI154)</f>
        <v>23</v>
      </c>
      <c r="U144" s="269">
        <f>AVERAGE('Weekly Analysis'!AJ154:AK154)</f>
        <v>51</v>
      </c>
      <c r="V144" s="269">
        <f>AVERAGE('Weekly Analysis'!AL154:AM154)</f>
        <v>14</v>
      </c>
      <c r="W144" s="269">
        <f>AVERAGE('Weekly Analysis'!AN154:AO154)</f>
        <v>0</v>
      </c>
      <c r="X144" s="269">
        <f>AVERAGE('Weekly Analysis'!AP154:AQ154)</f>
        <v>0</v>
      </c>
      <c r="Y144" s="269">
        <f>AVERAGE('Weekly Analysis'!AR154:AS154)</f>
        <v>0</v>
      </c>
      <c r="Z144" s="269">
        <f>AVERAGE('Weekly Analysis'!AT154:AU154)</f>
        <v>0</v>
      </c>
      <c r="AA144" s="269">
        <f>AVERAGE('Weekly Analysis'!AV154:AW154)</f>
        <v>0</v>
      </c>
      <c r="AB144" s="245">
        <f>AVERAGE('Weekly Analysis'!AX154:AY154)</f>
        <v>13.5</v>
      </c>
      <c r="AC144" s="247">
        <f>AVERAGE('Weekly Analysis'!AZ154:BA154)</f>
        <v>22.5</v>
      </c>
      <c r="AD144" s="247">
        <f>AVERAGE('Weekly Analysis'!BB154:BC154)</f>
        <v>0.5</v>
      </c>
      <c r="AE144" s="246">
        <f>AVERAGE('Weekly Analysis'!BD154:BE154)</f>
        <v>50.5</v>
      </c>
      <c r="AF144" s="247">
        <f>AVERAGE('Weekly Analysis'!BF154:BG154)</f>
        <v>53.5</v>
      </c>
      <c r="AG144" s="247">
        <f>AVERAGE('Weekly Analysis'!BH154:BI154)</f>
        <v>53.5</v>
      </c>
      <c r="AH144" s="247">
        <f>AVERAGE('Weekly Analysis'!BJ154:BK154)</f>
        <v>46.5</v>
      </c>
      <c r="AI144" s="247">
        <f>AVERAGE('Weekly Analysis'!BL154:BM154)</f>
        <v>45</v>
      </c>
      <c r="AJ144" s="246">
        <f>AVERAGE('Weekly Analysis'!BN154:BO154)</f>
        <v>28.5</v>
      </c>
      <c r="AK144" s="247">
        <f>AVERAGE('Weekly Analysis'!BP154:BQ154)</f>
        <v>3</v>
      </c>
      <c r="AL144" s="246">
        <f>AVERAGE('Weekly Analysis'!BR154:BS154)</f>
        <v>5</v>
      </c>
      <c r="AM144" s="246">
        <f>AVERAGE('Weekly Analysis'!BT154:BU154)</f>
        <v>33</v>
      </c>
      <c r="AN144" s="246">
        <f>AVERAGE('Weekly Analysis'!BV154:BW154)</f>
        <v>5.5</v>
      </c>
      <c r="AO144" s="246">
        <f>AVERAGE('Weekly Analysis'!BX154:BY154)</f>
        <v>10</v>
      </c>
      <c r="AP144" s="247">
        <f>AVERAGE('Weekly Analysis'!BZ154:CA154)</f>
        <v>52.5</v>
      </c>
      <c r="AQ144" s="246">
        <f>AVERAGE('Weekly Analysis'!CB154:CC154)</f>
        <v>50.5</v>
      </c>
      <c r="AR144" s="246">
        <f>AVERAGE('Weekly Analysis'!CD154:CE154)</f>
        <v>45.5</v>
      </c>
      <c r="AS144" s="246">
        <f>AVERAGE('Weekly Analysis'!CF154:CG154)</f>
        <v>43</v>
      </c>
      <c r="AT144" s="246">
        <f>AVERAGE('Weekly Analysis'!CH154:CI154)</f>
        <v>54</v>
      </c>
      <c r="AU144" s="246">
        <f>AVERAGE('Weekly Analysis'!CJ154:CK154)</f>
        <v>54</v>
      </c>
      <c r="AV144" s="246">
        <f>AVERAGE('Weekly Analysis'!CL154:CM154)</f>
        <v>45</v>
      </c>
      <c r="AW144" s="246">
        <f>AVERAGE('Weekly Analysis'!CN154:CO154)</f>
        <v>51</v>
      </c>
      <c r="AX144" s="246">
        <f t="shared" si="146"/>
        <v>13.333333333333329</v>
      </c>
      <c r="AY144" s="247">
        <f>AW144/AK144*100-100</f>
        <v>1600</v>
      </c>
      <c r="AZ144" s="244"/>
      <c r="BB144" s="632"/>
      <c r="BC144" s="316"/>
      <c r="BD144" s="632"/>
    </row>
    <row r="145" spans="2:56" ht="25.5" customHeight="1">
      <c r="B145" s="189" t="s">
        <v>30</v>
      </c>
      <c r="C145" s="618">
        <f t="shared" si="145"/>
        <v>14.791666666666666</v>
      </c>
      <c r="D145" s="269">
        <f>AVERAGE('Weekly Analysis'!B157:C157)</f>
        <v>44</v>
      </c>
      <c r="E145" s="269">
        <f>AVERAGE('Weekly Analysis'!D157:E157)</f>
        <v>27.5</v>
      </c>
      <c r="F145" s="269">
        <f>AVERAGE('Weekly Analysis'!F157:G157)</f>
        <v>0</v>
      </c>
      <c r="G145" s="269">
        <f>AVERAGE('Weekly Analysis'!H157:I157)</f>
        <v>24.5</v>
      </c>
      <c r="H145" s="269">
        <f>AVERAGE('Weekly Analysis'!J157:K157)</f>
        <v>0</v>
      </c>
      <c r="I145" s="269">
        <f>AVERAGE('Weekly Analysis'!L157:M157)</f>
        <v>15.5</v>
      </c>
      <c r="J145" s="269">
        <f>AVERAGE('Weekly Analysis'!N157:O157)</f>
        <v>9.5</v>
      </c>
      <c r="K145" s="269">
        <f>AVERAGE('Weekly Analysis'!P157:Q157)</f>
        <v>26.5</v>
      </c>
      <c r="L145" s="269">
        <f>AVERAGE('Weekly Analysis'!R157:S157)</f>
        <v>11.5</v>
      </c>
      <c r="M145" s="269">
        <f>AVERAGE('Weekly Analysis'!T157:U157)</f>
        <v>0</v>
      </c>
      <c r="N145" s="269">
        <f>AVERAGE('Weekly Analysis'!V157:W157)</f>
        <v>0</v>
      </c>
      <c r="O145" s="245">
        <f>AVERAGE('Weekly Analysis'!X157:Y157)</f>
        <v>18.5</v>
      </c>
      <c r="P145" s="247">
        <f>AVERAGE('Weekly Analysis'!Z157:AA157)</f>
        <v>26.5</v>
      </c>
      <c r="Q145" s="269">
        <f>AVERAGE('Weekly Analysis'!AB157:AC157)</f>
        <v>8.5</v>
      </c>
      <c r="R145" s="269">
        <f>AVERAGE('Weekly Analysis'!AD157:AE157)</f>
        <v>0.5</v>
      </c>
      <c r="S145" s="269">
        <f>AVERAGE('Weekly Analysis'!AF157:AG157)</f>
        <v>24.5</v>
      </c>
      <c r="T145" s="269">
        <f>AVERAGE('Weekly Analysis'!AH157:AI157)</f>
        <v>18</v>
      </c>
      <c r="U145" s="269">
        <f>AVERAGE('Weekly Analysis'!AJ157:AK157)</f>
        <v>31.5</v>
      </c>
      <c r="V145" s="269">
        <f>AVERAGE('Weekly Analysis'!AL157:AM157)</f>
        <v>10</v>
      </c>
      <c r="W145" s="269">
        <f>AVERAGE('Weekly Analysis'!AN157:AO157)</f>
        <v>0</v>
      </c>
      <c r="X145" s="269">
        <f>AVERAGE('Weekly Analysis'!AP157:AQ157)</f>
        <v>0</v>
      </c>
      <c r="Y145" s="269">
        <f>AVERAGE('Weekly Analysis'!AR157:AS157)</f>
        <v>0</v>
      </c>
      <c r="Z145" s="269">
        <f>AVERAGE('Weekly Analysis'!AT157:AU157)</f>
        <v>0</v>
      </c>
      <c r="AA145" s="269">
        <f>AVERAGE('Weekly Analysis'!AV157:AW157)</f>
        <v>0</v>
      </c>
      <c r="AB145" s="269">
        <f>AVERAGE('Weekly Analysis'!AX157:AY157)</f>
        <v>13</v>
      </c>
      <c r="AC145" s="247">
        <f>AVERAGE('Weekly Analysis'!AZ157:BA157)</f>
        <v>18.5</v>
      </c>
      <c r="AD145" s="247">
        <f>AVERAGE('Weekly Analysis'!BB157:BC157)</f>
        <v>0</v>
      </c>
      <c r="AE145" s="247">
        <f>AVERAGE('Weekly Analysis'!BD157:BE157)</f>
        <v>92</v>
      </c>
      <c r="AF145" s="247">
        <f>AVERAGE('Weekly Analysis'!BF157:BG157)</f>
        <v>82</v>
      </c>
      <c r="AG145" s="247">
        <f>AVERAGE('Weekly Analysis'!BH157:BI157)</f>
        <v>64</v>
      </c>
      <c r="AH145" s="247">
        <f>AVERAGE('Weekly Analysis'!BJ157:BK157)</f>
        <v>46.5</v>
      </c>
      <c r="AI145" s="247">
        <f>AVERAGE('Weekly Analysis'!BL157:BM157)</f>
        <v>67</v>
      </c>
      <c r="AJ145" s="247">
        <f>AVERAGE('Weekly Analysis'!BN157:BO157)</f>
        <v>45</v>
      </c>
      <c r="AK145" s="247">
        <f>AVERAGE('Weekly Analysis'!BP157:BQ157)</f>
        <v>5</v>
      </c>
      <c r="AL145" s="247">
        <f>AVERAGE('Weekly Analysis'!BR157:BS157)</f>
        <v>2</v>
      </c>
      <c r="AM145" s="247">
        <f>AVERAGE('Weekly Analysis'!BT157:BU157)</f>
        <v>58</v>
      </c>
      <c r="AN145" s="247">
        <f>AVERAGE('Weekly Analysis'!BV157:BW157)</f>
        <v>6.5</v>
      </c>
      <c r="AO145" s="247">
        <f>AVERAGE('Weekly Analysis'!BX157:BY157)</f>
        <v>11</v>
      </c>
      <c r="AP145" s="247">
        <f>AVERAGE('Weekly Analysis'!BZ157:CA157)</f>
        <v>71.5</v>
      </c>
      <c r="AQ145" s="247">
        <f>AVERAGE('Weekly Analysis'!CB157:CC157)</f>
        <v>65</v>
      </c>
      <c r="AR145" s="246">
        <f>AVERAGE('Weekly Analysis'!CD157:CE157)</f>
        <v>81.5</v>
      </c>
      <c r="AS145" s="246">
        <f>AVERAGE('Weekly Analysis'!CF157:CG157)</f>
        <v>47.5</v>
      </c>
      <c r="AT145" s="246">
        <f>AVERAGE('Weekly Analysis'!CH157:CI157)</f>
        <v>53</v>
      </c>
      <c r="AU145" s="246">
        <f>AVERAGE('Weekly Analysis'!CJ157:CK157)</f>
        <v>82.5</v>
      </c>
      <c r="AV145" s="246">
        <f>AVERAGE('Weekly Analysis'!CL157:CM157)</f>
        <v>55</v>
      </c>
      <c r="AW145" s="246">
        <f>AVERAGE('Weekly Analysis'!CN157:CO157)</f>
        <v>67</v>
      </c>
      <c r="AX145" s="246">
        <f t="shared" si="146"/>
        <v>21.818181818181827</v>
      </c>
      <c r="AY145" s="247">
        <f>AW145/AK145*100-100</f>
        <v>1240</v>
      </c>
      <c r="AZ145" s="244"/>
      <c r="BB145" s="632"/>
      <c r="BC145" s="316"/>
      <c r="BD145" s="632"/>
    </row>
    <row r="146" spans="2:56" ht="25.5" customHeight="1">
      <c r="B146" s="189" t="s">
        <v>31</v>
      </c>
      <c r="C146" s="618">
        <f t="shared" si="145"/>
        <v>13.541666666666666</v>
      </c>
      <c r="D146" s="269">
        <f>AVERAGE('Weekly Analysis'!B158:C158)</f>
        <v>27.5</v>
      </c>
      <c r="E146" s="269">
        <f>AVERAGE('Weekly Analysis'!D158:E158)</f>
        <v>21</v>
      </c>
      <c r="F146" s="269">
        <f>AVERAGE('Weekly Analysis'!F158:G158)</f>
        <v>1.5</v>
      </c>
      <c r="G146" s="269">
        <f>AVERAGE('Weekly Analysis'!H158:I158)</f>
        <v>25</v>
      </c>
      <c r="H146" s="269">
        <f>AVERAGE('Weekly Analysis'!J158:K158)</f>
        <v>0.5</v>
      </c>
      <c r="I146" s="269">
        <f>AVERAGE('Weekly Analysis'!L158:M158)</f>
        <v>14.5</v>
      </c>
      <c r="J146" s="269">
        <f>AVERAGE('Weekly Analysis'!N158:O158)</f>
        <v>14</v>
      </c>
      <c r="K146" s="269">
        <f>AVERAGE('Weekly Analysis'!P158:Q158)</f>
        <v>29</v>
      </c>
      <c r="L146" s="269">
        <f>AVERAGE('Weekly Analysis'!R158:S158)</f>
        <v>19.5</v>
      </c>
      <c r="M146" s="269">
        <f>AVERAGE('Weekly Analysis'!T158:U158)</f>
        <v>0</v>
      </c>
      <c r="N146" s="269">
        <f>AVERAGE('Weekly Analysis'!V158:W158)</f>
        <v>0</v>
      </c>
      <c r="O146" s="245">
        <f>AVERAGE('Weekly Analysis'!X158:Y158)</f>
        <v>10</v>
      </c>
      <c r="P146" s="247">
        <f>AVERAGE('Weekly Analysis'!Z158:AA158)</f>
        <v>21.5</v>
      </c>
      <c r="Q146" s="269">
        <f>AVERAGE('Weekly Analysis'!AB158:AC158)</f>
        <v>9.5</v>
      </c>
      <c r="R146" s="269">
        <f>AVERAGE('Weekly Analysis'!AD158:AE158)</f>
        <v>25.5</v>
      </c>
      <c r="S146" s="269">
        <f>AVERAGE('Weekly Analysis'!AF158:AG158)</f>
        <v>25</v>
      </c>
      <c r="T146" s="269">
        <f>AVERAGE('Weekly Analysis'!AH158:AI158)</f>
        <v>36</v>
      </c>
      <c r="U146" s="269">
        <f>AVERAGE('Weekly Analysis'!AJ158:AK158)</f>
        <v>46</v>
      </c>
      <c r="V146" s="269">
        <f>AVERAGE('Weekly Analysis'!AL158:AM158)</f>
        <v>16</v>
      </c>
      <c r="W146" s="269">
        <f>AVERAGE('Weekly Analysis'!AN158:AO158)</f>
        <v>0</v>
      </c>
      <c r="X146" s="269">
        <f>AVERAGE('Weekly Analysis'!AP158:AQ158)</f>
        <v>0</v>
      </c>
      <c r="Y146" s="269">
        <f>AVERAGE('Weekly Analysis'!AR158:AS158)</f>
        <v>0</v>
      </c>
      <c r="Z146" s="269">
        <f>AVERAGE('Weekly Analysis'!AT158:AU158)</f>
        <v>0</v>
      </c>
      <c r="AA146" s="269">
        <f>AVERAGE('Weekly Analysis'!AV158:AW158)</f>
        <v>0</v>
      </c>
      <c r="AB146" s="269">
        <f>AVERAGE('Weekly Analysis'!AX158:AY158)</f>
        <v>21.5</v>
      </c>
      <c r="AC146" s="246">
        <f>AVERAGE('Weekly Analysis'!AZ158:BA158)</f>
        <v>12.5</v>
      </c>
      <c r="AD146" s="246">
        <f>AVERAGE('Weekly Analysis'!BB158:BC158)</f>
        <v>0</v>
      </c>
      <c r="AE146" s="247">
        <f>AVERAGE('Weekly Analysis'!BD158:BE158)</f>
        <v>55.5</v>
      </c>
      <c r="AF146" s="246">
        <f>AVERAGE('Weekly Analysis'!BF158:BG158)</f>
        <v>54.5</v>
      </c>
      <c r="AG146" s="247">
        <f>AVERAGE('Weekly Analysis'!BH158:BI158)</f>
        <v>53.5</v>
      </c>
      <c r="AH146" s="246">
        <f>AVERAGE('Weekly Analysis'!BJ158:BK158)</f>
        <v>47</v>
      </c>
      <c r="AI146" s="246">
        <f>AVERAGE('Weekly Analysis'!BL158:BM158)</f>
        <v>37.5</v>
      </c>
      <c r="AJ146" s="246">
        <f>AVERAGE('Weekly Analysis'!BN158:BO158)</f>
        <v>48</v>
      </c>
      <c r="AK146" s="247">
        <f>AVERAGE('Weekly Analysis'!BP158:BQ158)</f>
        <v>3.5</v>
      </c>
      <c r="AL146" s="246">
        <f>AVERAGE('Weekly Analysis'!BR158:BS158)</f>
        <v>0</v>
      </c>
      <c r="AM146" s="246">
        <f>AVERAGE('Weekly Analysis'!BT158:BU158)</f>
        <v>51.5</v>
      </c>
      <c r="AN146" s="247">
        <f>AVERAGE('Weekly Analysis'!BV158:BW158)</f>
        <v>1</v>
      </c>
      <c r="AO146" s="246">
        <f>AVERAGE('Weekly Analysis'!BX158:BY158)</f>
        <v>21</v>
      </c>
      <c r="AP146" s="247">
        <f>AVERAGE('Weekly Analysis'!BZ158:CA158)</f>
        <v>41</v>
      </c>
      <c r="AQ146" s="246">
        <f>AVERAGE('Weekly Analysis'!CB158:CC158)</f>
        <v>38</v>
      </c>
      <c r="AR146" s="246">
        <f>AVERAGE('Weekly Analysis'!CD158:CE158)</f>
        <v>48</v>
      </c>
      <c r="AS146" s="246">
        <f>AVERAGE('Weekly Analysis'!CF158:CG158)</f>
        <v>42</v>
      </c>
      <c r="AT146" s="246">
        <f>AVERAGE('Weekly Analysis'!CH158:CI158)</f>
        <v>23.5</v>
      </c>
      <c r="AU146" s="246">
        <f>AVERAGE('Weekly Analysis'!CJ158:CK158)</f>
        <v>58</v>
      </c>
      <c r="AV146" s="246">
        <f>AVERAGE('Weekly Analysis'!CL158:CM158)</f>
        <v>58</v>
      </c>
      <c r="AW146" s="246">
        <f>AVERAGE('Weekly Analysis'!CN158:CO158)</f>
        <v>72</v>
      </c>
      <c r="AX146" s="246">
        <f t="shared" si="146"/>
        <v>24.137931034482762</v>
      </c>
      <c r="AY146" s="247">
        <f t="shared" si="147"/>
        <v>1957.1428571428573</v>
      </c>
      <c r="AZ146" s="244"/>
      <c r="BB146" s="632"/>
      <c r="BC146" s="316"/>
      <c r="BD146" s="632"/>
    </row>
    <row r="147" spans="2:56" ht="25.5" customHeight="1">
      <c r="B147" s="189" t="s">
        <v>32</v>
      </c>
      <c r="C147" s="618">
        <f t="shared" si="145"/>
        <v>0.79166666666666663</v>
      </c>
      <c r="D147" s="269">
        <f>AVERAGE('Weekly Analysis'!B159:C159)</f>
        <v>1.5</v>
      </c>
      <c r="E147" s="269">
        <f>AVERAGE('Weekly Analysis'!D159:E159)</f>
        <v>1</v>
      </c>
      <c r="F147" s="269">
        <f>AVERAGE('Weekly Analysis'!F159:G159)</f>
        <v>2</v>
      </c>
      <c r="G147" s="269">
        <f>AVERAGE('Weekly Analysis'!H159:I159)</f>
        <v>0</v>
      </c>
      <c r="H147" s="269">
        <f>AVERAGE('Weekly Analysis'!J159:K159)</f>
        <v>0</v>
      </c>
      <c r="I147" s="269">
        <f>AVERAGE('Weekly Analysis'!L159:M159)</f>
        <v>1</v>
      </c>
      <c r="J147" s="269">
        <f>AVERAGE('Weekly Analysis'!N159:O159)</f>
        <v>0.5</v>
      </c>
      <c r="K147" s="269">
        <f>AVERAGE('Weekly Analysis'!P159:Q159)</f>
        <v>1.5</v>
      </c>
      <c r="L147" s="269">
        <f>AVERAGE('Weekly Analysis'!R159:S159)</f>
        <v>0</v>
      </c>
      <c r="M147" s="269">
        <f>AVERAGE('Weekly Analysis'!T159:U159)</f>
        <v>0</v>
      </c>
      <c r="N147" s="269">
        <f>AVERAGE('Weekly Analysis'!V159:W159)</f>
        <v>0</v>
      </c>
      <c r="O147" s="245">
        <f>AVERAGE('Weekly Analysis'!X159:Y159)</f>
        <v>2</v>
      </c>
      <c r="P147" s="247">
        <f>AVERAGE('Weekly Analysis'!Z159:AA159)</f>
        <v>1.5</v>
      </c>
      <c r="Q147" s="269">
        <f>AVERAGE('Weekly Analysis'!AB159:AC159)</f>
        <v>1</v>
      </c>
      <c r="R147" s="269">
        <f>AVERAGE('Weekly Analysis'!AD159:AE159)</f>
        <v>0.5</v>
      </c>
      <c r="S147" s="269">
        <f>AVERAGE('Weekly Analysis'!AF159:AG159)</f>
        <v>0</v>
      </c>
      <c r="T147" s="269">
        <f>AVERAGE('Weekly Analysis'!AH159:AI159)</f>
        <v>0</v>
      </c>
      <c r="U147" s="269">
        <f>AVERAGE('Weekly Analysis'!AJ159:AK159)</f>
        <v>0</v>
      </c>
      <c r="V147" s="269">
        <f>AVERAGE('Weekly Analysis'!AL159:AM159)</f>
        <v>0</v>
      </c>
      <c r="W147" s="269">
        <f>AVERAGE('Weekly Analysis'!AN159:AO159)</f>
        <v>0</v>
      </c>
      <c r="X147" s="269">
        <f>AVERAGE('Weekly Analysis'!AP159:AQ159)</f>
        <v>0</v>
      </c>
      <c r="Y147" s="269">
        <f>AVERAGE('Weekly Analysis'!AR159:AS159)</f>
        <v>0</v>
      </c>
      <c r="Z147" s="269">
        <f>AVERAGE('Weekly Analysis'!AT159:AU159)</f>
        <v>0</v>
      </c>
      <c r="AA147" s="269">
        <f>AVERAGE('Weekly Analysis'!AV159:AW159)</f>
        <v>0</v>
      </c>
      <c r="AB147" s="269">
        <f>AVERAGE('Weekly Analysis'!AX159:AY159)</f>
        <v>1.5</v>
      </c>
      <c r="AC147" s="247">
        <f>AVERAGE('Weekly Analysis'!AZ159:BA159)</f>
        <v>2</v>
      </c>
      <c r="AD147" s="247">
        <f>AVERAGE('Weekly Analysis'!BB159:BC159)</f>
        <v>1.5</v>
      </c>
      <c r="AE147" s="247">
        <f>AVERAGE('Weekly Analysis'!BD159:BE159)</f>
        <v>2</v>
      </c>
      <c r="AF147" s="247">
        <f>AVERAGE('Weekly Analysis'!BF159:BG159)</f>
        <v>1</v>
      </c>
      <c r="AG147" s="247">
        <f>AVERAGE('Weekly Analysis'!BH159:BI159)</f>
        <v>0</v>
      </c>
      <c r="AH147" s="247">
        <f>AVERAGE('Weekly Analysis'!BJ159:BK159)</f>
        <v>1</v>
      </c>
      <c r="AI147" s="247">
        <f>AVERAGE('Weekly Analysis'!BL159:BM159)</f>
        <v>0.5</v>
      </c>
      <c r="AJ147" s="247">
        <f>AVERAGE('Weekly Analysis'!BN159:BO159)</f>
        <v>0</v>
      </c>
      <c r="AK147" s="247">
        <f>AVERAGE('Weekly Analysis'!BP159:BQ159)</f>
        <v>4.5</v>
      </c>
      <c r="AL147" s="247">
        <f>AVERAGE('Weekly Analysis'!BR159:BS159)</f>
        <v>2.5</v>
      </c>
      <c r="AM147" s="247">
        <f>AVERAGE('Weekly Analysis'!BT159:BU159)</f>
        <v>5.5</v>
      </c>
      <c r="AN147" s="247">
        <f>AVERAGE('Weekly Analysis'!BV159:BW159)</f>
        <v>4.5</v>
      </c>
      <c r="AO147" s="247">
        <f>AVERAGE('Weekly Analysis'!BX159:BY159)</f>
        <v>1</v>
      </c>
      <c r="AP147" s="247">
        <f>AVERAGE('Weekly Analysis'!BZ159:CA159)</f>
        <v>1</v>
      </c>
      <c r="AQ147" s="247">
        <f>AVERAGE('Weekly Analysis'!CB159:CC159)</f>
        <v>4</v>
      </c>
      <c r="AR147" s="246">
        <f>AVERAGE('Weekly Analysis'!CD159:CE159)</f>
        <v>1</v>
      </c>
      <c r="AS147" s="246">
        <f>AVERAGE('Weekly Analysis'!CF159:CG159)</f>
        <v>0.5</v>
      </c>
      <c r="AT147" s="246">
        <f>AVERAGE('Weekly Analysis'!CH159:CI159)</f>
        <v>0</v>
      </c>
      <c r="AU147" s="246">
        <f>AVERAGE('Weekly Analysis'!CJ159:CK159)</f>
        <v>1</v>
      </c>
      <c r="AV147" s="246">
        <f>AVERAGE('Weekly Analysis'!CL159:CM159)</f>
        <v>6</v>
      </c>
      <c r="AW147" s="246">
        <f>AVERAGE('Weekly Analysis'!CN159:CO159)</f>
        <v>3</v>
      </c>
      <c r="AX147" s="246">
        <f t="shared" si="146"/>
        <v>-50</v>
      </c>
      <c r="AY147" s="247">
        <f t="shared" si="147"/>
        <v>-33.333333333333343</v>
      </c>
      <c r="AZ147" s="244"/>
      <c r="BB147" s="632"/>
      <c r="BC147" s="316"/>
      <c r="BD147" s="632"/>
    </row>
    <row r="148" spans="2:56" ht="25.5" customHeight="1">
      <c r="B148" s="189" t="s">
        <v>33</v>
      </c>
      <c r="C148" s="618">
        <f t="shared" si="145"/>
        <v>4.458333333333333</v>
      </c>
      <c r="D148" s="269">
        <f>AVERAGE('Weekly Analysis'!B162:C162)</f>
        <v>6</v>
      </c>
      <c r="E148" s="269">
        <f>AVERAGE('Weekly Analysis'!D162:E162)</f>
        <v>0</v>
      </c>
      <c r="F148" s="269">
        <f>AVERAGE('Weekly Analysis'!F162:G162)</f>
        <v>11.5</v>
      </c>
      <c r="G148" s="269">
        <f>AVERAGE('Weekly Analysis'!H162:I162)</f>
        <v>0.5</v>
      </c>
      <c r="H148" s="269">
        <f>AVERAGE('Weekly Analysis'!J162:K162)</f>
        <v>1</v>
      </c>
      <c r="I148" s="269">
        <f>AVERAGE('Weekly Analysis'!L162:M162)</f>
        <v>0.5</v>
      </c>
      <c r="J148" s="269">
        <f>AVERAGE('Weekly Analysis'!N162:O162)</f>
        <v>4.5</v>
      </c>
      <c r="K148" s="269">
        <f>AVERAGE('Weekly Analysis'!P162:Q162)</f>
        <v>19</v>
      </c>
      <c r="L148" s="269">
        <f>AVERAGE('Weekly Analysis'!R162:S162)</f>
        <v>6.5</v>
      </c>
      <c r="M148" s="269">
        <f>AVERAGE('Weekly Analysis'!T162:U162)</f>
        <v>0</v>
      </c>
      <c r="N148" s="269">
        <f>AVERAGE('Weekly Analysis'!V162:W162)</f>
        <v>0</v>
      </c>
      <c r="O148" s="245">
        <f>AVERAGE('Weekly Analysis'!X162:Y162)</f>
        <v>4</v>
      </c>
      <c r="P148" s="247">
        <f>AVERAGE('Weekly Analysis'!Z162:AA162)</f>
        <v>10.5</v>
      </c>
      <c r="Q148" s="269">
        <f>AVERAGE('Weekly Analysis'!AB162:AC162)</f>
        <v>0</v>
      </c>
      <c r="R148" s="269">
        <f>AVERAGE('Weekly Analysis'!AD162:AE162)</f>
        <v>0</v>
      </c>
      <c r="S148" s="269">
        <f>AVERAGE('Weekly Analysis'!AF162:AG162)</f>
        <v>0</v>
      </c>
      <c r="T148" s="269">
        <f>AVERAGE('Weekly Analysis'!AH162:AI162)</f>
        <v>1</v>
      </c>
      <c r="U148" s="269">
        <f>AVERAGE('Weekly Analysis'!AJ162:AK162)</f>
        <v>4.5</v>
      </c>
      <c r="V148" s="269">
        <f>AVERAGE('Weekly Analysis'!AL162:AM162)</f>
        <v>5</v>
      </c>
      <c r="W148" s="269">
        <f>AVERAGE('Weekly Analysis'!AN162:AO162)</f>
        <v>0</v>
      </c>
      <c r="X148" s="269">
        <f>AVERAGE('Weekly Analysis'!AP162:AQ162)</f>
        <v>0</v>
      </c>
      <c r="Y148" s="269">
        <f>AVERAGE('Weekly Analysis'!AR162:AS162)</f>
        <v>0</v>
      </c>
      <c r="Z148" s="269">
        <f>AVERAGE('Weekly Analysis'!AT162:AU162)</f>
        <v>0</v>
      </c>
      <c r="AA148" s="269">
        <f>AVERAGE('Weekly Analysis'!AV162:AW162)</f>
        <v>0</v>
      </c>
      <c r="AB148" s="245">
        <f>AVERAGE('Weekly Analysis'!AX162:AY162)</f>
        <v>7</v>
      </c>
      <c r="AC148" s="247">
        <f>AVERAGE('Weekly Analysis'!AZ162:BA162)</f>
        <v>0.5</v>
      </c>
      <c r="AD148" s="247">
        <f>AVERAGE('Weekly Analysis'!BB162:BC162)</f>
        <v>0</v>
      </c>
      <c r="AE148" s="246">
        <f>AVERAGE('Weekly Analysis'!BD162:BE162)</f>
        <v>0</v>
      </c>
      <c r="AF148" s="247">
        <f>AVERAGE('Weekly Analysis'!BF162:BG162)</f>
        <v>3.5</v>
      </c>
      <c r="AG148" s="246">
        <f>AVERAGE('Weekly Analysis'!BH162:BI162)</f>
        <v>7</v>
      </c>
      <c r="AH148" s="247">
        <f>AVERAGE('Weekly Analysis'!BJ162:BK162)</f>
        <v>19</v>
      </c>
      <c r="AI148" s="247">
        <f>AVERAGE('Weekly Analysis'!BL162:BM162)</f>
        <v>45.5</v>
      </c>
      <c r="AJ148" s="246">
        <f>AVERAGE('Weekly Analysis'!BN162:BO162)</f>
        <v>49</v>
      </c>
      <c r="AK148" s="247">
        <f>AVERAGE('Weekly Analysis'!BP162:BQ162)</f>
        <v>18</v>
      </c>
      <c r="AL148" s="246">
        <f>AVERAGE('Weekly Analysis'!BR162:BS162)</f>
        <v>23.5</v>
      </c>
      <c r="AM148" s="246">
        <f>AVERAGE('Weekly Analysis'!BT162:BU162)</f>
        <v>36.5</v>
      </c>
      <c r="AN148" s="246">
        <f>AVERAGE('Weekly Analysis'!BV162:BW162)</f>
        <v>5</v>
      </c>
      <c r="AO148" s="246">
        <f>AVERAGE('Weekly Analysis'!BX162:BY162)</f>
        <v>0</v>
      </c>
      <c r="AP148" s="247">
        <f>AVERAGE('Weekly Analysis'!BZ162:CA162)</f>
        <v>0</v>
      </c>
      <c r="AQ148" s="246">
        <f>AVERAGE('Weekly Analysis'!CB162:CC162)</f>
        <v>0.5</v>
      </c>
      <c r="AR148" s="246">
        <f>AVERAGE('Weekly Analysis'!CD162:CE162)</f>
        <v>2.5</v>
      </c>
      <c r="AS148" s="246">
        <f>AVERAGE('Weekly Analysis'!CF162:CG162)</f>
        <v>13.5</v>
      </c>
      <c r="AT148" s="246">
        <f>AVERAGE('Weekly Analysis'!CH162:CI162)</f>
        <v>19.5</v>
      </c>
      <c r="AU148" s="246">
        <f>AVERAGE('Weekly Analysis'!CJ162:CK162)</f>
        <v>40</v>
      </c>
      <c r="AV148" s="246">
        <f>AVERAGE('Weekly Analysis'!CL162:CM162)</f>
        <v>58.5</v>
      </c>
      <c r="AW148" s="246">
        <f>AVERAGE('Weekly Analysis'!CN162:CO162)</f>
        <v>23</v>
      </c>
      <c r="AX148" s="246">
        <f t="shared" si="146"/>
        <v>-60.683760683760681</v>
      </c>
      <c r="AY148" s="247">
        <f t="shared" si="147"/>
        <v>27.777777777777771</v>
      </c>
      <c r="AZ148" s="244"/>
      <c r="BB148" s="632"/>
      <c r="BC148" s="316"/>
      <c r="BD148" s="632"/>
    </row>
    <row r="149" spans="2:56" ht="25.5" customHeight="1">
      <c r="B149" s="189" t="s">
        <v>34</v>
      </c>
      <c r="C149" s="618">
        <f t="shared" si="145"/>
        <v>1.8333333333333333</v>
      </c>
      <c r="D149" s="269">
        <f>AVERAGE('Weekly Analysis'!B163:C163)</f>
        <v>3</v>
      </c>
      <c r="E149" s="269">
        <f>AVERAGE('Weekly Analysis'!D163:E163)</f>
        <v>0</v>
      </c>
      <c r="F149" s="269">
        <f>AVERAGE('Weekly Analysis'!F163:G163)</f>
        <v>3</v>
      </c>
      <c r="G149" s="269">
        <f>AVERAGE('Weekly Analysis'!H163:I163)</f>
        <v>0</v>
      </c>
      <c r="H149" s="269">
        <f>AVERAGE('Weekly Analysis'!J163:K163)</f>
        <v>0</v>
      </c>
      <c r="I149" s="269">
        <f>AVERAGE('Weekly Analysis'!L163:M163)</f>
        <v>0</v>
      </c>
      <c r="J149" s="269">
        <f>AVERAGE('Weekly Analysis'!N163:O163)</f>
        <v>2.5</v>
      </c>
      <c r="K149" s="269">
        <f>AVERAGE('Weekly Analysis'!P163:Q163)</f>
        <v>7</v>
      </c>
      <c r="L149" s="269">
        <f>AVERAGE('Weekly Analysis'!R163:S163)</f>
        <v>5.5</v>
      </c>
      <c r="M149" s="269">
        <f>AVERAGE('Weekly Analysis'!T163:U163)</f>
        <v>0</v>
      </c>
      <c r="N149" s="269">
        <f>AVERAGE('Weekly Analysis'!V163:W163)</f>
        <v>0</v>
      </c>
      <c r="O149" s="245">
        <f>AVERAGE('Weekly Analysis'!X163:Y163)</f>
        <v>1</v>
      </c>
      <c r="P149" s="247">
        <f>AVERAGE('Weekly Analysis'!Z163:AA163)</f>
        <v>2</v>
      </c>
      <c r="Q149" s="269">
        <f>AVERAGE('Weekly Analysis'!AB163:AC163)</f>
        <v>1</v>
      </c>
      <c r="R149" s="269">
        <f>AVERAGE('Weekly Analysis'!AD163:AE163)</f>
        <v>20</v>
      </c>
      <c r="S149" s="269">
        <f>AVERAGE('Weekly Analysis'!AF163:AG163)</f>
        <v>0</v>
      </c>
      <c r="T149" s="269">
        <f>AVERAGE('Weekly Analysis'!AH163:AI163)</f>
        <v>0</v>
      </c>
      <c r="U149" s="269">
        <f>AVERAGE('Weekly Analysis'!AJ163:AK163)</f>
        <v>0</v>
      </c>
      <c r="V149" s="269">
        <f>AVERAGE('Weekly Analysis'!AL163:AM163)</f>
        <v>0</v>
      </c>
      <c r="W149" s="269">
        <f>AVERAGE('Weekly Analysis'!AN163:AO163)</f>
        <v>0</v>
      </c>
      <c r="X149" s="269">
        <f>AVERAGE('Weekly Analysis'!AP163:AQ163)</f>
        <v>0</v>
      </c>
      <c r="Y149" s="269">
        <f>AVERAGE('Weekly Analysis'!AR163:AS163)</f>
        <v>0</v>
      </c>
      <c r="Z149" s="269">
        <f>AVERAGE('Weekly Analysis'!AT163:AU163)</f>
        <v>0</v>
      </c>
      <c r="AA149" s="269">
        <f>AVERAGE('Weekly Analysis'!AV163:AW163)</f>
        <v>0</v>
      </c>
      <c r="AB149" s="269">
        <f>AVERAGE('Weekly Analysis'!AX163:AY163)</f>
        <v>7</v>
      </c>
      <c r="AC149" s="246">
        <f>AVERAGE('Weekly Analysis'!AZ163:BA163)</f>
        <v>0</v>
      </c>
      <c r="AD149" s="246">
        <f>AVERAGE('Weekly Analysis'!BB163:BC163)</f>
        <v>0</v>
      </c>
      <c r="AE149" s="247">
        <f>AVERAGE('Weekly Analysis'!BD163:BE163)</f>
        <v>0</v>
      </c>
      <c r="AF149" s="246">
        <f>AVERAGE('Weekly Analysis'!BF163:BG163)</f>
        <v>0</v>
      </c>
      <c r="AG149" s="247">
        <f>AVERAGE('Weekly Analysis'!BH163:BI163)</f>
        <v>0</v>
      </c>
      <c r="AH149" s="247">
        <f>AVERAGE('Weekly Analysis'!BJ163:BK163)</f>
        <v>0</v>
      </c>
      <c r="AI149" s="247">
        <f>AVERAGE('Weekly Analysis'!BL163:BM163)</f>
        <v>7.5</v>
      </c>
      <c r="AJ149" s="247">
        <f>AVERAGE('Weekly Analysis'!BN163:BO163)</f>
        <v>7.5</v>
      </c>
      <c r="AK149" s="247">
        <f>AVERAGE('Weekly Analysis'!BP163:BQ163)</f>
        <v>7</v>
      </c>
      <c r="AL149" s="247">
        <f>AVERAGE('Weekly Analysis'!BR163:BS163)</f>
        <v>10.5</v>
      </c>
      <c r="AM149" s="247">
        <f>AVERAGE('Weekly Analysis'!BT163:BU163)</f>
        <v>8</v>
      </c>
      <c r="AN149" s="247">
        <f>AVERAGE('Weekly Analysis'!BV163:BW163)</f>
        <v>4.5</v>
      </c>
      <c r="AO149" s="247">
        <f>AVERAGE('Weekly Analysis'!BX163:BY163)</f>
        <v>0</v>
      </c>
      <c r="AP149" s="247">
        <f>AVERAGE('Weekly Analysis'!BZ163:CA163)</f>
        <v>0</v>
      </c>
      <c r="AQ149" s="246">
        <f>AVERAGE('Weekly Analysis'!CB163:CC163)</f>
        <v>0</v>
      </c>
      <c r="AR149" s="246">
        <f>AVERAGE('Weekly Analysis'!CD163:CE163)</f>
        <v>0</v>
      </c>
      <c r="AS149" s="246">
        <f>AVERAGE('Weekly Analysis'!CF163:CG163)</f>
        <v>0</v>
      </c>
      <c r="AT149" s="246">
        <f>AVERAGE('Weekly Analysis'!CH163:CI163)</f>
        <v>1</v>
      </c>
      <c r="AU149" s="246">
        <f>AVERAGE('Weekly Analysis'!CJ163:CK163)</f>
        <v>7</v>
      </c>
      <c r="AV149" s="246">
        <f>AVERAGE('Weekly Analysis'!CL163:CM163)</f>
        <v>7.5</v>
      </c>
      <c r="AW149" s="246">
        <f>AVERAGE('Weekly Analysis'!CN163:CO163)</f>
        <v>23.5</v>
      </c>
      <c r="AX149" s="246">
        <f t="shared" si="146"/>
        <v>213.33333333333331</v>
      </c>
      <c r="AY149" s="247">
        <f t="shared" si="147"/>
        <v>235.71428571428572</v>
      </c>
      <c r="AZ149" s="244"/>
      <c r="BB149" s="632"/>
      <c r="BC149" s="316"/>
      <c r="BD149" s="632"/>
    </row>
    <row r="150" spans="2:56" ht="25.5" customHeight="1">
      <c r="B150" s="189" t="s">
        <v>35</v>
      </c>
      <c r="C150" s="618">
        <f t="shared" si="145"/>
        <v>1.4583333333333333</v>
      </c>
      <c r="D150" s="269">
        <f>AVERAGE('Weekly Analysis'!B164:C164)</f>
        <v>1.5</v>
      </c>
      <c r="E150" s="269">
        <f>AVERAGE('Weekly Analysis'!D164:E164)</f>
        <v>0.5</v>
      </c>
      <c r="F150" s="269">
        <f>AVERAGE('Weekly Analysis'!F164:G164)</f>
        <v>1</v>
      </c>
      <c r="G150" s="269">
        <f>AVERAGE('Weekly Analysis'!H164:I164)</f>
        <v>0</v>
      </c>
      <c r="H150" s="269">
        <f>AVERAGE('Weekly Analysis'!J164:K164)</f>
        <v>0</v>
      </c>
      <c r="I150" s="269">
        <f>AVERAGE('Weekly Analysis'!L164:M164)</f>
        <v>0</v>
      </c>
      <c r="J150" s="269">
        <f>AVERAGE('Weekly Analysis'!N164:O164)</f>
        <v>3.5</v>
      </c>
      <c r="K150" s="269">
        <f>AVERAGE('Weekly Analysis'!P164:Q164)</f>
        <v>5.5</v>
      </c>
      <c r="L150" s="269">
        <f>AVERAGE('Weekly Analysis'!R164:S164)</f>
        <v>3.5</v>
      </c>
      <c r="M150" s="269">
        <f>AVERAGE('Weekly Analysis'!T164:U164)</f>
        <v>0</v>
      </c>
      <c r="N150" s="269">
        <f>AVERAGE('Weekly Analysis'!V164:W164)</f>
        <v>0</v>
      </c>
      <c r="O150" s="245">
        <f>AVERAGE('Weekly Analysis'!X164:Y164)</f>
        <v>2</v>
      </c>
      <c r="P150" s="247">
        <f>AVERAGE('Weekly Analysis'!Z164:AA164)</f>
        <v>4</v>
      </c>
      <c r="Q150" s="269">
        <f>AVERAGE('Weekly Analysis'!AB164:AC164)</f>
        <v>0</v>
      </c>
      <c r="R150" s="269">
        <f>AVERAGE('Weekly Analysis'!AD164:AE164)</f>
        <v>0</v>
      </c>
      <c r="S150" s="269">
        <f>AVERAGE('Weekly Analysis'!AF164:AG164)</f>
        <v>0</v>
      </c>
      <c r="T150" s="269">
        <f>AVERAGE('Weekly Analysis'!AH164:AI164)</f>
        <v>3</v>
      </c>
      <c r="U150" s="269">
        <f>AVERAGE('Weekly Analysis'!AJ164:AK164)</f>
        <v>0.5</v>
      </c>
      <c r="V150" s="269">
        <f>AVERAGE('Weekly Analysis'!AL164:AM164)</f>
        <v>16</v>
      </c>
      <c r="W150" s="269">
        <f>AVERAGE('Weekly Analysis'!AN164:AO164)</f>
        <v>0</v>
      </c>
      <c r="X150" s="269">
        <f>AVERAGE('Weekly Analysis'!AP164:AQ164)</f>
        <v>0</v>
      </c>
      <c r="Y150" s="269">
        <f>AVERAGE('Weekly Analysis'!AR164:AS164)</f>
        <v>0</v>
      </c>
      <c r="Z150" s="269">
        <f>AVERAGE('Weekly Analysis'!AT164:AU164)</f>
        <v>0</v>
      </c>
      <c r="AA150" s="269">
        <f>AVERAGE('Weekly Analysis'!AV164:AW164)</f>
        <v>0</v>
      </c>
      <c r="AB150" s="269">
        <f>AVERAGE('Weekly Analysis'!AX164:AY164)</f>
        <v>4</v>
      </c>
      <c r="AC150" s="247">
        <f>AVERAGE('Weekly Analysis'!AZ164:BA164)</f>
        <v>0</v>
      </c>
      <c r="AD150" s="247">
        <f>AVERAGE('Weekly Analysis'!BB164:BC164)</f>
        <v>0</v>
      </c>
      <c r="AE150" s="247">
        <f>AVERAGE('Weekly Analysis'!BD164:BE164)</f>
        <v>0</v>
      </c>
      <c r="AF150" s="247">
        <f>AVERAGE('Weekly Analysis'!BF164:BG164)</f>
        <v>0</v>
      </c>
      <c r="AG150" s="246">
        <f>AVERAGE('Weekly Analysis'!BH164:BI164)</f>
        <v>1</v>
      </c>
      <c r="AH150" s="246">
        <f>AVERAGE('Weekly Analysis'!BJ164:BK164)</f>
        <v>19</v>
      </c>
      <c r="AI150" s="247">
        <f>AVERAGE('Weekly Analysis'!BL164:BM164)</f>
        <v>18.5</v>
      </c>
      <c r="AJ150" s="247">
        <f>AVERAGE('Weekly Analysis'!BN164:BO164)</f>
        <v>16</v>
      </c>
      <c r="AK150" s="247">
        <f>AVERAGE('Weekly Analysis'!BP164:BQ164)</f>
        <v>3</v>
      </c>
      <c r="AL150" s="247">
        <f>AVERAGE('Weekly Analysis'!BR164:BS164)</f>
        <v>7.5</v>
      </c>
      <c r="AM150" s="246">
        <f>AVERAGE('Weekly Analysis'!BT164:BU164)</f>
        <v>19.5</v>
      </c>
      <c r="AN150" s="246">
        <f>AVERAGE('Weekly Analysis'!BV164:BW164)</f>
        <v>4.5</v>
      </c>
      <c r="AO150" s="247">
        <f>AVERAGE('Weekly Analysis'!BX164:BY164)</f>
        <v>0</v>
      </c>
      <c r="AP150" s="247">
        <f>AVERAGE('Weekly Analysis'!BZ164:CA164)</f>
        <v>0</v>
      </c>
      <c r="AQ150" s="246">
        <f>AVERAGE('Weekly Analysis'!CB164:CC164)</f>
        <v>0.5</v>
      </c>
      <c r="AR150" s="246">
        <f>AVERAGE('Weekly Analysis'!CD164:CE164)</f>
        <v>0</v>
      </c>
      <c r="AS150" s="246">
        <f>AVERAGE('Weekly Analysis'!CF164:CG164)</f>
        <v>1.5</v>
      </c>
      <c r="AT150" s="246">
        <f>AVERAGE('Weekly Analysis'!CH164:CI164)</f>
        <v>3</v>
      </c>
      <c r="AU150" s="246">
        <f>AVERAGE('Weekly Analysis'!CJ164:CK164)</f>
        <v>6</v>
      </c>
      <c r="AV150" s="246">
        <f>AVERAGE('Weekly Analysis'!CL164:CM164)</f>
        <v>4</v>
      </c>
      <c r="AW150" s="246">
        <f>AVERAGE('Weekly Analysis'!CN164:CO164)</f>
        <v>10</v>
      </c>
      <c r="AX150" s="246">
        <f t="shared" si="146"/>
        <v>150</v>
      </c>
      <c r="AY150" s="247">
        <f t="shared" si="147"/>
        <v>233.33333333333337</v>
      </c>
      <c r="AZ150" s="244"/>
      <c r="BB150" s="632"/>
      <c r="BC150" s="316"/>
      <c r="BD150" s="632"/>
    </row>
    <row r="151" spans="2:56" ht="25.5" customHeight="1">
      <c r="B151" s="189" t="s">
        <v>37</v>
      </c>
      <c r="C151" s="618">
        <f t="shared" si="145"/>
        <v>15.875</v>
      </c>
      <c r="D151" s="269">
        <f>AVERAGE('Weekly Analysis'!B165:C165)</f>
        <v>8.5</v>
      </c>
      <c r="E151" s="269">
        <f>AVERAGE('Weekly Analysis'!D165:E165)</f>
        <v>0.5</v>
      </c>
      <c r="F151" s="269">
        <f>AVERAGE('Weekly Analysis'!F165:G165)</f>
        <v>59.5</v>
      </c>
      <c r="G151" s="269">
        <f>AVERAGE('Weekly Analysis'!H165:I165)</f>
        <v>9.5</v>
      </c>
      <c r="H151" s="269">
        <f>AVERAGE('Weekly Analysis'!J165:K165)</f>
        <v>46.5</v>
      </c>
      <c r="I151" s="269">
        <f>AVERAGE('Weekly Analysis'!L165:M165)</f>
        <v>16</v>
      </c>
      <c r="J151" s="269">
        <f>AVERAGE('Weekly Analysis'!N165:O165)</f>
        <v>14.5</v>
      </c>
      <c r="K151" s="269">
        <f>AVERAGE('Weekly Analysis'!P165:Q165)</f>
        <v>22.5</v>
      </c>
      <c r="L151" s="269">
        <f>AVERAGE('Weekly Analysis'!R165:S165)</f>
        <v>12</v>
      </c>
      <c r="M151" s="269">
        <f>AVERAGE('Weekly Analysis'!T165:U165)</f>
        <v>0</v>
      </c>
      <c r="N151" s="269">
        <f>AVERAGE('Weekly Analysis'!V165:W165)</f>
        <v>0</v>
      </c>
      <c r="O151" s="245">
        <f>AVERAGE('Weekly Analysis'!X165:Y165)</f>
        <v>1</v>
      </c>
      <c r="P151" s="247">
        <f>AVERAGE('Weekly Analysis'!Z165:AA165)</f>
        <v>21</v>
      </c>
      <c r="Q151" s="269">
        <f>AVERAGE('Weekly Analysis'!AB165:AC165)</f>
        <v>3</v>
      </c>
      <c r="R151" s="269">
        <f>AVERAGE('Weekly Analysis'!AD165:AE165)</f>
        <v>11</v>
      </c>
      <c r="S151" s="269">
        <f>AVERAGE('Weekly Analysis'!AF165:AG165)</f>
        <v>7</v>
      </c>
      <c r="T151" s="269">
        <f>AVERAGE('Weekly Analysis'!AH165:AI165)</f>
        <v>9</v>
      </c>
      <c r="U151" s="269">
        <f>AVERAGE('Weekly Analysis'!AJ165:AK165)</f>
        <v>51</v>
      </c>
      <c r="V151" s="269">
        <f>AVERAGE('Weekly Analysis'!AL165:AM165)</f>
        <v>27</v>
      </c>
      <c r="W151" s="269">
        <f>AVERAGE('Weekly Analysis'!AN165:AO165)</f>
        <v>0</v>
      </c>
      <c r="X151" s="269">
        <f>AVERAGE('Weekly Analysis'!AP165:AQ165)</f>
        <v>0</v>
      </c>
      <c r="Y151" s="269">
        <f>AVERAGE('Weekly Analysis'!AR165:AS165)</f>
        <v>0</v>
      </c>
      <c r="Z151" s="269">
        <f>AVERAGE('Weekly Analysis'!AT165:AU165)</f>
        <v>0</v>
      </c>
      <c r="AA151" s="269">
        <f>AVERAGE('Weekly Analysis'!AV165:AW165)</f>
        <v>0</v>
      </c>
      <c r="AB151" s="269">
        <f>AVERAGE('Weekly Analysis'!AX165:AY165)</f>
        <v>20.5</v>
      </c>
      <c r="AC151" s="247">
        <f>AVERAGE('Weekly Analysis'!AZ165:BA165)</f>
        <v>18.5</v>
      </c>
      <c r="AD151" s="247">
        <f>AVERAGE('Weekly Analysis'!BB165:BC165)</f>
        <v>37.5</v>
      </c>
      <c r="AE151" s="247">
        <f>AVERAGE('Weekly Analysis'!BD165:BE165)</f>
        <v>16</v>
      </c>
      <c r="AF151" s="247">
        <f>AVERAGE('Weekly Analysis'!BF165:BG165)</f>
        <v>33.5</v>
      </c>
      <c r="AG151" s="247">
        <f>AVERAGE('Weekly Analysis'!BH165:BI165)</f>
        <v>8</v>
      </c>
      <c r="AH151" s="247">
        <f>AVERAGE('Weekly Analysis'!BJ165:BK165)</f>
        <v>27</v>
      </c>
      <c r="AI151" s="247">
        <f>AVERAGE('Weekly Analysis'!BL165:BM165)</f>
        <v>50.5</v>
      </c>
      <c r="AJ151" s="247">
        <f>AVERAGE('Weekly Analysis'!BN165:BO165)</f>
        <v>27.5</v>
      </c>
      <c r="AK151" s="247">
        <f>AVERAGE('Weekly Analysis'!BP165:BQ165)</f>
        <v>6</v>
      </c>
      <c r="AL151" s="247">
        <f>AVERAGE('Weekly Analysis'!BR165:BS165)</f>
        <v>10.5</v>
      </c>
      <c r="AM151" s="247">
        <f>AVERAGE('Weekly Analysis'!BT165:BU165)</f>
        <v>11.5</v>
      </c>
      <c r="AN151" s="247">
        <f>AVERAGE('Weekly Analysis'!BV165:BW165)</f>
        <v>9</v>
      </c>
      <c r="AO151" s="247">
        <f>AVERAGE('Weekly Analysis'!BX165:BY165)</f>
        <v>0.5</v>
      </c>
      <c r="AP151" s="247">
        <f>AVERAGE('Weekly Analysis'!BZ165:CA165)</f>
        <v>11.5</v>
      </c>
      <c r="AQ151" s="247">
        <f>AVERAGE('Weekly Analysis'!CB165:CC165)</f>
        <v>15.5</v>
      </c>
      <c r="AR151" s="246">
        <f>AVERAGE('Weekly Analysis'!CD165:CE165)</f>
        <v>22.5</v>
      </c>
      <c r="AS151" s="246">
        <f>AVERAGE('Weekly Analysis'!CF165:CG165)</f>
        <v>38.5</v>
      </c>
      <c r="AT151" s="246">
        <f>AVERAGE('Weekly Analysis'!CH165:CI165)</f>
        <v>36</v>
      </c>
      <c r="AU151" s="246">
        <f>AVERAGE('Weekly Analysis'!CJ165:CK165)</f>
        <v>53.5</v>
      </c>
      <c r="AV151" s="246">
        <f>AVERAGE('Weekly Analysis'!CL165:CM165)</f>
        <v>31</v>
      </c>
      <c r="AW151" s="246">
        <f>AVERAGE('Weekly Analysis'!CN165:CO165)</f>
        <v>7</v>
      </c>
      <c r="AX151" s="246">
        <f t="shared" si="146"/>
        <v>-77.41935483870968</v>
      </c>
      <c r="AY151" s="247">
        <f t="shared" si="147"/>
        <v>16.666666666666671</v>
      </c>
      <c r="AZ151" s="244"/>
      <c r="BB151" s="632"/>
      <c r="BC151" s="316"/>
      <c r="BD151" s="632"/>
    </row>
    <row r="152" spans="2:56" ht="25.5" customHeight="1">
      <c r="B152" s="189" t="s">
        <v>38</v>
      </c>
      <c r="C152" s="618">
        <f t="shared" si="145"/>
        <v>9.6666666666666661</v>
      </c>
      <c r="D152" s="269">
        <f>AVERAGE('Weekly Analysis'!B166:C166)</f>
        <v>26</v>
      </c>
      <c r="E152" s="269">
        <f>AVERAGE('Weekly Analysis'!D166:E166)</f>
        <v>4</v>
      </c>
      <c r="F152" s="269">
        <f>AVERAGE('Weekly Analysis'!F166:G166)</f>
        <v>29.5</v>
      </c>
      <c r="G152" s="269">
        <f>AVERAGE('Weekly Analysis'!H166:I166)</f>
        <v>2.5</v>
      </c>
      <c r="H152" s="269">
        <f>AVERAGE('Weekly Analysis'!J166:K166)</f>
        <v>16.5</v>
      </c>
      <c r="I152" s="269">
        <f>AVERAGE('Weekly Analysis'!L166:M166)</f>
        <v>10</v>
      </c>
      <c r="J152" s="269">
        <f>AVERAGE('Weekly Analysis'!N166:O166)</f>
        <v>5.5</v>
      </c>
      <c r="K152" s="269">
        <f>AVERAGE('Weekly Analysis'!P166:Q166)</f>
        <v>12</v>
      </c>
      <c r="L152" s="269">
        <f>AVERAGE('Weekly Analysis'!R166:S166)</f>
        <v>6.5</v>
      </c>
      <c r="M152" s="269">
        <f>AVERAGE('Weekly Analysis'!T166:U166)</f>
        <v>0</v>
      </c>
      <c r="N152" s="269">
        <f>AVERAGE('Weekly Analysis'!V166:W166)</f>
        <v>0</v>
      </c>
      <c r="O152" s="245">
        <f>AVERAGE('Weekly Analysis'!X166:Y166)</f>
        <v>3.5</v>
      </c>
      <c r="P152" s="247">
        <f>AVERAGE('Weekly Analysis'!Z166:AA166)</f>
        <v>12</v>
      </c>
      <c r="Q152" s="269">
        <f>AVERAGE('Weekly Analysis'!AB166:AC166)</f>
        <v>7</v>
      </c>
      <c r="R152" s="269">
        <f>AVERAGE('Weekly Analysis'!AD166:AE166)</f>
        <v>16.5</v>
      </c>
      <c r="S152" s="269">
        <f>AVERAGE('Weekly Analysis'!AF166:AG166)</f>
        <v>2.5</v>
      </c>
      <c r="T152" s="269">
        <f>AVERAGE('Weekly Analysis'!AH166:AI166)</f>
        <v>13.5</v>
      </c>
      <c r="U152" s="269">
        <f>AVERAGE('Weekly Analysis'!AJ166:AK166)</f>
        <v>40.5</v>
      </c>
      <c r="V152" s="269">
        <f>AVERAGE('Weekly Analysis'!AL166:AM166)</f>
        <v>15.5</v>
      </c>
      <c r="W152" s="269">
        <f>AVERAGE('Weekly Analysis'!AN166:AO166)</f>
        <v>0</v>
      </c>
      <c r="X152" s="269">
        <f>AVERAGE('Weekly Analysis'!AP166:AQ166)</f>
        <v>0</v>
      </c>
      <c r="Y152" s="269">
        <f>AVERAGE('Weekly Analysis'!AR166:AS166)</f>
        <v>0</v>
      </c>
      <c r="Z152" s="269">
        <f>AVERAGE('Weekly Analysis'!AT166:AU166)</f>
        <v>0</v>
      </c>
      <c r="AA152" s="269">
        <f>AVERAGE('Weekly Analysis'!AV166:AW166)</f>
        <v>0</v>
      </c>
      <c r="AB152" s="245">
        <f>AVERAGE('Weekly Analysis'!AX166:AY166)</f>
        <v>10.5</v>
      </c>
      <c r="AC152" s="246">
        <f>AVERAGE('Weekly Analysis'!AZ166:BA166)</f>
        <v>16.5</v>
      </c>
      <c r="AD152" s="246">
        <f>AVERAGE('Weekly Analysis'!BB166:BC166)</f>
        <v>20</v>
      </c>
      <c r="AE152" s="246">
        <f>AVERAGE('Weekly Analysis'!BD166:BE166)</f>
        <v>19.5</v>
      </c>
      <c r="AF152" s="246">
        <f>AVERAGE('Weekly Analysis'!BF166:BG166)</f>
        <v>29.5</v>
      </c>
      <c r="AG152" s="247">
        <f>AVERAGE('Weekly Analysis'!BH166:BI166)</f>
        <v>11.5</v>
      </c>
      <c r="AH152" s="246">
        <f>AVERAGE('Weekly Analysis'!BJ166:BK166)</f>
        <v>21.5</v>
      </c>
      <c r="AI152" s="246">
        <f>AVERAGE('Weekly Analysis'!BL166:BM166)</f>
        <v>24</v>
      </c>
      <c r="AJ152" s="246">
        <f>AVERAGE('Weekly Analysis'!BN166:BO166)</f>
        <v>13.5</v>
      </c>
      <c r="AK152" s="247">
        <f>AVERAGE('Weekly Analysis'!BP166:BQ166)</f>
        <v>7.5</v>
      </c>
      <c r="AL152" s="246">
        <f>AVERAGE('Weekly Analysis'!BR166:BS166)</f>
        <v>16</v>
      </c>
      <c r="AM152" s="247">
        <f>AVERAGE('Weekly Analysis'!BT166:BU166)</f>
        <v>22.5</v>
      </c>
      <c r="AN152" s="246">
        <f>AVERAGE('Weekly Analysis'!BV166:BW166)</f>
        <v>6</v>
      </c>
      <c r="AO152" s="247">
        <f>AVERAGE('Weekly Analysis'!BX166:BY166)</f>
        <v>4</v>
      </c>
      <c r="AP152" s="247">
        <f>AVERAGE('Weekly Analysis'!BZ166:CA166)</f>
        <v>23</v>
      </c>
      <c r="AQ152" s="246">
        <f>AVERAGE('Weekly Analysis'!CB166:CC166)</f>
        <v>14.5</v>
      </c>
      <c r="AR152" s="246">
        <f>AVERAGE('Weekly Analysis'!CD166:CE166)</f>
        <v>27.5</v>
      </c>
      <c r="AS152" s="246">
        <f>AVERAGE('Weekly Analysis'!CF166:CG166)</f>
        <v>28.5</v>
      </c>
      <c r="AT152" s="246">
        <f>AVERAGE('Weekly Analysis'!CH166:CI166)</f>
        <v>22</v>
      </c>
      <c r="AU152" s="246">
        <f>AVERAGE('Weekly Analysis'!CJ166:CK166)</f>
        <v>44</v>
      </c>
      <c r="AV152" s="246">
        <f>AVERAGE('Weekly Analysis'!CL166:CM166)</f>
        <v>25.5</v>
      </c>
      <c r="AW152" s="246">
        <f>AVERAGE('Weekly Analysis'!CN166:CO166)</f>
        <v>22</v>
      </c>
      <c r="AX152" s="246">
        <f t="shared" si="146"/>
        <v>-13.725490196078425</v>
      </c>
      <c r="AY152" s="247">
        <f t="shared" si="147"/>
        <v>193.33333333333331</v>
      </c>
      <c r="AZ152" s="244"/>
      <c r="BB152" s="632"/>
      <c r="BC152" s="316"/>
      <c r="BD152" s="632"/>
    </row>
    <row r="153" spans="2:56" ht="25.5" customHeight="1">
      <c r="B153" s="189" t="s">
        <v>39</v>
      </c>
      <c r="C153" s="618">
        <f t="shared" si="145"/>
        <v>1.9583333333333333</v>
      </c>
      <c r="D153" s="269">
        <f>AVERAGE('Weekly Analysis'!B167:C167)</f>
        <v>1</v>
      </c>
      <c r="E153" s="269">
        <f>AVERAGE('Weekly Analysis'!D167:E167)</f>
        <v>1.5</v>
      </c>
      <c r="F153" s="269">
        <f>AVERAGE('Weekly Analysis'!F167:G167)</f>
        <v>7.5</v>
      </c>
      <c r="G153" s="269">
        <f>AVERAGE('Weekly Analysis'!H167:I167)</f>
        <v>0</v>
      </c>
      <c r="H153" s="269">
        <f>AVERAGE('Weekly Analysis'!J167:K167)</f>
        <v>5.5</v>
      </c>
      <c r="I153" s="269">
        <f>AVERAGE('Weekly Analysis'!L167:M167)</f>
        <v>2</v>
      </c>
      <c r="J153" s="269">
        <f>AVERAGE('Weekly Analysis'!N167:O167)</f>
        <v>1</v>
      </c>
      <c r="K153" s="269">
        <f>AVERAGE('Weekly Analysis'!P167:Q167)</f>
        <v>3</v>
      </c>
      <c r="L153" s="269">
        <f>AVERAGE('Weekly Analysis'!R167:S167)</f>
        <v>0.5</v>
      </c>
      <c r="M153" s="269">
        <f>AVERAGE('Weekly Analysis'!T167:U167)</f>
        <v>0</v>
      </c>
      <c r="N153" s="269">
        <f>AVERAGE('Weekly Analysis'!V167:W167)</f>
        <v>0</v>
      </c>
      <c r="O153" s="245">
        <f>AVERAGE('Weekly Analysis'!X167:Y167)</f>
        <v>1.5</v>
      </c>
      <c r="P153" s="247">
        <f>AVERAGE('Weekly Analysis'!Z167:AA167)</f>
        <v>3</v>
      </c>
      <c r="Q153" s="269">
        <f>AVERAGE('Weekly Analysis'!AB167:AC167)</f>
        <v>1.5</v>
      </c>
      <c r="R153" s="269">
        <f>AVERAGE('Weekly Analysis'!AD167:AE167)</f>
        <v>4.5</v>
      </c>
      <c r="S153" s="269">
        <f>AVERAGE('Weekly Analysis'!AF167:AG167)</f>
        <v>6.5</v>
      </c>
      <c r="T153" s="269">
        <f>AVERAGE('Weekly Analysis'!AH167:AI167)</f>
        <v>2.5</v>
      </c>
      <c r="U153" s="269">
        <f>AVERAGE('Weekly Analysis'!AJ167:AK167)</f>
        <v>3</v>
      </c>
      <c r="V153" s="269">
        <f>AVERAGE('Weekly Analysis'!AL167:AM167)</f>
        <v>17.5</v>
      </c>
      <c r="W153" s="269">
        <f>AVERAGE('Weekly Analysis'!AN167:AO167)</f>
        <v>0</v>
      </c>
      <c r="X153" s="269">
        <f>AVERAGE('Weekly Analysis'!AP167:AQ167)</f>
        <v>0</v>
      </c>
      <c r="Y153" s="269">
        <f>AVERAGE('Weekly Analysis'!AR167:AS167)</f>
        <v>0</v>
      </c>
      <c r="Z153" s="269">
        <f>AVERAGE('Weekly Analysis'!AT167:AU167)</f>
        <v>0</v>
      </c>
      <c r="AA153" s="269">
        <f>AVERAGE('Weekly Analysis'!AV167:AW167)</f>
        <v>0</v>
      </c>
      <c r="AB153" s="269">
        <f>AVERAGE('Weekly Analysis'!AX167:AY167)</f>
        <v>3</v>
      </c>
      <c r="AC153" s="247">
        <f>AVERAGE('Weekly Analysis'!AZ167:BA167)</f>
        <v>3.5</v>
      </c>
      <c r="AD153" s="247">
        <f>AVERAGE('Weekly Analysis'!BB167:BC167)</f>
        <v>5.5</v>
      </c>
      <c r="AE153" s="247">
        <f>AVERAGE('Weekly Analysis'!BD167:BE167)</f>
        <v>5.5</v>
      </c>
      <c r="AF153" s="247">
        <f>AVERAGE('Weekly Analysis'!BF167:BG167)</f>
        <v>19</v>
      </c>
      <c r="AG153" s="247">
        <f>AVERAGE('Weekly Analysis'!BH167:BI167)</f>
        <v>15</v>
      </c>
      <c r="AH153" s="247">
        <f>AVERAGE('Weekly Analysis'!BJ167:BK167)</f>
        <v>21</v>
      </c>
      <c r="AI153" s="247">
        <f>AVERAGE('Weekly Analysis'!BL167:BM167)</f>
        <v>32.5</v>
      </c>
      <c r="AJ153" s="247">
        <f>AVERAGE('Weekly Analysis'!BN167:BO167)</f>
        <v>17.5</v>
      </c>
      <c r="AK153" s="247">
        <f>AVERAGE('Weekly Analysis'!BP167:BQ167)</f>
        <v>7</v>
      </c>
      <c r="AL153" s="247">
        <f>AVERAGE('Weekly Analysis'!BR167:BS167)</f>
        <v>6.5</v>
      </c>
      <c r="AM153" s="247">
        <f>AVERAGE('Weekly Analysis'!BT167:BU167)</f>
        <v>38</v>
      </c>
      <c r="AN153" s="247">
        <f>AVERAGE('Weekly Analysis'!BV167:BW167)</f>
        <v>3.5</v>
      </c>
      <c r="AO153" s="247">
        <f>AVERAGE('Weekly Analysis'!BX167:BY167)</f>
        <v>1</v>
      </c>
      <c r="AP153" s="247">
        <f>AVERAGE('Weekly Analysis'!BZ167:CA167)</f>
        <v>1.5</v>
      </c>
      <c r="AQ153" s="247">
        <f>AVERAGE('Weekly Analysis'!CB167:CC167)</f>
        <v>8</v>
      </c>
      <c r="AR153" s="246">
        <f>AVERAGE('Weekly Analysis'!CD167:CE167)</f>
        <v>11.5</v>
      </c>
      <c r="AS153" s="246">
        <f>AVERAGE('Weekly Analysis'!CF167:CG167)</f>
        <v>13.5</v>
      </c>
      <c r="AT153" s="246">
        <f>AVERAGE('Weekly Analysis'!CH167:CI167)</f>
        <v>20.5</v>
      </c>
      <c r="AU153" s="246">
        <f>AVERAGE('Weekly Analysis'!CJ167:CK167)</f>
        <v>29</v>
      </c>
      <c r="AV153" s="246">
        <f>AVERAGE('Weekly Analysis'!CL167:CM167)</f>
        <v>21.5</v>
      </c>
      <c r="AW153" s="246">
        <f>AVERAGE('Weekly Analysis'!CN167:CO167)</f>
        <v>10.5</v>
      </c>
      <c r="AX153" s="246">
        <f t="shared" si="146"/>
        <v>-51.162790697674424</v>
      </c>
      <c r="AY153" s="247">
        <f t="shared" si="147"/>
        <v>50</v>
      </c>
      <c r="AZ153" s="244"/>
      <c r="BB153" s="632"/>
      <c r="BC153" s="316"/>
      <c r="BD153" s="632"/>
    </row>
    <row r="154" spans="2:56" ht="25.5" customHeight="1">
      <c r="B154" s="189" t="s">
        <v>40</v>
      </c>
      <c r="C154" s="618">
        <f t="shared" si="145"/>
        <v>10.708333333333334</v>
      </c>
      <c r="D154" s="269">
        <f>AVERAGE('Weekly Analysis'!B168:C168)</f>
        <v>25.5</v>
      </c>
      <c r="E154" s="269">
        <f>AVERAGE('Weekly Analysis'!D168:E168)</f>
        <v>7</v>
      </c>
      <c r="F154" s="269">
        <f>AVERAGE('Weekly Analysis'!F168:G168)</f>
        <v>11.5</v>
      </c>
      <c r="G154" s="269">
        <f>AVERAGE('Weekly Analysis'!H168:I168)</f>
        <v>9.5</v>
      </c>
      <c r="H154" s="269">
        <f>AVERAGE('Weekly Analysis'!J168:K168)</f>
        <v>14</v>
      </c>
      <c r="I154" s="269">
        <f>AVERAGE('Weekly Analysis'!L168:M168)</f>
        <v>8</v>
      </c>
      <c r="J154" s="269">
        <f>AVERAGE('Weekly Analysis'!N168:O168)</f>
        <v>8.5</v>
      </c>
      <c r="K154" s="269">
        <f>AVERAGE('Weekly Analysis'!P168:Q168)</f>
        <v>19.5</v>
      </c>
      <c r="L154" s="269">
        <f>AVERAGE('Weekly Analysis'!R168:S168)</f>
        <v>10</v>
      </c>
      <c r="M154" s="269">
        <f>AVERAGE('Weekly Analysis'!T168:U168)</f>
        <v>0</v>
      </c>
      <c r="N154" s="269">
        <f>AVERAGE('Weekly Analysis'!V168:W168)</f>
        <v>0</v>
      </c>
      <c r="O154" s="245">
        <f>AVERAGE('Weekly Analysis'!X168:Y168)</f>
        <v>15</v>
      </c>
      <c r="P154" s="247">
        <f>AVERAGE('Weekly Analysis'!Z168:AA168)</f>
        <v>19.5</v>
      </c>
      <c r="Q154" s="269">
        <f>AVERAGE('Weekly Analysis'!AB168:AC168)</f>
        <v>8</v>
      </c>
      <c r="R154" s="269">
        <f>AVERAGE('Weekly Analysis'!AD168:AE168)</f>
        <v>0</v>
      </c>
      <c r="S154" s="269">
        <f>AVERAGE('Weekly Analysis'!AF168:AG168)</f>
        <v>25</v>
      </c>
      <c r="T154" s="269">
        <f>AVERAGE('Weekly Analysis'!AH168:AI168)</f>
        <v>29</v>
      </c>
      <c r="U154" s="269">
        <f>AVERAGE('Weekly Analysis'!AJ168:AK168)</f>
        <v>45.5</v>
      </c>
      <c r="V154" s="269">
        <f>AVERAGE('Weekly Analysis'!AL168:AM168)</f>
        <v>8.5</v>
      </c>
      <c r="W154" s="269">
        <f>AVERAGE('Weekly Analysis'!AN168:AO168)</f>
        <v>0</v>
      </c>
      <c r="X154" s="269">
        <f>AVERAGE('Weekly Analysis'!AP168:AQ168)</f>
        <v>0</v>
      </c>
      <c r="Y154" s="269">
        <f>AVERAGE('Weekly Analysis'!AR168:AS168)</f>
        <v>0</v>
      </c>
      <c r="Z154" s="269">
        <f>AVERAGE('Weekly Analysis'!AT168:AU168)</f>
        <v>0</v>
      </c>
      <c r="AA154" s="269">
        <f>AVERAGE('Weekly Analysis'!AV168:AW168)</f>
        <v>0</v>
      </c>
      <c r="AB154" s="269">
        <f>AVERAGE('Weekly Analysis'!AX168:AY168)</f>
        <v>18</v>
      </c>
      <c r="AC154" s="247">
        <f>AVERAGE('Weekly Analysis'!AZ168:BA168)</f>
        <v>15</v>
      </c>
      <c r="AD154" s="247">
        <f>AVERAGE('Weekly Analysis'!BB168:BC168)</f>
        <v>9.5</v>
      </c>
      <c r="AE154" s="247">
        <f>AVERAGE('Weekly Analysis'!BD168:BE168)</f>
        <v>36</v>
      </c>
      <c r="AF154" s="247">
        <f>AVERAGE('Weekly Analysis'!BF168:BG168)</f>
        <v>38.5</v>
      </c>
      <c r="AG154" s="246">
        <f>AVERAGE('Weekly Analysis'!BH168:BI168)</f>
        <v>10.5</v>
      </c>
      <c r="AH154" s="247">
        <f>AVERAGE('Weekly Analysis'!BJ168:BK168)</f>
        <v>18</v>
      </c>
      <c r="AI154" s="247">
        <f>AVERAGE('Weekly Analysis'!BL168:BM168)</f>
        <v>18</v>
      </c>
      <c r="AJ154" s="246">
        <f>AVERAGE('Weekly Analysis'!BN168:BO168)</f>
        <v>26.5</v>
      </c>
      <c r="AK154" s="247">
        <f>AVERAGE('Weekly Analysis'!BP168:BQ168)</f>
        <v>5.5</v>
      </c>
      <c r="AL154" s="246">
        <f>AVERAGE('Weekly Analysis'!BR168:BS168)</f>
        <v>5</v>
      </c>
      <c r="AM154" s="247">
        <f>AVERAGE('Weekly Analysis'!BT168:BU168)</f>
        <v>21</v>
      </c>
      <c r="AN154" s="246">
        <f>AVERAGE('Weekly Analysis'!BV168:BW168)</f>
        <v>4.5</v>
      </c>
      <c r="AO154" s="247">
        <f>AVERAGE('Weekly Analysis'!BX168:BY168)</f>
        <v>6.5</v>
      </c>
      <c r="AP154" s="247">
        <f>AVERAGE('Weekly Analysis'!BZ168:CA168)</f>
        <v>34.5</v>
      </c>
      <c r="AQ154" s="246">
        <f>AVERAGE('Weekly Analysis'!CB168:CC168)</f>
        <v>45.5</v>
      </c>
      <c r="AR154" s="246">
        <f>AVERAGE('Weekly Analysis'!CD168:CE168)</f>
        <v>30</v>
      </c>
      <c r="AS154" s="246">
        <f>AVERAGE('Weekly Analysis'!CF168:CG168)</f>
        <v>20.5</v>
      </c>
      <c r="AT154" s="246">
        <f>AVERAGE('Weekly Analysis'!CH168:CI168)</f>
        <v>18</v>
      </c>
      <c r="AU154" s="246">
        <f>AVERAGE('Weekly Analysis'!CJ168:CK168)</f>
        <v>24.5</v>
      </c>
      <c r="AV154" s="246">
        <f>AVERAGE('Weekly Analysis'!CL168:CM168)</f>
        <v>17.5</v>
      </c>
      <c r="AW154" s="246">
        <f>AVERAGE('Weekly Analysis'!CN168:CO168)</f>
        <v>26.5</v>
      </c>
      <c r="AX154" s="246">
        <f t="shared" si="146"/>
        <v>51.428571428571416</v>
      </c>
      <c r="AY154" s="247">
        <f t="shared" si="147"/>
        <v>381.81818181818181</v>
      </c>
      <c r="AZ154" s="244"/>
      <c r="BB154" s="632"/>
      <c r="BC154" s="316"/>
      <c r="BD154" s="632"/>
    </row>
    <row r="155" spans="2:56" ht="25.5" customHeight="1">
      <c r="B155" s="189" t="s">
        <v>41</v>
      </c>
      <c r="C155" s="618">
        <f t="shared" si="145"/>
        <v>4.083333333333333</v>
      </c>
      <c r="D155" s="269">
        <f>AVERAGE('Weekly Analysis'!B169:C169)</f>
        <v>8</v>
      </c>
      <c r="E155" s="269">
        <f>AVERAGE('Weekly Analysis'!D169:E169)</f>
        <v>0.5</v>
      </c>
      <c r="F155" s="269">
        <f>AVERAGE('Weekly Analysis'!F169:G169)</f>
        <v>13.5</v>
      </c>
      <c r="G155" s="269">
        <f>AVERAGE('Weekly Analysis'!H169:I169)</f>
        <v>0</v>
      </c>
      <c r="H155" s="269">
        <f>AVERAGE('Weekly Analysis'!J169:K169)</f>
        <v>2.5</v>
      </c>
      <c r="I155" s="269">
        <f>AVERAGE('Weekly Analysis'!L169:M169)</f>
        <v>3.5</v>
      </c>
      <c r="J155" s="269">
        <f>AVERAGE('Weekly Analysis'!N169:O169)</f>
        <v>3</v>
      </c>
      <c r="K155" s="269">
        <f>AVERAGE('Weekly Analysis'!P169:Q169)</f>
        <v>12</v>
      </c>
      <c r="L155" s="269">
        <f>AVERAGE('Weekly Analysis'!R169:S169)</f>
        <v>4.5</v>
      </c>
      <c r="M155" s="269">
        <f>AVERAGE('Weekly Analysis'!T169:U169)</f>
        <v>0</v>
      </c>
      <c r="N155" s="269">
        <f>AVERAGE('Weekly Analysis'!V169:W169)</f>
        <v>0</v>
      </c>
      <c r="O155" s="245">
        <f>AVERAGE('Weekly Analysis'!X169:Y169)</f>
        <v>1.5</v>
      </c>
      <c r="P155" s="247">
        <f>AVERAGE('Weekly Analysis'!Z169:AA169)</f>
        <v>12</v>
      </c>
      <c r="Q155" s="269">
        <f>AVERAGE('Weekly Analysis'!AB169:AC169)</f>
        <v>0.5</v>
      </c>
      <c r="R155" s="269">
        <f>AVERAGE('Weekly Analysis'!AD169:AE169)</f>
        <v>3</v>
      </c>
      <c r="S155" s="269">
        <f>AVERAGE('Weekly Analysis'!AF169:AG169)</f>
        <v>0</v>
      </c>
      <c r="T155" s="269">
        <f>AVERAGE('Weekly Analysis'!AH169:AI169)</f>
        <v>2.5</v>
      </c>
      <c r="U155" s="269">
        <f>AVERAGE('Weekly Analysis'!AJ169:AK169)</f>
        <v>9</v>
      </c>
      <c r="V155" s="269">
        <f>AVERAGE('Weekly Analysis'!AL169:AM169)</f>
        <v>12.5</v>
      </c>
      <c r="W155" s="269">
        <f>AVERAGE('Weekly Analysis'!AN169:AO169)</f>
        <v>0</v>
      </c>
      <c r="X155" s="269">
        <f>AVERAGE('Weekly Analysis'!AP169:AQ169)</f>
        <v>0</v>
      </c>
      <c r="Y155" s="269">
        <f>AVERAGE('Weekly Analysis'!AR169:AS169)</f>
        <v>0</v>
      </c>
      <c r="Z155" s="269">
        <f>AVERAGE('Weekly Analysis'!AT169:AU169)</f>
        <v>0</v>
      </c>
      <c r="AA155" s="269">
        <f>AVERAGE('Weekly Analysis'!AV169:AW169)</f>
        <v>0</v>
      </c>
      <c r="AB155" s="269">
        <f>AVERAGE('Weekly Analysis'!AX169:AY169)</f>
        <v>9.5</v>
      </c>
      <c r="AC155" s="246">
        <f>AVERAGE('Weekly Analysis'!AZ169:BA169)</f>
        <v>2.5</v>
      </c>
      <c r="AD155" s="246">
        <f>AVERAGE('Weekly Analysis'!BB169:BC169)</f>
        <v>4.5</v>
      </c>
      <c r="AE155" s="247">
        <f>AVERAGE('Weekly Analysis'!BD169:BE169)</f>
        <v>1</v>
      </c>
      <c r="AF155" s="246">
        <f>AVERAGE('Weekly Analysis'!BF169:BG169)</f>
        <v>10</v>
      </c>
      <c r="AG155" s="247">
        <f>AVERAGE('Weekly Analysis'!BH169:BI169)</f>
        <v>6</v>
      </c>
      <c r="AH155" s="247">
        <f>AVERAGE('Weekly Analysis'!BJ169:BK169)</f>
        <v>15.5</v>
      </c>
      <c r="AI155" s="247">
        <f>AVERAGE('Weekly Analysis'!BL169:BM169)</f>
        <v>31.5</v>
      </c>
      <c r="AJ155" s="247">
        <f>AVERAGE('Weekly Analysis'!BN169:BO169)</f>
        <v>21</v>
      </c>
      <c r="AK155" s="247">
        <f>AVERAGE('Weekly Analysis'!BP169:BQ169)</f>
        <v>16.5</v>
      </c>
      <c r="AL155" s="247">
        <f>AVERAGE('Weekly Analysis'!BR169:BS169)</f>
        <v>20</v>
      </c>
      <c r="AM155" s="247">
        <f>AVERAGE('Weekly Analysis'!BT169:BU169)</f>
        <v>24</v>
      </c>
      <c r="AN155" s="247">
        <f>AVERAGE('Weekly Analysis'!BV169:BW169)</f>
        <v>3.5</v>
      </c>
      <c r="AO155" s="247">
        <f>AVERAGE('Weekly Analysis'!BX169:BY169)</f>
        <v>0</v>
      </c>
      <c r="AP155" s="247">
        <f>AVERAGE('Weekly Analysis'!BZ169:CA169)</f>
        <v>3</v>
      </c>
      <c r="AQ155" s="247">
        <f>AVERAGE('Weekly Analysis'!CB169:CC169)</f>
        <v>5.5</v>
      </c>
      <c r="AR155" s="246">
        <f>AVERAGE('Weekly Analysis'!CD169:CE169)</f>
        <v>7.5</v>
      </c>
      <c r="AS155" s="246">
        <f>AVERAGE('Weekly Analysis'!CF169:CG169)</f>
        <v>13</v>
      </c>
      <c r="AT155" s="246">
        <f>AVERAGE('Weekly Analysis'!CH169:CI169)</f>
        <v>15.5</v>
      </c>
      <c r="AU155" s="246">
        <f>AVERAGE('Weekly Analysis'!CJ169:CK169)</f>
        <v>35</v>
      </c>
      <c r="AV155" s="246">
        <f>AVERAGE('Weekly Analysis'!CL169:CM169)</f>
        <v>39.5</v>
      </c>
      <c r="AW155" s="246">
        <f>AVERAGE('Weekly Analysis'!CN169:CO169)</f>
        <v>16</v>
      </c>
      <c r="AX155" s="246">
        <f t="shared" si="146"/>
        <v>-59.493670886075947</v>
      </c>
      <c r="AY155" s="247">
        <f t="shared" si="147"/>
        <v>-3.0303030303030312</v>
      </c>
      <c r="AZ155" s="244"/>
      <c r="BB155" s="632"/>
      <c r="BC155" s="316"/>
      <c r="BD155" s="632"/>
    </row>
    <row r="156" spans="2:56" ht="25.5" customHeight="1">
      <c r="B156" s="189" t="s">
        <v>43</v>
      </c>
      <c r="C156" s="618">
        <f t="shared" si="145"/>
        <v>7.125</v>
      </c>
      <c r="D156" s="269">
        <f>AVERAGE('Weekly Analysis'!B170:C170)</f>
        <v>11.5</v>
      </c>
      <c r="E156" s="269">
        <f>AVERAGE('Weekly Analysis'!D170:E170)</f>
        <v>6.5</v>
      </c>
      <c r="F156" s="269">
        <f>AVERAGE('Weekly Analysis'!F170:G170)</f>
        <v>0</v>
      </c>
      <c r="G156" s="269">
        <f>AVERAGE('Weekly Analysis'!H170:I170)</f>
        <v>0.5</v>
      </c>
      <c r="H156" s="269">
        <f>AVERAGE('Weekly Analysis'!J170:K170)</f>
        <v>5.5</v>
      </c>
      <c r="I156" s="269">
        <f>AVERAGE('Weekly Analysis'!L170:M170)</f>
        <v>3.5</v>
      </c>
      <c r="J156" s="269">
        <f>AVERAGE('Weekly Analysis'!N170:O170)</f>
        <v>4.5</v>
      </c>
      <c r="K156" s="269">
        <f>AVERAGE('Weekly Analysis'!P170:Q170)</f>
        <v>27.5</v>
      </c>
      <c r="L156" s="269">
        <f>AVERAGE('Weekly Analysis'!R170:S170)</f>
        <v>17.5</v>
      </c>
      <c r="M156" s="269">
        <f>AVERAGE('Weekly Analysis'!T170:U170)</f>
        <v>0</v>
      </c>
      <c r="N156" s="269">
        <f>AVERAGE('Weekly Analysis'!V170:W170)</f>
        <v>0</v>
      </c>
      <c r="O156" s="245">
        <f>AVERAGE('Weekly Analysis'!X170:Y170)</f>
        <v>8.5</v>
      </c>
      <c r="P156" s="247">
        <f>AVERAGE('Weekly Analysis'!Z170:AA170)</f>
        <v>19</v>
      </c>
      <c r="Q156" s="269">
        <f>AVERAGE('Weekly Analysis'!AB170:AC170)</f>
        <v>4</v>
      </c>
      <c r="R156" s="269">
        <f>AVERAGE('Weekly Analysis'!AD170:AE170)</f>
        <v>5.5</v>
      </c>
      <c r="S156" s="269">
        <f>AVERAGE('Weekly Analysis'!AF170:AG170)</f>
        <v>0</v>
      </c>
      <c r="T156" s="269">
        <f>AVERAGE('Weekly Analysis'!AH170:AI170)</f>
        <v>0</v>
      </c>
      <c r="U156" s="269">
        <f>AVERAGE('Weekly Analysis'!AJ170:AK170)</f>
        <v>3.5</v>
      </c>
      <c r="V156" s="269">
        <f>AVERAGE('Weekly Analysis'!AL170:AM170)</f>
        <v>18</v>
      </c>
      <c r="W156" s="269">
        <f>AVERAGE('Weekly Analysis'!AN170:AO170)</f>
        <v>0</v>
      </c>
      <c r="X156" s="269">
        <f>AVERAGE('Weekly Analysis'!AP170:AQ170)</f>
        <v>0</v>
      </c>
      <c r="Y156" s="269">
        <f>AVERAGE('Weekly Analysis'!AR170:AS170)</f>
        <v>0</v>
      </c>
      <c r="Z156" s="269">
        <f>AVERAGE('Weekly Analysis'!AT170:AU170)</f>
        <v>0</v>
      </c>
      <c r="AA156" s="269">
        <f>AVERAGE('Weekly Analysis'!AV170:AW170)</f>
        <v>0</v>
      </c>
      <c r="AB156" s="245">
        <f>AVERAGE('Weekly Analysis'!AX170:AY170)</f>
        <v>17.5</v>
      </c>
      <c r="AC156" s="247">
        <f>AVERAGE('Weekly Analysis'!AZ170:BA170)</f>
        <v>6.5</v>
      </c>
      <c r="AD156" s="247">
        <f>AVERAGE('Weekly Analysis'!BB170:BC170)</f>
        <v>0</v>
      </c>
      <c r="AE156" s="246">
        <f>AVERAGE('Weekly Analysis'!BD170:BE170)</f>
        <v>0.5</v>
      </c>
      <c r="AF156" s="247">
        <f>AVERAGE('Weekly Analysis'!BF170:BG170)</f>
        <v>5.5</v>
      </c>
      <c r="AG156" s="246">
        <f>AVERAGE('Weekly Analysis'!BH170:BI170)</f>
        <v>6</v>
      </c>
      <c r="AH156" s="246">
        <f>AVERAGE('Weekly Analysis'!BJ170:BK170)</f>
        <v>25.5</v>
      </c>
      <c r="AI156" s="246">
        <f>AVERAGE('Weekly Analysis'!BL170:BM170)</f>
        <v>60.5</v>
      </c>
      <c r="AJ156" s="247">
        <f>AVERAGE('Weekly Analysis'!BN170:BO170)</f>
        <v>32</v>
      </c>
      <c r="AK156" s="247">
        <f>AVERAGE('Weekly Analysis'!BP170:BQ170)</f>
        <v>42.5</v>
      </c>
      <c r="AL156" s="247">
        <f>AVERAGE('Weekly Analysis'!BR170:BS170)</f>
        <v>38.5</v>
      </c>
      <c r="AM156" s="246">
        <f>AVERAGE('Weekly Analysis'!BT170:BU170)</f>
        <v>45</v>
      </c>
      <c r="AN156" s="246">
        <f>AVERAGE('Weekly Analysis'!BV170:BW170)</f>
        <v>22</v>
      </c>
      <c r="AO156" s="246">
        <f>AVERAGE('Weekly Analysis'!BX170:BY170)</f>
        <v>6.5</v>
      </c>
      <c r="AP156" s="247">
        <f>AVERAGE('Weekly Analysis'!BZ170:CA170)</f>
        <v>0</v>
      </c>
      <c r="AQ156" s="247">
        <f>AVERAGE('Weekly Analysis'!CB170:CC170)</f>
        <v>2</v>
      </c>
      <c r="AR156" s="246">
        <f>AVERAGE('Weekly Analysis'!CD170:CE170)</f>
        <v>4</v>
      </c>
      <c r="AS156" s="246">
        <f>AVERAGE('Weekly Analysis'!CF170:CG170)</f>
        <v>21.5</v>
      </c>
      <c r="AT156" s="246">
        <f>AVERAGE('Weekly Analysis'!CH170:CI170)</f>
        <v>22</v>
      </c>
      <c r="AU156" s="246">
        <f>AVERAGE('Weekly Analysis'!CJ170:CK170)</f>
        <v>74</v>
      </c>
      <c r="AV156" s="246">
        <f>AVERAGE('Weekly Analysis'!CL170:CM170)</f>
        <v>50</v>
      </c>
      <c r="AW156" s="246">
        <f>AVERAGE('Weekly Analysis'!CN170:CO170)</f>
        <v>48</v>
      </c>
      <c r="AX156" s="246">
        <f t="shared" si="146"/>
        <v>-4</v>
      </c>
      <c r="AY156" s="247">
        <f t="shared" si="147"/>
        <v>12.941176470588232</v>
      </c>
      <c r="AZ156" s="244"/>
      <c r="BB156" s="632"/>
      <c r="BC156" s="316"/>
      <c r="BD156" s="632"/>
    </row>
    <row r="157" spans="2:56" ht="25.5" customHeight="1">
      <c r="B157" s="189" t="s">
        <v>48</v>
      </c>
      <c r="C157" s="618">
        <f t="shared" si="145"/>
        <v>9.5</v>
      </c>
      <c r="D157" s="269">
        <f>AVERAGE('Weekly Analysis'!B155:C155)</f>
        <v>26</v>
      </c>
      <c r="E157" s="269">
        <f>AVERAGE('Weekly Analysis'!D155:E155)</f>
        <v>8.5</v>
      </c>
      <c r="F157" s="269">
        <f>AVERAGE('Weekly Analysis'!F155:G155)</f>
        <v>13.5</v>
      </c>
      <c r="G157" s="269">
        <f>AVERAGE('Weekly Analysis'!H155:I155)</f>
        <v>28</v>
      </c>
      <c r="H157" s="269">
        <f>AVERAGE('Weekly Analysis'!J155:K155)</f>
        <v>6</v>
      </c>
      <c r="I157" s="269">
        <f>AVERAGE('Weekly Analysis'!L155:M155)</f>
        <v>3.5</v>
      </c>
      <c r="J157" s="269">
        <f>AVERAGE('Weekly Analysis'!N155:O155)</f>
        <v>6.5</v>
      </c>
      <c r="K157" s="269">
        <f>AVERAGE('Weekly Analysis'!P155:Q155)</f>
        <v>9</v>
      </c>
      <c r="L157" s="269">
        <f>AVERAGE('Weekly Analysis'!R155:S155)</f>
        <v>5</v>
      </c>
      <c r="M157" s="269">
        <f>AVERAGE('Weekly Analysis'!T155:U155)</f>
        <v>0</v>
      </c>
      <c r="N157" s="269">
        <f>AVERAGE('Weekly Analysis'!V155:W155)</f>
        <v>0</v>
      </c>
      <c r="O157" s="245">
        <f>AVERAGE('Weekly Analysis'!X155:Y155)</f>
        <v>8</v>
      </c>
      <c r="P157" s="247">
        <f>AVERAGE('Weekly Analysis'!Z155:AA155)</f>
        <v>9</v>
      </c>
      <c r="Q157" s="269">
        <f>AVERAGE('Weekly Analysis'!AB155:AC155)</f>
        <v>7</v>
      </c>
      <c r="R157" s="269">
        <f>AVERAGE('Weekly Analysis'!AD155:AE155)</f>
        <v>15.5</v>
      </c>
      <c r="S157" s="269">
        <f>AVERAGE('Weekly Analysis'!AF155:AG155)</f>
        <v>13.5</v>
      </c>
      <c r="T157" s="269">
        <f>AVERAGE('Weekly Analysis'!AH155:AI155)</f>
        <v>47</v>
      </c>
      <c r="U157" s="269">
        <f>AVERAGE('Weekly Analysis'!AJ155:AK155)</f>
        <v>64.5</v>
      </c>
      <c r="V157" s="269">
        <f>AVERAGE('Weekly Analysis'!AL155:AM155)</f>
        <v>21</v>
      </c>
      <c r="W157" s="269">
        <f>AVERAGE('Weekly Analysis'!AN155:AO155)</f>
        <v>0</v>
      </c>
      <c r="X157" s="269">
        <f>AVERAGE('Weekly Analysis'!AP155:AQ155)</f>
        <v>0</v>
      </c>
      <c r="Y157" s="269">
        <f>AVERAGE('Weekly Analysis'!AR155:AS155)</f>
        <v>0</v>
      </c>
      <c r="Z157" s="269">
        <f>AVERAGE('Weekly Analysis'!AT155:AU155)</f>
        <v>0</v>
      </c>
      <c r="AA157" s="269">
        <f>AVERAGE('Weekly Analysis'!AV155:AW155)</f>
        <v>0</v>
      </c>
      <c r="AB157" s="269">
        <f>AVERAGE('Weekly Analysis'!AX155:AY155)</f>
        <v>8.5</v>
      </c>
      <c r="AC157" s="247">
        <f>AVERAGE('Weekly Analysis'!AZ155:BA155)</f>
        <v>12</v>
      </c>
      <c r="AD157" s="247">
        <f>AVERAGE('Weekly Analysis'!BB155:BC155)</f>
        <v>8.5</v>
      </c>
      <c r="AE157" s="247">
        <f>AVERAGE('Weekly Analysis'!BD155:BE155)</f>
        <v>35.5</v>
      </c>
      <c r="AF157" s="247">
        <f>AVERAGE('Weekly Analysis'!BF155:BG155)</f>
        <v>31</v>
      </c>
      <c r="AG157" s="247">
        <f>AVERAGE('Weekly Analysis'!BH155:BI155)</f>
        <v>16</v>
      </c>
      <c r="AH157" s="247">
        <f>AVERAGE('Weekly Analysis'!BJ155:BK155)</f>
        <v>26</v>
      </c>
      <c r="AI157" s="247">
        <f>AVERAGE('Weekly Analysis'!BL155:BM155)</f>
        <v>43.5</v>
      </c>
      <c r="AJ157" s="247">
        <f>AVERAGE('Weekly Analysis'!BN155:BO155)</f>
        <v>17.5</v>
      </c>
      <c r="AK157" s="247">
        <f>AVERAGE('Weekly Analysis'!BP155:BQ155)</f>
        <v>13</v>
      </c>
      <c r="AL157" s="247">
        <f>AVERAGE('Weekly Analysis'!BR155:BS155)</f>
        <v>7</v>
      </c>
      <c r="AM157" s="247">
        <f>AVERAGE('Weekly Analysis'!BT155:BU155)</f>
        <v>42.5</v>
      </c>
      <c r="AN157" s="247">
        <f>AVERAGE('Weekly Analysis'!BV155:BW155)</f>
        <v>12</v>
      </c>
      <c r="AO157" s="247">
        <f>AVERAGE('Weekly Analysis'!BX155:BY155)</f>
        <v>8.5</v>
      </c>
      <c r="AP157" s="247">
        <f>AVERAGE('Weekly Analysis'!BZ155:CA155)</f>
        <v>23</v>
      </c>
      <c r="AQ157" s="246">
        <f>AVERAGE('Weekly Analysis'!CB155:CC155)</f>
        <v>24.5</v>
      </c>
      <c r="AR157" s="246">
        <f>AVERAGE('Weekly Analysis'!CD155:CE155)</f>
        <v>40</v>
      </c>
      <c r="AS157" s="246">
        <f>AVERAGE('Weekly Analysis'!CF155:CG155)</f>
        <v>40</v>
      </c>
      <c r="AT157" s="246">
        <f>AVERAGE('Weekly Analysis'!CH155:CI155)</f>
        <v>32</v>
      </c>
      <c r="AU157" s="246">
        <f>AVERAGE('Weekly Analysis'!CJ155:CK155)</f>
        <v>41</v>
      </c>
      <c r="AV157" s="246">
        <f>AVERAGE('Weekly Analysis'!CL155:CM155)</f>
        <v>26.5</v>
      </c>
      <c r="AW157" s="246">
        <f>AVERAGE('Weekly Analysis'!CN155:CO155)</f>
        <v>14.5</v>
      </c>
      <c r="AX157" s="246">
        <f t="shared" si="146"/>
        <v>-45.283018867924532</v>
      </c>
      <c r="AY157" s="247">
        <f t="shared" si="147"/>
        <v>11.538461538461547</v>
      </c>
      <c r="AZ157" s="244"/>
      <c r="BB157" s="632"/>
      <c r="BC157" s="316"/>
      <c r="BD157" s="632"/>
    </row>
    <row r="158" spans="2:56" ht="25.5" customHeight="1">
      <c r="B158" s="248" t="s">
        <v>49</v>
      </c>
      <c r="C158" s="618">
        <f t="shared" si="145"/>
        <v>5.375</v>
      </c>
      <c r="D158" s="269">
        <f>AVERAGE('Weekly Analysis'!B160:C160)</f>
        <v>16.5</v>
      </c>
      <c r="E158" s="269">
        <f>AVERAGE('Weekly Analysis'!D160:E160)</f>
        <v>6</v>
      </c>
      <c r="F158" s="269">
        <f>AVERAGE('Weekly Analysis'!F160:G160)</f>
        <v>4</v>
      </c>
      <c r="G158" s="269">
        <f>AVERAGE('Weekly Analysis'!H160:I160)</f>
        <v>3</v>
      </c>
      <c r="H158" s="269">
        <f>AVERAGE('Weekly Analysis'!J160:K160)</f>
        <v>2</v>
      </c>
      <c r="I158" s="269">
        <f>AVERAGE('Weekly Analysis'!L160:M160)</f>
        <v>4.5</v>
      </c>
      <c r="J158" s="269">
        <f>AVERAGE('Weekly Analysis'!N160:O160)</f>
        <v>2</v>
      </c>
      <c r="K158" s="269">
        <f>AVERAGE('Weekly Analysis'!P160:Q160)</f>
        <v>12.5</v>
      </c>
      <c r="L158" s="269">
        <f>AVERAGE('Weekly Analysis'!R160:S160)</f>
        <v>3.5</v>
      </c>
      <c r="M158" s="269">
        <f>AVERAGE('Weekly Analysis'!T160:U160)</f>
        <v>0</v>
      </c>
      <c r="N158" s="269">
        <f>AVERAGE('Weekly Analysis'!V160:W160)</f>
        <v>0</v>
      </c>
      <c r="O158" s="245">
        <f>AVERAGE('Weekly Analysis'!X160:Y160)</f>
        <v>10.5</v>
      </c>
      <c r="P158" s="247">
        <f>AVERAGE('Weekly Analysis'!Z160:AA160)</f>
        <v>12.5</v>
      </c>
      <c r="Q158" s="269">
        <f>AVERAGE('Weekly Analysis'!AB160:AC160)</f>
        <v>2.5</v>
      </c>
      <c r="R158" s="269">
        <f>AVERAGE('Weekly Analysis'!AD160:AE160)</f>
        <v>8</v>
      </c>
      <c r="S158" s="269">
        <f>AVERAGE('Weekly Analysis'!AF160:AG160)</f>
        <v>12</v>
      </c>
      <c r="T158" s="269">
        <f>AVERAGE('Weekly Analysis'!AH160:AI160)</f>
        <v>11</v>
      </c>
      <c r="U158" s="269">
        <f>AVERAGE('Weekly Analysis'!AJ160:AK160)</f>
        <v>25.5</v>
      </c>
      <c r="V158" s="269">
        <f>AVERAGE('Weekly Analysis'!AL160:AM160)</f>
        <v>11.5</v>
      </c>
      <c r="W158" s="269">
        <f>AVERAGE('Weekly Analysis'!AN160:AO160)</f>
        <v>0</v>
      </c>
      <c r="X158" s="269">
        <f>AVERAGE('Weekly Analysis'!AP160:AQ160)</f>
        <v>0</v>
      </c>
      <c r="Y158" s="269">
        <f>AVERAGE('Weekly Analysis'!AR160:AS160)</f>
        <v>0</v>
      </c>
      <c r="Z158" s="269">
        <f>AVERAGE('Weekly Analysis'!AT160:AU160)</f>
        <v>0</v>
      </c>
      <c r="AA158" s="269">
        <f>AVERAGE('Weekly Analysis'!AV160:AW160)</f>
        <v>0</v>
      </c>
      <c r="AB158" s="269">
        <f>AVERAGE('Weekly Analysis'!AX160:AY160)</f>
        <v>12.5</v>
      </c>
      <c r="AC158" s="246">
        <f>AVERAGE('Weekly Analysis'!AZ160:BA160)</f>
        <v>6.5</v>
      </c>
      <c r="AD158" s="246">
        <f>AVERAGE('Weekly Analysis'!BB160:BC160)</f>
        <v>3</v>
      </c>
      <c r="AE158" s="247">
        <f>AVERAGE('Weekly Analysis'!BD160:BE160)</f>
        <v>24.5</v>
      </c>
      <c r="AF158" s="246">
        <f>AVERAGE('Weekly Analysis'!BF160:BG160)</f>
        <v>36</v>
      </c>
      <c r="AG158" s="246">
        <f>AVERAGE('Weekly Analysis'!BH160:BI160)</f>
        <v>17.5</v>
      </c>
      <c r="AH158" s="246">
        <f>AVERAGE('Weekly Analysis'!BJ160:BK160)</f>
        <v>32</v>
      </c>
      <c r="AI158" s="246">
        <f>AVERAGE('Weekly Analysis'!BL160:BM160)</f>
        <v>32</v>
      </c>
      <c r="AJ158" s="246">
        <f>AVERAGE('Weekly Analysis'!BN160:BO160)</f>
        <v>15.5</v>
      </c>
      <c r="AK158" s="247">
        <f>AVERAGE('Weekly Analysis'!BP160:BQ160)</f>
        <v>6</v>
      </c>
      <c r="AL158" s="246">
        <f>AVERAGE('Weekly Analysis'!BR160:BS160)</f>
        <v>4.5</v>
      </c>
      <c r="AM158" s="246">
        <f>AVERAGE('Weekly Analysis'!BT160:BU160)</f>
        <v>33.5</v>
      </c>
      <c r="AN158" s="246">
        <f>AVERAGE('Weekly Analysis'!BV160:BW160)</f>
        <v>8</v>
      </c>
      <c r="AO158" s="246">
        <f>AVERAGE('Weekly Analysis'!BX160:BY160)</f>
        <v>6</v>
      </c>
      <c r="AP158" s="247">
        <f>AVERAGE('Weekly Analysis'!BZ160:CA160)</f>
        <v>22</v>
      </c>
      <c r="AQ158" s="246">
        <f>AVERAGE('Weekly Analysis'!CB160:CC160)</f>
        <v>14.5</v>
      </c>
      <c r="AR158" s="246">
        <f>AVERAGE('Weekly Analysis'!CD160:CE160)</f>
        <v>31</v>
      </c>
      <c r="AS158" s="246">
        <f>AVERAGE('Weekly Analysis'!CF160:CG160)</f>
        <v>21</v>
      </c>
      <c r="AT158" s="246">
        <f>AVERAGE('Weekly Analysis'!CH160:CI160)</f>
        <v>28.5</v>
      </c>
      <c r="AU158" s="246">
        <f>AVERAGE('Weekly Analysis'!CJ160:CK160)</f>
        <v>38.5</v>
      </c>
      <c r="AV158" s="246">
        <f>AVERAGE('Weekly Analysis'!CL160:CM160)</f>
        <v>35</v>
      </c>
      <c r="AW158" s="246">
        <f>AVERAGE('Weekly Analysis'!CN160:CO160)</f>
        <v>32.5</v>
      </c>
      <c r="AX158" s="246">
        <f t="shared" si="146"/>
        <v>-7.1428571428571388</v>
      </c>
      <c r="AY158" s="247">
        <f t="shared" si="147"/>
        <v>441.66666666666674</v>
      </c>
      <c r="AZ158" s="244"/>
      <c r="BB158" s="632"/>
      <c r="BC158" s="316"/>
      <c r="BD158" s="632"/>
    </row>
    <row r="159" spans="2:56" ht="25.5" customHeight="1">
      <c r="B159" s="629"/>
      <c r="C159" s="631">
        <f t="shared" si="145"/>
        <v>137.875</v>
      </c>
      <c r="D159" s="644">
        <f>AVERAGE('Weekly Analysis'!B171:C171)</f>
        <v>293</v>
      </c>
      <c r="E159" s="644">
        <f>AVERAGE('Weekly Analysis'!D171:E171)</f>
        <v>121</v>
      </c>
      <c r="F159" s="644">
        <f>AVERAGE('Weekly Analysis'!F171:G171)</f>
        <v>208.5</v>
      </c>
      <c r="G159" s="644">
        <f>AVERAGE('Weekly Analysis'!H171:I171)</f>
        <v>140.5</v>
      </c>
      <c r="H159" s="644">
        <f>AVERAGE('Weekly Analysis'!J171:K171)</f>
        <v>144.5</v>
      </c>
      <c r="I159" s="644">
        <f>AVERAGE('Weekly Analysis'!L171:M171)</f>
        <v>103.5</v>
      </c>
      <c r="J159" s="644">
        <f>AVERAGE('Weekly Analysis'!N171:O171)</f>
        <v>123.5</v>
      </c>
      <c r="K159" s="644">
        <f>AVERAGE('Weekly Analysis'!P171:Q171)</f>
        <v>263</v>
      </c>
      <c r="L159" s="644">
        <f>AVERAGE('Weekly Analysis'!R171:S171)</f>
        <v>129.5</v>
      </c>
      <c r="M159" s="644">
        <f>AVERAGE('Weekly Analysis'!T171:U171)</f>
        <v>0</v>
      </c>
      <c r="N159" s="644">
        <f>AVERAGE('Weekly Analysis'!V171:W171)</f>
        <v>0</v>
      </c>
      <c r="O159" s="648">
        <f>AVERAGE('Weekly Analysis'!X171:Y171)</f>
        <v>127.5</v>
      </c>
      <c r="P159" s="630">
        <f>AVERAGE('Weekly Analysis'!Z171:AA171)</f>
        <v>225.5</v>
      </c>
      <c r="Q159" s="644">
        <f>AVERAGE('Weekly Analysis'!AB171:AC171)</f>
        <v>97</v>
      </c>
      <c r="R159" s="644">
        <f>AVERAGE('Weekly Analysis'!AD171:AE171)</f>
        <v>184</v>
      </c>
      <c r="S159" s="644">
        <f>AVERAGE('Weekly Analysis'!AF171:AG171)</f>
        <v>216.5</v>
      </c>
      <c r="T159" s="644">
        <f>AVERAGE('Weekly Analysis'!AH171:AI171)</f>
        <v>295.5</v>
      </c>
      <c r="U159" s="644">
        <f>AVERAGE('Weekly Analysis'!AJ171:AK171)</f>
        <v>567</v>
      </c>
      <c r="V159" s="644">
        <f>AVERAGE('Weekly Analysis'!AL171:AM171)</f>
        <v>279.5</v>
      </c>
      <c r="W159" s="648">
        <f>AVERAGE('Weekly Analysis'!AN171:AO171)</f>
        <v>0</v>
      </c>
      <c r="X159" s="630">
        <f>AVERAGE('Weekly Analysis'!AP171:AQ171)</f>
        <v>0</v>
      </c>
      <c r="Y159" s="644">
        <f>AVERAGE('Weekly Analysis'!AR171:AS171)</f>
        <v>0</v>
      </c>
      <c r="Z159" s="644">
        <f>AVERAGE('Weekly Analysis'!AT171:AU171)</f>
        <v>0</v>
      </c>
      <c r="AA159" s="644">
        <f>AVERAGE('Weekly Analysis'!BH171:BI171)</f>
        <v>390</v>
      </c>
      <c r="AB159" s="644">
        <f>AVERAGE('Weekly Analysis'!AX171:AY171)</f>
        <v>198</v>
      </c>
      <c r="AC159" s="630">
        <f>AVERAGE('Weekly Analysis'!AZ171:BA171)</f>
        <v>160.5</v>
      </c>
      <c r="AD159" s="630">
        <f>AVERAGE('Weekly Analysis'!BB171:BC171)</f>
        <v>124</v>
      </c>
      <c r="AE159" s="630">
        <f>AVERAGE('Weekly Analysis'!BD171:BE171)</f>
        <v>434</v>
      </c>
      <c r="AF159" s="630">
        <f>AVERAGE('Weekly Analysis'!BF171:BG171)</f>
        <v>499.5</v>
      </c>
      <c r="AG159" s="630">
        <f>AVERAGE('Weekly Analysis'!BH171:BI171)</f>
        <v>390</v>
      </c>
      <c r="AH159" s="630">
        <f>AVERAGE('Weekly Analysis'!BJ171:BK171)</f>
        <v>460</v>
      </c>
      <c r="AI159" s="630">
        <f>AVERAGE('Weekly Analysis'!BL171:BM171)</f>
        <v>634</v>
      </c>
      <c r="AJ159" s="630">
        <f>AVERAGE('Weekly Analysis'!BN171:BO171)</f>
        <v>418</v>
      </c>
      <c r="AK159" s="630">
        <f>AVERAGE('Weekly Analysis'!BP171:BQ171)</f>
        <v>182</v>
      </c>
      <c r="AL159" s="630">
        <f>AVERAGE('Weekly Analysis'!BR171:BS171)</f>
        <v>199.5</v>
      </c>
      <c r="AM159" s="630">
        <f>AVERAGE('Weekly Analysis'!BT171:BU171)</f>
        <v>583.5</v>
      </c>
      <c r="AN159" s="630">
        <f>AVERAGE('Weekly Analysis'!BV171:BW171)</f>
        <v>141</v>
      </c>
      <c r="AO159" s="630">
        <f>AVERAGE('Weekly Analysis'!BX171:BY171)</f>
        <v>94.5</v>
      </c>
      <c r="AP159" s="630">
        <f>AVERAGE('Weekly Analysis'!BZ171:CA171)</f>
        <v>348.5</v>
      </c>
      <c r="AQ159" s="630">
        <f>AVERAGE('Weekly Analysis'!CB171:CC171)</f>
        <v>372</v>
      </c>
      <c r="AR159" s="645">
        <f>AVERAGE('Weekly Analysis'!CD171:CE171)</f>
        <v>451</v>
      </c>
      <c r="AS159" s="645">
        <f>AVERAGE('Weekly Analysis'!CF171:CG171)</f>
        <v>445</v>
      </c>
      <c r="AT159" s="645">
        <f>AVERAGE('Weekly Analysis'!CH171:CI171)</f>
        <v>460.5</v>
      </c>
      <c r="AU159" s="645">
        <f>AVERAGE('Weekly Analysis'!CJ171:CK171)</f>
        <v>684.5</v>
      </c>
      <c r="AV159" s="645">
        <f>AVERAGE('Weekly Analysis'!CL171:CM171)</f>
        <v>555</v>
      </c>
      <c r="AW159" s="645">
        <f>AVERAGE('Weekly Analysis'!CN171:CO171)</f>
        <v>497.5</v>
      </c>
      <c r="AX159" s="645">
        <f>AW159/AV159*100-100</f>
        <v>-10.36036036036036</v>
      </c>
      <c r="AY159" s="630">
        <f>AW159/AK159*100-100</f>
        <v>173.35164835164835</v>
      </c>
      <c r="AZ159" s="244"/>
      <c r="BB159" s="632"/>
      <c r="BC159" s="316"/>
      <c r="BD159" s="632"/>
    </row>
    <row r="160" spans="2:56" ht="19.5" customHeight="1">
      <c r="B160" s="642"/>
      <c r="C160" s="234"/>
      <c r="D160" s="234"/>
      <c r="E160" s="234"/>
      <c r="F160" s="234"/>
      <c r="G160" s="234"/>
      <c r="H160" s="234"/>
      <c r="I160" s="234"/>
      <c r="J160" s="234"/>
      <c r="K160" s="234"/>
      <c r="L160" s="234"/>
      <c r="M160" s="234"/>
      <c r="N160" s="234"/>
      <c r="O160" s="234"/>
      <c r="P160" s="234"/>
      <c r="Q160" s="234"/>
      <c r="R160" s="234"/>
      <c r="S160" s="234"/>
      <c r="T160" s="234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234"/>
      <c r="AI160" s="234"/>
      <c r="AJ160" s="234"/>
      <c r="AK160" s="234"/>
      <c r="AL160" s="234"/>
      <c r="AM160" s="234"/>
      <c r="AN160" s="235"/>
      <c r="AO160" s="234"/>
      <c r="AP160" s="234"/>
      <c r="AQ160" s="234"/>
      <c r="AR160" s="234"/>
      <c r="AS160" s="234"/>
      <c r="AT160" s="234"/>
      <c r="AU160" s="234"/>
      <c r="AV160" s="234"/>
      <c r="AW160" s="235"/>
      <c r="AX160" s="264"/>
      <c r="AY160" s="233"/>
      <c r="AZ160" s="233"/>
      <c r="BB160" s="261"/>
      <c r="BC160" s="261"/>
      <c r="BD160" s="261"/>
    </row>
    <row r="161" spans="2:56" ht="19.5" customHeight="1">
      <c r="B161" s="635"/>
      <c r="C161" s="234"/>
      <c r="D161" s="235"/>
      <c r="E161" s="235"/>
      <c r="F161" s="235"/>
      <c r="G161" s="345"/>
      <c r="H161" s="235"/>
      <c r="I161" s="235"/>
      <c r="J161" s="235"/>
      <c r="K161" s="235"/>
      <c r="L161" s="235"/>
      <c r="M161" s="235"/>
      <c r="N161" s="235"/>
      <c r="O161" s="235"/>
      <c r="P161" s="235"/>
      <c r="Q161" s="235"/>
      <c r="R161" s="235"/>
      <c r="S161" s="345"/>
      <c r="T161" s="235"/>
      <c r="U161" s="235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34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  <c r="AT161" s="235"/>
      <c r="AU161" s="235"/>
      <c r="AV161" s="235"/>
      <c r="AW161" s="235"/>
      <c r="AX161" s="234"/>
      <c r="AY161" s="233"/>
      <c r="AZ161" s="233"/>
      <c r="BA161" s="311"/>
      <c r="BB161" s="233"/>
      <c r="BC161" s="233"/>
      <c r="BD161" s="233"/>
    </row>
    <row r="162" spans="2:56" ht="29.25" customHeight="1">
      <c r="B162" s="643" t="s">
        <v>189</v>
      </c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234"/>
      <c r="AI162" s="234"/>
      <c r="AJ162" s="234"/>
      <c r="AK162" s="234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44"/>
      <c r="AZ162" s="233"/>
      <c r="BA162" s="311"/>
      <c r="BB162" s="233"/>
      <c r="BC162" s="233"/>
      <c r="BD162" s="233"/>
    </row>
    <row r="163" spans="2:56">
      <c r="B163" s="643" t="s">
        <v>197</v>
      </c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234"/>
      <c r="AI163" s="234"/>
      <c r="AJ163" s="234"/>
      <c r="AK163" s="234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3"/>
      <c r="AZ163" s="233"/>
      <c r="BA163" s="311"/>
      <c r="BB163" s="233"/>
      <c r="BC163" s="233"/>
      <c r="BD163" s="233"/>
    </row>
    <row r="164" spans="2:56">
      <c r="B164" s="233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234"/>
      <c r="AI164" s="234"/>
      <c r="AJ164" s="234"/>
      <c r="AK164" s="234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3"/>
      <c r="AZ164" s="233"/>
      <c r="BA164" s="311"/>
      <c r="BB164" s="233"/>
      <c r="BC164" s="233"/>
      <c r="BD164" s="233"/>
    </row>
  </sheetData>
  <mergeCells count="1">
    <mergeCell ref="AX5:AY5"/>
  </mergeCells>
  <pageMargins left="0.7" right="0.7" top="0.75" bottom="0.75" header="0.3" footer="0.3"/>
  <pageSetup paperSize="9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66"/>
    <pageSetUpPr fitToPage="1"/>
  </sheetPr>
  <dimension ref="B2:AN183"/>
  <sheetViews>
    <sheetView zoomScale="80" zoomScaleNormal="80" workbookViewId="0">
      <selection activeCell="U9" sqref="U9"/>
    </sheetView>
  </sheetViews>
  <sheetFormatPr defaultRowHeight="14.5"/>
  <cols>
    <col min="1" max="1" width="1.26953125" style="306" customWidth="1"/>
    <col min="2" max="2" width="39.26953125" style="306" customWidth="1"/>
    <col min="3" max="3" width="10.26953125" style="306" hidden="1" customWidth="1"/>
    <col min="4" max="16" width="11.26953125" style="306" hidden="1" customWidth="1"/>
    <col min="17" max="17" width="10.26953125" style="306" hidden="1" customWidth="1"/>
    <col min="18" max="18" width="11.54296875" style="306" hidden="1" customWidth="1"/>
    <col min="19" max="19" width="12.26953125" style="306" hidden="1" customWidth="1"/>
    <col min="20" max="20" width="11.1796875" style="306" hidden="1" customWidth="1"/>
    <col min="21" max="21" width="12.453125" style="306" customWidth="1"/>
    <col min="22" max="23" width="11.7265625" style="306" customWidth="1"/>
    <col min="24" max="24" width="13.26953125" style="306" bestFit="1" customWidth="1"/>
    <col min="25" max="25" width="12" style="306" customWidth="1"/>
    <col min="26" max="27" width="13.26953125" style="306" customWidth="1"/>
    <col min="28" max="253" width="9.1796875" style="306"/>
    <col min="254" max="254" width="1.26953125" style="306" customWidth="1"/>
    <col min="255" max="255" width="54" style="306" customWidth="1"/>
    <col min="256" max="256" width="10.26953125" style="306" customWidth="1"/>
    <col min="257" max="273" width="11.26953125" style="306" customWidth="1"/>
    <col min="274" max="274" width="9.1796875" style="306"/>
    <col min="275" max="275" width="11.26953125" style="306" customWidth="1"/>
    <col min="276" max="278" width="10.81640625" style="306" customWidth="1"/>
    <col min="279" max="509" width="9.1796875" style="306"/>
    <col min="510" max="510" width="1.26953125" style="306" customWidth="1"/>
    <col min="511" max="511" width="54" style="306" customWidth="1"/>
    <col min="512" max="512" width="10.26953125" style="306" customWidth="1"/>
    <col min="513" max="529" width="11.26953125" style="306" customWidth="1"/>
    <col min="530" max="530" width="9.1796875" style="306"/>
    <col min="531" max="531" width="11.26953125" style="306" customWidth="1"/>
    <col min="532" max="534" width="10.81640625" style="306" customWidth="1"/>
    <col min="535" max="765" width="9.1796875" style="306"/>
    <col min="766" max="766" width="1.26953125" style="306" customWidth="1"/>
    <col min="767" max="767" width="54" style="306" customWidth="1"/>
    <col min="768" max="768" width="10.26953125" style="306" customWidth="1"/>
    <col min="769" max="785" width="11.26953125" style="306" customWidth="1"/>
    <col min="786" max="786" width="9.1796875" style="306"/>
    <col min="787" max="787" width="11.26953125" style="306" customWidth="1"/>
    <col min="788" max="790" width="10.81640625" style="306" customWidth="1"/>
    <col min="791" max="1021" width="9.1796875" style="306"/>
    <col min="1022" max="1022" width="1.26953125" style="306" customWidth="1"/>
    <col min="1023" max="1023" width="54" style="306" customWidth="1"/>
    <col min="1024" max="1024" width="10.26953125" style="306" customWidth="1"/>
    <col min="1025" max="1041" width="11.26953125" style="306" customWidth="1"/>
    <col min="1042" max="1042" width="9.1796875" style="306"/>
    <col min="1043" max="1043" width="11.26953125" style="306" customWidth="1"/>
    <col min="1044" max="1046" width="10.81640625" style="306" customWidth="1"/>
    <col min="1047" max="1277" width="9.1796875" style="306"/>
    <col min="1278" max="1278" width="1.26953125" style="306" customWidth="1"/>
    <col min="1279" max="1279" width="54" style="306" customWidth="1"/>
    <col min="1280" max="1280" width="10.26953125" style="306" customWidth="1"/>
    <col min="1281" max="1297" width="11.26953125" style="306" customWidth="1"/>
    <col min="1298" max="1298" width="9.1796875" style="306"/>
    <col min="1299" max="1299" width="11.26953125" style="306" customWidth="1"/>
    <col min="1300" max="1302" width="10.81640625" style="306" customWidth="1"/>
    <col min="1303" max="1533" width="9.1796875" style="306"/>
    <col min="1534" max="1534" width="1.26953125" style="306" customWidth="1"/>
    <col min="1535" max="1535" width="54" style="306" customWidth="1"/>
    <col min="1536" max="1536" width="10.26953125" style="306" customWidth="1"/>
    <col min="1537" max="1553" width="11.26953125" style="306" customWidth="1"/>
    <col min="1554" max="1554" width="9.1796875" style="306"/>
    <col min="1555" max="1555" width="11.26953125" style="306" customWidth="1"/>
    <col min="1556" max="1558" width="10.81640625" style="306" customWidth="1"/>
    <col min="1559" max="1789" width="9.1796875" style="306"/>
    <col min="1790" max="1790" width="1.26953125" style="306" customWidth="1"/>
    <col min="1791" max="1791" width="54" style="306" customWidth="1"/>
    <col min="1792" max="1792" width="10.26953125" style="306" customWidth="1"/>
    <col min="1793" max="1809" width="11.26953125" style="306" customWidth="1"/>
    <col min="1810" max="1810" width="9.1796875" style="306"/>
    <col min="1811" max="1811" width="11.26953125" style="306" customWidth="1"/>
    <col min="1812" max="1814" width="10.81640625" style="306" customWidth="1"/>
    <col min="1815" max="2045" width="9.1796875" style="306"/>
    <col min="2046" max="2046" width="1.26953125" style="306" customWidth="1"/>
    <col min="2047" max="2047" width="54" style="306" customWidth="1"/>
    <col min="2048" max="2048" width="10.26953125" style="306" customWidth="1"/>
    <col min="2049" max="2065" width="11.26953125" style="306" customWidth="1"/>
    <col min="2066" max="2066" width="9.1796875" style="306"/>
    <col min="2067" max="2067" width="11.26953125" style="306" customWidth="1"/>
    <col min="2068" max="2070" width="10.81640625" style="306" customWidth="1"/>
    <col min="2071" max="2301" width="9.1796875" style="306"/>
    <col min="2302" max="2302" width="1.26953125" style="306" customWidth="1"/>
    <col min="2303" max="2303" width="54" style="306" customWidth="1"/>
    <col min="2304" max="2304" width="10.26953125" style="306" customWidth="1"/>
    <col min="2305" max="2321" width="11.26953125" style="306" customWidth="1"/>
    <col min="2322" max="2322" width="9.1796875" style="306"/>
    <col min="2323" max="2323" width="11.26953125" style="306" customWidth="1"/>
    <col min="2324" max="2326" width="10.81640625" style="306" customWidth="1"/>
    <col min="2327" max="2557" width="9.1796875" style="306"/>
    <col min="2558" max="2558" width="1.26953125" style="306" customWidth="1"/>
    <col min="2559" max="2559" width="54" style="306" customWidth="1"/>
    <col min="2560" max="2560" width="10.26953125" style="306" customWidth="1"/>
    <col min="2561" max="2577" width="11.26953125" style="306" customWidth="1"/>
    <col min="2578" max="2578" width="9.1796875" style="306"/>
    <col min="2579" max="2579" width="11.26953125" style="306" customWidth="1"/>
    <col min="2580" max="2582" width="10.81640625" style="306" customWidth="1"/>
    <col min="2583" max="2813" width="9.1796875" style="306"/>
    <col min="2814" max="2814" width="1.26953125" style="306" customWidth="1"/>
    <col min="2815" max="2815" width="54" style="306" customWidth="1"/>
    <col min="2816" max="2816" width="10.26953125" style="306" customWidth="1"/>
    <col min="2817" max="2833" width="11.26953125" style="306" customWidth="1"/>
    <col min="2834" max="2834" width="9.1796875" style="306"/>
    <col min="2835" max="2835" width="11.26953125" style="306" customWidth="1"/>
    <col min="2836" max="2838" width="10.81640625" style="306" customWidth="1"/>
    <col min="2839" max="3069" width="9.1796875" style="306"/>
    <col min="3070" max="3070" width="1.26953125" style="306" customWidth="1"/>
    <col min="3071" max="3071" width="54" style="306" customWidth="1"/>
    <col min="3072" max="3072" width="10.26953125" style="306" customWidth="1"/>
    <col min="3073" max="3089" width="11.26953125" style="306" customWidth="1"/>
    <col min="3090" max="3090" width="9.1796875" style="306"/>
    <col min="3091" max="3091" width="11.26953125" style="306" customWidth="1"/>
    <col min="3092" max="3094" width="10.81640625" style="306" customWidth="1"/>
    <col min="3095" max="3325" width="9.1796875" style="306"/>
    <col min="3326" max="3326" width="1.26953125" style="306" customWidth="1"/>
    <col min="3327" max="3327" width="54" style="306" customWidth="1"/>
    <col min="3328" max="3328" width="10.26953125" style="306" customWidth="1"/>
    <col min="3329" max="3345" width="11.26953125" style="306" customWidth="1"/>
    <col min="3346" max="3346" width="9.1796875" style="306"/>
    <col min="3347" max="3347" width="11.26953125" style="306" customWidth="1"/>
    <col min="3348" max="3350" width="10.81640625" style="306" customWidth="1"/>
    <col min="3351" max="3581" width="9.1796875" style="306"/>
    <col min="3582" max="3582" width="1.26953125" style="306" customWidth="1"/>
    <col min="3583" max="3583" width="54" style="306" customWidth="1"/>
    <col min="3584" max="3584" width="10.26953125" style="306" customWidth="1"/>
    <col min="3585" max="3601" width="11.26953125" style="306" customWidth="1"/>
    <col min="3602" max="3602" width="9.1796875" style="306"/>
    <col min="3603" max="3603" width="11.26953125" style="306" customWidth="1"/>
    <col min="3604" max="3606" width="10.81640625" style="306" customWidth="1"/>
    <col min="3607" max="3837" width="9.1796875" style="306"/>
    <col min="3838" max="3838" width="1.26953125" style="306" customWidth="1"/>
    <col min="3839" max="3839" width="54" style="306" customWidth="1"/>
    <col min="3840" max="3840" width="10.26953125" style="306" customWidth="1"/>
    <col min="3841" max="3857" width="11.26953125" style="306" customWidth="1"/>
    <col min="3858" max="3858" width="9.1796875" style="306"/>
    <col min="3859" max="3859" width="11.26953125" style="306" customWidth="1"/>
    <col min="3860" max="3862" width="10.81640625" style="306" customWidth="1"/>
    <col min="3863" max="4093" width="9.1796875" style="306"/>
    <col min="4094" max="4094" width="1.26953125" style="306" customWidth="1"/>
    <col min="4095" max="4095" width="54" style="306" customWidth="1"/>
    <col min="4096" max="4096" width="10.26953125" style="306" customWidth="1"/>
    <col min="4097" max="4113" width="11.26953125" style="306" customWidth="1"/>
    <col min="4114" max="4114" width="9.1796875" style="306"/>
    <col min="4115" max="4115" width="11.26953125" style="306" customWidth="1"/>
    <col min="4116" max="4118" width="10.81640625" style="306" customWidth="1"/>
    <col min="4119" max="4349" width="9.1796875" style="306"/>
    <col min="4350" max="4350" width="1.26953125" style="306" customWidth="1"/>
    <col min="4351" max="4351" width="54" style="306" customWidth="1"/>
    <col min="4352" max="4352" width="10.26953125" style="306" customWidth="1"/>
    <col min="4353" max="4369" width="11.26953125" style="306" customWidth="1"/>
    <col min="4370" max="4370" width="9.1796875" style="306"/>
    <col min="4371" max="4371" width="11.26953125" style="306" customWidth="1"/>
    <col min="4372" max="4374" width="10.81640625" style="306" customWidth="1"/>
    <col min="4375" max="4605" width="9.1796875" style="306"/>
    <col min="4606" max="4606" width="1.26953125" style="306" customWidth="1"/>
    <col min="4607" max="4607" width="54" style="306" customWidth="1"/>
    <col min="4608" max="4608" width="10.26953125" style="306" customWidth="1"/>
    <col min="4609" max="4625" width="11.26953125" style="306" customWidth="1"/>
    <col min="4626" max="4626" width="9.1796875" style="306"/>
    <col min="4627" max="4627" width="11.26953125" style="306" customWidth="1"/>
    <col min="4628" max="4630" width="10.81640625" style="306" customWidth="1"/>
    <col min="4631" max="4861" width="9.1796875" style="306"/>
    <col min="4862" max="4862" width="1.26953125" style="306" customWidth="1"/>
    <col min="4863" max="4863" width="54" style="306" customWidth="1"/>
    <col min="4864" max="4864" width="10.26953125" style="306" customWidth="1"/>
    <col min="4865" max="4881" width="11.26953125" style="306" customWidth="1"/>
    <col min="4882" max="4882" width="9.1796875" style="306"/>
    <col min="4883" max="4883" width="11.26953125" style="306" customWidth="1"/>
    <col min="4884" max="4886" width="10.81640625" style="306" customWidth="1"/>
    <col min="4887" max="5117" width="9.1796875" style="306"/>
    <col min="5118" max="5118" width="1.26953125" style="306" customWidth="1"/>
    <col min="5119" max="5119" width="54" style="306" customWidth="1"/>
    <col min="5120" max="5120" width="10.26953125" style="306" customWidth="1"/>
    <col min="5121" max="5137" width="11.26953125" style="306" customWidth="1"/>
    <col min="5138" max="5138" width="9.1796875" style="306"/>
    <col min="5139" max="5139" width="11.26953125" style="306" customWidth="1"/>
    <col min="5140" max="5142" width="10.81640625" style="306" customWidth="1"/>
    <col min="5143" max="5373" width="9.1796875" style="306"/>
    <col min="5374" max="5374" width="1.26953125" style="306" customWidth="1"/>
    <col min="5375" max="5375" width="54" style="306" customWidth="1"/>
    <col min="5376" max="5376" width="10.26953125" style="306" customWidth="1"/>
    <col min="5377" max="5393" width="11.26953125" style="306" customWidth="1"/>
    <col min="5394" max="5394" width="9.1796875" style="306"/>
    <col min="5395" max="5395" width="11.26953125" style="306" customWidth="1"/>
    <col min="5396" max="5398" width="10.81640625" style="306" customWidth="1"/>
    <col min="5399" max="5629" width="9.1796875" style="306"/>
    <col min="5630" max="5630" width="1.26953125" style="306" customWidth="1"/>
    <col min="5631" max="5631" width="54" style="306" customWidth="1"/>
    <col min="5632" max="5632" width="10.26953125" style="306" customWidth="1"/>
    <col min="5633" max="5649" width="11.26953125" style="306" customWidth="1"/>
    <col min="5650" max="5650" width="9.1796875" style="306"/>
    <col min="5651" max="5651" width="11.26953125" style="306" customWidth="1"/>
    <col min="5652" max="5654" width="10.81640625" style="306" customWidth="1"/>
    <col min="5655" max="5885" width="9.1796875" style="306"/>
    <col min="5886" max="5886" width="1.26953125" style="306" customWidth="1"/>
    <col min="5887" max="5887" width="54" style="306" customWidth="1"/>
    <col min="5888" max="5888" width="10.26953125" style="306" customWidth="1"/>
    <col min="5889" max="5905" width="11.26953125" style="306" customWidth="1"/>
    <col min="5906" max="5906" width="9.1796875" style="306"/>
    <col min="5907" max="5907" width="11.26953125" style="306" customWidth="1"/>
    <col min="5908" max="5910" width="10.81640625" style="306" customWidth="1"/>
    <col min="5911" max="6141" width="9.1796875" style="306"/>
    <col min="6142" max="6142" width="1.26953125" style="306" customWidth="1"/>
    <col min="6143" max="6143" width="54" style="306" customWidth="1"/>
    <col min="6144" max="6144" width="10.26953125" style="306" customWidth="1"/>
    <col min="6145" max="6161" width="11.26953125" style="306" customWidth="1"/>
    <col min="6162" max="6162" width="9.1796875" style="306"/>
    <col min="6163" max="6163" width="11.26953125" style="306" customWidth="1"/>
    <col min="6164" max="6166" width="10.81640625" style="306" customWidth="1"/>
    <col min="6167" max="6397" width="9.1796875" style="306"/>
    <col min="6398" max="6398" width="1.26953125" style="306" customWidth="1"/>
    <col min="6399" max="6399" width="54" style="306" customWidth="1"/>
    <col min="6400" max="6400" width="10.26953125" style="306" customWidth="1"/>
    <col min="6401" max="6417" width="11.26953125" style="306" customWidth="1"/>
    <col min="6418" max="6418" width="9.1796875" style="306"/>
    <col min="6419" max="6419" width="11.26953125" style="306" customWidth="1"/>
    <col min="6420" max="6422" width="10.81640625" style="306" customWidth="1"/>
    <col min="6423" max="6653" width="9.1796875" style="306"/>
    <col min="6654" max="6654" width="1.26953125" style="306" customWidth="1"/>
    <col min="6655" max="6655" width="54" style="306" customWidth="1"/>
    <col min="6656" max="6656" width="10.26953125" style="306" customWidth="1"/>
    <col min="6657" max="6673" width="11.26953125" style="306" customWidth="1"/>
    <col min="6674" max="6674" width="9.1796875" style="306"/>
    <col min="6675" max="6675" width="11.26953125" style="306" customWidth="1"/>
    <col min="6676" max="6678" width="10.81640625" style="306" customWidth="1"/>
    <col min="6679" max="6909" width="9.1796875" style="306"/>
    <col min="6910" max="6910" width="1.26953125" style="306" customWidth="1"/>
    <col min="6911" max="6911" width="54" style="306" customWidth="1"/>
    <col min="6912" max="6912" width="10.26953125" style="306" customWidth="1"/>
    <col min="6913" max="6929" width="11.26953125" style="306" customWidth="1"/>
    <col min="6930" max="6930" width="9.1796875" style="306"/>
    <col min="6931" max="6931" width="11.26953125" style="306" customWidth="1"/>
    <col min="6932" max="6934" width="10.81640625" style="306" customWidth="1"/>
    <col min="6935" max="7165" width="9.1796875" style="306"/>
    <col min="7166" max="7166" width="1.26953125" style="306" customWidth="1"/>
    <col min="7167" max="7167" width="54" style="306" customWidth="1"/>
    <col min="7168" max="7168" width="10.26953125" style="306" customWidth="1"/>
    <col min="7169" max="7185" width="11.26953125" style="306" customWidth="1"/>
    <col min="7186" max="7186" width="9.1796875" style="306"/>
    <col min="7187" max="7187" width="11.26953125" style="306" customWidth="1"/>
    <col min="7188" max="7190" width="10.81640625" style="306" customWidth="1"/>
    <col min="7191" max="7421" width="9.1796875" style="306"/>
    <col min="7422" max="7422" width="1.26953125" style="306" customWidth="1"/>
    <col min="7423" max="7423" width="54" style="306" customWidth="1"/>
    <col min="7424" max="7424" width="10.26953125" style="306" customWidth="1"/>
    <col min="7425" max="7441" width="11.26953125" style="306" customWidth="1"/>
    <col min="7442" max="7442" width="9.1796875" style="306"/>
    <col min="7443" max="7443" width="11.26953125" style="306" customWidth="1"/>
    <col min="7444" max="7446" width="10.81640625" style="306" customWidth="1"/>
    <col min="7447" max="7677" width="9.1796875" style="306"/>
    <col min="7678" max="7678" width="1.26953125" style="306" customWidth="1"/>
    <col min="7679" max="7679" width="54" style="306" customWidth="1"/>
    <col min="7680" max="7680" width="10.26953125" style="306" customWidth="1"/>
    <col min="7681" max="7697" width="11.26953125" style="306" customWidth="1"/>
    <col min="7698" max="7698" width="9.1796875" style="306"/>
    <col min="7699" max="7699" width="11.26953125" style="306" customWidth="1"/>
    <col min="7700" max="7702" width="10.81640625" style="306" customWidth="1"/>
    <col min="7703" max="7933" width="9.1796875" style="306"/>
    <col min="7934" max="7934" width="1.26953125" style="306" customWidth="1"/>
    <col min="7935" max="7935" width="54" style="306" customWidth="1"/>
    <col min="7936" max="7936" width="10.26953125" style="306" customWidth="1"/>
    <col min="7937" max="7953" width="11.26953125" style="306" customWidth="1"/>
    <col min="7954" max="7954" width="9.1796875" style="306"/>
    <col min="7955" max="7955" width="11.26953125" style="306" customWidth="1"/>
    <col min="7956" max="7958" width="10.81640625" style="306" customWidth="1"/>
    <col min="7959" max="8189" width="9.1796875" style="306"/>
    <col min="8190" max="8190" width="1.26953125" style="306" customWidth="1"/>
    <col min="8191" max="8191" width="54" style="306" customWidth="1"/>
    <col min="8192" max="8192" width="10.26953125" style="306" customWidth="1"/>
    <col min="8193" max="8209" width="11.26953125" style="306" customWidth="1"/>
    <col min="8210" max="8210" width="9.1796875" style="306"/>
    <col min="8211" max="8211" width="11.26953125" style="306" customWidth="1"/>
    <col min="8212" max="8214" width="10.81640625" style="306" customWidth="1"/>
    <col min="8215" max="8445" width="9.1796875" style="306"/>
    <col min="8446" max="8446" width="1.26953125" style="306" customWidth="1"/>
    <col min="8447" max="8447" width="54" style="306" customWidth="1"/>
    <col min="8448" max="8448" width="10.26953125" style="306" customWidth="1"/>
    <col min="8449" max="8465" width="11.26953125" style="306" customWidth="1"/>
    <col min="8466" max="8466" width="9.1796875" style="306"/>
    <col min="8467" max="8467" width="11.26953125" style="306" customWidth="1"/>
    <col min="8468" max="8470" width="10.81640625" style="306" customWidth="1"/>
    <col min="8471" max="8701" width="9.1796875" style="306"/>
    <col min="8702" max="8702" width="1.26953125" style="306" customWidth="1"/>
    <col min="8703" max="8703" width="54" style="306" customWidth="1"/>
    <col min="8704" max="8704" width="10.26953125" style="306" customWidth="1"/>
    <col min="8705" max="8721" width="11.26953125" style="306" customWidth="1"/>
    <col min="8722" max="8722" width="9.1796875" style="306"/>
    <col min="8723" max="8723" width="11.26953125" style="306" customWidth="1"/>
    <col min="8724" max="8726" width="10.81640625" style="306" customWidth="1"/>
    <col min="8727" max="8957" width="9.1796875" style="306"/>
    <col min="8958" max="8958" width="1.26953125" style="306" customWidth="1"/>
    <col min="8959" max="8959" width="54" style="306" customWidth="1"/>
    <col min="8960" max="8960" width="10.26953125" style="306" customWidth="1"/>
    <col min="8961" max="8977" width="11.26953125" style="306" customWidth="1"/>
    <col min="8978" max="8978" width="9.1796875" style="306"/>
    <col min="8979" max="8979" width="11.26953125" style="306" customWidth="1"/>
    <col min="8980" max="8982" width="10.81640625" style="306" customWidth="1"/>
    <col min="8983" max="9213" width="9.1796875" style="306"/>
    <col min="9214" max="9214" width="1.26953125" style="306" customWidth="1"/>
    <col min="9215" max="9215" width="54" style="306" customWidth="1"/>
    <col min="9216" max="9216" width="10.26953125" style="306" customWidth="1"/>
    <col min="9217" max="9233" width="11.26953125" style="306" customWidth="1"/>
    <col min="9234" max="9234" width="9.1796875" style="306"/>
    <col min="9235" max="9235" width="11.26953125" style="306" customWidth="1"/>
    <col min="9236" max="9238" width="10.81640625" style="306" customWidth="1"/>
    <col min="9239" max="9469" width="9.1796875" style="306"/>
    <col min="9470" max="9470" width="1.26953125" style="306" customWidth="1"/>
    <col min="9471" max="9471" width="54" style="306" customWidth="1"/>
    <col min="9472" max="9472" width="10.26953125" style="306" customWidth="1"/>
    <col min="9473" max="9489" width="11.26953125" style="306" customWidth="1"/>
    <col min="9490" max="9490" width="9.1796875" style="306"/>
    <col min="9491" max="9491" width="11.26953125" style="306" customWidth="1"/>
    <col min="9492" max="9494" width="10.81640625" style="306" customWidth="1"/>
    <col min="9495" max="9725" width="9.1796875" style="306"/>
    <col min="9726" max="9726" width="1.26953125" style="306" customWidth="1"/>
    <col min="9727" max="9727" width="54" style="306" customWidth="1"/>
    <col min="9728" max="9728" width="10.26953125" style="306" customWidth="1"/>
    <col min="9729" max="9745" width="11.26953125" style="306" customWidth="1"/>
    <col min="9746" max="9746" width="9.1796875" style="306"/>
    <col min="9747" max="9747" width="11.26953125" style="306" customWidth="1"/>
    <col min="9748" max="9750" width="10.81640625" style="306" customWidth="1"/>
    <col min="9751" max="9981" width="9.1796875" style="306"/>
    <col min="9982" max="9982" width="1.26953125" style="306" customWidth="1"/>
    <col min="9983" max="9983" width="54" style="306" customWidth="1"/>
    <col min="9984" max="9984" width="10.26953125" style="306" customWidth="1"/>
    <col min="9985" max="10001" width="11.26953125" style="306" customWidth="1"/>
    <col min="10002" max="10002" width="9.1796875" style="306"/>
    <col min="10003" max="10003" width="11.26953125" style="306" customWidth="1"/>
    <col min="10004" max="10006" width="10.81640625" style="306" customWidth="1"/>
    <col min="10007" max="10237" width="9.1796875" style="306"/>
    <col min="10238" max="10238" width="1.26953125" style="306" customWidth="1"/>
    <col min="10239" max="10239" width="54" style="306" customWidth="1"/>
    <col min="10240" max="10240" width="10.26953125" style="306" customWidth="1"/>
    <col min="10241" max="10257" width="11.26953125" style="306" customWidth="1"/>
    <col min="10258" max="10258" width="9.1796875" style="306"/>
    <col min="10259" max="10259" width="11.26953125" style="306" customWidth="1"/>
    <col min="10260" max="10262" width="10.81640625" style="306" customWidth="1"/>
    <col min="10263" max="10493" width="9.1796875" style="306"/>
    <col min="10494" max="10494" width="1.26953125" style="306" customWidth="1"/>
    <col min="10495" max="10495" width="54" style="306" customWidth="1"/>
    <col min="10496" max="10496" width="10.26953125" style="306" customWidth="1"/>
    <col min="10497" max="10513" width="11.26953125" style="306" customWidth="1"/>
    <col min="10514" max="10514" width="9.1796875" style="306"/>
    <col min="10515" max="10515" width="11.26953125" style="306" customWidth="1"/>
    <col min="10516" max="10518" width="10.81640625" style="306" customWidth="1"/>
    <col min="10519" max="10749" width="9.1796875" style="306"/>
    <col min="10750" max="10750" width="1.26953125" style="306" customWidth="1"/>
    <col min="10751" max="10751" width="54" style="306" customWidth="1"/>
    <col min="10752" max="10752" width="10.26953125" style="306" customWidth="1"/>
    <col min="10753" max="10769" width="11.26953125" style="306" customWidth="1"/>
    <col min="10770" max="10770" width="9.1796875" style="306"/>
    <col min="10771" max="10771" width="11.26953125" style="306" customWidth="1"/>
    <col min="10772" max="10774" width="10.81640625" style="306" customWidth="1"/>
    <col min="10775" max="11005" width="9.1796875" style="306"/>
    <col min="11006" max="11006" width="1.26953125" style="306" customWidth="1"/>
    <col min="11007" max="11007" width="54" style="306" customWidth="1"/>
    <col min="11008" max="11008" width="10.26953125" style="306" customWidth="1"/>
    <col min="11009" max="11025" width="11.26953125" style="306" customWidth="1"/>
    <col min="11026" max="11026" width="9.1796875" style="306"/>
    <col min="11027" max="11027" width="11.26953125" style="306" customWidth="1"/>
    <col min="11028" max="11030" width="10.81640625" style="306" customWidth="1"/>
    <col min="11031" max="11261" width="9.1796875" style="306"/>
    <col min="11262" max="11262" width="1.26953125" style="306" customWidth="1"/>
    <col min="11263" max="11263" width="54" style="306" customWidth="1"/>
    <col min="11264" max="11264" width="10.26953125" style="306" customWidth="1"/>
    <col min="11265" max="11281" width="11.26953125" style="306" customWidth="1"/>
    <col min="11282" max="11282" width="9.1796875" style="306"/>
    <col min="11283" max="11283" width="11.26953125" style="306" customWidth="1"/>
    <col min="11284" max="11286" width="10.81640625" style="306" customWidth="1"/>
    <col min="11287" max="11517" width="9.1796875" style="306"/>
    <col min="11518" max="11518" width="1.26953125" style="306" customWidth="1"/>
    <col min="11519" max="11519" width="54" style="306" customWidth="1"/>
    <col min="11520" max="11520" width="10.26953125" style="306" customWidth="1"/>
    <col min="11521" max="11537" width="11.26953125" style="306" customWidth="1"/>
    <col min="11538" max="11538" width="9.1796875" style="306"/>
    <col min="11539" max="11539" width="11.26953125" style="306" customWidth="1"/>
    <col min="11540" max="11542" width="10.81640625" style="306" customWidth="1"/>
    <col min="11543" max="11773" width="9.1796875" style="306"/>
    <col min="11774" max="11774" width="1.26953125" style="306" customWidth="1"/>
    <col min="11775" max="11775" width="54" style="306" customWidth="1"/>
    <col min="11776" max="11776" width="10.26953125" style="306" customWidth="1"/>
    <col min="11777" max="11793" width="11.26953125" style="306" customWidth="1"/>
    <col min="11794" max="11794" width="9.1796875" style="306"/>
    <col min="11795" max="11795" width="11.26953125" style="306" customWidth="1"/>
    <col min="11796" max="11798" width="10.81640625" style="306" customWidth="1"/>
    <col min="11799" max="12029" width="9.1796875" style="306"/>
    <col min="12030" max="12030" width="1.26953125" style="306" customWidth="1"/>
    <col min="12031" max="12031" width="54" style="306" customWidth="1"/>
    <col min="12032" max="12032" width="10.26953125" style="306" customWidth="1"/>
    <col min="12033" max="12049" width="11.26953125" style="306" customWidth="1"/>
    <col min="12050" max="12050" width="9.1796875" style="306"/>
    <col min="12051" max="12051" width="11.26953125" style="306" customWidth="1"/>
    <col min="12052" max="12054" width="10.81640625" style="306" customWidth="1"/>
    <col min="12055" max="12285" width="9.1796875" style="306"/>
    <col min="12286" max="12286" width="1.26953125" style="306" customWidth="1"/>
    <col min="12287" max="12287" width="54" style="306" customWidth="1"/>
    <col min="12288" max="12288" width="10.26953125" style="306" customWidth="1"/>
    <col min="12289" max="12305" width="11.26953125" style="306" customWidth="1"/>
    <col min="12306" max="12306" width="9.1796875" style="306"/>
    <col min="12307" max="12307" width="11.26953125" style="306" customWidth="1"/>
    <col min="12308" max="12310" width="10.81640625" style="306" customWidth="1"/>
    <col min="12311" max="12541" width="9.1796875" style="306"/>
    <col min="12542" max="12542" width="1.26953125" style="306" customWidth="1"/>
    <col min="12543" max="12543" width="54" style="306" customWidth="1"/>
    <col min="12544" max="12544" width="10.26953125" style="306" customWidth="1"/>
    <col min="12545" max="12561" width="11.26953125" style="306" customWidth="1"/>
    <col min="12562" max="12562" width="9.1796875" style="306"/>
    <col min="12563" max="12563" width="11.26953125" style="306" customWidth="1"/>
    <col min="12564" max="12566" width="10.81640625" style="306" customWidth="1"/>
    <col min="12567" max="12797" width="9.1796875" style="306"/>
    <col min="12798" max="12798" width="1.26953125" style="306" customWidth="1"/>
    <col min="12799" max="12799" width="54" style="306" customWidth="1"/>
    <col min="12800" max="12800" width="10.26953125" style="306" customWidth="1"/>
    <col min="12801" max="12817" width="11.26953125" style="306" customWidth="1"/>
    <col min="12818" max="12818" width="9.1796875" style="306"/>
    <col min="12819" max="12819" width="11.26953125" style="306" customWidth="1"/>
    <col min="12820" max="12822" width="10.81640625" style="306" customWidth="1"/>
    <col min="12823" max="13053" width="9.1796875" style="306"/>
    <col min="13054" max="13054" width="1.26953125" style="306" customWidth="1"/>
    <col min="13055" max="13055" width="54" style="306" customWidth="1"/>
    <col min="13056" max="13056" width="10.26953125" style="306" customWidth="1"/>
    <col min="13057" max="13073" width="11.26953125" style="306" customWidth="1"/>
    <col min="13074" max="13074" width="9.1796875" style="306"/>
    <col min="13075" max="13075" width="11.26953125" style="306" customWidth="1"/>
    <col min="13076" max="13078" width="10.81640625" style="306" customWidth="1"/>
    <col min="13079" max="13309" width="9.1796875" style="306"/>
    <col min="13310" max="13310" width="1.26953125" style="306" customWidth="1"/>
    <col min="13311" max="13311" width="54" style="306" customWidth="1"/>
    <col min="13312" max="13312" width="10.26953125" style="306" customWidth="1"/>
    <col min="13313" max="13329" width="11.26953125" style="306" customWidth="1"/>
    <col min="13330" max="13330" width="9.1796875" style="306"/>
    <col min="13331" max="13331" width="11.26953125" style="306" customWidth="1"/>
    <col min="13332" max="13334" width="10.81640625" style="306" customWidth="1"/>
    <col min="13335" max="13565" width="9.1796875" style="306"/>
    <col min="13566" max="13566" width="1.26953125" style="306" customWidth="1"/>
    <col min="13567" max="13567" width="54" style="306" customWidth="1"/>
    <col min="13568" max="13568" width="10.26953125" style="306" customWidth="1"/>
    <col min="13569" max="13585" width="11.26953125" style="306" customWidth="1"/>
    <col min="13586" max="13586" width="9.1796875" style="306"/>
    <col min="13587" max="13587" width="11.26953125" style="306" customWidth="1"/>
    <col min="13588" max="13590" width="10.81640625" style="306" customWidth="1"/>
    <col min="13591" max="13821" width="9.1796875" style="306"/>
    <col min="13822" max="13822" width="1.26953125" style="306" customWidth="1"/>
    <col min="13823" max="13823" width="54" style="306" customWidth="1"/>
    <col min="13824" max="13824" width="10.26953125" style="306" customWidth="1"/>
    <col min="13825" max="13841" width="11.26953125" style="306" customWidth="1"/>
    <col min="13842" max="13842" width="9.1796875" style="306"/>
    <col min="13843" max="13843" width="11.26953125" style="306" customWidth="1"/>
    <col min="13844" max="13846" width="10.81640625" style="306" customWidth="1"/>
    <col min="13847" max="14077" width="9.1796875" style="306"/>
    <col min="14078" max="14078" width="1.26953125" style="306" customWidth="1"/>
    <col min="14079" max="14079" width="54" style="306" customWidth="1"/>
    <col min="14080" max="14080" width="10.26953125" style="306" customWidth="1"/>
    <col min="14081" max="14097" width="11.26953125" style="306" customWidth="1"/>
    <col min="14098" max="14098" width="9.1796875" style="306"/>
    <col min="14099" max="14099" width="11.26953125" style="306" customWidth="1"/>
    <col min="14100" max="14102" width="10.81640625" style="306" customWidth="1"/>
    <col min="14103" max="14333" width="9.1796875" style="306"/>
    <col min="14334" max="14334" width="1.26953125" style="306" customWidth="1"/>
    <col min="14335" max="14335" width="54" style="306" customWidth="1"/>
    <col min="14336" max="14336" width="10.26953125" style="306" customWidth="1"/>
    <col min="14337" max="14353" width="11.26953125" style="306" customWidth="1"/>
    <col min="14354" max="14354" width="9.1796875" style="306"/>
    <col min="14355" max="14355" width="11.26953125" style="306" customWidth="1"/>
    <col min="14356" max="14358" width="10.81640625" style="306" customWidth="1"/>
    <col min="14359" max="14589" width="9.1796875" style="306"/>
    <col min="14590" max="14590" width="1.26953125" style="306" customWidth="1"/>
    <col min="14591" max="14591" width="54" style="306" customWidth="1"/>
    <col min="14592" max="14592" width="10.26953125" style="306" customWidth="1"/>
    <col min="14593" max="14609" width="11.26953125" style="306" customWidth="1"/>
    <col min="14610" max="14610" width="9.1796875" style="306"/>
    <col min="14611" max="14611" width="11.26953125" style="306" customWidth="1"/>
    <col min="14612" max="14614" width="10.81640625" style="306" customWidth="1"/>
    <col min="14615" max="14845" width="9.1796875" style="306"/>
    <col min="14846" max="14846" width="1.26953125" style="306" customWidth="1"/>
    <col min="14847" max="14847" width="54" style="306" customWidth="1"/>
    <col min="14848" max="14848" width="10.26953125" style="306" customWidth="1"/>
    <col min="14849" max="14865" width="11.26953125" style="306" customWidth="1"/>
    <col min="14866" max="14866" width="9.1796875" style="306"/>
    <col min="14867" max="14867" width="11.26953125" style="306" customWidth="1"/>
    <col min="14868" max="14870" width="10.81640625" style="306" customWidth="1"/>
    <col min="14871" max="15101" width="9.1796875" style="306"/>
    <col min="15102" max="15102" width="1.26953125" style="306" customWidth="1"/>
    <col min="15103" max="15103" width="54" style="306" customWidth="1"/>
    <col min="15104" max="15104" width="10.26953125" style="306" customWidth="1"/>
    <col min="15105" max="15121" width="11.26953125" style="306" customWidth="1"/>
    <col min="15122" max="15122" width="9.1796875" style="306"/>
    <col min="15123" max="15123" width="11.26953125" style="306" customWidth="1"/>
    <col min="15124" max="15126" width="10.81640625" style="306" customWidth="1"/>
    <col min="15127" max="15357" width="9.1796875" style="306"/>
    <col min="15358" max="15358" width="1.26953125" style="306" customWidth="1"/>
    <col min="15359" max="15359" width="54" style="306" customWidth="1"/>
    <col min="15360" max="15360" width="10.26953125" style="306" customWidth="1"/>
    <col min="15361" max="15377" width="11.26953125" style="306" customWidth="1"/>
    <col min="15378" max="15378" width="9.1796875" style="306"/>
    <col min="15379" max="15379" width="11.26953125" style="306" customWidth="1"/>
    <col min="15380" max="15382" width="10.81640625" style="306" customWidth="1"/>
    <col min="15383" max="15613" width="9.1796875" style="306"/>
    <col min="15614" max="15614" width="1.26953125" style="306" customWidth="1"/>
    <col min="15615" max="15615" width="54" style="306" customWidth="1"/>
    <col min="15616" max="15616" width="10.26953125" style="306" customWidth="1"/>
    <col min="15617" max="15633" width="11.26953125" style="306" customWidth="1"/>
    <col min="15634" max="15634" width="9.1796875" style="306"/>
    <col min="15635" max="15635" width="11.26953125" style="306" customWidth="1"/>
    <col min="15636" max="15638" width="10.81640625" style="306" customWidth="1"/>
    <col min="15639" max="15869" width="9.1796875" style="306"/>
    <col min="15870" max="15870" width="1.26953125" style="306" customWidth="1"/>
    <col min="15871" max="15871" width="54" style="306" customWidth="1"/>
    <col min="15872" max="15872" width="10.26953125" style="306" customWidth="1"/>
    <col min="15873" max="15889" width="11.26953125" style="306" customWidth="1"/>
    <col min="15890" max="15890" width="9.1796875" style="306"/>
    <col min="15891" max="15891" width="11.26953125" style="306" customWidth="1"/>
    <col min="15892" max="15894" width="10.81640625" style="306" customWidth="1"/>
    <col min="15895" max="16125" width="9.1796875" style="306"/>
    <col min="16126" max="16126" width="1.26953125" style="306" customWidth="1"/>
    <col min="16127" max="16127" width="54" style="306" customWidth="1"/>
    <col min="16128" max="16128" width="10.26953125" style="306" customWidth="1"/>
    <col min="16129" max="16145" width="11.26953125" style="306" customWidth="1"/>
    <col min="16146" max="16146" width="9.1796875" style="306"/>
    <col min="16147" max="16147" width="11.26953125" style="306" customWidth="1"/>
    <col min="16148" max="16150" width="10.81640625" style="306" customWidth="1"/>
    <col min="16151" max="16384" width="9.1796875" style="306"/>
  </cols>
  <sheetData>
    <row r="2" spans="2:40" ht="24.5">
      <c r="B2" s="611" t="s">
        <v>342</v>
      </c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3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2"/>
    </row>
    <row r="3" spans="2:40" ht="22"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P3" s="612"/>
      <c r="Q3" s="612"/>
      <c r="R3" s="612"/>
      <c r="S3" s="612"/>
      <c r="T3" s="232"/>
      <c r="U3" s="232"/>
      <c r="V3" s="232"/>
      <c r="W3" s="232"/>
      <c r="X3" s="232"/>
      <c r="Y3" s="232"/>
      <c r="Z3" s="232"/>
      <c r="AA3" s="232"/>
    </row>
    <row r="4" spans="2:40">
      <c r="B4" s="233"/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2"/>
      <c r="U4" s="232"/>
      <c r="V4" s="232"/>
      <c r="W4" s="232"/>
      <c r="X4" s="232"/>
      <c r="Y4" s="232"/>
      <c r="Z4" s="232"/>
      <c r="AA4" s="232"/>
    </row>
    <row r="5" spans="2:40" ht="18.5">
      <c r="B5" s="614" t="s">
        <v>159</v>
      </c>
      <c r="C5" s="235"/>
      <c r="D5" s="235"/>
      <c r="E5" s="235"/>
      <c r="F5" s="235"/>
      <c r="G5" s="235"/>
      <c r="H5" s="234"/>
      <c r="I5" s="234"/>
      <c r="J5" s="234"/>
      <c r="K5" s="234"/>
      <c r="L5" s="234"/>
      <c r="M5" s="234"/>
      <c r="N5" s="234"/>
      <c r="O5" s="234"/>
      <c r="P5" s="235"/>
      <c r="Q5" s="235"/>
      <c r="R5" s="235"/>
      <c r="S5" s="235"/>
      <c r="T5" s="233"/>
      <c r="U5" s="233"/>
      <c r="V5" s="233"/>
      <c r="W5" s="233"/>
      <c r="X5" s="233"/>
      <c r="Y5" s="233"/>
      <c r="Z5" s="950">
        <v>44348</v>
      </c>
      <c r="AA5" s="951"/>
    </row>
    <row r="6" spans="2:40" ht="0.75" customHeight="1">
      <c r="B6" s="615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3"/>
      <c r="U6" s="233"/>
      <c r="V6" s="233"/>
      <c r="W6" s="233"/>
      <c r="X6" s="233"/>
      <c r="Y6" s="233"/>
      <c r="Z6" s="233"/>
      <c r="AA6" s="233"/>
    </row>
    <row r="7" spans="2:40" ht="21">
      <c r="B7" s="616" t="s">
        <v>56</v>
      </c>
      <c r="C7" s="862" t="s">
        <v>213</v>
      </c>
      <c r="D7" s="270" t="s">
        <v>314</v>
      </c>
      <c r="E7" s="270" t="s">
        <v>317</v>
      </c>
      <c r="F7" s="270" t="s">
        <v>343</v>
      </c>
      <c r="G7" s="270" t="s">
        <v>323</v>
      </c>
      <c r="H7" s="270" t="s">
        <v>302</v>
      </c>
      <c r="I7" s="270" t="s">
        <v>305</v>
      </c>
      <c r="J7" s="270" t="s">
        <v>344</v>
      </c>
      <c r="K7" s="270" t="s">
        <v>311</v>
      </c>
      <c r="L7" s="270" t="s">
        <v>168</v>
      </c>
      <c r="M7" s="270" t="s">
        <v>171</v>
      </c>
      <c r="N7" s="270" t="s">
        <v>345</v>
      </c>
      <c r="O7" s="270" t="s">
        <v>177</v>
      </c>
      <c r="P7" s="270" t="s">
        <v>180</v>
      </c>
      <c r="Q7" s="270" t="s">
        <v>334</v>
      </c>
      <c r="R7" s="270" t="s">
        <v>346</v>
      </c>
      <c r="S7" s="778" t="s">
        <v>389</v>
      </c>
      <c r="T7" s="778" t="s">
        <v>401</v>
      </c>
      <c r="U7" s="778" t="s">
        <v>430</v>
      </c>
      <c r="V7" s="778" t="s">
        <v>431</v>
      </c>
      <c r="W7" s="778" t="s">
        <v>432</v>
      </c>
      <c r="X7" s="778" t="s">
        <v>444</v>
      </c>
      <c r="Y7" s="778" t="s">
        <v>458</v>
      </c>
      <c r="Z7" s="790" t="s">
        <v>347</v>
      </c>
      <c r="AA7" s="790" t="s">
        <v>459</v>
      </c>
    </row>
    <row r="8" spans="2:40">
      <c r="B8" s="856" t="s">
        <v>445</v>
      </c>
      <c r="C8" s="881">
        <f>AVERAGE(C9:C15)</f>
        <v>466.92662439628111</v>
      </c>
      <c r="D8" s="881">
        <f t="shared" ref="D8:X8" si="0">AVERAGE(D9:D15)</f>
        <v>618.47232429291728</v>
      </c>
      <c r="E8" s="881">
        <f t="shared" si="0"/>
        <v>422.04256983256306</v>
      </c>
      <c r="F8" s="881">
        <f t="shared" si="0"/>
        <v>614.42115837171957</v>
      </c>
      <c r="G8" s="881">
        <f t="shared" si="0"/>
        <v>212.77044508792486</v>
      </c>
      <c r="H8" s="881">
        <f t="shared" si="0"/>
        <v>667.22147710675733</v>
      </c>
      <c r="I8" s="881">
        <f t="shared" si="0"/>
        <v>1388.092568486851</v>
      </c>
      <c r="J8" s="881">
        <f t="shared" si="0"/>
        <v>361.1455893304913</v>
      </c>
      <c r="K8" s="881">
        <f t="shared" si="0"/>
        <v>0</v>
      </c>
      <c r="L8" s="881">
        <f t="shared" si="0"/>
        <v>599.099916130054</v>
      </c>
      <c r="M8" s="881">
        <f t="shared" si="0"/>
        <v>1404.8511564107296</v>
      </c>
      <c r="N8" s="881">
        <f t="shared" si="0"/>
        <v>1151.4821321214529</v>
      </c>
      <c r="O8" s="881">
        <f t="shared" si="0"/>
        <v>1106.3011162020409</v>
      </c>
      <c r="P8" s="881">
        <f t="shared" si="0"/>
        <v>894.9559800759281</v>
      </c>
      <c r="Q8" s="881">
        <f t="shared" si="0"/>
        <v>1397.1623371334179</v>
      </c>
      <c r="R8" s="881">
        <f t="shared" si="0"/>
        <v>1332.4156246752361</v>
      </c>
      <c r="S8" s="881">
        <f t="shared" si="0"/>
        <v>1380.5482648352431</v>
      </c>
      <c r="T8" s="881">
        <f t="shared" si="0"/>
        <v>711.63085383406155</v>
      </c>
      <c r="U8" s="881">
        <f t="shared" si="0"/>
        <v>55.48964229633723</v>
      </c>
      <c r="V8" s="881">
        <f t="shared" si="0"/>
        <v>274.07023447238782</v>
      </c>
      <c r="W8" s="881">
        <f t="shared" si="0"/>
        <v>482.72850029997318</v>
      </c>
      <c r="X8" s="881">
        <f t="shared" si="0"/>
        <v>1001.1191261082402</v>
      </c>
      <c r="Y8" s="881">
        <f>AVERAGE(Y9:Y15)</f>
        <v>880.2043650023295</v>
      </c>
      <c r="Z8" s="881">
        <f>Y8/X8*100-100</f>
        <v>-12.077959350947154</v>
      </c>
      <c r="AA8" s="923">
        <f>Y8/U8*100-100</f>
        <v>1486.2498451543095</v>
      </c>
      <c r="AB8" s="307">
        <f>Y8-X8</f>
        <v>-120.91476110591066</v>
      </c>
      <c r="AC8" s="307">
        <f>Y8-U8</f>
        <v>824.71472270599224</v>
      </c>
    </row>
    <row r="9" spans="2:40" ht="25.5" customHeight="1">
      <c r="B9" s="189" t="s">
        <v>9</v>
      </c>
      <c r="C9" s="837">
        <f>AVERAGE(D9:G9)</f>
        <v>74.287980915202766</v>
      </c>
      <c r="D9" s="269">
        <f>AVERAGE('Weekly Analysis'!B7:G7)</f>
        <v>51.843458035133381</v>
      </c>
      <c r="E9" s="269">
        <f>AVERAGE('Weekly Analysis'!H7:M7)</f>
        <v>72.595466276295824</v>
      </c>
      <c r="F9" s="269">
        <f>AVERAGE('Weekly Analysis'!N7:S7)</f>
        <v>167.70696486662328</v>
      </c>
      <c r="G9" s="269">
        <f>AVERAGE('Weekly Analysis'!T7:Y7)</f>
        <v>5.0060344827586203</v>
      </c>
      <c r="H9" s="269">
        <f>AVERAGE('Weekly Analysis'!Z7:AE7)</f>
        <v>159.29681197137282</v>
      </c>
      <c r="I9" s="269">
        <f>AVERAGE('Weekly Analysis'!AF7:AK7)</f>
        <v>545.03172196920411</v>
      </c>
      <c r="J9" s="269">
        <f>AVERAGE('Weekly Analysis'!AL7:AQ7)</f>
        <v>251.49682932118847</v>
      </c>
      <c r="K9" s="269">
        <f>AVERAGE('Weekly Analysis'!AR7:AW7)</f>
        <v>0</v>
      </c>
      <c r="L9" s="245">
        <f>AVERAGE('Weekly Analysis'!AX7:BC7)</f>
        <v>100.45445022771634</v>
      </c>
      <c r="M9" s="247">
        <f>AVERAGE('Weekly Analysis'!BD7:BI7)</f>
        <v>468.57444697462591</v>
      </c>
      <c r="N9" s="269">
        <f>AVERAGE('Weekly Analysis'!BJ7:BO7)</f>
        <v>648.02887117761873</v>
      </c>
      <c r="O9" s="269">
        <f>AVERAGE('Weekly Analysis'!BP7:BU7)</f>
        <v>677.92205920624599</v>
      </c>
      <c r="P9" s="269">
        <f>AVERAGE('Weekly Analysis'!BV7:CA7)</f>
        <v>66.416572327044022</v>
      </c>
      <c r="Q9" s="269">
        <f>AVERAGE('Weekly Analysis'!CB7:CG7)</f>
        <v>326.05660594231188</v>
      </c>
      <c r="R9" s="269">
        <f>AVERAGE('Weekly Analysis'!CH7:CM7)</f>
        <v>647.30107568857079</v>
      </c>
      <c r="S9" s="777">
        <f>AVERAGE('Weekly Analysis'!CN7:CS7)</f>
        <v>854.81161353285609</v>
      </c>
      <c r="T9" s="777">
        <f>AVERAGE('Weekly Analysis'!CT7:CY7)</f>
        <v>58.384671437865983</v>
      </c>
      <c r="U9" s="789">
        <f>AVERAGE('Weekly Analysis'!CZ7:DE7)</f>
        <v>18.695558447191498</v>
      </c>
      <c r="V9" s="789">
        <f>AVERAGE('Weekly Analysis'!DF7:DK7)</f>
        <v>205.45085664714813</v>
      </c>
      <c r="W9" s="789">
        <f>AVERAGE('Weekly Analysis'!DL7:DQ7)</f>
        <v>385.85734530249721</v>
      </c>
      <c r="X9" s="789">
        <f>AVERAGE('Weekly Analysis'!DR7:DW7)</f>
        <v>369.44218824549989</v>
      </c>
      <c r="Y9" s="789">
        <f>AVERAGE('Weekly Analysis'!DX7:EC7)</f>
        <v>500.62253741054002</v>
      </c>
      <c r="Z9" s="789">
        <f>Y9/X9*100-100</f>
        <v>35.507679777456502</v>
      </c>
      <c r="AA9" s="777">
        <f>Y9/U9*100-100</f>
        <v>2577.7618803130486</v>
      </c>
    </row>
    <row r="10" spans="2:40" ht="25.5" customHeight="1">
      <c r="B10" s="189" t="s">
        <v>12</v>
      </c>
      <c r="C10" s="837">
        <f>AVERAGE(D10:G10)</f>
        <v>550.12773998044963</v>
      </c>
      <c r="D10" s="269">
        <f>AVERAGE('Weekly Analysis'!B8:G8)</f>
        <v>294.42253372434016</v>
      </c>
      <c r="E10" s="269">
        <f>AVERAGE('Weekly Analysis'!H8:M8)</f>
        <v>655.916007820137</v>
      </c>
      <c r="F10" s="269">
        <f>AVERAGE('Weekly Analysis'!N8:S8)</f>
        <v>842.56369110459434</v>
      </c>
      <c r="G10" s="269">
        <f>AVERAGE('Weekly Analysis'!T8:Y8)</f>
        <v>407.60872727272726</v>
      </c>
      <c r="H10" s="269">
        <f>AVERAGE('Weekly Analysis'!Z8:AE8)</f>
        <v>684.88023851417393</v>
      </c>
      <c r="I10" s="269">
        <f>AVERAGE('Weekly Analysis'!AF8:AK8)</f>
        <v>1030.2267565982404</v>
      </c>
      <c r="J10" s="269">
        <f>AVERAGE('Weekly Analysis'!AL8:AQ8)</f>
        <v>423.3523049853373</v>
      </c>
      <c r="K10" s="269">
        <f>AVERAGE('Weekly Analysis'!AR8:AW8)</f>
        <v>0</v>
      </c>
      <c r="L10" s="245">
        <f>AVERAGE('Weekly Analysis'!AX8:BC8)</f>
        <v>773.37790029325515</v>
      </c>
      <c r="M10" s="247">
        <f>AVERAGE('Weekly Analysis'!BD8:BI8)</f>
        <v>556.05429912023453</v>
      </c>
      <c r="N10" s="269">
        <f>AVERAGE('Weekly Analysis'!BJ8:BO8)</f>
        <v>875.93797067448679</v>
      </c>
      <c r="O10" s="269">
        <f>AVERAGE('Weekly Analysis'!BP8:BU8)</f>
        <v>1084.1270928641252</v>
      </c>
      <c r="P10" s="269">
        <f>AVERAGE('Weekly Analysis'!BV8:CA8)</f>
        <v>720.2524105571847</v>
      </c>
      <c r="Q10" s="269">
        <f>AVERAGE('Weekly Analysis'!CB8:CG8)</f>
        <v>1228.4480742912999</v>
      </c>
      <c r="R10" s="269">
        <f>AVERAGE('Weekly Analysis'!CH8:CM8)</f>
        <v>571.60685826001952</v>
      </c>
      <c r="S10" s="777">
        <f>AVERAGE('Weekly Analysis'!CP8:CS8)</f>
        <v>539.49131964809385</v>
      </c>
      <c r="T10" s="777">
        <f>AVERAGE('Weekly Analysis'!CT8:CY8)</f>
        <v>406.67978494623657</v>
      </c>
      <c r="U10" s="789">
        <f>AVERAGE('Weekly Analysis'!CZ8:DE8)</f>
        <v>34.288602150537635</v>
      </c>
      <c r="V10" s="789">
        <f>AVERAGE('Weekly Analysis'!DF8:DK8)</f>
        <v>76.634834799608996</v>
      </c>
      <c r="W10" s="789">
        <f>AVERAGE('Weekly Analysis'!DL8:DQ8)</f>
        <v>64.137739186971274</v>
      </c>
      <c r="X10" s="789">
        <f>AVERAGE('Weekly Analysis'!DR8:DW8)</f>
        <v>318.97724731182797</v>
      </c>
      <c r="Y10" s="789">
        <f>AVERAGE('Weekly Analysis'!DX8:EC8)</f>
        <v>488.14586901270769</v>
      </c>
      <c r="Z10" s="789">
        <f t="shared" ref="Z10:Z13" si="1">Y10/X10*100-100</f>
        <v>53.03469859575992</v>
      </c>
      <c r="AA10" s="777">
        <f>Y10/U10*100-100</f>
        <v>1323.6388723856267</v>
      </c>
    </row>
    <row r="11" spans="2:40" s="178" customFormat="1" ht="25.5" customHeight="1">
      <c r="B11" s="813" t="s">
        <v>15</v>
      </c>
      <c r="C11" s="814">
        <f t="shared" ref="C11:C30" si="2">AVERAGE(D11:G11)</f>
        <v>534.45374680796021</v>
      </c>
      <c r="D11" s="815">
        <f>AVERAGE('Weekly Analysis'!B9:G9)</f>
        <v>672.40611437346035</v>
      </c>
      <c r="E11" s="815">
        <f>AVERAGE('Weekly Analysis'!H9:M9)</f>
        <v>512.33969778272751</v>
      </c>
      <c r="F11" s="815">
        <f>AVERAGE('Weekly Analysis'!N9:S9)</f>
        <v>804.31387960806808</v>
      </c>
      <c r="G11" s="815">
        <f>AVERAGE('Weekly Analysis'!T9:Y9)</f>
        <v>148.75529546758466</v>
      </c>
      <c r="H11" s="815">
        <f>AVERAGE('Weekly Analysis'!Z9:AE9)</f>
        <v>895.88559177888021</v>
      </c>
      <c r="I11" s="815">
        <f>AVERAGE('Weekly Analysis'!AF9:AK9)</f>
        <v>1860.4837614885312</v>
      </c>
      <c r="J11" s="815">
        <f>AVERAGE('Weekly Analysis'!AL9:AQ9)</f>
        <v>495.68209639679168</v>
      </c>
      <c r="K11" s="815">
        <f>AVERAGE('Weekly Analysis'!AR9:AW9)</f>
        <v>0</v>
      </c>
      <c r="L11" s="816">
        <f>AVERAGE('Weekly Analysis'!AX9:BC9)</f>
        <v>554.08056562384002</v>
      </c>
      <c r="M11" s="817">
        <f>AVERAGE('Weekly Analysis'!BD9:BI9)</f>
        <v>1114.5337882060455</v>
      </c>
      <c r="N11" s="815">
        <f>AVERAGE('Weekly Analysis'!BJ9:BO9)</f>
        <v>758.90528163072474</v>
      </c>
      <c r="O11" s="815">
        <f>AVERAGE('Weekly Analysis'!BP9:BU9)</f>
        <v>888.78041690571808</v>
      </c>
      <c r="P11" s="815">
        <f>AVERAGE('Weekly Analysis'!BV9:CA9)</f>
        <v>858.57170868347339</v>
      </c>
      <c r="Q11" s="815">
        <f>AVERAGE('Weekly Analysis'!CB9:CG9)</f>
        <v>755.5237362334492</v>
      </c>
      <c r="R11" s="815">
        <f>AVERAGE('Weekly Analysis'!CH9:CM9)</f>
        <v>1138.0009603118356</v>
      </c>
      <c r="S11" s="818">
        <f>AVERAGE('Weekly Analysis'!CN9:CS9)</f>
        <v>287.30917530064238</v>
      </c>
      <c r="T11" s="818">
        <f>AVERAGE('Weekly Analysis'!CT9:CY9)</f>
        <v>326.16688625651068</v>
      </c>
      <c r="U11" s="819">
        <f>AVERAGE('Weekly Analysis'!CZ9:DE9)</f>
        <v>78.722869404790018</v>
      </c>
      <c r="V11" s="819">
        <f>AVERAGE('Weekly Analysis'!DF9:DK9)</f>
        <v>303.6889003633583</v>
      </c>
      <c r="W11" s="819">
        <f>AVERAGE('Weekly Analysis'!DL9:DQ9)</f>
        <v>411.90670553218683</v>
      </c>
      <c r="X11" s="789">
        <f>AVERAGE('Weekly Analysis'!DR9:DW9)</f>
        <v>892.5622906190589</v>
      </c>
      <c r="Y11" s="789">
        <f>AVERAGE('Weekly Analysis'!DX9:EC9)</f>
        <v>988.58391718133043</v>
      </c>
      <c r="Z11" s="789">
        <f t="shared" si="1"/>
        <v>10.757974829484823</v>
      </c>
      <c r="AA11" s="777">
        <f t="shared" ref="AA11:AA14" si="3">Y11/U11*100-100</f>
        <v>1155.7772914730399</v>
      </c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>
        <f>2500/2</f>
        <v>1250</v>
      </c>
      <c r="AM11" s="306"/>
      <c r="AN11" s="306"/>
    </row>
    <row r="12" spans="2:40" ht="25.5" customHeight="1">
      <c r="B12" s="189" t="s">
        <v>19</v>
      </c>
      <c r="C12" s="837">
        <f t="shared" si="2"/>
        <v>954.40802630274175</v>
      </c>
      <c r="D12" s="269">
        <f>AVERAGE('Weekly Analysis'!B10:G10)</f>
        <v>1581.6275901135405</v>
      </c>
      <c r="E12" s="269">
        <f>AVERAGE('Weekly Analysis'!H10:M10)</f>
        <v>513.55199439734236</v>
      </c>
      <c r="F12" s="269">
        <f>AVERAGE('Weekly Analysis'!N10:S10)</f>
        <v>1177.1028791710048</v>
      </c>
      <c r="G12" s="269">
        <f>AVERAGE('Weekly Analysis'!T10:Y10)</f>
        <v>545.34964152907924</v>
      </c>
      <c r="H12" s="269">
        <f>AVERAGE('Weekly Analysis'!Z10:AE10)</f>
        <v>1233.8216366701372</v>
      </c>
      <c r="I12" s="269">
        <f>AVERAGE('Weekly Analysis'!AF10:AK10)</f>
        <v>1618.5295847587879</v>
      </c>
      <c r="J12" s="269">
        <f>AVERAGE('Weekly Analysis'!AL10:AQ10)</f>
        <v>555.37094575834192</v>
      </c>
      <c r="K12" s="269">
        <f>AVERAGE('Weekly Analysis'!AR10:AW10)</f>
        <v>0</v>
      </c>
      <c r="L12" s="245">
        <f>AVERAGE('Weekly Analysis'!AX10:BC10)</f>
        <v>972.02514229758526</v>
      </c>
      <c r="M12" s="247">
        <f>AVERAGE('Weekly Analysis'!BD10:BI10)</f>
        <v>2257.5455020080321</v>
      </c>
      <c r="N12" s="269">
        <f>AVERAGE('Weekly Analysis'!BJ10:BO10)</f>
        <v>1553.8423357628042</v>
      </c>
      <c r="O12" s="269">
        <f>AVERAGE('Weekly Analysis'!BP10:BU10)</f>
        <v>2157.8426305220878</v>
      </c>
      <c r="P12" s="269">
        <f>AVERAGE('Weekly Analysis'!BV10:CA10)</f>
        <v>1981.7242302543507</v>
      </c>
      <c r="Q12" s="269">
        <f>AVERAGE('Weekly Analysis'!CB10:CG10)</f>
        <v>1043.1089617730179</v>
      </c>
      <c r="R12" s="269">
        <f>AVERAGE('Weekly Analysis'!CH10:CM10)</f>
        <v>971.19227006792607</v>
      </c>
      <c r="S12" s="777">
        <f>AVERAGE('Weekly Analysis'!CN10:CS10)</f>
        <v>2919.6500099162076</v>
      </c>
      <c r="T12" s="777">
        <f>AVERAGE('Weekly Analysis'!CT10:CY10)</f>
        <v>1254.0100701571716</v>
      </c>
      <c r="U12" s="789">
        <f>AVERAGE('Weekly Analysis'!CZ10:DE10)</f>
        <v>34.059335941935807</v>
      </c>
      <c r="V12" s="789">
        <f>AVERAGE('Weekly Analysis'!DF10:DK10)</f>
        <v>724.37341687738592</v>
      </c>
      <c r="W12" s="789">
        <f>AVERAGE('Weekly Analysis'!DL10:DQ10)</f>
        <v>1567.3344502893449</v>
      </c>
      <c r="X12" s="789">
        <f>AVERAGE('Weekly Analysis'!DR10:DW10)</f>
        <v>1498.8951767564079</v>
      </c>
      <c r="Y12" s="789">
        <f>AVERAGE('Weekly Analysis'!DX10:EC10)</f>
        <v>404.12072884129111</v>
      </c>
      <c r="Z12" s="789">
        <f>Y12/X12*100-100</f>
        <v>-73.038759807353316</v>
      </c>
      <c r="AA12" s="777">
        <f>Y12/U12*100-100</f>
        <v>1086.5196947181653</v>
      </c>
    </row>
    <row r="13" spans="2:40" s="178" customFormat="1" ht="25.5" customHeight="1">
      <c r="B13" s="813" t="s">
        <v>353</v>
      </c>
      <c r="C13" s="888">
        <f t="shared" si="2"/>
        <v>249.94071893667865</v>
      </c>
      <c r="D13" s="889">
        <f>AVERAGE('Weekly Analysis'!B11:G11)</f>
        <v>228.86554480286739</v>
      </c>
      <c r="E13" s="889">
        <f>AVERAGE('Weekly Analysis'!H11:M11)</f>
        <v>239.81278255675034</v>
      </c>
      <c r="F13" s="889">
        <f>AVERAGE('Weekly Analysis'!N11:S11)</f>
        <v>517.25511469534058</v>
      </c>
      <c r="G13" s="889">
        <f>AVERAGE('Weekly Analysis'!T11:Y11)</f>
        <v>13.829433691756272</v>
      </c>
      <c r="H13" s="889">
        <f>AVERAGE('Weekly Analysis'!Z11:AE11)</f>
        <v>503.99668578255677</v>
      </c>
      <c r="I13" s="889">
        <f>AVERAGE('Weekly Analysis'!AF11:AK11)</f>
        <v>1051.4956093189965</v>
      </c>
      <c r="J13" s="889">
        <f>AVERAGE('Weekly Analysis'!AL11:AQ11)</f>
        <v>142.64905854241337</v>
      </c>
      <c r="K13" s="889">
        <f>AVERAGE('Weekly Analysis'!AR11:AW11)</f>
        <v>0</v>
      </c>
      <c r="L13" s="890">
        <f>AVERAGE('Weekly Analysis'!AX11:BC11)</f>
        <v>424.10708482676228</v>
      </c>
      <c r="M13" s="891">
        <f>AVERAGE('Weekly Analysis'!BD11:BI11)</f>
        <v>1539.2928745519714</v>
      </c>
      <c r="N13" s="889">
        <f>AVERAGE('Weekly Analysis'!BJ11:BO11)</f>
        <v>998.6873894862606</v>
      </c>
      <c r="O13" s="889">
        <f>AVERAGE('Weekly Analysis'!BP11:BU11)</f>
        <v>459.96076463560331</v>
      </c>
      <c r="P13" s="889">
        <f>AVERAGE('Weekly Analysis'!BV11:CA11)</f>
        <v>230.31292831541222</v>
      </c>
      <c r="Q13" s="889">
        <f>AVERAGE('Weekly Analysis'!CB11:CG11)</f>
        <v>2087.670990442055</v>
      </c>
      <c r="R13" s="889">
        <f>AVERAGE('Weekly Analysis'!CH11:CM11)</f>
        <v>1650.7779426523296</v>
      </c>
      <c r="S13" s="892">
        <f>AVERAGE('Weekly Analysis'!CN11:CS11)</f>
        <v>307.77819832735963</v>
      </c>
      <c r="T13" s="892">
        <f>AVERAGE('Weekly Analysis'!CT11:CY11)</f>
        <v>403.60970848267624</v>
      </c>
      <c r="U13" s="893">
        <f>AVERAGE('Weekly Analysis'!CZ11:DE11)</f>
        <v>85.047304659498209</v>
      </c>
      <c r="V13" s="893">
        <f>AVERAGE('Weekly Analysis'!DF11:DK11)</f>
        <v>194.7289390681004</v>
      </c>
      <c r="W13" s="893">
        <f>AVERAGE('Weekly Analysis'!DL11:DQ11)</f>
        <v>156.23228113430537</v>
      </c>
      <c r="X13" s="893">
        <f>AVERAGE('Weekly Analysis'!DR11:DW11)</f>
        <v>446.42819354838707</v>
      </c>
      <c r="Y13" s="893">
        <f>AVERAGE('Weekly Analysis'!DX11:EC11)</f>
        <v>1219.6557682198327</v>
      </c>
      <c r="Z13" s="789">
        <f t="shared" si="1"/>
        <v>173.20312333446697</v>
      </c>
      <c r="AA13" s="777">
        <f>Y13/U13*100-100</f>
        <v>1334.0910309890928</v>
      </c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306"/>
      <c r="AN13" s="306"/>
    </row>
    <row r="14" spans="2:40" ht="25.5" customHeight="1">
      <c r="B14" s="189" t="s">
        <v>25</v>
      </c>
      <c r="C14" s="837">
        <f t="shared" si="2"/>
        <v>254.97874425068812</v>
      </c>
      <c r="D14" s="269">
        <f>AVERAGE('Weekly Analysis'!B12:G12)</f>
        <v>307.20189319860924</v>
      </c>
      <c r="E14" s="269">
        <f>AVERAGE('Weekly Analysis'!H12:M12)</f>
        <v>200.12963258728095</v>
      </c>
      <c r="F14" s="269">
        <f>AVERAGE('Weekly Analysis'!N12:S12)</f>
        <v>364.68409767492398</v>
      </c>
      <c r="G14" s="269">
        <f>AVERAGE('Weekly Analysis'!T12:Y12)</f>
        <v>147.89935354193832</v>
      </c>
      <c r="H14" s="269">
        <f>AVERAGE('Weekly Analysis'!Z12:AE12)</f>
        <v>440.00085651166165</v>
      </c>
      <c r="I14" s="269">
        <f>AVERAGE('Weekly Analysis'!AF12:AK12)</f>
        <v>1184.5362242865422</v>
      </c>
      <c r="J14" s="269">
        <f>AVERAGE('Weekly Analysis'!AL12:AQ12)</f>
        <v>169.82869277850213</v>
      </c>
      <c r="K14" s="269">
        <f>AVERAGE('Weekly Analysis'!AR12:AW12)</f>
        <v>0</v>
      </c>
      <c r="L14" s="245">
        <f>AVERAGE('Weekly Analysis'!AX12:BC12)</f>
        <v>413.03686223381146</v>
      </c>
      <c r="M14" s="247">
        <f>AVERAGE('Weekly Analysis'!BD12:BI12)</f>
        <v>2390.1921840141972</v>
      </c>
      <c r="N14" s="269">
        <f>AVERAGE('Weekly Analysis'!BJ12:BO12)</f>
        <v>1522.1617180935827</v>
      </c>
      <c r="O14" s="269">
        <f>AVERAGE('Weekly Analysis'!BP12:BU12)</f>
        <v>448.12577520643208</v>
      </c>
      <c r="P14" s="269">
        <f>AVERAGE('Weekly Analysis'!BV12:CA12)</f>
        <v>1154.5851215051428</v>
      </c>
      <c r="Q14" s="269">
        <f>AVERAGE('Weekly Analysis'!CB12:CG12)</f>
        <v>1968.8268184122851</v>
      </c>
      <c r="R14" s="269">
        <f>AVERAGE('Weekly Analysis'!CH12:CM12)</f>
        <v>2004.2366854990585</v>
      </c>
      <c r="S14" s="777">
        <f>AVERAGE('Weekly Analysis'!CN12:CS12)</f>
        <v>3385.4264260104305</v>
      </c>
      <c r="T14" s="777">
        <f>AVERAGE('Weekly Analysis'!CT12:CY12)</f>
        <v>1209.3250407431551</v>
      </c>
      <c r="U14" s="789">
        <f>AVERAGE('Weekly Analysis'!CZ12:DE12)</f>
        <v>51.016479791395057</v>
      </c>
      <c r="V14" s="789">
        <f>AVERAGE('Weekly Analysis'!DF12:DK12)</f>
        <v>163.53450836592785</v>
      </c>
      <c r="W14" s="789">
        <f>AVERAGE('Weekly Analysis'!DL12:DQ12)</f>
        <v>266.39457680981769</v>
      </c>
      <c r="X14" s="789">
        <f>AVERAGE('Weekly Analysis'!DR12:DW12)</f>
        <v>1750.3911936839058</v>
      </c>
      <c r="Y14" s="789">
        <f>AVERAGE('Weekly Analysis'!DX12:EC12)</f>
        <v>1031.4943886715921</v>
      </c>
      <c r="Z14" s="789">
        <f>Y14/X14*100-100</f>
        <v>-41.07063653007247</v>
      </c>
      <c r="AA14" s="777">
        <f t="shared" si="3"/>
        <v>1921.8846790083194</v>
      </c>
    </row>
    <row r="15" spans="2:40" ht="24" customHeight="1">
      <c r="B15" s="813" t="s">
        <v>351</v>
      </c>
      <c r="C15" s="888">
        <f>AVERAGE(D15:G15)</f>
        <v>650.2894135802469</v>
      </c>
      <c r="D15" s="889">
        <f>AVERAGE('Weekly Analysis'!B13:G13)</f>
        <v>1192.9391358024693</v>
      </c>
      <c r="E15" s="889">
        <f>AVERAGE('Weekly Analysis'!H13:M13)</f>
        <v>759.95240740740735</v>
      </c>
      <c r="F15" s="889">
        <f>AVERAGE('Weekly Analysis'!N13:S13)</f>
        <v>427.3214814814815</v>
      </c>
      <c r="G15" s="889">
        <f>AVERAGE('Weekly Analysis'!T13:Y13)</f>
        <v>220.94462962962965</v>
      </c>
      <c r="H15" s="889">
        <f>AVERAGE('Weekly Analysis'!Z13:AE13)</f>
        <v>752.66851851851845</v>
      </c>
      <c r="I15" s="889">
        <f>AVERAGE('Weekly Analysis'!AF13:AK13)</f>
        <v>2426.3443209876546</v>
      </c>
      <c r="J15" s="889">
        <f>AVERAGE('Weekly Analysis'!AL13:AQ13)</f>
        <v>489.63919753086424</v>
      </c>
      <c r="K15" s="889">
        <f>AVERAGE('Weekly Analysis'!AR13:AW13)</f>
        <v>0</v>
      </c>
      <c r="L15" s="890">
        <f>AVERAGE('Weekly Analysis'!AX13:BC13)</f>
        <v>956.61740740740743</v>
      </c>
      <c r="M15" s="891">
        <f>AVERAGE('Weekly Analysis'!BD13:BI13)</f>
        <v>1507.7650000000001</v>
      </c>
      <c r="N15" s="889">
        <f>AVERAGE('Weekly Analysis'!BJ13:BO13)</f>
        <v>1702.8113580246916</v>
      </c>
      <c r="O15" s="889">
        <f>AVERAGE('Weekly Analysis'!BP13:BU13)</f>
        <v>2027.3490740740742</v>
      </c>
      <c r="P15" s="889">
        <f>AVERAGE('Weekly Analysis'!BV13:CA13)</f>
        <v>1252.828888888889</v>
      </c>
      <c r="Q15" s="889">
        <f>AVERAGE('Weekly Analysis'!CB13:CG13)</f>
        <v>2370.5011728395061</v>
      </c>
      <c r="R15" s="889">
        <f>AVERAGE('Weekly Analysis'!CH13:CM13)</f>
        <v>2343.7935802469142</v>
      </c>
      <c r="S15" s="892">
        <f>AVERAGE('Weekly Analysis'!CN13:CS13)</f>
        <v>1369.3711111111113</v>
      </c>
      <c r="T15" s="892">
        <f>AVERAGE('Weekly Analysis'!CT13:CY13)</f>
        <v>1323.239814814815</v>
      </c>
      <c r="U15" s="893">
        <f>AVERAGE('Weekly Analysis'!CZ13:DE13)</f>
        <v>86.597345679012349</v>
      </c>
      <c r="V15" s="893">
        <f>AVERAGE('Weekly Analysis'!DF13:DK13)</f>
        <v>250.0801851851852</v>
      </c>
      <c r="W15" s="893">
        <f>AVERAGE('Weekly Analysis'!DL13:DQ13)</f>
        <v>527.23640384468843</v>
      </c>
      <c r="X15" s="893">
        <f>AVERAGE('Weekly Analysis'!DR13:DW13)</f>
        <v>1731.1375925925929</v>
      </c>
      <c r="Y15" s="893">
        <f>AVERAGE('Weekly Analysis'!DX13:EC13)</f>
        <v>1528.8073456790123</v>
      </c>
      <c r="Z15" s="789">
        <f>Y15/X15*100-100</f>
        <v>-11.687704534829379</v>
      </c>
      <c r="AA15" s="777">
        <f>Y15/U15*100-100</f>
        <v>1665.4205607476633</v>
      </c>
    </row>
    <row r="16" spans="2:40">
      <c r="B16" s="854" t="s">
        <v>186</v>
      </c>
      <c r="C16" s="881">
        <f>AVERAGE(C17:C20)</f>
        <v>439.87179015402126</v>
      </c>
      <c r="D16" s="881">
        <f t="shared" ref="D16:X16" si="4">AVERAGE(D17:D20)</f>
        <v>339.59220009157514</v>
      </c>
      <c r="E16" s="881">
        <f t="shared" si="4"/>
        <v>400.52683885741737</v>
      </c>
      <c r="F16" s="881">
        <f t="shared" si="4"/>
        <v>800.13585742562782</v>
      </c>
      <c r="G16" s="881">
        <f t="shared" si="4"/>
        <v>219.2322642414648</v>
      </c>
      <c r="H16" s="881">
        <f t="shared" si="4"/>
        <v>1615.4471494046438</v>
      </c>
      <c r="I16" s="881">
        <f t="shared" si="4"/>
        <v>379.53876388888892</v>
      </c>
      <c r="J16" s="881">
        <f t="shared" si="4"/>
        <v>54.696312271062276</v>
      </c>
      <c r="K16" s="881">
        <f t="shared" si="4"/>
        <v>0</v>
      </c>
      <c r="L16" s="881">
        <f t="shared" si="4"/>
        <v>517.80781835832124</v>
      </c>
      <c r="M16" s="881">
        <f t="shared" si="4"/>
        <v>1101.6401929016292</v>
      </c>
      <c r="N16" s="881">
        <f t="shared" si="4"/>
        <v>1067.8738269076962</v>
      </c>
      <c r="O16" s="881">
        <f t="shared" si="4"/>
        <v>849.91810460738668</v>
      </c>
      <c r="P16" s="881">
        <f t="shared" si="4"/>
        <v>863.92728449683398</v>
      </c>
      <c r="Q16" s="881">
        <f t="shared" si="4"/>
        <v>1014.1374052978676</v>
      </c>
      <c r="R16" s="881">
        <f t="shared" si="4"/>
        <v>1235.7958251708455</v>
      </c>
      <c r="S16" s="881">
        <f t="shared" si="4"/>
        <v>1442.2568149567917</v>
      </c>
      <c r="T16" s="881">
        <f t="shared" si="4"/>
        <v>969.62296113146124</v>
      </c>
      <c r="U16" s="881">
        <f t="shared" si="4"/>
        <v>15.776544973544976</v>
      </c>
      <c r="V16" s="881">
        <f t="shared" si="4"/>
        <v>169.31064633321029</v>
      </c>
      <c r="W16" s="881">
        <f t="shared" si="4"/>
        <v>353.56219967220653</v>
      </c>
      <c r="X16" s="881">
        <f t="shared" si="4"/>
        <v>885.41406594353111</v>
      </c>
      <c r="Y16" s="881">
        <f>AVERAGE(Y17:Y20)</f>
        <v>529.66468264143259</v>
      </c>
      <c r="Z16" s="881">
        <f>Y16/X16*100-100</f>
        <v>-40.178871895715638</v>
      </c>
      <c r="AA16" s="923">
        <f>Y16/U16*100-100</f>
        <v>3257.2920023338761</v>
      </c>
      <c r="AB16" s="307">
        <f>Y16-X16</f>
        <v>-355.74938330209852</v>
      </c>
      <c r="AC16" s="307">
        <f>Y16-U16</f>
        <v>513.88813766788758</v>
      </c>
    </row>
    <row r="17" spans="2:29" ht="25.5" customHeight="1">
      <c r="B17" s="189" t="s">
        <v>30</v>
      </c>
      <c r="C17" s="837">
        <f t="shared" si="2"/>
        <v>434.55901058201061</v>
      </c>
      <c r="D17" s="269">
        <f>AVERAGE('Weekly Analysis'!B15:G15)</f>
        <v>641.71085714285709</v>
      </c>
      <c r="E17" s="269">
        <f>AVERAGE('Weekly Analysis'!H15:M15)</f>
        <v>400.20499470899472</v>
      </c>
      <c r="F17" s="269">
        <f>AVERAGE('Weekly Analysis'!N15:S15)</f>
        <v>496.94284656084659</v>
      </c>
      <c r="G17" s="269">
        <f>AVERAGE('Weekly Analysis'!T15:Y15)</f>
        <v>199.37734391534391</v>
      </c>
      <c r="H17" s="269">
        <f>AVERAGE('Weekly Analysis'!Z15:AE15)</f>
        <v>426.89954497354501</v>
      </c>
      <c r="I17" s="269">
        <f>AVERAGE('Weekly Analysis'!AF15:AK15)</f>
        <v>621.29550793650787</v>
      </c>
      <c r="J17" s="269">
        <f>AVERAGE('Weekly Analysis'!AL15:AQ15)</f>
        <v>80.803904761904775</v>
      </c>
      <c r="K17" s="269">
        <f>AVERAGE('Weekly Analysis'!AR15:AW15)</f>
        <v>0</v>
      </c>
      <c r="L17" s="245">
        <f>AVERAGE('Weekly Analysis'!AX15:BC15)</f>
        <v>405.62177777777771</v>
      </c>
      <c r="M17" s="247">
        <f>AVERAGE('Weekly Analysis'!BD15:BI15)</f>
        <v>2532.0854232804236</v>
      </c>
      <c r="N17" s="269">
        <f>AVERAGE('Weekly Analysis'!BJ15:BO15)</f>
        <v>1951.2203703703706</v>
      </c>
      <c r="O17" s="269">
        <f>AVERAGE('Weekly Analysis'!BP15:BU15)</f>
        <v>571.26321164021169</v>
      </c>
      <c r="P17" s="269">
        <f>AVERAGE('Weekly Analysis'!BV15:CA15)</f>
        <v>780.70525396825394</v>
      </c>
      <c r="Q17" s="269">
        <f>AVERAGE('Weekly Analysis'!CB15:CG15)</f>
        <v>1881.4118412698415</v>
      </c>
      <c r="R17" s="269">
        <f>AVERAGE('Weekly Analysis'!CH15:CM15)</f>
        <v>1941.3769629629633</v>
      </c>
      <c r="S17" s="777">
        <f>AVERAGE('Weekly Analysis'!CN15:CS15)</f>
        <v>2162.98371957672</v>
      </c>
      <c r="T17" s="777">
        <f>AVERAGE('Weekly Analysis'!CT15:CY15)</f>
        <v>1772.2759470899471</v>
      </c>
      <c r="U17" s="789">
        <f>AVERAGE('Weekly Analysis'!CZ15:DE15)</f>
        <v>32.456846560846564</v>
      </c>
      <c r="V17" s="789">
        <f>AVERAGE('Weekly Analysis'!DF15:DK15)</f>
        <v>130.98739153439155</v>
      </c>
      <c r="W17" s="789">
        <f>AVERAGE('Weekly Analysis'!DL15:DQ15)</f>
        <v>415.26185924946117</v>
      </c>
      <c r="X17" s="789">
        <f>AVERAGE('Weekly Analysis'!DR15:DW15)</f>
        <v>1385.196068783069</v>
      </c>
      <c r="Y17" s="789">
        <f>AVERAGE('Weekly Analysis'!DX15:EC15)</f>
        <v>1211.0482433862433</v>
      </c>
      <c r="Z17" s="789">
        <f>Y17/X17*100-100</f>
        <v>-12.572070432586429</v>
      </c>
      <c r="AA17" s="777">
        <f>Y17/U17*100-100</f>
        <v>3631.2566429270996</v>
      </c>
    </row>
    <row r="18" spans="2:29" ht="25.5" customHeight="1">
      <c r="B18" s="189" t="s">
        <v>31</v>
      </c>
      <c r="C18" s="837">
        <f t="shared" si="2"/>
        <v>567.6805384615385</v>
      </c>
      <c r="D18" s="269">
        <f>AVERAGE('Weekly Analysis'!B16:G16)</f>
        <v>496.30153846153854</v>
      </c>
      <c r="E18" s="269">
        <f>AVERAGE('Weekly Analysis'!H16:M16)</f>
        <v>844.85353846153851</v>
      </c>
      <c r="F18" s="269">
        <f>AVERAGE('Weekly Analysis'!N16:S16)</f>
        <v>866.24584615384629</v>
      </c>
      <c r="G18" s="269">
        <f>AVERAGE('Weekly Analysis'!T16:Y16)</f>
        <v>63.321230769230773</v>
      </c>
      <c r="H18" s="269">
        <f>AVERAGE('Weekly Analysis'!Z16:AE16)</f>
        <v>705.66092307692315</v>
      </c>
      <c r="I18" s="269">
        <f>AVERAGE('Weekly Analysis'!AF16:AK16)</f>
        <v>671.14800000000002</v>
      </c>
      <c r="J18" s="269">
        <f>AVERAGE('Weekly Analysis'!AL16:AQ16)</f>
        <v>90.418153846153857</v>
      </c>
      <c r="K18" s="269">
        <f>AVERAGE('Weekly Analysis'!AR16:AW16)</f>
        <v>0</v>
      </c>
      <c r="L18" s="245">
        <f>AVERAGE('Weekly Analysis'!AX16:BC16)</f>
        <v>558.48184615384616</v>
      </c>
      <c r="M18" s="247">
        <f>AVERAGE('Weekly Analysis'!BD16:BI16)</f>
        <v>1139.4969230769232</v>
      </c>
      <c r="N18" s="269">
        <f>AVERAGE('Weekly Analysis'!BJ16:BO16)</f>
        <v>1397.0603076923078</v>
      </c>
      <c r="O18" s="269">
        <f>AVERAGE('Weekly Analysis'!BP16:BU16)</f>
        <v>574.16953846153854</v>
      </c>
      <c r="P18" s="269">
        <f>AVERAGE('Weekly Analysis'!BV16:CA16)</f>
        <v>693.96646153846166</v>
      </c>
      <c r="Q18" s="269">
        <f>AVERAGE('Weekly Analysis'!CB16:CG16)</f>
        <v>960.94246153846154</v>
      </c>
      <c r="R18" s="269">
        <f>AVERAGE('Weekly Analysis'!CH16:CM16)</f>
        <v>944.3990769230769</v>
      </c>
      <c r="S18" s="777">
        <f>AVERAGE('Weekly Analysis'!CN16:CS16)</f>
        <v>1141.2083076923079</v>
      </c>
      <c r="T18" s="777">
        <f>AVERAGE('Weekly Analysis'!CT16:CY16)</f>
        <v>802.92461538461555</v>
      </c>
      <c r="U18" s="789">
        <f>AVERAGE('Weekly Analysis'!CZ16:DE16)</f>
        <v>7.4160000000000039</v>
      </c>
      <c r="V18" s="789">
        <f>AVERAGE('Weekly Analysis'!DF16:DK16)</f>
        <v>166.85999999999999</v>
      </c>
      <c r="W18" s="789">
        <f>AVERAGE('Weekly Analysis'!DL16:DQ16)</f>
        <v>423.32691880341889</v>
      </c>
      <c r="X18" s="789">
        <f>AVERAGE('Weekly Analysis'!DR16:DW16)</f>
        <v>469.48984615384626</v>
      </c>
      <c r="Y18" s="789">
        <f>AVERAGE('Weekly Analysis'!DX16:EC16)</f>
        <v>546.50215384615387</v>
      </c>
      <c r="Z18" s="789">
        <f t="shared" ref="Z18:Z20" si="5">Y18/X18*100-100</f>
        <v>16.403402187120264</v>
      </c>
      <c r="AA18" s="777">
        <f t="shared" ref="AA18:AA20" si="6">Y18/U18*100-100</f>
        <v>7269.230769230765</v>
      </c>
    </row>
    <row r="19" spans="2:29" ht="25.5" customHeight="1">
      <c r="B19" s="189" t="s">
        <v>32</v>
      </c>
      <c r="C19" s="837">
        <f t="shared" si="2"/>
        <v>447.80206395348836</v>
      </c>
      <c r="D19" s="269">
        <f>AVERAGE('Weekly Analysis'!B17:G17)</f>
        <v>46.764999999999993</v>
      </c>
      <c r="E19" s="269">
        <f>AVERAGE('Weekly Analysis'!H17:M17)</f>
        <v>148.99546511627906</v>
      </c>
      <c r="F19" s="269">
        <f>AVERAGE('Weekly Analysis'!N17:S17)</f>
        <v>1188.701046511628</v>
      </c>
      <c r="G19" s="269">
        <f>AVERAGE('Weekly Analysis'!T17:Y17)</f>
        <v>406.7467441860465</v>
      </c>
      <c r="H19" s="269">
        <f>AVERAGE('Weekly Analysis'!Z17:AE17)</f>
        <v>4911.4125581395356</v>
      </c>
      <c r="I19" s="269">
        <f>AVERAGE('Weekly Analysis'!AF17:AK17)</f>
        <v>0</v>
      </c>
      <c r="J19" s="269">
        <f>AVERAGE('Weekly Analysis'!AL17:AQ17)</f>
        <v>0</v>
      </c>
      <c r="K19" s="269">
        <f>AVERAGE('Weekly Analysis'!AR17:AW17)</f>
        <v>0</v>
      </c>
      <c r="L19" s="245">
        <f>AVERAGE('Weekly Analysis'!AX17:BC17)</f>
        <v>630.78372093023256</v>
      </c>
      <c r="M19" s="247">
        <f>AVERAGE('Weekly Analysis'!BD17:BI17)</f>
        <v>152.25813953488372</v>
      </c>
      <c r="N19" s="269">
        <f>AVERAGE('Weekly Analysis'!BJ17:BO17)</f>
        <v>47.852558139534885</v>
      </c>
      <c r="O19" s="269">
        <f>AVERAGE('Weekly Analysis'!BP17:BU17)</f>
        <v>1747.7059302325581</v>
      </c>
      <c r="P19" s="269">
        <f>AVERAGE('Weekly Analysis'!BV17:CA17)</f>
        <v>1557.3832558139536</v>
      </c>
      <c r="Q19" s="269">
        <f>AVERAGE('Weekly Analysis'!CB17:CG17)</f>
        <v>685.16162790697672</v>
      </c>
      <c r="R19" s="269">
        <f>AVERAGE('Weekly Analysis'!CH17:CM17)</f>
        <v>627.5210465116279</v>
      </c>
      <c r="S19" s="777">
        <f>AVERAGE('Weekly Analysis'!CN17:CS17)</f>
        <v>1828.1852325581392</v>
      </c>
      <c r="T19" s="777">
        <f>AVERAGE('Weekly Analysis'!CT16:CY16)</f>
        <v>802.92461538461555</v>
      </c>
      <c r="U19" s="789">
        <f>AVERAGE('Weekly Analysis'!CZ17:DE17)</f>
        <v>0</v>
      </c>
      <c r="V19" s="789">
        <f>AVERAGE('Weekly Analysis'!DF17:DK17)</f>
        <v>221.86186046511628</v>
      </c>
      <c r="W19" s="789">
        <f>AVERAGE('Weekly Analysis'!DL17:DQ17)</f>
        <v>108.06098514211887</v>
      </c>
      <c r="X19" s="789">
        <f>AVERAGE('Weekly Analysis'!DR17:DW17)</f>
        <v>1315.9453488372092</v>
      </c>
      <c r="Y19" s="789">
        <f>AVERAGE('Weekly Analysis'!DX17:EC17)</f>
        <v>0</v>
      </c>
      <c r="Z19" s="789">
        <f t="shared" si="5"/>
        <v>-100</v>
      </c>
      <c r="AA19" s="777">
        <v>0</v>
      </c>
    </row>
    <row r="20" spans="2:29" ht="22.5" customHeight="1">
      <c r="B20" s="248" t="s">
        <v>352</v>
      </c>
      <c r="C20" s="838">
        <f>AVERAGE(D20:G20)</f>
        <v>309.44554761904766</v>
      </c>
      <c r="D20" s="603">
        <f>AVERAGE('Weekly Analysis'!B18:G18)</f>
        <v>173.59140476190476</v>
      </c>
      <c r="E20" s="603">
        <f>AVERAGE('Weekly Analysis'!H18:M18)</f>
        <v>208.05335714285715</v>
      </c>
      <c r="F20" s="603">
        <f>AVERAGE('Weekly Analysis'!N18:S18)</f>
        <v>648.6536904761906</v>
      </c>
      <c r="G20" s="603">
        <f>AVERAGE('Weekly Analysis'!T18:Y18)</f>
        <v>207.48373809523812</v>
      </c>
      <c r="H20" s="603">
        <f>AVERAGE('Weekly Analysis'!Z18:AE18)</f>
        <v>417.8155714285715</v>
      </c>
      <c r="I20" s="603">
        <f>AVERAGE('Weekly Analysis'!AF18:AK18)</f>
        <v>225.71154761904765</v>
      </c>
      <c r="J20" s="603">
        <f>AVERAGE('Weekly Analysis'!AL18:AQ18)</f>
        <v>47.563190476190478</v>
      </c>
      <c r="K20" s="603">
        <f>AVERAGE('Weekly Analysis'!AR18:AW18)</f>
        <v>0</v>
      </c>
      <c r="L20" s="249">
        <f>AVERAGE('Weekly Analysis'!AX18:BC18)</f>
        <v>476.34392857142865</v>
      </c>
      <c r="M20" s="251">
        <f>AVERAGE('Weekly Analysis'!BD18:BI18)</f>
        <v>582.72028571428575</v>
      </c>
      <c r="N20" s="603">
        <f>AVERAGE('Weekly Analysis'!BJ18:BO18)</f>
        <v>875.36207142857165</v>
      </c>
      <c r="O20" s="603">
        <f>AVERAGE('Weekly Analysis'!BP18:BU18)</f>
        <v>506.53373809523811</v>
      </c>
      <c r="P20" s="603">
        <f>AVERAGE('Weekly Analysis'!BV18:CA18)</f>
        <v>423.6541666666667</v>
      </c>
      <c r="Q20" s="603">
        <f>AVERAGE('Weekly Analysis'!CB18:CG18)</f>
        <v>529.0336904761906</v>
      </c>
      <c r="R20" s="603">
        <f>AVERAGE('Weekly Analysis'!CH18:CM18)</f>
        <v>1429.8862142857145</v>
      </c>
      <c r="S20" s="839">
        <f>AVERAGE('Weekly Analysis'!CN18:CS18)</f>
        <v>636.65</v>
      </c>
      <c r="T20" s="839">
        <f>AVERAGE('Weekly Analysis'!CT18:CY18)</f>
        <v>500.36666666666673</v>
      </c>
      <c r="U20" s="839">
        <f>AVERAGE('Weekly Analysis'!CZ18:DE18)</f>
        <v>23.233333333333331</v>
      </c>
      <c r="V20" s="839">
        <f>AVERAGE('Weekly Analysis'!DF18:DK18)</f>
        <v>157.53333333333333</v>
      </c>
      <c r="W20" s="839">
        <f>AVERAGE('Weekly Analysis'!DL18:DQ18)</f>
        <v>467.59903549382716</v>
      </c>
      <c r="X20" s="839">
        <f>AVERAGE('Weekly Analysis'!DR18:DW18)</f>
        <v>371.02500000000003</v>
      </c>
      <c r="Y20" s="789">
        <f>AVERAGE('Weekly Analysis'!DX18:EC18)</f>
        <v>361.10833333333335</v>
      </c>
      <c r="Z20" s="789">
        <f t="shared" si="5"/>
        <v>-2.6727758686521668</v>
      </c>
      <c r="AA20" s="777">
        <f t="shared" si="6"/>
        <v>1454.268292682927</v>
      </c>
    </row>
    <row r="21" spans="2:29">
      <c r="B21" s="854" t="s">
        <v>446</v>
      </c>
      <c r="C21" s="881">
        <f>AVERAGE(C22:C30)</f>
        <v>198.39784601335555</v>
      </c>
      <c r="D21" s="881">
        <f t="shared" ref="D21:X21" si="7">AVERAGE(D22:D30)</f>
        <v>213.41747908413586</v>
      </c>
      <c r="E21" s="881">
        <f t="shared" si="7"/>
        <v>210.97164670019836</v>
      </c>
      <c r="F21" s="881">
        <f t="shared" si="7"/>
        <v>340.71254826568992</v>
      </c>
      <c r="G21" s="881">
        <f t="shared" si="7"/>
        <v>28.489710003398152</v>
      </c>
      <c r="H21" s="881">
        <f t="shared" si="7"/>
        <v>597.45055597164037</v>
      </c>
      <c r="I21" s="881">
        <f t="shared" si="7"/>
        <v>177.89804401972066</v>
      </c>
      <c r="J21" s="881">
        <f t="shared" si="7"/>
        <v>88.098362919005964</v>
      </c>
      <c r="K21" s="881">
        <f t="shared" si="7"/>
        <v>0</v>
      </c>
      <c r="L21" s="881">
        <f t="shared" si="7"/>
        <v>234.25352313074615</v>
      </c>
      <c r="M21" s="881">
        <f t="shared" si="7"/>
        <v>181.04135986442685</v>
      </c>
      <c r="N21" s="881">
        <f t="shared" si="7"/>
        <v>555.24956553992615</v>
      </c>
      <c r="O21" s="881">
        <f t="shared" si="7"/>
        <v>492.62758564325912</v>
      </c>
      <c r="P21" s="881">
        <f t="shared" si="7"/>
        <v>128.79227546353542</v>
      </c>
      <c r="Q21" s="881">
        <f t="shared" si="7"/>
        <v>208.02908466835328</v>
      </c>
      <c r="R21" s="881">
        <f t="shared" si="7"/>
        <v>704.32343298474279</v>
      </c>
      <c r="S21" s="881">
        <f t="shared" si="7"/>
        <v>511.74774160596672</v>
      </c>
      <c r="T21" s="881">
        <f t="shared" si="7"/>
        <v>96.5115652452522</v>
      </c>
      <c r="U21" s="881">
        <f t="shared" si="7"/>
        <v>48.679249188055344</v>
      </c>
      <c r="V21" s="881">
        <f t="shared" si="7"/>
        <v>264.75307171401937</v>
      </c>
      <c r="W21" s="881">
        <f t="shared" si="7"/>
        <v>330.05022883184768</v>
      </c>
      <c r="X21" s="881">
        <f t="shared" si="7"/>
        <v>52.170141179972383</v>
      </c>
      <c r="Y21" s="881">
        <f>AVERAGE(Y22:Y30)</f>
        <v>151.22841946161103</v>
      </c>
      <c r="Z21" s="881">
        <f>Y21/X21*100-100</f>
        <v>189.87542690351427</v>
      </c>
      <c r="AA21" s="881">
        <f>Y21/U21*100-100</f>
        <v>210.66300730603433</v>
      </c>
      <c r="AB21" s="307">
        <f>Y21-U21</f>
        <v>102.54917027355569</v>
      </c>
      <c r="AC21" s="307">
        <f>Y21-X21</f>
        <v>99.05827828163865</v>
      </c>
    </row>
    <row r="22" spans="2:29" ht="25.5" customHeight="1">
      <c r="B22" s="189" t="s">
        <v>33</v>
      </c>
      <c r="C22" s="837">
        <f t="shared" si="2"/>
        <v>309.14336538461538</v>
      </c>
      <c r="D22" s="269">
        <f>AVERAGE('Weekly Analysis'!B20:G20)</f>
        <v>305.40841880341878</v>
      </c>
      <c r="E22" s="269">
        <f>AVERAGE('Weekly Analysis'!H20:M20)</f>
        <v>36.737179487179489</v>
      </c>
      <c r="F22" s="269">
        <f>AVERAGE('Weekly Analysis'!N20:S20)</f>
        <v>825.85179487179494</v>
      </c>
      <c r="G22" s="269">
        <f>AVERAGE('Weekly Analysis'!T20:Y20)</f>
        <v>68.576068376068378</v>
      </c>
      <c r="H22" s="269">
        <f>AVERAGE('Weekly Analysis'!Z20:AE20)</f>
        <v>457.2554273504274</v>
      </c>
      <c r="I22" s="269">
        <f>AVERAGE('Weekly Analysis'!AF20:AK20)</f>
        <v>111.68102564102564</v>
      </c>
      <c r="J22" s="269">
        <f>AVERAGE('Weekly Analysis'!AL20:AQ20)</f>
        <v>38.206666666666671</v>
      </c>
      <c r="K22" s="269">
        <f>AVERAGE('Weekly Analysis'!AR20:AW20)</f>
        <v>0</v>
      </c>
      <c r="L22" s="245">
        <f>AVERAGE('Weekly Analysis'!AX20:BC20)</f>
        <v>66.126923076923077</v>
      </c>
      <c r="M22" s="247">
        <f>AVERAGE('Weekly Analysis'!BD20:BI20)</f>
        <v>186.62487179487184</v>
      </c>
      <c r="N22" s="269">
        <f>AVERAGE('Weekly Analysis'!BJ20:BO20)</f>
        <v>1805.7548290598295</v>
      </c>
      <c r="O22" s="269">
        <f>AVERAGE('Weekly Analysis'!BP20:BU20)</f>
        <v>1262.2894871794872</v>
      </c>
      <c r="P22" s="269">
        <f>AVERAGE('Weekly Analysis'!BV20:CA20)</f>
        <v>144.74448717948721</v>
      </c>
      <c r="Q22" s="269">
        <f>AVERAGE('Weekly Analysis'!CB20:CG20)</f>
        <v>212.83072649572651</v>
      </c>
      <c r="R22" s="269">
        <f>AVERAGE('Weekly Analysis'!CH20:CM20)</f>
        <v>2312.4829914529914</v>
      </c>
      <c r="S22" s="777">
        <f>AVERAGE('Weekly Analysis'!CN20:CS20)</f>
        <v>1990.6652991452993</v>
      </c>
      <c r="T22" s="777">
        <f>AVERAGE('Weekly Analysis'!CT20:CY20)</f>
        <v>60.004059829059827</v>
      </c>
      <c r="U22" s="789">
        <f>AVERAGE('Weekly Analysis'!CZ20:DE20)</f>
        <v>26.695683760683764</v>
      </c>
      <c r="V22" s="789">
        <f>AVERAGE('Weekly Analysis'!DF20:DK20)</f>
        <v>577.50846153846157</v>
      </c>
      <c r="W22" s="789">
        <f>AVERAGE('Weekly Analysis'!DL20:DQ20)</f>
        <v>634.43483769916645</v>
      </c>
      <c r="X22" s="789">
        <f>AVERAGE('Weekly Analysis'!DR20:DW20)</f>
        <v>14.449957264957265</v>
      </c>
      <c r="Y22" s="789">
        <f>AVERAGE('Weekly Analysis'!DW20:EC20)</f>
        <v>19.523186813186815</v>
      </c>
      <c r="Z22" s="789">
        <f>Y22/X22*100-100</f>
        <v>35.108958837772406</v>
      </c>
      <c r="AA22" s="777">
        <f>Y22/U22*100-100</f>
        <v>-26.867627785058971</v>
      </c>
      <c r="AB22" s="307">
        <f>Y22-X22</f>
        <v>5.0732295482295502</v>
      </c>
    </row>
    <row r="23" spans="2:29" ht="25.5" customHeight="1">
      <c r="B23" s="189" t="s">
        <v>34</v>
      </c>
      <c r="C23" s="837">
        <f t="shared" si="2"/>
        <v>53.170166666666667</v>
      </c>
      <c r="D23" s="269">
        <f>AVERAGE('Weekly Analysis'!B21:G21)</f>
        <v>35.729222222222226</v>
      </c>
      <c r="E23" s="269">
        <f>AVERAGE('Weekly Analysis'!H21:M21)</f>
        <v>0</v>
      </c>
      <c r="F23" s="269">
        <f>AVERAGE('Weekly Analysis'!N21:S21)</f>
        <v>169.60788888888888</v>
      </c>
      <c r="G23" s="269">
        <f>AVERAGE('Weekly Analysis'!T21:Y21)</f>
        <v>7.3435555555555565</v>
      </c>
      <c r="H23" s="269">
        <f>AVERAGE('Weekly Analysis'!Z21:AE21)</f>
        <v>784.6306666666668</v>
      </c>
      <c r="I23" s="269">
        <f>AVERAGE('Weekly Analysis'!AF21:AK21)</f>
        <v>0</v>
      </c>
      <c r="J23" s="269">
        <f>AVERAGE('Weekly Analysis'!AL21:AQ21)</f>
        <v>0</v>
      </c>
      <c r="K23" s="269">
        <f>AVERAGE('Weekly Analysis'!AR21:AW21)</f>
        <v>0</v>
      </c>
      <c r="L23" s="245">
        <f>AVERAGE('Weekly Analysis'!AX21:BC21)</f>
        <v>18.076444444444444</v>
      </c>
      <c r="M23" s="247">
        <f>AVERAGE('Weekly Analysis'!BD21:BI21)</f>
        <v>0</v>
      </c>
      <c r="N23" s="269">
        <f>AVERAGE('Weekly Analysis'!BJ21:BO21)</f>
        <v>85.86311111111111</v>
      </c>
      <c r="O23" s="269">
        <f>AVERAGE('Weekly Analysis'!BP21:BU21)</f>
        <v>210.13866666666669</v>
      </c>
      <c r="P23" s="269">
        <f>AVERAGE('Weekly Analysis'!BV21:CA21)</f>
        <v>57.195</v>
      </c>
      <c r="Q23" s="269">
        <f>AVERAGE('Weekly Analysis'!CB21:CG21)</f>
        <v>0</v>
      </c>
      <c r="R23" s="269">
        <f>AVERAGE('Weekly Analysis'!CH21:CM21)</f>
        <v>73.294333333333341</v>
      </c>
      <c r="S23" s="777">
        <f>AVERAGE('Weekly Analysis'!CN21:CS21)</f>
        <v>126.3938888888889</v>
      </c>
      <c r="T23" s="777">
        <f>AVERAGE('Weekly Analysis'!CT21:CY21)</f>
        <v>2.1183333333333336</v>
      </c>
      <c r="U23" s="789">
        <f>AVERAGE('Weekly Analysis'!CZ21:DE21)</f>
        <v>4.0954444444444444</v>
      </c>
      <c r="V23" s="789">
        <f>AVERAGE('Weekly Analysis'!DF21:DK21)</f>
        <v>84.733333333333334</v>
      </c>
      <c r="W23" s="789">
        <f>AVERAGE('Weekly Analysis'!DL21:DQ21)</f>
        <v>74.521637259945138</v>
      </c>
      <c r="X23" s="789">
        <f>AVERAGE('Weekly Analysis'!DR21:DW21)</f>
        <v>1.2710000000000001</v>
      </c>
      <c r="Y23" s="789">
        <f>AVERAGE('Weekly Analysis'!DW21:EC21)</f>
        <v>0</v>
      </c>
      <c r="Z23" s="789">
        <f t="shared" ref="Z23:Z30" si="8">Y23/X23*100-100</f>
        <v>-100</v>
      </c>
      <c r="AA23" s="777">
        <f t="shared" ref="AA23:AA30" si="9">Y23/U23*100-100</f>
        <v>-100</v>
      </c>
      <c r="AB23" s="307">
        <f t="shared" ref="AB23:AB30" si="10">Y23-X23</f>
        <v>-1.2710000000000001</v>
      </c>
    </row>
    <row r="24" spans="2:29" ht="25.5" customHeight="1">
      <c r="B24" s="189" t="s">
        <v>348</v>
      </c>
      <c r="C24" s="837">
        <f t="shared" si="2"/>
        <v>78.168098958333331</v>
      </c>
      <c r="D24" s="269">
        <f>AVERAGE('Weekly Analysis'!B22:G22)</f>
        <v>6.903645833333333</v>
      </c>
      <c r="E24" s="269">
        <f>AVERAGE('Weekly Analysis'!H22:M22)</f>
        <v>0</v>
      </c>
      <c r="F24" s="269">
        <f>AVERAGE('Weekly Analysis'!N22:S22)</f>
        <v>296.22916666666669</v>
      </c>
      <c r="G24" s="269">
        <f>AVERAGE('Weekly Analysis'!T22:Y22)</f>
        <v>9.5395833333333346</v>
      </c>
      <c r="H24" s="269">
        <f>AVERAGE('Weekly Analysis'!Z22:AE22)</f>
        <v>93.764062500000009</v>
      </c>
      <c r="I24" s="269">
        <f>AVERAGE('Weekly Analysis'!AF22:AK22)</f>
        <v>8.0333333333333332</v>
      </c>
      <c r="J24" s="269">
        <f>AVERAGE('Weekly Analysis'!AL22:AQ22)</f>
        <v>112.96875000000001</v>
      </c>
      <c r="K24" s="269">
        <f>AVERAGE('Weekly Analysis'!AR22:AW22)</f>
        <v>0</v>
      </c>
      <c r="L24" s="245">
        <f>AVERAGE('Weekly Analysis'!AX22:BC22)</f>
        <v>90.626041666666666</v>
      </c>
      <c r="M24" s="247">
        <f>AVERAGE('Weekly Analysis'!BD22:BI22)</f>
        <v>0.75312500000000016</v>
      </c>
      <c r="N24" s="269">
        <f>AVERAGE('Weekly Analysis'!BJ22:BO22)</f>
        <v>270.87395833333335</v>
      </c>
      <c r="O24" s="269">
        <f>AVERAGE('Weekly Analysis'!BP22:BU22)</f>
        <v>259.20052083333337</v>
      </c>
      <c r="P24" s="269">
        <f>AVERAGE('Weekly Analysis'!BV22:CA22)</f>
        <v>26.484895833333336</v>
      </c>
      <c r="Q24" s="269">
        <f>AVERAGE('Weekly Analysis'!CB22:CG22)</f>
        <v>2.8869791666666669</v>
      </c>
      <c r="R24" s="269">
        <f>AVERAGE('Weekly Analysis'!CH22:CM22)</f>
        <v>30.376041666666666</v>
      </c>
      <c r="S24" s="777">
        <f>AVERAGE('Weekly Analysis'!CN22:CS22)</f>
        <v>77.948437499999997</v>
      </c>
      <c r="T24" s="777">
        <f>AVERAGE('Weekly Analysis'!CT22:CY22)</f>
        <v>5.8994791666666666</v>
      </c>
      <c r="U24" s="789">
        <f>AVERAGE('Weekly Analysis'!CZ22:DE22)</f>
        <v>0</v>
      </c>
      <c r="V24" s="789">
        <f>AVERAGE('Weekly Analysis'!DF22:DK22)</f>
        <v>34.769270833333337</v>
      </c>
      <c r="W24" s="789">
        <f>AVERAGE('Weekly Analysis'!DL22:DQ22)</f>
        <v>118.65621905542696</v>
      </c>
      <c r="X24" s="789">
        <f>AVERAGE('Weekly Analysis'!DR22:DW22)</f>
        <v>3.1380208333333335</v>
      </c>
      <c r="Y24" s="789">
        <f>AVERAGE('Weekly Analysis'!DW22:EC22)</f>
        <v>2.1517857142857144</v>
      </c>
      <c r="Z24" s="789">
        <f t="shared" si="8"/>
        <v>-31.428571428571431</v>
      </c>
      <c r="AA24" s="777">
        <v>0</v>
      </c>
      <c r="AB24" s="307">
        <f t="shared" si="10"/>
        <v>-0.98623511904761907</v>
      </c>
    </row>
    <row r="25" spans="2:29" ht="25.5" customHeight="1">
      <c r="B25" s="189" t="s">
        <v>37</v>
      </c>
      <c r="C25" s="837">
        <f t="shared" si="2"/>
        <v>543.26499999999999</v>
      </c>
      <c r="D25" s="269">
        <f>AVERAGE('Weekly Analysis'!B23:G23)</f>
        <v>551.86416666666673</v>
      </c>
      <c r="E25" s="269">
        <f>AVERAGE('Weekly Analysis'!H23:M23)</f>
        <v>1138.6308333333334</v>
      </c>
      <c r="F25" s="269">
        <f>AVERAGE('Weekly Analysis'!N23:S23)</f>
        <v>477.75958333333341</v>
      </c>
      <c r="G25" s="269">
        <f>AVERAGE('Weekly Analysis'!T23:Y23)</f>
        <v>4.8054166666666669</v>
      </c>
      <c r="H25" s="269">
        <f>AVERAGE('Weekly Analysis'!Z23:AE23)</f>
        <v>2450.7625000000003</v>
      </c>
      <c r="I25" s="269">
        <f>AVERAGE('Weekly Analysis'!AF23:AK23)</f>
        <v>450.44458333333336</v>
      </c>
      <c r="J25" s="269">
        <f>AVERAGE('Weekly Analysis'!AL23:AQ23)</f>
        <v>195.50458333333336</v>
      </c>
      <c r="K25" s="269">
        <f>AVERAGE('Weekly Analysis'!AR23:AW23)</f>
        <v>0</v>
      </c>
      <c r="L25" s="245">
        <f>AVERAGE('Weekly Analysis'!AX23:BC23)</f>
        <v>775.69541666666657</v>
      </c>
      <c r="M25" s="247">
        <f>AVERAGE('Weekly Analysis'!BD23:BI23)</f>
        <v>432.48750000000001</v>
      </c>
      <c r="N25" s="269">
        <f>AVERAGE('Weekly Analysis'!BJ23:BO23)</f>
        <v>619.39291666666668</v>
      </c>
      <c r="O25" s="269">
        <f>AVERAGE('Weekly Analysis'!BP23:BU23)</f>
        <v>312.85791666666665</v>
      </c>
      <c r="P25" s="269">
        <f>AVERAGE('Weekly Analysis'!BV23:CA23)</f>
        <v>276.43791666666669</v>
      </c>
      <c r="Q25" s="269">
        <f>AVERAGE('Weekly Analysis'!CB23:CG23)</f>
        <v>549.33500000000004</v>
      </c>
      <c r="R25" s="269">
        <f>AVERAGE('Weekly Analysis'!CH23:CM23)</f>
        <v>857.38749999999993</v>
      </c>
      <c r="S25" s="777">
        <f>AVERAGE('Weekly Analysis'!CN23:CS23)</f>
        <v>211.94416666666666</v>
      </c>
      <c r="T25" s="777">
        <f>AVERAGE('Weekly Analysis'!CT23:CY23)</f>
        <v>35.661250000000003</v>
      </c>
      <c r="U25" s="789">
        <f>AVERAGE('Weekly Analysis'!CZ23:DE23)</f>
        <v>176.53583333333336</v>
      </c>
      <c r="V25" s="789">
        <f>AVERAGE('Weekly Analysis'!DF23:DK23)</f>
        <v>345.99</v>
      </c>
      <c r="W25" s="789">
        <f>AVERAGE('Weekly Analysis'!DL23:DQ23)</f>
        <v>280.62157986111117</v>
      </c>
      <c r="X25" s="789">
        <f>AVERAGE('Weekly Analysis'!DR23:DW23)</f>
        <v>36.42</v>
      </c>
      <c r="Y25" s="789">
        <f>AVERAGE('Weekly Analysis'!DW23:EC23)</f>
        <v>303.5</v>
      </c>
      <c r="Z25" s="789">
        <f t="shared" si="8"/>
        <v>733.33333333333326</v>
      </c>
      <c r="AA25" s="777">
        <f t="shared" si="9"/>
        <v>71.91977077363893</v>
      </c>
      <c r="AB25" s="307">
        <f t="shared" si="10"/>
        <v>267.08</v>
      </c>
    </row>
    <row r="26" spans="2:29" ht="25.5" customHeight="1">
      <c r="B26" s="189" t="s">
        <v>349</v>
      </c>
      <c r="C26" s="837">
        <f t="shared" si="2"/>
        <v>343.1968776371308</v>
      </c>
      <c r="D26" s="269">
        <f>AVERAGE('Weekly Analysis'!B24:G24)</f>
        <v>589.0574683544304</v>
      </c>
      <c r="E26" s="269">
        <f>AVERAGE('Weekly Analysis'!H24:M24)</f>
        <v>441.02725738396629</v>
      </c>
      <c r="F26" s="269">
        <f>AVERAGE('Weekly Analysis'!N24:S24)</f>
        <v>314.2430379746836</v>
      </c>
      <c r="G26" s="269">
        <f>AVERAGE('Weekly Analysis'!T24:Y24)</f>
        <v>28.459746835443038</v>
      </c>
      <c r="H26" s="269">
        <f>AVERAGE('Weekly Analysis'!Z24:AE24)</f>
        <v>932.84725738396628</v>
      </c>
      <c r="I26" s="269">
        <f>AVERAGE('Weekly Analysis'!AF24:AK24)</f>
        <v>604.57198312236289</v>
      </c>
      <c r="J26" s="269">
        <f>AVERAGE('Weekly Analysis'!AL24:AQ24)</f>
        <v>131.03341772151899</v>
      </c>
      <c r="K26" s="269">
        <f>AVERAGE('Weekly Analysis'!AR24:AW24)</f>
        <v>0</v>
      </c>
      <c r="L26" s="245">
        <f>AVERAGE('Weekly Analysis'!AX24:BC24)</f>
        <v>694.89215189873414</v>
      </c>
      <c r="M26" s="247">
        <f>AVERAGE('Weekly Analysis'!BD24:BI24)</f>
        <v>367.90151898734172</v>
      </c>
      <c r="N26" s="269">
        <f>AVERAGE('Weekly Analysis'!BJ24:BO24)</f>
        <v>299.02497890295359</v>
      </c>
      <c r="O26" s="269">
        <f>AVERAGE('Weekly Analysis'!BP24:BU24)</f>
        <v>345.07443037974684</v>
      </c>
      <c r="P26" s="269">
        <f>AVERAGE('Weekly Analysis'!BV24:CA24)</f>
        <v>157.51679324894516</v>
      </c>
      <c r="Q26" s="269">
        <f>AVERAGE('Weekly Analysis'!CB24:CG24)</f>
        <v>477.19485232067518</v>
      </c>
      <c r="R26" s="269">
        <f>AVERAGE('Weekly Analysis'!CH24:CM24)</f>
        <v>986.60455696202541</v>
      </c>
      <c r="S26" s="777">
        <f>AVERAGE('Weekly Analysis'!CN24:CS24)</f>
        <v>562.47527426160343</v>
      </c>
      <c r="T26" s="777">
        <f>AVERAGE('Weekly Analysis'!CT24:CY24)</f>
        <v>320.96270042194095</v>
      </c>
      <c r="U26" s="789">
        <f>AVERAGE('Weekly Analysis'!CZ24:DE24)</f>
        <v>123.32556962025318</v>
      </c>
      <c r="V26" s="789">
        <f>AVERAGE('Weekly Analysis'!DF24:DK24)</f>
        <v>552.39578059071744</v>
      </c>
      <c r="W26" s="789">
        <f>AVERAGE('Weekly Analysis'!DL24:DQ24)</f>
        <v>685.97042142001339</v>
      </c>
      <c r="X26" s="789">
        <f>AVERAGE('Weekly Analysis'!DR24:DW24)</f>
        <v>158.40616033755273</v>
      </c>
      <c r="Y26" s="789">
        <f>AVERAGE('Weekly Analysis'!DW24:EC24)</f>
        <v>682.10220614828211</v>
      </c>
      <c r="Z26" s="789">
        <f t="shared" si="8"/>
        <v>330.60333303627135</v>
      </c>
      <c r="AA26" s="777">
        <f t="shared" si="9"/>
        <v>453.09065934065927</v>
      </c>
      <c r="AB26" s="307">
        <f t="shared" si="10"/>
        <v>523.6960458107294</v>
      </c>
    </row>
    <row r="27" spans="2:29" ht="25.5" customHeight="1">
      <c r="B27" s="189" t="s">
        <v>39</v>
      </c>
      <c r="C27" s="837">
        <f t="shared" si="2"/>
        <v>44.995517241379311</v>
      </c>
      <c r="D27" s="269">
        <f>AVERAGE('Weekly Analysis'!B25:G25)</f>
        <v>83.103965517241377</v>
      </c>
      <c r="E27" s="269">
        <f>AVERAGE('Weekly Analysis'!H25:M25)</f>
        <v>56.933103448275858</v>
      </c>
      <c r="F27" s="269">
        <f>AVERAGE('Weekly Analysis'!N25:S25)</f>
        <v>37.64931034482759</v>
      </c>
      <c r="G27" s="269">
        <f>AVERAGE('Weekly Analysis'!T25:Y25)</f>
        <v>2.295689655172414</v>
      </c>
      <c r="H27" s="269">
        <f>AVERAGE('Weekly Analysis'!Z25:AE25)</f>
        <v>73.921206896551723</v>
      </c>
      <c r="I27" s="269">
        <f>AVERAGE('Weekly Analysis'!AF25:AK25)</f>
        <v>80.808275862068953</v>
      </c>
      <c r="J27" s="269">
        <f>AVERAGE('Weekly Analysis'!AL25:AQ25)</f>
        <v>178.14551724137928</v>
      </c>
      <c r="K27" s="269">
        <f>AVERAGE('Weekly Analysis'!AR25:AW25)</f>
        <v>0</v>
      </c>
      <c r="L27" s="245">
        <f>AVERAGE('Weekly Analysis'!AX25:BC25)</f>
        <v>97.796379310344832</v>
      </c>
      <c r="M27" s="247">
        <f>AVERAGE('Weekly Analysis'!BD25:BI25)</f>
        <v>338.84379310344826</v>
      </c>
      <c r="N27" s="269">
        <f>AVERAGE('Weekly Analysis'!BJ25:BO25)</f>
        <v>733.70241379310335</v>
      </c>
      <c r="O27" s="269">
        <f>AVERAGE('Weekly Analysis'!BP25:BU25)</f>
        <v>455.46482758620687</v>
      </c>
      <c r="P27" s="269">
        <f>AVERAGE('Weekly Analysis'!BV25:CA25)</f>
        <v>112.0296551724138</v>
      </c>
      <c r="Q27" s="269">
        <f>AVERAGE('Weekly Analysis'!CB25:CG25)</f>
        <v>226.81413793103448</v>
      </c>
      <c r="R27" s="269">
        <f>AVERAGE('Weekly Analysis'!CH25:CM25)</f>
        <v>683.19724137931041</v>
      </c>
      <c r="S27" s="777">
        <f>AVERAGE('Weekly Analysis'!CN25:CS25)</f>
        <v>327.82448275862066</v>
      </c>
      <c r="T27" s="777">
        <f>AVERAGE('Weekly Analysis'!CT25:CY25)</f>
        <v>101.05190891895823</v>
      </c>
      <c r="U27" s="789">
        <f>AVERAGE('Weekly Analysis'!CZ25:DE25)</f>
        <v>5.9687931034482746</v>
      </c>
      <c r="V27" s="789">
        <f>AVERAGE('Weekly Analysis'!DF25:DK25)</f>
        <v>241.96568965517238</v>
      </c>
      <c r="W27" s="789">
        <f>AVERAGE('Weekly Analysis'!DL25:DQ25)</f>
        <v>334.03701575138354</v>
      </c>
      <c r="X27" s="789">
        <f>AVERAGE('Weekly Analysis'!DR25:DW25)</f>
        <v>98.714655172413799</v>
      </c>
      <c r="Y27" s="789">
        <f>AVERAGE('Weekly Analysis'!DW25:EC25)</f>
        <v>141.67684729064038</v>
      </c>
      <c r="Z27" s="789">
        <f t="shared" si="8"/>
        <v>43.521594684385377</v>
      </c>
      <c r="AA27" s="777">
        <f t="shared" si="9"/>
        <v>2273.6263736263741</v>
      </c>
      <c r="AB27" s="307">
        <f t="shared" si="10"/>
        <v>42.962192118226582</v>
      </c>
    </row>
    <row r="28" spans="2:29" ht="25.5" customHeight="1">
      <c r="B28" s="189" t="s">
        <v>40</v>
      </c>
      <c r="C28" s="837">
        <f t="shared" si="2"/>
        <v>171.01616666666669</v>
      </c>
      <c r="D28" s="269">
        <f>AVERAGE('Weekly Analysis'!B26:G26)</f>
        <v>186.25800000000001</v>
      </c>
      <c r="E28" s="269">
        <f>AVERAGE('Weekly Analysis'!H26:M26)</f>
        <v>174.37216666666669</v>
      </c>
      <c r="F28" s="269">
        <f>AVERAGE('Weekly Analysis'!N26:S26)</f>
        <v>233.24200000000005</v>
      </c>
      <c r="G28" s="269">
        <f>AVERAGE('Weekly Analysis'!T26:Y26)</f>
        <v>90.19250000000001</v>
      </c>
      <c r="H28" s="269">
        <f>AVERAGE('Weekly Analysis'!Z26:AE26)</f>
        <v>264.84433333333334</v>
      </c>
      <c r="I28" s="269">
        <f>AVERAGE('Weekly Analysis'!AF26:AK26)</f>
        <v>300.36200000000002</v>
      </c>
      <c r="J28" s="269">
        <f>AVERAGE('Weekly Analysis'!AL26:AQ26)</f>
        <v>29.365000000000006</v>
      </c>
      <c r="K28" s="269">
        <f>AVERAGE('Weekly Analysis'!AR26:AW26)</f>
        <v>0</v>
      </c>
      <c r="L28" s="245">
        <f>AVERAGE('Weekly Analysis'!AX26:BC26)</f>
        <v>186.11816666666667</v>
      </c>
      <c r="M28" s="247">
        <f>AVERAGE('Weekly Analysis'!BD26:BI26)</f>
        <v>247.22533333333334</v>
      </c>
      <c r="N28" s="269">
        <f>AVERAGE('Weekly Analysis'!BJ26:BO26)</f>
        <v>154.93533333333335</v>
      </c>
      <c r="O28" s="269">
        <f>AVERAGE('Weekly Analysis'!BP26:BU26)</f>
        <v>161.50750000000002</v>
      </c>
      <c r="P28" s="269">
        <f>AVERAGE('Weekly Analysis'!BV26:CA26)</f>
        <v>199.82183333333339</v>
      </c>
      <c r="Q28" s="269">
        <f>AVERAGE('Weekly Analysis'!CB26:CG26)</f>
        <v>311.40883333333335</v>
      </c>
      <c r="R28" s="269">
        <f>AVERAGE('Weekly Analysis'!CH26:CM26)</f>
        <v>159.68966666666665</v>
      </c>
      <c r="S28" s="777">
        <f>AVERAGE('Weekly Analysis'!CN26:CS26)</f>
        <v>159.13033333333337</v>
      </c>
      <c r="T28" s="777">
        <f>AVERAGE('Weekly Analysis'!CT26:CY26)</f>
        <v>260.92900000000003</v>
      </c>
      <c r="U28" s="789">
        <f>AVERAGE('Weekly Analysis'!CZ26:DE26)</f>
        <v>73.692166666666679</v>
      </c>
      <c r="V28" s="789">
        <f>AVERAGE('Weekly Analysis'!DF26:DK26)</f>
        <v>83.061000000000007</v>
      </c>
      <c r="W28" s="789">
        <f>AVERAGE('Weekly Analysis'!DL26:DQ26)</f>
        <v>142.13216743827164</v>
      </c>
      <c r="X28" s="789">
        <f>AVERAGE('Weekly Analysis'!DR26:DW26)</f>
        <v>147.52416666666667</v>
      </c>
      <c r="Y28" s="789">
        <f>AVERAGE('Weekly Analysis'!DW26:EC26)</f>
        <v>151.61928571428575</v>
      </c>
      <c r="Z28" s="789">
        <f t="shared" si="8"/>
        <v>2.775897088693327</v>
      </c>
      <c r="AA28" s="777">
        <f t="shared" si="9"/>
        <v>105.74681485497428</v>
      </c>
      <c r="AB28" s="307">
        <f t="shared" si="10"/>
        <v>4.0951190476190789</v>
      </c>
    </row>
    <row r="29" spans="2:29" ht="25.5" customHeight="1">
      <c r="B29" s="189" t="s">
        <v>41</v>
      </c>
      <c r="C29" s="837">
        <f t="shared" si="2"/>
        <v>44.66472222222221</v>
      </c>
      <c r="D29" s="269">
        <f>AVERAGE('Weekly Analysis'!B27:G27)</f>
        <v>86.028040123456776</v>
      </c>
      <c r="E29" s="269">
        <f>AVERAGE('Weekly Analysis'!H27:M27)</f>
        <v>22.140756172839506</v>
      </c>
      <c r="F29" s="269">
        <f>AVERAGE('Weekly Analysis'!N27:S27)</f>
        <v>67.787021604938261</v>
      </c>
      <c r="G29" s="269">
        <f>AVERAGE('Weekly Analysis'!T27:Y27)</f>
        <v>2.7030709876543209</v>
      </c>
      <c r="H29" s="269">
        <f>AVERAGE('Weekly Analysis'!Z27:AE27)</f>
        <v>46.303209876543207</v>
      </c>
      <c r="I29" s="269">
        <f>AVERAGE('Weekly Analysis'!AF27:AK27)</f>
        <v>32.902623456790117</v>
      </c>
      <c r="J29" s="269">
        <f>AVERAGE('Weekly Analysis'!AL27:AQ27)</f>
        <v>44.147777777777776</v>
      </c>
      <c r="K29" s="269">
        <f>AVERAGE('Weekly Analysis'!AR27:AW27)</f>
        <v>0</v>
      </c>
      <c r="L29" s="245">
        <f>AVERAGE('Weekly Analysis'!AX27:BC27)</f>
        <v>30.562268518518511</v>
      </c>
      <c r="M29" s="247">
        <f>AVERAGE('Weekly Analysis'!BD27:BI27)</f>
        <v>33.5574537037037</v>
      </c>
      <c r="N29" s="269">
        <f>AVERAGE('Weekly Analysis'!BJ27:BO27)</f>
        <v>260.28638888888889</v>
      </c>
      <c r="O29" s="269">
        <f>AVERAGE('Weekly Analysis'!BP27:BU27)</f>
        <v>251.60933641975305</v>
      </c>
      <c r="P29" s="269">
        <f>AVERAGE('Weekly Analysis'!BV27:CA27)</f>
        <v>9.8431481481481473</v>
      </c>
      <c r="Q29" s="269">
        <f>AVERAGE('Weekly Analysis'!CB27:CG27)</f>
        <v>35.228703703703701</v>
      </c>
      <c r="R29" s="269">
        <f>AVERAGE('Weekly Analysis'!CH27:CM27)</f>
        <v>283.50725308641972</v>
      </c>
      <c r="S29" s="777">
        <f>AVERAGE('Weekly Analysis'!CN27:CS27)</f>
        <v>216.17194444444445</v>
      </c>
      <c r="T29" s="777">
        <f>AVERAGE('Weekly Analysis'!CT27:CY27)</f>
        <v>3.4673148148148147</v>
      </c>
      <c r="U29" s="789">
        <f>AVERAGE('Weekly Analysis'!CZ27:DE27)</f>
        <v>24.238966049382714</v>
      </c>
      <c r="V29" s="789">
        <f>AVERAGE('Weekly Analysis'!DF27:DK27)</f>
        <v>124.84608024691359</v>
      </c>
      <c r="W29" s="789">
        <f>AVERAGE('Weekly Analysis'!DL27:DQ27)</f>
        <v>181.53471953113092</v>
      </c>
      <c r="X29" s="789">
        <f>AVERAGE('Weekly Analysis'!DR27:DW27)</f>
        <v>1.0941666666666667</v>
      </c>
      <c r="Y29" s="789">
        <f>AVERAGE('Weekly Analysis'!DW27:EC27)</f>
        <v>20.349298941798942</v>
      </c>
      <c r="Z29" s="789">
        <f t="shared" si="8"/>
        <v>1759.7988370265598</v>
      </c>
      <c r="AA29" s="777">
        <f t="shared" si="9"/>
        <v>-16.047165954435698</v>
      </c>
      <c r="AB29" s="307">
        <f t="shared" si="10"/>
        <v>19.255132275132276</v>
      </c>
    </row>
    <row r="30" spans="2:29" ht="25.5" customHeight="1">
      <c r="B30" s="248" t="s">
        <v>350</v>
      </c>
      <c r="C30" s="838">
        <f t="shared" si="2"/>
        <v>197.96069934318558</v>
      </c>
      <c r="D30" s="603">
        <f>AVERAGE('Weekly Analysis'!B28:G28)</f>
        <v>76.404384236453211</v>
      </c>
      <c r="E30" s="603">
        <f>AVERAGE('Weekly Analysis'!H28:M28)</f>
        <v>28.903523809523808</v>
      </c>
      <c r="F30" s="603">
        <f>AVERAGE('Weekly Analysis'!N28:S28)</f>
        <v>644.04313070607566</v>
      </c>
      <c r="G30" s="603">
        <f>AVERAGE('Weekly Analysis'!T28:Y28)</f>
        <v>42.491758620689659</v>
      </c>
      <c r="H30" s="603">
        <f>AVERAGE('Weekly Analysis'!Z28:AE28)</f>
        <v>272.72633973727426</v>
      </c>
      <c r="I30" s="603">
        <f>AVERAGE('Weekly Analysis'!AF28:AK28)</f>
        <v>12.27857142857143</v>
      </c>
      <c r="J30" s="603">
        <f>AVERAGE('Weekly Analysis'!AL28:AQ28)</f>
        <v>63.513553530377671</v>
      </c>
      <c r="K30" s="603">
        <f>AVERAGE('Weekly Analysis'!AR28:AW28)</f>
        <v>0</v>
      </c>
      <c r="L30" s="249">
        <f>AVERAGE('Weekly Analysis'!AX28:BC28)</f>
        <v>148.38791592775044</v>
      </c>
      <c r="M30" s="251">
        <f>AVERAGE('Weekly Analysis'!BD28:BI28)</f>
        <v>21.978642857142859</v>
      </c>
      <c r="N30" s="603">
        <f>AVERAGE('Weekly Analysis'!BJ28:BO28)</f>
        <v>767.41215977011507</v>
      </c>
      <c r="O30" s="603">
        <f>AVERAGE('Weekly Analysis'!BP28:BU28)</f>
        <v>1175.5055850574715</v>
      </c>
      <c r="P30" s="603">
        <f>AVERAGE('Weekly Analysis'!BV28:CA28)</f>
        <v>175.05674958949098</v>
      </c>
      <c r="Q30" s="603">
        <f>AVERAGE('Weekly Analysis'!CB28:CG28)</f>
        <v>56.562529064039417</v>
      </c>
      <c r="R30" s="603">
        <f>AVERAGE('Weekly Analysis'!CH28:CM28)</f>
        <v>952.3713123152711</v>
      </c>
      <c r="S30" s="839">
        <f>AVERAGE('Weekly Analysis'!CN28:CS28)</f>
        <v>933.17584745484407</v>
      </c>
      <c r="T30" s="839">
        <f>AVERAGE('Weekly Analysis'!CT28:CY28)</f>
        <v>78.510040722495901</v>
      </c>
      <c r="U30" s="849">
        <f>AVERAGE('Weekly Analysis'!CZ28:DE28)</f>
        <v>3.5607857142857142</v>
      </c>
      <c r="V30" s="849">
        <f>AVERAGE('Weekly Analysis'!DF28:DK28)</f>
        <v>337.50802922824306</v>
      </c>
      <c r="W30" s="849">
        <f>AVERAGE('Weekly Analysis'!DL28:DQ28)</f>
        <v>518.54346147017986</v>
      </c>
      <c r="X30" s="849">
        <f>AVERAGE('Weekly Analysis'!DR28:DW28)</f>
        <v>8.5131436781609207</v>
      </c>
      <c r="Y30" s="839">
        <f>AVERAGE('Weekly Analysis'!DW28:EC28)</f>
        <v>40.133164532019705</v>
      </c>
      <c r="Z30" s="849">
        <f t="shared" si="8"/>
        <v>371.42590386410114</v>
      </c>
      <c r="AA30" s="839">
        <f t="shared" si="9"/>
        <v>1027.0873271314035</v>
      </c>
      <c r="AB30" s="307">
        <f t="shared" si="10"/>
        <v>31.620020853858783</v>
      </c>
    </row>
    <row r="31" spans="2:29" ht="20.25" customHeight="1">
      <c r="B31" s="619"/>
      <c r="C31" s="245"/>
      <c r="D31" s="245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5"/>
      <c r="T31" s="233"/>
      <c r="U31" s="233"/>
      <c r="V31" s="233"/>
      <c r="W31" s="233"/>
      <c r="X31" s="233"/>
      <c r="Y31" s="233"/>
      <c r="Z31" s="233"/>
      <c r="AA31" s="233"/>
    </row>
    <row r="32" spans="2:29" ht="18.5">
      <c r="B32" s="620" t="s">
        <v>162</v>
      </c>
      <c r="C32" s="234"/>
      <c r="D32" s="252"/>
      <c r="E32" s="234"/>
      <c r="F32" s="234"/>
      <c r="G32" s="234"/>
      <c r="H32" s="234"/>
      <c r="I32" s="234"/>
      <c r="J32" s="234"/>
      <c r="K32" s="234"/>
      <c r="L32" s="234"/>
      <c r="M32" s="234"/>
      <c r="N32" s="234"/>
      <c r="O32" s="234"/>
      <c r="P32" s="252"/>
      <c r="Q32" s="234"/>
      <c r="R32" s="234"/>
      <c r="S32" s="234"/>
      <c r="T32" s="233"/>
      <c r="U32" s="233"/>
      <c r="V32" s="233"/>
      <c r="W32" s="233"/>
      <c r="X32" s="233"/>
      <c r="Y32" s="233"/>
      <c r="Z32" s="233"/>
      <c r="AA32" s="233"/>
    </row>
    <row r="33" spans="2:38">
      <c r="B33" s="621"/>
      <c r="C33" s="234"/>
      <c r="D33" s="234"/>
      <c r="E33" s="234"/>
      <c r="F33" s="234"/>
      <c r="G33" s="234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3"/>
      <c r="U33" s="233"/>
      <c r="V33" s="233"/>
      <c r="W33" s="233"/>
      <c r="X33" s="233"/>
      <c r="Y33" s="233"/>
      <c r="Z33" s="233"/>
      <c r="AA33" s="233"/>
    </row>
    <row r="34" spans="2:38" ht="21">
      <c r="B34" s="238" t="s">
        <v>56</v>
      </c>
      <c r="C34" s="270" t="s">
        <v>213</v>
      </c>
      <c r="D34" s="270" t="s">
        <v>314</v>
      </c>
      <c r="E34" s="270" t="s">
        <v>317</v>
      </c>
      <c r="F34" s="270" t="s">
        <v>343</v>
      </c>
      <c r="G34" s="270" t="s">
        <v>323</v>
      </c>
      <c r="H34" s="270" t="s">
        <v>302</v>
      </c>
      <c r="I34" s="270" t="s">
        <v>305</v>
      </c>
      <c r="J34" s="270" t="s">
        <v>344</v>
      </c>
      <c r="K34" s="270" t="s">
        <v>311</v>
      </c>
      <c r="L34" s="270" t="s">
        <v>168</v>
      </c>
      <c r="M34" s="270" t="s">
        <v>171</v>
      </c>
      <c r="N34" s="270" t="s">
        <v>345</v>
      </c>
      <c r="O34" s="270" t="s">
        <v>177</v>
      </c>
      <c r="P34" s="270" t="s">
        <v>180</v>
      </c>
      <c r="Q34" s="270" t="s">
        <v>334</v>
      </c>
      <c r="R34" s="270" t="s">
        <v>346</v>
      </c>
      <c r="S34" s="778" t="s">
        <v>389</v>
      </c>
      <c r="T34" s="778" t="s">
        <v>401</v>
      </c>
      <c r="U34" s="778" t="s">
        <v>430</v>
      </c>
      <c r="V34" s="778" t="s">
        <v>431</v>
      </c>
      <c r="W34" s="778" t="s">
        <v>432</v>
      </c>
      <c r="X34" s="778" t="s">
        <v>444</v>
      </c>
      <c r="Y34" s="778" t="s">
        <v>458</v>
      </c>
      <c r="Z34" s="790" t="s">
        <v>347</v>
      </c>
      <c r="AA34" s="790" t="s">
        <v>443</v>
      </c>
    </row>
    <row r="35" spans="2:38">
      <c r="B35" s="856" t="s">
        <v>445</v>
      </c>
      <c r="C35" s="868">
        <f>AVERAGE(C36:C42)</f>
        <v>121.41026517857142</v>
      </c>
      <c r="D35" s="881">
        <f t="shared" ref="D35:X35" si="11">AVERAGE(D36:D42)</f>
        <v>120.27388171428572</v>
      </c>
      <c r="E35" s="881">
        <f t="shared" si="11"/>
        <v>125.40187471428571</v>
      </c>
      <c r="F35" s="881">
        <f t="shared" si="11"/>
        <v>123.12298157142857</v>
      </c>
      <c r="G35" s="881">
        <f t="shared" si="11"/>
        <v>116.84232271428573</v>
      </c>
      <c r="H35" s="881">
        <f t="shared" si="11"/>
        <v>123.99530242857142</v>
      </c>
      <c r="I35" s="881">
        <f t="shared" si="11"/>
        <v>86.835681000000008</v>
      </c>
      <c r="J35" s="881">
        <f t="shared" si="11"/>
        <v>115.98766542857143</v>
      </c>
      <c r="K35" s="881">
        <f t="shared" si="11"/>
        <v>0</v>
      </c>
      <c r="L35" s="881">
        <f t="shared" si="11"/>
        <v>120.01449442857142</v>
      </c>
      <c r="M35" s="881">
        <f t="shared" si="11"/>
        <v>96.153941142857121</v>
      </c>
      <c r="N35" s="881">
        <f t="shared" si="11"/>
        <v>99.247203285714278</v>
      </c>
      <c r="O35" s="881">
        <f t="shared" si="11"/>
        <v>128.8180077142857</v>
      </c>
      <c r="P35" s="881">
        <f t="shared" si="11"/>
        <v>121.46539642857142</v>
      </c>
      <c r="Q35" s="881">
        <f t="shared" si="11"/>
        <v>114.3144232857143</v>
      </c>
      <c r="R35" s="881">
        <f t="shared" si="11"/>
        <v>108.12277128571429</v>
      </c>
      <c r="S35" s="881">
        <f t="shared" si="11"/>
        <v>107.89781857142859</v>
      </c>
      <c r="T35" s="881">
        <f t="shared" si="11"/>
        <v>102.46522585714285</v>
      </c>
      <c r="U35" s="881">
        <f t="shared" si="11"/>
        <v>75.971848142857155</v>
      </c>
      <c r="V35" s="881">
        <f>AVERAGE(V36:V42)</f>
        <v>115.45683242857142</v>
      </c>
      <c r="W35" s="881">
        <f t="shared" si="11"/>
        <v>117.01080857142857</v>
      </c>
      <c r="X35" s="881">
        <f t="shared" si="11"/>
        <v>103.50057971428571</v>
      </c>
      <c r="Y35" s="881">
        <f>AVERAGE(Y36:Y42)</f>
        <v>91.995681142857151</v>
      </c>
      <c r="Z35" s="881">
        <f>Y35/X35*100-100</f>
        <v>-11.115781769713678</v>
      </c>
      <c r="AA35" s="881">
        <f>Y35/U35*100-100</f>
        <v>21.091803597918073</v>
      </c>
      <c r="AB35" s="848"/>
      <c r="AC35" s="307"/>
    </row>
    <row r="36" spans="2:38" ht="25.5" customHeight="1">
      <c r="B36" s="189" t="s">
        <v>9</v>
      </c>
      <c r="C36" s="840">
        <f>AVERAGE(D36:G36)</f>
        <v>137.18467199999998</v>
      </c>
      <c r="D36" s="246">
        <f>ROUND(AVERAGE('Weekly Analysis'!B7*'Weekly Analysis'!B34+'Weekly Analysis'!C7*'Weekly Analysis'!C34+'Weekly Analysis'!D7*'Weekly Analysis'!D34+'Weekly Analysis'!E7*'Weekly Analysis'!E34+'Weekly Analysis'!F7*'Weekly Analysis'!F34+'Weekly Analysis'!G7*'Weekly Analysis'!G34)/('Weekly Analysis'!B7+'Weekly Analysis'!C7+'Weekly Analysis'!D7+'Weekly Analysis'!E7+'Weekly Analysis'!F7+'Weekly Analysis'!G7),6)</f>
        <v>130.97711799999999</v>
      </c>
      <c r="E36" s="246">
        <f>ROUND(AVERAGE('Weekly Analysis'!H7*'Weekly Analysis'!H34+'Weekly Analysis'!I7*'Weekly Analysis'!I34+'Weekly Analysis'!J7*'Weekly Analysis'!J34+'Weekly Analysis'!K7*'Weekly Analysis'!K34+'Weekly Analysis'!L7*'Weekly Analysis'!L34+'Weekly Analysis'!M7*'Weekly Analysis'!M34)/('Weekly Analysis'!H7+'Weekly Analysis'!I7+'Weekly Analysis'!J7+'Weekly Analysis'!K7+'Weekly Analysis'!L7+'Weekly Analysis'!M7),6)</f>
        <v>178.88118900000001</v>
      </c>
      <c r="F36" s="246">
        <f>ROUND(AVERAGE('Weekly Analysis'!N7*'Weekly Analysis'!N34+'Weekly Analysis'!O7*'Weekly Analysis'!O34+'Weekly Analysis'!P7*'Weekly Analysis'!P34+'Weekly Analysis'!Q7*'Weekly Analysis'!Q34+'Weekly Analysis'!R7*'Weekly Analysis'!R34+'Weekly Analysis'!S7*'Weekly Analysis'!S34)/('Weekly Analysis'!N7+'Weekly Analysis'!O7+'Weekly Analysis'!P7+'Weekly Analysis'!Q7+'Weekly Analysis'!R7+'Weekly Analysis'!S7),6)</f>
        <v>108.587221</v>
      </c>
      <c r="G36" s="246">
        <f>ROUND(AVERAGE('Weekly Analysis'!T7*'Weekly Analysis'!T34+'Weekly Analysis'!U7*'Weekly Analysis'!U34+'Weekly Analysis'!V7*'Weekly Analysis'!V34+'Weekly Analysis'!W7*'Weekly Analysis'!W34+'Weekly Analysis'!X7*'Weekly Analysis'!X34+'Weekly Analysis'!Y7*'Weekly Analysis'!Y34)/('Weekly Analysis'!T7+'Weekly Analysis'!U7+'Weekly Analysis'!V7+'Weekly Analysis'!W7+'Weekly Analysis'!X7+'Weekly Analysis'!Y7),6)</f>
        <v>130.29316</v>
      </c>
      <c r="H36" s="246">
        <f>ROUND(AVERAGE('Weekly Analysis'!Z7*'Weekly Analysis'!Z34+'Weekly Analysis'!AA7*'Weekly Analysis'!AA34+'Weekly Analysis'!AB7*'Weekly Analysis'!AB34+'Weekly Analysis'!AC7*'Weekly Analysis'!AC34+'Weekly Analysis'!AD7*'Weekly Analysis'!AD34+'Weekly Analysis'!AE7*'Weekly Analysis'!AE34)/('Weekly Analysis'!Z7+'Weekly Analysis'!AA7+'Weekly Analysis'!AB7+'Weekly Analysis'!AC7+'Weekly Analysis'!AD7+'Weekly Analysis'!AE7),6)</f>
        <v>140.275238</v>
      </c>
      <c r="I36" s="246">
        <f>ROUND(AVERAGE('Weekly Analysis'!AF7*'Weekly Analysis'!AF34+'Weekly Analysis'!AG7*'Weekly Analysis'!AG34+'Weekly Analysis'!AH7*'Weekly Analysis'!AH34+'Weekly Analysis'!AI7*'Weekly Analysis'!AI34+'Weekly Analysis'!AJ7*'Weekly Analysis'!AJ34+'Weekly Analysis'!AK7*'Weekly Analysis'!AK34)/('Weekly Analysis'!AF7+'Weekly Analysis'!AG7+'Weekly Analysis'!AH7+'Weekly Analysis'!AI7+'Weekly Analysis'!AJ7+'Weekly Analysis'!AK7),6)</f>
        <v>104.682901</v>
      </c>
      <c r="J36" s="246">
        <f>ROUND(AVERAGE('Weekly Analysis'!AL7*'Weekly Analysis'!AL34+'Weekly Analysis'!AM7*'Weekly Analysis'!AM34+'Weekly Analysis'!AN7*'Weekly Analysis'!AN34+'Weekly Analysis'!AO7*'Weekly Analysis'!AO34+'Weekly Analysis'!AP7*'Weekly Analysis'!AP34+'Weekly Analysis'!AQ7*'Weekly Analysis'!AQ34)/('Weekly Analysis'!AL7+'Weekly Analysis'!AM7+'Weekly Analysis'!AN7+'Weekly Analysis'!AO7+'Weekly Analysis'!AP7+'Weekly Analysis'!AQ7),6)</f>
        <v>104.003461</v>
      </c>
      <c r="K36" s="246">
        <v>0</v>
      </c>
      <c r="L36" s="246">
        <f>ROUND(AVERAGE('Weekly Analysis'!AX7*'Weekly Analysis'!AX34+'Weekly Analysis'!AY7*'Weekly Analysis'!AY34+'Weekly Analysis'!AZ7*'Weekly Analysis'!AZ34+'Weekly Analysis'!BA7*'Weekly Analysis'!BA34+'Weekly Analysis'!BB7*'Weekly Analysis'!BB34+'Weekly Analysis'!BC7*'Weekly Analysis'!BC34)/('Weekly Analysis'!AX7+'Weekly Analysis'!AY7+'Weekly Analysis'!AZ7+'Weekly Analysis'!BA7+'Weekly Analysis'!BB7+'Weekly Analysis'!BC7),6)</f>
        <v>101.411101</v>
      </c>
      <c r="M36" s="246">
        <f>ROUND(AVERAGE('Weekly Analysis'!BD7*'Weekly Analysis'!BD34+'Weekly Analysis'!BE7*'Weekly Analysis'!BE34+'Weekly Analysis'!BF7*'Weekly Analysis'!BF34+'Weekly Analysis'!BG7*'Weekly Analysis'!BG34+'Weekly Analysis'!BH7*'Weekly Analysis'!BH34+'Weekly Analysis'!BI7*'Weekly Analysis'!BI34)/('Weekly Analysis'!BD7+'Weekly Analysis'!BE7+'Weekly Analysis'!BF7+'Weekly Analysis'!BG7+'Weekly Analysis'!BH7+'Weekly Analysis'!BI7),6)</f>
        <v>134.240151</v>
      </c>
      <c r="N36" s="246">
        <f>ROUND(AVERAGE('Weekly Analysis'!BJ7*'Weekly Analysis'!BJ34+'Weekly Analysis'!BK7*'Weekly Analysis'!BK34+'Weekly Analysis'!BL7*'Weekly Analysis'!BL34+'Weekly Analysis'!BM7*'Weekly Analysis'!BM34+'Weekly Analysis'!BN7*'Weekly Analysis'!BN34+'Weekly Analysis'!BO7*'Weekly Analysis'!BO34)/('Weekly Analysis'!BJ7+'Weekly Analysis'!BK7+'Weekly Analysis'!BL7+'Weekly Analysis'!BM7+'Weekly Analysis'!BN7+'Weekly Analysis'!BO7),6)</f>
        <v>120.045868</v>
      </c>
      <c r="O36" s="246">
        <f>ROUND(AVERAGE('Weekly Analysis'!BP7*'Weekly Analysis'!BP34+'Weekly Analysis'!BQ7*'Weekly Analysis'!BQ34+'Weekly Analysis'!BR7*'Weekly Analysis'!BR34+'Weekly Analysis'!BS7*'Weekly Analysis'!BS34+'Weekly Analysis'!BT7*'Weekly Analysis'!BT34+'Weekly Analysis'!BU7*'Weekly Analysis'!BU34)/('Weekly Analysis'!BP7+'Weekly Analysis'!BQ7+'Weekly Analysis'!BR7+'Weekly Analysis'!BS7+'Weekly Analysis'!BT7+'Weekly Analysis'!BU7),6)</f>
        <v>105.338927</v>
      </c>
      <c r="P36" s="246">
        <f>ROUND(AVERAGE('Weekly Analysis'!BV7*'Weekly Analysis'!BV34+'Weekly Analysis'!BW7*'Weekly Analysis'!BW34+'Weekly Analysis'!BX7*'Weekly Analysis'!BX34+'Weekly Analysis'!BY7*'Weekly Analysis'!BY34+'Weekly Analysis'!BZ7*'Weekly Analysis'!BZ34+'Weekly Analysis'!CA7*'Weekly Analysis'!CA34)/('Weekly Analysis'!BV7+'Weekly Analysis'!BW7+'Weekly Analysis'!BX7+'Weekly Analysis'!BY7+'Weekly Analysis'!BZ7+'Weekly Analysis'!CA7),6)</f>
        <v>151.205445</v>
      </c>
      <c r="Q36" s="247">
        <f>ROUND(AVERAGE('Weekly Analysis'!CB7*'Weekly Analysis'!CB34+'Weekly Analysis'!CC7*'Weekly Analysis'!CC34+'Weekly Analysis'!CD7*'Weekly Analysis'!CD34+'Weekly Analysis'!CE7*'Weekly Analysis'!CE34+'Weekly Analysis'!CF7*'Weekly Analysis'!CF34+'Weekly Analysis'!CG7*'Weekly Analysis'!CG34)/('Weekly Analysis'!CB7+'Weekly Analysis'!CC7+'Weekly Analysis'!CD7+'Weekly Analysis'!CE7+'Weekly Analysis'!CF7+'Weekly Analysis'!CG7),6)</f>
        <v>159.644959</v>
      </c>
      <c r="R36" s="269">
        <f>ROUND(AVERAGE('Weekly Analysis'!CH7*'Weekly Analysis'!CH34+'Weekly Analysis'!CI7*'Weekly Analysis'!CI34+'Weekly Analysis'!CJ7*'Weekly Analysis'!CJ34+'Weekly Analysis'!CK7*'Weekly Analysis'!CK34+'Weekly Analysis'!CL7*'Weekly Analysis'!CL34+'Weekly Analysis'!CM7*'Weekly Analysis'!CM34)/('Weekly Analysis'!CH7+'Weekly Analysis'!CI7+'Weekly Analysis'!CJ7+'Weekly Analysis'!CK7+'Weekly Analysis'!CL7+'Weekly Analysis'!CM7),6)</f>
        <v>131.384379</v>
      </c>
      <c r="S36" s="777">
        <f>ROUND(AVERAGE('Weekly Analysis'!CN7*'Weekly Analysis'!CN34+'Weekly Analysis'!CO7*'Weekly Analysis'!CO34+'Weekly Analysis'!CP7*'Weekly Analysis'!CP34+'Weekly Analysis'!CQ7*'Weekly Analysis'!CQ34+'Weekly Analysis'!CR7*'Weekly Analysis'!CR34+'Weekly Analysis'!CS7*'Weekly Analysis'!CS34)/('Weekly Analysis'!CN7+'Weekly Analysis'!CO7+'Weekly Analysis'!CP7+'Weekly Analysis'!CQ7+'Weekly Analysis'!CR7+'Weekly Analysis'!CS7),6)</f>
        <v>147.999447</v>
      </c>
      <c r="T36" s="791">
        <f>ROUND(AVERAGE('Weekly Analysis'!CT7*'Weekly Analysis'!CT34+'Weekly Analysis'!CU7*'Weekly Analysis'!CU34+'Weekly Analysis'!CV7*'Weekly Analysis'!CV34+'Weekly Analysis'!CW7*'Weekly Analysis'!CW34+'Weekly Analysis'!CX7*'Weekly Analysis'!CX34+'Weekly Analysis'!CY7*'Weekly Analysis'!CY34)/('Weekly Analysis'!CT7+'Weekly Analysis'!CU7+'Weekly Analysis'!CV7+'Weekly Analysis'!CW7+'Weekly Analysis'!CX7+'Weekly Analysis'!CY7),6)</f>
        <v>93.727362999999997</v>
      </c>
      <c r="U36" s="791">
        <f>ROUND(AVERAGE('Weekly Analysis'!CZ7*'Weekly Analysis'!CZ34+'Weekly Analysis'!DA7*'Weekly Analysis'!DA34+'Weekly Analysis'!DB7*'Weekly Analysis'!DB34+'Weekly Analysis'!DC7*'Weekly Analysis'!DB34+'Weekly Analysis'!DD7*'Weekly Analysis'!DD34+'Weekly Analysis'!DE7*'Weekly Analysis'!DE34)/('Weekly Analysis'!CZ7+'Weekly Analysis'!DA7+'Weekly Analysis'!DB7+'Weekly Analysis'!DC7+'Weekly Analysis'!DD7+'Weekly Analysis'!DE7),6)</f>
        <v>120.566472</v>
      </c>
      <c r="V36" s="791">
        <f>ROUND(AVERAGE('Weekly Analysis'!DF7*'Weekly Analysis'!DF34+'Weekly Analysis'!DG7*'Weekly Analysis'!DG34+'Weekly Analysis'!DH7*'Weekly Analysis'!DH34+'Weekly Analysis'!DI7*'Weekly Analysis'!DI34+'Weekly Analysis'!DJ7*'Weekly Analysis'!DJ34+'Weekly Analysis'!DK7*'Weekly Analysis'!DK34)/('Weekly Analysis'!DF7+'Weekly Analysis'!DG7+'Weekly Analysis'!DH7+'Weekly Analysis'!DI7+'Weekly Analysis'!DJ7+'Weekly Analysis'!DK7),6)</f>
        <v>116.05674500000001</v>
      </c>
      <c r="W36" s="791">
        <f>ROUND(AVERAGE('Weekly Analysis'!DL7*'Weekly Analysis'!DL34+'Weekly Analysis'!DM7*'Weekly Analysis'!DM34+'Weekly Analysis'!DN7*'Weekly Analysis'!DN34+'Weekly Analysis'!DO7*'Weekly Analysis'!DO34+'Weekly Analysis'!DP7*'Weekly Analysis'!DP34+'Weekly Analysis'!DQ7*'Weekly Analysis'!DQ34)/('Weekly Analysis'!DL7+'Weekly Analysis'!DM7+'Weekly Analysis'!DN7+'Weekly Analysis'!DO7+'Weekly Analysis'!DP7+'Weekly Analysis'!DQ7),6)</f>
        <v>122.976837</v>
      </c>
      <c r="X36" s="791">
        <f>ROUND(AVERAGE('Weekly Analysis'!DR7*'Weekly Analysis'!DR34+'Weekly Analysis'!DS7*'Weekly Analysis'!DS34+'Weekly Analysis'!DT7*'Weekly Analysis'!DT34+'Weekly Analysis'!DU7*'Weekly Analysis'!DU34+'Weekly Analysis'!DV7*'Weekly Analysis'!DV34+'Weekly Analysis'!DW7*'Weekly Analysis'!DW34)/('Weekly Analysis'!DR7+'Weekly Analysis'!DS7+'Weekly Analysis'!DT7+'Weekly Analysis'!DU7+'Weekly Analysis'!DV7+'Weekly Analysis'!DW7),6)</f>
        <v>109.344493</v>
      </c>
      <c r="Y36" s="791">
        <f>ROUND(AVERAGE('Weekly Analysis'!DX7*'Weekly Analysis'!DX34+'Weekly Analysis'!DY7*'Weekly Analysis'!DY34+'Weekly Analysis'!DZ7*'Weekly Analysis'!DZ34+'Weekly Analysis'!EA7*'Weekly Analysis'!EA34+'Weekly Analysis'!EB7*'Weekly Analysis'!EB34+'Weekly Analysis'!EC7*'Weekly Analysis'!EC34)/('Weekly Analysis'!DX7+'Weekly Analysis'!DY7+'Weekly Analysis'!DZ7+'Weekly Analysis'!EA7+'Weekly Analysis'!EB7+'Weekly Analysis'!EC7),6)</f>
        <v>109.313889</v>
      </c>
      <c r="Z36" s="791">
        <f>Y36/X36*100-100</f>
        <v>-2.7988606614144373E-2</v>
      </c>
      <c r="AA36" s="791">
        <f>Y36/U36*100-100</f>
        <v>-9.3330946931913275</v>
      </c>
      <c r="AB36" s="307"/>
      <c r="AC36" s="307"/>
    </row>
    <row r="37" spans="2:38" ht="25.5" customHeight="1">
      <c r="B37" s="189" t="s">
        <v>12</v>
      </c>
      <c r="C37" s="840">
        <f>AVERAGE(D37:G37)</f>
        <v>185.85868575000001</v>
      </c>
      <c r="D37" s="246">
        <f>ROUND(AVERAGE('Weekly Analysis'!B8*'Weekly Analysis'!B35+'Weekly Analysis'!C8*'Weekly Analysis'!C35+'Weekly Analysis'!D8*'Weekly Analysis'!D35+'Weekly Analysis'!E8*'Weekly Analysis'!E35+'Weekly Analysis'!F8*'Weekly Analysis'!F35+'Weekly Analysis'!G8*'Weekly Analysis'!G35)/('Weekly Analysis'!B8+'Weekly Analysis'!C8+'Weekly Analysis'!D8+'Weekly Analysis'!E8+'Weekly Analysis'!F8+'Weekly Analysis'!G8),6)</f>
        <v>152.025768</v>
      </c>
      <c r="E37" s="246">
        <f>ROUND(AVERAGE('Weekly Analysis'!H8*'Weekly Analysis'!H35+'Weekly Analysis'!I8*'Weekly Analysis'!I35+'Weekly Analysis'!J8*'Weekly Analysis'!J35+'Weekly Analysis'!K8*'Weekly Analysis'!K35+'Weekly Analysis'!L8*'Weekly Analysis'!L35+'Weekly Analysis'!M8*'Weekly Analysis'!M35)/('Weekly Analysis'!H8+'Weekly Analysis'!I8+'Weekly Analysis'!J8+'Weekly Analysis'!K8+'Weekly Analysis'!L8+'Weekly Analysis'!M8),6)</f>
        <v>165.70117099999999</v>
      </c>
      <c r="F37" s="246">
        <f>ROUND(AVERAGE('Weekly Analysis'!N8*'Weekly Analysis'!N35+'Weekly Analysis'!O8*'Weekly Analysis'!O35+'Weekly Analysis'!P8*'Weekly Analysis'!P35+'Weekly Analysis'!Q8*'Weekly Analysis'!Q35+'Weekly Analysis'!R8*'Weekly Analysis'!R35+'Weekly Analysis'!S8*'Weekly Analysis'!S35)/('Weekly Analysis'!N8+'Weekly Analysis'!O8+'Weekly Analysis'!P8+'Weekly Analysis'!Q8+'Weekly Analysis'!R8+'Weekly Analysis'!S8),6)</f>
        <v>219.37553800000001</v>
      </c>
      <c r="G37" s="246">
        <f>ROUND(AVERAGE('Weekly Analysis'!T8*'Weekly Analysis'!T35+'Weekly Analysis'!U8*'Weekly Analysis'!U35+'Weekly Analysis'!V8*'Weekly Analysis'!V35+'Weekly Analysis'!W8*'Weekly Analysis'!W35+'Weekly Analysis'!X8*'Weekly Analysis'!X35+'Weekly Analysis'!Y8*'Weekly Analysis'!Y35)/('Weekly Analysis'!T8+'Weekly Analysis'!U8+'Weekly Analysis'!V8+'Weekly Analysis'!W8+'Weekly Analysis'!X8+'Weekly Analysis'!Y8),6)</f>
        <v>206.332266</v>
      </c>
      <c r="H37" s="246">
        <f>ROUND(AVERAGE('Weekly Analysis'!Z8*'Weekly Analysis'!Z35+'Weekly Analysis'!AA8*'Weekly Analysis'!AA35+'Weekly Analysis'!AB8*'Weekly Analysis'!AB35+'Weekly Analysis'!AC8*'Weekly Analysis'!AC35+'Weekly Analysis'!AD8*'Weekly Analysis'!AD35+'Weekly Analysis'!AE8*'Weekly Analysis'!AE35)/('Weekly Analysis'!Z8+'Weekly Analysis'!AA8+'Weekly Analysis'!AB8+'Weekly Analysis'!AC8+'Weekly Analysis'!AD8+'Weekly Analysis'!AE8),6)</f>
        <v>197.34841700000001</v>
      </c>
      <c r="I37" s="246">
        <f>ROUND(AVERAGE('Weekly Analysis'!AF8*'Weekly Analysis'!AF35+'Weekly Analysis'!AG8*'Weekly Analysis'!AG35+'Weekly Analysis'!AH8*'Weekly Analysis'!AH35+'Weekly Analysis'!AI8*'Weekly Analysis'!AI35+'Weekly Analysis'!AJ8*'Weekly Analysis'!AJ35+'Weekly Analysis'!AK8*'Weekly Analysis'!AK35)/('Weekly Analysis'!AF8+'Weekly Analysis'!AG8+'Weekly Analysis'!AH8+'Weekly Analysis'!AI8+'Weekly Analysis'!AJ8+'Weekly Analysis'!AK8),6)</f>
        <v>123.825855</v>
      </c>
      <c r="J37" s="246">
        <f>ROUND(AVERAGE('Weekly Analysis'!AL8*'Weekly Analysis'!AL35+'Weekly Analysis'!AM8*'Weekly Analysis'!AM35+'Weekly Analysis'!AN8*'Weekly Analysis'!AN35+'Weekly Analysis'!AO8*'Weekly Analysis'!AO35+'Weekly Analysis'!AP8*'Weekly Analysis'!AP35+'Weekly Analysis'!AQ8*'Weekly Analysis'!AQ35)/('Weekly Analysis'!AL8+'Weekly Analysis'!AM8+'Weekly Analysis'!AN8+'Weekly Analysis'!AO8+'Weekly Analysis'!AP8+'Weekly Analysis'!AQ8),6)</f>
        <v>137.849187</v>
      </c>
      <c r="K37" s="246">
        <v>0</v>
      </c>
      <c r="L37" s="246">
        <f>ROUND(AVERAGE('Weekly Analysis'!AX8*'Weekly Analysis'!AX35+'Weekly Analysis'!AY8*'Weekly Analysis'!AY35+'Weekly Analysis'!AZ8*'Weekly Analysis'!AZ35+'Weekly Analysis'!BA8*'Weekly Analysis'!BA35+'Weekly Analysis'!BB8*'Weekly Analysis'!BB35+'Weekly Analysis'!BC8*'Weekly Analysis'!BC35)/('Weekly Analysis'!AX8+'Weekly Analysis'!AY8+'Weekly Analysis'!AZ8+'Weekly Analysis'!BA8+'Weekly Analysis'!BB8+'Weekly Analysis'!BC8),6)</f>
        <v>174.949758</v>
      </c>
      <c r="M37" s="246">
        <f>ROUND(AVERAGE('Weekly Analysis'!BD8*'Weekly Analysis'!BD35+'Weekly Analysis'!BE8*'Weekly Analysis'!BE35+'Weekly Analysis'!BF8*'Weekly Analysis'!BF35+'Weekly Analysis'!BG8*'Weekly Analysis'!BG35+'Weekly Analysis'!BH8*'Weekly Analysis'!BH35+'Weekly Analysis'!BI8*'Weekly Analysis'!BI35)/('Weekly Analysis'!BD8+'Weekly Analysis'!BE8+'Weekly Analysis'!BF8+'Weekly Analysis'!BG8+'Weekly Analysis'!BH8+'Weekly Analysis'!BI8),6)</f>
        <v>137.648687</v>
      </c>
      <c r="N37" s="246">
        <f>ROUND(AVERAGE('Weekly Analysis'!BJ8*'Weekly Analysis'!BJ35+'Weekly Analysis'!BK8*'Weekly Analysis'!BK35+'Weekly Analysis'!BL8*'Weekly Analysis'!BL35+'Weekly Analysis'!BM8*'Weekly Analysis'!BM35+'Weekly Analysis'!BN8*'Weekly Analysis'!BN35+'Weekly Analysis'!BO8*'Weekly Analysis'!BO35)/('Weekly Analysis'!BJ8+'Weekly Analysis'!BK8+'Weekly Analysis'!BL8+'Weekly Analysis'!BM8+'Weekly Analysis'!BN8+'Weekly Analysis'!BO8),6)</f>
        <v>157.32873000000001</v>
      </c>
      <c r="O37" s="246">
        <f>ROUND(AVERAGE('Weekly Analysis'!BP8*'Weekly Analysis'!BP35+'Weekly Analysis'!BQ8*'Weekly Analysis'!BQ35+'Weekly Analysis'!BR8*'Weekly Analysis'!BR35+'Weekly Analysis'!BS8*'Weekly Analysis'!BS35+'Weekly Analysis'!BT8*'Weekly Analysis'!BT35+'Weekly Analysis'!BU8*'Weekly Analysis'!BU35)/('Weekly Analysis'!BP8+'Weekly Analysis'!BQ8+'Weekly Analysis'!BR8+'Weekly Analysis'!BS8+'Weekly Analysis'!BT8+'Weekly Analysis'!BU8),6)</f>
        <v>150.18580499999999</v>
      </c>
      <c r="P37" s="246">
        <f>ROUND(AVERAGE('Weekly Analysis'!BV8*'Weekly Analysis'!BV35+'Weekly Analysis'!BW8*'Weekly Analysis'!BW35+'Weekly Analysis'!BX8*'Weekly Analysis'!BX35+'Weekly Analysis'!BY8*'Weekly Analysis'!BY35+'Weekly Analysis'!BZ8*'Weekly Analysis'!BZ35+'Weekly Analysis'!CA8*'Weekly Analysis'!CA35)/('Weekly Analysis'!BV8+'Weekly Analysis'!BW8+'Weekly Analysis'!BX8+'Weekly Analysis'!BY8+'Weekly Analysis'!BZ8+'Weekly Analysis'!CA8),6)</f>
        <v>191.678898</v>
      </c>
      <c r="Q37" s="247">
        <f>ROUND(AVERAGE('Weekly Analysis'!CB8*'Weekly Analysis'!CB35+'Weekly Analysis'!CC8*'Weekly Analysis'!CC35+'Weekly Analysis'!CD8*'Weekly Analysis'!CD35+'Weekly Analysis'!CE8*'Weekly Analysis'!CE35+'Weekly Analysis'!CF8*'Weekly Analysis'!CF35+'Weekly Analysis'!CG8*'Weekly Analysis'!CG35)/('Weekly Analysis'!CB8+'Weekly Analysis'!CC8+'Weekly Analysis'!CD8+'Weekly Analysis'!CE8+'Weekly Analysis'!CF8+'Weekly Analysis'!CG8),6)</f>
        <v>184.67944299999999</v>
      </c>
      <c r="R37" s="269">
        <f>ROUND(AVERAGE('Weekly Analysis'!CH8*'Weekly Analysis'!CH35+'Weekly Analysis'!CI8*'Weekly Analysis'!CI35+'Weekly Analysis'!CJ8*'Weekly Analysis'!CJ35+'Weekly Analysis'!CK8*'Weekly Analysis'!CK35+'Weekly Analysis'!CL8*'Weekly Analysis'!CL35+'Weekly Analysis'!CM8*'Weekly Analysis'!CM35)/('Weekly Analysis'!CH8+'Weekly Analysis'!CI8+'Weekly Analysis'!CJ8+'Weekly Analysis'!CK8+'Weekly Analysis'!CL8+'Weekly Analysis'!CM8),6)</f>
        <v>169.49158499999999</v>
      </c>
      <c r="S37" s="777">
        <f>ROUND(AVERAGE('Weekly Analysis'!CN8*'Weekly Analysis'!CN35+'Weekly Analysis'!CO8*'Weekly Analysis'!CO35+'Weekly Analysis'!CP8*'Weekly Analysis'!CP35+'Weekly Analysis'!CQ8*'Weekly Analysis'!CQ35+'Weekly Analysis'!CR8*'Weekly Analysis'!CR35+'Weekly Analysis'!CS8*'Weekly Analysis'!CS35)/('Weekly Analysis'!CN8+'Weekly Analysis'!CO8+'Weekly Analysis'!CP8+'Weekly Analysis'!CQ8+'Weekly Analysis'!CR8+'Weekly Analysis'!CS8),6)</f>
        <v>150.54987700000001</v>
      </c>
      <c r="T37" s="791">
        <f>ROUND(AVERAGE('Weekly Analysis'!CT8*'Weekly Analysis'!CT35+'Weekly Analysis'!CU8*'Weekly Analysis'!CU35+'Weekly Analysis'!CV8*'Weekly Analysis'!CV35+'Weekly Analysis'!CW8*'Weekly Analysis'!CW35+'Weekly Analysis'!CX8*'Weekly Analysis'!CX35+'Weekly Analysis'!CY8*'Weekly Analysis'!CY35)/('Weekly Analysis'!CT8+'Weekly Analysis'!CU8+'Weekly Analysis'!CV8+'Weekly Analysis'!CW8+'Weekly Analysis'!CX8+'Weekly Analysis'!CY8),6)</f>
        <v>213.78127699999999</v>
      </c>
      <c r="U37" s="791">
        <f>ROUND(AVERAGE('Weekly Analysis'!CZ8*'Weekly Analysis'!CZ35+'Weekly Analysis'!DA8*'Weekly Analysis'!DA35+'Weekly Analysis'!DB8*'Weekly Analysis'!DB35+'Weekly Analysis'!DC8*'Weekly Analysis'!DB35+'Weekly Analysis'!DD8*'Weekly Analysis'!DD35+'Weekly Analysis'!DE8*'Weekly Analysis'!DE35)/('Weekly Analysis'!CZ8+'Weekly Analysis'!DA8+'Weekly Analysis'!DB8+'Weekly Analysis'!DC8+'Weekly Analysis'!DD8+'Weekly Analysis'!DE8),6)</f>
        <v>0</v>
      </c>
      <c r="V37" s="791">
        <f>ROUND(AVERAGE('Weekly Analysis'!DF8*'Weekly Analysis'!DF35+'Weekly Analysis'!DG8*'Weekly Analysis'!DG35+'Weekly Analysis'!DH8*'Weekly Analysis'!DH35+'Weekly Analysis'!DI8*'Weekly Analysis'!DI35+'Weekly Analysis'!DJ8*'Weekly Analysis'!DJ35+'Weekly Analysis'!DK8*'Weekly Analysis'!DK35)/('Weekly Analysis'!DF8+'Weekly Analysis'!DG8+'Weekly Analysis'!DH8+'Weekly Analysis'!DI8+'Weekly Analysis'!DJ8+'Weekly Analysis'!DK8),6)</f>
        <v>168.53011699999999</v>
      </c>
      <c r="W37" s="791">
        <f>ROUND(AVERAGE('Weekly Analysis'!DL8*'Weekly Analysis'!DL35+'Weekly Analysis'!DM8*'Weekly Analysis'!DM35+'Weekly Analysis'!DN8*'Weekly Analysis'!DN35+'Weekly Analysis'!DO8*'Weekly Analysis'!DO35+'Weekly Analysis'!DP8*'Weekly Analysis'!DP35+'Weekly Analysis'!DQ8*'Weekly Analysis'!DQ35)/('Weekly Analysis'!DL8+'Weekly Analysis'!DM8+'Weekly Analysis'!DN8+'Weekly Analysis'!DO8+'Weekly Analysis'!DP8+'Weekly Analysis'!DQ8),6)</f>
        <v>189.939705</v>
      </c>
      <c r="X37" s="791">
        <f>ROUND(AVERAGE('Weekly Analysis'!DR8*'Weekly Analysis'!DR35+'Weekly Analysis'!DS8*'Weekly Analysis'!DS35+'Weekly Analysis'!DT8*'Weekly Analysis'!DT35+'Weekly Analysis'!DU8*'Weekly Analysis'!DU35+'Weekly Analysis'!DV8*'Weekly Analysis'!DV35+'Weekly Analysis'!DW8*'Weekly Analysis'!DW35)/('Weekly Analysis'!DR8+'Weekly Analysis'!DS8+'Weekly Analysis'!DT8+'Weekly Analysis'!DU8+'Weekly Analysis'!DV8+'Weekly Analysis'!DW8),6)</f>
        <v>174.949736</v>
      </c>
      <c r="Y37" s="791">
        <f>ROUND(AVERAGE('Weekly Analysis'!DX8*'Weekly Analysis'!DX35+'Weekly Analysis'!DY8*'Weekly Analysis'!DY35+'Weekly Analysis'!DZ8*'Weekly Analysis'!DZ35+'Weekly Analysis'!EA8*'Weekly Analysis'!EA35+'Weekly Analysis'!EB8*'Weekly Analysis'!EB35+'Weekly Analysis'!EC8*'Weekly Analysis'!EC35)/('Weekly Analysis'!DX8+'Weekly Analysis'!DY8+'Weekly Analysis'!DZ8+'Weekly Analysis'!EA8+'Weekly Analysis'!EB8+'Weekly Analysis'!EC8),6)</f>
        <v>151.73761400000001</v>
      </c>
      <c r="Z37" s="791">
        <f t="shared" ref="Z37:Z42" si="12">Y37/X37*100-100</f>
        <v>-13.267880552846336</v>
      </c>
      <c r="AA37" s="791">
        <v>0</v>
      </c>
      <c r="AB37" s="307"/>
      <c r="AC37" s="307"/>
    </row>
    <row r="38" spans="2:38" ht="25.5" customHeight="1">
      <c r="B38" s="189" t="s">
        <v>15</v>
      </c>
      <c r="C38" s="840">
        <f t="shared" ref="C38:C57" si="13">AVERAGE(D38:G38)</f>
        <v>55.140331250000003</v>
      </c>
      <c r="D38" s="246">
        <f>ROUND(AVERAGE('Weekly Analysis'!B9*'Weekly Analysis'!B36+'Weekly Analysis'!C9*'Weekly Analysis'!C36+'Weekly Analysis'!D9*'Weekly Analysis'!D36+'Weekly Analysis'!E9*'Weekly Analysis'!E36+'Weekly Analysis'!F9*'Weekly Analysis'!F36+'Weekly Analysis'!G9*'Weekly Analysis'!G36)/('Weekly Analysis'!B9+'Weekly Analysis'!C9+'Weekly Analysis'!D9+'Weekly Analysis'!E9+'Weekly Analysis'!F9+'Weekly Analysis'!G9),6)</f>
        <v>59.724426000000001</v>
      </c>
      <c r="E38" s="246">
        <f>ROUND(AVERAGE('Weekly Analysis'!H9*'Weekly Analysis'!H36+'Weekly Analysis'!I9*'Weekly Analysis'!I36+'Weekly Analysis'!J9*'Weekly Analysis'!J36+'Weekly Analysis'!K9*'Weekly Analysis'!K36+'Weekly Analysis'!L9*'Weekly Analysis'!L36+'Weekly Analysis'!M9*'Weekly Analysis'!M36)/('Weekly Analysis'!H9+'Weekly Analysis'!I9+'Weekly Analysis'!J9+'Weekly Analysis'!K9+'Weekly Analysis'!L9+'Weekly Analysis'!M9),6)</f>
        <v>61.576391000000001</v>
      </c>
      <c r="F38" s="246">
        <f>ROUND(AVERAGE('Weekly Analysis'!N9*'Weekly Analysis'!N36+'Weekly Analysis'!O9*'Weekly Analysis'!O36+'Weekly Analysis'!P9*'Weekly Analysis'!P36+'Weekly Analysis'!Q9*'Weekly Analysis'!Q36+'Weekly Analysis'!R9*'Weekly Analysis'!R36+'Weekly Analysis'!S9*'Weekly Analysis'!S36)/('Weekly Analysis'!N9+'Weekly Analysis'!O9+'Weekly Analysis'!P9+'Weekly Analysis'!Q9+'Weekly Analysis'!R9+'Weekly Analysis'!S9),6)</f>
        <v>41.648524999999999</v>
      </c>
      <c r="G38" s="246">
        <f>ROUND(AVERAGE('Weekly Analysis'!T9*'Weekly Analysis'!T36+'Weekly Analysis'!U9*'Weekly Analysis'!U36+'Weekly Analysis'!V9*'Weekly Analysis'!V36+'Weekly Analysis'!W9*'Weekly Analysis'!W36+'Weekly Analysis'!X9*'Weekly Analysis'!X36+'Weekly Analysis'!Y9*'Weekly Analysis'!Y36)/('Weekly Analysis'!T9+'Weekly Analysis'!U9+'Weekly Analysis'!V9+'Weekly Analysis'!W9+'Weekly Analysis'!X9+'Weekly Analysis'!Y9),6)</f>
        <v>57.611983000000002</v>
      </c>
      <c r="H38" s="246">
        <f>ROUND(AVERAGE('Weekly Analysis'!Z9*'Weekly Analysis'!Z36+'Weekly Analysis'!AA9*'Weekly Analysis'!AA36+'Weekly Analysis'!AB9*'Weekly Analysis'!AB36+'Weekly Analysis'!AC9*'Weekly Analysis'!AC36+'Weekly Analysis'!AD9*'Weekly Analysis'!AD36+'Weekly Analysis'!AE9*'Weekly Analysis'!AE36)/('Weekly Analysis'!Z9+'Weekly Analysis'!AA9+'Weekly Analysis'!AB9+'Weekly Analysis'!AC9+'Weekly Analysis'!AD9+'Weekly Analysis'!AE9),6)</f>
        <v>41.640116999999996</v>
      </c>
      <c r="I38" s="246">
        <f>ROUND(AVERAGE('Weekly Analysis'!AF9*'Weekly Analysis'!AF36+'Weekly Analysis'!AG9*'Weekly Analysis'!AG36+'Weekly Analysis'!AH9*'Weekly Analysis'!AH36+'Weekly Analysis'!AI9*'Weekly Analysis'!AI36+'Weekly Analysis'!AJ9*'Weekly Analysis'!AJ36+'Weekly Analysis'!AK9*'Weekly Analysis'!AK36)/('Weekly Analysis'!AF9+'Weekly Analysis'!AG9+'Weekly Analysis'!AH9+'Weekly Analysis'!AI9+'Weekly Analysis'!AJ9+'Weekly Analysis'!AK9),6)</f>
        <v>39.432400000000001</v>
      </c>
      <c r="J38" s="246">
        <f>ROUND(AVERAGE('Weekly Analysis'!AL9*'Weekly Analysis'!AL36+'Weekly Analysis'!AM9*'Weekly Analysis'!AM36+'Weekly Analysis'!AN9*'Weekly Analysis'!AN36+'Weekly Analysis'!AO9*'Weekly Analysis'!AO36+'Weekly Analysis'!AP9*'Weekly Analysis'!AP36+'Weekly Analysis'!AQ9*'Weekly Analysis'!AQ36)/('Weekly Analysis'!AL9+'Weekly Analysis'!AM9+'Weekly Analysis'!AN9+'Weekly Analysis'!AO9+'Weekly Analysis'!AP9+'Weekly Analysis'!AQ9),6)</f>
        <v>51.688229999999997</v>
      </c>
      <c r="K38" s="246">
        <v>0</v>
      </c>
      <c r="L38" s="246">
        <f>ROUND(AVERAGE('Weekly Analysis'!AX9*'Weekly Analysis'!AX36+'Weekly Analysis'!AY9*'Weekly Analysis'!AY36+'Weekly Analysis'!AZ9*'Weekly Analysis'!AZ36+'Weekly Analysis'!BA9*'Weekly Analysis'!BA36+'Weekly Analysis'!BB9*'Weekly Analysis'!BB36+'Weekly Analysis'!BC9*'Weekly Analysis'!BC36)/('Weekly Analysis'!AX9+'Weekly Analysis'!AY9+'Weekly Analysis'!AZ9+'Weekly Analysis'!BA9+'Weekly Analysis'!BB9+'Weekly Analysis'!BC9),6)</f>
        <v>54.740566000000001</v>
      </c>
      <c r="M38" s="246">
        <f>ROUND(AVERAGE('Weekly Analysis'!BD9*'Weekly Analysis'!BD36+'Weekly Analysis'!BE9*'Weekly Analysis'!BE36+'Weekly Analysis'!BF9*'Weekly Analysis'!BF36+'Weekly Analysis'!BG9*'Weekly Analysis'!BG36+'Weekly Analysis'!BH9*'Weekly Analysis'!BH36+'Weekly Analysis'!BI9*'Weekly Analysis'!BI36)/('Weekly Analysis'!BD9+'Weekly Analysis'!BE9+'Weekly Analysis'!BF9+'Weekly Analysis'!BG9+'Weekly Analysis'!BH9+'Weekly Analysis'!BI9),6)</f>
        <v>52.236424</v>
      </c>
      <c r="N38" s="246">
        <f>ROUND(AVERAGE('Weekly Analysis'!BJ9*'Weekly Analysis'!BJ36+'Weekly Analysis'!BK9*'Weekly Analysis'!BK36+'Weekly Analysis'!BL9*'Weekly Analysis'!BL36+'Weekly Analysis'!BM9*'Weekly Analysis'!BM36+'Weekly Analysis'!BN9*'Weekly Analysis'!BN36+'Weekly Analysis'!BO9*'Weekly Analysis'!BO36)/('Weekly Analysis'!BJ9+'Weekly Analysis'!BK9+'Weekly Analysis'!BL9+'Weekly Analysis'!BM9+'Weekly Analysis'!BN9+'Weekly Analysis'!BO9),6)</f>
        <v>50.85736</v>
      </c>
      <c r="O38" s="246">
        <f>ROUND(AVERAGE('Weekly Analysis'!BP9*'Weekly Analysis'!BP36+'Weekly Analysis'!BQ9*'Weekly Analysis'!BQ36+'Weekly Analysis'!BR9*'Weekly Analysis'!BR36+'Weekly Analysis'!BS9*'Weekly Analysis'!BS36+'Weekly Analysis'!BT9*'Weekly Analysis'!BT36+'Weekly Analysis'!BU9*'Weekly Analysis'!BU36)/('Weekly Analysis'!BP9+'Weekly Analysis'!BQ9+'Weekly Analysis'!BR9+'Weekly Analysis'!BS9+'Weekly Analysis'!BT9+'Weekly Analysis'!BU9),6)</f>
        <v>43.143791</v>
      </c>
      <c r="P38" s="246">
        <f>ROUND(AVERAGE('Weekly Analysis'!BV9*'Weekly Analysis'!BV36+'Weekly Analysis'!BW9*'Weekly Analysis'!BW36+'Weekly Analysis'!BX9*'Weekly Analysis'!BX36+'Weekly Analysis'!BY9*'Weekly Analysis'!BY36+'Weekly Analysis'!BZ9*'Weekly Analysis'!BZ36+'Weekly Analysis'!CA9*'Weekly Analysis'!CA36)/('Weekly Analysis'!BV9+'Weekly Analysis'!BW9+'Weekly Analysis'!BX9+'Weekly Analysis'!BY9+'Weekly Analysis'!BZ9+'Weekly Analysis'!CA9),6)</f>
        <v>62.887697000000003</v>
      </c>
      <c r="Q38" s="247">
        <f>ROUND(AVERAGE('Weekly Analysis'!CB9*'Weekly Analysis'!CB36+'Weekly Analysis'!CC9*'Weekly Analysis'!CC36+'Weekly Analysis'!CD9*'Weekly Analysis'!CD36+'Weekly Analysis'!CE9*'Weekly Analysis'!CE36+'Weekly Analysis'!CF9*'Weekly Analysis'!CF36+'Weekly Analysis'!CG9*'Weekly Analysis'!CG36)/('Weekly Analysis'!CB9+'Weekly Analysis'!CC9+'Weekly Analysis'!CD9+'Weekly Analysis'!CE9+'Weekly Analysis'!CF9+'Weekly Analysis'!CG9),6)</f>
        <v>54.391784000000001</v>
      </c>
      <c r="R38" s="269">
        <f>ROUND(AVERAGE('Weekly Analysis'!CH9*'Weekly Analysis'!CH36+'Weekly Analysis'!CI9*'Weekly Analysis'!CI36+'Weekly Analysis'!CJ9*'Weekly Analysis'!CJ36+'Weekly Analysis'!CK9*'Weekly Analysis'!CK36+'Weekly Analysis'!CL9*'Weekly Analysis'!CL36+'Weekly Analysis'!CM9*'Weekly Analysis'!CM36)/('Weekly Analysis'!CH9+'Weekly Analysis'!CI9+'Weekly Analysis'!CJ9+'Weekly Analysis'!CK9+'Weekly Analysis'!CL9+'Weekly Analysis'!CM9),6)</f>
        <v>55.932516</v>
      </c>
      <c r="S38" s="777">
        <f>ROUND(AVERAGE('Weekly Analysis'!CN9*'Weekly Analysis'!CN36+'Weekly Analysis'!CO9*'Weekly Analysis'!CO36+'Weekly Analysis'!CP9*'Weekly Analysis'!CP36+'Weekly Analysis'!CQ9*'Weekly Analysis'!CQ36+'Weekly Analysis'!CR9*'Weekly Analysis'!CR36+'Weekly Analysis'!CS9*'Weekly Analysis'!CS36)/('Weekly Analysis'!CN9+'Weekly Analysis'!CO9+'Weekly Analysis'!CP9+'Weekly Analysis'!CQ9+'Weekly Analysis'!CR9+'Weekly Analysis'!CS9),6)</f>
        <v>55.930745000000002</v>
      </c>
      <c r="T38" s="791">
        <f>ROUND(AVERAGE('Weekly Analysis'!CT9*'Weekly Analysis'!CT36+'Weekly Analysis'!CU9*'Weekly Analysis'!CU36+'Weekly Analysis'!CV9*'Weekly Analysis'!CV36+'Weekly Analysis'!CW9*'Weekly Analysis'!CW36+'Weekly Analysis'!CX9*'Weekly Analysis'!CX36+'Weekly Analysis'!CY9*'Weekly Analysis'!CY36)/('Weekly Analysis'!CT9+'Weekly Analysis'!CU9+'Weekly Analysis'!CV9+'Weekly Analysis'!CW9+'Weekly Analysis'!CX9+'Weekly Analysis'!CY9),6)</f>
        <v>35.681700999999997</v>
      </c>
      <c r="U38" s="791">
        <f>ROUND(AVERAGE('Weekly Analysis'!CZ9*'Weekly Analysis'!CZ36+'Weekly Analysis'!DA9*'Weekly Analysis'!DA36+'Weekly Analysis'!DB9*'Weekly Analysis'!DB36+'Weekly Analysis'!DC9*'Weekly Analysis'!DB36+'Weekly Analysis'!DD9*'Weekly Analysis'!DD36+'Weekly Analysis'!DE9*'Weekly Analysis'!DE36)/('Weekly Analysis'!CZ9+'Weekly Analysis'!DA9+'Weekly Analysis'!DB9+'Weekly Analysis'!DC9+'Weekly Analysis'!DD9+'Weekly Analysis'!DE9),6)</f>
        <v>116.30475300000001</v>
      </c>
      <c r="V38" s="791">
        <f>ROUND(AVERAGE('Weekly Analysis'!DF9*'Weekly Analysis'!DF36+'Weekly Analysis'!DG9*'Weekly Analysis'!DG36+'Weekly Analysis'!DH9*'Weekly Analysis'!DH36+'Weekly Analysis'!DI9*'Weekly Analysis'!DI36+'Weekly Analysis'!DJ9*'Weekly Analysis'!DJ36+'Weekly Analysis'!DK9*'Weekly Analysis'!DK36)/('Weekly Analysis'!DF9+'Weekly Analysis'!DG9+'Weekly Analysis'!DH9+'Weekly Analysis'!DI9+'Weekly Analysis'!DJ9+'Weekly Analysis'!DK9),6)</f>
        <v>95.882146000000006</v>
      </c>
      <c r="W38" s="791">
        <f>ROUND(AVERAGE('Weekly Analysis'!DL9*'Weekly Analysis'!DL36+'Weekly Analysis'!DM9*'Weekly Analysis'!DM36+'Weekly Analysis'!DN9*'Weekly Analysis'!DN36+'Weekly Analysis'!DO9*'Weekly Analysis'!DO36+'Weekly Analysis'!DP9*'Weekly Analysis'!DP36+'Weekly Analysis'!DQ9*'Weekly Analysis'!DQ36)/('Weekly Analysis'!DL9+'Weekly Analysis'!DM9+'Weekly Analysis'!DN9+'Weekly Analysis'!DO9+'Weekly Analysis'!DP9+'Weekly Analysis'!DQ9),6)</f>
        <v>56.181074000000002</v>
      </c>
      <c r="X38" s="791">
        <f>ROUND(AVERAGE('Weekly Analysis'!DR9*'Weekly Analysis'!DR36+'Weekly Analysis'!DS9*'Weekly Analysis'!DS36+'Weekly Analysis'!DT9*'Weekly Analysis'!DT36+'Weekly Analysis'!DU9*'Weekly Analysis'!DU36+'Weekly Analysis'!DV9*'Weekly Analysis'!DV36+'Weekly Analysis'!DW9*'Weekly Analysis'!DW36)/('Weekly Analysis'!DR9+'Weekly Analysis'!DS9+'Weekly Analysis'!DT9+'Weekly Analysis'!DU9+'Weekly Analysis'!DV9+'Weekly Analysis'!DW9),6)</f>
        <v>53.215260999999998</v>
      </c>
      <c r="Y38" s="791">
        <f>ROUND(AVERAGE('Weekly Analysis'!DX9*'Weekly Analysis'!DX36+'Weekly Analysis'!DY9*'Weekly Analysis'!DY36+'Weekly Analysis'!DZ9*'Weekly Analysis'!DZ36+'Weekly Analysis'!EA9*'Weekly Analysis'!EA36+'Weekly Analysis'!EB9*'Weekly Analysis'!EB36+'Weekly Analysis'!EC9*'Weekly Analysis'!EC36)/('Weekly Analysis'!DX9+'Weekly Analysis'!DY9+'Weekly Analysis'!DZ9+'Weekly Analysis'!EA9+'Weekly Analysis'!EB9+'Weekly Analysis'!EC9),6)</f>
        <v>43.741374999999998</v>
      </c>
      <c r="Z38" s="791">
        <f t="shared" si="12"/>
        <v>-17.802949420843774</v>
      </c>
      <c r="AA38" s="791">
        <f t="shared" ref="AA38:AA42" si="14">Y38/U38*100-100</f>
        <v>-62.390724478818164</v>
      </c>
      <c r="AB38" s="307"/>
      <c r="AC38" s="307"/>
    </row>
    <row r="39" spans="2:38" s="178" customFormat="1" ht="25.5" customHeight="1">
      <c r="B39" s="189" t="s">
        <v>19</v>
      </c>
      <c r="C39" s="840">
        <f t="shared" si="13"/>
        <v>73.132370999999992</v>
      </c>
      <c r="D39" s="246">
        <f>ROUND(AVERAGE('Weekly Analysis'!B10*'Weekly Analysis'!B37+'Weekly Analysis'!C10*'Weekly Analysis'!C37+'Weekly Analysis'!D10*'Weekly Analysis'!D37+'Weekly Analysis'!E10*'Weekly Analysis'!E37+'Weekly Analysis'!F10*'Weekly Analysis'!F37+'Weekly Analysis'!G10*'Weekly Analysis'!G37)/('Weekly Analysis'!B10+'Weekly Analysis'!C10+'Weekly Analysis'!D10+'Weekly Analysis'!E10+'Weekly Analysis'!F10+'Weekly Analysis'!G10),6)</f>
        <v>75.188353000000006</v>
      </c>
      <c r="E39" s="246">
        <f>ROUND(AVERAGE('Weekly Analysis'!H10*'Weekly Analysis'!H37+'Weekly Analysis'!I10*'Weekly Analysis'!I37+'Weekly Analysis'!J10*'Weekly Analysis'!J37+'Weekly Analysis'!K10*'Weekly Analysis'!K37+'Weekly Analysis'!L10*'Weekly Analysis'!L37+'Weekly Analysis'!M10*'Weekly Analysis'!M37)/('Weekly Analysis'!H10+'Weekly Analysis'!I10+'Weekly Analysis'!J10+'Weekly Analysis'!K10+'Weekly Analysis'!L10+'Weekly Analysis'!M10),6)</f>
        <v>90.342834999999994</v>
      </c>
      <c r="F39" s="246">
        <f>ROUND(AVERAGE('Weekly Analysis'!N10*'Weekly Analysis'!N37+'Weekly Analysis'!O10*'Weekly Analysis'!O37+'Weekly Analysis'!P10*'Weekly Analysis'!P37+'Weekly Analysis'!Q10*'Weekly Analysis'!Q37+'Weekly Analysis'!R10*'Weekly Analysis'!R37+'Weekly Analysis'!S10*'Weekly Analysis'!S37)/('Weekly Analysis'!N10+'Weekly Analysis'!O10+'Weekly Analysis'!P10+'Weekly Analysis'!Q10+'Weekly Analysis'!R10+'Weekly Analysis'!S10),6)</f>
        <v>73.614718999999994</v>
      </c>
      <c r="G39" s="246">
        <f>ROUND(AVERAGE('Weekly Analysis'!T10*'Weekly Analysis'!T37+'Weekly Analysis'!U10*'Weekly Analysis'!U37+'Weekly Analysis'!V10*'Weekly Analysis'!V37+'Weekly Analysis'!W10*'Weekly Analysis'!W37+'Weekly Analysis'!X10*'Weekly Analysis'!X37+'Weekly Analysis'!Y10*'Weekly Analysis'!Y37)/('Weekly Analysis'!T10+'Weekly Analysis'!U10+'Weekly Analysis'!V10+'Weekly Analysis'!W10+'Weekly Analysis'!X10+'Weekly Analysis'!Y10),6)</f>
        <v>53.383577000000002</v>
      </c>
      <c r="H39" s="246">
        <f>ROUND(AVERAGE('Weekly Analysis'!Z10*'Weekly Analysis'!Z37+'Weekly Analysis'!AA10*'Weekly Analysis'!AA37+'Weekly Analysis'!AB10*'Weekly Analysis'!AB37+'Weekly Analysis'!AC10*'Weekly Analysis'!AC37+'Weekly Analysis'!AD10*'Weekly Analysis'!AD37+'Weekly Analysis'!AE10*'Weekly Analysis'!AE37)/('Weekly Analysis'!Z10+'Weekly Analysis'!AA10+'Weekly Analysis'!AB10+'Weekly Analysis'!AC10+'Weekly Analysis'!AD10+'Weekly Analysis'!AE10),6)</f>
        <v>60.691603000000001</v>
      </c>
      <c r="I39" s="246">
        <f>ROUND(AVERAGE('Weekly Analysis'!AF10*'Weekly Analysis'!AF37+'Weekly Analysis'!AG10*'Weekly Analysis'!AG37+'Weekly Analysis'!AH10*'Weekly Analysis'!AH37+'Weekly Analysis'!AI10*'Weekly Analysis'!AI37+'Weekly Analysis'!AJ10*'Weekly Analysis'!AJ37+'Weekly Analysis'!AK10*'Weekly Analysis'!AK37)/('Weekly Analysis'!AF10+'Weekly Analysis'!AG10+'Weekly Analysis'!AH10+'Weekly Analysis'!AI10+'Weekly Analysis'!AJ10+'Weekly Analysis'!AK10),6)</f>
        <v>65.993627000000004</v>
      </c>
      <c r="J39" s="246">
        <f>ROUND(AVERAGE('Weekly Analysis'!AL10*'Weekly Analysis'!AL37+'Weekly Analysis'!AM10*'Weekly Analysis'!AM37+'Weekly Analysis'!AN10*'Weekly Analysis'!AN37+'Weekly Analysis'!AO10*'Weekly Analysis'!AO37+'Weekly Analysis'!AP10*'Weekly Analysis'!AP37+'Weekly Analysis'!AQ10*'Weekly Analysis'!AQ37)/('Weekly Analysis'!AL10+'Weekly Analysis'!AM10+'Weekly Analysis'!AN10+'Weekly Analysis'!AO10+'Weekly Analysis'!AP10+'Weekly Analysis'!AQ10),6)</f>
        <v>97.665779999999998</v>
      </c>
      <c r="K39" s="246">
        <v>0</v>
      </c>
      <c r="L39" s="246">
        <f>ROUND(AVERAGE('Weekly Analysis'!AX10*'Weekly Analysis'!AX37+'Weekly Analysis'!AY10*'Weekly Analysis'!AY37+'Weekly Analysis'!AZ10*'Weekly Analysis'!AZ37+'Weekly Analysis'!BA10*'Weekly Analysis'!BA37+'Weekly Analysis'!BB10*'Weekly Analysis'!BB37+'Weekly Analysis'!BC10*'Weekly Analysis'!BC37)/('Weekly Analysis'!AX10+'Weekly Analysis'!AY10+'Weekly Analysis'!AZ10+'Weekly Analysis'!BA10+'Weekly Analysis'!BB10+'Weekly Analysis'!BC10),6)</f>
        <v>83.668608000000006</v>
      </c>
      <c r="M39" s="246">
        <f>ROUND(AVERAGE('Weekly Analysis'!BD10*'Weekly Analysis'!BD37+'Weekly Analysis'!BE10*'Weekly Analysis'!BE37+'Weekly Analysis'!BF10*'Weekly Analysis'!BF37+'Weekly Analysis'!BG10*'Weekly Analysis'!BG37+'Weekly Analysis'!BH10*'Weekly Analysis'!BH37+'Weekly Analysis'!BI10*'Weekly Analysis'!BI37)/('Weekly Analysis'!BD10+'Weekly Analysis'!BE10+'Weekly Analysis'!BF10+'Weekly Analysis'!BG10+'Weekly Analysis'!BH10+'Weekly Analysis'!BI10),6)</f>
        <v>71.331067000000004</v>
      </c>
      <c r="N39" s="246">
        <f>ROUND(AVERAGE('Weekly Analysis'!BJ10*'Weekly Analysis'!BJ37+'Weekly Analysis'!BK10*'Weekly Analysis'!BK37+'Weekly Analysis'!BL10*'Weekly Analysis'!BL37+'Weekly Analysis'!BM10*'Weekly Analysis'!BM37+'Weekly Analysis'!BN10*'Weekly Analysis'!BN37+'Weekly Analysis'!BO10*'Weekly Analysis'!BO37)/('Weekly Analysis'!BJ10+'Weekly Analysis'!BK10+'Weekly Analysis'!BL10+'Weekly Analysis'!BM10+'Weekly Analysis'!BN10+'Weekly Analysis'!BO10),6)</f>
        <v>66.340357999999995</v>
      </c>
      <c r="O39" s="246">
        <f>ROUND(AVERAGE('Weekly Analysis'!BP10*'Weekly Analysis'!BP37+'Weekly Analysis'!BQ10*'Weekly Analysis'!BQ37+'Weekly Analysis'!BR10*'Weekly Analysis'!BR37+'Weekly Analysis'!BS10*'Weekly Analysis'!BS37+'Weekly Analysis'!BT10*'Weekly Analysis'!BT37+'Weekly Analysis'!BU10*'Weekly Analysis'!BU37)/('Weekly Analysis'!BP10+'Weekly Analysis'!BQ10+'Weekly Analysis'!BR10+'Weekly Analysis'!BS10+'Weekly Analysis'!BT10+'Weekly Analysis'!BU10),6)</f>
        <v>71.651503000000005</v>
      </c>
      <c r="P39" s="246">
        <f>ROUND(AVERAGE('Weekly Analysis'!BV10*'Weekly Analysis'!BV37+'Weekly Analysis'!BW10*'Weekly Analysis'!BW37+'Weekly Analysis'!BX10*'Weekly Analysis'!BX37+'Weekly Analysis'!BY10*'Weekly Analysis'!BY37+'Weekly Analysis'!BZ10*'Weekly Analysis'!BZ37+'Weekly Analysis'!CA10*'Weekly Analysis'!CA37)/('Weekly Analysis'!BV10+'Weekly Analysis'!BW10+'Weekly Analysis'!BX10+'Weekly Analysis'!BY10+'Weekly Analysis'!BZ10+'Weekly Analysis'!CA10),6)</f>
        <v>68.532307000000003</v>
      </c>
      <c r="Q39" s="247">
        <f>ROUND(AVERAGE('Weekly Analysis'!CB10*'Weekly Analysis'!CB37+'Weekly Analysis'!CC10*'Weekly Analysis'!CC37+'Weekly Analysis'!CD10*'Weekly Analysis'!CD37+'Weekly Analysis'!CE10*'Weekly Analysis'!CE37+'Weekly Analysis'!CF10*'Weekly Analysis'!CF37+'Weekly Analysis'!CG10*'Weekly Analysis'!CG37)/('Weekly Analysis'!CB10+'Weekly Analysis'!CC10+'Weekly Analysis'!CD10+'Weekly Analysis'!CE10+'Weekly Analysis'!CF10+'Weekly Analysis'!CG10),6)</f>
        <v>86.948386999999997</v>
      </c>
      <c r="R39" s="269">
        <f>ROUND(AVERAGE('Weekly Analysis'!CH10*'Weekly Analysis'!CH37+'Weekly Analysis'!CI10*'Weekly Analysis'!CI37+'Weekly Analysis'!CJ10*'Weekly Analysis'!CJ37+'Weekly Analysis'!CK10*'Weekly Analysis'!CK37+'Weekly Analysis'!CL10*'Weekly Analysis'!CL37+'Weekly Analysis'!CM10*'Weekly Analysis'!CM37)/('Weekly Analysis'!CH10+'Weekly Analysis'!CI10+'Weekly Analysis'!CJ10+'Weekly Analysis'!CK10+'Weekly Analysis'!CL10+'Weekly Analysis'!CM10),6)</f>
        <v>101.26591999999999</v>
      </c>
      <c r="S39" s="777">
        <f>ROUND(AVERAGE('Weekly Analysis'!CN10*'Weekly Analysis'!CN37+'Weekly Analysis'!CO10*'Weekly Analysis'!CO37+'Weekly Analysis'!CP10*'Weekly Analysis'!CP37+'Weekly Analysis'!CQ10*'Weekly Analysis'!CQ37+'Weekly Analysis'!CR10*'Weekly Analysis'!CR37+'Weekly Analysis'!CS10*'Weekly Analysis'!CS37)/('Weekly Analysis'!CN10+'Weekly Analysis'!CO10+'Weekly Analysis'!CP10+'Weekly Analysis'!CQ10+'Weekly Analysis'!CR10+'Weekly Analysis'!CS10),6)</f>
        <v>76.830573000000001</v>
      </c>
      <c r="T39" s="791">
        <f>ROUND(AVERAGE('Weekly Analysis'!CT10*'Weekly Analysis'!CT37+'Weekly Analysis'!CU10*'Weekly Analysis'!CU37+'Weekly Analysis'!CV10*'Weekly Analysis'!CV37+'Weekly Analysis'!CW10*'Weekly Analysis'!CW37+'Weekly Analysis'!CX10*'Weekly Analysis'!CX37+'Weekly Analysis'!CY10*'Weekly Analysis'!CY37)/('Weekly Analysis'!CT10+'Weekly Analysis'!CU10+'Weekly Analysis'!CV10+'Weekly Analysis'!CW10+'Weekly Analysis'!CX10+'Weekly Analysis'!CY10),6)</f>
        <v>67.739332000000005</v>
      </c>
      <c r="U39" s="791">
        <f>ROUND(AVERAGE('Weekly Analysis'!CZ10*'Weekly Analysis'!CZ37+'Weekly Analysis'!DA10*'Weekly Analysis'!DA37+'Weekly Analysis'!DB10*'Weekly Analysis'!DB37+'Weekly Analysis'!DC10*'Weekly Analysis'!DB37+'Weekly Analysis'!DD10*'Weekly Analysis'!DD37+'Weekly Analysis'!DE10*'Weekly Analysis'!DE37)/('Weekly Analysis'!CZ10+'Weekly Analysis'!DA10+'Weekly Analysis'!DB10+'Weekly Analysis'!DC10+'Weekly Analysis'!DD10+'Weekly Analysis'!DE10),6)</f>
        <v>63.131872000000001</v>
      </c>
      <c r="V39" s="791">
        <f>ROUND(AVERAGE('Weekly Analysis'!DF10*'Weekly Analysis'!DF37+'Weekly Analysis'!DG10*'Weekly Analysis'!DG37+'Weekly Analysis'!DH10*'Weekly Analysis'!DH37+'Weekly Analysis'!DI10*'Weekly Analysis'!DI37+'Weekly Analysis'!DJ10*'Weekly Analysis'!DJ37+'Weekly Analysis'!DK10*'Weekly Analysis'!DK37)/('Weekly Analysis'!DF10+'Weekly Analysis'!DG10+'Weekly Analysis'!DH10+'Weekly Analysis'!DI10+'Weekly Analysis'!DJ10+'Weekly Analysis'!DK10),6)</f>
        <v>73.552661000000001</v>
      </c>
      <c r="W39" s="791">
        <f>ROUND(AVERAGE('Weekly Analysis'!DL10*'Weekly Analysis'!DL37+'Weekly Analysis'!DM10*'Weekly Analysis'!DM37+'Weekly Analysis'!DN10*'Weekly Analysis'!DN37+'Weekly Analysis'!DO10*'Weekly Analysis'!DO37+'Weekly Analysis'!DP10*'Weekly Analysis'!DP37+'Weekly Analysis'!DQ10*'Weekly Analysis'!DQ37)/('Weekly Analysis'!DL10+'Weekly Analysis'!DM10+'Weekly Analysis'!DN10+'Weekly Analysis'!DO10+'Weekly Analysis'!DP10+'Weekly Analysis'!DQ10),6)</f>
        <v>75.706553</v>
      </c>
      <c r="X39" s="791">
        <f>ROUND(AVERAGE('Weekly Analysis'!DR10*'Weekly Analysis'!DR37+'Weekly Analysis'!DS10*'Weekly Analysis'!DS37+'Weekly Analysis'!DT10*'Weekly Analysis'!DT37+'Weekly Analysis'!DU10*'Weekly Analysis'!DU37+'Weekly Analysis'!DV10*'Weekly Analysis'!DV37+'Weekly Analysis'!DW10*'Weekly Analysis'!DW37)/('Weekly Analysis'!DR10+'Weekly Analysis'!DS10+'Weekly Analysis'!DT10+'Weekly Analysis'!DU10+'Weekly Analysis'!DV10+'Weekly Analysis'!DW10),6)</f>
        <v>67.787324999999996</v>
      </c>
      <c r="Y39" s="791">
        <f>ROUND(AVERAGE('Weekly Analysis'!DX10*'Weekly Analysis'!DX37+'Weekly Analysis'!DY10*'Weekly Analysis'!DY37+'Weekly Analysis'!DZ10*'Weekly Analysis'!DZ37+'Weekly Analysis'!EA10*'Weekly Analysis'!EA37+'Weekly Analysis'!EB10*'Weekly Analysis'!EB37+'Weekly Analysis'!EC10*'Weekly Analysis'!EC37)/('Weekly Analysis'!DX10+'Weekly Analysis'!DY10+'Weekly Analysis'!DZ10+'Weekly Analysis'!EA10+'Weekly Analysis'!EB10+'Weekly Analysis'!EC10),6)</f>
        <v>72.507222999999996</v>
      </c>
      <c r="Z39" s="791">
        <f t="shared" si="12"/>
        <v>6.9628031494088276</v>
      </c>
      <c r="AA39" s="791">
        <f t="shared" si="14"/>
        <v>14.850424520913919</v>
      </c>
      <c r="AB39" s="307"/>
      <c r="AC39" s="307"/>
      <c r="AD39" s="306"/>
      <c r="AE39" s="306"/>
      <c r="AF39" s="306"/>
      <c r="AG39" s="306"/>
      <c r="AH39" s="306"/>
      <c r="AI39" s="306"/>
      <c r="AJ39" s="306"/>
      <c r="AK39" s="306"/>
      <c r="AL39" s="306"/>
    </row>
    <row r="40" spans="2:38" s="178" customFormat="1" ht="25.5" customHeight="1">
      <c r="B40" s="189" t="s">
        <v>353</v>
      </c>
      <c r="C40" s="840">
        <f t="shared" si="13"/>
        <v>224.08637699999997</v>
      </c>
      <c r="D40" s="246">
        <f>ROUND(AVERAGE('Weekly Analysis'!B11*'Weekly Analysis'!B38+'Weekly Analysis'!C11*'Weekly Analysis'!C38+'Weekly Analysis'!D11*'Weekly Analysis'!D38+'Weekly Analysis'!E11*'Weekly Analysis'!E38+'Weekly Analysis'!F11*'Weekly Analysis'!F38+'Weekly Analysis'!G11*'Weekly Analysis'!G38)/('Weekly Analysis'!B11+'Weekly Analysis'!C11+'Weekly Analysis'!D11+'Weekly Analysis'!E11+'Weekly Analysis'!F11+'Weekly Analysis'!G11),6)</f>
        <v>198.93767</v>
      </c>
      <c r="E40" s="246">
        <f>ROUND(AVERAGE('Weekly Analysis'!H11*'Weekly Analysis'!H38+'Weekly Analysis'!I11*'Weekly Analysis'!I38+'Weekly Analysis'!J11*'Weekly Analysis'!J38+'Weekly Analysis'!K11*'Weekly Analysis'!K38+'Weekly Analysis'!L11*'Weekly Analysis'!L38+'Weekly Analysis'!M11*'Weekly Analysis'!M38)/('Weekly Analysis'!H11+'Weekly Analysis'!I11+'Weekly Analysis'!J11+'Weekly Analysis'!K11+'Weekly Analysis'!L11+'Weekly Analysis'!M11),6)</f>
        <v>249.414479</v>
      </c>
      <c r="F40" s="246">
        <f>ROUND(AVERAGE('Weekly Analysis'!N11*'Weekly Analysis'!N38+'Weekly Analysis'!O11*'Weekly Analysis'!O38+'Weekly Analysis'!P11*'Weekly Analysis'!P38+'Weekly Analysis'!Q11*'Weekly Analysis'!Q38+'Weekly Analysis'!R11*'Weekly Analysis'!R38+'Weekly Analysis'!S11*'Weekly Analysis'!S38)/('Weekly Analysis'!N11+'Weekly Analysis'!O11+'Weekly Analysis'!P11+'Weekly Analysis'!Q11+'Weekly Analysis'!R11+'Weekly Analysis'!S11),6)</f>
        <v>207.44353100000001</v>
      </c>
      <c r="G40" s="246">
        <f>ROUND(AVERAGE('Weekly Analysis'!T11*'Weekly Analysis'!T38+'Weekly Analysis'!U11*'Weekly Analysis'!U38+'Weekly Analysis'!V11*'Weekly Analysis'!V38+'Weekly Analysis'!W11*'Weekly Analysis'!W38+'Weekly Analysis'!X11*'Weekly Analysis'!X38+'Weekly Analysis'!Y11*'Weekly Analysis'!Y38)/('Weekly Analysis'!T11+'Weekly Analysis'!U11+'Weekly Analysis'!V11+'Weekly Analysis'!W11+'Weekly Analysis'!X11+'Weekly Analysis'!Y11),6)</f>
        <v>240.54982799999999</v>
      </c>
      <c r="H40" s="246">
        <f>ROUND(AVERAGE('Weekly Analysis'!Z11*'Weekly Analysis'!Z38+'Weekly Analysis'!AA11*'Weekly Analysis'!AA38+'Weekly Analysis'!AB11*'Weekly Analysis'!AB38+'Weekly Analysis'!AC11*'Weekly Analysis'!AC38+'Weekly Analysis'!AD11*'Weekly Analysis'!AD38+'Weekly Analysis'!AE11*'Weekly Analysis'!AE38)/('Weekly Analysis'!Z11+'Weekly Analysis'!AA11+'Weekly Analysis'!AB11+'Weekly Analysis'!AC11+'Weekly Analysis'!AD11+'Weekly Analysis'!AE11),6)</f>
        <v>234.02822599999999</v>
      </c>
      <c r="I40" s="246">
        <f>ROUND(AVERAGE('Weekly Analysis'!AF11*'Weekly Analysis'!AF38+'Weekly Analysis'!AG11*'Weekly Analysis'!AG38+'Weekly Analysis'!AH11*'Weekly Analysis'!AH38+'Weekly Analysis'!AI11*'Weekly Analysis'!AI38+'Weekly Analysis'!AJ11*'Weekly Analysis'!AJ38+'Weekly Analysis'!AK11*'Weekly Analysis'!AK38)/('Weekly Analysis'!AF11+'Weekly Analysis'!AG11+'Weekly Analysis'!AH11+'Weekly Analysis'!AI11+'Weekly Analysis'!AJ11+'Weekly Analysis'!AK11),6)</f>
        <v>133.37118799999999</v>
      </c>
      <c r="J40" s="246">
        <f>ROUND(AVERAGE('Weekly Analysis'!AL11*'Weekly Analysis'!AL38+'Weekly Analysis'!AM11*'Weekly Analysis'!AM38+'Weekly Analysis'!AN11*'Weekly Analysis'!AN38+'Weekly Analysis'!AO11*'Weekly Analysis'!AO38+'Weekly Analysis'!AP11*'Weekly Analysis'!AP38+'Weekly Analysis'!AQ11*'Weekly Analysis'!AQ38)/('Weekly Analysis'!AL11+'Weekly Analysis'!AM11+'Weekly Analysis'!AN11+'Weekly Analysis'!AO11+'Weekly Analysis'!AP11+'Weekly Analysis'!AQ11),6)</f>
        <v>278.63532700000002</v>
      </c>
      <c r="K40" s="246">
        <v>0</v>
      </c>
      <c r="L40" s="246">
        <f>ROUND(AVERAGE('Weekly Analysis'!AX11*'Weekly Analysis'!AX38+'Weekly Analysis'!AY11*'Weekly Analysis'!AY38+'Weekly Analysis'!AZ11*'Weekly Analysis'!AZ38+'Weekly Analysis'!BA11*'Weekly Analysis'!BA38+'Weekly Analysis'!BB11*'Weekly Analysis'!BB38+'Weekly Analysis'!BC11*'Weekly Analysis'!BC38)/('Weekly Analysis'!AX11+'Weekly Analysis'!AY11+'Weekly Analysis'!AZ11+'Weekly Analysis'!BA11+'Weekly Analysis'!BB11+'Weekly Analysis'!BC11),6)</f>
        <v>269.33165400000001</v>
      </c>
      <c r="M40" s="246">
        <f>ROUND(AVERAGE('Weekly Analysis'!BD11*'Weekly Analysis'!BD38+'Weekly Analysis'!BE11*'Weekly Analysis'!BE38+'Weekly Analysis'!BF11*'Weekly Analysis'!BF38+'Weekly Analysis'!BG11*'Weekly Analysis'!BG38+'Weekly Analysis'!BH11*'Weekly Analysis'!BH38+'Weekly Analysis'!BI11*'Weekly Analysis'!BI38)/('Weekly Analysis'!BD11+'Weekly Analysis'!BE11+'Weekly Analysis'!BF11+'Weekly Analysis'!BG11+'Weekly Analysis'!BH11+'Weekly Analysis'!BI11),6)</f>
        <v>168.92183</v>
      </c>
      <c r="N40" s="246">
        <f>ROUND(AVERAGE('Weekly Analysis'!BJ11*'Weekly Analysis'!BJ38+'Weekly Analysis'!BK11*'Weekly Analysis'!BK38+'Weekly Analysis'!BL11*'Weekly Analysis'!BL38+'Weekly Analysis'!BM11*'Weekly Analysis'!BM38+'Weekly Analysis'!BN11*'Weekly Analysis'!BN38+'Weekly Analysis'!BO11*'Weekly Analysis'!BO38)/('Weekly Analysis'!BJ11+'Weekly Analysis'!BK11+'Weekly Analysis'!BL11+'Weekly Analysis'!BM11+'Weekly Analysis'!BN11+'Weekly Analysis'!BO11),6)</f>
        <v>192.48876100000001</v>
      </c>
      <c r="O40" s="246">
        <f>ROUND(AVERAGE('Weekly Analysis'!BP11*'Weekly Analysis'!BP38+'Weekly Analysis'!BQ11*'Weekly Analysis'!BQ38+'Weekly Analysis'!BR11*'Weekly Analysis'!BR38+'Weekly Analysis'!BS11*'Weekly Analysis'!BS38+'Weekly Analysis'!BT11*'Weekly Analysis'!BT38+'Weekly Analysis'!BU11*'Weekly Analysis'!BU38)/('Weekly Analysis'!BP11+'Weekly Analysis'!BQ11+'Weekly Analysis'!BR11+'Weekly Analysis'!BS11+'Weekly Analysis'!BT11+'Weekly Analysis'!BU11),6)</f>
        <v>350.793138</v>
      </c>
      <c r="P40" s="246">
        <f>ROUND(AVERAGE('Weekly Analysis'!BV11*'Weekly Analysis'!BV38+'Weekly Analysis'!BW11*'Weekly Analysis'!BW38+'Weekly Analysis'!BX11*'Weekly Analysis'!BX38+'Weekly Analysis'!BY11*'Weekly Analysis'!BY38+'Weekly Analysis'!BZ11*'Weekly Analysis'!BZ38+'Weekly Analysis'!CA11*'Weekly Analysis'!CA38)/('Weekly Analysis'!BV11+'Weekly Analysis'!BW11+'Weekly Analysis'!BX11+'Weekly Analysis'!BY11+'Weekly Analysis'!BZ11+'Weekly Analysis'!CA11),6)</f>
        <v>240.772963</v>
      </c>
      <c r="Q40" s="247">
        <f>ROUND(AVERAGE('Weekly Analysis'!CB11*'Weekly Analysis'!CB38+'Weekly Analysis'!CC11*'Weekly Analysis'!CC38+'Weekly Analysis'!CD11*'Weekly Analysis'!CD38+'Weekly Analysis'!CE11*'Weekly Analysis'!CE38+'Weekly Analysis'!CF11*'Weekly Analysis'!CF38+'Weekly Analysis'!CG11*'Weekly Analysis'!CG38)/('Weekly Analysis'!CB11+'Weekly Analysis'!CC11+'Weekly Analysis'!CD11+'Weekly Analysis'!CE11+'Weekly Analysis'!CF11+'Weekly Analysis'!CG11),6)</f>
        <v>196.138666</v>
      </c>
      <c r="R40" s="269">
        <f>ROUND(AVERAGE('Weekly Analysis'!CH11*'Weekly Analysis'!CH38+'Weekly Analysis'!CI11*'Weekly Analysis'!CI38+'Weekly Analysis'!CJ11*'Weekly Analysis'!CJ38+'Weekly Analysis'!CK11*'Weekly Analysis'!CK38+'Weekly Analysis'!CL11*'Weekly Analysis'!CL38+'Weekly Analysis'!CM11*'Weekly Analysis'!CM38)/('Weekly Analysis'!CH11+'Weekly Analysis'!CI11+'Weekly Analysis'!CJ11+'Weekly Analysis'!CK11+'Weekly Analysis'!CL11+'Weekly Analysis'!CM11),6)</f>
        <v>178.073059</v>
      </c>
      <c r="S40" s="777">
        <f>ROUND(AVERAGE('Weekly Analysis'!CN11*'Weekly Analysis'!CN38+'Weekly Analysis'!CO11*'Weekly Analysis'!CO38+'Weekly Analysis'!CP11*'Weekly Analysis'!CP38+'Weekly Analysis'!CQ11*'Weekly Analysis'!CQ38+'Weekly Analysis'!CR11*'Weekly Analysis'!CR38+'Weekly Analysis'!CS11*'Weekly Analysis'!CS38)/('Weekly Analysis'!CN11+'Weekly Analysis'!CO11+'Weekly Analysis'!CP11+'Weekly Analysis'!CQ11+'Weekly Analysis'!CR11+'Weekly Analysis'!CS11),6)</f>
        <v>168.789219</v>
      </c>
      <c r="T40" s="791">
        <f>ROUND(AVERAGE('Weekly Analysis'!CT11*'Weekly Analysis'!CT38+'Weekly Analysis'!CU11*'Weekly Analysis'!CU38+'Weekly Analysis'!CV11*'Weekly Analysis'!CV38+'Weekly Analysis'!CW11*'Weekly Analysis'!CW38+'Weekly Analysis'!CX11*'Weekly Analysis'!CX38+'Weekly Analysis'!CY11*'Weekly Analysis'!CY38)/('Weekly Analysis'!CT11+'Weekly Analysis'!CU11+'Weekly Analysis'!CV11+'Weekly Analysis'!CW11+'Weekly Analysis'!CX11+'Weekly Analysis'!CY11),6)</f>
        <v>178.787361</v>
      </c>
      <c r="U40" s="791">
        <f>ROUND(AVERAGE('Weekly Analysis'!CZ11*'Weekly Analysis'!CZ38+'Weekly Analysis'!DA11*'Weekly Analysis'!DA38+'Weekly Analysis'!DB11*'Weekly Analysis'!DB38+'Weekly Analysis'!DC11*'Weekly Analysis'!DB38+'Weekly Analysis'!DD11*'Weekly Analysis'!DD38+'Weekly Analysis'!DE11*'Weekly Analysis'!DE38)/('Weekly Analysis'!CZ11+'Weekly Analysis'!DA11+'Weekly Analysis'!DB11+'Weekly Analysis'!DC11+'Weekly Analysis'!DD11+'Weekly Analysis'!DE11),6)</f>
        <v>0</v>
      </c>
      <c r="V40" s="791">
        <f>ROUND(AVERAGE('Weekly Analysis'!DF11*'Weekly Analysis'!DF38+'Weekly Analysis'!DG11*'Weekly Analysis'!DG38+'Weekly Analysis'!DH11*'Weekly Analysis'!DH38+'Weekly Analysis'!DI11*'Weekly Analysis'!DI38+'Weekly Analysis'!DJ11*'Weekly Analysis'!DJ38+'Weekly Analysis'!DK11*'Weekly Analysis'!DK38)/('Weekly Analysis'!DF11+'Weekly Analysis'!DG11+'Weekly Analysis'!DH11+'Weekly Analysis'!DI11+'Weekly Analysis'!DJ11+'Weekly Analysis'!DK11),6)</f>
        <v>211.694794</v>
      </c>
      <c r="W40" s="791">
        <f>ROUND(AVERAGE('Weekly Analysis'!DL11*'Weekly Analysis'!DL38+'Weekly Analysis'!DM11*'Weekly Analysis'!DM38+'Weekly Analysis'!DN11*'Weekly Analysis'!DN38+'Weekly Analysis'!DO11*'Weekly Analysis'!DO38+'Weekly Analysis'!DP11*'Weekly Analysis'!DP38+'Weekly Analysis'!DQ11*'Weekly Analysis'!DQ38)/('Weekly Analysis'!DL11+'Weekly Analysis'!DM11+'Weekly Analysis'!DN11+'Weekly Analysis'!DO11+'Weekly Analysis'!DP11+'Weekly Analysis'!DQ11),6)</f>
        <v>235.08023700000001</v>
      </c>
      <c r="X40" s="791">
        <f>ROUND(AVERAGE('Weekly Analysis'!DR11*'Weekly Analysis'!DR38+'Weekly Analysis'!DS11*'Weekly Analysis'!DS38+'Weekly Analysis'!DT11*'Weekly Analysis'!DT38+'Weekly Analysis'!DU11*'Weekly Analysis'!DU38+'Weekly Analysis'!DV11*'Weekly Analysis'!DV38+'Weekly Analysis'!DW11*'Weekly Analysis'!DW38)/('Weekly Analysis'!DR11+'Weekly Analysis'!DS11+'Weekly Analysis'!DT11+'Weekly Analysis'!DU11+'Weekly Analysis'!DV11+'Weekly Analysis'!DW11),6)</f>
        <v>211.49061399999999</v>
      </c>
      <c r="Y40" s="791">
        <f>ROUND(AVERAGE('Weekly Analysis'!DX11*'Weekly Analysis'!DX38+'Weekly Analysis'!DY11*'Weekly Analysis'!DY38+'Weekly Analysis'!DZ11*'Weekly Analysis'!DZ38+'Weekly Analysis'!EA11*'Weekly Analysis'!EA38+'Weekly Analysis'!EB11*'Weekly Analysis'!EB38+'Weekly Analysis'!EC11*'Weekly Analysis'!EC38)/('Weekly Analysis'!DX11+'Weekly Analysis'!DY11+'Weekly Analysis'!DZ11+'Weekly Analysis'!EA11+'Weekly Analysis'!EB11+'Weekly Analysis'!EC11),6)</f>
        <v>152.38121599999999</v>
      </c>
      <c r="Z40" s="791">
        <f t="shared" si="12"/>
        <v>-27.948946235505275</v>
      </c>
      <c r="AA40" s="791">
        <v>0</v>
      </c>
      <c r="AB40" s="307"/>
      <c r="AC40" s="307"/>
      <c r="AD40" s="306"/>
      <c r="AE40" s="306"/>
      <c r="AF40" s="306"/>
      <c r="AG40" s="306"/>
      <c r="AH40" s="306"/>
      <c r="AI40" s="306"/>
      <c r="AJ40" s="306"/>
      <c r="AK40" s="306"/>
      <c r="AL40" s="306"/>
    </row>
    <row r="41" spans="2:38" ht="25.5" customHeight="1">
      <c r="B41" s="189" t="s">
        <v>25</v>
      </c>
      <c r="C41" s="840">
        <f t="shared" si="13"/>
        <v>118.47176525</v>
      </c>
      <c r="D41" s="246">
        <f>ROUND(AVERAGE('Weekly Analysis'!B12*'Weekly Analysis'!B39+'Weekly Analysis'!C12*'Weekly Analysis'!C39+'Weekly Analysis'!D12*'Weekly Analysis'!D39+'Weekly Analysis'!E12*'Weekly Analysis'!E39+'Weekly Analysis'!F12*'Weekly Analysis'!F39+'Weekly Analysis'!G12*'Weekly Analysis'!G39)/('Weekly Analysis'!B12+'Weekly Analysis'!C12+'Weekly Analysis'!D12+'Weekly Analysis'!E12+'Weekly Analysis'!F12+'Weekly Analysis'!G12),6)</f>
        <v>166.670162</v>
      </c>
      <c r="E41" s="246">
        <f>ROUND(AVERAGE('Weekly Analysis'!H12*'Weekly Analysis'!H39+'Weekly Analysis'!I12*'Weekly Analysis'!I39+'Weekly Analysis'!J12*'Weekly Analysis'!J39+'Weekly Analysis'!K12*'Weekly Analysis'!K39+'Weekly Analysis'!L12*'Weekly Analysis'!L39+'Weekly Analysis'!M12*'Weekly Analysis'!M39)/('Weekly Analysis'!H12+'Weekly Analysis'!I12+'Weekly Analysis'!J12+'Weekly Analysis'!K12+'Weekly Analysis'!L12+'Weekly Analysis'!M12),6)</f>
        <v>77.882458999999997</v>
      </c>
      <c r="F41" s="246">
        <f>ROUND(AVERAGE('Weekly Analysis'!N12*'Weekly Analysis'!N39+'Weekly Analysis'!O12*'Weekly Analysis'!O39+'Weekly Analysis'!P12*'Weekly Analysis'!P39+'Weekly Analysis'!Q12*'Weekly Analysis'!Q39+'Weekly Analysis'!R12*'Weekly Analysis'!R39+'Weekly Analysis'!S12*'Weekly Analysis'!S39)/('Weekly Analysis'!N12+'Weekly Analysis'!O12+'Weekly Analysis'!P12+'Weekly Analysis'!Q12+'Weekly Analysis'!R12+'Weekly Analysis'!S12),6)</f>
        <v>136.352372</v>
      </c>
      <c r="G41" s="246">
        <f>ROUND(AVERAGE('Weekly Analysis'!T12*'Weekly Analysis'!T39+'Weekly Analysis'!U12*'Weekly Analysis'!U39+'Weekly Analysis'!V12*'Weekly Analysis'!V39+'Weekly Analysis'!W12*'Weekly Analysis'!W39+'Weekly Analysis'!X12*'Weekly Analysis'!X39+'Weekly Analysis'!Y12*'Weekly Analysis'!Y39)/('Weekly Analysis'!T12+'Weekly Analysis'!U12+'Weekly Analysis'!V12+'Weekly Analysis'!W12+'Weekly Analysis'!X12+'Weekly Analysis'!Y12),6)</f>
        <v>92.982067999999998</v>
      </c>
      <c r="H41" s="246">
        <f>ROUND(AVERAGE('Weekly Analysis'!Z12*'Weekly Analysis'!Z39+'Weekly Analysis'!AA12*'Weekly Analysis'!AA39+'Weekly Analysis'!AB12*'Weekly Analysis'!AB39+'Weekly Analysis'!AC12*'Weekly Analysis'!AC39+'Weekly Analysis'!AD12*'Weekly Analysis'!AD39+'Weekly Analysis'!AE12*'Weekly Analysis'!AE39)/('Weekly Analysis'!Z12+'Weekly Analysis'!AA12+'Weekly Analysis'!AB12+'Weekly Analysis'!AC12+'Weekly Analysis'!AD12+'Weekly Analysis'!AE12),6)</f>
        <v>105.612374</v>
      </c>
      <c r="I41" s="246">
        <f>ROUND(AVERAGE('Weekly Analysis'!AF12*'Weekly Analysis'!AF39+'Weekly Analysis'!AG12*'Weekly Analysis'!AG39+'Weekly Analysis'!AH12*'Weekly Analysis'!AH39+'Weekly Analysis'!AI12*'Weekly Analysis'!AI39+'Weekly Analysis'!AJ12*'Weekly Analysis'!AJ39+'Weekly Analysis'!AK12*'Weekly Analysis'!AK39)/('Weekly Analysis'!AF12+'Weekly Analysis'!AG12+'Weekly Analysis'!AH12+'Weekly Analysis'!AI12+'Weekly Analysis'!AJ12+'Weekly Analysis'!AK12),6)</f>
        <v>87.311222999999998</v>
      </c>
      <c r="J41" s="246">
        <f>ROUND(AVERAGE('Weekly Analysis'!AL12*'Weekly Analysis'!AL39+'Weekly Analysis'!AM12*'Weekly Analysis'!AM39+'Weekly Analysis'!AN12*'Weekly Analysis'!AN39+'Weekly Analysis'!AO12*'Weekly Analysis'!AO39+'Weekly Analysis'!AP12*'Weekly Analysis'!AP39+'Weekly Analysis'!AQ12*'Weekly Analysis'!AQ39)/('Weekly Analysis'!AL12+'Weekly Analysis'!AM12+'Weekly Analysis'!AN12+'Weekly Analysis'!AO12+'Weekly Analysis'!AP12+'Weekly Analysis'!AQ12),6)</f>
        <v>102.200592</v>
      </c>
      <c r="K41" s="246">
        <v>0</v>
      </c>
      <c r="L41" s="246">
        <f>ROUND(AVERAGE('Weekly Analysis'!AX12*'Weekly Analysis'!AX39+'Weekly Analysis'!AY12*'Weekly Analysis'!AY39+'Weekly Analysis'!AZ12*'Weekly Analysis'!AZ39+'Weekly Analysis'!BA12*'Weekly Analysis'!BA39+'Weekly Analysis'!BB12*'Weekly Analysis'!BB39+'Weekly Analysis'!BC12*'Weekly Analysis'!BC39)/('Weekly Analysis'!AX12+'Weekly Analysis'!AY12+'Weekly Analysis'!AZ12+'Weekly Analysis'!BA12+'Weekly Analysis'!BB12+'Weekly Analysis'!BC12),6)</f>
        <v>108.104265</v>
      </c>
      <c r="M41" s="246">
        <f>ROUND(AVERAGE('Weekly Analysis'!BD12*'Weekly Analysis'!BD39+'Weekly Analysis'!BE12*'Weekly Analysis'!BE39+'Weekly Analysis'!BF12*'Weekly Analysis'!BF39+'Weekly Analysis'!BG12*'Weekly Analysis'!BG39+'Weekly Analysis'!BH12*'Weekly Analysis'!BH39+'Weekly Analysis'!BI12*'Weekly Analysis'!BI39)/('Weekly Analysis'!BD12+'Weekly Analysis'!BE12+'Weekly Analysis'!BF12+'Weekly Analysis'!BG12+'Weekly Analysis'!BH12+'Weekly Analysis'!BI12),6)</f>
        <v>73.967191999999997</v>
      </c>
      <c r="N41" s="246">
        <f>ROUND(AVERAGE('Weekly Analysis'!BJ12*'Weekly Analysis'!BJ39+'Weekly Analysis'!BK12*'Weekly Analysis'!BK39+'Weekly Analysis'!BL12*'Weekly Analysis'!BL39+'Weekly Analysis'!BM12*'Weekly Analysis'!BM39+'Weekly Analysis'!BN12*'Weekly Analysis'!BN39+'Weekly Analysis'!BO12*'Weekly Analysis'!BO39)/('Weekly Analysis'!BJ12+'Weekly Analysis'!BK12+'Weekly Analysis'!BL12+'Weekly Analysis'!BM12+'Weekly Analysis'!BN12+'Weekly Analysis'!BO12),6)</f>
        <v>66.985561000000004</v>
      </c>
      <c r="O41" s="246">
        <f>ROUND(AVERAGE('Weekly Analysis'!BP12*'Weekly Analysis'!BP39+'Weekly Analysis'!BQ12*'Weekly Analysis'!BQ39+'Weekly Analysis'!BR12*'Weekly Analysis'!BR39+'Weekly Analysis'!BS12*'Weekly Analysis'!BS39+'Weekly Analysis'!BT12*'Weekly Analysis'!BT39+'Weekly Analysis'!BU12*'Weekly Analysis'!BU39)/('Weekly Analysis'!BP12+'Weekly Analysis'!BQ12+'Weekly Analysis'!BR12+'Weekly Analysis'!BS12+'Weekly Analysis'!BT12+'Weekly Analysis'!BU12),6)</f>
        <v>116.931194</v>
      </c>
      <c r="P41" s="246">
        <f>ROUND(AVERAGE('Weekly Analysis'!BV12*'Weekly Analysis'!BV39+'Weekly Analysis'!BW12*'Weekly Analysis'!BW39+'Weekly Analysis'!BX12*'Weekly Analysis'!BX39+'Weekly Analysis'!BY12*'Weekly Analysis'!BY39+'Weekly Analysis'!BZ12*'Weekly Analysis'!BZ39+'Weekly Analysis'!CA12*'Weekly Analysis'!CA39)/('Weekly Analysis'!BV12+'Weekly Analysis'!BW12+'Weekly Analysis'!BX12+'Weekly Analysis'!BY12+'Weekly Analysis'!BZ12+'Weekly Analysis'!CA12),6)</f>
        <v>77.507581999999999</v>
      </c>
      <c r="Q41" s="247">
        <f>ROUND(AVERAGE('Weekly Analysis'!CB12*'Weekly Analysis'!CB39+'Weekly Analysis'!CC12*'Weekly Analysis'!CC39+'Weekly Analysis'!CD12*'Weekly Analysis'!CD39+'Weekly Analysis'!CE12*'Weekly Analysis'!CE39+'Weekly Analysis'!CF12*'Weekly Analysis'!CF39+'Weekly Analysis'!CG12*'Weekly Analysis'!CG39)/('Weekly Analysis'!CB12+'Weekly Analysis'!CC12+'Weekly Analysis'!CD12+'Weekly Analysis'!CE12+'Weekly Analysis'!CF12+'Weekly Analysis'!CG12),6)</f>
        <v>76.493049999999997</v>
      </c>
      <c r="R41" s="269">
        <f>ROUND(AVERAGE('Weekly Analysis'!CH12*'Weekly Analysis'!CH39+'Weekly Analysis'!CI12*'Weekly Analysis'!CI39+'Weekly Analysis'!CJ12*'Weekly Analysis'!CJ39+'Weekly Analysis'!CK12*'Weekly Analysis'!CK39+'Weekly Analysis'!CL12*'Weekly Analysis'!CL39+'Weekly Analysis'!CM12*'Weekly Analysis'!CM39)/('Weekly Analysis'!CH12+'Weekly Analysis'!CI12+'Weekly Analysis'!CJ12+'Weekly Analysis'!CK12+'Weekly Analysis'!CL12+'Weekly Analysis'!CM12),6)</f>
        <v>73.664045999999999</v>
      </c>
      <c r="S41" s="777">
        <f>ROUND(AVERAGE('Weekly Analysis'!CN12*'Weekly Analysis'!CN39+'Weekly Analysis'!CO12*'Weekly Analysis'!CO39+'Weekly Analysis'!CP12*'Weekly Analysis'!CP39+'Weekly Analysis'!CQ12*'Weekly Analysis'!CQ39+'Weekly Analysis'!CR12*'Weekly Analysis'!CR39+'Weekly Analysis'!CS12*'Weekly Analysis'!CS39)/('Weekly Analysis'!CN12+'Weekly Analysis'!CO12+'Weekly Analysis'!CP12+'Weekly Analysis'!CQ12+'Weekly Analysis'!CR12+'Weekly Analysis'!CS12),6)</f>
        <v>101.233867</v>
      </c>
      <c r="T41" s="791">
        <f>ROUND(AVERAGE('Weekly Analysis'!CT12*'Weekly Analysis'!CT39+'Weekly Analysis'!CU12*'Weekly Analysis'!CU39+'Weekly Analysis'!CV12*'Weekly Analysis'!CV39+'Weekly Analysis'!CW12*'Weekly Analysis'!CW39+'Weekly Analysis'!CX12*'Weekly Analysis'!CX39+'Weekly Analysis'!CY12*'Weekly Analysis'!CY39)/('Weekly Analysis'!CT12+'Weekly Analysis'!CU12+'Weekly Analysis'!CV12+'Weekly Analysis'!CW12+'Weekly Analysis'!CX12+'Weekly Analysis'!CY12),6)</f>
        <v>78.863438000000002</v>
      </c>
      <c r="U41" s="791">
        <f>ROUND(AVERAGE('Weekly Analysis'!CZ12*'Weekly Analysis'!CZ39+'Weekly Analysis'!DA12*'Weekly Analysis'!DA39+'Weekly Analysis'!DB12*'Weekly Analysis'!DB39+'Weekly Analysis'!DC12*'Weekly Analysis'!DB39+'Weekly Analysis'!DD12*'Weekly Analysis'!DD39+'Weekly Analysis'!DE12*'Weekly Analysis'!DE39)/('Weekly Analysis'!CZ12+'Weekly Analysis'!DA12+'Weekly Analysis'!DB12+'Weekly Analysis'!DC12+'Weekly Analysis'!DD12+'Weekly Analysis'!DE12),6)</f>
        <v>68.872878</v>
      </c>
      <c r="V41" s="791">
        <f>ROUND(AVERAGE('Weekly Analysis'!DF12*'Weekly Analysis'!DF39+'Weekly Analysis'!DG12*'Weekly Analysis'!DG39+'Weekly Analysis'!DH12*'Weekly Analysis'!DH39+'Weekly Analysis'!DI12*'Weekly Analysis'!DI39+'Weekly Analysis'!DJ12*'Weekly Analysis'!DJ39+'Weekly Analysis'!DK12*'Weekly Analysis'!DK39)/('Weekly Analysis'!DF12+'Weekly Analysis'!DG12+'Weekly Analysis'!DH12+'Weekly Analysis'!DI12+'Weekly Analysis'!DJ12+'Weekly Analysis'!DK12),6)</f>
        <v>88.115652999999995</v>
      </c>
      <c r="W41" s="791">
        <f>ROUND(AVERAGE('Weekly Analysis'!DL12*'Weekly Analysis'!DL39+'Weekly Analysis'!DM12*'Weekly Analysis'!DM39+'Weekly Analysis'!DN12*'Weekly Analysis'!DN39+'Weekly Analysis'!DO12*'Weekly Analysis'!DO39+'Weekly Analysis'!DP12*'Weekly Analysis'!DP39+'Weekly Analysis'!DQ12*'Weekly Analysis'!DQ39)/('Weekly Analysis'!DL12+'Weekly Analysis'!DM12+'Weekly Analysis'!DN12+'Weekly Analysis'!DO12+'Weekly Analysis'!DP12+'Weekly Analysis'!DQ12),6)</f>
        <v>83.432157000000004</v>
      </c>
      <c r="X41" s="791">
        <f>ROUND(AVERAGE('Weekly Analysis'!DR12*'Weekly Analysis'!DR39+'Weekly Analysis'!DS12*'Weekly Analysis'!DS39+'Weekly Analysis'!DT12*'Weekly Analysis'!DT39+'Weekly Analysis'!DU12*'Weekly Analysis'!DU39+'Weekly Analysis'!DV12*'Weekly Analysis'!DV39+'Weekly Analysis'!DW12*'Weekly Analysis'!DW39)/('Weekly Analysis'!DR12+'Weekly Analysis'!DS12+'Weekly Analysis'!DT12+'Weekly Analysis'!DU12+'Weekly Analysis'!DV12+'Weekly Analysis'!DW12),6)</f>
        <v>64.688241000000005</v>
      </c>
      <c r="Y41" s="791">
        <f>ROUND(AVERAGE('Weekly Analysis'!DX12*'Weekly Analysis'!DX39+'Weekly Analysis'!DY12*'Weekly Analysis'!DY39+'Weekly Analysis'!DZ12*'Weekly Analysis'!DZ39+'Weekly Analysis'!EA12*'Weekly Analysis'!EA39+'Weekly Analysis'!EB12*'Weekly Analysis'!EB39+'Weekly Analysis'!EC12*'Weekly Analysis'!EC39)/('Weekly Analysis'!DX12+'Weekly Analysis'!DY12+'Weekly Analysis'!DZ12+'Weekly Analysis'!EA12+'Weekly Analysis'!EB12+'Weekly Analysis'!EC12),6)</f>
        <v>76.047280000000001</v>
      </c>
      <c r="Z41" s="791">
        <f t="shared" si="12"/>
        <v>17.559665905894704</v>
      </c>
      <c r="AA41" s="791">
        <f t="shared" si="14"/>
        <v>10.416875566024714</v>
      </c>
      <c r="AB41" s="307"/>
      <c r="AC41" s="307"/>
    </row>
    <row r="42" spans="2:38" ht="25.5" customHeight="1">
      <c r="B42" s="189" t="s">
        <v>351</v>
      </c>
      <c r="C42" s="840">
        <f>AVERAGE(D42:G42)</f>
        <v>55.997654000000004</v>
      </c>
      <c r="D42" s="246">
        <f>ROUND(AVERAGE('Weekly Analysis'!B13*'Weekly Analysis'!B40+'Weekly Analysis'!C13*'Weekly Analysis'!C40+'Weekly Analysis'!D13*'Weekly Analysis'!D40+'Weekly Analysis'!E13*'Weekly Analysis'!E40+'Weekly Analysis'!F13*'Weekly Analysis'!F40+'Weekly Analysis'!G13*'Weekly Analysis'!G40)/('Weekly Analysis'!B13+'Weekly Analysis'!C13+'Weekly Analysis'!D13+'Weekly Analysis'!E13+'Weekly Analysis'!F13+'Weekly Analysis'!G13),6)</f>
        <v>58.393675000000002</v>
      </c>
      <c r="E42" s="246">
        <f>ROUND(AVERAGE('Weekly Analysis'!H13*'Weekly Analysis'!H40+'Weekly Analysis'!I13*'Weekly Analysis'!I40+'Weekly Analysis'!J13*'Weekly Analysis'!J40+'Weekly Analysis'!K13*'Weekly Analysis'!K40+'Weekly Analysis'!L13*'Weekly Analysis'!L40+'Weekly Analysis'!M13*'Weekly Analysis'!M40)/('Weekly Analysis'!H13+'Weekly Analysis'!I13+'Weekly Analysis'!J13+'Weekly Analysis'!K13+'Weekly Analysis'!L13+'Weekly Analysis'!M13),6)</f>
        <v>54.014598999999997</v>
      </c>
      <c r="F42" s="246">
        <f>ROUND(AVERAGE('Weekly Analysis'!N13*'Weekly Analysis'!N40+'Weekly Analysis'!O13*'Weekly Analysis'!O40+'Weekly Analysis'!P13*'Weekly Analysis'!P40+'Weekly Analysis'!Q13*'Weekly Analysis'!Q40+'Weekly Analysis'!R13*'Weekly Analysis'!R40+'Weekly Analysis'!S13*'Weekly Analysis'!S40)/('Weekly Analysis'!N13+'Weekly Analysis'!O13+'Weekly Analysis'!P13+'Weekly Analysis'!Q13+'Weekly Analysis'!R13+'Weekly Analysis'!S13),6)</f>
        <v>74.838965000000002</v>
      </c>
      <c r="G42" s="246">
        <f>ROUND(AVERAGE('Weekly Analysis'!T13*'Weekly Analysis'!T40+'Weekly Analysis'!U13*'Weekly Analysis'!U40+'Weekly Analysis'!V13*'Weekly Analysis'!V40+'Weekly Analysis'!W13*'Weekly Analysis'!W40+'Weekly Analysis'!X13*'Weekly Analysis'!X40+'Weekly Analysis'!Y13*'Weekly Analysis'!Y40)/('Weekly Analysis'!T13+'Weekly Analysis'!U13+'Weekly Analysis'!V13+'Weekly Analysis'!W13+'Weekly Analysis'!X13+'Weekly Analysis'!Y13),6)</f>
        <v>36.743377000000002</v>
      </c>
      <c r="H42" s="246">
        <f>ROUND(AVERAGE('Weekly Analysis'!Z13*'Weekly Analysis'!Z40+'Weekly Analysis'!AA13*'Weekly Analysis'!AA40+'Weekly Analysis'!AB13*'Weekly Analysis'!AB40+'Weekly Analysis'!AC13*'Weekly Analysis'!AC40+'Weekly Analysis'!AD13*'Weekly Analysis'!AD40+'Weekly Analysis'!AE13*'Weekly Analysis'!AE40)/('Weekly Analysis'!Z13+'Weekly Analysis'!AA13+'Weekly Analysis'!AB13+'Weekly Analysis'!AC13+'Weekly Analysis'!AD13+'Weekly Analysis'!AE13),6)</f>
        <v>88.371142000000006</v>
      </c>
      <c r="I42" s="246">
        <f>ROUND(AVERAGE('Weekly Analysis'!AF13*'Weekly Analysis'!AF40+'Weekly Analysis'!AG13*'Weekly Analysis'!AG40+'Weekly Analysis'!AH13*'Weekly Analysis'!AH40+'Weekly Analysis'!AI13*'Weekly Analysis'!AI40+'Weekly Analysis'!AJ13*'Weekly Analysis'!AJ40+'Weekly Analysis'!AK13*'Weekly Analysis'!AK40)/('Weekly Analysis'!AF13+'Weekly Analysis'!AG13+'Weekly Analysis'!AH13+'Weekly Analysis'!AI13+'Weekly Analysis'!AJ13+'Weekly Analysis'!AK13),6)</f>
        <v>53.232573000000002</v>
      </c>
      <c r="J42" s="246">
        <f>ROUND(AVERAGE('Weekly Analysis'!AL13*'Weekly Analysis'!AL40+'Weekly Analysis'!AM13*'Weekly Analysis'!AM40+'Weekly Analysis'!AN13*'Weekly Analysis'!AN40+'Weekly Analysis'!AO13*'Weekly Analysis'!AO40+'Weekly Analysis'!AP13*'Weekly Analysis'!AP40+'Weekly Analysis'!AQ13*'Weekly Analysis'!AQ40)/('Weekly Analysis'!AL13+'Weekly Analysis'!AM13+'Weekly Analysis'!AN13+'Weekly Analysis'!AO13+'Weekly Analysis'!AP13+'Weekly Analysis'!AQ13),6)</f>
        <v>39.871080999999997</v>
      </c>
      <c r="K42" s="246">
        <v>0</v>
      </c>
      <c r="L42" s="246">
        <f>ROUND(AVERAGE('Weekly Analysis'!AX13*'Weekly Analysis'!AX40+'Weekly Analysis'!AY13*'Weekly Analysis'!AY40+'Weekly Analysis'!AZ13*'Weekly Analysis'!AZ40+'Weekly Analysis'!BA13*'Weekly Analysis'!BA40+'Weekly Analysis'!BB13*'Weekly Analysis'!BB40+'Weekly Analysis'!BC13*'Weekly Analysis'!BC40)/('Weekly Analysis'!AX13+'Weekly Analysis'!AY13+'Weekly Analysis'!AZ13+'Weekly Analysis'!BA13+'Weekly Analysis'!BB13+'Weekly Analysis'!BC13),6)</f>
        <v>47.895508999999997</v>
      </c>
      <c r="M42" s="246">
        <f>ROUND(AVERAGE('Weekly Analysis'!BD13*'Weekly Analysis'!BD40+'Weekly Analysis'!BE13*'Weekly Analysis'!BE40+'Weekly Analysis'!BF13*'Weekly Analysis'!BF40+'Weekly Analysis'!BG13*'Weekly Analysis'!BG40+'Weekly Analysis'!BH13*'Weekly Analysis'!BH40+'Weekly Analysis'!BI13*'Weekly Analysis'!BI40)/('Weekly Analysis'!BD13+'Weekly Analysis'!BE13+'Weekly Analysis'!BF13+'Weekly Analysis'!BG13+'Weekly Analysis'!BH13+'Weekly Analysis'!BI13),6)</f>
        <v>34.732236999999998</v>
      </c>
      <c r="N42" s="246">
        <f>ROUND(AVERAGE('Weekly Analysis'!BJ13*'Weekly Analysis'!BJ40+'Weekly Analysis'!BK13*'Weekly Analysis'!BK40+'Weekly Analysis'!BL13*'Weekly Analysis'!BL40+'Weekly Analysis'!BM13*'Weekly Analysis'!BM40+'Weekly Analysis'!BN13*'Weekly Analysis'!BN40+'Weekly Analysis'!BO13*'Weekly Analysis'!BO40)/('Weekly Analysis'!BJ13+'Weekly Analysis'!BK13+'Weekly Analysis'!BL13+'Weekly Analysis'!BM13+'Weekly Analysis'!BN13+'Weekly Analysis'!BO13),6)</f>
        <v>40.683785</v>
      </c>
      <c r="O42" s="246">
        <f>ROUND(AVERAGE('Weekly Analysis'!BP13*'Weekly Analysis'!BP40+'Weekly Analysis'!BQ13*'Weekly Analysis'!BQ40+'Weekly Analysis'!BR13*'Weekly Analysis'!BR40+'Weekly Analysis'!BS13*'Weekly Analysis'!BS40+'Weekly Analysis'!BT13*'Weekly Analysis'!BT40+'Weekly Analysis'!BU13*'Weekly Analysis'!BU40)/('Weekly Analysis'!BP13+'Weekly Analysis'!BQ13+'Weekly Analysis'!BR13+'Weekly Analysis'!BS13+'Weekly Analysis'!BT13+'Weekly Analysis'!BU13),6)</f>
        <v>63.681696000000002</v>
      </c>
      <c r="P42" s="246">
        <f>ROUND(AVERAGE('Weekly Analysis'!BV13*'Weekly Analysis'!BV40+'Weekly Analysis'!BW13*'Weekly Analysis'!BW40+'Weekly Analysis'!BX13*'Weekly Analysis'!BX40+'Weekly Analysis'!BY13*'Weekly Analysis'!BY40+'Weekly Analysis'!BZ13*'Weekly Analysis'!BZ40+'Weekly Analysis'!CA13*'Weekly Analysis'!CA40)/('Weekly Analysis'!BV13+'Weekly Analysis'!BW13+'Weekly Analysis'!BX13+'Weekly Analysis'!BY13+'Weekly Analysis'!BZ13+'Weekly Analysis'!CA13),6)</f>
        <v>57.672882999999999</v>
      </c>
      <c r="Q42" s="247">
        <f>ROUND(AVERAGE('Weekly Analysis'!CB13*'Weekly Analysis'!CB40+'Weekly Analysis'!CC13*'Weekly Analysis'!CC40+'Weekly Analysis'!CD13*'Weekly Analysis'!CD40+'Weekly Analysis'!CE13*'Weekly Analysis'!CE40+'Weekly Analysis'!CF13*'Weekly Analysis'!CF40+'Weekly Analysis'!CG13*'Weekly Analysis'!CG40)/('Weekly Analysis'!CB13+'Weekly Analysis'!CC13+'Weekly Analysis'!CD13+'Weekly Analysis'!CE13+'Weekly Analysis'!CF13+'Weekly Analysis'!CG13),6)</f>
        <v>41.904674</v>
      </c>
      <c r="R42" s="269">
        <f>ROUND(AVERAGE('Weekly Analysis'!CH13*'Weekly Analysis'!CH40+'Weekly Analysis'!CI13*'Weekly Analysis'!CI40+'Weekly Analysis'!CJ13*'Weekly Analysis'!CJ40+'Weekly Analysis'!CK13*'Weekly Analysis'!CK40+'Weekly Analysis'!CL13*'Weekly Analysis'!CL40+'Weekly Analysis'!CM13*'Weekly Analysis'!CM40)/('Weekly Analysis'!CH13+'Weekly Analysis'!CI13+'Weekly Analysis'!CJ13+'Weekly Analysis'!CK13+'Weekly Analysis'!CL13+'Weekly Analysis'!CM13),6)</f>
        <v>47.047893999999999</v>
      </c>
      <c r="S42" s="777">
        <f>ROUND(AVERAGE('Weekly Analysis'!CN13*'Weekly Analysis'!CN40+'Weekly Analysis'!CO13*'Weekly Analysis'!CO40+'Weekly Analysis'!CP13*'Weekly Analysis'!CP40+'Weekly Analysis'!CQ13*'Weekly Analysis'!CQ40+'Weekly Analysis'!CR13*'Weekly Analysis'!CR40+'Weekly Analysis'!CS13*'Weekly Analysis'!CS40)/('Weekly Analysis'!CN13+'Weekly Analysis'!CO13+'Weekly Analysis'!CP13+'Weekly Analysis'!CQ13+'Weekly Analysis'!CR13+'Weekly Analysis'!CS13),6)</f>
        <v>53.951002000000003</v>
      </c>
      <c r="T42" s="791">
        <f>ROUND(AVERAGE('Weekly Analysis'!CT13*'Weekly Analysis'!CT40+'Weekly Analysis'!CU13*'Weekly Analysis'!CU40+'Weekly Analysis'!CV13*'Weekly Analysis'!CV40+'Weekly Analysis'!CW13*'Weekly Analysis'!CW40+'Weekly Analysis'!CX13*'Weekly Analysis'!CX40+'Weekly Analysis'!CY13*'Weekly Analysis'!CY40)/('Weekly Analysis'!CT13+'Weekly Analysis'!CU13+'Weekly Analysis'!CV13+'Weekly Analysis'!CW13+'Weekly Analysis'!CX13+'Weekly Analysis'!CY13),6)</f>
        <v>48.676108999999997</v>
      </c>
      <c r="U42" s="791">
        <f>ROUND(AVERAGE('Weekly Analysis'!CZ13*'Weekly Analysis'!CZ40+'Weekly Analysis'!DA13*'Weekly Analysis'!DA40+'Weekly Analysis'!DB13*'Weekly Analysis'!DB40+'Weekly Analysis'!DC13*'Weekly Analysis'!DB40+'Weekly Analysis'!DD13*'Weekly Analysis'!DD40+'Weekly Analysis'!DE13*'Weekly Analysis'!DE40)/('Weekly Analysis'!CZ13+'Weekly Analysis'!DA13+'Weekly Analysis'!DB13+'Weekly Analysis'!DC13+'Weekly Analysis'!DD13+'Weekly Analysis'!DE13),6)</f>
        <v>162.926962</v>
      </c>
      <c r="V42" s="791">
        <f>ROUND(AVERAGE('Weekly Analysis'!DF13*'Weekly Analysis'!DF40+'Weekly Analysis'!DG13*'Weekly Analysis'!DG40+'Weekly Analysis'!DH13*'Weekly Analysis'!DH40+'Weekly Analysis'!DI13*'Weekly Analysis'!DI40+'Weekly Analysis'!DJ13*'Weekly Analysis'!DJ40+'Weekly Analysis'!DK13*'Weekly Analysis'!DK40)/('Weekly Analysis'!DF13+'Weekly Analysis'!DG13+'Weekly Analysis'!DH13+'Weekly Analysis'!DI13+'Weekly Analysis'!DJ13+'Weekly Analysis'!DK13),6)</f>
        <v>54.365710999999997</v>
      </c>
      <c r="W42" s="791">
        <f>ROUND(AVERAGE('Weekly Analysis'!DL13*'Weekly Analysis'!DL40+'Weekly Analysis'!DM13*'Weekly Analysis'!DM40+'Weekly Analysis'!DN13*'Weekly Analysis'!DN40+'Weekly Analysis'!DO13*'Weekly Analysis'!DO40+'Weekly Analysis'!DP13*'Weekly Analysis'!DP40+'Weekly Analysis'!DQ13*'Weekly Analysis'!DQ40)/('Weekly Analysis'!DL13+'Weekly Analysis'!DM13+'Weekly Analysis'!DN13+'Weekly Analysis'!DO13+'Weekly Analysis'!DP13+'Weekly Analysis'!DQ13),6)</f>
        <v>55.759096999999997</v>
      </c>
      <c r="X42" s="791">
        <f>ROUND(AVERAGE('Weekly Analysis'!DR13*'Weekly Analysis'!DR40+'Weekly Analysis'!DS13*'Weekly Analysis'!DS40+'Weekly Analysis'!DT13*'Weekly Analysis'!DT40+'Weekly Analysis'!DU13*'Weekly Analysis'!DU40+'Weekly Analysis'!DV13*'Weekly Analysis'!DV40+'Weekly Analysis'!DW13*'Weekly Analysis'!DW40)/('Weekly Analysis'!DR13+'Weekly Analysis'!DS13+'Weekly Analysis'!DT13+'Weekly Analysis'!DU13+'Weekly Analysis'!DV13+'Weekly Analysis'!DW13),6)</f>
        <v>43.028388</v>
      </c>
      <c r="Y42" s="791">
        <f>ROUND(AVERAGE('Weekly Analysis'!DX13*'Weekly Analysis'!DX40+'Weekly Analysis'!DY13*'Weekly Analysis'!DY40+'Weekly Analysis'!DZ13*'Weekly Analysis'!DZ40+'Weekly Analysis'!EA13*'Weekly Analysis'!EA40+'Weekly Analysis'!EB13*'Weekly Analysis'!EB40+'Weekly Analysis'!EC13*'Weekly Analysis'!EC40)/('Weekly Analysis'!DX13+'Weekly Analysis'!DY13+'Weekly Analysis'!DZ13+'Weekly Analysis'!EA13+'Weekly Analysis'!EB13+'Weekly Analysis'!EC13),6)</f>
        <v>38.241171000000001</v>
      </c>
      <c r="Z42" s="791">
        <f t="shared" si="12"/>
        <v>-11.125717747083613</v>
      </c>
      <c r="AA42" s="791">
        <f t="shared" si="14"/>
        <v>-76.528641711247275</v>
      </c>
      <c r="AB42" s="307"/>
      <c r="AC42" s="307"/>
    </row>
    <row r="43" spans="2:38">
      <c r="B43" s="854" t="s">
        <v>186</v>
      </c>
      <c r="C43" s="868">
        <f>AVERAGE(C44:C47)</f>
        <v>131.3436705</v>
      </c>
      <c r="D43" s="881">
        <f t="shared" ref="D43:X43" si="15">AVERAGE(D44:D47)</f>
        <v>152.89474100000001</v>
      </c>
      <c r="E43" s="881">
        <f t="shared" si="15"/>
        <v>145.29873400000002</v>
      </c>
      <c r="F43" s="881">
        <f t="shared" si="15"/>
        <v>139.72002725000002</v>
      </c>
      <c r="G43" s="881">
        <f t="shared" si="15"/>
        <v>87.461179749999999</v>
      </c>
      <c r="H43" s="881">
        <f t="shared" si="15"/>
        <v>133.365509</v>
      </c>
      <c r="I43" s="881">
        <f t="shared" si="15"/>
        <v>78.0686745</v>
      </c>
      <c r="J43" s="881">
        <f t="shared" si="15"/>
        <v>109.69443175000001</v>
      </c>
      <c r="K43" s="881">
        <f t="shared" si="15"/>
        <v>0</v>
      </c>
      <c r="L43" s="881">
        <f t="shared" si="15"/>
        <v>121.85588975</v>
      </c>
      <c r="M43" s="881">
        <f t="shared" si="15"/>
        <v>97.60487925000001</v>
      </c>
      <c r="N43" s="881">
        <f t="shared" si="15"/>
        <v>145.54375425000001</v>
      </c>
      <c r="O43" s="881">
        <f t="shared" si="15"/>
        <v>153.99808575</v>
      </c>
      <c r="P43" s="881">
        <f t="shared" si="15"/>
        <v>126.48259299999999</v>
      </c>
      <c r="Q43" s="881">
        <f t="shared" si="15"/>
        <v>115.290735</v>
      </c>
      <c r="R43" s="881">
        <f t="shared" si="15"/>
        <v>130.34518300000002</v>
      </c>
      <c r="S43" s="881">
        <f t="shared" si="15"/>
        <v>137.79147625000002</v>
      </c>
      <c r="T43" s="881">
        <f t="shared" si="15"/>
        <v>133.26630574999999</v>
      </c>
      <c r="U43" s="881">
        <f t="shared" si="15"/>
        <v>7.8673997500000006</v>
      </c>
      <c r="V43" s="881">
        <f>AVERAGE(V44:V47)</f>
        <v>136.95608774999999</v>
      </c>
      <c r="W43" s="881">
        <f t="shared" si="15"/>
        <v>110.15688274999999</v>
      </c>
      <c r="X43" s="881">
        <f t="shared" si="15"/>
        <v>125.86744575</v>
      </c>
      <c r="Y43" s="881">
        <f>AVERAGE(Y44:Y47)</f>
        <v>78.993211250000002</v>
      </c>
      <c r="Z43" s="881">
        <f>Y43/X43*100-100</f>
        <v>-37.240951558755221</v>
      </c>
      <c r="AA43" s="881">
        <f>Y43/U43*100-100</f>
        <v>904.05742380130096</v>
      </c>
      <c r="AB43" s="848">
        <f>Y43-U43</f>
        <v>71.125811499999998</v>
      </c>
      <c r="AC43" s="307"/>
    </row>
    <row r="44" spans="2:38" ht="25.5" customHeight="1">
      <c r="B44" s="189" t="s">
        <v>30</v>
      </c>
      <c r="C44" s="840">
        <f t="shared" si="13"/>
        <v>128.85753699999998</v>
      </c>
      <c r="D44" s="246">
        <f>ROUND(AVERAGE('Weekly Analysis'!B15*'Weekly Analysis'!B42+'Weekly Analysis'!C15*'Weekly Analysis'!C42+'Weekly Analysis'!D15*'Weekly Analysis'!D42+'Weekly Analysis'!E15*'Weekly Analysis'!E42+'Weekly Analysis'!F15*'Weekly Analysis'!F42+'Weekly Analysis'!G15*'Weekly Analysis'!G42)/('Weekly Analysis'!B15+'Weekly Analysis'!C15+'Weekly Analysis'!D15+'Weekly Analysis'!E15+'Weekly Analysis'!F15+'Weekly Analysis'!G15),6)</f>
        <v>194.14474899999999</v>
      </c>
      <c r="E44" s="246">
        <f>ROUND(AVERAGE('Weekly Analysis'!H15*'Weekly Analysis'!H42+'Weekly Analysis'!I15*'Weekly Analysis'!I42+'Weekly Analysis'!J15*'Weekly Analysis'!J42+'Weekly Analysis'!K15*'Weekly Analysis'!K42+'Weekly Analysis'!L15*'Weekly Analysis'!L42+'Weekly Analysis'!M15*'Weekly Analysis'!M42)/('Weekly Analysis'!H15+'Weekly Analysis'!I15+'Weekly Analysis'!J15+'Weekly Analysis'!K15+'Weekly Analysis'!L15+'Weekly Analysis'!M15),6)</f>
        <v>122.616247</v>
      </c>
      <c r="F44" s="246">
        <f>ROUND(AVERAGE('Weekly Analysis'!N15*'Weekly Analysis'!N42+'Weekly Analysis'!O15*'Weekly Analysis'!O42+'Weekly Analysis'!P15*'Weekly Analysis'!P42+'Weekly Analysis'!Q15*'Weekly Analysis'!Q42+'Weekly Analysis'!R15*'Weekly Analysis'!R42+'Weekly Analysis'!S15*'Weekly Analysis'!S42)/('Weekly Analysis'!N15+'Weekly Analysis'!O15+'Weekly Analysis'!P15+'Weekly Analysis'!Q15+'Weekly Analysis'!R15+'Weekly Analysis'!S15),6)</f>
        <v>144.62960000000001</v>
      </c>
      <c r="G44" s="246">
        <f>ROUND(AVERAGE('Weekly Analysis'!T15*'Weekly Analysis'!T42+'Weekly Analysis'!U15*'Weekly Analysis'!U42+'Weekly Analysis'!V15*'Weekly Analysis'!V42+'Weekly Analysis'!W15*'Weekly Analysis'!W42+'Weekly Analysis'!X15*'Weekly Analysis'!X42+'Weekly Analysis'!Y15*'Weekly Analysis'!Y42)/('Weekly Analysis'!T15+'Weekly Analysis'!U15+'Weekly Analysis'!V15+'Weekly Analysis'!W15+'Weekly Analysis'!X15+'Weekly Analysis'!Y15),6)</f>
        <v>54.039552</v>
      </c>
      <c r="H44" s="246">
        <f>ROUND(AVERAGE('Weekly Analysis'!Z15*'Weekly Analysis'!Z42+'Weekly Analysis'!AA15*'Weekly Analysis'!AA42+'Weekly Analysis'!AB15*'Weekly Analysis'!AB42+'Weekly Analysis'!AC15*'Weekly Analysis'!AC42+'Weekly Analysis'!AD15*'Weekly Analysis'!AD42+'Weekly Analysis'!AE15*'Weekly Analysis'!AE42)/('Weekly Analysis'!Z15+'Weekly Analysis'!AA15+'Weekly Analysis'!AB15+'Weekly Analysis'!AC15+'Weekly Analysis'!AD15+'Weekly Analysis'!AE15),6)</f>
        <v>147.74974800000001</v>
      </c>
      <c r="I44" s="246">
        <f>ROUND(AVERAGE('Weekly Analysis'!AF15*'Weekly Analysis'!AF42+'Weekly Analysis'!AG15*'Weekly Analysis'!AG42+'Weekly Analysis'!AH15*'Weekly Analysis'!AH42+'Weekly Analysis'!AI15*'Weekly Analysis'!AI42+'Weekly Analysis'!AJ15*'Weekly Analysis'!AJ42+'Weekly Analysis'!AK15*'Weekly Analysis'!AK42)/('Weekly Analysis'!AF15+'Weekly Analysis'!AG15+'Weekly Analysis'!AH15+'Weekly Analysis'!AI15+'Weekly Analysis'!AJ15+'Weekly Analysis'!AK15),6)</f>
        <v>126.625333</v>
      </c>
      <c r="J44" s="246">
        <f>ROUND(AVERAGE('Weekly Analysis'!AL15*'Weekly Analysis'!AL42+'Weekly Analysis'!AM15*'Weekly Analysis'!AM42+'Weekly Analysis'!AN15*'Weekly Analysis'!AN42+'Weekly Analysis'!AO15*'Weekly Analysis'!AO42+'Weekly Analysis'!AP15*'Weekly Analysis'!AP42+'Weekly Analysis'!AQ15*'Weekly Analysis'!AQ42)/('Weekly Analysis'!AL15+'Weekly Analysis'!AM15+'Weekly Analysis'!AN15+'Weekly Analysis'!AO15+'Weekly Analysis'!AP15+'Weekly Analysis'!AQ15),6)</f>
        <v>197.74011300000001</v>
      </c>
      <c r="K44" s="246">
        <v>0</v>
      </c>
      <c r="L44" s="246">
        <f>ROUND(AVERAGE('Weekly Analysis'!AX15*'Weekly Analysis'!AX42+'Weekly Analysis'!AY15*'Weekly Analysis'!AY42+'Weekly Analysis'!AZ15*'Weekly Analysis'!AZ42+'Weekly Analysis'!BA15*'Weekly Analysis'!BA42+'Weekly Analysis'!BB15*'Weekly Analysis'!BB42+'Weekly Analysis'!BC15*'Weekly Analysis'!BC42)/('Weekly Analysis'!AX15+'Weekly Analysis'!AY15+'Weekly Analysis'!AZ15+'Weekly Analysis'!BA15+'Weekly Analysis'!BB15+'Weekly Analysis'!BC15),6)</f>
        <v>143.77217300000001</v>
      </c>
      <c r="M44" s="246">
        <f>ROUND(AVERAGE('Weekly Analysis'!BD15*'Weekly Analysis'!BD42+'Weekly Analysis'!BE15*'Weekly Analysis'!BE42+'Weekly Analysis'!BF15*'Weekly Analysis'!BF42+'Weekly Analysis'!BG15*'Weekly Analysis'!BG42+'Weekly Analysis'!BH15*'Weekly Analysis'!BH42+'Weekly Analysis'!BI15*'Weekly Analysis'!BI42)/('Weekly Analysis'!BD15+'Weekly Analysis'!BE15+'Weekly Analysis'!BF15+'Weekly Analysis'!BG15+'Weekly Analysis'!BH15+'Weekly Analysis'!BI15),6)</f>
        <v>82.745963000000003</v>
      </c>
      <c r="N44" s="246">
        <f>ROUND(AVERAGE('Weekly Analysis'!BJ15*'Weekly Analysis'!BJ42+'Weekly Analysis'!BK15*'Weekly Analysis'!BK42+'Weekly Analysis'!BL15*'Weekly Analysis'!BL42+'Weekly Analysis'!BM15*'Weekly Analysis'!BM42+'Weekly Analysis'!BN15*'Weekly Analysis'!BN42+'Weekly Analysis'!BO15*'Weekly Analysis'!BO42)/('Weekly Analysis'!BJ15+'Weekly Analysis'!BK15+'Weekly Analysis'!BL15+'Weekly Analysis'!BM15+'Weekly Analysis'!BN15+'Weekly Analysis'!BO15),6)</f>
        <v>104.29526199999999</v>
      </c>
      <c r="O44" s="246">
        <f>ROUND(AVERAGE('Weekly Analysis'!BP15*'Weekly Analysis'!BP42+'Weekly Analysis'!BQ15*'Weekly Analysis'!BQ42+'Weekly Analysis'!BR15*'Weekly Analysis'!BR42+'Weekly Analysis'!BS15*'Weekly Analysis'!BS42+'Weekly Analysis'!BT15*'Weekly Analysis'!BT42+'Weekly Analysis'!BU15*'Weekly Analysis'!BU42)/('Weekly Analysis'!BP15+'Weekly Analysis'!BQ15+'Weekly Analysis'!BR15+'Weekly Analysis'!BS15+'Weekly Analysis'!BT15+'Weekly Analysis'!BU15),6)</f>
        <v>103.717135</v>
      </c>
      <c r="P44" s="246">
        <f>ROUND(AVERAGE('Weekly Analysis'!BV15*'Weekly Analysis'!BV42+'Weekly Analysis'!BW15*'Weekly Analysis'!BW42+'Weekly Analysis'!BX15*'Weekly Analysis'!BX42+'Weekly Analysis'!BY15*'Weekly Analysis'!BY42+'Weekly Analysis'!BZ15*'Weekly Analysis'!BZ42+'Weekly Analysis'!CA15*'Weekly Analysis'!CA42)/('Weekly Analysis'!BV15+'Weekly Analysis'!BW15+'Weekly Analysis'!BX15+'Weekly Analysis'!BY15+'Weekly Analysis'!BZ15+'Weekly Analysis'!CA15),6)</f>
        <v>100.748459</v>
      </c>
      <c r="Q44" s="247">
        <f>ROUND(AVERAGE('Weekly Analysis'!CB15*'Weekly Analysis'!CB42+'Weekly Analysis'!CC15*'Weekly Analysis'!CC42+'Weekly Analysis'!CD15*'Weekly Analysis'!CD42+'Weekly Analysis'!CE15*'Weekly Analysis'!CE42+'Weekly Analysis'!CF15*'Weekly Analysis'!CF42+'Weekly Analysis'!CG15*'Weekly Analysis'!CG42)/('Weekly Analysis'!CB15+'Weekly Analysis'!CC15+'Weekly Analysis'!CD15+'Weekly Analysis'!CE15+'Weekly Analysis'!CF15+'Weekly Analysis'!CG15),6)</f>
        <v>80.266974000000005</v>
      </c>
      <c r="R44" s="269">
        <f>ROUND(AVERAGE('Weekly Analysis'!CH15*'Weekly Analysis'!CH42+'Weekly Analysis'!CI15*'Weekly Analysis'!CI42+'Weekly Analysis'!CJ15*'Weekly Analysis'!CJ42+'Weekly Analysis'!CK15*'Weekly Analysis'!CK42+'Weekly Analysis'!CL15*'Weekly Analysis'!CL42+'Weekly Analysis'!CM15*'Weekly Analysis'!CM42)/('Weekly Analysis'!CH15+'Weekly Analysis'!CI15+'Weekly Analysis'!CJ15+'Weekly Analysis'!CK15+'Weekly Analysis'!CL15+'Weekly Analysis'!CM15),6)</f>
        <v>80.548406</v>
      </c>
      <c r="S44" s="777">
        <f>ROUND(AVERAGE('Weekly Analysis'!CN15*'Weekly Analysis'!CN42+'Weekly Analysis'!CO15*'Weekly Analysis'!CO42+'Weekly Analysis'!CP15*'Weekly Analysis'!CP42+'Weekly Analysis'!CQ15*'Weekly Analysis'!CQ42+'Weekly Analysis'!CR15*'Weekly Analysis'!CR42+'Weekly Analysis'!CS15*'Weekly Analysis'!CS42)/('Weekly Analysis'!CN15+'Weekly Analysis'!CO15+'Weekly Analysis'!CP15+'Weekly Analysis'!CQ15+'Weekly Analysis'!CR15+'Weekly Analysis'!CS15),6)</f>
        <v>145.318093</v>
      </c>
      <c r="T44" s="791">
        <f>ROUND(AVERAGE('Weekly Analysis'!CT15*'Weekly Analysis'!CT42+'Weekly Analysis'!CU15*'Weekly Analysis'!CU42+'Weekly Analysis'!CV15*'Weekly Analysis'!CV42+'Weekly Analysis'!CW15*'Weekly Analysis'!CW42+'Weekly Analysis'!CX15*'Weekly Analysis'!CX42+'Weekly Analysis'!CY15*'Weekly Analysis'!CY42)/('Weekly Analysis'!CT15+'Weekly Analysis'!CU15+'Weekly Analysis'!CV15+'Weekly Analysis'!CW15+'Weekly Analysis'!CX15+'Weekly Analysis'!CY15),6)</f>
        <v>130.16556600000001</v>
      </c>
      <c r="U44" s="791">
        <f>ROUND(AVERAGE('Weekly Analysis'!CZ15*'Weekly Analysis'!CZ42+'Weekly Analysis'!DA15*'Weekly Analysis'!DA42+'Weekly Analysis'!DB15*'Weekly Analysis'!DB42+'Weekly Analysis'!DC15*'Weekly Analysis'!DB42+'Weekly Analysis'!DD15*'Weekly Analysis'!DD42+'Weekly Analysis'!DE15*'Weekly Analysis'!DE42)/('Weekly Analysis'!CZ15+'Weekly Analysis'!DA15+'Weekly Analysis'!DB15+'Weekly Analysis'!DC15+'Weekly Analysis'!DD15+'Weekly Analysis'!DE15),6)</f>
        <v>14.205298000000001</v>
      </c>
      <c r="V44" s="791">
        <f>ROUND(AVERAGE('Weekly Analysis'!DF15*'Weekly Analysis'!DF42+'Weekly Analysis'!DG15*'Weekly Analysis'!DG42+'Weekly Analysis'!DH15*'Weekly Analysis'!DH42+'Weekly Analysis'!DI15*'Weekly Analysis'!DI42+'Weekly Analysis'!DJ15*'Weekly Analysis'!DJ42+'Weekly Analysis'!DK15*'Weekly Analysis'!DK42)/('Weekly Analysis'!DF15+'Weekly Analysis'!DG15+'Weekly Analysis'!DH15+'Weekly Analysis'!DI15+'Weekly Analysis'!DJ15+'Weekly Analysis'!DK15),6)</f>
        <v>77.273951999999994</v>
      </c>
      <c r="W44" s="791">
        <f>ROUND(AVERAGE('Weekly Analysis'!DL15*'Weekly Analysis'!DL42+'Weekly Analysis'!DM15*'Weekly Analysis'!DM42+'Weekly Analysis'!DN15*'Weekly Analysis'!DN42+'Weekly Analysis'!DO15*'Weekly Analysis'!DO42+'Weekly Analysis'!DP15*'Weekly Analysis'!DP42+'Weekly Analysis'!DQ15*'Weekly Analysis'!DQ42)/('Weekly Analysis'!DL15+'Weekly Analysis'!DM15+'Weekly Analysis'!DN15+'Weekly Analysis'!DO15+'Weekly Analysis'!DP15+'Weekly Analysis'!DQ15),6)</f>
        <v>102.762158</v>
      </c>
      <c r="X44" s="791">
        <f>ROUND(AVERAGE('Weekly Analysis'!DR15*'Weekly Analysis'!DR42+'Weekly Analysis'!DS15*'Weekly Analysis'!DS42+'Weekly Analysis'!DT15*'Weekly Analysis'!DT42+'Weekly Analysis'!DU15*'Weekly Analysis'!DU42+'Weekly Analysis'!DV15*'Weekly Analysis'!DV42+'Weekly Analysis'!DW15*'Weekly Analysis'!DW42)/('Weekly Analysis'!DR15+'Weekly Analysis'!DS15+'Weekly Analysis'!DT15+'Weekly Analysis'!DU15+'Weekly Analysis'!DV15+'Weekly Analysis'!DW15),6)</f>
        <v>83.777839999999998</v>
      </c>
      <c r="Y44" s="791">
        <f>ROUND(AVERAGE('Weekly Analysis'!DX15*'Weekly Analysis'!DX42+'Weekly Analysis'!DY15*'Weekly Analysis'!DY42+'Weekly Analysis'!DZ15*'Weekly Analysis'!DZ42+'Weekly Analysis'!EA15*'Weekly Analysis'!EA42+'Weekly Analysis'!EB15*'Weekly Analysis'!EB42+'Weekly Analysis'!EC15*'Weekly Analysis'!EC42)/('Weekly Analysis'!DX15+'Weekly Analysis'!DY15+'Weekly Analysis'!DZ15+'Weekly Analysis'!EA15+'Weekly Analysis'!EB15+'Weekly Analysis'!EC15),6)</f>
        <v>101.933849</v>
      </c>
      <c r="Z44" s="791">
        <f>Y44/X44*100-100</f>
        <v>21.671612684213386</v>
      </c>
      <c r="AA44" s="791">
        <f>Y44/U44*100-100</f>
        <v>617.57628034272841</v>
      </c>
      <c r="AB44" s="307"/>
      <c r="AC44" s="307"/>
    </row>
    <row r="45" spans="2:38" ht="25.5" customHeight="1">
      <c r="B45" s="189" t="s">
        <v>31</v>
      </c>
      <c r="C45" s="840">
        <f t="shared" si="13"/>
        <v>78.854402750000006</v>
      </c>
      <c r="D45" s="246">
        <f>ROUND(AVERAGE('Weekly Analysis'!B16*'Weekly Analysis'!B43+'Weekly Analysis'!C16*'Weekly Analysis'!C43+'Weekly Analysis'!D16*'Weekly Analysis'!D43+'Weekly Analysis'!E16*'Weekly Analysis'!E43+'Weekly Analysis'!F16*'Weekly Analysis'!F43+'Weekly Analysis'!G16*'Weekly Analysis'!G43)/('Weekly Analysis'!B16+'Weekly Analysis'!C16+'Weekly Analysis'!D16+'Weekly Analysis'!E16+'Weekly Analysis'!F16+'Weekly Analysis'!G16),6)</f>
        <v>88.565002000000007</v>
      </c>
      <c r="E45" s="246">
        <f>ROUND(AVERAGE('Weekly Analysis'!H16*'Weekly Analysis'!H43+'Weekly Analysis'!I16*'Weekly Analysis'!I43+'Weekly Analysis'!J16*'Weekly Analysis'!J43+'Weekly Analysis'!K16*'Weekly Analysis'!K43+'Weekly Analysis'!L16*'Weekly Analysis'!L43+'Weekly Analysis'!M16*'Weekly Analysis'!M43)/('Weekly Analysis'!H16+'Weekly Analysis'!I16+'Weekly Analysis'!J16+'Weekly Analysis'!K16+'Weekly Analysis'!L16+'Weekly Analysis'!M16),6)</f>
        <v>91.400537</v>
      </c>
      <c r="F45" s="246">
        <f>ROUND(AVERAGE('Weekly Analysis'!N16*'Weekly Analysis'!N43+'Weekly Analysis'!O16*'Weekly Analysis'!O43+'Weekly Analysis'!P16*'Weekly Analysis'!P43+'Weekly Analysis'!Q16*'Weekly Analysis'!Q43+'Weekly Analysis'!R16*'Weekly Analysis'!R43+'Weekly Analysis'!S16*'Weekly Analysis'!S43)/('Weekly Analysis'!N16+'Weekly Analysis'!O16+'Weekly Analysis'!P16+'Weekly Analysis'!Q16+'Weekly Analysis'!R16+'Weekly Analysis'!S16),6)</f>
        <v>94.911530999999997</v>
      </c>
      <c r="G45" s="246">
        <f>ROUND(AVERAGE('Weekly Analysis'!T16*'Weekly Analysis'!T43+'Weekly Analysis'!U16*'Weekly Analysis'!U43+'Weekly Analysis'!V16*'Weekly Analysis'!V43+'Weekly Analysis'!W16*'Weekly Analysis'!W43+'Weekly Analysis'!X16*'Weekly Analysis'!X43+'Weekly Analysis'!Y16*'Weekly Analysis'!Y43)/('Weekly Analysis'!T16+'Weekly Analysis'!U16+'Weekly Analysis'!V16+'Weekly Analysis'!W16+'Weekly Analysis'!X16+'Weekly Analysis'!Y16),6)</f>
        <v>40.540540999999997</v>
      </c>
      <c r="H45" s="246">
        <f>ROUND(AVERAGE('Weekly Analysis'!Z16*'Weekly Analysis'!Z43+'Weekly Analysis'!AA16*'Weekly Analysis'!AA43+'Weekly Analysis'!AB16*'Weekly Analysis'!AB43+'Weekly Analysis'!AC16*'Weekly Analysis'!AC43+'Weekly Analysis'!AD16*'Weekly Analysis'!AD43+'Weekly Analysis'!AE16*'Weekly Analysis'!AE43)/('Weekly Analysis'!Z16+'Weekly Analysis'!AA16+'Weekly Analysis'!AB16+'Weekly Analysis'!AC16+'Weekly Analysis'!AD16+'Weekly Analysis'!AE16),6)</f>
        <v>74.084732000000002</v>
      </c>
      <c r="I45" s="246">
        <f>ROUND(AVERAGE('Weekly Analysis'!AF16*'Weekly Analysis'!AF43+'Weekly Analysis'!AG16*'Weekly Analysis'!AG43+'Weekly Analysis'!AH16*'Weekly Analysis'!AH43+'Weekly Analysis'!AI16*'Weekly Analysis'!AI43+'Weekly Analysis'!AJ16*'Weekly Analysis'!AJ43+'Weekly Analysis'!AK16*'Weekly Analysis'!AK43)/('Weekly Analysis'!AF16+'Weekly Analysis'!AG16+'Weekly Analysis'!AH16+'Weekly Analysis'!AI16+'Weekly Analysis'!AJ16+'Weekly Analysis'!AK16),6)</f>
        <v>74.585543000000001</v>
      </c>
      <c r="J45" s="246">
        <f>ROUND(AVERAGE('Weekly Analysis'!AL16*'Weekly Analysis'!AL43+'Weekly Analysis'!AM16*'Weekly Analysis'!AM43+'Weekly Analysis'!AN16*'Weekly Analysis'!AN43+'Weekly Analysis'!AO16*'Weekly Analysis'!AO43+'Weekly Analysis'!AP16*'Weekly Analysis'!AP43+'Weekly Analysis'!AQ16*'Weekly Analysis'!AQ43)/('Weekly Analysis'!AL16+'Weekly Analysis'!AM16+'Weekly Analysis'!AN16+'Weekly Analysis'!AO16+'Weekly Analysis'!AP16+'Weekly Analysis'!AQ16),6)</f>
        <v>137.11151699999999</v>
      </c>
      <c r="K45" s="246">
        <v>0</v>
      </c>
      <c r="L45" s="246">
        <f>ROUND(AVERAGE('Weekly Analysis'!AX16*'Weekly Analysis'!AX43+'Weekly Analysis'!AY16*'Weekly Analysis'!AY43+'Weekly Analysis'!AZ16*'Weekly Analysis'!AZ43+'Weekly Analysis'!BA16*'Weekly Analysis'!BA43+'Weekly Analysis'!BB16*'Weekly Analysis'!BB43+'Weekly Analysis'!BC16*'Weekly Analysis'!BC43)/('Weekly Analysis'!AX16+'Weekly Analysis'!AY16+'Weekly Analysis'!AZ16+'Weekly Analysis'!BA16+'Weekly Analysis'!BB16+'Weekly Analysis'!BC16),6)</f>
        <v>59.050066000000001</v>
      </c>
      <c r="M45" s="246">
        <f>ROUND(AVERAGE('Weekly Analysis'!BD16*'Weekly Analysis'!BD43+'Weekly Analysis'!BE16*'Weekly Analysis'!BE43+'Weekly Analysis'!BF16*'Weekly Analysis'!BF43+'Weekly Analysis'!BG16*'Weekly Analysis'!BG43+'Weekly Analysis'!BH16*'Weekly Analysis'!BH43+'Weekly Analysis'!BI16*'Weekly Analysis'!BI43)/('Weekly Analysis'!BD16+'Weekly Analysis'!BE16+'Weekly Analysis'!BF16+'Weekly Analysis'!BG16+'Weekly Analysis'!BH16+'Weekly Analysis'!BI16),6)</f>
        <v>73.837338000000003</v>
      </c>
      <c r="N45" s="246">
        <f>ROUND(AVERAGE('Weekly Analysis'!BJ16*'Weekly Analysis'!BJ43+'Weekly Analysis'!BK16*'Weekly Analysis'!BK43+'Weekly Analysis'!BL16*'Weekly Analysis'!BL43+'Weekly Analysis'!BM16*'Weekly Analysis'!BM43+'Weekly Analysis'!BN16*'Weekly Analysis'!BN43+'Weekly Analysis'!BO16*'Weekly Analysis'!BO43)/('Weekly Analysis'!BJ16+'Weekly Analysis'!BK16+'Weekly Analysis'!BL16+'Weekly Analysis'!BM16+'Weekly Analysis'!BN16+'Weekly Analysis'!BO16),6)</f>
        <v>112.189063</v>
      </c>
      <c r="O45" s="246">
        <f>ROUND(AVERAGE('Weekly Analysis'!BP16*'Weekly Analysis'!BP43+'Weekly Analysis'!BQ16*'Weekly Analysis'!BQ43+'Weekly Analysis'!BR16*'Weekly Analysis'!BR43+'Weekly Analysis'!BS16*'Weekly Analysis'!BS43+'Weekly Analysis'!BT16*'Weekly Analysis'!BT43+'Weekly Analysis'!BU16*'Weekly Analysis'!BU43)/('Weekly Analysis'!BP16+'Weekly Analysis'!BQ16+'Weekly Analysis'!BR16+'Weekly Analysis'!BS16+'Weekly Analysis'!BT16+'Weekly Analysis'!BU16),6)</f>
        <v>185.79059899999999</v>
      </c>
      <c r="P45" s="246">
        <f>ROUND(AVERAGE('Weekly Analysis'!BV16*'Weekly Analysis'!BV43+'Weekly Analysis'!BW16*'Weekly Analysis'!BW43+'Weekly Analysis'!BX16*'Weekly Analysis'!BX43+'Weekly Analysis'!BY16*'Weekly Analysis'!BY43+'Weekly Analysis'!BZ16*'Weekly Analysis'!BZ43+'Weekly Analysis'!CA16*'Weekly Analysis'!CA43)/('Weekly Analysis'!BV16+'Weekly Analysis'!BW16+'Weekly Analysis'!BX16+'Weekly Analysis'!BY16+'Weekly Analysis'!BZ16+'Weekly Analysis'!CA16),6)</f>
        <v>85.791465000000002</v>
      </c>
      <c r="Q45" s="247">
        <f>ROUND(AVERAGE('Weekly Analysis'!CB16*'Weekly Analysis'!CB43+'Weekly Analysis'!CC16*'Weekly Analysis'!CC43+'Weekly Analysis'!CD16*'Weekly Analysis'!CD43+'Weekly Analysis'!CE16*'Weekly Analysis'!CE43+'Weekly Analysis'!CF16*'Weekly Analysis'!CF43+'Weekly Analysis'!CG16*'Weekly Analysis'!CG43)/('Weekly Analysis'!CB16+'Weekly Analysis'!CC16+'Weekly Analysis'!CD16+'Weekly Analysis'!CE16+'Weekly Analysis'!CF16+'Weekly Analysis'!CG16),6)</f>
        <v>83.379329999999996</v>
      </c>
      <c r="R45" s="269">
        <f>ROUND(AVERAGE('Weekly Analysis'!CH16*'Weekly Analysis'!CH43+'Weekly Analysis'!CI16*'Weekly Analysis'!CI43+'Weekly Analysis'!CJ16*'Weekly Analysis'!CJ43+'Weekly Analysis'!CK16*'Weekly Analysis'!CK43+'Weekly Analysis'!CL16*'Weekly Analysis'!CL43+'Weekly Analysis'!CM16*'Weekly Analysis'!CM43)/('Weekly Analysis'!CH16+'Weekly Analysis'!CI16+'Weekly Analysis'!CJ16+'Weekly Analysis'!CK16+'Weekly Analysis'!CL16+'Weekly Analysis'!CM16),6)</f>
        <v>98.594488999999996</v>
      </c>
      <c r="S45" s="777">
        <f>ROUND(AVERAGE('Weekly Analysis'!CN16*'Weekly Analysis'!CN43+'Weekly Analysis'!CO16*'Weekly Analysis'!CO43+'Weekly Analysis'!CP16*'Weekly Analysis'!CP43+'Weekly Analysis'!CQ16*'Weekly Analysis'!CQ43+'Weekly Analysis'!CR16*'Weekly Analysis'!CR43+'Weekly Analysis'!CS16*'Weekly Analysis'!CS43)/('Weekly Analysis'!CN16+'Weekly Analysis'!CO16+'Weekly Analysis'!CP16+'Weekly Analysis'!CQ16+'Weekly Analysis'!CR16+'Weekly Analysis'!CS16),6)</f>
        <v>93.101338999999996</v>
      </c>
      <c r="T45" s="791">
        <f>ROUND(AVERAGE('Weekly Analysis'!CT16*'Weekly Analysis'!CT43+'Weekly Analysis'!CU16*'Weekly Analysis'!CU43+'Weekly Analysis'!CV16*'Weekly Analysis'!CV43+'Weekly Analysis'!CW16*'Weekly Analysis'!CW43+'Weekly Analysis'!CX16*'Weekly Analysis'!CX43+'Weekly Analysis'!CY16*'Weekly Analysis'!CY43)/('Weekly Analysis'!CT16+'Weekly Analysis'!CU16+'Weekly Analysis'!CV16+'Weekly Analysis'!CW16+'Weekly Analysis'!CX16+'Weekly Analysis'!CY16),6)</f>
        <v>109.966371</v>
      </c>
      <c r="U45" s="791">
        <f>ROUND(AVERAGE('Weekly Analysis'!CZ16*'Weekly Analysis'!CZ43+'Weekly Analysis'!DA16*'Weekly Analysis'!DA43+'Weekly Analysis'!DB16*'Weekly Analysis'!DB43+'Weekly Analysis'!DC16*'Weekly Analysis'!DB43+'Weekly Analysis'!DD16*'Weekly Analysis'!DD43+'Weekly Analysis'!DE16*'Weekly Analysis'!DE43)/('Weekly Analysis'!CZ16+'Weekly Analysis'!DA16+'Weekly Analysis'!DB16+'Weekly Analysis'!DC16+'Weekly Analysis'!DD16+'Weekly Analysis'!DE16),6)</f>
        <v>17.264301</v>
      </c>
      <c r="V45" s="791">
        <f>ROUND(AVERAGE('Weekly Analysis'!DF16*'Weekly Analysis'!DF43+'Weekly Analysis'!DG16*'Weekly Analysis'!DG43+'Weekly Analysis'!DH16*'Weekly Analysis'!DH43+'Weekly Analysis'!DI16*'Weekly Analysis'!DI43+'Weekly Analysis'!DJ16*'Weekly Analysis'!DJ43+'Weekly Analysis'!DK16*'Weekly Analysis'!DK43)/('Weekly Analysis'!DF16+'Weekly Analysis'!DG16+'Weekly Analysis'!DH16+'Weekly Analysis'!DI16+'Weekly Analysis'!DJ16+'Weekly Analysis'!DK16),6)</f>
        <v>109.794207</v>
      </c>
      <c r="W45" s="791">
        <f>ROUND(AVERAGE('Weekly Analysis'!DL16*'Weekly Analysis'!DL43+'Weekly Analysis'!DM16*'Weekly Analysis'!DM43+'Weekly Analysis'!DN16*'Weekly Analysis'!DN43+'Weekly Analysis'!DO16*'Weekly Analysis'!DO43+'Weekly Analysis'!DP16*'Weekly Analysis'!DP43+'Weekly Analysis'!DQ16*'Weekly Analysis'!DQ43)/('Weekly Analysis'!DL16+'Weekly Analysis'!DM16+'Weekly Analysis'!DN16+'Weekly Analysis'!DO16+'Weekly Analysis'!DP16+'Weekly Analysis'!DQ16),6)</f>
        <v>92.275773999999998</v>
      </c>
      <c r="X45" s="791">
        <f>ROUND(AVERAGE('Weekly Analysis'!DR16*'Weekly Analysis'!DR43+'Weekly Analysis'!DS16*'Weekly Analysis'!DS43+'Weekly Analysis'!DT16*'Weekly Analysis'!DT43+'Weekly Analysis'!DU16*'Weekly Analysis'!DU43+'Weekly Analysis'!DV16*'Weekly Analysis'!DV43+'Weekly Analysis'!DW16*'Weekly Analysis'!DW43)/('Weekly Analysis'!DR16+'Weekly Analysis'!DS16+'Weekly Analysis'!DT16+'Weekly Analysis'!DU16+'Weekly Analysis'!DV16+'Weekly Analysis'!DW16),6)</f>
        <v>70.572485</v>
      </c>
      <c r="Y45" s="791">
        <f>ROUND(AVERAGE('Weekly Analysis'!DX16*'Weekly Analysis'!DX43+'Weekly Analysis'!DY16*'Weekly Analysis'!DY43+'Weekly Analysis'!DZ16*'Weekly Analysis'!DZ43+'Weekly Analysis'!EA16*'Weekly Analysis'!EA43+'Weekly Analysis'!EB16*'Weekly Analysis'!EB43+'Weekly Analysis'!EC16*'Weekly Analysis'!EC43)/('Weekly Analysis'!DX16+'Weekly Analysis'!DY16+'Weekly Analysis'!DZ16+'Weekly Analysis'!EA16+'Weekly Analysis'!EB16+'Weekly Analysis'!EC16),6)</f>
        <v>115.611221</v>
      </c>
      <c r="Z45" s="791">
        <f t="shared" ref="Z45:Z47" si="16">Y45/X45*100-100</f>
        <v>63.819115906149534</v>
      </c>
      <c r="AA45" s="791">
        <f t="shared" ref="AA45" si="17">Y45/U45*100-100</f>
        <v>569.65480386376487</v>
      </c>
      <c r="AB45" s="307"/>
      <c r="AC45" s="307"/>
    </row>
    <row r="46" spans="2:38" ht="25.5" customHeight="1">
      <c r="B46" s="189" t="s">
        <v>32</v>
      </c>
      <c r="C46" s="840">
        <f t="shared" si="13"/>
        <v>184.57203774999999</v>
      </c>
      <c r="D46" s="246">
        <f>ROUND(AVERAGE('Weekly Analysis'!B17*'Weekly Analysis'!B44+'Weekly Analysis'!C17*'Weekly Analysis'!C44+'Weekly Analysis'!D17*'Weekly Analysis'!D44+'Weekly Analysis'!E17*'Weekly Analysis'!E44+'Weekly Analysis'!F17*'Weekly Analysis'!F44+'Weekly Analysis'!G17*'Weekly Analysis'!G44)/('Weekly Analysis'!B17+'Weekly Analysis'!C17+'Weekly Analysis'!D17+'Weekly Analysis'!E17+'Weekly Analysis'!F17+'Weekly Analysis'!G17),6)</f>
        <v>203.07731000000001</v>
      </c>
      <c r="E46" s="246">
        <f>ROUND(AVERAGE('Weekly Analysis'!H17*'Weekly Analysis'!H44+'Weekly Analysis'!I17*'Weekly Analysis'!I44+'Weekly Analysis'!J17*'Weekly Analysis'!J44+'Weekly Analysis'!K17*'Weekly Analysis'!K44+'Weekly Analysis'!L17*'Weekly Analysis'!L44+'Weekly Analysis'!M17*'Weekly Analysis'!M44)/('Weekly Analysis'!H17+'Weekly Analysis'!I17+'Weekly Analysis'!J17+'Weekly Analysis'!K17+'Weekly Analysis'!L17+'Weekly Analysis'!M17),6)</f>
        <v>200</v>
      </c>
      <c r="F46" s="246">
        <f>ROUND(AVERAGE('Weekly Analysis'!N17*'Weekly Analysis'!N44+'Weekly Analysis'!O17*'Weekly Analysis'!O44+'Weekly Analysis'!P17*'Weekly Analysis'!P44+'Weekly Analysis'!Q17*'Weekly Analysis'!Q44+'Weekly Analysis'!R17*'Weekly Analysis'!R44+'Weekly Analysis'!S17*'Weekly Analysis'!S44)/('Weekly Analysis'!N17+'Weekly Analysis'!O17+'Weekly Analysis'!P17+'Weekly Analysis'!Q17+'Weekly Analysis'!R17+'Weekly Analysis'!S17),6)</f>
        <v>179.09635700000001</v>
      </c>
      <c r="G46" s="246">
        <f>ROUND(AVERAGE('Weekly Analysis'!T17*'Weekly Analysis'!T44+'Weekly Analysis'!U17*'Weekly Analysis'!U44+'Weekly Analysis'!V17*'Weekly Analysis'!V44+'Weekly Analysis'!W17*'Weekly Analysis'!W44+'Weekly Analysis'!X17*'Weekly Analysis'!X44+'Weekly Analysis'!Y17*'Weekly Analysis'!Y44)/('Weekly Analysis'!T17+'Weekly Analysis'!U17+'Weekly Analysis'!V17+'Weekly Analysis'!W17+'Weekly Analysis'!X17+'Weekly Analysis'!Y17),6)</f>
        <v>156.114484</v>
      </c>
      <c r="H46" s="246">
        <f>ROUND(AVERAGE('Weekly Analysis'!Z17*'Weekly Analysis'!Z44+'Weekly Analysis'!AA17*'Weekly Analysis'!AA44+'Weekly Analysis'!AB17*'Weekly Analysis'!AB44+'Weekly Analysis'!AC17*'Weekly Analysis'!AC44+'Weekly Analysis'!AD17*'Weekly Analysis'!AD44+'Weekly Analysis'!AE17*'Weekly Analysis'!AE44)/('Weekly Analysis'!Z17+'Weekly Analysis'!AA17+'Weekly Analysis'!AB17+'Weekly Analysis'!AC17+'Weekly Analysis'!AD17+'Weekly Analysis'!AE17),6)</f>
        <v>205.61647600000001</v>
      </c>
      <c r="I46" s="246">
        <v>0</v>
      </c>
      <c r="J46" s="246">
        <v>0</v>
      </c>
      <c r="K46" s="246">
        <v>0</v>
      </c>
      <c r="L46" s="246">
        <f>ROUND(AVERAGE('Weekly Analysis'!AX17*'Weekly Analysis'!AX44+'Weekly Analysis'!AY17*'Weekly Analysis'!AY44+'Weekly Analysis'!AZ17*'Weekly Analysis'!AZ44+'Weekly Analysis'!BA17*'Weekly Analysis'!BA44+'Weekly Analysis'!BB17*'Weekly Analysis'!BB44+'Weekly Analysis'!BC17*'Weekly Analysis'!BC44)/('Weekly Analysis'!AX17+'Weekly Analysis'!AY17+'Weekly Analysis'!AZ17+'Weekly Analysis'!BA17+'Weekly Analysis'!BB17+'Weekly Analysis'!BC17),6)</f>
        <v>167.025564</v>
      </c>
      <c r="M46" s="246">
        <f>ROUND(AVERAGE('Weekly Analysis'!BD17*'Weekly Analysis'!BD44+'Weekly Analysis'!BE17*'Weekly Analysis'!BE44+'Weekly Analysis'!BF17*'Weekly Analysis'!BF44+'Weekly Analysis'!BG17*'Weekly Analysis'!BG44+'Weekly Analysis'!BH17*'Weekly Analysis'!BH44+'Weekly Analysis'!BI17*'Weekly Analysis'!BI44)/('Weekly Analysis'!BD17+'Weekly Analysis'!BE17+'Weekly Analysis'!BF17+'Weekly Analysis'!BG17+'Weekly Analysis'!BH17+'Weekly Analysis'!BI17),6)</f>
        <v>154.64580100000001</v>
      </c>
      <c r="N46" s="246">
        <f>ROUND(AVERAGE('Weekly Analysis'!BJ17*'Weekly Analysis'!BJ44+'Weekly Analysis'!BK17*'Weekly Analysis'!BK44+'Weekly Analysis'!BL17*'Weekly Analysis'!BL44+'Weekly Analysis'!BM17*'Weekly Analysis'!BM44+'Weekly Analysis'!BN17*'Weekly Analysis'!BN44+'Weekly Analysis'!BO17*'Weekly Analysis'!BO44)/('Weekly Analysis'!BJ17+'Weekly Analysis'!BK17+'Weekly Analysis'!BL17+'Weekly Analysis'!BM17+'Weekly Analysis'!BN17+'Weekly Analysis'!BO17),6)</f>
        <v>270.95583900000003</v>
      </c>
      <c r="O46" s="246">
        <f>ROUND(AVERAGE('Weekly Analysis'!BP17*'Weekly Analysis'!BP44+'Weekly Analysis'!BQ17*'Weekly Analysis'!BQ44+'Weekly Analysis'!BR17*'Weekly Analysis'!BR44+'Weekly Analysis'!BS17*'Weekly Analysis'!BS44+'Weekly Analysis'!BT17*'Weekly Analysis'!BT44+'Weekly Analysis'!BU17*'Weekly Analysis'!BU44)/('Weekly Analysis'!BP17+'Weekly Analysis'!BQ17+'Weekly Analysis'!BR17+'Weekly Analysis'!BS17+'Weekly Analysis'!BT17+'Weekly Analysis'!BU17),6)</f>
        <v>245.212875</v>
      </c>
      <c r="P46" s="246">
        <f>ROUND(AVERAGE('Weekly Analysis'!BV17*'Weekly Analysis'!BV44+'Weekly Analysis'!BW17*'Weekly Analysis'!BW44+'Weekly Analysis'!BX17*'Weekly Analysis'!BX44+'Weekly Analysis'!BY17*'Weekly Analysis'!BY44+'Weekly Analysis'!BZ17*'Weekly Analysis'!BZ44+'Weekly Analysis'!CA17*'Weekly Analysis'!CA44)/('Weekly Analysis'!BV17+'Weekly Analysis'!BW17+'Weekly Analysis'!BX17+'Weekly Analysis'!BY17+'Weekly Analysis'!BZ17+'Weekly Analysis'!CA17),6)</f>
        <v>204.15590700000001</v>
      </c>
      <c r="Q46" s="247">
        <f>ROUND(AVERAGE('Weekly Analysis'!CB17*'Weekly Analysis'!CB44+'Weekly Analysis'!CC17*'Weekly Analysis'!CC44+'Weekly Analysis'!CD17*'Weekly Analysis'!CD44+'Weekly Analysis'!CE17*'Weekly Analysis'!CE44+'Weekly Analysis'!CF17*'Weekly Analysis'!CF44+'Weekly Analysis'!CG17*'Weekly Analysis'!CG44)/('Weekly Analysis'!CB17+'Weekly Analysis'!CC17+'Weekly Analysis'!CD17+'Weekly Analysis'!CE17+'Weekly Analysis'!CF17+'Weekly Analysis'!CG17),6)</f>
        <v>221.69175999999999</v>
      </c>
      <c r="R46" s="269">
        <f>ROUND(AVERAGE('Weekly Analysis'!CH17*'Weekly Analysis'!CH44+'Weekly Analysis'!CI17*'Weekly Analysis'!CI44+'Weekly Analysis'!CJ17*'Weekly Analysis'!CJ44+'Weekly Analysis'!CK17*'Weekly Analysis'!CK44+'Weekly Analysis'!CL17*'Weekly Analysis'!CL44+'Weekly Analysis'!CM17*'Weekly Analysis'!CM44)/('Weekly Analysis'!CH17+'Weekly Analysis'!CI17+'Weekly Analysis'!CJ17+'Weekly Analysis'!CK17+'Weekly Analysis'!CL17+'Weekly Analysis'!CM17),6)</f>
        <v>223.27719300000001</v>
      </c>
      <c r="S46" s="777">
        <f>ROUND(AVERAGE('Weekly Analysis'!CN17*'Weekly Analysis'!CN44+'Weekly Analysis'!CO17*'Weekly Analysis'!CO44+'Weekly Analysis'!CP17*'Weekly Analysis'!CP44+'Weekly Analysis'!CQ17*'Weekly Analysis'!CQ44+'Weekly Analysis'!CR17*'Weekly Analysis'!CR44+'Weekly Analysis'!CS17*'Weekly Analysis'!CS44)/('Weekly Analysis'!CN17+'Weekly Analysis'!CO17+'Weekly Analysis'!CP17+'Weekly Analysis'!CQ17+'Weekly Analysis'!CR17+'Weekly Analysis'!CS17),6)</f>
        <v>197.432084</v>
      </c>
      <c r="T46" s="791">
        <f>ROUND(AVERAGE('Weekly Analysis'!CT17*'Weekly Analysis'!CT44+'Weekly Analysis'!CU17*'Weekly Analysis'!CU44+'Weekly Analysis'!CV17*'Weekly Analysis'!CV44+'Weekly Analysis'!CW17*'Weekly Analysis'!CW44+'Weekly Analysis'!CX17*'Weekly Analysis'!CX44+'Weekly Analysis'!CY17*'Weekly Analysis'!CY44)/('Weekly Analysis'!CT17+'Weekly Analysis'!CU17+'Weekly Analysis'!CV17+'Weekly Analysis'!CW17+'Weekly Analysis'!CX17+'Weekly Analysis'!CY17),6)</f>
        <v>217.56994</v>
      </c>
      <c r="U46" s="809">
        <v>0</v>
      </c>
      <c r="V46" s="791">
        <f>ROUND(AVERAGE('Weekly Analysis'!DF17*'Weekly Analysis'!DF44+'Weekly Analysis'!DG17*'Weekly Analysis'!DG44+'Weekly Analysis'!DH17*'Weekly Analysis'!DH44+'Weekly Analysis'!DI17*'Weekly Analysis'!DI44+'Weekly Analysis'!DJ17*'Weekly Analysis'!DJ44+'Weekly Analysis'!DK17*'Weekly Analysis'!DK44)/('Weekly Analysis'!DF17+'Weekly Analysis'!DG17+'Weekly Analysis'!DH17+'Weekly Analysis'!DI17+'Weekly Analysis'!DJ17+'Weekly Analysis'!DK17),6)</f>
        <v>246.861334</v>
      </c>
      <c r="W46" s="791">
        <f>ROUND(AVERAGE('Weekly Analysis'!DL17*'Weekly Analysis'!DL44+'Weekly Analysis'!DM17*'Weekly Analysis'!DM44+'Weekly Analysis'!DN17*'Weekly Analysis'!DN44+'Weekly Analysis'!DO17*'Weekly Analysis'!DO44+'Weekly Analysis'!DP17*'Weekly Analysis'!DP44+'Weekly Analysis'!DQ17*'Weekly Analysis'!DQ44)/('Weekly Analysis'!DL17+'Weekly Analysis'!DM17+'Weekly Analysis'!DN17+'Weekly Analysis'!DO17+'Weekly Analysis'!DP17+'Weekly Analysis'!DQ17),6)</f>
        <v>144.46240599999999</v>
      </c>
      <c r="X46" s="791">
        <f>ROUND(AVERAGE('Weekly Analysis'!DR17*'Weekly Analysis'!DR44+'Weekly Analysis'!DS17*'Weekly Analysis'!DS44+'Weekly Analysis'!DT17*'Weekly Analysis'!DT44+'Weekly Analysis'!DU17*'Weekly Analysis'!DU44+'Weekly Analysis'!DV17*'Weekly Analysis'!DV44+'Weekly Analysis'!DW17*'Weekly Analysis'!DW44)/('Weekly Analysis'!DR17+'Weekly Analysis'!DS17+'Weekly Analysis'!DT17+'Weekly Analysis'!DU17+'Weekly Analysis'!DV17+'Weekly Analysis'!DW17),6)</f>
        <v>216.298653</v>
      </c>
      <c r="Y46" s="791">
        <v>0</v>
      </c>
      <c r="Z46" s="791">
        <f t="shared" si="16"/>
        <v>-100</v>
      </c>
      <c r="AA46" s="791">
        <v>0</v>
      </c>
      <c r="AB46" s="307"/>
      <c r="AC46" s="307"/>
    </row>
    <row r="47" spans="2:38" ht="25.5" customHeight="1">
      <c r="B47" s="248" t="s">
        <v>352</v>
      </c>
      <c r="C47" s="841">
        <f>AVERAGE(D47:G47)</f>
        <v>133.09070449999999</v>
      </c>
      <c r="D47" s="250">
        <f>ROUND(AVERAGE('Weekly Analysis'!B18*'Weekly Analysis'!B45+'Weekly Analysis'!C18*'Weekly Analysis'!C45+'Weekly Analysis'!D18*'Weekly Analysis'!D45+'Weekly Analysis'!E18*'Weekly Analysis'!E45+'Weekly Analysis'!F18*'Weekly Analysis'!F45+'Weekly Analysis'!G18*'Weekly Analysis'!G45)/('Weekly Analysis'!B18+'Weekly Analysis'!C18+'Weekly Analysis'!D18+'Weekly Analysis'!E18+'Weekly Analysis'!F18+'Weekly Analysis'!G18),6)</f>
        <v>125.791903</v>
      </c>
      <c r="E47" s="250">
        <f>ROUND(AVERAGE('Weekly Analysis'!H18*'Weekly Analysis'!H45+'Weekly Analysis'!I18*'Weekly Analysis'!I45+'Weekly Analysis'!J18*'Weekly Analysis'!J45+'Weekly Analysis'!K18*'Weekly Analysis'!K45+'Weekly Analysis'!L18*'Weekly Analysis'!L45+'Weekly Analysis'!M18*'Weekly Analysis'!M45)/('Weekly Analysis'!H18+'Weekly Analysis'!I18+'Weekly Analysis'!J18+'Weekly Analysis'!K18+'Weekly Analysis'!L18+'Weekly Analysis'!M18),6)</f>
        <v>167.17815200000001</v>
      </c>
      <c r="F47" s="250">
        <f>ROUND(AVERAGE('Weekly Analysis'!N18*'Weekly Analysis'!N45+'Weekly Analysis'!O18*'Weekly Analysis'!O45+'Weekly Analysis'!P18*'Weekly Analysis'!P45+'Weekly Analysis'!Q18*'Weekly Analysis'!Q45+'Weekly Analysis'!R18*'Weekly Analysis'!R45+'Weekly Analysis'!S18*'Weekly Analysis'!S45)/('Weekly Analysis'!N18+'Weekly Analysis'!O18+'Weekly Analysis'!P18+'Weekly Analysis'!Q18+'Weekly Analysis'!R18+'Weekly Analysis'!S18),6)</f>
        <v>140.24262100000001</v>
      </c>
      <c r="G47" s="250">
        <f>ROUND(AVERAGE('Weekly Analysis'!T18*'Weekly Analysis'!T45+'Weekly Analysis'!U18*'Weekly Analysis'!U45+'Weekly Analysis'!V18*'Weekly Analysis'!V45+'Weekly Analysis'!W18*'Weekly Analysis'!W45+'Weekly Analysis'!X18*'Weekly Analysis'!X45+'Weekly Analysis'!Y18*'Weekly Analysis'!Y45)/('Weekly Analysis'!T18+'Weekly Analysis'!U18+'Weekly Analysis'!V18+'Weekly Analysis'!W18+'Weekly Analysis'!X18+'Weekly Analysis'!Y18),6)</f>
        <v>99.150142000000002</v>
      </c>
      <c r="H47" s="250">
        <f>ROUND(AVERAGE('Weekly Analysis'!Z18*'Weekly Analysis'!Z45+'Weekly Analysis'!AA18*'Weekly Analysis'!AA45+'Weekly Analysis'!AB18*'Weekly Analysis'!AB45+'Weekly Analysis'!AC18*'Weekly Analysis'!AC45+'Weekly Analysis'!AD18*'Weekly Analysis'!AD45+'Weekly Analysis'!AE18*'Weekly Analysis'!AE45)/('Weekly Analysis'!Z18+'Weekly Analysis'!AA18+'Weekly Analysis'!AB18+'Weekly Analysis'!AC18+'Weekly Analysis'!AD18+'Weekly Analysis'!AE18),6)</f>
        <v>106.01108000000001</v>
      </c>
      <c r="I47" s="250">
        <f>ROUND(AVERAGE('Weekly Analysis'!AF18*'Weekly Analysis'!AF45+'Weekly Analysis'!AG18*'Weekly Analysis'!AG45+'Weekly Analysis'!AH18*'Weekly Analysis'!AH45+'Weekly Analysis'!AI18*'Weekly Analysis'!AI45+'Weekly Analysis'!AJ18*'Weekly Analysis'!AJ45+'Weekly Analysis'!AK18*'Weekly Analysis'!AK45)/('Weekly Analysis'!AF18+'Weekly Analysis'!AG18+'Weekly Analysis'!AH18+'Weekly Analysis'!AI18+'Weekly Analysis'!AJ18+'Weekly Analysis'!AK18),6)</f>
        <v>111.063822</v>
      </c>
      <c r="J47" s="250">
        <f>ROUND(AVERAGE('Weekly Analysis'!AL18*'Weekly Analysis'!AL45+'Weekly Analysis'!AM18*'Weekly Analysis'!AM45+'Weekly Analysis'!AN18*'Weekly Analysis'!AN45+'Weekly Analysis'!AO18*'Weekly Analysis'!AO45+'Weekly Analysis'!AP18*'Weekly Analysis'!AP45+'Weekly Analysis'!AQ18*'Weekly Analysis'!AQ45)/('Weekly Analysis'!AL18+'Weekly Analysis'!AM18+'Weekly Analysis'!AN18+'Weekly Analysis'!AO18+'Weekly Analysis'!AP18+'Weekly Analysis'!AQ18),6)</f>
        <v>103.926097</v>
      </c>
      <c r="K47" s="250">
        <v>0</v>
      </c>
      <c r="L47" s="250">
        <f>ROUND(AVERAGE('Weekly Analysis'!AX18*'Weekly Analysis'!AX45+'Weekly Analysis'!AY18*'Weekly Analysis'!AY45+'Weekly Analysis'!AZ18*'Weekly Analysis'!AZ45+'Weekly Analysis'!BA18*'Weekly Analysis'!BA45+'Weekly Analysis'!BB18*'Weekly Analysis'!BB45+'Weekly Analysis'!BC18*'Weekly Analysis'!BC45)/('Weekly Analysis'!AX18+'Weekly Analysis'!AY18+'Weekly Analysis'!AZ18+'Weekly Analysis'!BA18+'Weekly Analysis'!BB18+'Weekly Analysis'!BC18),6)</f>
        <v>117.575756</v>
      </c>
      <c r="M47" s="250">
        <f>ROUND(AVERAGE('Weekly Analysis'!BD18*'Weekly Analysis'!BD45+'Weekly Analysis'!BE18*'Weekly Analysis'!BE45+'Weekly Analysis'!BF18*'Weekly Analysis'!BF45+'Weekly Analysis'!BG18*'Weekly Analysis'!BG45+'Weekly Analysis'!BH18*'Weekly Analysis'!BH45+'Weekly Analysis'!BI18*'Weekly Analysis'!BI45)/('Weekly Analysis'!BD18+'Weekly Analysis'!BE18+'Weekly Analysis'!BF18+'Weekly Analysis'!BG18+'Weekly Analysis'!BH18+'Weekly Analysis'!BI18),6)</f>
        <v>79.190415000000002</v>
      </c>
      <c r="N47" s="250">
        <f>ROUND(AVERAGE('Weekly Analysis'!BJ18*'Weekly Analysis'!BJ45+'Weekly Analysis'!BK18*'Weekly Analysis'!BK45+'Weekly Analysis'!BL18*'Weekly Analysis'!BL45+'Weekly Analysis'!BM18*'Weekly Analysis'!BM45+'Weekly Analysis'!BN18*'Weekly Analysis'!BN45+'Weekly Analysis'!BO18*'Weekly Analysis'!BO45)/('Weekly Analysis'!BJ18+'Weekly Analysis'!BK18+'Weekly Analysis'!BL18+'Weekly Analysis'!BM18+'Weekly Analysis'!BN18+'Weekly Analysis'!BO18),6)</f>
        <v>94.734853000000001</v>
      </c>
      <c r="O47" s="250">
        <f>ROUND(AVERAGE('Weekly Analysis'!BP18*'Weekly Analysis'!BP45+'Weekly Analysis'!BQ18*'Weekly Analysis'!BQ45+'Weekly Analysis'!BR18*'Weekly Analysis'!BR45+'Weekly Analysis'!BS18*'Weekly Analysis'!BS45+'Weekly Analysis'!BT18*'Weekly Analysis'!BT45+'Weekly Analysis'!BU18*'Weekly Analysis'!BU45)/('Weekly Analysis'!BP18+'Weekly Analysis'!BQ18+'Weekly Analysis'!BR18+'Weekly Analysis'!BS18+'Weekly Analysis'!BT18+'Weekly Analysis'!BU18),6)</f>
        <v>81.271733999999995</v>
      </c>
      <c r="P47" s="250">
        <f>ROUND(AVERAGE('Weekly Analysis'!BV18*'Weekly Analysis'!BV45+'Weekly Analysis'!BW18*'Weekly Analysis'!BW45+'Weekly Analysis'!BX18*'Weekly Analysis'!BX45+'Weekly Analysis'!BY18*'Weekly Analysis'!BY45+'Weekly Analysis'!BZ18*'Weekly Analysis'!BZ45+'Weekly Analysis'!CA18*'Weekly Analysis'!CA45)/('Weekly Analysis'!BV18+'Weekly Analysis'!BW18+'Weekly Analysis'!BX18+'Weekly Analysis'!BY18+'Weekly Analysis'!BZ18+'Weekly Analysis'!CA18),6)</f>
        <v>115.23454099999999</v>
      </c>
      <c r="Q47" s="251">
        <f>ROUND(AVERAGE('Weekly Analysis'!CB18*'Weekly Analysis'!CB45+'Weekly Analysis'!CC18*'Weekly Analysis'!CC45+'Weekly Analysis'!CD18*'Weekly Analysis'!CD45+'Weekly Analysis'!CE18*'Weekly Analysis'!CE45+'Weekly Analysis'!CF18*'Weekly Analysis'!CF45+'Weekly Analysis'!CG18*'Weekly Analysis'!CG45)/('Weekly Analysis'!CB18+'Weekly Analysis'!CC18+'Weekly Analysis'!CD18+'Weekly Analysis'!CE18+'Weekly Analysis'!CF18+'Weekly Analysis'!CG18),6)</f>
        <v>75.824876000000003</v>
      </c>
      <c r="R47" s="603">
        <f>ROUND(AVERAGE('Weekly Analysis'!CH18*'Weekly Analysis'!CH45+'Weekly Analysis'!CI18*'Weekly Analysis'!CI45+'Weekly Analysis'!CJ18*'Weekly Analysis'!CJ45+'Weekly Analysis'!CK18*'Weekly Analysis'!CK45+'Weekly Analysis'!CL18*'Weekly Analysis'!CL45+'Weekly Analysis'!CM18*'Weekly Analysis'!CM45)/('Weekly Analysis'!CH18+'Weekly Analysis'!CI18+'Weekly Analysis'!CJ18+'Weekly Analysis'!CK18+'Weekly Analysis'!CL18+'Weekly Analysis'!CM18),6)</f>
        <v>118.960644</v>
      </c>
      <c r="S47" s="839">
        <f>ROUND(AVERAGE('Weekly Analysis'!CN18*'Weekly Analysis'!CN45+'Weekly Analysis'!CO18*'Weekly Analysis'!CO45+'Weekly Analysis'!CP18*'Weekly Analysis'!CP45+'Weekly Analysis'!CQ18*'Weekly Analysis'!CQ45+'Weekly Analysis'!CR18*'Weekly Analysis'!CR45+'Weekly Analysis'!CS18*'Weekly Analysis'!CS45)/('Weekly Analysis'!CN18+'Weekly Analysis'!CO18+'Weekly Analysis'!CP18+'Weekly Analysis'!CQ18+'Weekly Analysis'!CR18+'Weekly Analysis'!CS18),6)</f>
        <v>115.31438900000001</v>
      </c>
      <c r="T47" s="842">
        <f>ROUND(AVERAGE('Weekly Analysis'!CT18*'Weekly Analysis'!CT45+'Weekly Analysis'!CU18*'Weekly Analysis'!CU45+'Weekly Analysis'!CV18*'Weekly Analysis'!CV45+'Weekly Analysis'!CW18*'Weekly Analysis'!CW45+'Weekly Analysis'!CX18*'Weekly Analysis'!CX45+'Weekly Analysis'!CY18*'Weekly Analysis'!CY45)/('Weekly Analysis'!CT18+'Weekly Analysis'!CU18+'Weekly Analysis'!CV18+'Weekly Analysis'!CW18+'Weekly Analysis'!CX18+'Weekly Analysis'!CY18),6)</f>
        <v>75.363346000000007</v>
      </c>
      <c r="U47" s="842">
        <f>ROUND(AVERAGE('Weekly Analysis'!CZ18*'Weekly Analysis'!CZ45+'Weekly Analysis'!DA18*'Weekly Analysis'!DA45+'Weekly Analysis'!DB18*'Weekly Analysis'!DB45+'Weekly Analysis'!DC18*'Weekly Analysis'!DB45+'Weekly Analysis'!DD18*'Weekly Analysis'!DD45+'Weekly Analysis'!DE18*'Weekly Analysis'!DE45)/('Weekly Analysis'!CZ18+'Weekly Analysis'!DA18+'Weekly Analysis'!DB18+'Weekly Analysis'!DC18+'Weekly Analysis'!DD18+'Weekly Analysis'!DE18),6)</f>
        <v>0</v>
      </c>
      <c r="V47" s="842">
        <f>ROUND(AVERAGE('Weekly Analysis'!DF18*'Weekly Analysis'!DF45+'Weekly Analysis'!DG18*'Weekly Analysis'!DG45+'Weekly Analysis'!DH18*'Weekly Analysis'!DH45+'Weekly Analysis'!DI18*'Weekly Analysis'!DI45+'Weekly Analysis'!DJ18*'Weekly Analysis'!DJ45+'Weekly Analysis'!DK18*'Weekly Analysis'!DK45)/('Weekly Analysis'!DF18+'Weekly Analysis'!DG18+'Weekly Analysis'!DH18+'Weekly Analysis'!DI18+'Weekly Analysis'!DJ18+'Weekly Analysis'!DK18),6)</f>
        <v>113.894858</v>
      </c>
      <c r="W47" s="842">
        <f>ROUND(AVERAGE('Weekly Analysis'!DL18*'Weekly Analysis'!DL45+'Weekly Analysis'!DM18*'Weekly Analysis'!DM45+'Weekly Analysis'!DN18*'Weekly Analysis'!DN45+'Weekly Analysis'!DO18*'Weekly Analysis'!DO45+'Weekly Analysis'!DP18*'Weekly Analysis'!DP45+'Weekly Analysis'!DQ18*'Weekly Analysis'!DQ45)/('Weekly Analysis'!DL18+'Weekly Analysis'!DM18+'Weekly Analysis'!DN18+'Weekly Analysis'!DO18+'Weekly Analysis'!DP18+'Weekly Analysis'!DQ18),6)</f>
        <v>101.12719300000001</v>
      </c>
      <c r="X47" s="842">
        <f>ROUND(AVERAGE('Weekly Analysis'!DR18*'Weekly Analysis'!DR45+'Weekly Analysis'!DS18*'Weekly Analysis'!DS45+'Weekly Analysis'!DT18*'Weekly Analysis'!DT45+'Weekly Analysis'!DU18*'Weekly Analysis'!DU45+'Weekly Analysis'!DV18*'Weekly Analysis'!DV45+'Weekly Analysis'!DW18*'Weekly Analysis'!DW45)/('Weekly Analysis'!DR18+'Weekly Analysis'!DS18+'Weekly Analysis'!DT18+'Weekly Analysis'!DU18+'Weekly Analysis'!DV18+'Weekly Analysis'!DW18),6)</f>
        <v>132.82080500000001</v>
      </c>
      <c r="Y47" s="791">
        <f>ROUND(AVERAGE('Weekly Analysis'!DX18*'Weekly Analysis'!DX45+'Weekly Analysis'!DY18*'Weekly Analysis'!DY45+'Weekly Analysis'!DZ18*'Weekly Analysis'!DZ45+'Weekly Analysis'!EA18*'Weekly Analysis'!EA45+'Weekly Analysis'!EB18*'Weekly Analysis'!EB45+'Weekly Analysis'!EC18*'Weekly Analysis'!EC45)/('Weekly Analysis'!DX18+'Weekly Analysis'!DY18+'Weekly Analysis'!DZ18+'Weekly Analysis'!EA18+'Weekly Analysis'!EB18+'Weekly Analysis'!EC18),6)</f>
        <v>98.427774999999997</v>
      </c>
      <c r="Z47" s="791">
        <f t="shared" si="16"/>
        <v>-25.894309253734775</v>
      </c>
      <c r="AA47" s="791">
        <v>0</v>
      </c>
      <c r="AB47" s="307"/>
      <c r="AC47" s="307"/>
    </row>
    <row r="48" spans="2:38">
      <c r="B48" s="854" t="s">
        <v>446</v>
      </c>
      <c r="C48" s="868">
        <f>AVERAGE(C49:C57)</f>
        <v>236.06263197222222</v>
      </c>
      <c r="D48" s="881">
        <f t="shared" ref="D48:X48" si="18">AVERAGE(D49:D57)</f>
        <v>249.40641277777775</v>
      </c>
      <c r="E48" s="881">
        <f t="shared" si="18"/>
        <v>221.28243355555557</v>
      </c>
      <c r="F48" s="881">
        <f t="shared" si="18"/>
        <v>267.40257611111116</v>
      </c>
      <c r="G48" s="881">
        <f t="shared" si="18"/>
        <v>206.15910544444444</v>
      </c>
      <c r="H48" s="881">
        <f t="shared" si="18"/>
        <v>240.53838955555557</v>
      </c>
      <c r="I48" s="881">
        <f t="shared" si="18"/>
        <v>264.57071677777776</v>
      </c>
      <c r="J48" s="881">
        <f t="shared" si="18"/>
        <v>194.72771433333335</v>
      </c>
      <c r="K48" s="881">
        <f t="shared" si="18"/>
        <v>0</v>
      </c>
      <c r="L48" s="881">
        <f t="shared" si="18"/>
        <v>216.58269866666669</v>
      </c>
      <c r="M48" s="881">
        <f t="shared" si="18"/>
        <v>284.24542744444443</v>
      </c>
      <c r="N48" s="881">
        <f t="shared" si="18"/>
        <v>225.94782255555555</v>
      </c>
      <c r="O48" s="881">
        <f t="shared" si="18"/>
        <v>181.82037577777777</v>
      </c>
      <c r="P48" s="881">
        <f t="shared" si="18"/>
        <v>277.35035677777773</v>
      </c>
      <c r="Q48" s="881">
        <f t="shared" si="18"/>
        <v>255.99280022222223</v>
      </c>
      <c r="R48" s="881">
        <f t="shared" si="18"/>
        <v>194.50566666666666</v>
      </c>
      <c r="S48" s="881">
        <f t="shared" si="18"/>
        <v>205.47576511111109</v>
      </c>
      <c r="T48" s="881">
        <f t="shared" si="18"/>
        <v>280.97428811111109</v>
      </c>
      <c r="U48" s="881">
        <f t="shared" si="18"/>
        <v>122.65790400000002</v>
      </c>
      <c r="V48" s="881">
        <f t="shared" si="18"/>
        <v>175.669905</v>
      </c>
      <c r="W48" s="881">
        <f t="shared" si="18"/>
        <v>178.03253533333333</v>
      </c>
      <c r="X48" s="881">
        <f t="shared" si="18"/>
        <v>303.89840622222226</v>
      </c>
      <c r="Y48" s="881">
        <f>AVERAGE(Y49:Y57)</f>
        <v>219.36300644444444</v>
      </c>
      <c r="Z48" s="881">
        <f>Y48/X48*100-100</f>
        <v>-27.816993457992098</v>
      </c>
      <c r="AA48" s="881">
        <f>Y48/U48*100-100</f>
        <v>78.841313352659597</v>
      </c>
      <c r="AB48" s="848"/>
      <c r="AC48" s="307"/>
    </row>
    <row r="49" spans="2:30" ht="25.5" customHeight="1">
      <c r="B49" s="189" t="s">
        <v>33</v>
      </c>
      <c r="C49" s="840">
        <f t="shared" si="13"/>
        <v>218.28135499999999</v>
      </c>
      <c r="D49" s="246">
        <f>ROUND(AVERAGE('Weekly Analysis'!B20*'Weekly Analysis'!B47+'Weekly Analysis'!C20*'Weekly Analysis'!C47+'Weekly Analysis'!D20*'Weekly Analysis'!D47+'Weekly Analysis'!E20*'Weekly Analysis'!E47+'Weekly Analysis'!F20*'Weekly Analysis'!F47+'Weekly Analysis'!G20*'Weekly Analysis'!G47)/('Weekly Analysis'!B20+'Weekly Analysis'!C20+'Weekly Analysis'!D20+'Weekly Analysis'!E20+'Weekly Analysis'!F20+'Weekly Analysis'!G20),6)</f>
        <v>239.769409</v>
      </c>
      <c r="E49" s="246">
        <f>ROUND(AVERAGE('Weekly Analysis'!H20*'Weekly Analysis'!H47+'Weekly Analysis'!I20*'Weekly Analysis'!I47+'Weekly Analysis'!J20*'Weekly Analysis'!J47+'Weekly Analysis'!K20*'Weekly Analysis'!K47+'Weekly Analysis'!L20*'Weekly Analysis'!L47+'Weekly Analysis'!M20*'Weekly Analysis'!M47)/('Weekly Analysis'!H20+'Weekly Analysis'!I20+'Weekly Analysis'!J20+'Weekly Analysis'!K20+'Weekly Analysis'!L20+'Weekly Analysis'!M20),6)</f>
        <v>313.09468900000002</v>
      </c>
      <c r="F49" s="246">
        <f>ROUND(AVERAGE('Weekly Analysis'!N20*'Weekly Analysis'!N47+'Weekly Analysis'!O20*'Weekly Analysis'!O47+'Weekly Analysis'!P20*'Weekly Analysis'!P47+'Weekly Analysis'!Q20*'Weekly Analysis'!Q47+'Weekly Analysis'!R20*'Weekly Analysis'!R47+'Weekly Analysis'!S20*'Weekly Analysis'!S47)/('Weekly Analysis'!N20+'Weekly Analysis'!O20+'Weekly Analysis'!P20+'Weekly Analysis'!Q20+'Weekly Analysis'!R20+'Weekly Analysis'!S20),6)</f>
        <v>102.192786</v>
      </c>
      <c r="G49" s="246">
        <f>ROUND(AVERAGE('Weekly Analysis'!T20*'Weekly Analysis'!T47+'Weekly Analysis'!U20*'Weekly Analysis'!U47+'Weekly Analysis'!V20*'Weekly Analysis'!V47+'Weekly Analysis'!W20*'Weekly Analysis'!W47+'Weekly Analysis'!X20*'Weekly Analysis'!X47+'Weekly Analysis'!Y20*'Weekly Analysis'!Y47)/('Weekly Analysis'!T20+'Weekly Analysis'!U20+'Weekly Analysis'!V20+'Weekly Analysis'!W20+'Weekly Analysis'!X20+'Weekly Analysis'!Y20),6)</f>
        <v>218.06853599999999</v>
      </c>
      <c r="H49" s="246">
        <f>ROUND(AVERAGE('Weekly Analysis'!Z20*'Weekly Analysis'!Z47+'Weekly Analysis'!AA20*'Weekly Analysis'!AA47+'Weekly Analysis'!AB20*'Weekly Analysis'!AB47+'Weekly Analysis'!AC20*'Weekly Analysis'!AC47+'Weekly Analysis'!AD20*'Weekly Analysis'!AD47+'Weekly Analysis'!AE20*'Weekly Analysis'!AE47)/('Weekly Analysis'!Z20+'Weekly Analysis'!AA20+'Weekly Analysis'!AB20+'Weekly Analysis'!AC20+'Weekly Analysis'!AD20+'Weekly Analysis'!AE20),6)</f>
        <v>168.93832800000001</v>
      </c>
      <c r="I49" s="246">
        <f>ROUND(AVERAGE('Weekly Analysis'!AF20*'Weekly Analysis'!AF47+'Weekly Analysis'!AG20*'Weekly Analysis'!AG47+'Weekly Analysis'!AH20*'Weekly Analysis'!AH47+'Weekly Analysis'!AI20*'Weekly Analysis'!AI47+'Weekly Analysis'!AJ20*'Weekly Analysis'!AJ47+'Weekly Analysis'!AK20*'Weekly Analysis'!AK47)/('Weekly Analysis'!AF20+'Weekly Analysis'!AG20+'Weekly Analysis'!AH20+'Weekly Analysis'!AI20+'Weekly Analysis'!AJ20+'Weekly Analysis'!AK20),6)</f>
        <v>289.02832599999999</v>
      </c>
      <c r="J49" s="246">
        <f>ROUND(AVERAGE('Weekly Analysis'!AL20*'Weekly Analysis'!AL47+'Weekly Analysis'!AM20*'Weekly Analysis'!AM47+'Weekly Analysis'!AN20*'Weekly Analysis'!AN47+'Weekly Analysis'!AO20*'Weekly Analysis'!AO47+'Weekly Analysis'!AP20*'Weekly Analysis'!AP47+'Weekly Analysis'!AQ20*'Weekly Analysis'!AQ47)/('Weekly Analysis'!AL20+'Weekly Analysis'!AM20+'Weekly Analysis'!AN20+'Weekly Analysis'!AO20+'Weekly Analysis'!AP20+'Weekly Analysis'!AQ20),6)</f>
        <v>45.941806999999997</v>
      </c>
      <c r="K49" s="246">
        <v>0</v>
      </c>
      <c r="L49" s="246">
        <f>ROUND(AVERAGE('Weekly Analysis'!AX20*'Weekly Analysis'!AX47+'Weekly Analysis'!AY20*'Weekly Analysis'!AY47+'Weekly Analysis'!AZ20*'Weekly Analysis'!AZ47+'Weekly Analysis'!BA20*'Weekly Analysis'!BA47+'Weekly Analysis'!BB20*'Weekly Analysis'!BB47+'Weekly Analysis'!BC20*'Weekly Analysis'!BC47)/('Weekly Analysis'!AX20+'Weekly Analysis'!AY20+'Weekly Analysis'!AZ20+'Weekly Analysis'!BA20+'Weekly Analysis'!BB20+'Weekly Analysis'!BC20),6)</f>
        <v>221.994302</v>
      </c>
      <c r="M49" s="246">
        <f>ROUND(AVERAGE('Weekly Analysis'!BD20*'Weekly Analysis'!BD47+'Weekly Analysis'!BE20*'Weekly Analysis'!BE47+'Weekly Analysis'!BF20*'Weekly Analysis'!BF47+'Weekly Analysis'!BG20*'Weekly Analysis'!BG47+'Weekly Analysis'!BH20*'Weekly Analysis'!BH47+'Weekly Analysis'!BI20*'Weekly Analysis'!BI47)/('Weekly Analysis'!BD20+'Weekly Analysis'!BE20+'Weekly Analysis'!BF20+'Weekly Analysis'!BG20+'Weekly Analysis'!BH20+'Weekly Analysis'!BI20),6)</f>
        <v>269.44202899999999</v>
      </c>
      <c r="N49" s="246">
        <f>ROUND(AVERAGE('Weekly Analysis'!BJ20*'Weekly Analysis'!BJ47+'Weekly Analysis'!BK20*'Weekly Analysis'!BK47+'Weekly Analysis'!BL20*'Weekly Analysis'!BL47+'Weekly Analysis'!BM20*'Weekly Analysis'!BM47+'Weekly Analysis'!BN20*'Weekly Analysis'!BN47+'Weekly Analysis'!BO20*'Weekly Analysis'!BO47)/('Weekly Analysis'!BJ20+'Weekly Analysis'!BK20+'Weekly Analysis'!BL20+'Weekly Analysis'!BM20+'Weekly Analysis'!BN20+'Weekly Analysis'!BO20),6)</f>
        <v>211.947035</v>
      </c>
      <c r="O49" s="246">
        <f>ROUND(AVERAGE('Weekly Analysis'!BP20*'Weekly Analysis'!BP47+'Weekly Analysis'!BQ20*'Weekly Analysis'!BQ47+'Weekly Analysis'!BR20*'Weekly Analysis'!BR47+'Weekly Analysis'!BS20*'Weekly Analysis'!BS47+'Weekly Analysis'!BT20*'Weekly Analysis'!BT47+'Weekly Analysis'!BU20*'Weekly Analysis'!BU47)/('Weekly Analysis'!BP20+'Weekly Analysis'!BQ20+'Weekly Analysis'!BR20+'Weekly Analysis'!BS20+'Weekly Analysis'!BT20+'Weekly Analysis'!BU20),6)</f>
        <v>96.328511000000006</v>
      </c>
      <c r="P49" s="246">
        <f>ROUND(AVERAGE('Weekly Analysis'!BV20*'Weekly Analysis'!BV47+'Weekly Analysis'!BW20*'Weekly Analysis'!BW47+'Weekly Analysis'!BX20*'Weekly Analysis'!BX47+'Weekly Analysis'!BY20*'Weekly Analysis'!BY47+'Weekly Analysis'!BZ20*'Weekly Analysis'!BZ47+'Weekly Analysis'!CA20*'Weekly Analysis'!CA47)/('Weekly Analysis'!BV20+'Weekly Analysis'!BW20+'Weekly Analysis'!BX20+'Weekly Analysis'!BY20+'Weekly Analysis'!BZ20+'Weekly Analysis'!CA20),6)</f>
        <v>144.484162</v>
      </c>
      <c r="Q49" s="247">
        <f>ROUND(AVERAGE('Weekly Analysis'!CB20*'Weekly Analysis'!CB47+'Weekly Analysis'!CC20*'Weekly Analysis'!CC47+'Weekly Analysis'!CD20*'Weekly Analysis'!CD47+'Weekly Analysis'!CE20*'Weekly Analysis'!CE47+'Weekly Analysis'!CF20*'Weekly Analysis'!CF47+'Weekly Analysis'!CG20*'Weekly Analysis'!CG47)/('Weekly Analysis'!CB20+'Weekly Analysis'!CC20+'Weekly Analysis'!CD20+'Weekly Analysis'!CE20+'Weekly Analysis'!CF20+'Weekly Analysis'!CG20),6)</f>
        <v>253.69649999999999</v>
      </c>
      <c r="R49" s="269">
        <f>ROUND(AVERAGE('Weekly Analysis'!CH20*'Weekly Analysis'!CH47+'Weekly Analysis'!CI20*'Weekly Analysis'!CI47+'Weekly Analysis'!CJ20*'Weekly Analysis'!CJ47+'Weekly Analysis'!CK20*'Weekly Analysis'!CK47+'Weekly Analysis'!CL20*'Weekly Analysis'!CL47+'Weekly Analysis'!CM20*'Weekly Analysis'!CM47)/('Weekly Analysis'!CH20+'Weekly Analysis'!CI20+'Weekly Analysis'!CJ20+'Weekly Analysis'!CK20+'Weekly Analysis'!CL20+'Weekly Analysis'!CM20),6)</f>
        <v>101.54152999999999</v>
      </c>
      <c r="S49" s="777">
        <f>ROUND(AVERAGE('Weekly Analysis'!CN20*'Weekly Analysis'!CN47+'Weekly Analysis'!CO20*'Weekly Analysis'!CO47+'Weekly Analysis'!CP20*'Weekly Analysis'!CP47+'Weekly Analysis'!CQ20*'Weekly Analysis'!CQ47+'Weekly Analysis'!CR20*'Weekly Analysis'!CR47+'Weekly Analysis'!CS20*'Weekly Analysis'!CS47)/('Weekly Analysis'!CN20+'Weekly Analysis'!CO20+'Weekly Analysis'!CP20+'Weekly Analysis'!CQ20+'Weekly Analysis'!CR20+'Weekly Analysis'!CS20),6)</f>
        <v>144.294228</v>
      </c>
      <c r="T49" s="791">
        <f>ROUND(AVERAGE('Weekly Analysis'!CT20*'Weekly Analysis'!CT47+'Weekly Analysis'!CU20*'Weekly Analysis'!CU47+'Weekly Analysis'!CV20*'Weekly Analysis'!CV47+'Weekly Analysis'!CW20*'Weekly Analysis'!CW47+'Weekly Analysis'!CX20*'Weekly Analysis'!CX47+'Weekly Analysis'!CY20*'Weekly Analysis'!CY47)/('Weekly Analysis'!CT20+'Weekly Analysis'!CU20+'Weekly Analysis'!CV20+'Weekly Analysis'!CW20+'Weekly Analysis'!CX20+'Weekly Analysis'!CY20),6)</f>
        <v>289.91001999999997</v>
      </c>
      <c r="U49" s="791">
        <f>ROUND(AVERAGE('Weekly Analysis'!CZ20*'Weekly Analysis'!CZ47+'Weekly Analysis'!DA20*'Weekly Analysis'!DA47+'Weekly Analysis'!DB20*'Weekly Analysis'!DB47+'Weekly Analysis'!DC20*'Weekly Analysis'!DB47+'Weekly Analysis'!DD20*'Weekly Analysis'!DD47+'Weekly Analysis'!DE20*'Weekly Analysis'!DE47)/('Weekly Analysis'!CZ20+'Weekly Analysis'!DA20+'Weekly Analysis'!DB20+'Weekly Analysis'!DC20+'Weekly Analysis'!DD20+'Weekly Analysis'!DE20),6)</f>
        <v>247.22583700000001</v>
      </c>
      <c r="V49" s="791">
        <f>ROUND(AVERAGE('Weekly Analysis'!DF20*'Weekly Analysis'!DF47+'Weekly Analysis'!DG20*'Weekly Analysis'!DG47+'Weekly Analysis'!DH20*'Weekly Analysis'!DH47+'Weekly Analysis'!DI20*'Weekly Analysis'!DI47+'Weekly Analysis'!DJ20*'Weekly Analysis'!DJ47+'Weekly Analysis'!DK20*'Weekly Analysis'!DK47)/('Weekly Analysis'!DF20+'Weekly Analysis'!DG20+'Weekly Analysis'!DH20+'Weekly Analysis'!DI20+'Weekly Analysis'!DJ20+'Weekly Analysis'!DK20),6)</f>
        <v>93.989637000000002</v>
      </c>
      <c r="W49" s="791">
        <f>ROUND(AVERAGE('Weekly Analysis'!DL20*'Weekly Analysis'!DL47+'Weekly Analysis'!DM20*'Weekly Analysis'!DM47+'Weekly Analysis'!DN20*'Weekly Analysis'!DN47+'Weekly Analysis'!DO20*'Weekly Analysis'!DO47+'Weekly Analysis'!DP20*'Weekly Analysis'!DP47+'Weekly Analysis'!DQ20*'Weekly Analysis'!DQ47)/('Weekly Analysis'!DL20+'Weekly Analysis'!DM20+'Weekly Analysis'!DN20+'Weekly Analysis'!DO20+'Weekly Analysis'!DP20+'Weekly Analysis'!DQ20),6)</f>
        <v>102.16278</v>
      </c>
      <c r="X49" s="791">
        <f>ROUND(AVERAGE('Weekly Analysis'!DR20*'Weekly Analysis'!DR47+'Weekly Analysis'!DS20*'Weekly Analysis'!DS47+'Weekly Analysis'!DT20*'Weekly Analysis'!DT47+'Weekly Analysis'!DU20*'Weekly Analysis'!DU47+'Weekly Analysis'!DV20*'Weekly Analysis'!DV47+'Weekly Analysis'!DW20*'Weekly Analysis'!DW47)/('Weekly Analysis'!DR20+'Weekly Analysis'!DS20+'Weekly Analysis'!DT20+'Weekly Analysis'!DU20+'Weekly Analysis'!DV20+'Weekly Analysis'!DW20),6)</f>
        <v>469.87749600000001</v>
      </c>
      <c r="Y49" s="791">
        <f>ROUND(AVERAGE('Weekly Analysis'!DX20*'Weekly Analysis'!DX47+'Weekly Analysis'!DY20*'Weekly Analysis'!DY47+'Weekly Analysis'!DZ20*'Weekly Analysis'!DZ47+'Weekly Analysis'!EA20*'Weekly Analysis'!EA47+'Weekly Analysis'!EB20*'Weekly Analysis'!EB47+'Weekly Analysis'!EC20*'Weekly Analysis'!EC47)/('Weekly Analysis'!DX20+'Weekly Analysis'!DY20+'Weekly Analysis'!DZ20+'Weekly Analysis'!EA20+'Weekly Analysis'!EB20+'Weekly Analysis'!EC20),6)</f>
        <v>305.42215099999999</v>
      </c>
      <c r="Z49" s="791">
        <f>Y49/X49*100-100</f>
        <v>-34.999621475806961</v>
      </c>
      <c r="AA49" s="791">
        <f>Y49/U49*100-100</f>
        <v>23.539737879419121</v>
      </c>
      <c r="AB49" s="307"/>
      <c r="AC49" s="307"/>
    </row>
    <row r="50" spans="2:30" ht="25.5" customHeight="1">
      <c r="B50" s="189" t="s">
        <v>34</v>
      </c>
      <c r="C50" s="840">
        <f t="shared" si="13"/>
        <v>209.96659725000001</v>
      </c>
      <c r="D50" s="246">
        <f>ROUND(AVERAGE('Weekly Analysis'!B21*'Weekly Analysis'!B48+'Weekly Analysis'!C21*'Weekly Analysis'!C48+'Weekly Analysis'!D21*'Weekly Analysis'!D48+'Weekly Analysis'!E21*'Weekly Analysis'!E48+'Weekly Analysis'!F21*'Weekly Analysis'!F48+'Weekly Analysis'!G21*'Weekly Analysis'!G48)/('Weekly Analysis'!B21+'Weekly Analysis'!C21+'Weekly Analysis'!D21+'Weekly Analysis'!E21+'Weekly Analysis'!F21+'Weekly Analysis'!G21),6)</f>
        <v>321.42857099999998</v>
      </c>
      <c r="E50" s="246">
        <v>0</v>
      </c>
      <c r="F50" s="246">
        <f>ROUND(AVERAGE('Weekly Analysis'!N21*'Weekly Analysis'!N48+'Weekly Analysis'!O21*'Weekly Analysis'!O48+'Weekly Analysis'!P21*'Weekly Analysis'!P48+'Weekly Analysis'!Q21*'Weekly Analysis'!Q48+'Weekly Analysis'!R21*'Weekly Analysis'!R48+'Weekly Analysis'!S21*'Weekly Analysis'!S48)/('Weekly Analysis'!N21+'Weekly Analysis'!O21+'Weekly Analysis'!P21+'Weekly Analysis'!Q21+'Weekly Analysis'!R21+'Weekly Analysis'!S21),6)</f>
        <v>284.20358399999998</v>
      </c>
      <c r="G50" s="246">
        <f>ROUND(AVERAGE('Weekly Analysis'!T21*'Weekly Analysis'!T48+'Weekly Analysis'!U21*'Weekly Analysis'!U48+'Weekly Analysis'!V21*'Weekly Analysis'!V48+'Weekly Analysis'!W21*'Weekly Analysis'!W48+'Weekly Analysis'!X21*'Weekly Analysis'!X48+'Weekly Analysis'!Y21*'Weekly Analysis'!Y48)/('Weekly Analysis'!T21+'Weekly Analysis'!U21+'Weekly Analysis'!V21+'Weekly Analysis'!W21+'Weekly Analysis'!X21+'Weekly Analysis'!Y21),6)</f>
        <v>234.23423399999999</v>
      </c>
      <c r="H50" s="246">
        <f>ROUND(AVERAGE('Weekly Analysis'!Z21*'Weekly Analysis'!Z48+'Weekly Analysis'!AA21*'Weekly Analysis'!AA48+'Weekly Analysis'!AB21*'Weekly Analysis'!AB48+'Weekly Analysis'!AC21*'Weekly Analysis'!AC48+'Weekly Analysis'!AD21*'Weekly Analysis'!AD48+'Weekly Analysis'!AE21*'Weekly Analysis'!AE48)/('Weekly Analysis'!Z21+'Weekly Analysis'!AA21+'Weekly Analysis'!AB21+'Weekly Analysis'!AC21+'Weekly Analysis'!AD21+'Weekly Analysis'!AE21),6)</f>
        <v>292.503648</v>
      </c>
      <c r="I50" s="246">
        <v>0</v>
      </c>
      <c r="J50" s="246">
        <v>0</v>
      </c>
      <c r="K50" s="246">
        <v>0</v>
      </c>
      <c r="L50" s="246">
        <f>ROUND(AVERAGE('Weekly Analysis'!AX21*'Weekly Analysis'!AX48+'Weekly Analysis'!AY21*'Weekly Analysis'!AY48+'Weekly Analysis'!AZ21*'Weekly Analysis'!AZ48+'Weekly Analysis'!BA21*'Weekly Analysis'!BA48+'Weekly Analysis'!BB21*'Weekly Analysis'!BB48+'Weekly Analysis'!BC21*'Weekly Analysis'!BC48)/('Weekly Analysis'!AX21+'Weekly Analysis'!AY21+'Weekly Analysis'!AZ21+'Weekly Analysis'!BA21+'Weekly Analysis'!BB21+'Weekly Analysis'!BC21),6)</f>
        <v>316.62269099999997</v>
      </c>
      <c r="M50" s="246">
        <v>0</v>
      </c>
      <c r="N50" s="246">
        <f>ROUND(AVERAGE('Weekly Analysis'!BJ21*'Weekly Analysis'!BJ48+'Weekly Analysis'!BK21*'Weekly Analysis'!BK48+'Weekly Analysis'!BL21*'Weekly Analysis'!BL48+'Weekly Analysis'!BM21*'Weekly Analysis'!BM48+'Weekly Analysis'!BN21*'Weekly Analysis'!BN48+'Weekly Analysis'!BO21*'Weekly Analysis'!BO48)/('Weekly Analysis'!BJ21+'Weekly Analysis'!BK21+'Weekly Analysis'!BL21+'Weekly Analysis'!BM21+'Weekly Analysis'!BN21+'Weekly Analysis'!BO21),6)</f>
        <v>379.77810499999998</v>
      </c>
      <c r="O50" s="246">
        <f>ROUND(AVERAGE('Weekly Analysis'!BP21*'Weekly Analysis'!BP48+'Weekly Analysis'!BQ21*'Weekly Analysis'!BQ48+'Weekly Analysis'!BR21*'Weekly Analysis'!BR48+'Weekly Analysis'!BS21*'Weekly Analysis'!BS48+'Weekly Analysis'!BT21*'Weekly Analysis'!BT48+'Weekly Analysis'!BU21*'Weekly Analysis'!BU48)/('Weekly Analysis'!BP21+'Weekly Analysis'!BQ21+'Weekly Analysis'!BR21+'Weekly Analysis'!BS21+'Weekly Analysis'!BT21+'Weekly Analysis'!BU21),6)</f>
        <v>123.535889</v>
      </c>
      <c r="P50" s="246">
        <f>ROUND(AVERAGE('Weekly Analysis'!BV21*'Weekly Analysis'!BV48+'Weekly Analysis'!BW21*'Weekly Analysis'!BW48+'Weekly Analysis'!BX21*'Weekly Analysis'!BX48+'Weekly Analysis'!BY21*'Weekly Analysis'!BY48+'Weekly Analysis'!BZ21*'Weekly Analysis'!BZ48+'Weekly Analysis'!CA21*'Weekly Analysis'!CA48)/('Weekly Analysis'!BV21+'Weekly Analysis'!BW21+'Weekly Analysis'!BX21+'Weekly Analysis'!BY21+'Weekly Analysis'!BZ21+'Weekly Analysis'!CA21),6)</f>
        <v>164.294039</v>
      </c>
      <c r="Q50" s="247">
        <v>0</v>
      </c>
      <c r="R50" s="269">
        <f>ROUND(AVERAGE('Weekly Analysis'!CH21*'Weekly Analysis'!CH48+'Weekly Analysis'!CI21*'Weekly Analysis'!CI48+'Weekly Analysis'!CJ21*'Weekly Analysis'!CJ48+'Weekly Analysis'!CK21*'Weekly Analysis'!CK48+'Weekly Analysis'!CL21*'Weekly Analysis'!CL48+'Weekly Analysis'!CM21*'Weekly Analysis'!CM48)/('Weekly Analysis'!CH21+'Weekly Analysis'!CI21+'Weekly Analysis'!CJ21+'Weekly Analysis'!CK21+'Weekly Analysis'!CL21+'Weekly Analysis'!CM21),6)</f>
        <v>267.082966</v>
      </c>
      <c r="S50" s="777">
        <f>ROUND(AVERAGE('Weekly Analysis'!CN21*'Weekly Analysis'!CN48+'Weekly Analysis'!CO21*'Weekly Analysis'!CO48+'Weekly Analysis'!CP21*'Weekly Analysis'!CP48+'Weekly Analysis'!CQ21*'Weekly Analysis'!CQ48+'Weekly Analysis'!CR21*'Weekly Analysis'!CR48+'Weekly Analysis'!CS21*'Weekly Analysis'!CS48)/('Weekly Analysis'!CN21+'Weekly Analysis'!CO21+'Weekly Analysis'!CP21+'Weekly Analysis'!CQ21+'Weekly Analysis'!CR21+'Weekly Analysis'!CS21),6)</f>
        <v>197.54860400000001</v>
      </c>
      <c r="T50" s="791">
        <f>ROUND(AVERAGE('Weekly Analysis'!CT21*'Weekly Analysis'!CT48+'Weekly Analysis'!CU21*'Weekly Analysis'!CU48+'Weekly Analysis'!CV21*'Weekly Analysis'!CV48+'Weekly Analysis'!CW21*'Weekly Analysis'!CW48+'Weekly Analysis'!CX21*'Weekly Analysis'!CX48+'Weekly Analysis'!CY21*'Weekly Analysis'!CY48)/('Weekly Analysis'!CT21+'Weekly Analysis'!CU21+'Weekly Analysis'!CV21+'Weekly Analysis'!CW21+'Weekly Analysis'!CX21+'Weekly Analysis'!CY21),6)</f>
        <v>34.674064000000001</v>
      </c>
      <c r="U50" s="791">
        <f>ROUND(AVERAGE('Weekly Analysis'!CZ21*'Weekly Analysis'!CZ48+'Weekly Analysis'!DA21*'Weekly Analysis'!DA48+'Weekly Analysis'!DB21*'Weekly Analysis'!DB48+'Weekly Analysis'!DC21*'Weekly Analysis'!DB48+'Weekly Analysis'!DD21*'Weekly Analysis'!DD48+'Weekly Analysis'!DE21*'Weekly Analysis'!DE48)/('Weekly Analysis'!CZ21+'Weekly Analysis'!DA21+'Weekly Analysis'!DB21+'Weekly Analysis'!DC21+'Weekly Analysis'!DD21+'Weekly Analysis'!DE21),6)</f>
        <v>0</v>
      </c>
      <c r="V50" s="791">
        <f>ROUND(AVERAGE('Weekly Analysis'!DF21*'Weekly Analysis'!DF48+'Weekly Analysis'!DG21*'Weekly Analysis'!DG48+'Weekly Analysis'!DH21*'Weekly Analysis'!DH48+'Weekly Analysis'!DI21*'Weekly Analysis'!DI48+'Weekly Analysis'!DJ21*'Weekly Analysis'!DJ48+'Weekly Analysis'!DK21*'Weekly Analysis'!DK48)/('Weekly Analysis'!DF21+'Weekly Analysis'!DG21+'Weekly Analysis'!DH21+'Weekly Analysis'!DI21+'Weekly Analysis'!DJ21+'Weekly Analysis'!DK21),6)</f>
        <v>142.09542099999999</v>
      </c>
      <c r="W50" s="791">
        <f>ROUND(AVERAGE('Weekly Analysis'!DL21*'Weekly Analysis'!DL48+'Weekly Analysis'!DM21*'Weekly Analysis'!DM48+'Weekly Analysis'!DN21*'Weekly Analysis'!DN48+'Weekly Analysis'!DO21*'Weekly Analysis'!DO48+'Weekly Analysis'!DP21*'Weekly Analysis'!DP48+'Weekly Analysis'!DQ21*'Weekly Analysis'!DQ48)/('Weekly Analysis'!DL21+'Weekly Analysis'!DM21+'Weekly Analysis'!DN21+'Weekly Analysis'!DO21+'Weekly Analysis'!DP21+'Weekly Analysis'!DQ21),6)</f>
        <v>203.79600199999999</v>
      </c>
      <c r="X50" s="791">
        <v>0</v>
      </c>
      <c r="Y50" s="791">
        <v>0</v>
      </c>
      <c r="Z50" s="791">
        <v>0</v>
      </c>
      <c r="AA50" s="791">
        <v>0</v>
      </c>
      <c r="AB50" s="307"/>
      <c r="AC50" s="307"/>
    </row>
    <row r="51" spans="2:30" ht="25.5" customHeight="1">
      <c r="B51" s="189" t="s">
        <v>348</v>
      </c>
      <c r="C51" s="840">
        <f t="shared" si="13"/>
        <v>164.79681575000001</v>
      </c>
      <c r="D51" s="246">
        <f>ROUND(AVERAGE('Weekly Analysis'!B22*'Weekly Analysis'!B49+'Weekly Analysis'!C22*'Weekly Analysis'!C49+'Weekly Analysis'!D22*'Weekly Analysis'!D49+'Weekly Analysis'!E22*'Weekly Analysis'!E49+'Weekly Analysis'!F22*'Weekly Analysis'!F49+'Weekly Analysis'!G22*'Weekly Analysis'!G49)/('Weekly Analysis'!B22+'Weekly Analysis'!C22+'Weekly Analysis'!D22+'Weekly Analysis'!E22+'Weekly Analysis'!F22+'Weekly Analysis'!G22),6)</f>
        <v>261.30658399999999</v>
      </c>
      <c r="E51" s="246">
        <v>0</v>
      </c>
      <c r="F51" s="246">
        <f>ROUND(AVERAGE('Weekly Analysis'!N22*'Weekly Analysis'!N49+'Weekly Analysis'!O22*'Weekly Analysis'!O49+'Weekly Analysis'!P22*'Weekly Analysis'!P49+'Weekly Analysis'!Q22*'Weekly Analysis'!Q49+'Weekly Analysis'!R22*'Weekly Analysis'!R49+'Weekly Analysis'!S22*'Weekly Analysis'!S49)/('Weekly Analysis'!N22+'Weekly Analysis'!O22+'Weekly Analysis'!P22+'Weekly Analysis'!Q22+'Weekly Analysis'!R22+'Weekly Analysis'!S22),6)</f>
        <v>209.910754</v>
      </c>
      <c r="G51" s="246">
        <f>ROUND(AVERAGE('Weekly Analysis'!T22*'Weekly Analysis'!T49+'Weekly Analysis'!U22*'Weekly Analysis'!U49+'Weekly Analysis'!V22*'Weekly Analysis'!V49+'Weekly Analysis'!W22*'Weekly Analysis'!W49+'Weekly Analysis'!X22*'Weekly Analysis'!X49+'Weekly Analysis'!Y22*'Weekly Analysis'!Y49)/('Weekly Analysis'!T22+'Weekly Analysis'!U22+'Weekly Analysis'!V22+'Weekly Analysis'!W22+'Weekly Analysis'!X22+'Weekly Analysis'!Y22),6)</f>
        <v>187.96992499999999</v>
      </c>
      <c r="H51" s="246">
        <f>ROUND(AVERAGE('Weekly Analysis'!Z22*'Weekly Analysis'!Z49+'Weekly Analysis'!AA22*'Weekly Analysis'!AA49+'Weekly Analysis'!AB22*'Weekly Analysis'!AB49+'Weekly Analysis'!AC22*'Weekly Analysis'!AC49+'Weekly Analysis'!AD22*'Weekly Analysis'!AD49+'Weekly Analysis'!AE22*'Weekly Analysis'!AE49)/('Weekly Analysis'!Z22+'Weekly Analysis'!AA22+'Weekly Analysis'!AB22+'Weekly Analysis'!AC22+'Weekly Analysis'!AD22+'Weekly Analysis'!AE22),6)</f>
        <v>179.00375600000001</v>
      </c>
      <c r="I51" s="246">
        <f>ROUND(AVERAGE('Weekly Analysis'!AF22*'Weekly Analysis'!AF49+'Weekly Analysis'!AG22*'Weekly Analysis'!AG49+'Weekly Analysis'!AH22*'Weekly Analysis'!AH49+'Weekly Analysis'!AI22*'Weekly Analysis'!AI49+'Weekly Analysis'!AJ22*'Weekly Analysis'!AJ49+'Weekly Analysis'!AK22*'Weekly Analysis'!AK49)/('Weekly Analysis'!AF22+'Weekly Analysis'!AG22+'Weekly Analysis'!AH22+'Weekly Analysis'!AI22+'Weekly Analysis'!AJ22+'Weekly Analysis'!AK22),6)</f>
        <v>249.217772</v>
      </c>
      <c r="J51" s="246">
        <f>ROUND(AVERAGE('Weekly Analysis'!AL22*'Weekly Analysis'!AL49+'Weekly Analysis'!AM22*'Weekly Analysis'!AM49+'Weekly Analysis'!AN22*'Weekly Analysis'!AN49+'Weekly Analysis'!AO22*'Weekly Analysis'!AO49+'Weekly Analysis'!AP22*'Weekly Analysis'!AP49+'Weekly Analysis'!AQ22*'Weekly Analysis'!AQ49)/('Weekly Analysis'!AL22+'Weekly Analysis'!AM22+'Weekly Analysis'!AN22+'Weekly Analysis'!AO22+'Weekly Analysis'!AP22+'Weekly Analysis'!AQ22),6)</f>
        <v>141.694042</v>
      </c>
      <c r="K51" s="246">
        <v>0</v>
      </c>
      <c r="L51" s="246">
        <f>ROUND(AVERAGE('Weekly Analysis'!AX22*'Weekly Analysis'!AX49+'Weekly Analysis'!AY22*'Weekly Analysis'!AY49+'Weekly Analysis'!AZ22*'Weekly Analysis'!AZ49+'Weekly Analysis'!BA22*'Weekly Analysis'!BA49+'Weekly Analysis'!BB22*'Weekly Analysis'!BB49+'Weekly Analysis'!BC22*'Weekly Analysis'!BC49)/('Weekly Analysis'!AX22+'Weekly Analysis'!AY22+'Weekly Analysis'!AZ22+'Weekly Analysis'!BA22+'Weekly Analysis'!BB22+'Weekly Analysis'!BC22),6)</f>
        <v>178.57142899999999</v>
      </c>
      <c r="M51" s="246">
        <f>ROUND(AVERAGE('Weekly Analysis'!BD22*'Weekly Analysis'!BD49+'Weekly Analysis'!BE22*'Weekly Analysis'!BE49+'Weekly Analysis'!BF22*'Weekly Analysis'!BF49+'Weekly Analysis'!BG22*'Weekly Analysis'!BG49+'Weekly Analysis'!BH22*'Weekly Analysis'!BH49+'Weekly Analysis'!BI22*'Weekly Analysis'!BI49)/('Weekly Analysis'!BD22+'Weekly Analysis'!BE22+'Weekly Analysis'!BF22+'Weekly Analysis'!BG22+'Weekly Analysis'!BH22+'Weekly Analysis'!BI22),6)</f>
        <v>294.11764699999998</v>
      </c>
      <c r="N51" s="246">
        <f>ROUND(AVERAGE('Weekly Analysis'!BJ22*'Weekly Analysis'!BJ49+'Weekly Analysis'!BK22*'Weekly Analysis'!BK49+'Weekly Analysis'!BL22*'Weekly Analysis'!BL49+'Weekly Analysis'!BM22*'Weekly Analysis'!BM49+'Weekly Analysis'!BN22*'Weekly Analysis'!BN49+'Weekly Analysis'!BO22*'Weekly Analysis'!BO49)/('Weekly Analysis'!BJ22+'Weekly Analysis'!BK22+'Weekly Analysis'!BL22+'Weekly Analysis'!BM22+'Weekly Analysis'!BN22+'Weekly Analysis'!BO22),6)</f>
        <v>274.13548400000002</v>
      </c>
      <c r="O51" s="246">
        <f>ROUND(AVERAGE('Weekly Analysis'!BP22*'Weekly Analysis'!BP49+'Weekly Analysis'!BQ22*'Weekly Analysis'!BQ49+'Weekly Analysis'!BR22*'Weekly Analysis'!BR49+'Weekly Analysis'!BS22*'Weekly Analysis'!BS49+'Weekly Analysis'!BT22*'Weekly Analysis'!BT49+'Weekly Analysis'!BU22*'Weekly Analysis'!BU49)/('Weekly Analysis'!BP22+'Weekly Analysis'!BQ22+'Weekly Analysis'!BR22+'Weekly Analysis'!BS22+'Weekly Analysis'!BT22+'Weekly Analysis'!BU22),6)</f>
        <v>192.07505399999999</v>
      </c>
      <c r="P51" s="246">
        <f>ROUND(AVERAGE('Weekly Analysis'!BV22*'Weekly Analysis'!BV49+'Weekly Analysis'!BW22*'Weekly Analysis'!BW49+'Weekly Analysis'!BX22*'Weekly Analysis'!BX49+'Weekly Analysis'!BY22*'Weekly Analysis'!BY49+'Weekly Analysis'!BZ22*'Weekly Analysis'!BZ49+'Weekly Analysis'!CA22*'Weekly Analysis'!CA49)/('Weekly Analysis'!BV22+'Weekly Analysis'!BW22+'Weekly Analysis'!BX22+'Weekly Analysis'!BY22+'Weekly Analysis'!BZ22+'Weekly Analysis'!CA22),6)</f>
        <v>255.782995</v>
      </c>
      <c r="Q51" s="247">
        <f>ROUND(AVERAGE('Weekly Analysis'!CB22*'Weekly Analysis'!CB49+'Weekly Analysis'!CC22*'Weekly Analysis'!CC49+'Weekly Analysis'!CD22*'Weekly Analysis'!CD49+'Weekly Analysis'!CE22*'Weekly Analysis'!CE49+'Weekly Analysis'!CF22*'Weekly Analysis'!CF49+'Weekly Analysis'!CG22*'Weekly Analysis'!CG49)/('Weekly Analysis'!CB22+'Weekly Analysis'!CC22+'Weekly Analysis'!CD22+'Weekly Analysis'!CE22+'Weekly Analysis'!CF22+'Weekly Analysis'!CG22),6)</f>
        <v>277.828146</v>
      </c>
      <c r="R51" s="269">
        <f>ROUND(AVERAGE('Weekly Analysis'!CH22*'Weekly Analysis'!CH49+'Weekly Analysis'!CI22*'Weekly Analysis'!CI49+'Weekly Analysis'!CJ22*'Weekly Analysis'!CJ49+'Weekly Analysis'!CK22*'Weekly Analysis'!CK49+'Weekly Analysis'!CL22*'Weekly Analysis'!CL49+'Weekly Analysis'!CM22*'Weekly Analysis'!CM49)/('Weekly Analysis'!CH22+'Weekly Analysis'!CI22+'Weekly Analysis'!CJ22+'Weekly Analysis'!CK22+'Weekly Analysis'!CL22+'Weekly Analysis'!CM22),6)</f>
        <v>275.17328300000003</v>
      </c>
      <c r="S51" s="777">
        <f>ROUND(AVERAGE('Weekly Analysis'!CN22*'Weekly Analysis'!CN49+'Weekly Analysis'!CO22*'Weekly Analysis'!CO49+'Weekly Analysis'!CP22*'Weekly Analysis'!CP49+'Weekly Analysis'!CQ22*'Weekly Analysis'!CQ49+'Weekly Analysis'!CR22*'Weekly Analysis'!CR49+'Weekly Analysis'!CS22*'Weekly Analysis'!CS49)/('Weekly Analysis'!CN22+'Weekly Analysis'!CO22+'Weekly Analysis'!CP22+'Weekly Analysis'!CQ22+'Weekly Analysis'!CR22+'Weekly Analysis'!CS22),6)</f>
        <v>212.53199599999999</v>
      </c>
      <c r="T51" s="791">
        <f>ROUND(AVERAGE('Weekly Analysis'!CT22*'Weekly Analysis'!CT49+'Weekly Analysis'!CU22*'Weekly Analysis'!CU49+'Weekly Analysis'!CV22*'Weekly Analysis'!CV49+'Weekly Analysis'!CW22*'Weekly Analysis'!CW49+'Weekly Analysis'!CX22*'Weekly Analysis'!CX49+'Weekly Analysis'!CY22*'Weekly Analysis'!CY49)/('Weekly Analysis'!CT22+'Weekly Analysis'!CU22+'Weekly Analysis'!CV22+'Weekly Analysis'!CW22+'Weekly Analysis'!CX22+'Weekly Analysis'!CY22),6)</f>
        <v>296.91652699999997</v>
      </c>
      <c r="U51" s="809">
        <v>0</v>
      </c>
      <c r="V51" s="791">
        <f>ROUND(AVERAGE('Weekly Analysis'!DF22*'Weekly Analysis'!DF49+'Weekly Analysis'!DG22*'Weekly Analysis'!DG49+'Weekly Analysis'!DH22*'Weekly Analysis'!DH49+'Weekly Analysis'!DI22*'Weekly Analysis'!DI49+'Weekly Analysis'!DJ22*'Weekly Analysis'!DJ49+'Weekly Analysis'!DK22*'Weekly Analysis'!DK49)/('Weekly Analysis'!DF22+'Weekly Analysis'!DG22+'Weekly Analysis'!DH22+'Weekly Analysis'!DI22+'Weekly Analysis'!DJ22+'Weekly Analysis'!DK22),6)</f>
        <v>388.98962399999999</v>
      </c>
      <c r="W51" s="791">
        <f>ROUND(AVERAGE('Weekly Analysis'!DL22*'Weekly Analysis'!DL49+'Weekly Analysis'!DM22*'Weekly Analysis'!DM49+'Weekly Analysis'!DN22*'Weekly Analysis'!DN49+'Weekly Analysis'!DO22*'Weekly Analysis'!DO49+'Weekly Analysis'!DP22*'Weekly Analysis'!DP49+'Weekly Analysis'!DQ22*'Weekly Analysis'!DQ49)/('Weekly Analysis'!DL22+'Weekly Analysis'!DM22+'Weekly Analysis'!DN22+'Weekly Analysis'!DO22+'Weekly Analysis'!DP22+'Weekly Analysis'!DQ22),6)</f>
        <v>270.22467599999999</v>
      </c>
      <c r="X51" s="791">
        <f>ROUND(AVERAGE('Weekly Analysis'!DR22*'Weekly Analysis'!DR49+'Weekly Analysis'!DS22*'Weekly Analysis'!DS49+'Weekly Analysis'!DT22*'Weekly Analysis'!DT49+'Weekly Analysis'!DU22*'Weekly Analysis'!DU49+'Weekly Analysis'!DV22*'Weekly Analysis'!DV49+'Weekly Analysis'!DW22*'Weekly Analysis'!DW49)/('Weekly Analysis'!DR22+'Weekly Analysis'!DS22+'Weekly Analysis'!DT22+'Weekly Analysis'!DU22+'Weekly Analysis'!DV22+'Weekly Analysis'!DW22),6)</f>
        <v>85.714286000000001</v>
      </c>
      <c r="Y51" s="791">
        <f>ROUND(AVERAGE('Weekly Analysis'!DX22*'Weekly Analysis'!DX49+'Weekly Analysis'!DY22*'Weekly Analysis'!DY49+'Weekly Analysis'!DZ22*'Weekly Analysis'!DZ49+'Weekly Analysis'!EA22*'Weekly Analysis'!EA49+'Weekly Analysis'!EB22*'Weekly Analysis'!EB49+'Weekly Analysis'!EC22*'Weekly Analysis'!EC49)/('Weekly Analysis'!DX22+'Weekly Analysis'!DY22+'Weekly Analysis'!DZ22+'Weekly Analysis'!EA22+'Weekly Analysis'!EB22+'Weekly Analysis'!EC22),6)</f>
        <v>0</v>
      </c>
      <c r="Z51" s="791">
        <f t="shared" ref="Z51:Z57" si="19">Y51/X51*100-100</f>
        <v>-100</v>
      </c>
      <c r="AA51" s="791">
        <v>0</v>
      </c>
      <c r="AB51" s="307"/>
      <c r="AC51" s="307"/>
    </row>
    <row r="52" spans="2:30" ht="25.5" customHeight="1">
      <c r="B52" s="189" t="s">
        <v>37</v>
      </c>
      <c r="C52" s="840">
        <f t="shared" si="13"/>
        <v>133.47763750000001</v>
      </c>
      <c r="D52" s="246">
        <f>ROUND(AVERAGE('Weekly Analysis'!B23*'Weekly Analysis'!B50+'Weekly Analysis'!C23*'Weekly Analysis'!C50+'Weekly Analysis'!D23*'Weekly Analysis'!D50+'Weekly Analysis'!E23*'Weekly Analysis'!E50+'Weekly Analysis'!F23*'Weekly Analysis'!F50+'Weekly Analysis'!G23*'Weekly Analysis'!G50)/('Weekly Analysis'!B23+'Weekly Analysis'!C23+'Weekly Analysis'!D23+'Weekly Analysis'!E23+'Weekly Analysis'!F23+'Weekly Analysis'!G23),6)</f>
        <v>156.84985399999999</v>
      </c>
      <c r="E52" s="246">
        <f>ROUND(AVERAGE('Weekly Analysis'!H23*'Weekly Analysis'!H50+'Weekly Analysis'!I23*'Weekly Analysis'!I50+'Weekly Analysis'!J23*'Weekly Analysis'!J50+'Weekly Analysis'!K23*'Weekly Analysis'!K50+'Weekly Analysis'!L23*'Weekly Analysis'!L50+'Weekly Analysis'!M23*'Weekly Analysis'!M50)/('Weekly Analysis'!H23+'Weekly Analysis'!I23+'Weekly Analysis'!J23+'Weekly Analysis'!K23+'Weekly Analysis'!L23+'Weekly Analysis'!M23),6)</f>
        <v>164.807546</v>
      </c>
      <c r="F52" s="246">
        <f>ROUND(AVERAGE('Weekly Analysis'!N23*'Weekly Analysis'!N50+'Weekly Analysis'!O23*'Weekly Analysis'!O50+'Weekly Analysis'!P23*'Weekly Analysis'!P50+'Weekly Analysis'!Q23*'Weekly Analysis'!Q50+'Weekly Analysis'!R23*'Weekly Analysis'!R50+'Weekly Analysis'!S23*'Weekly Analysis'!S50)/('Weekly Analysis'!N23+'Weekly Analysis'!O23+'Weekly Analysis'!P23+'Weekly Analysis'!Q23+'Weekly Analysis'!R23+'Weekly Analysis'!S23),6)</f>
        <v>72.393010000000004</v>
      </c>
      <c r="G52" s="246">
        <f>ROUND(AVERAGE('Weekly Analysis'!T23*'Weekly Analysis'!T50+'Weekly Analysis'!U23*'Weekly Analysis'!U50+'Weekly Analysis'!V23*'Weekly Analysis'!V50+'Weekly Analysis'!W23*'Weekly Analysis'!W50+'Weekly Analysis'!X23*'Weekly Analysis'!X50+'Weekly Analysis'!Y23*'Weekly Analysis'!Y50)/('Weekly Analysis'!T23+'Weekly Analysis'!U23+'Weekly Analysis'!V23+'Weekly Analysis'!W23+'Weekly Analysis'!X23+'Weekly Analysis'!Y23),6)</f>
        <v>139.86014</v>
      </c>
      <c r="H52" s="246">
        <f>ROUND(AVERAGE('Weekly Analysis'!Z23*'Weekly Analysis'!Z50+'Weekly Analysis'!AA23*'Weekly Analysis'!AA50+'Weekly Analysis'!AB23*'Weekly Analysis'!AB50+'Weekly Analysis'!AC23*'Weekly Analysis'!AC50+'Weekly Analysis'!AD23*'Weekly Analysis'!AD50+'Weekly Analysis'!AE23*'Weekly Analysis'!AE50)/('Weekly Analysis'!Z23+'Weekly Analysis'!AA23+'Weekly Analysis'!AB23+'Weekly Analysis'!AC23+'Weekly Analysis'!AD23+'Weekly Analysis'!AE23),6)</f>
        <v>359.90831200000002</v>
      </c>
      <c r="I52" s="246">
        <f>ROUND(AVERAGE('Weekly Analysis'!AF23*'Weekly Analysis'!AF50+'Weekly Analysis'!AG23*'Weekly Analysis'!AG50+'Weekly Analysis'!AH23*'Weekly Analysis'!AH50+'Weekly Analysis'!AI23*'Weekly Analysis'!AI50+'Weekly Analysis'!AJ23*'Weekly Analysis'!AJ50+'Weekly Analysis'!AK23*'Weekly Analysis'!AK50)/('Weekly Analysis'!AF23+'Weekly Analysis'!AG23+'Weekly Analysis'!AH23+'Weekly Analysis'!AI23+'Weekly Analysis'!AJ23+'Weekly Analysis'!AK23),6)</f>
        <v>106.164782</v>
      </c>
      <c r="J52" s="246">
        <f>ROUND(AVERAGE('Weekly Analysis'!AL23*'Weekly Analysis'!AL50+'Weekly Analysis'!AM23*'Weekly Analysis'!AM50+'Weekly Analysis'!AN23*'Weekly Analysis'!AN50+'Weekly Analysis'!AO23*'Weekly Analysis'!AO50+'Weekly Analysis'!AP23*'Weekly Analysis'!AP50+'Weekly Analysis'!AQ23*'Weekly Analysis'!AQ50)/('Weekly Analysis'!AL23+'Weekly Analysis'!AM23+'Weekly Analysis'!AN23+'Weekly Analysis'!AO23+'Weekly Analysis'!AP23+'Weekly Analysis'!AQ23),6)</f>
        <v>163.52799099999999</v>
      </c>
      <c r="K52" s="246">
        <v>0</v>
      </c>
      <c r="L52" s="246">
        <f>ROUND(AVERAGE('Weekly Analysis'!AX23*'Weekly Analysis'!AX50+'Weekly Analysis'!AY23*'Weekly Analysis'!AY50+'Weekly Analysis'!AZ23*'Weekly Analysis'!AZ50+'Weekly Analysis'!BA23*'Weekly Analysis'!BA50+'Weekly Analysis'!BB23*'Weekly Analysis'!BB50+'Weekly Analysis'!BC23*'Weekly Analysis'!BC50)/('Weekly Analysis'!AX23+'Weekly Analysis'!AY23+'Weekly Analysis'!AZ23+'Weekly Analysis'!BA23+'Weekly Analysis'!BB23+'Weekly Analysis'!BC23),6)</f>
        <v>125.22886699999999</v>
      </c>
      <c r="M52" s="246">
        <f>ROUND(AVERAGE('Weekly Analysis'!BD23*'Weekly Analysis'!BD50+'Weekly Analysis'!BE23*'Weekly Analysis'!BE50+'Weekly Analysis'!BF23*'Weekly Analysis'!BF50+'Weekly Analysis'!BG23*'Weekly Analysis'!BG50+'Weekly Analysis'!BH23*'Weekly Analysis'!BH50+'Weekly Analysis'!BI23*'Weekly Analysis'!BI50)/('Weekly Analysis'!BD23+'Weekly Analysis'!BE23+'Weekly Analysis'!BF23+'Weekly Analysis'!BG23+'Weekly Analysis'!BH23+'Weekly Analysis'!BI23),6)</f>
        <v>158.88157000000001</v>
      </c>
      <c r="N52" s="246">
        <f>ROUND(AVERAGE('Weekly Analysis'!BJ23*'Weekly Analysis'!BJ50+'Weekly Analysis'!BK23*'Weekly Analysis'!BK50+'Weekly Analysis'!BL23*'Weekly Analysis'!BL50+'Weekly Analysis'!BM23*'Weekly Analysis'!BM50+'Weekly Analysis'!BN23*'Weekly Analysis'!BN50+'Weekly Analysis'!BO23*'Weekly Analysis'!BO50)/('Weekly Analysis'!BJ23+'Weekly Analysis'!BK23+'Weekly Analysis'!BL23+'Weekly Analysis'!BM23+'Weekly Analysis'!BN23+'Weekly Analysis'!BO23),6)</f>
        <v>230.423169</v>
      </c>
      <c r="O52" s="246">
        <f>ROUND(AVERAGE('Weekly Analysis'!BP23*'Weekly Analysis'!BP50+'Weekly Analysis'!BQ23*'Weekly Analysis'!BQ50+'Weekly Analysis'!BR23*'Weekly Analysis'!BR50+'Weekly Analysis'!BS23*'Weekly Analysis'!BS50+'Weekly Analysis'!BT23*'Weekly Analysis'!BT50+'Weekly Analysis'!BU23*'Weekly Analysis'!BU50)/('Weekly Analysis'!BP23+'Weekly Analysis'!BQ23+'Weekly Analysis'!BR23+'Weekly Analysis'!BS23+'Weekly Analysis'!BT23+'Weekly Analysis'!BU23),6)</f>
        <v>166.28173000000001</v>
      </c>
      <c r="P52" s="246">
        <f>ROUND(AVERAGE('Weekly Analysis'!BV23*'Weekly Analysis'!BV50+'Weekly Analysis'!BW23*'Weekly Analysis'!BW50+'Weekly Analysis'!BX23*'Weekly Analysis'!BX50+'Weekly Analysis'!BY23*'Weekly Analysis'!BY50+'Weekly Analysis'!BZ23*'Weekly Analysis'!BZ50+'Weekly Analysis'!CA23*'Weekly Analysis'!CA50)/('Weekly Analysis'!BV23+'Weekly Analysis'!BW23+'Weekly Analysis'!BX23+'Weekly Analysis'!BY23+'Weekly Analysis'!BZ23+'Weekly Analysis'!CA23),6)</f>
        <v>332.026321</v>
      </c>
      <c r="Q52" s="247">
        <f>ROUND(AVERAGE('Weekly Analysis'!CB23*'Weekly Analysis'!CB50+'Weekly Analysis'!CC23*'Weekly Analysis'!CC50+'Weekly Analysis'!CD23*'Weekly Analysis'!CD50+'Weekly Analysis'!CE23*'Weekly Analysis'!CE50+'Weekly Analysis'!CF23*'Weekly Analysis'!CF50+'Weekly Analysis'!CG23*'Weekly Analysis'!CG50)/('Weekly Analysis'!CB23+'Weekly Analysis'!CC23+'Weekly Analysis'!CD23+'Weekly Analysis'!CE23+'Weekly Analysis'!CF23+'Weekly Analysis'!CG23),6)</f>
        <v>207.26279199999999</v>
      </c>
      <c r="R52" s="269">
        <f>ROUND(AVERAGE('Weekly Analysis'!CH23*'Weekly Analysis'!CH50+'Weekly Analysis'!CI23*'Weekly Analysis'!CI50+'Weekly Analysis'!CJ23*'Weekly Analysis'!CJ50+'Weekly Analysis'!CK23*'Weekly Analysis'!CK50+'Weekly Analysis'!CL23*'Weekly Analysis'!CL50+'Weekly Analysis'!CM23*'Weekly Analysis'!CM50)/('Weekly Analysis'!CH23+'Weekly Analysis'!CI23+'Weekly Analysis'!CJ23+'Weekly Analysis'!CK23+'Weekly Analysis'!CL23+'Weekly Analysis'!CM23),6)</f>
        <v>121.918398</v>
      </c>
      <c r="S52" s="777">
        <f>ROUND(AVERAGE('Weekly Analysis'!CN23*'Weekly Analysis'!CN50+'Weekly Analysis'!CO23*'Weekly Analysis'!CO50+'Weekly Analysis'!CP23*'Weekly Analysis'!CP50+'Weekly Analysis'!CQ23*'Weekly Analysis'!CQ50+'Weekly Analysis'!CR23*'Weekly Analysis'!CR50+'Weekly Analysis'!CS23*'Weekly Analysis'!CS50)/('Weekly Analysis'!CN23+'Weekly Analysis'!CO23+'Weekly Analysis'!CP23+'Weekly Analysis'!CQ23+'Weekly Analysis'!CR23+'Weekly Analysis'!CS23),6)</f>
        <v>201.00197600000001</v>
      </c>
      <c r="T52" s="791">
        <f>ROUND(AVERAGE('Weekly Analysis'!CT23*'Weekly Analysis'!CT50+'Weekly Analysis'!CU23*'Weekly Analysis'!CU50+'Weekly Analysis'!CV23*'Weekly Analysis'!CV50+'Weekly Analysis'!CW23*'Weekly Analysis'!CW50+'Weekly Analysis'!CX23*'Weekly Analysis'!CX50+'Weekly Analysis'!CY23*'Weekly Analysis'!CY50)/('Weekly Analysis'!CT23+'Weekly Analysis'!CU23+'Weekly Analysis'!CV23+'Weekly Analysis'!CW23+'Weekly Analysis'!CX23+'Weekly Analysis'!CY23),6)</f>
        <v>480.76991800000002</v>
      </c>
      <c r="U52" s="791">
        <f>ROUND(AVERAGE('Weekly Analysis'!CZ23*'Weekly Analysis'!CZ50+'Weekly Analysis'!DA23*'Weekly Analysis'!DA50+'Weekly Analysis'!DB23*'Weekly Analysis'!DB50+'Weekly Analysis'!DC23*'Weekly Analysis'!DB50+'Weekly Analysis'!DD23*'Weekly Analysis'!DD50+'Weekly Analysis'!DE23*'Weekly Analysis'!DE50)/('Weekly Analysis'!CZ23+'Weekly Analysis'!DA23+'Weekly Analysis'!DB23+'Weekly Analysis'!DC23+'Weekly Analysis'!DD23+'Weekly Analysis'!DE23),6)</f>
        <v>120.921344</v>
      </c>
      <c r="V52" s="791">
        <f>ROUND(AVERAGE('Weekly Analysis'!DF23*'Weekly Analysis'!DF50+'Weekly Analysis'!DG23*'Weekly Analysis'!DG50+'Weekly Analysis'!DH23*'Weekly Analysis'!DH50+'Weekly Analysis'!DI23*'Weekly Analysis'!DI50+'Weekly Analysis'!DJ23*'Weekly Analysis'!DJ50+'Weekly Analysis'!DK23*'Weekly Analysis'!DK50)/('Weekly Analysis'!DF23+'Weekly Analysis'!DG23+'Weekly Analysis'!DH23+'Weekly Analysis'!DI23+'Weekly Analysis'!DJ23+'Weekly Analysis'!DK23),6)</f>
        <v>135.699772</v>
      </c>
      <c r="W52" s="791">
        <f>ROUND(AVERAGE('Weekly Analysis'!DL23*'Weekly Analysis'!DL50+'Weekly Analysis'!DM23*'Weekly Analysis'!DM50+'Weekly Analysis'!DN23*'Weekly Analysis'!DN50+'Weekly Analysis'!DO23*'Weekly Analysis'!DO50+'Weekly Analysis'!DP23*'Weekly Analysis'!DP50+'Weekly Analysis'!DQ23*'Weekly Analysis'!DQ50)/('Weekly Analysis'!DL23+'Weekly Analysis'!DM23+'Weekly Analysis'!DN23+'Weekly Analysis'!DO23+'Weekly Analysis'!DP23+'Weekly Analysis'!DQ23),6)</f>
        <v>165.58766700000001</v>
      </c>
      <c r="X52" s="791">
        <f>ROUND(AVERAGE('Weekly Analysis'!DR23*'Weekly Analysis'!DR50+'Weekly Analysis'!DS23*'Weekly Analysis'!DS50+'Weekly Analysis'!DT23*'Weekly Analysis'!DT50+'Weekly Analysis'!DU23*'Weekly Analysis'!DU50+'Weekly Analysis'!DV23*'Weekly Analysis'!DV50+'Weekly Analysis'!DW23*'Weekly Analysis'!DW50)/('Weekly Analysis'!DR23+'Weekly Analysis'!DS23+'Weekly Analysis'!DT23+'Weekly Analysis'!DU23+'Weekly Analysis'!DV23+'Weekly Analysis'!DW23),6)</f>
        <v>314.05174299999999</v>
      </c>
      <c r="Y52" s="791">
        <f>ROUND(AVERAGE('Weekly Analysis'!DX23*'Weekly Analysis'!DX50+'Weekly Analysis'!DY23*'Weekly Analysis'!DY50+'Weekly Analysis'!DZ23*'Weekly Analysis'!DZ50+'Weekly Analysis'!EA23*'Weekly Analysis'!EA50+'Weekly Analysis'!EB23*'Weekly Analysis'!EB50+'Weekly Analysis'!EC23*'Weekly Analysis'!EC50)/('Weekly Analysis'!DX23+'Weekly Analysis'!DY23+'Weekly Analysis'!DZ23+'Weekly Analysis'!EA23+'Weekly Analysis'!EB23+'Weekly Analysis'!EC23),6)</f>
        <v>165.86039700000001</v>
      </c>
      <c r="Z52" s="791">
        <f t="shared" si="19"/>
        <v>-47.186920405023827</v>
      </c>
      <c r="AA52" s="791">
        <f t="shared" ref="AA52:AA56" si="20">Y52/U52*100-100</f>
        <v>37.163871582505749</v>
      </c>
      <c r="AB52" s="307"/>
      <c r="AC52" s="307"/>
    </row>
    <row r="53" spans="2:30" ht="25.5" customHeight="1">
      <c r="B53" s="189" t="s">
        <v>349</v>
      </c>
      <c r="C53" s="840">
        <f t="shared" si="13"/>
        <v>200.66899149999998</v>
      </c>
      <c r="D53" s="246">
        <f>ROUND(AVERAGE('Weekly Analysis'!B24*'Weekly Analysis'!B51+'Weekly Analysis'!C24*'Weekly Analysis'!C51+'Weekly Analysis'!D24*'Weekly Analysis'!D51+'Weekly Analysis'!E24*'Weekly Analysis'!E51+'Weekly Analysis'!F24*'Weekly Analysis'!F51+'Weekly Analysis'!G24*'Weekly Analysis'!G51)/('Weekly Analysis'!B24+'Weekly Analysis'!C24+'Weekly Analysis'!D24+'Weekly Analysis'!E24+'Weekly Analysis'!F24+'Weekly Analysis'!G24),6)</f>
        <v>162.96522200000001</v>
      </c>
      <c r="E53" s="246">
        <f>ROUND(AVERAGE('Weekly Analysis'!H24*'Weekly Analysis'!H51+'Weekly Analysis'!I24*'Weekly Analysis'!I51+'Weekly Analysis'!J24*'Weekly Analysis'!J51+'Weekly Analysis'!K24*'Weekly Analysis'!K51+'Weekly Analysis'!L24*'Weekly Analysis'!L51+'Weekly Analysis'!M24*'Weekly Analysis'!M51)/('Weekly Analysis'!H24+'Weekly Analysis'!I24+'Weekly Analysis'!J24+'Weekly Analysis'!K24+'Weekly Analysis'!L24+'Weekly Analysis'!M24),6)</f>
        <v>216.59174999999999</v>
      </c>
      <c r="F53" s="246">
        <f>ROUND(AVERAGE('Weekly Analysis'!N24*'Weekly Analysis'!N51+'Weekly Analysis'!O24*'Weekly Analysis'!O51+'Weekly Analysis'!P24*'Weekly Analysis'!P51+'Weekly Analysis'!Q24*'Weekly Analysis'!Q51+'Weekly Analysis'!R24*'Weekly Analysis'!R51+'Weekly Analysis'!S24*'Weekly Analysis'!S51)/('Weekly Analysis'!N24+'Weekly Analysis'!O24+'Weekly Analysis'!P24+'Weekly Analysis'!Q24+'Weekly Analysis'!R24+'Weekly Analysis'!S24),6)</f>
        <v>230.81130200000001</v>
      </c>
      <c r="G53" s="246">
        <f>ROUND(AVERAGE('Weekly Analysis'!T24*'Weekly Analysis'!T51+'Weekly Analysis'!U24*'Weekly Analysis'!U51+'Weekly Analysis'!V24*'Weekly Analysis'!V51+'Weekly Analysis'!W24*'Weekly Analysis'!W51+'Weekly Analysis'!X24*'Weekly Analysis'!X51+'Weekly Analysis'!Y24*'Weekly Analysis'!Y51)/('Weekly Analysis'!T24+'Weekly Analysis'!U24+'Weekly Analysis'!V24+'Weekly Analysis'!W24+'Weekly Analysis'!X24+'Weekly Analysis'!Y24),6)</f>
        <v>192.307692</v>
      </c>
      <c r="H53" s="246">
        <f>ROUND(AVERAGE('Weekly Analysis'!Z24*'Weekly Analysis'!Z51+'Weekly Analysis'!AA24*'Weekly Analysis'!AA51+'Weekly Analysis'!AB24*'Weekly Analysis'!AB51+'Weekly Analysis'!AC24*'Weekly Analysis'!AC51+'Weekly Analysis'!AD24*'Weekly Analysis'!AD51+'Weekly Analysis'!AE24*'Weekly Analysis'!AE51)/('Weekly Analysis'!Z24+'Weekly Analysis'!AA24+'Weekly Analysis'!AB24+'Weekly Analysis'!AC24+'Weekly Analysis'!AD24+'Weekly Analysis'!AE24),6)</f>
        <v>287.85645399999999</v>
      </c>
      <c r="I53" s="246">
        <f>ROUND(AVERAGE('Weekly Analysis'!AF24*'Weekly Analysis'!AF51+'Weekly Analysis'!AG24*'Weekly Analysis'!AG51+'Weekly Analysis'!AH24*'Weekly Analysis'!AH51+'Weekly Analysis'!AI24*'Weekly Analysis'!AI51+'Weekly Analysis'!AJ24*'Weekly Analysis'!AJ51+'Weekly Analysis'!AK24*'Weekly Analysis'!AK51)/('Weekly Analysis'!AF24+'Weekly Analysis'!AG24+'Weekly Analysis'!AH24+'Weekly Analysis'!AI24+'Weekly Analysis'!AJ24+'Weekly Analysis'!AK24),6)</f>
        <v>255.28720899999999</v>
      </c>
      <c r="J53" s="246">
        <f>ROUND(AVERAGE('Weekly Analysis'!AL24*'Weekly Analysis'!AL51+'Weekly Analysis'!AM24*'Weekly Analysis'!AM51+'Weekly Analysis'!AN24*'Weekly Analysis'!AN51+'Weekly Analysis'!AO24*'Weekly Analysis'!AO51+'Weekly Analysis'!AP24*'Weekly Analysis'!AP51+'Weekly Analysis'!AQ24*'Weekly Analysis'!AQ51)/('Weekly Analysis'!AL24+'Weekly Analysis'!AM24+'Weekly Analysis'!AN24+'Weekly Analysis'!AO24+'Weekly Analysis'!AP24+'Weekly Analysis'!AQ24),6)</f>
        <v>163.61582100000001</v>
      </c>
      <c r="K53" s="246">
        <v>0</v>
      </c>
      <c r="L53" s="246">
        <f>ROUND(AVERAGE('Weekly Analysis'!AX24*'Weekly Analysis'!AX51+'Weekly Analysis'!AY24*'Weekly Analysis'!AY51+'Weekly Analysis'!AZ24*'Weekly Analysis'!AZ51+'Weekly Analysis'!BA24*'Weekly Analysis'!BA51+'Weekly Analysis'!BB24*'Weekly Analysis'!BB51+'Weekly Analysis'!BC24*'Weekly Analysis'!BC51)/('Weekly Analysis'!AX24+'Weekly Analysis'!AY24+'Weekly Analysis'!AZ24+'Weekly Analysis'!BA24+'Weekly Analysis'!BB24+'Weekly Analysis'!BC24),6)</f>
        <v>214.43117799999999</v>
      </c>
      <c r="M53" s="246">
        <f>ROUND(AVERAGE('Weekly Analysis'!BD24*'Weekly Analysis'!BD51+'Weekly Analysis'!BE24*'Weekly Analysis'!BE51+'Weekly Analysis'!BF24*'Weekly Analysis'!BF51+'Weekly Analysis'!BG24*'Weekly Analysis'!BG51+'Weekly Analysis'!BH24*'Weekly Analysis'!BH51+'Weekly Analysis'!BI24*'Weekly Analysis'!BI51)/('Weekly Analysis'!BD24+'Weekly Analysis'!BE24+'Weekly Analysis'!BF24+'Weekly Analysis'!BG24+'Weekly Analysis'!BH24+'Weekly Analysis'!BI24),6)</f>
        <v>318.97765800000002</v>
      </c>
      <c r="N53" s="246">
        <f>ROUND(AVERAGE('Weekly Analysis'!BJ24*'Weekly Analysis'!BJ51+'Weekly Analysis'!BK24*'Weekly Analysis'!BK51+'Weekly Analysis'!BL24*'Weekly Analysis'!BL51+'Weekly Analysis'!BM24*'Weekly Analysis'!BM51+'Weekly Analysis'!BN24*'Weekly Analysis'!BN51+'Weekly Analysis'!BO24*'Weekly Analysis'!BO51)/('Weekly Analysis'!BJ24+'Weekly Analysis'!BK24+'Weekly Analysis'!BL24+'Weekly Analysis'!BM24+'Weekly Analysis'!BN24+'Weekly Analysis'!BO24),6)</f>
        <v>99.731110000000001</v>
      </c>
      <c r="O53" s="246">
        <f>ROUND(AVERAGE('Weekly Analysis'!BP24*'Weekly Analysis'!BP51+'Weekly Analysis'!BQ24*'Weekly Analysis'!BQ51+'Weekly Analysis'!BR24*'Weekly Analysis'!BR51+'Weekly Analysis'!BS24*'Weekly Analysis'!BS51+'Weekly Analysis'!BT24*'Weekly Analysis'!BT51+'Weekly Analysis'!BU24*'Weekly Analysis'!BU51)/('Weekly Analysis'!BP24+'Weekly Analysis'!BQ24+'Weekly Analysis'!BR24+'Weekly Analysis'!BS24+'Weekly Analysis'!BT24+'Weekly Analysis'!BU24),6)</f>
        <v>275.376195</v>
      </c>
      <c r="P53" s="246">
        <f>ROUND(AVERAGE('Weekly Analysis'!BV24*'Weekly Analysis'!BV51+'Weekly Analysis'!BW24*'Weekly Analysis'!BW51+'Weekly Analysis'!BX24*'Weekly Analysis'!BX51+'Weekly Analysis'!BY24*'Weekly Analysis'!BY51+'Weekly Analysis'!BZ24*'Weekly Analysis'!BZ51+'Weekly Analysis'!CA24*'Weekly Analysis'!CA51)/('Weekly Analysis'!BV24+'Weekly Analysis'!BW24+'Weekly Analysis'!BX24+'Weekly Analysis'!BY24+'Weekly Analysis'!BZ24+'Weekly Analysis'!CA24),6)</f>
        <v>203.19794400000001</v>
      </c>
      <c r="Q53" s="247">
        <f>ROUND(AVERAGE('Weekly Analysis'!CB24*'Weekly Analysis'!CB51+'Weekly Analysis'!CC24*'Weekly Analysis'!CC51+'Weekly Analysis'!CD24*'Weekly Analysis'!CD51+'Weekly Analysis'!CE24*'Weekly Analysis'!CE51+'Weekly Analysis'!CF24*'Weekly Analysis'!CF51+'Weekly Analysis'!CG24*'Weekly Analysis'!CG51)/('Weekly Analysis'!CB24+'Weekly Analysis'!CC24+'Weekly Analysis'!CD24+'Weekly Analysis'!CE24+'Weekly Analysis'!CF24+'Weekly Analysis'!CG24),6)</f>
        <v>156.05182199999999</v>
      </c>
      <c r="R53" s="269">
        <f>ROUND(AVERAGE('Weekly Analysis'!CH24*'Weekly Analysis'!CH51+'Weekly Analysis'!CI24*'Weekly Analysis'!CI51+'Weekly Analysis'!CJ24*'Weekly Analysis'!CJ51+'Weekly Analysis'!CK24*'Weekly Analysis'!CK51+'Weekly Analysis'!CL24*'Weekly Analysis'!CL51+'Weekly Analysis'!CM24*'Weekly Analysis'!CM51)/('Weekly Analysis'!CH24+'Weekly Analysis'!CI24+'Weekly Analysis'!CJ24+'Weekly Analysis'!CK24+'Weekly Analysis'!CL24+'Weekly Analysis'!CM24),6)</f>
        <v>224.129874</v>
      </c>
      <c r="S53" s="777">
        <f>ROUND(AVERAGE('Weekly Analysis'!CN24*'Weekly Analysis'!CN51+'Weekly Analysis'!CO24*'Weekly Analysis'!CO51+'Weekly Analysis'!CP24*'Weekly Analysis'!CP51+'Weekly Analysis'!CQ24*'Weekly Analysis'!CQ51+'Weekly Analysis'!CR24*'Weekly Analysis'!CR51+'Weekly Analysis'!CS24*'Weekly Analysis'!CS51)/('Weekly Analysis'!CN24+'Weekly Analysis'!CO24+'Weekly Analysis'!CP24+'Weekly Analysis'!CQ24+'Weekly Analysis'!CR24+'Weekly Analysis'!CS24),6)</f>
        <v>149.08336700000001</v>
      </c>
      <c r="T53" s="791">
        <f>ROUND(AVERAGE('Weekly Analysis'!CT24*'Weekly Analysis'!CT51+'Weekly Analysis'!CU24*'Weekly Analysis'!CU51+'Weekly Analysis'!CV24*'Weekly Analysis'!CV51+'Weekly Analysis'!CW24*'Weekly Analysis'!CW51+'Weekly Analysis'!CX24*'Weekly Analysis'!CX51+'Weekly Analysis'!CY24*'Weekly Analysis'!CY51)/('Weekly Analysis'!CT24+'Weekly Analysis'!CU24+'Weekly Analysis'!CV24+'Weekly Analysis'!CW24+'Weekly Analysis'!CX24+'Weekly Analysis'!CY24),6)</f>
        <v>364.37223899999998</v>
      </c>
      <c r="U53" s="791">
        <f>ROUND(AVERAGE('Weekly Analysis'!CZ24*'Weekly Analysis'!CZ51+'Weekly Analysis'!DA24*'Weekly Analysis'!DA51+'Weekly Analysis'!DB24*'Weekly Analysis'!DB51+'Weekly Analysis'!DC24*'Weekly Analysis'!DB51+'Weekly Analysis'!DD24*'Weekly Analysis'!DD51+'Weekly Analysis'!DE24*'Weekly Analysis'!DE51)/('Weekly Analysis'!CZ24+'Weekly Analysis'!DA24+'Weekly Analysis'!DB24+'Weekly Analysis'!DC24+'Weekly Analysis'!DD24+'Weekly Analysis'!DE24),6)</f>
        <v>269.20143999999999</v>
      </c>
      <c r="V53" s="791">
        <f>ROUND(AVERAGE('Weekly Analysis'!DF24*'Weekly Analysis'!DF51+'Weekly Analysis'!DG24*'Weekly Analysis'!DG51+'Weekly Analysis'!DH24*'Weekly Analysis'!DH51+'Weekly Analysis'!DI24*'Weekly Analysis'!DI51+'Weekly Analysis'!DJ24*'Weekly Analysis'!DJ51+'Weekly Analysis'!DK24*'Weekly Analysis'!DK51)/('Weekly Analysis'!DF24+'Weekly Analysis'!DG24+'Weekly Analysis'!DH24+'Weekly Analysis'!DI24+'Weekly Analysis'!DJ24+'Weekly Analysis'!DK24),6)</f>
        <v>117.64466899999999</v>
      </c>
      <c r="W53" s="791">
        <f>ROUND(AVERAGE('Weekly Analysis'!DL24*'Weekly Analysis'!DL51+'Weekly Analysis'!DM24*'Weekly Analysis'!DM51+'Weekly Analysis'!DN24*'Weekly Analysis'!DN51+'Weekly Analysis'!DO24*'Weekly Analysis'!DO51+'Weekly Analysis'!DP24*'Weekly Analysis'!DP51+'Weekly Analysis'!DQ24*'Weekly Analysis'!DQ51)/('Weekly Analysis'!DL24+'Weekly Analysis'!DM24+'Weekly Analysis'!DN24+'Weekly Analysis'!DO24+'Weekly Analysis'!DP24+'Weekly Analysis'!DQ24),6)</f>
        <v>183.88686200000001</v>
      </c>
      <c r="X53" s="791">
        <f>ROUND(AVERAGE('Weekly Analysis'!DR24*'Weekly Analysis'!DR51+'Weekly Analysis'!DS24*'Weekly Analysis'!DS51+'Weekly Analysis'!DT24*'Weekly Analysis'!DT51+'Weekly Analysis'!DU24*'Weekly Analysis'!DU51+'Weekly Analysis'!DV24*'Weekly Analysis'!DV51+'Weekly Analysis'!DW24*'Weekly Analysis'!DW51)/('Weekly Analysis'!DR24+'Weekly Analysis'!DS24+'Weekly Analysis'!DT24+'Weekly Analysis'!DU24+'Weekly Analysis'!DV24+'Weekly Analysis'!DW24),6)</f>
        <v>249.50514200000001</v>
      </c>
      <c r="Y53" s="791">
        <f>ROUND(AVERAGE('Weekly Analysis'!DX24*'Weekly Analysis'!DX51+'Weekly Analysis'!DY24*'Weekly Analysis'!DY51+'Weekly Analysis'!DZ24*'Weekly Analysis'!DZ51+'Weekly Analysis'!EA24*'Weekly Analysis'!EA51+'Weekly Analysis'!EB24*'Weekly Analysis'!EB51+'Weekly Analysis'!EC24*'Weekly Analysis'!EC51)/('Weekly Analysis'!DX24+'Weekly Analysis'!DY24+'Weekly Analysis'!DZ24+'Weekly Analysis'!EA24+'Weekly Analysis'!EB24+'Weekly Analysis'!EC24),6)</f>
        <v>179.14348699999999</v>
      </c>
      <c r="Z53" s="791">
        <f t="shared" si="19"/>
        <v>-28.200482938343612</v>
      </c>
      <c r="AA53" s="791">
        <f t="shared" si="20"/>
        <v>-33.453741183553845</v>
      </c>
      <c r="AB53" s="307"/>
      <c r="AC53" s="307"/>
    </row>
    <row r="54" spans="2:30" ht="25.5" customHeight="1">
      <c r="B54" s="189" t="s">
        <v>39</v>
      </c>
      <c r="C54" s="840">
        <f t="shared" si="13"/>
        <v>145.17790349999999</v>
      </c>
      <c r="D54" s="246">
        <f>ROUND(AVERAGE('Weekly Analysis'!B25*'Weekly Analysis'!B52+'Weekly Analysis'!C25*'Weekly Analysis'!C52+'Weekly Analysis'!D25*'Weekly Analysis'!D52+'Weekly Analysis'!E25*'Weekly Analysis'!E52+'Weekly Analysis'!F25*'Weekly Analysis'!F52+'Weekly Analysis'!G25*'Weekly Analysis'!G52)/('Weekly Analysis'!B25+'Weekly Analysis'!C25+'Weekly Analysis'!D25+'Weekly Analysis'!E25+'Weekly Analysis'!F25+'Weekly Analysis'!G25),6)</f>
        <v>136.85467199999999</v>
      </c>
      <c r="E54" s="246">
        <f>ROUND(AVERAGE('Weekly Analysis'!H25*'Weekly Analysis'!H52+'Weekly Analysis'!I25*'Weekly Analysis'!I52+'Weekly Analysis'!J25*'Weekly Analysis'!J52+'Weekly Analysis'!K25*'Weekly Analysis'!K52+'Weekly Analysis'!L25*'Weekly Analysis'!L52+'Weekly Analysis'!M25*'Weekly Analysis'!M52)/('Weekly Analysis'!H25+'Weekly Analysis'!I25+'Weekly Analysis'!J25+'Weekly Analysis'!K25+'Weekly Analysis'!L25+'Weekly Analysis'!M25),6)</f>
        <v>196.86572699999999</v>
      </c>
      <c r="F54" s="246">
        <f>ROUND(AVERAGE('Weekly Analysis'!N25*'Weekly Analysis'!N52+'Weekly Analysis'!O25*'Weekly Analysis'!O52+'Weekly Analysis'!P25*'Weekly Analysis'!P52+'Weekly Analysis'!Q25*'Weekly Analysis'!Q52+'Weekly Analysis'!R25*'Weekly Analysis'!R52+'Weekly Analysis'!S25*'Weekly Analysis'!S52)/('Weekly Analysis'!N25+'Weekly Analysis'!O25+'Weekly Analysis'!P25+'Weekly Analysis'!Q25+'Weekly Analysis'!R25+'Weekly Analysis'!S25),6)</f>
        <v>122.69743</v>
      </c>
      <c r="G54" s="246">
        <f>ROUND(AVERAGE('Weekly Analysis'!T25*'Weekly Analysis'!T52+'Weekly Analysis'!U25*'Weekly Analysis'!U52+'Weekly Analysis'!V25*'Weekly Analysis'!V52+'Weekly Analysis'!W25*'Weekly Analysis'!W52+'Weekly Analysis'!X25*'Weekly Analysis'!X52+'Weekly Analysis'!Y25*'Weekly Analysis'!Y52)/('Weekly Analysis'!T25+'Weekly Analysis'!U25+'Weekly Analysis'!V25+'Weekly Analysis'!W25+'Weekly Analysis'!X25+'Weekly Analysis'!Y25),6)</f>
        <v>124.293785</v>
      </c>
      <c r="H54" s="246">
        <f>ROUND(AVERAGE('Weekly Analysis'!Z25*'Weekly Analysis'!Z52+'Weekly Analysis'!AA25*'Weekly Analysis'!AA52+'Weekly Analysis'!AB25*'Weekly Analysis'!AB52+'Weekly Analysis'!AC25*'Weekly Analysis'!AC52+'Weekly Analysis'!AD25*'Weekly Analysis'!AD52+'Weekly Analysis'!AE25*'Weekly Analysis'!AE52)/('Weekly Analysis'!Z25+'Weekly Analysis'!AA25+'Weekly Analysis'!AB25+'Weekly Analysis'!AC25+'Weekly Analysis'!AD25+'Weekly Analysis'!AE25),6)</f>
        <v>142.033253</v>
      </c>
      <c r="I54" s="246">
        <f>ROUND(AVERAGE('Weekly Analysis'!AF25*'Weekly Analysis'!AF52+'Weekly Analysis'!AG25*'Weekly Analysis'!AG52+'Weekly Analysis'!AH25*'Weekly Analysis'!AH52+'Weekly Analysis'!AI25*'Weekly Analysis'!AI52+'Weekly Analysis'!AJ25*'Weekly Analysis'!AJ52+'Weekly Analysis'!AK25*'Weekly Analysis'!AK52)/('Weekly Analysis'!AF25+'Weekly Analysis'!AG25+'Weekly Analysis'!AH25+'Weekly Analysis'!AI25+'Weekly Analysis'!AJ25+'Weekly Analysis'!AK25),6)</f>
        <v>134.24996899999999</v>
      </c>
      <c r="J54" s="246">
        <f>ROUND(AVERAGE('Weekly Analysis'!AL25*'Weekly Analysis'!AL52+'Weekly Analysis'!AM25*'Weekly Analysis'!AM52+'Weekly Analysis'!AN25*'Weekly Analysis'!AN52+'Weekly Analysis'!AO25*'Weekly Analysis'!AO52+'Weekly Analysis'!AP25*'Weekly Analysis'!AP52+'Weekly Analysis'!AQ25*'Weekly Analysis'!AQ52)/('Weekly Analysis'!AL25+'Weekly Analysis'!AM25+'Weekly Analysis'!AN25+'Weekly Analysis'!AO25+'Weekly Analysis'!AP25+'Weekly Analysis'!AQ25),6)</f>
        <v>175.17044000000001</v>
      </c>
      <c r="K54" s="246">
        <v>0</v>
      </c>
      <c r="L54" s="246">
        <f>ROUND(AVERAGE('Weekly Analysis'!AX25*'Weekly Analysis'!AX52+'Weekly Analysis'!AY25*'Weekly Analysis'!AY52+'Weekly Analysis'!AZ25*'Weekly Analysis'!AZ52+'Weekly Analysis'!BA25*'Weekly Analysis'!BA52+'Weekly Analysis'!BB25*'Weekly Analysis'!BB52+'Weekly Analysis'!BC25*'Weekly Analysis'!BC52)/('Weekly Analysis'!AX25+'Weekly Analysis'!AY25+'Weekly Analysis'!AZ25+'Weekly Analysis'!BA25+'Weekly Analysis'!BB25+'Weekly Analysis'!BC25),6)</f>
        <v>128.703497</v>
      </c>
      <c r="M54" s="246">
        <f>ROUND(AVERAGE('Weekly Analysis'!BD25*'Weekly Analysis'!BD52+'Weekly Analysis'!BE25*'Weekly Analysis'!BE52+'Weekly Analysis'!BF25*'Weekly Analysis'!BF52+'Weekly Analysis'!BG25*'Weekly Analysis'!BG52+'Weekly Analysis'!BH25*'Weekly Analysis'!BH52+'Weekly Analysis'!BI25*'Weekly Analysis'!BI52)/('Weekly Analysis'!BD25+'Weekly Analysis'!BE25+'Weekly Analysis'!BF25+'Weekly Analysis'!BG25+'Weekly Analysis'!BH25+'Weekly Analysis'!BI25),6)</f>
        <v>143.890162</v>
      </c>
      <c r="N54" s="246">
        <f>ROUND(AVERAGE('Weekly Analysis'!BJ25*'Weekly Analysis'!BJ52+'Weekly Analysis'!BK25*'Weekly Analysis'!BK52+'Weekly Analysis'!BL25*'Weekly Analysis'!BL52+'Weekly Analysis'!BM25*'Weekly Analysis'!BM52+'Weekly Analysis'!BN25*'Weekly Analysis'!BN52+'Weekly Analysis'!BO25*'Weekly Analysis'!BO52)/('Weekly Analysis'!BJ25+'Weekly Analysis'!BK25+'Weekly Analysis'!BL25+'Weekly Analysis'!BM25+'Weekly Analysis'!BN25+'Weekly Analysis'!BO25),6)</f>
        <v>100.25675200000001</v>
      </c>
      <c r="O54" s="246">
        <f>ROUND(AVERAGE('Weekly Analysis'!BP25*'Weekly Analysis'!BP52+'Weekly Analysis'!BQ25*'Weekly Analysis'!BQ52+'Weekly Analysis'!BR25*'Weekly Analysis'!BR52+'Weekly Analysis'!BS25*'Weekly Analysis'!BS52+'Weekly Analysis'!BT25*'Weekly Analysis'!BT52+'Weekly Analysis'!BU25*'Weekly Analysis'!BU52)/('Weekly Analysis'!BP25+'Weekly Analysis'!BQ25+'Weekly Analysis'!BR25+'Weekly Analysis'!BS25+'Weekly Analysis'!BT25+'Weekly Analysis'!BU25),6)</f>
        <v>86.627613999999994</v>
      </c>
      <c r="P54" s="246">
        <f>ROUND(AVERAGE('Weekly Analysis'!BV25*'Weekly Analysis'!BV52+'Weekly Analysis'!BW25*'Weekly Analysis'!BW52+'Weekly Analysis'!BX25*'Weekly Analysis'!BX52+'Weekly Analysis'!BY25*'Weekly Analysis'!BY52+'Weekly Analysis'!BZ25*'Weekly Analysis'!BZ52+'Weekly Analysis'!CA25*'Weekly Analysis'!CA52)/('Weekly Analysis'!BV25+'Weekly Analysis'!BW25+'Weekly Analysis'!BX25+'Weekly Analysis'!BY25+'Weekly Analysis'!BZ25+'Weekly Analysis'!CA25),6)</f>
        <v>114.949361</v>
      </c>
      <c r="Q54" s="247">
        <f>ROUND(AVERAGE('Weekly Analysis'!CB25*'Weekly Analysis'!CB52+'Weekly Analysis'!CC25*'Weekly Analysis'!CC52+'Weekly Analysis'!CD25*'Weekly Analysis'!CD52+'Weekly Analysis'!CE25*'Weekly Analysis'!CE52+'Weekly Analysis'!CF25*'Weekly Analysis'!CF52+'Weekly Analysis'!CG25*'Weekly Analysis'!CG52)/('Weekly Analysis'!CB25+'Weekly Analysis'!CC25+'Weekly Analysis'!CD25+'Weekly Analysis'!CE25+'Weekly Analysis'!CF25+'Weekly Analysis'!CG25),6)</f>
        <v>194.73518899999999</v>
      </c>
      <c r="R54" s="269">
        <f>ROUND(AVERAGE('Weekly Analysis'!CH25*'Weekly Analysis'!CH52+'Weekly Analysis'!CI25*'Weekly Analysis'!CI52+'Weekly Analysis'!CJ25*'Weekly Analysis'!CJ52+'Weekly Analysis'!CK25*'Weekly Analysis'!CK52+'Weekly Analysis'!CL25*'Weekly Analysis'!CL52+'Weekly Analysis'!CM25*'Weekly Analysis'!CM52)/('Weekly Analysis'!CH25+'Weekly Analysis'!CI25+'Weekly Analysis'!CJ25+'Weekly Analysis'!CK25+'Weekly Analysis'!CL25+'Weekly Analysis'!CM25),6)</f>
        <v>104.72398</v>
      </c>
      <c r="S54" s="777">
        <f>ROUND(AVERAGE('Weekly Analysis'!CN25*'Weekly Analysis'!CN52+'Weekly Analysis'!CO25*'Weekly Analysis'!CO52+'Weekly Analysis'!CP25*'Weekly Analysis'!CP52+'Weekly Analysis'!CQ25*'Weekly Analysis'!CQ52+'Weekly Analysis'!CR25*'Weekly Analysis'!CR52+'Weekly Analysis'!CS25*'Weekly Analysis'!CS52)/('Weekly Analysis'!CN25+'Weekly Analysis'!CO25+'Weekly Analysis'!CP25+'Weekly Analysis'!CQ25+'Weekly Analysis'!CR25+'Weekly Analysis'!CS25),6)</f>
        <v>116.56502</v>
      </c>
      <c r="T54" s="791">
        <f>ROUND(AVERAGE('Weekly Analysis'!CT25*'Weekly Analysis'!CT52+'Weekly Analysis'!CU25*'Weekly Analysis'!CU52+'Weekly Analysis'!CV25*'Weekly Analysis'!CV52+'Weekly Analysis'!CW25*'Weekly Analysis'!CW52+'Weekly Analysis'!CX25*'Weekly Analysis'!CX52+'Weekly Analysis'!CY25*'Weekly Analysis'!CY52)/('Weekly Analysis'!CT25+'Weekly Analysis'!CU25+'Weekly Analysis'!CV25+'Weekly Analysis'!CW25+'Weekly Analysis'!CX25+'Weekly Analysis'!CY25),6)</f>
        <v>151.58750900000001</v>
      </c>
      <c r="U54" s="791">
        <f>ROUND(AVERAGE('Weekly Analysis'!CZ25*'Weekly Analysis'!CZ52+'Weekly Analysis'!DA25*'Weekly Analysis'!DA52+'Weekly Analysis'!DB25*'Weekly Analysis'!DB52+'Weekly Analysis'!DC25*'Weekly Analysis'!DB52+'Weekly Analysis'!DD25*'Weekly Analysis'!DD52+'Weekly Analysis'!DE25*'Weekly Analysis'!DE52)/('Weekly Analysis'!CZ25+'Weekly Analysis'!DA25+'Weekly Analysis'!DB25+'Weekly Analysis'!DC25+'Weekly Analysis'!DD25+'Weekly Analysis'!DE25),6)</f>
        <v>0</v>
      </c>
      <c r="V54" s="791">
        <f>ROUND(AVERAGE('Weekly Analysis'!DF25*'Weekly Analysis'!DF52+'Weekly Analysis'!DG25*'Weekly Analysis'!DG52+'Weekly Analysis'!DH25*'Weekly Analysis'!DH52+'Weekly Analysis'!DI25*'Weekly Analysis'!DI52+'Weekly Analysis'!DJ25*'Weekly Analysis'!DJ52+'Weekly Analysis'!DK25*'Weekly Analysis'!DK52)/('Weekly Analysis'!DF25+'Weekly Analysis'!DG25+'Weekly Analysis'!DH25+'Weekly Analysis'!DI25+'Weekly Analysis'!DJ25+'Weekly Analysis'!DK25),6)</f>
        <v>93.126784999999998</v>
      </c>
      <c r="W54" s="791">
        <f>ROUND(AVERAGE('Weekly Analysis'!DL25*'Weekly Analysis'!DL52+'Weekly Analysis'!DM25*'Weekly Analysis'!DM52+'Weekly Analysis'!DN25*'Weekly Analysis'!DN52+'Weekly Analysis'!DO25*'Weekly Analysis'!DO52+'Weekly Analysis'!DP25*'Weekly Analysis'!DP52+'Weekly Analysis'!DQ25*'Weekly Analysis'!DQ52)/('Weekly Analysis'!DL25+'Weekly Analysis'!DM25+'Weekly Analysis'!DN25+'Weekly Analysis'!DO25+'Weekly Analysis'!DP25+'Weekly Analysis'!DQ25),6)</f>
        <v>69.833770999999999</v>
      </c>
      <c r="X54" s="791">
        <f>ROUND(AVERAGE('Weekly Analysis'!DR25*'Weekly Analysis'!DR52+'Weekly Analysis'!DS25*'Weekly Analysis'!DS52+'Weekly Analysis'!DT25*'Weekly Analysis'!DT52+'Weekly Analysis'!DU25*'Weekly Analysis'!DU52+'Weekly Analysis'!DV25*'Weekly Analysis'!DV52+'Weekly Analysis'!DW25*'Weekly Analysis'!DW52)/('Weekly Analysis'!DR25+'Weekly Analysis'!DS25+'Weekly Analysis'!DT25+'Weekly Analysis'!DU25+'Weekly Analysis'!DV25+'Weekly Analysis'!DW25),6)</f>
        <v>50.343015999999999</v>
      </c>
      <c r="Y54" s="791">
        <f>ROUND(AVERAGE('Weekly Analysis'!DX25*'Weekly Analysis'!DX52+'Weekly Analysis'!DY25*'Weekly Analysis'!DY52+'Weekly Analysis'!DZ25*'Weekly Analysis'!DZ52+'Weekly Analysis'!EA25*'Weekly Analysis'!EA52+'Weekly Analysis'!EB25*'Weekly Analysis'!EB52+'Weekly Analysis'!EC25*'Weekly Analysis'!EC52)/('Weekly Analysis'!DX25+'Weekly Analysis'!DY25+'Weekly Analysis'!DZ25+'Weekly Analysis'!EA25+'Weekly Analysis'!EB25+'Weekly Analysis'!EC25),6)</f>
        <v>87.751587000000001</v>
      </c>
      <c r="Z54" s="791">
        <f t="shared" si="19"/>
        <v>74.307369665734768</v>
      </c>
      <c r="AA54" s="791">
        <v>0</v>
      </c>
      <c r="AB54" s="307"/>
      <c r="AC54" s="307"/>
    </row>
    <row r="55" spans="2:30" ht="25.5" customHeight="1">
      <c r="B55" s="189" t="s">
        <v>40</v>
      </c>
      <c r="C55" s="840">
        <f t="shared" si="13"/>
        <v>218.16266725</v>
      </c>
      <c r="D55" s="246">
        <f>ROUND(AVERAGE('Weekly Analysis'!B26*'Weekly Analysis'!B53+'Weekly Analysis'!C26*'Weekly Analysis'!C53+'Weekly Analysis'!D26*'Weekly Analysis'!D53+'Weekly Analysis'!E26*'Weekly Analysis'!E53+'Weekly Analysis'!F26*'Weekly Analysis'!F53+'Weekly Analysis'!G26*'Weekly Analysis'!G53)/('Weekly Analysis'!B26+'Weekly Analysis'!C26+'Weekly Analysis'!D26+'Weekly Analysis'!E26+'Weekly Analysis'!F26+'Weekly Analysis'!G26),6)</f>
        <v>271.54221200000001</v>
      </c>
      <c r="E55" s="246">
        <f>ROUND(AVERAGE('Weekly Analysis'!H26*'Weekly Analysis'!H53+'Weekly Analysis'!I26*'Weekly Analysis'!I53+'Weekly Analysis'!J26*'Weekly Analysis'!J53+'Weekly Analysis'!K26*'Weekly Analysis'!K53+'Weekly Analysis'!L26*'Weekly Analysis'!L53+'Weekly Analysis'!M26*'Weekly Analysis'!M53)/('Weekly Analysis'!H26+'Weekly Analysis'!I26+'Weekly Analysis'!J26+'Weekly Analysis'!K26+'Weekly Analysis'!L26+'Weekly Analysis'!M26),6)</f>
        <v>281.57402999999999</v>
      </c>
      <c r="F55" s="246">
        <f>ROUND(AVERAGE('Weekly Analysis'!N26*'Weekly Analysis'!N53+'Weekly Analysis'!O26*'Weekly Analysis'!O53+'Weekly Analysis'!P26*'Weekly Analysis'!P53+'Weekly Analysis'!Q26*'Weekly Analysis'!Q53+'Weekly Analysis'!R26*'Weekly Analysis'!R53+'Weekly Analysis'!S26*'Weekly Analysis'!S53)/('Weekly Analysis'!N26+'Weekly Analysis'!O26+'Weekly Analysis'!P26+'Weekly Analysis'!Q26+'Weekly Analysis'!R26+'Weekly Analysis'!S26),6)</f>
        <v>264.78990099999999</v>
      </c>
      <c r="G55" s="246">
        <f>ROUND(AVERAGE('Weekly Analysis'!T26*'Weekly Analysis'!T53+'Weekly Analysis'!U26*'Weekly Analysis'!U53+'Weekly Analysis'!V26*'Weekly Analysis'!V53+'Weekly Analysis'!W26*'Weekly Analysis'!W53+'Weekly Analysis'!X26*'Weekly Analysis'!X53+'Weekly Analysis'!Y26*'Weekly Analysis'!Y53)/('Weekly Analysis'!T26+'Weekly Analysis'!U26+'Weekly Analysis'!V26+'Weekly Analysis'!W26+'Weekly Analysis'!X26+'Weekly Analysis'!Y26),6)</f>
        <v>54.744526</v>
      </c>
      <c r="H55" s="246">
        <f>ROUND(AVERAGE('Weekly Analysis'!Z26*'Weekly Analysis'!Z53+'Weekly Analysis'!AA26*'Weekly Analysis'!AA53+'Weekly Analysis'!AB26*'Weekly Analysis'!AB53+'Weekly Analysis'!AC26*'Weekly Analysis'!AC53+'Weekly Analysis'!AD26*'Weekly Analysis'!AD53+'Weekly Analysis'!AE26*'Weekly Analysis'!AE53)/('Weekly Analysis'!Z26+'Weekly Analysis'!AA26+'Weekly Analysis'!AB26+'Weekly Analysis'!AC26+'Weekly Analysis'!AD26+'Weekly Analysis'!AE26),6)</f>
        <v>151.76247599999999</v>
      </c>
      <c r="I55" s="246">
        <f>ROUND(AVERAGE('Weekly Analysis'!AF26*'Weekly Analysis'!AF53+'Weekly Analysis'!AG26*'Weekly Analysis'!AG53+'Weekly Analysis'!AH26*'Weekly Analysis'!AH53+'Weekly Analysis'!AI26*'Weekly Analysis'!AI53+'Weekly Analysis'!AJ26*'Weekly Analysis'!AJ53+'Weekly Analysis'!AK26*'Weekly Analysis'!AK53)/('Weekly Analysis'!AF26+'Weekly Analysis'!AG26+'Weekly Analysis'!AH26+'Weekly Analysis'!AI26+'Weekly Analysis'!AJ26+'Weekly Analysis'!AK26),6)</f>
        <v>119.074799</v>
      </c>
      <c r="J55" s="246">
        <f>ROUND(AVERAGE('Weekly Analysis'!AL26*'Weekly Analysis'!AL53+'Weekly Analysis'!AM26*'Weekly Analysis'!AM53+'Weekly Analysis'!AN26*'Weekly Analysis'!AN53+'Weekly Analysis'!AO26*'Weekly Analysis'!AO53+'Weekly Analysis'!AP26*'Weekly Analysis'!AP53+'Weekly Analysis'!AQ26*'Weekly Analysis'!AQ53)/('Weekly Analysis'!AL26+'Weekly Analysis'!AM26+'Weekly Analysis'!AN26+'Weekly Analysis'!AO26+'Weekly Analysis'!AP26+'Weekly Analysis'!AQ26),6)</f>
        <v>509.58009199999998</v>
      </c>
      <c r="K55" s="246">
        <v>0</v>
      </c>
      <c r="L55" s="246">
        <f>ROUND(AVERAGE('Weekly Analysis'!AX26*'Weekly Analysis'!AX53+'Weekly Analysis'!AY26*'Weekly Analysis'!AY53+'Weekly Analysis'!AZ26*'Weekly Analysis'!AZ53+'Weekly Analysis'!BA26*'Weekly Analysis'!BA53+'Weekly Analysis'!BB26*'Weekly Analysis'!BB53+'Weekly Analysis'!BC26*'Weekly Analysis'!BC53)/('Weekly Analysis'!AX26+'Weekly Analysis'!AY26+'Weekly Analysis'!AZ26+'Weekly Analysis'!BA26+'Weekly Analysis'!BB26+'Weekly Analysis'!BC26),6)</f>
        <v>174.12455700000001</v>
      </c>
      <c r="M55" s="246">
        <f>ROUND(AVERAGE('Weekly Analysis'!BD26*'Weekly Analysis'!BD53+'Weekly Analysis'!BE26*'Weekly Analysis'!BE53+'Weekly Analysis'!BF26*'Weekly Analysis'!BF53+'Weekly Analysis'!BG26*'Weekly Analysis'!BG53+'Weekly Analysis'!BH26*'Weekly Analysis'!BH53+'Weekly Analysis'!BI26*'Weekly Analysis'!BI53)/('Weekly Analysis'!BD26+'Weekly Analysis'!BE26+'Weekly Analysis'!BF26+'Weekly Analysis'!BG26+'Weekly Analysis'!BH26+'Weekly Analysis'!BI26),6)</f>
        <v>87.757705999999999</v>
      </c>
      <c r="N55" s="246">
        <f>ROUND(AVERAGE('Weekly Analysis'!BJ26*'Weekly Analysis'!BJ53+'Weekly Analysis'!BK26*'Weekly Analysis'!BK53+'Weekly Analysis'!BL26*'Weekly Analysis'!BL53+'Weekly Analysis'!BM26*'Weekly Analysis'!BM53+'Weekly Analysis'!BN26*'Weekly Analysis'!BN53+'Weekly Analysis'!BO26*'Weekly Analysis'!BO53)/('Weekly Analysis'!BJ26+'Weekly Analysis'!BK26+'Weekly Analysis'!BL26+'Weekly Analysis'!BM26+'Weekly Analysis'!BN26+'Weekly Analysis'!BO26),6)</f>
        <v>165.29088899999999</v>
      </c>
      <c r="O55" s="246">
        <f>ROUND(AVERAGE('Weekly Analysis'!BP26*'Weekly Analysis'!BP53+'Weekly Analysis'!BQ26*'Weekly Analysis'!BQ53+'Weekly Analysis'!BR26*'Weekly Analysis'!BR53+'Weekly Analysis'!BS26*'Weekly Analysis'!BS53+'Weekly Analysis'!BT26*'Weekly Analysis'!BT53+'Weekly Analysis'!BU26*'Weekly Analysis'!BU53)/('Weekly Analysis'!BP26+'Weekly Analysis'!BQ26+'Weekly Analysis'!BR26+'Weekly Analysis'!BS26+'Weekly Analysis'!BT26+'Weekly Analysis'!BU26),6)</f>
        <v>367.59243800000002</v>
      </c>
      <c r="P55" s="246">
        <f>ROUND(AVERAGE('Weekly Analysis'!BV26*'Weekly Analysis'!BV53+'Weekly Analysis'!BW26*'Weekly Analysis'!BW53+'Weekly Analysis'!BX26*'Weekly Analysis'!BX53+'Weekly Analysis'!BY26*'Weekly Analysis'!BY53+'Weekly Analysis'!BZ26*'Weekly Analysis'!BZ53+'Weekly Analysis'!CA26*'Weekly Analysis'!CA53)/('Weekly Analysis'!BV26+'Weekly Analysis'!BW26+'Weekly Analysis'!BX26+'Weekly Analysis'!BY26+'Weekly Analysis'!BZ26+'Weekly Analysis'!CA26),6)</f>
        <v>187.608937</v>
      </c>
      <c r="Q55" s="247">
        <f>ROUND(AVERAGE('Weekly Analysis'!CB26*'Weekly Analysis'!CB53+'Weekly Analysis'!CC26*'Weekly Analysis'!CC53+'Weekly Analysis'!CD26*'Weekly Analysis'!CD53+'Weekly Analysis'!CE26*'Weekly Analysis'!CE53+'Weekly Analysis'!CF26*'Weekly Analysis'!CF53+'Weekly Analysis'!CG26*'Weekly Analysis'!CG53)/('Weekly Analysis'!CB26+'Weekly Analysis'!CC26+'Weekly Analysis'!CD26+'Weekly Analysis'!CE26+'Weekly Analysis'!CF26+'Weekly Analysis'!CG26),6)</f>
        <v>97.816184000000007</v>
      </c>
      <c r="R55" s="269">
        <f>ROUND(AVERAGE('Weekly Analysis'!CH26*'Weekly Analysis'!CH53+'Weekly Analysis'!CI26*'Weekly Analysis'!CI53+'Weekly Analysis'!CJ26*'Weekly Analysis'!CJ53+'Weekly Analysis'!CK26*'Weekly Analysis'!CK53+'Weekly Analysis'!CL26*'Weekly Analysis'!CL53+'Weekly Analysis'!CM26*'Weekly Analysis'!CM53)/('Weekly Analysis'!CH26+'Weekly Analysis'!CI26+'Weekly Analysis'!CJ26+'Weekly Analysis'!CK26+'Weekly Analysis'!CL26+'Weekly Analysis'!CM26),6)</f>
        <v>203.575185</v>
      </c>
      <c r="S55" s="777">
        <f>ROUND(AVERAGE('Weekly Analysis'!CN26*'Weekly Analysis'!CN53+'Weekly Analysis'!CO26*'Weekly Analysis'!CO53+'Weekly Analysis'!CP26*'Weekly Analysis'!CP53+'Weekly Analysis'!CQ26*'Weekly Analysis'!CQ53+'Weekly Analysis'!CR26*'Weekly Analysis'!CR53+'Weekly Analysis'!CS26*'Weekly Analysis'!CS53)/('Weekly Analysis'!CN26+'Weekly Analysis'!CO26+'Weekly Analysis'!CP26+'Weekly Analysis'!CQ26+'Weekly Analysis'!CR26+'Weekly Analysis'!CS26),6)</f>
        <v>231.399405</v>
      </c>
      <c r="T55" s="791">
        <f>ROUND(AVERAGE('Weekly Analysis'!CT26*'Weekly Analysis'!CT53+'Weekly Analysis'!CU26*'Weekly Analysis'!CU53+'Weekly Analysis'!CV26*'Weekly Analysis'!CV53+'Weekly Analysis'!CW26*'Weekly Analysis'!CW53+'Weekly Analysis'!CX26*'Weekly Analysis'!CX53+'Weekly Analysis'!CY26*'Weekly Analysis'!CY53)/('Weekly Analysis'!CT26+'Weekly Analysis'!CU26+'Weekly Analysis'!CV26+'Weekly Analysis'!CW26+'Weekly Analysis'!CX26+'Weekly Analysis'!CY26),6)</f>
        <v>154.788253</v>
      </c>
      <c r="U55" s="791">
        <f>ROUND(AVERAGE('Weekly Analysis'!CZ26*'Weekly Analysis'!CZ53+'Weekly Analysis'!DA26*'Weekly Analysis'!DA53+'Weekly Analysis'!DB26*'Weekly Analysis'!DB53+'Weekly Analysis'!DC26*'Weekly Analysis'!DB53+'Weekly Analysis'!DD26*'Weekly Analysis'!DD53+'Weekly Analysis'!DE26*'Weekly Analysis'!DE53)/('Weekly Analysis'!CZ26+'Weekly Analysis'!DA26+'Weekly Analysis'!DB26+'Weekly Analysis'!DC26+'Weekly Analysis'!DD26+'Weekly Analysis'!DE26),6)</f>
        <v>134.844236</v>
      </c>
      <c r="V55" s="791">
        <f>ROUND(AVERAGE('Weekly Analysis'!DF26*'Weekly Analysis'!DF53+'Weekly Analysis'!DG26*'Weekly Analysis'!DG53+'Weekly Analysis'!DH26*'Weekly Analysis'!DH53+'Weekly Analysis'!DI26*'Weekly Analysis'!DI53+'Weekly Analysis'!DJ26*'Weekly Analysis'!DJ53+'Weekly Analysis'!DK26*'Weekly Analysis'!DK53)/('Weekly Analysis'!DF26+'Weekly Analysis'!DG26+'Weekly Analysis'!DH26+'Weekly Analysis'!DI26+'Weekly Analysis'!DJ26+'Weekly Analysis'!DK26),6)</f>
        <v>170.50723099999999</v>
      </c>
      <c r="W55" s="791">
        <f>ROUND(AVERAGE('Weekly Analysis'!DL26*'Weekly Analysis'!DL53+'Weekly Analysis'!DM26*'Weekly Analysis'!DM53+'Weekly Analysis'!DN26*'Weekly Analysis'!DN53+'Weekly Analysis'!DO26*'Weekly Analysis'!DO53+'Weekly Analysis'!DP26*'Weekly Analysis'!DP53+'Weekly Analysis'!DQ26*'Weekly Analysis'!DQ53)/('Weekly Analysis'!DL26+'Weekly Analysis'!DM26+'Weekly Analysis'!DN26+'Weekly Analysis'!DO26+'Weekly Analysis'!DP26+'Weekly Analysis'!DQ26),6)</f>
        <v>152.10471200000001</v>
      </c>
      <c r="X55" s="791">
        <f>ROUND(AVERAGE('Weekly Analysis'!DR26*'Weekly Analysis'!DR53+'Weekly Analysis'!DS26*'Weekly Analysis'!DS53+'Weekly Analysis'!DT26*'Weekly Analysis'!DT53+'Weekly Analysis'!DU26*'Weekly Analysis'!DU53+'Weekly Analysis'!DV26*'Weekly Analysis'!DV53+'Weekly Analysis'!DW26*'Weekly Analysis'!DW53)/('Weekly Analysis'!DR26+'Weekly Analysis'!DS26+'Weekly Analysis'!DT26+'Weekly Analysis'!DU26+'Weekly Analysis'!DV26+'Weekly Analysis'!DW26),6)</f>
        <v>128.68407400000001</v>
      </c>
      <c r="Y55" s="791">
        <f>ROUND(AVERAGE('Weekly Analysis'!DX26*'Weekly Analysis'!DX53+'Weekly Analysis'!DY26*'Weekly Analysis'!DY53+'Weekly Analysis'!DZ26*'Weekly Analysis'!DZ53+'Weekly Analysis'!EA26*'Weekly Analysis'!EA53+'Weekly Analysis'!EB26*'Weekly Analysis'!EB53+'Weekly Analysis'!EC26*'Weekly Analysis'!EC53)/('Weekly Analysis'!DX26+'Weekly Analysis'!DY26+'Weekly Analysis'!DZ26+'Weekly Analysis'!EA26+'Weekly Analysis'!EB26+'Weekly Analysis'!EC26),6)</f>
        <v>135.12343000000001</v>
      </c>
      <c r="Z55" s="791">
        <f>Y55/X55*100-100</f>
        <v>5.004003836558681</v>
      </c>
      <c r="AA55" s="791">
        <f t="shared" si="20"/>
        <v>0.20704926534645551</v>
      </c>
      <c r="AB55" s="307">
        <f>Y55-X55</f>
        <v>6.4393560000000036</v>
      </c>
      <c r="AC55" s="307"/>
    </row>
    <row r="56" spans="2:30" ht="25.5" customHeight="1">
      <c r="B56" s="189" t="s">
        <v>41</v>
      </c>
      <c r="C56" s="840">
        <f t="shared" si="13"/>
        <v>521.80327525000007</v>
      </c>
      <c r="D56" s="246">
        <f>ROUND(AVERAGE('Weekly Analysis'!B27*'Weekly Analysis'!B54+'Weekly Analysis'!C27*'Weekly Analysis'!C54+'Weekly Analysis'!D27*'Weekly Analysis'!D54+'Weekly Analysis'!E27*'Weekly Analysis'!E54+'Weekly Analysis'!F27*'Weekly Analysis'!F54+'Weekly Analysis'!G27*'Weekly Analysis'!G54)/('Weekly Analysis'!B27+'Weekly Analysis'!C27+'Weekly Analysis'!D27+'Weekly Analysis'!E27+'Weekly Analysis'!F27+'Weekly Analysis'!G27),6)</f>
        <v>338.15801199999999</v>
      </c>
      <c r="E56" s="246">
        <f>ROUND(AVERAGE('Weekly Analysis'!H27*'Weekly Analysis'!H54+'Weekly Analysis'!I27*'Weekly Analysis'!I54+'Weekly Analysis'!J27*'Weekly Analysis'!J54+'Weekly Analysis'!K27*'Weekly Analysis'!K54+'Weekly Analysis'!L27*'Weekly Analysis'!L54+'Weekly Analysis'!M27*'Weekly Analysis'!M54)/('Weekly Analysis'!H27+'Weekly Analysis'!I27+'Weekly Analysis'!J27+'Weekly Analysis'!K27+'Weekly Analysis'!L27+'Weekly Analysis'!M27),6)</f>
        <v>427.14334000000002</v>
      </c>
      <c r="F56" s="246">
        <f>ROUND(AVERAGE('Weekly Analysis'!N27*'Weekly Analysis'!N54+'Weekly Analysis'!O27*'Weekly Analysis'!O54+'Weekly Analysis'!P27*'Weekly Analysis'!P54+'Weekly Analysis'!Q27*'Weekly Analysis'!Q54+'Weekly Analysis'!R27*'Weekly Analysis'!R54+'Weekly Analysis'!S27*'Weekly Analysis'!S54)/('Weekly Analysis'!N27+'Weekly Analysis'!O27+'Weekly Analysis'!P27+'Weekly Analysis'!Q27+'Weekly Analysis'!R27+'Weekly Analysis'!S27),6)</f>
        <v>816.86124400000006</v>
      </c>
      <c r="G56" s="246">
        <f>ROUND(AVERAGE('Weekly Analysis'!T27*'Weekly Analysis'!T54+'Weekly Analysis'!U27*'Weekly Analysis'!U54+'Weekly Analysis'!V27*'Weekly Analysis'!V54+'Weekly Analysis'!W27*'Weekly Analysis'!W54+'Weekly Analysis'!X27*'Weekly Analysis'!X54+'Weekly Analysis'!Y27*'Weekly Analysis'!Y54)/('Weekly Analysis'!T27+'Weekly Analysis'!U27+'Weekly Analysis'!V27+'Weekly Analysis'!W27+'Weekly Analysis'!X27+'Weekly Analysis'!Y27),6)</f>
        <v>505.05050499999999</v>
      </c>
      <c r="H56" s="246">
        <f>ROUND(AVERAGE('Weekly Analysis'!Z27*'Weekly Analysis'!Z54+'Weekly Analysis'!AA27*'Weekly Analysis'!AA54+'Weekly Analysis'!AB27*'Weekly Analysis'!AB54+'Weekly Analysis'!AC27*'Weekly Analysis'!AC54+'Weekly Analysis'!AD27*'Weekly Analysis'!AD54+'Weekly Analysis'!AE27*'Weekly Analysis'!AE54)/('Weekly Analysis'!Z27+'Weekly Analysis'!AA27+'Weekly Analysis'!AB27+'Weekly Analysis'!AC27+'Weekly Analysis'!AD27+'Weekly Analysis'!AE27),6)</f>
        <v>330.37328100000002</v>
      </c>
      <c r="I56" s="246">
        <f>ROUND(AVERAGE('Weekly Analysis'!AF27*'Weekly Analysis'!AF54+'Weekly Analysis'!AG27*'Weekly Analysis'!AG54+'Weekly Analysis'!AH27*'Weekly Analysis'!AH54+'Weekly Analysis'!AI27*'Weekly Analysis'!AI54+'Weekly Analysis'!AJ27*'Weekly Analysis'!AJ54+'Weekly Analysis'!AK27*'Weekly Analysis'!AK54)/('Weekly Analysis'!AF27+'Weekly Analysis'!AG27+'Weekly Analysis'!AH27+'Weekly Analysis'!AI27+'Weekly Analysis'!AJ27+'Weekly Analysis'!AK27),6)</f>
        <v>363.061691</v>
      </c>
      <c r="J56" s="246">
        <f>ROUND(AVERAGE('Weekly Analysis'!AL27*'Weekly Analysis'!AL54+'Weekly Analysis'!AM27*'Weekly Analysis'!AM54+'Weekly Analysis'!AN27*'Weekly Analysis'!AN54+'Weekly Analysis'!AO27*'Weekly Analysis'!AO54+'Weekly Analysis'!AP27*'Weekly Analysis'!AP54+'Weekly Analysis'!AQ27*'Weekly Analysis'!AQ54)/('Weekly Analysis'!AL27+'Weekly Analysis'!AM27+'Weekly Analysis'!AN27+'Weekly Analysis'!AO27+'Weekly Analysis'!AP27+'Weekly Analysis'!AQ27),6)</f>
        <v>240.38694000000001</v>
      </c>
      <c r="K56" s="246">
        <v>0</v>
      </c>
      <c r="L56" s="246">
        <f>ROUND(AVERAGE('Weekly Analysis'!AX27*'Weekly Analysis'!AX54+'Weekly Analysis'!AY27*'Weekly Analysis'!AY54+'Weekly Analysis'!AZ27*'Weekly Analysis'!AZ54+'Weekly Analysis'!BA27*'Weekly Analysis'!BA54+'Weekly Analysis'!BB27*'Weekly Analysis'!BB54+'Weekly Analysis'!BC27*'Weekly Analysis'!BC54)/('Weekly Analysis'!AX27+'Weekly Analysis'!AY27+'Weekly Analysis'!AZ27+'Weekly Analysis'!BA27+'Weekly Analysis'!BB27+'Weekly Analysis'!BC27),6)</f>
        <v>336.45777700000002</v>
      </c>
      <c r="M56" s="246">
        <f>ROUND(AVERAGE('Weekly Analysis'!BD27*'Weekly Analysis'!BD54+'Weekly Analysis'!BE27*'Weekly Analysis'!BE54+'Weekly Analysis'!BF27*'Weekly Analysis'!BF54+'Weekly Analysis'!BG27*'Weekly Analysis'!BG54+'Weekly Analysis'!BH27*'Weekly Analysis'!BH54+'Weekly Analysis'!BI27*'Weekly Analysis'!BI54)/('Weekly Analysis'!BD27+'Weekly Analysis'!BE27+'Weekly Analysis'!BF27+'Weekly Analysis'!BG27+'Weekly Analysis'!BH27+'Weekly Analysis'!BI27),6)</f>
        <v>431.45032099999997</v>
      </c>
      <c r="N56" s="246">
        <f>ROUND(AVERAGE('Weekly Analysis'!BJ27*'Weekly Analysis'!BJ54+'Weekly Analysis'!BK27*'Weekly Analysis'!BK54+'Weekly Analysis'!BL27*'Weekly Analysis'!BL54+'Weekly Analysis'!BM27*'Weekly Analysis'!BM54+'Weekly Analysis'!BN27*'Weekly Analysis'!BN54+'Weekly Analysis'!BO27*'Weekly Analysis'!BO54)/('Weekly Analysis'!BJ27+'Weekly Analysis'!BK27+'Weekly Analysis'!BL27+'Weekly Analysis'!BM27+'Weekly Analysis'!BN27+'Weekly Analysis'!BO27),6)</f>
        <v>331.78843000000001</v>
      </c>
      <c r="O56" s="246">
        <f>ROUND(AVERAGE('Weekly Analysis'!BP27*'Weekly Analysis'!BP54+'Weekly Analysis'!BQ27*'Weekly Analysis'!BQ54+'Weekly Analysis'!BR27*'Weekly Analysis'!BR54+'Weekly Analysis'!BS27*'Weekly Analysis'!BS54+'Weekly Analysis'!BT27*'Weekly Analysis'!BT54+'Weekly Analysis'!BU27*'Weekly Analysis'!BU54)/('Weekly Analysis'!BP27+'Weekly Analysis'!BQ27+'Weekly Analysis'!BR27+'Weekly Analysis'!BS27+'Weekly Analysis'!BT27+'Weekly Analysis'!BU27),6)</f>
        <v>182.64391900000001</v>
      </c>
      <c r="P56" s="246">
        <f>ROUND(AVERAGE('Weekly Analysis'!BV27*'Weekly Analysis'!BV54+'Weekly Analysis'!BW27*'Weekly Analysis'!BW54+'Weekly Analysis'!BX27*'Weekly Analysis'!BX54+'Weekly Analysis'!BY27*'Weekly Analysis'!BY54+'Weekly Analysis'!BZ27*'Weekly Analysis'!BZ54+'Weekly Analysis'!CA27*'Weekly Analysis'!CA54)/('Weekly Analysis'!BV27+'Weekly Analysis'!BW27+'Weekly Analysis'!BX27+'Weekly Analysis'!BY27+'Weekly Analysis'!BZ27+'Weekly Analysis'!CA27),6)</f>
        <v>769.49566800000002</v>
      </c>
      <c r="Q56" s="247">
        <f>ROUND(AVERAGE('Weekly Analysis'!CB27*'Weekly Analysis'!CB54+'Weekly Analysis'!CC27*'Weekly Analysis'!CC54+'Weekly Analysis'!CD27*'Weekly Analysis'!CD54+'Weekly Analysis'!CE27*'Weekly Analysis'!CE54+'Weekly Analysis'!CF27*'Weekly Analysis'!CF54+'Weekly Analysis'!CG27*'Weekly Analysis'!CG54)/('Weekly Analysis'!CB27+'Weekly Analysis'!CC27+'Weekly Analysis'!CD27+'Weekly Analysis'!CE27+'Weekly Analysis'!CF27+'Weekly Analysis'!CG27),6)</f>
        <v>423.98181899999997</v>
      </c>
      <c r="R56" s="269">
        <f>ROUND(AVERAGE('Weekly Analysis'!CH27*'Weekly Analysis'!CH54+'Weekly Analysis'!CI27*'Weekly Analysis'!CI54+'Weekly Analysis'!CJ27*'Weekly Analysis'!CJ54+'Weekly Analysis'!CK27*'Weekly Analysis'!CK54+'Weekly Analysis'!CL27*'Weekly Analysis'!CL54+'Weekly Analysis'!CM27*'Weekly Analysis'!CM54)/('Weekly Analysis'!CH27+'Weekly Analysis'!CI27+'Weekly Analysis'!CJ27+'Weekly Analysis'!CK27+'Weekly Analysis'!CL27+'Weekly Analysis'!CM27),6)</f>
        <v>202.02409299999999</v>
      </c>
      <c r="S56" s="777">
        <f>ROUND(AVERAGE('Weekly Analysis'!CN27*'Weekly Analysis'!CN54+'Weekly Analysis'!CO27*'Weekly Analysis'!CO54+'Weekly Analysis'!CP27*'Weekly Analysis'!CP54+'Weekly Analysis'!CQ27*'Weekly Analysis'!CQ54+'Weekly Analysis'!CR27*'Weekly Analysis'!CR54+'Weekly Analysis'!CS27*'Weekly Analysis'!CS54)/('Weekly Analysis'!CN27+'Weekly Analysis'!CO27+'Weekly Analysis'!CP27+'Weekly Analysis'!CQ27+'Weekly Analysis'!CR27+'Weekly Analysis'!CS27),6)</f>
        <v>435.34331800000001</v>
      </c>
      <c r="T56" s="791">
        <f>ROUND(AVERAGE('Weekly Analysis'!CT27*'Weekly Analysis'!CT54+'Weekly Analysis'!CU27*'Weekly Analysis'!CU54+'Weekly Analysis'!CV27*'Weekly Analysis'!CV54+'Weekly Analysis'!CW27*'Weekly Analysis'!CW54+'Weekly Analysis'!CX27*'Weekly Analysis'!CX54+'Weekly Analysis'!CY27*'Weekly Analysis'!CY54)/('Weekly Analysis'!CT27+'Weekly Analysis'!CU27+'Weekly Analysis'!CV27+'Weekly Analysis'!CW27+'Weekly Analysis'!CX27+'Weekly Analysis'!CY27),6)</f>
        <v>470.01620700000001</v>
      </c>
      <c r="U56" s="791">
        <f>ROUND(AVERAGE('Weekly Analysis'!CZ27*'Weekly Analysis'!CZ54+'Weekly Analysis'!DA27*'Weekly Analysis'!DA54+'Weekly Analysis'!DB27*'Weekly Analysis'!DB54+'Weekly Analysis'!DC27*'Weekly Analysis'!DB54+'Weekly Analysis'!DD27*'Weekly Analysis'!DD54+'Weekly Analysis'!DE27*'Weekly Analysis'!DE54)/('Weekly Analysis'!CZ27+'Weekly Analysis'!DA27+'Weekly Analysis'!DB27+'Weekly Analysis'!DC27+'Weekly Analysis'!DD27+'Weekly Analysis'!DE27),6)</f>
        <v>331.72827899999999</v>
      </c>
      <c r="V56" s="791">
        <f>ROUND(AVERAGE('Weekly Analysis'!DF27*'Weekly Analysis'!DF54+'Weekly Analysis'!DG27*'Weekly Analysis'!DG54+'Weekly Analysis'!DH27*'Weekly Analysis'!DH54+'Weekly Analysis'!DI27*'Weekly Analysis'!DI54+'Weekly Analysis'!DJ27*'Weekly Analysis'!DJ54+'Weekly Analysis'!DK27*'Weekly Analysis'!DK54)/('Weekly Analysis'!DF27+'Weekly Analysis'!DG27+'Weekly Analysis'!DH27+'Weekly Analysis'!DI27+'Weekly Analysis'!DJ27+'Weekly Analysis'!DK27),6)</f>
        <v>223.440045</v>
      </c>
      <c r="W56" s="791">
        <f>ROUND(AVERAGE('Weekly Analysis'!DL27*'Weekly Analysis'!DL54+'Weekly Analysis'!DM27*'Weekly Analysis'!DM54+'Weekly Analysis'!DN27*'Weekly Analysis'!DN54+'Weekly Analysis'!DO27*'Weekly Analysis'!DO54+'Weekly Analysis'!DP27*'Weekly Analysis'!DP54+'Weekly Analysis'!DQ27*'Weekly Analysis'!DQ54)/('Weekly Analysis'!DL27+'Weekly Analysis'!DM27+'Weekly Analysis'!DN27+'Weekly Analysis'!DO27+'Weekly Analysis'!DP27+'Weekly Analysis'!DQ27),6)</f>
        <v>237.06450000000001</v>
      </c>
      <c r="X56" s="791">
        <f>ROUND(AVERAGE('Weekly Analysis'!DR27*'Weekly Analysis'!DR54+'Weekly Analysis'!DS27*'Weekly Analysis'!DS54+'Weekly Analysis'!DT27*'Weekly Analysis'!DT54+'Weekly Analysis'!DU27*'Weekly Analysis'!DU54+'Weekly Analysis'!DV27*'Weekly Analysis'!DV54+'Weekly Analysis'!DW27*'Weekly Analysis'!DW54)/('Weekly Analysis'!DR27+'Weekly Analysis'!DS27+'Weekly Analysis'!DT27+'Weekly Analysis'!DU27+'Weekly Analysis'!DV27+'Weekly Analysis'!DW27),6)</f>
        <v>651.413544</v>
      </c>
      <c r="Y56" s="791">
        <f>ROUND(AVERAGE('Weekly Analysis'!DX27*'Weekly Analysis'!DX54+'Weekly Analysis'!DY27*'Weekly Analysis'!DY54+'Weekly Analysis'!DZ27*'Weekly Analysis'!DZ54+'Weekly Analysis'!EA27*'Weekly Analysis'!EA54+'Weekly Analysis'!EB27*'Weekly Analysis'!EB54+'Weekly Analysis'!EC27*'Weekly Analysis'!EC54)/('Weekly Analysis'!DX27+'Weekly Analysis'!DY27+'Weekly Analysis'!DZ27+'Weekly Analysis'!EA27+'Weekly Analysis'!EB27+'Weekly Analysis'!EC27),6)</f>
        <v>654.53495699999996</v>
      </c>
      <c r="Z56" s="791">
        <f t="shared" si="19"/>
        <v>0.4791753301340691</v>
      </c>
      <c r="AA56" s="791">
        <f t="shared" si="20"/>
        <v>97.310569654509294</v>
      </c>
    </row>
    <row r="57" spans="2:30" ht="25.5" customHeight="1">
      <c r="B57" s="248" t="s">
        <v>350</v>
      </c>
      <c r="C57" s="863">
        <f t="shared" si="13"/>
        <v>312.22844474999999</v>
      </c>
      <c r="D57" s="250">
        <f>ROUND(AVERAGE('Weekly Analysis'!B28*'Weekly Analysis'!B55+'Weekly Analysis'!C28*'Weekly Analysis'!C55+'Weekly Analysis'!D28*'Weekly Analysis'!D55+'Weekly Analysis'!E28*'Weekly Analysis'!E55+'Weekly Analysis'!F28*'Weekly Analysis'!F55+'Weekly Analysis'!G28*'Weekly Analysis'!G55)/('Weekly Analysis'!B28+'Weekly Analysis'!C28+'Weekly Analysis'!D28+'Weekly Analysis'!E28+'Weekly Analysis'!F28+'Weekly Analysis'!G28),6)</f>
        <v>355.78317900000002</v>
      </c>
      <c r="E57" s="250">
        <f>ROUND(AVERAGE('Weekly Analysis'!H28*'Weekly Analysis'!H55+'Weekly Analysis'!I28*'Weekly Analysis'!I55+'Weekly Analysis'!J28*'Weekly Analysis'!J55+'Weekly Analysis'!K28*'Weekly Analysis'!K55+'Weekly Analysis'!L28*'Weekly Analysis'!L55+'Weekly Analysis'!M28*'Weekly Analysis'!M55)/('Weekly Analysis'!H28+'Weekly Analysis'!I28+'Weekly Analysis'!J28+'Weekly Analysis'!K28+'Weekly Analysis'!L28+'Weekly Analysis'!M28),6)</f>
        <v>391.46481999999997</v>
      </c>
      <c r="F57" s="250">
        <f>ROUND(AVERAGE('Weekly Analysis'!N28*'Weekly Analysis'!N55+'Weekly Analysis'!O28*'Weekly Analysis'!O55+'Weekly Analysis'!P28*'Weekly Analysis'!P55+'Weekly Analysis'!Q28*'Weekly Analysis'!Q55+'Weekly Analysis'!R28*'Weekly Analysis'!R55+'Weekly Analysis'!S28*'Weekly Analysis'!S55)/('Weekly Analysis'!N28+'Weekly Analysis'!O28+'Weekly Analysis'!P28+'Weekly Analysis'!Q28+'Weekly Analysis'!R28+'Weekly Analysis'!S28),6)</f>
        <v>302.76317399999999</v>
      </c>
      <c r="G57" s="250">
        <f>ROUND(AVERAGE('Weekly Analysis'!T28*'Weekly Analysis'!T55+'Weekly Analysis'!U28*'Weekly Analysis'!U55+'Weekly Analysis'!V28*'Weekly Analysis'!V55+'Weekly Analysis'!W28*'Weekly Analysis'!W55+'Weekly Analysis'!X28*'Weekly Analysis'!X55+'Weekly Analysis'!Y28*'Weekly Analysis'!Y55)/('Weekly Analysis'!T28+'Weekly Analysis'!U28+'Weekly Analysis'!V28+'Weekly Analysis'!W28+'Weekly Analysis'!X28+'Weekly Analysis'!Y28),6)</f>
        <v>198.90260599999999</v>
      </c>
      <c r="H57" s="250">
        <f>ROUND(AVERAGE('Weekly Analysis'!Z28*'Weekly Analysis'!Z55+'Weekly Analysis'!AA28*'Weekly Analysis'!AA55+'Weekly Analysis'!AB28*'Weekly Analysis'!AB55+'Weekly Analysis'!AC28*'Weekly Analysis'!AC55+'Weekly Analysis'!AD28*'Weekly Analysis'!AD55+'Weekly Analysis'!AE28*'Weekly Analysis'!AE55)/('Weekly Analysis'!Z28+'Weekly Analysis'!AA28+'Weekly Analysis'!AB28+'Weekly Analysis'!AC28+'Weekly Analysis'!AD28+'Weekly Analysis'!AE28),6)</f>
        <v>252.46599800000001</v>
      </c>
      <c r="I57" s="250">
        <f>ROUND(AVERAGE('Weekly Analysis'!AF28*'Weekly Analysis'!AF55+'Weekly Analysis'!AG28*'Weekly Analysis'!AG55+'Weekly Analysis'!AH28*'Weekly Analysis'!AH55+'Weekly Analysis'!AI28*'Weekly Analysis'!AI55+'Weekly Analysis'!AJ28*'Weekly Analysis'!AJ55+'Weekly Analysis'!AK28*'Weekly Analysis'!AK55)/('Weekly Analysis'!AF28+'Weekly Analysis'!AG28+'Weekly Analysis'!AH28+'Weekly Analysis'!AI28+'Weekly Analysis'!AJ28+'Weekly Analysis'!AK28),6)</f>
        <v>865.05190300000004</v>
      </c>
      <c r="J57" s="250">
        <f>ROUND(AVERAGE('Weekly Analysis'!AL28*'Weekly Analysis'!AL55+'Weekly Analysis'!AM28*'Weekly Analysis'!AM55+'Weekly Analysis'!AN28*'Weekly Analysis'!AN55+'Weekly Analysis'!AO28*'Weekly Analysis'!AO55+'Weekly Analysis'!AP28*'Weekly Analysis'!AP55+'Weekly Analysis'!AQ28*'Weekly Analysis'!AQ55)/('Weekly Analysis'!AL28+'Weekly Analysis'!AM28+'Weekly Analysis'!AN28+'Weekly Analysis'!AO28+'Weekly Analysis'!AP28+'Weekly Analysis'!AQ28),6)</f>
        <v>312.632296</v>
      </c>
      <c r="K57" s="250">
        <v>0</v>
      </c>
      <c r="L57" s="250">
        <f>ROUND(AVERAGE('Weekly Analysis'!AX28*'Weekly Analysis'!AX55+'Weekly Analysis'!AY28*'Weekly Analysis'!AY55+'Weekly Analysis'!AZ28*'Weekly Analysis'!AZ55+'Weekly Analysis'!BA28*'Weekly Analysis'!BA55+'Weekly Analysis'!BB28*'Weekly Analysis'!BB55+'Weekly Analysis'!BC28*'Weekly Analysis'!BC55)/('Weekly Analysis'!AX28+'Weekly Analysis'!AY28+'Weekly Analysis'!AZ28+'Weekly Analysis'!BA28+'Weekly Analysis'!BB28+'Weekly Analysis'!BC28),6)</f>
        <v>253.10999000000001</v>
      </c>
      <c r="M57" s="250">
        <f>ROUND(AVERAGE('Weekly Analysis'!BD28*'Weekly Analysis'!BD55+'Weekly Analysis'!BE28*'Weekly Analysis'!BE55+'Weekly Analysis'!BF28*'Weekly Analysis'!BF55+'Weekly Analysis'!BG28*'Weekly Analysis'!BG55+'Weekly Analysis'!BH28*'Weekly Analysis'!BH55+'Weekly Analysis'!BI28*'Weekly Analysis'!BI55)/('Weekly Analysis'!BD28+'Weekly Analysis'!BE28+'Weekly Analysis'!BF28+'Weekly Analysis'!BG28+'Weekly Analysis'!BH28+'Weekly Analysis'!BI28),6)</f>
        <v>853.69175399999995</v>
      </c>
      <c r="N57" s="250">
        <f>ROUND(AVERAGE('Weekly Analysis'!BJ28*'Weekly Analysis'!BJ55+'Weekly Analysis'!BK28*'Weekly Analysis'!BK55+'Weekly Analysis'!BL28*'Weekly Analysis'!BL55+'Weekly Analysis'!BM28*'Weekly Analysis'!BM55+'Weekly Analysis'!BN28*'Weekly Analysis'!BN55+'Weekly Analysis'!BO28*'Weekly Analysis'!BO55)/('Weekly Analysis'!BJ28+'Weekly Analysis'!BK28+'Weekly Analysis'!BL28+'Weekly Analysis'!BM28+'Weekly Analysis'!BN28+'Weekly Analysis'!BO28),6)</f>
        <v>240.179429</v>
      </c>
      <c r="O57" s="250">
        <f>ROUND(AVERAGE('Weekly Analysis'!BP28*'Weekly Analysis'!BP55+'Weekly Analysis'!BQ28*'Weekly Analysis'!BQ55+'Weekly Analysis'!BR28*'Weekly Analysis'!BR55+'Weekly Analysis'!BS28*'Weekly Analysis'!BS55+'Weekly Analysis'!BT28*'Weekly Analysis'!BT55+'Weekly Analysis'!BU28*'Weekly Analysis'!BU55)/('Weekly Analysis'!BP28+'Weekly Analysis'!BQ28+'Weekly Analysis'!BR28+'Weekly Analysis'!BS28+'Weekly Analysis'!BT28+'Weekly Analysis'!BU28),6)</f>
        <v>145.922032</v>
      </c>
      <c r="P57" s="250">
        <f>ROUND(AVERAGE('Weekly Analysis'!BV28*'Weekly Analysis'!BV55+'Weekly Analysis'!BW28*'Weekly Analysis'!BW55+'Weekly Analysis'!BX28*'Weekly Analysis'!BX55+'Weekly Analysis'!BY28*'Weekly Analysis'!BY55+'Weekly Analysis'!BZ28*'Weekly Analysis'!BZ55+'Weekly Analysis'!CA28*'Weekly Analysis'!CA55)/('Weekly Analysis'!BV28+'Weekly Analysis'!BW28+'Weekly Analysis'!BX28+'Weekly Analysis'!BY28+'Weekly Analysis'!BZ28+'Weekly Analysis'!CA28),6)</f>
        <v>324.313784</v>
      </c>
      <c r="Q57" s="251">
        <f>ROUND(AVERAGE('Weekly Analysis'!CB28*'Weekly Analysis'!CB55+'Weekly Analysis'!CC28*'Weekly Analysis'!CC55+'Weekly Analysis'!CD28*'Weekly Analysis'!CD55+'Weekly Analysis'!CE28*'Weekly Analysis'!CE55+'Weekly Analysis'!CF28*'Weekly Analysis'!CF55+'Weekly Analysis'!CG28*'Weekly Analysis'!CG55)/('Weekly Analysis'!CB28+'Weekly Analysis'!CC28+'Weekly Analysis'!CD28+'Weekly Analysis'!CE28+'Weekly Analysis'!CF28+'Weekly Analysis'!CG28),6)</f>
        <v>692.56275000000005</v>
      </c>
      <c r="R57" s="603">
        <f>ROUND(AVERAGE('Weekly Analysis'!CH28*'Weekly Analysis'!CH55+'Weekly Analysis'!CI28*'Weekly Analysis'!CI55+'Weekly Analysis'!CJ28*'Weekly Analysis'!CJ55+'Weekly Analysis'!CK28*'Weekly Analysis'!CK55+'Weekly Analysis'!CL28*'Weekly Analysis'!CL55+'Weekly Analysis'!CM28*'Weekly Analysis'!CM55)/('Weekly Analysis'!CH28+'Weekly Analysis'!CI28+'Weekly Analysis'!CJ28+'Weekly Analysis'!CK28+'Weekly Analysis'!CL28+'Weekly Analysis'!CM28),6)</f>
        <v>250.38169099999999</v>
      </c>
      <c r="S57" s="839">
        <f>ROUND(AVERAGE('Weekly Analysis'!CN28*'Weekly Analysis'!CN55+'Weekly Analysis'!CO28*'Weekly Analysis'!CO55+'Weekly Analysis'!CP28*'Weekly Analysis'!CP55+'Weekly Analysis'!CQ28*'Weekly Analysis'!CQ55+'Weekly Analysis'!CR28*'Weekly Analysis'!CR55+'Weekly Analysis'!CS28*'Weekly Analysis'!CS55)/('Weekly Analysis'!CN28+'Weekly Analysis'!CO28+'Weekly Analysis'!CP28+'Weekly Analysis'!CQ28+'Weekly Analysis'!CR28+'Weekly Analysis'!CS28),6)</f>
        <v>161.513972</v>
      </c>
      <c r="T57" s="842">
        <f>ROUND(AVERAGE('Weekly Analysis'!CT28*'Weekly Analysis'!CT55+'Weekly Analysis'!CU28*'Weekly Analysis'!CU55+'Weekly Analysis'!CV28*'Weekly Analysis'!CV55+'Weekly Analysis'!CW28*'Weekly Analysis'!CW55+'Weekly Analysis'!CX28*'Weekly Analysis'!CX55+'Weekly Analysis'!CY28*'Weekly Analysis'!CY55)/('Weekly Analysis'!CT28+'Weekly Analysis'!CU28+'Weekly Analysis'!CV28+'Weekly Analysis'!CW28+'Weekly Analysis'!CX28+'Weekly Analysis'!CY28),6)</f>
        <v>285.733856</v>
      </c>
      <c r="U57" s="842">
        <f>ROUND(AVERAGE('Weekly Analysis'!CZ28*'Weekly Analysis'!CZ55+'Weekly Analysis'!DA28*'Weekly Analysis'!DA55+'Weekly Analysis'!DB28*'Weekly Analysis'!DB55+'Weekly Analysis'!DC28*'Weekly Analysis'!DB55+'Weekly Analysis'!DD28*'Weekly Analysis'!DD55+'Weekly Analysis'!DE28*'Weekly Analysis'!DE55)/('Weekly Analysis'!CZ28+'Weekly Analysis'!DA28+'Weekly Analysis'!DB28+'Weekly Analysis'!DC28+'Weekly Analysis'!DD28+'Weekly Analysis'!DE28),6)</f>
        <v>0</v>
      </c>
      <c r="V57" s="842">
        <f>ROUND(AVERAGE('Weekly Analysis'!DF28*'Weekly Analysis'!DF55+'Weekly Analysis'!DG28*'Weekly Analysis'!DG55+'Weekly Analysis'!DH28*'Weekly Analysis'!DH55+'Weekly Analysis'!DI28*'Weekly Analysis'!DI55+'Weekly Analysis'!DJ28*'Weekly Analysis'!DJ55+'Weekly Analysis'!DK28*'Weekly Analysis'!DK55)/('Weekly Analysis'!DF28+'Weekly Analysis'!DG28+'Weekly Analysis'!DH28+'Weekly Analysis'!DI28+'Weekly Analysis'!DJ28+'Weekly Analysis'!DK28),6)</f>
        <v>215.53596099999999</v>
      </c>
      <c r="W57" s="842">
        <f>ROUND(AVERAGE('Weekly Analysis'!DL28*'Weekly Analysis'!DL55+'Weekly Analysis'!DM28*'Weekly Analysis'!DM55+'Weekly Analysis'!DN28*'Weekly Analysis'!DN55+'Weekly Analysis'!DO28*'Weekly Analysis'!DO55+'Weekly Analysis'!DP28*'Weekly Analysis'!DP55+'Weekly Analysis'!DQ28*'Weekly Analysis'!DQ55)/('Weekly Analysis'!DL28+'Weekly Analysis'!DM28+'Weekly Analysis'!DN28+'Weekly Analysis'!DO28+'Weekly Analysis'!DP28+'Weekly Analysis'!DQ28),6)</f>
        <v>217.63184799999999</v>
      </c>
      <c r="X57" s="842">
        <f>ROUND(AVERAGE('Weekly Analysis'!DR28*'Weekly Analysis'!DR55+'Weekly Analysis'!DS28*'Weekly Analysis'!DS55+'Weekly Analysis'!DT28*'Weekly Analysis'!DT55+'Weekly Analysis'!DU28*'Weekly Analysis'!DU55+'Weekly Analysis'!DV28*'Weekly Analysis'!DV55+'Weekly Analysis'!DW28*'Weekly Analysis'!DW55)/('Weekly Analysis'!DR28+'Weekly Analysis'!DS28+'Weekly Analysis'!DT28+'Weekly Analysis'!DU28+'Weekly Analysis'!DV28+'Weekly Analysis'!DW28),6)</f>
        <v>785.49635499999999</v>
      </c>
      <c r="Y57" s="842">
        <f>ROUND(AVERAGE('Weekly Analysis'!DX28*'Weekly Analysis'!DX55+'Weekly Analysis'!DY28*'Weekly Analysis'!DY55+'Weekly Analysis'!DZ28*'Weekly Analysis'!DZ55+'Weekly Analysis'!EA28*'Weekly Analysis'!EA55+'Weekly Analysis'!EB28*'Weekly Analysis'!EB55+'Weekly Analysis'!EC28*'Weekly Analysis'!EC55)/('Weekly Analysis'!DX28+'Weekly Analysis'!DY28+'Weekly Analysis'!DZ28+'Weekly Analysis'!EA28+'Weekly Analysis'!EB28+'Weekly Analysis'!EC28),6)</f>
        <v>446.43104899999997</v>
      </c>
      <c r="Z57" s="842">
        <f t="shared" si="19"/>
        <v>-43.165738942225907</v>
      </c>
      <c r="AA57" s="842">
        <v>0</v>
      </c>
    </row>
    <row r="58" spans="2:30" ht="8.25" customHeight="1">
      <c r="B58" s="71"/>
      <c r="C58" s="257"/>
      <c r="D58" s="257"/>
      <c r="E58" s="257"/>
      <c r="F58" s="257"/>
      <c r="G58" s="257"/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44"/>
      <c r="U58" s="244"/>
      <c r="V58" s="244"/>
      <c r="W58" s="244"/>
      <c r="X58" s="313"/>
      <c r="Y58" s="313"/>
      <c r="Z58" s="313"/>
      <c r="AA58" s="313"/>
    </row>
    <row r="59" spans="2:30">
      <c r="B59" s="623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5"/>
      <c r="P59" s="234"/>
      <c r="Q59" s="234"/>
      <c r="R59" s="234"/>
      <c r="S59" s="234"/>
      <c r="T59" s="233"/>
      <c r="U59" s="233"/>
      <c r="V59" s="233"/>
      <c r="W59" s="233"/>
      <c r="X59" s="232"/>
      <c r="Y59" s="232"/>
      <c r="Z59" s="232"/>
      <c r="AA59" s="232"/>
    </row>
    <row r="60" spans="2:30">
      <c r="B60" s="62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3"/>
      <c r="U60" s="233"/>
      <c r="V60" s="233"/>
      <c r="W60" s="233"/>
      <c r="X60" s="233"/>
      <c r="Y60" s="233"/>
      <c r="Z60" s="233"/>
      <c r="AA60" s="233"/>
    </row>
    <row r="61" spans="2:30" ht="18.5">
      <c r="B61" s="625" t="s">
        <v>165</v>
      </c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3"/>
      <c r="U61" s="233"/>
      <c r="V61" s="233"/>
      <c r="W61" s="233"/>
      <c r="X61" s="233"/>
      <c r="Y61" s="233"/>
      <c r="Z61" s="233"/>
      <c r="AA61" s="233"/>
    </row>
    <row r="62" spans="2:30">
      <c r="B62" s="626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3"/>
      <c r="U62" s="233"/>
      <c r="V62" s="233"/>
      <c r="W62" s="233"/>
      <c r="X62" s="233"/>
      <c r="Y62" s="233"/>
      <c r="Z62" s="233"/>
      <c r="AA62" s="233"/>
      <c r="AC62" s="307">
        <f>Y64-U64</f>
        <v>492.90000000000003</v>
      </c>
    </row>
    <row r="63" spans="2:30" ht="31.5" customHeight="1">
      <c r="B63" s="627" t="s">
        <v>56</v>
      </c>
      <c r="C63" s="864" t="s">
        <v>214</v>
      </c>
      <c r="D63" s="270" t="s">
        <v>314</v>
      </c>
      <c r="E63" s="270" t="s">
        <v>317</v>
      </c>
      <c r="F63" s="270" t="s">
        <v>343</v>
      </c>
      <c r="G63" s="270" t="s">
        <v>323</v>
      </c>
      <c r="H63" s="270" t="s">
        <v>302</v>
      </c>
      <c r="I63" s="270" t="s">
        <v>305</v>
      </c>
      <c r="J63" s="270" t="s">
        <v>344</v>
      </c>
      <c r="K63" s="270" t="s">
        <v>311</v>
      </c>
      <c r="L63" s="270" t="s">
        <v>168</v>
      </c>
      <c r="M63" s="270" t="s">
        <v>171</v>
      </c>
      <c r="N63" s="270" t="s">
        <v>345</v>
      </c>
      <c r="O63" s="270" t="s">
        <v>177</v>
      </c>
      <c r="P63" s="270" t="s">
        <v>180</v>
      </c>
      <c r="Q63" s="270" t="s">
        <v>334</v>
      </c>
      <c r="R63" s="270" t="s">
        <v>346</v>
      </c>
      <c r="S63" s="778" t="s">
        <v>389</v>
      </c>
      <c r="T63" s="778" t="s">
        <v>401</v>
      </c>
      <c r="U63" s="778" t="s">
        <v>430</v>
      </c>
      <c r="V63" s="778" t="s">
        <v>431</v>
      </c>
      <c r="W63" s="778" t="s">
        <v>432</v>
      </c>
      <c r="X63" s="778" t="s">
        <v>444</v>
      </c>
      <c r="Y63" s="778" t="s">
        <v>458</v>
      </c>
      <c r="Z63" s="790" t="s">
        <v>347</v>
      </c>
      <c r="AA63" s="790" t="s">
        <v>460</v>
      </c>
      <c r="AB63" s="306" t="s">
        <v>461</v>
      </c>
      <c r="AC63" s="306" t="s">
        <v>462</v>
      </c>
      <c r="AD63" s="306" t="s">
        <v>463</v>
      </c>
    </row>
    <row r="64" spans="2:30">
      <c r="B64" s="856" t="s">
        <v>445</v>
      </c>
      <c r="C64" s="882">
        <f>SUM(D64:G64)</f>
        <v>1352.94</v>
      </c>
      <c r="D64" s="881">
        <f t="shared" ref="D64:S64" si="21">SUM(D65:D71)</f>
        <v>377.02</v>
      </c>
      <c r="E64" s="881">
        <f t="shared" si="21"/>
        <v>316.08</v>
      </c>
      <c r="F64" s="881">
        <f t="shared" si="21"/>
        <v>512.21</v>
      </c>
      <c r="G64" s="881">
        <f t="shared" si="21"/>
        <v>147.63</v>
      </c>
      <c r="H64" s="881">
        <f t="shared" si="21"/>
        <v>500.62</v>
      </c>
      <c r="I64" s="881">
        <f t="shared" si="21"/>
        <v>737.62</v>
      </c>
      <c r="J64" s="881">
        <f t="shared" si="21"/>
        <v>241.01000000000002</v>
      </c>
      <c r="K64" s="881">
        <f t="shared" si="21"/>
        <v>0</v>
      </c>
      <c r="L64" s="881">
        <f t="shared" si="21"/>
        <v>461.84999999999997</v>
      </c>
      <c r="M64" s="881">
        <f t="shared" si="21"/>
        <v>847.88</v>
      </c>
      <c r="N64" s="881">
        <f t="shared" si="21"/>
        <v>720.76</v>
      </c>
      <c r="O64" s="881">
        <f t="shared" si="21"/>
        <v>770.05</v>
      </c>
      <c r="P64" s="881">
        <f t="shared" si="21"/>
        <v>555.08999999999992</v>
      </c>
      <c r="Q64" s="881">
        <f t="shared" si="21"/>
        <v>1070.1200000000001</v>
      </c>
      <c r="R64" s="881">
        <f t="shared" si="21"/>
        <v>895.8</v>
      </c>
      <c r="S64" s="881">
        <f t="shared" si="21"/>
        <v>916.67</v>
      </c>
      <c r="T64" s="881">
        <f>SUM(T65:T71)</f>
        <v>420.93999999999994</v>
      </c>
      <c r="U64" s="881">
        <f t="shared" ref="U64:X64" si="22">SUM(U65:U71)</f>
        <v>31.18</v>
      </c>
      <c r="V64" s="881">
        <f t="shared" si="22"/>
        <v>188.39</v>
      </c>
      <c r="W64" s="881">
        <f t="shared" si="22"/>
        <v>289.78999999999996</v>
      </c>
      <c r="X64" s="881">
        <f t="shared" si="22"/>
        <v>527.45000000000005</v>
      </c>
      <c r="Y64" s="881">
        <f>SUM(Y65:Y71)</f>
        <v>524.08000000000004</v>
      </c>
      <c r="Z64" s="881">
        <f>SUM(Z65:Z71)</f>
        <v>32.643361599153934</v>
      </c>
      <c r="AA64" s="881">
        <f>Y64/U64*100-100</f>
        <v>1580.8210391276461</v>
      </c>
      <c r="AB64" s="307">
        <f>Y64-X64</f>
        <v>-3.3700000000000045</v>
      </c>
      <c r="AC64" s="307">
        <f>Y64/Y87*100</f>
        <v>52.996258469005973</v>
      </c>
      <c r="AD64" s="307">
        <f>Y64-U64</f>
        <v>492.90000000000003</v>
      </c>
    </row>
    <row r="65" spans="2:32" ht="25.5" customHeight="1">
      <c r="B65" s="189" t="s">
        <v>9</v>
      </c>
      <c r="C65" s="843">
        <f>SUM(D65:G65)</f>
        <v>38.64</v>
      </c>
      <c r="D65" s="245">
        <f t="shared" ref="D65:X65" si="23">ROUND((D36*D9)/1000,2)</f>
        <v>6.79</v>
      </c>
      <c r="E65" s="246">
        <f t="shared" si="23"/>
        <v>12.99</v>
      </c>
      <c r="F65" s="246">
        <f t="shared" si="23"/>
        <v>18.21</v>
      </c>
      <c r="G65" s="246">
        <f t="shared" si="23"/>
        <v>0.65</v>
      </c>
      <c r="H65" s="246">
        <f t="shared" si="23"/>
        <v>22.35</v>
      </c>
      <c r="I65" s="246">
        <f t="shared" si="23"/>
        <v>57.06</v>
      </c>
      <c r="J65" s="246">
        <f t="shared" si="23"/>
        <v>26.16</v>
      </c>
      <c r="K65" s="246">
        <f t="shared" si="23"/>
        <v>0</v>
      </c>
      <c r="L65" s="246">
        <f t="shared" si="23"/>
        <v>10.19</v>
      </c>
      <c r="M65" s="246">
        <f t="shared" si="23"/>
        <v>62.9</v>
      </c>
      <c r="N65" s="246">
        <f t="shared" si="23"/>
        <v>77.790000000000006</v>
      </c>
      <c r="O65" s="247">
        <f t="shared" si="23"/>
        <v>71.41</v>
      </c>
      <c r="P65" s="245">
        <f t="shared" si="23"/>
        <v>10.039999999999999</v>
      </c>
      <c r="Q65" s="246">
        <f t="shared" si="23"/>
        <v>52.05</v>
      </c>
      <c r="R65" s="246">
        <f t="shared" si="23"/>
        <v>85.05</v>
      </c>
      <c r="S65" s="777">
        <f t="shared" si="23"/>
        <v>126.51</v>
      </c>
      <c r="T65" s="791">
        <f t="shared" si="23"/>
        <v>5.47</v>
      </c>
      <c r="U65" s="791">
        <f t="shared" si="23"/>
        <v>2.25</v>
      </c>
      <c r="V65" s="791">
        <f t="shared" si="23"/>
        <v>23.84</v>
      </c>
      <c r="W65" s="791">
        <f t="shared" si="23"/>
        <v>47.45</v>
      </c>
      <c r="X65" s="791">
        <f t="shared" si="23"/>
        <v>40.4</v>
      </c>
      <c r="Y65" s="791">
        <f>ROUND((Y36*Y9)/1000,2)</f>
        <v>54.72</v>
      </c>
      <c r="Z65" s="791">
        <f t="shared" ref="Z65:Z71" si="24">Y65/X65*100-100</f>
        <v>35.445544554455466</v>
      </c>
      <c r="AA65" s="791">
        <f>Y65/U65*100-100</f>
        <v>2332</v>
      </c>
      <c r="AC65" s="307"/>
    </row>
    <row r="66" spans="2:32" ht="25.5" customHeight="1">
      <c r="B66" s="189" t="s">
        <v>12</v>
      </c>
      <c r="C66" s="843">
        <f>SUM(D66:G66)</f>
        <v>422.39</v>
      </c>
      <c r="D66" s="245">
        <f t="shared" ref="D66:Y66" si="25">ROUND((D37*D10)/1000,2)</f>
        <v>44.76</v>
      </c>
      <c r="E66" s="246">
        <f t="shared" si="25"/>
        <v>108.69</v>
      </c>
      <c r="F66" s="246">
        <f t="shared" si="25"/>
        <v>184.84</v>
      </c>
      <c r="G66" s="246">
        <f t="shared" si="25"/>
        <v>84.1</v>
      </c>
      <c r="H66" s="246">
        <f t="shared" si="25"/>
        <v>135.16</v>
      </c>
      <c r="I66" s="246">
        <f t="shared" si="25"/>
        <v>127.57</v>
      </c>
      <c r="J66" s="246">
        <f t="shared" si="25"/>
        <v>58.36</v>
      </c>
      <c r="K66" s="246">
        <f t="shared" si="25"/>
        <v>0</v>
      </c>
      <c r="L66" s="246">
        <f t="shared" si="25"/>
        <v>135.30000000000001</v>
      </c>
      <c r="M66" s="246">
        <f t="shared" si="25"/>
        <v>76.540000000000006</v>
      </c>
      <c r="N66" s="246">
        <f t="shared" si="25"/>
        <v>137.81</v>
      </c>
      <c r="O66" s="247">
        <f t="shared" si="25"/>
        <v>162.82</v>
      </c>
      <c r="P66" s="245">
        <f t="shared" si="25"/>
        <v>138.06</v>
      </c>
      <c r="Q66" s="246">
        <f t="shared" si="25"/>
        <v>226.87</v>
      </c>
      <c r="R66" s="246">
        <f t="shared" si="25"/>
        <v>96.88</v>
      </c>
      <c r="S66" s="777">
        <f t="shared" si="25"/>
        <v>81.22</v>
      </c>
      <c r="T66" s="791">
        <f t="shared" si="25"/>
        <v>86.94</v>
      </c>
      <c r="U66" s="791">
        <f t="shared" si="25"/>
        <v>0</v>
      </c>
      <c r="V66" s="791">
        <f t="shared" si="25"/>
        <v>12.92</v>
      </c>
      <c r="W66" s="791">
        <f t="shared" si="25"/>
        <v>12.18</v>
      </c>
      <c r="X66" s="791">
        <f t="shared" si="25"/>
        <v>55.8</v>
      </c>
      <c r="Y66" s="791">
        <f t="shared" si="25"/>
        <v>74.069999999999993</v>
      </c>
      <c r="Z66" s="791">
        <f t="shared" si="24"/>
        <v>32.741935483870975</v>
      </c>
      <c r="AA66" s="791">
        <v>0</v>
      </c>
      <c r="AC66" s="307"/>
    </row>
    <row r="67" spans="2:32" ht="25.5" customHeight="1">
      <c r="B67" s="189" t="s">
        <v>15</v>
      </c>
      <c r="C67" s="843">
        <f t="shared" ref="C67:C86" si="26">SUM(D67:G67)</f>
        <v>113.78</v>
      </c>
      <c r="D67" s="245">
        <f t="shared" ref="D67:Y67" si="27">ROUND((D38*D11)/1000,2)</f>
        <v>40.159999999999997</v>
      </c>
      <c r="E67" s="246">
        <f t="shared" si="27"/>
        <v>31.55</v>
      </c>
      <c r="F67" s="246">
        <f t="shared" si="27"/>
        <v>33.5</v>
      </c>
      <c r="G67" s="246">
        <f t="shared" si="27"/>
        <v>8.57</v>
      </c>
      <c r="H67" s="246">
        <f t="shared" si="27"/>
        <v>37.299999999999997</v>
      </c>
      <c r="I67" s="246">
        <f t="shared" si="27"/>
        <v>73.36</v>
      </c>
      <c r="J67" s="246">
        <f t="shared" si="27"/>
        <v>25.62</v>
      </c>
      <c r="K67" s="246">
        <f t="shared" si="27"/>
        <v>0</v>
      </c>
      <c r="L67" s="246">
        <f t="shared" si="27"/>
        <v>30.33</v>
      </c>
      <c r="M67" s="246">
        <f t="shared" si="27"/>
        <v>58.22</v>
      </c>
      <c r="N67" s="246">
        <f t="shared" si="27"/>
        <v>38.6</v>
      </c>
      <c r="O67" s="247">
        <f t="shared" si="27"/>
        <v>38.35</v>
      </c>
      <c r="P67" s="245">
        <f t="shared" si="27"/>
        <v>53.99</v>
      </c>
      <c r="Q67" s="246">
        <f t="shared" si="27"/>
        <v>41.09</v>
      </c>
      <c r="R67" s="246">
        <f t="shared" si="27"/>
        <v>63.65</v>
      </c>
      <c r="S67" s="777">
        <f t="shared" si="27"/>
        <v>16.07</v>
      </c>
      <c r="T67" s="791">
        <f t="shared" si="27"/>
        <v>11.64</v>
      </c>
      <c r="U67" s="791">
        <f t="shared" si="27"/>
        <v>9.16</v>
      </c>
      <c r="V67" s="791">
        <f t="shared" si="27"/>
        <v>29.12</v>
      </c>
      <c r="W67" s="791">
        <f t="shared" si="27"/>
        <v>23.14</v>
      </c>
      <c r="X67" s="791">
        <f t="shared" si="27"/>
        <v>47.5</v>
      </c>
      <c r="Y67" s="791">
        <f t="shared" si="27"/>
        <v>43.24</v>
      </c>
      <c r="Z67" s="791">
        <f t="shared" si="24"/>
        <v>-8.9684210526315695</v>
      </c>
      <c r="AA67" s="791">
        <f>Y67/U67*100-100</f>
        <v>372.05240174672491</v>
      </c>
      <c r="AC67" s="307"/>
    </row>
    <row r="68" spans="2:32" ht="25.5" customHeight="1">
      <c r="B68" s="189" t="s">
        <v>19</v>
      </c>
      <c r="C68" s="843">
        <f t="shared" si="26"/>
        <v>281.08</v>
      </c>
      <c r="D68" s="245">
        <f t="shared" ref="D68:Y68" si="28">ROUND((D39*D12)/1000,2)</f>
        <v>118.92</v>
      </c>
      <c r="E68" s="246">
        <f t="shared" si="28"/>
        <v>46.4</v>
      </c>
      <c r="F68" s="246">
        <f t="shared" si="28"/>
        <v>86.65</v>
      </c>
      <c r="G68" s="246">
        <f t="shared" si="28"/>
        <v>29.11</v>
      </c>
      <c r="H68" s="246">
        <f t="shared" si="28"/>
        <v>74.88</v>
      </c>
      <c r="I68" s="246">
        <f t="shared" si="28"/>
        <v>106.81</v>
      </c>
      <c r="J68" s="246">
        <f t="shared" si="28"/>
        <v>54.24</v>
      </c>
      <c r="K68" s="246">
        <f t="shared" si="28"/>
        <v>0</v>
      </c>
      <c r="L68" s="246">
        <f t="shared" si="28"/>
        <v>81.33</v>
      </c>
      <c r="M68" s="246">
        <f t="shared" si="28"/>
        <v>161.03</v>
      </c>
      <c r="N68" s="246">
        <f t="shared" si="28"/>
        <v>103.08</v>
      </c>
      <c r="O68" s="247">
        <f t="shared" si="28"/>
        <v>154.61000000000001</v>
      </c>
      <c r="P68" s="245">
        <f t="shared" si="28"/>
        <v>135.81</v>
      </c>
      <c r="Q68" s="246">
        <f t="shared" si="28"/>
        <v>90.7</v>
      </c>
      <c r="R68" s="246">
        <f t="shared" si="28"/>
        <v>98.35</v>
      </c>
      <c r="S68" s="777">
        <f t="shared" si="28"/>
        <v>224.32</v>
      </c>
      <c r="T68" s="791">
        <f t="shared" si="28"/>
        <v>84.95</v>
      </c>
      <c r="U68" s="791">
        <f t="shared" si="28"/>
        <v>2.15</v>
      </c>
      <c r="V68" s="791">
        <f t="shared" si="28"/>
        <v>53.28</v>
      </c>
      <c r="W68" s="791">
        <f t="shared" si="28"/>
        <v>118.66</v>
      </c>
      <c r="X68" s="791">
        <f t="shared" si="28"/>
        <v>101.61</v>
      </c>
      <c r="Y68" s="791">
        <f t="shared" si="28"/>
        <v>29.3</v>
      </c>
      <c r="Z68" s="791">
        <f t="shared" si="24"/>
        <v>-71.1642554866647</v>
      </c>
      <c r="AA68" s="791">
        <f>Y68/U68*100-100</f>
        <v>1262.7906976744187</v>
      </c>
      <c r="AC68" s="307"/>
    </row>
    <row r="69" spans="2:32" ht="25.5" customHeight="1">
      <c r="B69" s="189" t="s">
        <v>353</v>
      </c>
      <c r="C69" s="843">
        <f t="shared" si="26"/>
        <v>215.97</v>
      </c>
      <c r="D69" s="245">
        <f t="shared" ref="D69:Y69" si="29">ROUND((D40*D13)/1000,2)</f>
        <v>45.53</v>
      </c>
      <c r="E69" s="246">
        <f t="shared" si="29"/>
        <v>59.81</v>
      </c>
      <c r="F69" s="246">
        <f t="shared" si="29"/>
        <v>107.3</v>
      </c>
      <c r="G69" s="246">
        <f t="shared" si="29"/>
        <v>3.33</v>
      </c>
      <c r="H69" s="246">
        <f t="shared" si="29"/>
        <v>117.95</v>
      </c>
      <c r="I69" s="246">
        <f t="shared" si="29"/>
        <v>140.24</v>
      </c>
      <c r="J69" s="246">
        <f t="shared" si="29"/>
        <v>39.75</v>
      </c>
      <c r="K69" s="246">
        <f t="shared" si="29"/>
        <v>0</v>
      </c>
      <c r="L69" s="246">
        <f t="shared" si="29"/>
        <v>114.23</v>
      </c>
      <c r="M69" s="246">
        <f t="shared" si="29"/>
        <v>260.02</v>
      </c>
      <c r="N69" s="246">
        <f t="shared" si="29"/>
        <v>192.24</v>
      </c>
      <c r="O69" s="247">
        <f t="shared" si="29"/>
        <v>161.35</v>
      </c>
      <c r="P69" s="245">
        <f t="shared" si="29"/>
        <v>55.45</v>
      </c>
      <c r="Q69" s="246">
        <f t="shared" si="29"/>
        <v>409.47</v>
      </c>
      <c r="R69" s="246">
        <f t="shared" si="29"/>
        <v>293.95999999999998</v>
      </c>
      <c r="S69" s="777">
        <f t="shared" si="29"/>
        <v>51.95</v>
      </c>
      <c r="T69" s="791">
        <f t="shared" si="29"/>
        <v>72.16</v>
      </c>
      <c r="U69" s="791">
        <f t="shared" si="29"/>
        <v>0</v>
      </c>
      <c r="V69" s="791">
        <f t="shared" si="29"/>
        <v>41.22</v>
      </c>
      <c r="W69" s="791">
        <f t="shared" si="29"/>
        <v>36.729999999999997</v>
      </c>
      <c r="X69" s="791">
        <f t="shared" si="29"/>
        <v>94.42</v>
      </c>
      <c r="Y69" s="791">
        <f t="shared" si="29"/>
        <v>185.85</v>
      </c>
      <c r="Z69" s="791">
        <f t="shared" si="24"/>
        <v>96.833298030078367</v>
      </c>
      <c r="AA69" s="791">
        <f>Y68/U68*100-100</f>
        <v>1262.7906976744187</v>
      </c>
      <c r="AC69" s="307"/>
    </row>
    <row r="70" spans="2:32" ht="25.5" customHeight="1">
      <c r="B70" s="189" t="s">
        <v>25</v>
      </c>
      <c r="C70" s="843">
        <f t="shared" si="26"/>
        <v>130.27000000000001</v>
      </c>
      <c r="D70" s="245">
        <f t="shared" ref="D70:Y70" si="30">ROUND((D41*D14)/1000,2)</f>
        <v>51.2</v>
      </c>
      <c r="E70" s="246">
        <f t="shared" si="30"/>
        <v>15.59</v>
      </c>
      <c r="F70" s="246">
        <f t="shared" si="30"/>
        <v>49.73</v>
      </c>
      <c r="G70" s="246">
        <f t="shared" si="30"/>
        <v>13.75</v>
      </c>
      <c r="H70" s="246">
        <f t="shared" si="30"/>
        <v>46.47</v>
      </c>
      <c r="I70" s="246">
        <f t="shared" si="30"/>
        <v>103.42</v>
      </c>
      <c r="J70" s="246">
        <f t="shared" si="30"/>
        <v>17.36</v>
      </c>
      <c r="K70" s="246">
        <f t="shared" si="30"/>
        <v>0</v>
      </c>
      <c r="L70" s="246">
        <f t="shared" si="30"/>
        <v>44.65</v>
      </c>
      <c r="M70" s="246">
        <f t="shared" si="30"/>
        <v>176.8</v>
      </c>
      <c r="N70" s="246">
        <f t="shared" si="30"/>
        <v>101.96</v>
      </c>
      <c r="O70" s="247">
        <f t="shared" si="30"/>
        <v>52.4</v>
      </c>
      <c r="P70" s="245">
        <f t="shared" si="30"/>
        <v>89.49</v>
      </c>
      <c r="Q70" s="246">
        <f t="shared" si="30"/>
        <v>150.6</v>
      </c>
      <c r="R70" s="246">
        <f t="shared" si="30"/>
        <v>147.63999999999999</v>
      </c>
      <c r="S70" s="777">
        <f t="shared" si="30"/>
        <v>342.72</v>
      </c>
      <c r="T70" s="791">
        <f t="shared" si="30"/>
        <v>95.37</v>
      </c>
      <c r="U70" s="791">
        <f t="shared" si="30"/>
        <v>3.51</v>
      </c>
      <c r="V70" s="791">
        <f t="shared" si="30"/>
        <v>14.41</v>
      </c>
      <c r="W70" s="791">
        <f t="shared" si="30"/>
        <v>22.23</v>
      </c>
      <c r="X70" s="791">
        <f t="shared" si="30"/>
        <v>113.23</v>
      </c>
      <c r="Y70" s="791">
        <f t="shared" si="30"/>
        <v>78.44</v>
      </c>
      <c r="Z70" s="791">
        <f t="shared" si="24"/>
        <v>-30.725072860549332</v>
      </c>
      <c r="AA70" s="791">
        <f>Y70/U70*100-100</f>
        <v>2134.7578347578346</v>
      </c>
      <c r="AC70" s="307"/>
    </row>
    <row r="71" spans="2:32" ht="25.5" customHeight="1">
      <c r="B71" s="189" t="s">
        <v>351</v>
      </c>
      <c r="C71" s="843">
        <f>SUM(D71:G71)</f>
        <v>150.81</v>
      </c>
      <c r="D71" s="245">
        <f t="shared" ref="D71:Y71" si="31">ROUND((D42*D15)/1000,2)</f>
        <v>69.66</v>
      </c>
      <c r="E71" s="246">
        <f t="shared" si="31"/>
        <v>41.05</v>
      </c>
      <c r="F71" s="246">
        <f t="shared" si="31"/>
        <v>31.98</v>
      </c>
      <c r="G71" s="246">
        <f t="shared" si="31"/>
        <v>8.1199999999999992</v>
      </c>
      <c r="H71" s="246">
        <f t="shared" si="31"/>
        <v>66.510000000000005</v>
      </c>
      <c r="I71" s="246">
        <f t="shared" si="31"/>
        <v>129.16</v>
      </c>
      <c r="J71" s="246">
        <f t="shared" si="31"/>
        <v>19.52</v>
      </c>
      <c r="K71" s="246">
        <f t="shared" si="31"/>
        <v>0</v>
      </c>
      <c r="L71" s="246">
        <f t="shared" si="31"/>
        <v>45.82</v>
      </c>
      <c r="M71" s="246">
        <f t="shared" si="31"/>
        <v>52.37</v>
      </c>
      <c r="N71" s="246">
        <f t="shared" si="31"/>
        <v>69.28</v>
      </c>
      <c r="O71" s="247">
        <f t="shared" si="31"/>
        <v>129.11000000000001</v>
      </c>
      <c r="P71" s="245">
        <f t="shared" si="31"/>
        <v>72.25</v>
      </c>
      <c r="Q71" s="246">
        <f t="shared" si="31"/>
        <v>99.34</v>
      </c>
      <c r="R71" s="246">
        <f t="shared" si="31"/>
        <v>110.27</v>
      </c>
      <c r="S71" s="777">
        <f t="shared" si="31"/>
        <v>73.88</v>
      </c>
      <c r="T71" s="791">
        <f t="shared" si="31"/>
        <v>64.41</v>
      </c>
      <c r="U71" s="791">
        <f t="shared" si="31"/>
        <v>14.11</v>
      </c>
      <c r="V71" s="791">
        <f t="shared" si="31"/>
        <v>13.6</v>
      </c>
      <c r="W71" s="791">
        <f t="shared" si="31"/>
        <v>29.4</v>
      </c>
      <c r="X71" s="791">
        <f t="shared" si="31"/>
        <v>74.489999999999995</v>
      </c>
      <c r="Y71" s="791">
        <f t="shared" si="31"/>
        <v>58.46</v>
      </c>
      <c r="Z71" s="791">
        <f t="shared" si="24"/>
        <v>-21.519667069405273</v>
      </c>
      <c r="AA71" s="791">
        <f>Y71/U71*100-100</f>
        <v>314.31608788093553</v>
      </c>
      <c r="AC71" s="307"/>
      <c r="AE71" s="307"/>
    </row>
    <row r="72" spans="2:32">
      <c r="B72" s="854" t="s">
        <v>186</v>
      </c>
      <c r="C72" s="882">
        <f>SUM(D72:G72)</f>
        <v>946.1</v>
      </c>
      <c r="D72" s="881">
        <f t="shared" ref="D72:S72" si="32">SUM(D73:D76)</f>
        <v>199.87</v>
      </c>
      <c r="E72" s="881">
        <f t="shared" si="32"/>
        <v>190.87</v>
      </c>
      <c r="F72" s="881">
        <f t="shared" si="32"/>
        <v>457.95000000000005</v>
      </c>
      <c r="G72" s="881">
        <f t="shared" si="32"/>
        <v>97.41</v>
      </c>
      <c r="H72" s="881">
        <f t="shared" si="32"/>
        <v>1169.51</v>
      </c>
      <c r="I72" s="881">
        <f t="shared" si="32"/>
        <v>153.80000000000001</v>
      </c>
      <c r="J72" s="881">
        <f t="shared" si="32"/>
        <v>33.32</v>
      </c>
      <c r="K72" s="881">
        <f t="shared" si="32"/>
        <v>0</v>
      </c>
      <c r="L72" s="881">
        <f t="shared" si="32"/>
        <v>252.67</v>
      </c>
      <c r="M72" s="881">
        <f t="shared" si="32"/>
        <v>363.36</v>
      </c>
      <c r="N72" s="881">
        <f t="shared" si="32"/>
        <v>456.13000000000005</v>
      </c>
      <c r="O72" s="881">
        <f t="shared" si="32"/>
        <v>635.66</v>
      </c>
      <c r="P72" s="881">
        <f t="shared" si="32"/>
        <v>504.96</v>
      </c>
      <c r="Q72" s="881">
        <f t="shared" si="32"/>
        <v>423.14</v>
      </c>
      <c r="R72" s="881">
        <f t="shared" si="32"/>
        <v>559.69000000000005</v>
      </c>
      <c r="S72" s="881">
        <f t="shared" si="32"/>
        <v>854.92</v>
      </c>
      <c r="T72" s="881">
        <f>SUM(T73:T76)</f>
        <v>531.38</v>
      </c>
      <c r="U72" s="881">
        <f t="shared" ref="U72:X72" si="33">SUM(U73:U76)</f>
        <v>0.59000000000000008</v>
      </c>
      <c r="V72" s="881">
        <f t="shared" si="33"/>
        <v>101.15</v>
      </c>
      <c r="W72" s="881">
        <f t="shared" si="33"/>
        <v>144.63</v>
      </c>
      <c r="X72" s="881">
        <f t="shared" si="33"/>
        <v>483.1</v>
      </c>
      <c r="Y72" s="881">
        <f>SUM(Y73:Y76)</f>
        <v>222.17</v>
      </c>
      <c r="Z72" s="881">
        <f>SUM(Z73:Z76)</f>
        <v>-30.801641610271275</v>
      </c>
      <c r="AA72" s="881">
        <f>Y72/U72*100-100</f>
        <v>37555.932203389821</v>
      </c>
      <c r="AB72" s="307">
        <f>Y72-X72</f>
        <v>-260.93000000000006</v>
      </c>
      <c r="AC72" s="307">
        <f>Y72/Y87*100</f>
        <v>22.466376782283344</v>
      </c>
      <c r="AD72" s="307">
        <f>Y72-U72</f>
        <v>221.57999999999998</v>
      </c>
      <c r="AE72" s="307">
        <f>Y72-X72</f>
        <v>-260.93000000000006</v>
      </c>
      <c r="AF72" s="307">
        <f>Y72-U72</f>
        <v>221.57999999999998</v>
      </c>
    </row>
    <row r="73" spans="2:32" ht="25.5" customHeight="1">
      <c r="B73" s="189" t="s">
        <v>30</v>
      </c>
      <c r="C73" s="843">
        <f t="shared" si="26"/>
        <v>256.29000000000002</v>
      </c>
      <c r="D73" s="245">
        <f t="shared" ref="D73:X73" si="34">ROUND((D44*D17)/1000,2)</f>
        <v>124.58</v>
      </c>
      <c r="E73" s="246">
        <f t="shared" si="34"/>
        <v>49.07</v>
      </c>
      <c r="F73" s="246">
        <f t="shared" si="34"/>
        <v>71.87</v>
      </c>
      <c r="G73" s="246">
        <f t="shared" si="34"/>
        <v>10.77</v>
      </c>
      <c r="H73" s="246">
        <f t="shared" si="34"/>
        <v>63.07</v>
      </c>
      <c r="I73" s="246">
        <f t="shared" si="34"/>
        <v>78.67</v>
      </c>
      <c r="J73" s="246">
        <f t="shared" si="34"/>
        <v>15.98</v>
      </c>
      <c r="K73" s="246">
        <f t="shared" si="34"/>
        <v>0</v>
      </c>
      <c r="L73" s="246">
        <f t="shared" si="34"/>
        <v>58.32</v>
      </c>
      <c r="M73" s="246">
        <f t="shared" si="34"/>
        <v>209.52</v>
      </c>
      <c r="N73" s="246">
        <f t="shared" si="34"/>
        <v>203.5</v>
      </c>
      <c r="O73" s="247">
        <f t="shared" si="34"/>
        <v>59.25</v>
      </c>
      <c r="P73" s="245">
        <f t="shared" si="34"/>
        <v>78.650000000000006</v>
      </c>
      <c r="Q73" s="246">
        <f t="shared" si="34"/>
        <v>151.02000000000001</v>
      </c>
      <c r="R73" s="246">
        <f t="shared" si="34"/>
        <v>156.37</v>
      </c>
      <c r="S73" s="777">
        <f t="shared" si="34"/>
        <v>314.32</v>
      </c>
      <c r="T73" s="791">
        <f t="shared" si="34"/>
        <v>230.69</v>
      </c>
      <c r="U73" s="791">
        <f t="shared" si="34"/>
        <v>0.46</v>
      </c>
      <c r="V73" s="791">
        <f t="shared" si="34"/>
        <v>10.119999999999999</v>
      </c>
      <c r="W73" s="791">
        <f t="shared" si="34"/>
        <v>42.67</v>
      </c>
      <c r="X73" s="791">
        <f t="shared" si="34"/>
        <v>116.05</v>
      </c>
      <c r="Y73" s="791">
        <f>ROUND((Y44*Y17)/1000,2)</f>
        <v>123.45</v>
      </c>
      <c r="Z73" s="791">
        <f>Y73/X73*100-100</f>
        <v>6.3765618267987918</v>
      </c>
      <c r="AA73" s="791">
        <f>Y73/U73*100-100</f>
        <v>26736.956521739132</v>
      </c>
      <c r="AC73" s="307"/>
    </row>
    <row r="74" spans="2:32" ht="25.5" customHeight="1">
      <c r="B74" s="189" t="s">
        <v>31</v>
      </c>
      <c r="C74" s="843">
        <f t="shared" si="26"/>
        <v>205.95999999999998</v>
      </c>
      <c r="D74" s="245">
        <f t="shared" ref="D74:Y74" si="35">ROUND((D45*D18)/1000,2)</f>
        <v>43.95</v>
      </c>
      <c r="E74" s="246">
        <f t="shared" si="35"/>
        <v>77.22</v>
      </c>
      <c r="F74" s="246">
        <f t="shared" si="35"/>
        <v>82.22</v>
      </c>
      <c r="G74" s="246">
        <f t="shared" si="35"/>
        <v>2.57</v>
      </c>
      <c r="H74" s="246">
        <f t="shared" si="35"/>
        <v>52.28</v>
      </c>
      <c r="I74" s="246">
        <f t="shared" si="35"/>
        <v>50.06</v>
      </c>
      <c r="J74" s="246">
        <f t="shared" si="35"/>
        <v>12.4</v>
      </c>
      <c r="K74" s="246">
        <f t="shared" si="35"/>
        <v>0</v>
      </c>
      <c r="L74" s="246">
        <f t="shared" si="35"/>
        <v>32.979999999999997</v>
      </c>
      <c r="M74" s="246">
        <f t="shared" si="35"/>
        <v>84.14</v>
      </c>
      <c r="N74" s="246">
        <f t="shared" si="35"/>
        <v>156.72999999999999</v>
      </c>
      <c r="O74" s="247">
        <f t="shared" si="35"/>
        <v>106.68</v>
      </c>
      <c r="P74" s="245">
        <f t="shared" si="35"/>
        <v>59.54</v>
      </c>
      <c r="Q74" s="246">
        <f t="shared" si="35"/>
        <v>80.12</v>
      </c>
      <c r="R74" s="246">
        <f t="shared" si="35"/>
        <v>93.11</v>
      </c>
      <c r="S74" s="777">
        <f t="shared" si="35"/>
        <v>106.25</v>
      </c>
      <c r="T74" s="791">
        <f t="shared" si="35"/>
        <v>88.29</v>
      </c>
      <c r="U74" s="791">
        <f t="shared" si="35"/>
        <v>0.13</v>
      </c>
      <c r="V74" s="791">
        <f t="shared" si="35"/>
        <v>18.32</v>
      </c>
      <c r="W74" s="791">
        <f t="shared" si="35"/>
        <v>39.06</v>
      </c>
      <c r="X74" s="791">
        <f t="shared" si="35"/>
        <v>33.130000000000003</v>
      </c>
      <c r="Y74" s="791">
        <f t="shared" si="35"/>
        <v>63.18</v>
      </c>
      <c r="Z74" s="791">
        <f>Y74/X74*100-100</f>
        <v>90.703290069423446</v>
      </c>
      <c r="AA74" s="791">
        <f>Z74/U74*100-100</f>
        <v>69671.761591864182</v>
      </c>
      <c r="AC74" s="307"/>
    </row>
    <row r="75" spans="2:32" ht="25.5" customHeight="1">
      <c r="B75" s="189" t="s">
        <v>32</v>
      </c>
      <c r="C75" s="843">
        <f t="shared" si="26"/>
        <v>315.69</v>
      </c>
      <c r="D75" s="245">
        <f t="shared" ref="D75:T75" si="36">ROUND((D46*D19)/1000,2)</f>
        <v>9.5</v>
      </c>
      <c r="E75" s="246">
        <f t="shared" si="36"/>
        <v>29.8</v>
      </c>
      <c r="F75" s="246">
        <f t="shared" si="36"/>
        <v>212.89</v>
      </c>
      <c r="G75" s="246">
        <f t="shared" si="36"/>
        <v>63.5</v>
      </c>
      <c r="H75" s="246">
        <f t="shared" si="36"/>
        <v>1009.87</v>
      </c>
      <c r="I75" s="246">
        <f t="shared" si="36"/>
        <v>0</v>
      </c>
      <c r="J75" s="246">
        <f t="shared" si="36"/>
        <v>0</v>
      </c>
      <c r="K75" s="246">
        <f t="shared" si="36"/>
        <v>0</v>
      </c>
      <c r="L75" s="246">
        <f t="shared" si="36"/>
        <v>105.36</v>
      </c>
      <c r="M75" s="246">
        <f t="shared" si="36"/>
        <v>23.55</v>
      </c>
      <c r="N75" s="246">
        <f t="shared" si="36"/>
        <v>12.97</v>
      </c>
      <c r="O75" s="247">
        <f t="shared" si="36"/>
        <v>428.56</v>
      </c>
      <c r="P75" s="245">
        <f t="shared" si="36"/>
        <v>317.95</v>
      </c>
      <c r="Q75" s="246">
        <f t="shared" si="36"/>
        <v>151.88999999999999</v>
      </c>
      <c r="R75" s="246">
        <f t="shared" si="36"/>
        <v>140.11000000000001</v>
      </c>
      <c r="S75" s="777">
        <f t="shared" si="36"/>
        <v>360.94</v>
      </c>
      <c r="T75" s="791">
        <f t="shared" si="36"/>
        <v>174.69</v>
      </c>
      <c r="U75" s="809">
        <v>0</v>
      </c>
      <c r="V75" s="791">
        <f t="shared" ref="V75:Y76" si="37">ROUND((V46*V19)/1000,2)</f>
        <v>54.77</v>
      </c>
      <c r="W75" s="791">
        <f t="shared" si="37"/>
        <v>15.61</v>
      </c>
      <c r="X75" s="791">
        <f t="shared" si="37"/>
        <v>284.64</v>
      </c>
      <c r="Y75" s="791">
        <f t="shared" si="37"/>
        <v>0</v>
      </c>
      <c r="Z75" s="791">
        <f>Y75/X75*100-100</f>
        <v>-100</v>
      </c>
      <c r="AA75" s="791">
        <v>0</v>
      </c>
      <c r="AC75" s="307"/>
    </row>
    <row r="76" spans="2:32" ht="25.5" customHeight="1">
      <c r="B76" s="248" t="s">
        <v>352</v>
      </c>
      <c r="C76" s="843">
        <f>SUM(D76:G76)</f>
        <v>168.16</v>
      </c>
      <c r="D76" s="249">
        <f t="shared" ref="D76:T76" si="38">ROUND((D47*D20)/1000,2)</f>
        <v>21.84</v>
      </c>
      <c r="E76" s="250">
        <f t="shared" si="38"/>
        <v>34.78</v>
      </c>
      <c r="F76" s="250">
        <f t="shared" si="38"/>
        <v>90.97</v>
      </c>
      <c r="G76" s="250">
        <f t="shared" si="38"/>
        <v>20.57</v>
      </c>
      <c r="H76" s="250">
        <f t="shared" si="38"/>
        <v>44.29</v>
      </c>
      <c r="I76" s="250">
        <f t="shared" si="38"/>
        <v>25.07</v>
      </c>
      <c r="J76" s="250">
        <f t="shared" si="38"/>
        <v>4.9400000000000004</v>
      </c>
      <c r="K76" s="250">
        <f t="shared" si="38"/>
        <v>0</v>
      </c>
      <c r="L76" s="250">
        <f t="shared" si="38"/>
        <v>56.01</v>
      </c>
      <c r="M76" s="250">
        <f t="shared" si="38"/>
        <v>46.15</v>
      </c>
      <c r="N76" s="250">
        <f t="shared" si="38"/>
        <v>82.93</v>
      </c>
      <c r="O76" s="251">
        <f t="shared" si="38"/>
        <v>41.17</v>
      </c>
      <c r="P76" s="249">
        <f t="shared" si="38"/>
        <v>48.82</v>
      </c>
      <c r="Q76" s="250">
        <f t="shared" si="38"/>
        <v>40.11</v>
      </c>
      <c r="R76" s="250">
        <f t="shared" si="38"/>
        <v>170.1</v>
      </c>
      <c r="S76" s="777">
        <f t="shared" si="38"/>
        <v>73.41</v>
      </c>
      <c r="T76" s="791">
        <f t="shared" si="38"/>
        <v>37.71</v>
      </c>
      <c r="U76" s="791">
        <f>ROUND((U47*U20)/1000,2)</f>
        <v>0</v>
      </c>
      <c r="V76" s="791">
        <f t="shared" si="37"/>
        <v>17.940000000000001</v>
      </c>
      <c r="W76" s="791">
        <f t="shared" si="37"/>
        <v>47.29</v>
      </c>
      <c r="X76" s="791">
        <f t="shared" si="37"/>
        <v>49.28</v>
      </c>
      <c r="Y76" s="791">
        <f t="shared" si="37"/>
        <v>35.54</v>
      </c>
      <c r="Z76" s="791">
        <f>Y76/X76*100-100</f>
        <v>-27.881493506493513</v>
      </c>
      <c r="AA76" s="791">
        <v>0</v>
      </c>
      <c r="AC76" s="307"/>
      <c r="AE76" s="307"/>
    </row>
    <row r="77" spans="2:32">
      <c r="B77" s="854" t="s">
        <v>446</v>
      </c>
      <c r="C77" s="882">
        <f>SUM(D77:G77)</f>
        <v>1421.3300000000002</v>
      </c>
      <c r="D77" s="881">
        <f t="shared" ref="D77:S77" si="39">SUM(D78:D86)</f>
        <v>387.28999999999996</v>
      </c>
      <c r="E77" s="881">
        <f t="shared" si="39"/>
        <v>375.75</v>
      </c>
      <c r="F77" s="881">
        <f t="shared" si="39"/>
        <v>618.6400000000001</v>
      </c>
      <c r="G77" s="881">
        <f t="shared" si="39"/>
        <v>39.65</v>
      </c>
      <c r="H77" s="881">
        <f t="shared" si="39"/>
        <v>1608.9599999999998</v>
      </c>
      <c r="I77" s="881">
        <f t="shared" si="39"/>
        <v>305.63</v>
      </c>
      <c r="J77" s="881">
        <f t="shared" si="39"/>
        <v>147.82000000000002</v>
      </c>
      <c r="K77" s="881">
        <f t="shared" si="39"/>
        <v>0</v>
      </c>
      <c r="L77" s="881">
        <f t="shared" si="39"/>
        <v>375.57</v>
      </c>
      <c r="M77" s="881">
        <f t="shared" si="39"/>
        <v>340.26</v>
      </c>
      <c r="N77" s="881">
        <f t="shared" si="39"/>
        <v>1031.98</v>
      </c>
      <c r="O77" s="881">
        <f t="shared" si="39"/>
        <v>660.69999999999993</v>
      </c>
      <c r="P77" s="881">
        <f t="shared" si="39"/>
        <v>275.58</v>
      </c>
      <c r="Q77" s="881">
        <f t="shared" si="39"/>
        <v>371.86</v>
      </c>
      <c r="R77" s="881">
        <f t="shared" si="39"/>
        <v>988.20999999999992</v>
      </c>
      <c r="S77" s="881">
        <f t="shared" si="39"/>
        <v>775.10000000000014</v>
      </c>
      <c r="T77" s="881">
        <f>SUM(T78:T86)</f>
        <v>233.07999999999998</v>
      </c>
      <c r="U77" s="881">
        <f t="shared" ref="U77:X77" si="40">SUM(U78:U86)</f>
        <v>79.13</v>
      </c>
      <c r="V77" s="881">
        <f t="shared" si="40"/>
        <v>329.11999999999995</v>
      </c>
      <c r="W77" s="881">
        <f t="shared" si="40"/>
        <v>485.52</v>
      </c>
      <c r="X77" s="881">
        <f t="shared" si="40"/>
        <v>89.36999999999999</v>
      </c>
      <c r="Y77" s="881">
        <f>SUM(Y78:Y86)</f>
        <v>242.65000000000003</v>
      </c>
      <c r="Z77" s="881">
        <f>SUM(Z78:Z86)</f>
        <v>2538.971494943964</v>
      </c>
      <c r="AA77" s="881">
        <f>Y77/U77*100-100</f>
        <v>206.64728927082024</v>
      </c>
      <c r="AB77" s="307">
        <f>Y77-X77</f>
        <v>153.28000000000003</v>
      </c>
      <c r="AC77" s="307">
        <f>Y77/Y87*100</f>
        <v>24.537364748710694</v>
      </c>
      <c r="AD77" s="307">
        <f>Y77-U77</f>
        <v>163.52000000000004</v>
      </c>
      <c r="AE77" s="307">
        <f>Y77-X77</f>
        <v>153.28000000000003</v>
      </c>
      <c r="AF77" s="307"/>
    </row>
    <row r="78" spans="2:32" ht="25.5" customHeight="1">
      <c r="B78" s="189" t="s">
        <v>33</v>
      </c>
      <c r="C78" s="843">
        <f t="shared" si="26"/>
        <v>184.07999999999998</v>
      </c>
      <c r="D78" s="245">
        <f t="shared" ref="D78:X78" si="41">ROUND((D49*D22)/1000,2)</f>
        <v>73.23</v>
      </c>
      <c r="E78" s="246">
        <f t="shared" si="41"/>
        <v>11.5</v>
      </c>
      <c r="F78" s="246">
        <f t="shared" si="41"/>
        <v>84.4</v>
      </c>
      <c r="G78" s="246">
        <f t="shared" si="41"/>
        <v>14.95</v>
      </c>
      <c r="H78" s="246">
        <f t="shared" si="41"/>
        <v>77.25</v>
      </c>
      <c r="I78" s="246">
        <f t="shared" si="41"/>
        <v>32.28</v>
      </c>
      <c r="J78" s="246">
        <f t="shared" si="41"/>
        <v>1.76</v>
      </c>
      <c r="K78" s="246">
        <f t="shared" si="41"/>
        <v>0</v>
      </c>
      <c r="L78" s="246">
        <f t="shared" si="41"/>
        <v>14.68</v>
      </c>
      <c r="M78" s="246">
        <f t="shared" si="41"/>
        <v>50.28</v>
      </c>
      <c r="N78" s="246">
        <f t="shared" si="41"/>
        <v>382.72</v>
      </c>
      <c r="O78" s="247">
        <f t="shared" si="41"/>
        <v>121.59</v>
      </c>
      <c r="P78" s="245">
        <f t="shared" si="41"/>
        <v>20.91</v>
      </c>
      <c r="Q78" s="246">
        <f t="shared" si="41"/>
        <v>53.99</v>
      </c>
      <c r="R78" s="246">
        <f t="shared" si="41"/>
        <v>234.81</v>
      </c>
      <c r="S78" s="777">
        <f t="shared" si="41"/>
        <v>287.24</v>
      </c>
      <c r="T78" s="899">
        <f t="shared" si="41"/>
        <v>17.399999999999999</v>
      </c>
      <c r="U78" s="899">
        <f t="shared" si="41"/>
        <v>6.6</v>
      </c>
      <c r="V78" s="899">
        <f t="shared" si="41"/>
        <v>54.28</v>
      </c>
      <c r="W78" s="899">
        <f t="shared" si="41"/>
        <v>64.819999999999993</v>
      </c>
      <c r="X78" s="899">
        <f t="shared" si="41"/>
        <v>6.79</v>
      </c>
      <c r="Y78" s="899">
        <f>ROUND((Y49*Y22)/1000,2)</f>
        <v>5.96</v>
      </c>
      <c r="Z78" s="899">
        <f>Y78/X78*100-100</f>
        <v>-12.223858615611192</v>
      </c>
      <c r="AA78" s="899">
        <f>Y78/U78*100-100</f>
        <v>-9.6969696969696884</v>
      </c>
      <c r="AC78" s="307"/>
    </row>
    <row r="79" spans="2:32" ht="25.5" customHeight="1">
      <c r="B79" s="189" t="s">
        <v>34</v>
      </c>
      <c r="C79" s="843">
        <f t="shared" si="26"/>
        <v>61.400000000000006</v>
      </c>
      <c r="D79" s="245">
        <f t="shared" ref="D79:Y79" si="42">ROUND((D50*D23)/1000,2)</f>
        <v>11.48</v>
      </c>
      <c r="E79" s="246">
        <f t="shared" si="42"/>
        <v>0</v>
      </c>
      <c r="F79" s="246">
        <f t="shared" si="42"/>
        <v>48.2</v>
      </c>
      <c r="G79" s="246">
        <f t="shared" si="42"/>
        <v>1.72</v>
      </c>
      <c r="H79" s="246">
        <f t="shared" si="42"/>
        <v>229.51</v>
      </c>
      <c r="I79" s="246">
        <f t="shared" si="42"/>
        <v>0</v>
      </c>
      <c r="J79" s="246">
        <f t="shared" si="42"/>
        <v>0</v>
      </c>
      <c r="K79" s="246">
        <f t="shared" si="42"/>
        <v>0</v>
      </c>
      <c r="L79" s="246">
        <f t="shared" si="42"/>
        <v>5.72</v>
      </c>
      <c r="M79" s="246">
        <f t="shared" si="42"/>
        <v>0</v>
      </c>
      <c r="N79" s="246">
        <f t="shared" si="42"/>
        <v>32.61</v>
      </c>
      <c r="O79" s="247">
        <f t="shared" si="42"/>
        <v>25.96</v>
      </c>
      <c r="P79" s="245">
        <f t="shared" si="42"/>
        <v>9.4</v>
      </c>
      <c r="Q79" s="246">
        <f t="shared" si="42"/>
        <v>0</v>
      </c>
      <c r="R79" s="246">
        <f t="shared" si="42"/>
        <v>19.579999999999998</v>
      </c>
      <c r="S79" s="777">
        <f t="shared" si="42"/>
        <v>24.97</v>
      </c>
      <c r="T79" s="791">
        <f t="shared" si="42"/>
        <v>7.0000000000000007E-2</v>
      </c>
      <c r="U79" s="791">
        <f t="shared" si="42"/>
        <v>0</v>
      </c>
      <c r="V79" s="791">
        <f t="shared" si="42"/>
        <v>12.04</v>
      </c>
      <c r="W79" s="791">
        <f t="shared" si="42"/>
        <v>15.19</v>
      </c>
      <c r="X79" s="791">
        <f t="shared" si="42"/>
        <v>0</v>
      </c>
      <c r="Y79" s="899">
        <f t="shared" si="42"/>
        <v>0</v>
      </c>
      <c r="Z79" s="791">
        <v>0</v>
      </c>
      <c r="AA79" s="791">
        <v>0</v>
      </c>
      <c r="AC79" s="307"/>
    </row>
    <row r="80" spans="2:32" ht="24.75" customHeight="1">
      <c r="B80" s="189" t="s">
        <v>348</v>
      </c>
      <c r="C80" s="843">
        <f t="shared" si="26"/>
        <v>65.77</v>
      </c>
      <c r="D80" s="245">
        <f t="shared" ref="D80:T80" si="43">ROUND((D51*D24)/1000,2)</f>
        <v>1.8</v>
      </c>
      <c r="E80" s="246">
        <f t="shared" si="43"/>
        <v>0</v>
      </c>
      <c r="F80" s="246">
        <f t="shared" si="43"/>
        <v>62.18</v>
      </c>
      <c r="G80" s="246">
        <f t="shared" si="43"/>
        <v>1.79</v>
      </c>
      <c r="H80" s="246">
        <f t="shared" si="43"/>
        <v>16.78</v>
      </c>
      <c r="I80" s="246">
        <f t="shared" si="43"/>
        <v>2</v>
      </c>
      <c r="J80" s="246">
        <f t="shared" si="43"/>
        <v>16.010000000000002</v>
      </c>
      <c r="K80" s="246">
        <f t="shared" si="43"/>
        <v>0</v>
      </c>
      <c r="L80" s="246">
        <f t="shared" si="43"/>
        <v>16.18</v>
      </c>
      <c r="M80" s="246">
        <f t="shared" si="43"/>
        <v>0.22</v>
      </c>
      <c r="N80" s="246">
        <f t="shared" si="43"/>
        <v>74.260000000000005</v>
      </c>
      <c r="O80" s="247">
        <f t="shared" si="43"/>
        <v>49.79</v>
      </c>
      <c r="P80" s="245">
        <f t="shared" si="43"/>
        <v>6.77</v>
      </c>
      <c r="Q80" s="246">
        <f t="shared" si="43"/>
        <v>0.8</v>
      </c>
      <c r="R80" s="246">
        <f t="shared" si="43"/>
        <v>8.36</v>
      </c>
      <c r="S80" s="777">
        <f t="shared" si="43"/>
        <v>16.57</v>
      </c>
      <c r="T80" s="791">
        <f t="shared" si="43"/>
        <v>1.75</v>
      </c>
      <c r="U80" s="809">
        <v>0</v>
      </c>
      <c r="V80" s="791">
        <f t="shared" ref="V80:Y86" si="44">ROUND((V51*V24)/1000,2)</f>
        <v>13.52</v>
      </c>
      <c r="W80" s="791">
        <f t="shared" si="44"/>
        <v>32.06</v>
      </c>
      <c r="X80" s="791">
        <f t="shared" si="44"/>
        <v>0.27</v>
      </c>
      <c r="Y80" s="899">
        <f t="shared" si="44"/>
        <v>0</v>
      </c>
      <c r="Z80" s="791">
        <f t="shared" ref="Z80:Z86" si="45">Y80/X80*100-100</f>
        <v>-100</v>
      </c>
      <c r="AA80" s="791">
        <v>0</v>
      </c>
      <c r="AC80" s="307"/>
    </row>
    <row r="81" spans="2:30" ht="25.5" customHeight="1">
      <c r="B81" s="189" t="s">
        <v>37</v>
      </c>
      <c r="C81" s="843">
        <f t="shared" si="26"/>
        <v>309.47000000000008</v>
      </c>
      <c r="D81" s="245">
        <f t="shared" ref="D81:T81" si="46">ROUND((D52*D25)/1000,2)</f>
        <v>86.56</v>
      </c>
      <c r="E81" s="246">
        <f t="shared" si="46"/>
        <v>187.65</v>
      </c>
      <c r="F81" s="246">
        <f t="shared" si="46"/>
        <v>34.590000000000003</v>
      </c>
      <c r="G81" s="246">
        <f t="shared" si="46"/>
        <v>0.67</v>
      </c>
      <c r="H81" s="246">
        <f t="shared" si="46"/>
        <v>882.05</v>
      </c>
      <c r="I81" s="246">
        <f t="shared" si="46"/>
        <v>47.82</v>
      </c>
      <c r="J81" s="246">
        <f t="shared" si="46"/>
        <v>31.97</v>
      </c>
      <c r="K81" s="246">
        <f t="shared" si="46"/>
        <v>0</v>
      </c>
      <c r="L81" s="246">
        <f t="shared" si="46"/>
        <v>97.14</v>
      </c>
      <c r="M81" s="246">
        <f t="shared" si="46"/>
        <v>68.709999999999994</v>
      </c>
      <c r="N81" s="246">
        <f t="shared" si="46"/>
        <v>142.72</v>
      </c>
      <c r="O81" s="247">
        <f t="shared" si="46"/>
        <v>52.02</v>
      </c>
      <c r="P81" s="245">
        <f t="shared" si="46"/>
        <v>91.78</v>
      </c>
      <c r="Q81" s="246">
        <f t="shared" si="46"/>
        <v>113.86</v>
      </c>
      <c r="R81" s="246">
        <f t="shared" si="46"/>
        <v>104.53</v>
      </c>
      <c r="S81" s="777">
        <f t="shared" si="46"/>
        <v>42.6</v>
      </c>
      <c r="T81" s="791">
        <f t="shared" si="46"/>
        <v>17.14</v>
      </c>
      <c r="U81" s="791">
        <f t="shared" ref="U81:U86" si="47">ROUND((U52*U25)/1000,2)</f>
        <v>21.35</v>
      </c>
      <c r="V81" s="791">
        <f t="shared" si="44"/>
        <v>46.95</v>
      </c>
      <c r="W81" s="791">
        <f t="shared" si="44"/>
        <v>46.47</v>
      </c>
      <c r="X81" s="791">
        <f t="shared" si="44"/>
        <v>11.44</v>
      </c>
      <c r="Y81" s="899">
        <f t="shared" si="44"/>
        <v>50.34</v>
      </c>
      <c r="Z81" s="791">
        <f t="shared" si="45"/>
        <v>340.03496503496507</v>
      </c>
      <c r="AA81" s="791">
        <f>Y81/U81*100-100</f>
        <v>135.78454332552693</v>
      </c>
      <c r="AC81" s="307"/>
    </row>
    <row r="82" spans="2:30" ht="25.5" customHeight="1">
      <c r="B82" s="189" t="s">
        <v>349</v>
      </c>
      <c r="C82" s="843">
        <f t="shared" si="26"/>
        <v>269.52</v>
      </c>
      <c r="D82" s="245">
        <f t="shared" ref="D82:T82" si="48">ROUND((D53*D26)/1000,2)</f>
        <v>96</v>
      </c>
      <c r="E82" s="246">
        <f t="shared" si="48"/>
        <v>95.52</v>
      </c>
      <c r="F82" s="246">
        <f t="shared" si="48"/>
        <v>72.53</v>
      </c>
      <c r="G82" s="246">
        <f t="shared" si="48"/>
        <v>5.47</v>
      </c>
      <c r="H82" s="246">
        <f t="shared" si="48"/>
        <v>268.52999999999997</v>
      </c>
      <c r="I82" s="246">
        <f t="shared" si="48"/>
        <v>154.34</v>
      </c>
      <c r="J82" s="246">
        <f t="shared" si="48"/>
        <v>21.44</v>
      </c>
      <c r="K82" s="246">
        <f t="shared" si="48"/>
        <v>0</v>
      </c>
      <c r="L82" s="246">
        <f t="shared" si="48"/>
        <v>149.01</v>
      </c>
      <c r="M82" s="246">
        <f t="shared" si="48"/>
        <v>117.35</v>
      </c>
      <c r="N82" s="246">
        <f t="shared" si="48"/>
        <v>29.82</v>
      </c>
      <c r="O82" s="247">
        <f t="shared" si="48"/>
        <v>95.03</v>
      </c>
      <c r="P82" s="245">
        <f t="shared" si="48"/>
        <v>32.01</v>
      </c>
      <c r="Q82" s="246">
        <f t="shared" si="48"/>
        <v>74.47</v>
      </c>
      <c r="R82" s="246">
        <f t="shared" si="48"/>
        <v>221.13</v>
      </c>
      <c r="S82" s="777">
        <f t="shared" si="48"/>
        <v>83.86</v>
      </c>
      <c r="T82" s="791">
        <f t="shared" si="48"/>
        <v>116.95</v>
      </c>
      <c r="U82" s="791">
        <f t="shared" si="47"/>
        <v>33.200000000000003</v>
      </c>
      <c r="V82" s="791">
        <f t="shared" si="44"/>
        <v>64.989999999999995</v>
      </c>
      <c r="W82" s="791">
        <f t="shared" si="44"/>
        <v>126.14</v>
      </c>
      <c r="X82" s="791">
        <f t="shared" si="44"/>
        <v>39.520000000000003</v>
      </c>
      <c r="Y82" s="899">
        <f t="shared" si="44"/>
        <v>122.19</v>
      </c>
      <c r="Z82" s="791">
        <f t="shared" si="45"/>
        <v>209.18522267206475</v>
      </c>
      <c r="AA82" s="791">
        <f>Y82/U82*100-100</f>
        <v>268.04216867469876</v>
      </c>
      <c r="AC82" s="307"/>
      <c r="AD82" s="307"/>
    </row>
    <row r="83" spans="2:30" ht="25.5" customHeight="1">
      <c r="B83" s="189" t="s">
        <v>39</v>
      </c>
      <c r="C83" s="843">
        <f t="shared" si="26"/>
        <v>27.49</v>
      </c>
      <c r="D83" s="245">
        <f t="shared" ref="D83:T83" si="49">ROUND((D54*D27)/1000,2)</f>
        <v>11.37</v>
      </c>
      <c r="E83" s="246">
        <f t="shared" si="49"/>
        <v>11.21</v>
      </c>
      <c r="F83" s="246">
        <f t="shared" si="49"/>
        <v>4.62</v>
      </c>
      <c r="G83" s="246">
        <f t="shared" si="49"/>
        <v>0.28999999999999998</v>
      </c>
      <c r="H83" s="246">
        <f t="shared" si="49"/>
        <v>10.5</v>
      </c>
      <c r="I83" s="246">
        <f t="shared" si="49"/>
        <v>10.85</v>
      </c>
      <c r="J83" s="246">
        <f t="shared" si="49"/>
        <v>31.21</v>
      </c>
      <c r="K83" s="246">
        <f t="shared" si="49"/>
        <v>0</v>
      </c>
      <c r="L83" s="246">
        <f t="shared" si="49"/>
        <v>12.59</v>
      </c>
      <c r="M83" s="246">
        <f t="shared" si="49"/>
        <v>48.76</v>
      </c>
      <c r="N83" s="246">
        <f t="shared" si="49"/>
        <v>73.56</v>
      </c>
      <c r="O83" s="247">
        <f t="shared" si="49"/>
        <v>39.46</v>
      </c>
      <c r="P83" s="245">
        <f t="shared" si="49"/>
        <v>12.88</v>
      </c>
      <c r="Q83" s="246">
        <f t="shared" si="49"/>
        <v>44.17</v>
      </c>
      <c r="R83" s="246">
        <f t="shared" si="49"/>
        <v>71.55</v>
      </c>
      <c r="S83" s="777">
        <f t="shared" si="49"/>
        <v>38.21</v>
      </c>
      <c r="T83" s="791">
        <f t="shared" si="49"/>
        <v>15.32</v>
      </c>
      <c r="U83" s="791">
        <f t="shared" si="47"/>
        <v>0</v>
      </c>
      <c r="V83" s="791">
        <f t="shared" si="44"/>
        <v>22.53</v>
      </c>
      <c r="W83" s="791">
        <f t="shared" si="44"/>
        <v>23.33</v>
      </c>
      <c r="X83" s="791">
        <f t="shared" si="44"/>
        <v>4.97</v>
      </c>
      <c r="Y83" s="899">
        <f t="shared" si="44"/>
        <v>12.43</v>
      </c>
      <c r="Z83" s="791">
        <f t="shared" si="45"/>
        <v>150.10060362173041</v>
      </c>
      <c r="AA83" s="791">
        <v>0</v>
      </c>
      <c r="AC83" s="307"/>
    </row>
    <row r="84" spans="2:30" ht="25.5" customHeight="1">
      <c r="B84" s="189" t="s">
        <v>40</v>
      </c>
      <c r="C84" s="843">
        <f>SUM(D84:G84)</f>
        <v>166.38</v>
      </c>
      <c r="D84" s="245">
        <f t="shared" ref="D84:T84" si="50">ROUND((D55*D28)/1000,2)</f>
        <v>50.58</v>
      </c>
      <c r="E84" s="246">
        <f t="shared" si="50"/>
        <v>49.1</v>
      </c>
      <c r="F84" s="246">
        <f t="shared" si="50"/>
        <v>61.76</v>
      </c>
      <c r="G84" s="246">
        <f t="shared" si="50"/>
        <v>4.9400000000000004</v>
      </c>
      <c r="H84" s="246">
        <f t="shared" si="50"/>
        <v>40.19</v>
      </c>
      <c r="I84" s="246">
        <f t="shared" si="50"/>
        <v>35.770000000000003</v>
      </c>
      <c r="J84" s="246">
        <f t="shared" si="50"/>
        <v>14.96</v>
      </c>
      <c r="K84" s="246">
        <f t="shared" si="50"/>
        <v>0</v>
      </c>
      <c r="L84" s="246">
        <f t="shared" si="50"/>
        <v>32.409999999999997</v>
      </c>
      <c r="M84" s="246">
        <f t="shared" si="50"/>
        <v>21.7</v>
      </c>
      <c r="N84" s="246">
        <f t="shared" si="50"/>
        <v>25.61</v>
      </c>
      <c r="O84" s="247">
        <f t="shared" si="50"/>
        <v>59.37</v>
      </c>
      <c r="P84" s="245">
        <f t="shared" si="50"/>
        <v>37.49</v>
      </c>
      <c r="Q84" s="246">
        <f t="shared" si="50"/>
        <v>30.46</v>
      </c>
      <c r="R84" s="246">
        <f t="shared" si="50"/>
        <v>32.51</v>
      </c>
      <c r="S84" s="777">
        <f t="shared" si="50"/>
        <v>36.82</v>
      </c>
      <c r="T84" s="791">
        <f t="shared" si="50"/>
        <v>40.39</v>
      </c>
      <c r="U84" s="791">
        <f t="shared" si="47"/>
        <v>9.94</v>
      </c>
      <c r="V84" s="791">
        <f t="shared" si="44"/>
        <v>14.16</v>
      </c>
      <c r="W84" s="791">
        <f t="shared" si="44"/>
        <v>21.62</v>
      </c>
      <c r="X84" s="791">
        <f t="shared" si="44"/>
        <v>18.98</v>
      </c>
      <c r="Y84" s="899">
        <f t="shared" si="44"/>
        <v>20.49</v>
      </c>
      <c r="Z84" s="791">
        <f t="shared" si="45"/>
        <v>7.9557428872497127</v>
      </c>
      <c r="AA84" s="791">
        <f>Y84/U84*100-100</f>
        <v>106.13682092555331</v>
      </c>
      <c r="AC84" s="307"/>
    </row>
    <row r="85" spans="2:30" ht="25.5" customHeight="1">
      <c r="B85" s="895" t="s">
        <v>41</v>
      </c>
      <c r="C85" s="896">
        <f t="shared" si="26"/>
        <v>95.289999999999992</v>
      </c>
      <c r="D85" s="890">
        <f t="shared" ref="D85:T85" si="51">ROUND((D56*D29)/1000,2)</f>
        <v>29.09</v>
      </c>
      <c r="E85" s="897">
        <f t="shared" si="51"/>
        <v>9.4600000000000009</v>
      </c>
      <c r="F85" s="897">
        <f t="shared" si="51"/>
        <v>55.37</v>
      </c>
      <c r="G85" s="897">
        <f t="shared" si="51"/>
        <v>1.37</v>
      </c>
      <c r="H85" s="897">
        <f t="shared" si="51"/>
        <v>15.3</v>
      </c>
      <c r="I85" s="897">
        <f t="shared" si="51"/>
        <v>11.95</v>
      </c>
      <c r="J85" s="897">
        <f t="shared" si="51"/>
        <v>10.61</v>
      </c>
      <c r="K85" s="897">
        <f t="shared" si="51"/>
        <v>0</v>
      </c>
      <c r="L85" s="897">
        <f t="shared" si="51"/>
        <v>10.28</v>
      </c>
      <c r="M85" s="897">
        <f t="shared" si="51"/>
        <v>14.48</v>
      </c>
      <c r="N85" s="897">
        <f t="shared" si="51"/>
        <v>86.36</v>
      </c>
      <c r="O85" s="891">
        <f t="shared" si="51"/>
        <v>45.95</v>
      </c>
      <c r="P85" s="890">
        <f t="shared" si="51"/>
        <v>7.57</v>
      </c>
      <c r="Q85" s="897">
        <f t="shared" si="51"/>
        <v>14.94</v>
      </c>
      <c r="R85" s="897">
        <f t="shared" si="51"/>
        <v>57.28</v>
      </c>
      <c r="S85" s="892">
        <f t="shared" si="51"/>
        <v>94.11</v>
      </c>
      <c r="T85" s="898">
        <f t="shared" si="51"/>
        <v>1.63</v>
      </c>
      <c r="U85" s="898">
        <f t="shared" si="47"/>
        <v>8.0399999999999991</v>
      </c>
      <c r="V85" s="898">
        <f t="shared" si="44"/>
        <v>27.9</v>
      </c>
      <c r="W85" s="898">
        <f t="shared" si="44"/>
        <v>43.04</v>
      </c>
      <c r="X85" s="898">
        <f t="shared" si="44"/>
        <v>0.71</v>
      </c>
      <c r="Y85" s="899">
        <f t="shared" si="44"/>
        <v>13.32</v>
      </c>
      <c r="Z85" s="898">
        <f t="shared" si="45"/>
        <v>1776.0563380281692</v>
      </c>
      <c r="AA85" s="898">
        <f>Z85/U85*100-100</f>
        <v>21990.252960549369</v>
      </c>
      <c r="AC85" s="307"/>
    </row>
    <row r="86" spans="2:30" ht="25.5" customHeight="1">
      <c r="B86" s="895" t="s">
        <v>350</v>
      </c>
      <c r="C86" s="896">
        <f t="shared" si="26"/>
        <v>241.93</v>
      </c>
      <c r="D86" s="890">
        <f t="shared" ref="D86:T86" si="52">ROUND((D57*D30)/1000,2)</f>
        <v>27.18</v>
      </c>
      <c r="E86" s="897">
        <f t="shared" si="52"/>
        <v>11.31</v>
      </c>
      <c r="F86" s="897">
        <f t="shared" si="52"/>
        <v>194.99</v>
      </c>
      <c r="G86" s="897">
        <f t="shared" si="52"/>
        <v>8.4499999999999993</v>
      </c>
      <c r="H86" s="897">
        <f t="shared" si="52"/>
        <v>68.849999999999994</v>
      </c>
      <c r="I86" s="897">
        <f t="shared" si="52"/>
        <v>10.62</v>
      </c>
      <c r="J86" s="897">
        <f t="shared" si="52"/>
        <v>19.86</v>
      </c>
      <c r="K86" s="897">
        <f t="shared" si="52"/>
        <v>0</v>
      </c>
      <c r="L86" s="897">
        <f t="shared" si="52"/>
        <v>37.56</v>
      </c>
      <c r="M86" s="897">
        <f t="shared" si="52"/>
        <v>18.760000000000002</v>
      </c>
      <c r="N86" s="897">
        <f t="shared" si="52"/>
        <v>184.32</v>
      </c>
      <c r="O86" s="891">
        <f t="shared" si="52"/>
        <v>171.53</v>
      </c>
      <c r="P86" s="890">
        <f t="shared" si="52"/>
        <v>56.77</v>
      </c>
      <c r="Q86" s="897">
        <f t="shared" si="52"/>
        <v>39.17</v>
      </c>
      <c r="R86" s="897">
        <f t="shared" si="52"/>
        <v>238.46</v>
      </c>
      <c r="S86" s="892">
        <f t="shared" si="52"/>
        <v>150.72</v>
      </c>
      <c r="T86" s="898">
        <f t="shared" si="52"/>
        <v>22.43</v>
      </c>
      <c r="U86" s="898">
        <f t="shared" si="47"/>
        <v>0</v>
      </c>
      <c r="V86" s="898">
        <f t="shared" si="44"/>
        <v>72.75</v>
      </c>
      <c r="W86" s="898">
        <f t="shared" si="44"/>
        <v>112.85</v>
      </c>
      <c r="X86" s="898">
        <f t="shared" si="44"/>
        <v>6.69</v>
      </c>
      <c r="Y86" s="899">
        <f t="shared" si="44"/>
        <v>17.920000000000002</v>
      </c>
      <c r="Z86" s="898">
        <f t="shared" si="45"/>
        <v>167.86248131539611</v>
      </c>
      <c r="AA86" s="898">
        <v>0</v>
      </c>
      <c r="AC86" s="307"/>
    </row>
    <row r="87" spans="2:30" ht="25.5" customHeight="1">
      <c r="B87" s="629"/>
      <c r="C87" s="865">
        <f>SUM(C65:C71,C73:C76,C78:C86)</f>
        <v>3720.3699999999994</v>
      </c>
      <c r="D87" s="644">
        <f t="shared" ref="D87:S87" si="53">SUM(D65:D86)</f>
        <v>1551.34</v>
      </c>
      <c r="E87" s="630">
        <f t="shared" si="53"/>
        <v>1449.32</v>
      </c>
      <c r="F87" s="630">
        <f t="shared" si="53"/>
        <v>2665.3900000000003</v>
      </c>
      <c r="G87" s="630">
        <f t="shared" si="53"/>
        <v>421.75000000000006</v>
      </c>
      <c r="H87" s="630">
        <f t="shared" si="53"/>
        <v>6057.5599999999995</v>
      </c>
      <c r="I87" s="630">
        <f t="shared" si="53"/>
        <v>1656.4799999999996</v>
      </c>
      <c r="J87" s="630">
        <f t="shared" si="53"/>
        <v>603.29000000000019</v>
      </c>
      <c r="K87" s="630">
        <f t="shared" si="53"/>
        <v>0</v>
      </c>
      <c r="L87" s="630">
        <f t="shared" si="53"/>
        <v>1718.3300000000002</v>
      </c>
      <c r="M87" s="630">
        <f t="shared" si="53"/>
        <v>2255.1200000000003</v>
      </c>
      <c r="N87" s="630">
        <f t="shared" si="53"/>
        <v>3696.9800000000009</v>
      </c>
      <c r="O87" s="630">
        <f t="shared" si="53"/>
        <v>3362.7700000000004</v>
      </c>
      <c r="P87" s="644">
        <f t="shared" si="53"/>
        <v>2116.17</v>
      </c>
      <c r="Q87" s="630">
        <f t="shared" si="53"/>
        <v>2660.12</v>
      </c>
      <c r="R87" s="645">
        <f t="shared" si="53"/>
        <v>3991.6000000000008</v>
      </c>
      <c r="S87" s="779">
        <f t="shared" si="53"/>
        <v>4176.71</v>
      </c>
      <c r="T87" s="792">
        <f t="shared" ref="T87:W87" si="54">SUM(T65:T71,T73:T76,T78:T86)</f>
        <v>1185.4000000000001</v>
      </c>
      <c r="U87" s="792">
        <f t="shared" si="54"/>
        <v>110.9</v>
      </c>
      <c r="V87" s="792">
        <f t="shared" si="54"/>
        <v>618.65999999999985</v>
      </c>
      <c r="W87" s="792">
        <f t="shared" si="54"/>
        <v>919.94</v>
      </c>
      <c r="X87" s="792">
        <f>SUM(X65:X71,X73:X76,X78:X86)</f>
        <v>1099.92</v>
      </c>
      <c r="Y87" s="792">
        <f>SUM(Y65:Y71,Y73:Y76,Y78:Y86)</f>
        <v>988.9</v>
      </c>
      <c r="Z87" s="792">
        <f>Y87/X87*100-100</f>
        <v>-10.09346134264311</v>
      </c>
      <c r="AA87" s="792">
        <f>Y87/U87*100-100</f>
        <v>791.70423805229927</v>
      </c>
      <c r="AB87" s="307">
        <f>Y87-U87</f>
        <v>878</v>
      </c>
      <c r="AC87" s="307"/>
    </row>
    <row r="88" spans="2:30" ht="20.25" customHeight="1">
      <c r="B88" s="633" t="s">
        <v>163</v>
      </c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4"/>
      <c r="N88" s="234"/>
      <c r="O88" s="234"/>
      <c r="P88" s="234"/>
      <c r="Q88" s="234"/>
      <c r="R88" s="234"/>
      <c r="S88" s="234"/>
      <c r="T88" s="314"/>
      <c r="U88" s="314"/>
      <c r="V88" s="314"/>
      <c r="W88" s="314"/>
      <c r="X88" s="900"/>
      <c r="Y88" s="900">
        <f>Y64+Y72+Y77</f>
        <v>988.90000000000009</v>
      </c>
      <c r="Z88" s="900"/>
      <c r="AA88" s="900"/>
    </row>
    <row r="89" spans="2:30" ht="15.75" customHeight="1">
      <c r="B89" s="635"/>
      <c r="C89" s="252"/>
      <c r="D89" s="234"/>
      <c r="E89" s="234"/>
      <c r="F89" s="234"/>
      <c r="G89" s="234"/>
      <c r="H89" s="234"/>
      <c r="I89" s="234"/>
      <c r="J89" s="234"/>
      <c r="K89" s="234"/>
      <c r="L89" s="234"/>
      <c r="M89" s="234"/>
      <c r="N89" s="234"/>
      <c r="O89" s="234"/>
      <c r="P89" s="234"/>
      <c r="Q89" s="234"/>
      <c r="R89" s="234"/>
      <c r="S89" s="234"/>
      <c r="T89" s="233"/>
      <c r="U89" s="233"/>
      <c r="V89" s="233"/>
      <c r="W89" s="233"/>
      <c r="X89" s="894"/>
      <c r="Y89" s="894"/>
      <c r="Z89" s="894"/>
      <c r="AA89" s="894"/>
    </row>
    <row r="90" spans="2:30">
      <c r="B90" s="636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4"/>
      <c r="N90" s="234"/>
      <c r="O90" s="234"/>
      <c r="P90" s="234"/>
      <c r="Q90" s="234"/>
      <c r="R90" s="234"/>
      <c r="S90" s="234"/>
      <c r="T90" s="233"/>
      <c r="U90" s="233"/>
      <c r="V90" s="233"/>
      <c r="W90" s="233"/>
      <c r="X90" s="233"/>
      <c r="Y90" s="233"/>
      <c r="Z90" s="233"/>
      <c r="AA90" s="233"/>
    </row>
    <row r="91" spans="2:30">
      <c r="B91" s="637"/>
      <c r="C91" s="234"/>
      <c r="D91" s="260"/>
      <c r="E91" s="234"/>
      <c r="F91" s="234"/>
      <c r="G91" s="234"/>
      <c r="H91" s="234"/>
      <c r="I91" s="234"/>
      <c r="J91" s="234"/>
      <c r="K91" s="234"/>
      <c r="L91" s="234"/>
      <c r="M91" s="234"/>
      <c r="N91" s="234"/>
      <c r="O91" s="234"/>
      <c r="P91" s="260"/>
      <c r="Q91" s="234"/>
      <c r="R91" s="234"/>
      <c r="S91" s="234"/>
      <c r="T91" s="233"/>
      <c r="U91" s="233"/>
      <c r="V91" s="233"/>
      <c r="W91" s="233"/>
      <c r="X91" s="233"/>
      <c r="Y91" s="233"/>
      <c r="Z91" s="233"/>
      <c r="AA91" s="233"/>
    </row>
    <row r="92" spans="2:30" ht="18.5">
      <c r="B92" s="638" t="s">
        <v>217</v>
      </c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4"/>
      <c r="N92" s="234"/>
      <c r="O92" s="234"/>
      <c r="P92" s="234"/>
      <c r="Q92" s="234"/>
      <c r="R92" s="234"/>
      <c r="S92" s="234"/>
      <c r="T92" s="233"/>
      <c r="U92" s="233"/>
      <c r="V92" s="233"/>
      <c r="W92" s="233"/>
      <c r="X92" s="233"/>
      <c r="Y92" s="233"/>
      <c r="Z92" s="233"/>
      <c r="AA92" s="233"/>
    </row>
    <row r="93" spans="2:30">
      <c r="B93" s="240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4"/>
      <c r="N93" s="234"/>
      <c r="O93" s="234"/>
      <c r="P93" s="234"/>
      <c r="Q93" s="234"/>
      <c r="R93" s="234"/>
      <c r="S93" s="234"/>
      <c r="T93" s="233"/>
      <c r="U93" s="233"/>
      <c r="V93" s="233"/>
      <c r="W93" s="233"/>
      <c r="X93" s="233"/>
      <c r="Y93" s="233"/>
      <c r="Z93" s="233"/>
      <c r="AA93" s="233"/>
    </row>
    <row r="94" spans="2:30" ht="31.5" customHeight="1">
      <c r="B94" s="616" t="s">
        <v>56</v>
      </c>
      <c r="C94" s="866" t="s">
        <v>215</v>
      </c>
      <c r="D94" s="270" t="s">
        <v>314</v>
      </c>
      <c r="E94" s="270" t="s">
        <v>317</v>
      </c>
      <c r="F94" s="270" t="s">
        <v>343</v>
      </c>
      <c r="G94" s="270" t="s">
        <v>323</v>
      </c>
      <c r="H94" s="270" t="s">
        <v>302</v>
      </c>
      <c r="I94" s="270" t="s">
        <v>305</v>
      </c>
      <c r="J94" s="270" t="s">
        <v>344</v>
      </c>
      <c r="K94" s="270" t="s">
        <v>311</v>
      </c>
      <c r="L94" s="270" t="s">
        <v>168</v>
      </c>
      <c r="M94" s="270" t="s">
        <v>171</v>
      </c>
      <c r="N94" s="270" t="s">
        <v>345</v>
      </c>
      <c r="O94" s="270" t="s">
        <v>177</v>
      </c>
      <c r="P94" s="270" t="s">
        <v>180</v>
      </c>
      <c r="Q94" s="270" t="s">
        <v>334</v>
      </c>
      <c r="R94" s="270" t="s">
        <v>346</v>
      </c>
      <c r="S94" s="778" t="s">
        <v>389</v>
      </c>
      <c r="T94" s="778" t="s">
        <v>401</v>
      </c>
      <c r="U94" s="778" t="s">
        <v>430</v>
      </c>
      <c r="V94" s="778" t="s">
        <v>431</v>
      </c>
      <c r="W94" s="778" t="s">
        <v>432</v>
      </c>
      <c r="X94" s="778" t="s">
        <v>444</v>
      </c>
      <c r="Y94" s="778" t="s">
        <v>458</v>
      </c>
      <c r="Z94" s="790" t="s">
        <v>347</v>
      </c>
      <c r="AA94" s="790" t="s">
        <v>442</v>
      </c>
    </row>
    <row r="95" spans="2:30">
      <c r="B95" s="856" t="s">
        <v>445</v>
      </c>
      <c r="C95" s="868">
        <f>SUM(C96:C102)</f>
        <v>0.3636573781639999</v>
      </c>
      <c r="D95" s="883">
        <f>D8/$C8*100</f>
        <v>132.45599886118706</v>
      </c>
      <c r="E95" s="883">
        <f t="shared" ref="E95:X95" si="55">E8/$C8*100</f>
        <v>90.3873430602182</v>
      </c>
      <c r="F95" s="883">
        <f t="shared" si="55"/>
        <v>131.58837518981562</v>
      </c>
      <c r="G95" s="883">
        <f t="shared" si="55"/>
        <v>45.568282888779194</v>
      </c>
      <c r="H95" s="883">
        <f t="shared" si="55"/>
        <v>142.89643002676277</v>
      </c>
      <c r="I95" s="883">
        <f t="shared" si="55"/>
        <v>297.28280546897565</v>
      </c>
      <c r="J95" s="883">
        <f t="shared" si="55"/>
        <v>77.345255220226349</v>
      </c>
      <c r="K95" s="883">
        <f t="shared" si="55"/>
        <v>0</v>
      </c>
      <c r="L95" s="883">
        <f t="shared" si="55"/>
        <v>128.30707970543941</v>
      </c>
      <c r="M95" s="883">
        <f t="shared" si="55"/>
        <v>300.87193212148702</v>
      </c>
      <c r="N95" s="883">
        <f t="shared" si="55"/>
        <v>246.60879717670349</v>
      </c>
      <c r="O95" s="883">
        <f t="shared" si="55"/>
        <v>236.93254108875189</v>
      </c>
      <c r="P95" s="883">
        <f t="shared" si="55"/>
        <v>191.66951150688251</v>
      </c>
      <c r="Q95" s="883">
        <f t="shared" si="55"/>
        <v>299.22524528128957</v>
      </c>
      <c r="R95" s="883">
        <f t="shared" si="55"/>
        <v>285.3586741595642</v>
      </c>
      <c r="S95" s="883">
        <f t="shared" si="55"/>
        <v>295.66706902187065</v>
      </c>
      <c r="T95" s="883">
        <f>T8/$C8*100</f>
        <v>152.40742691727507</v>
      </c>
      <c r="U95" s="883">
        <f t="shared" si="55"/>
        <v>11.884017615847734</v>
      </c>
      <c r="V95" s="883">
        <f t="shared" si="55"/>
        <v>58.696638861994757</v>
      </c>
      <c r="W95" s="883">
        <f t="shared" si="55"/>
        <v>103.38423107145009</v>
      </c>
      <c r="X95" s="883">
        <f t="shared" si="55"/>
        <v>214.40609162149408</v>
      </c>
      <c r="Y95" s="883">
        <f>Y8/$C8*100</f>
        <v>188.51021102949551</v>
      </c>
      <c r="Z95" s="883">
        <f>Y95/X95*100-100</f>
        <v>-12.077959350947154</v>
      </c>
      <c r="AA95" s="883">
        <f>Y95/U95*100-100</f>
        <v>1486.2498451543092</v>
      </c>
      <c r="AB95" s="314"/>
    </row>
    <row r="96" spans="2:30" ht="25.5" customHeight="1">
      <c r="B96" s="189" t="s">
        <v>9</v>
      </c>
      <c r="C96" s="844">
        <f t="shared" ref="C96:C102" si="56">C65/$C$87</f>
        <v>1.038606375172362E-2</v>
      </c>
      <c r="D96" s="269">
        <f>D9/$C9*100</f>
        <v>69.787141064327685</v>
      </c>
      <c r="E96" s="247">
        <f t="shared" ref="E96:X96" si="57">E9/$C9*100</f>
        <v>97.721684425857674</v>
      </c>
      <c r="F96" s="247">
        <f t="shared" si="57"/>
        <v>225.75248754984355</v>
      </c>
      <c r="G96" s="247">
        <f t="shared" si="57"/>
        <v>6.7386869599711439</v>
      </c>
      <c r="H96" s="247">
        <f t="shared" si="57"/>
        <v>214.43147331356977</v>
      </c>
      <c r="I96" s="247">
        <f t="shared" si="57"/>
        <v>733.6741627038424</v>
      </c>
      <c r="J96" s="247">
        <f t="shared" si="57"/>
        <v>338.543094350974</v>
      </c>
      <c r="K96" s="247">
        <f t="shared" si="57"/>
        <v>0</v>
      </c>
      <c r="L96" s="247">
        <f t="shared" si="57"/>
        <v>135.22301856929147</v>
      </c>
      <c r="M96" s="247">
        <f t="shared" si="57"/>
        <v>630.75404823491954</v>
      </c>
      <c r="N96" s="247">
        <f t="shared" si="57"/>
        <v>872.3199408492768</v>
      </c>
      <c r="O96" s="247">
        <f t="shared" si="57"/>
        <v>912.55954308419189</v>
      </c>
      <c r="P96" s="247">
        <f t="shared" si="57"/>
        <v>89.404196356953506</v>
      </c>
      <c r="Q96" s="247">
        <f t="shared" si="57"/>
        <v>438.90896202239571</v>
      </c>
      <c r="R96" s="247">
        <f t="shared" si="57"/>
        <v>871.34024604524279</v>
      </c>
      <c r="S96" s="777">
        <f t="shared" si="57"/>
        <v>1150.6728315965336</v>
      </c>
      <c r="T96" s="791">
        <f t="shared" si="57"/>
        <v>78.592351977515889</v>
      </c>
      <c r="U96" s="791">
        <f t="shared" si="57"/>
        <v>25.166330026564932</v>
      </c>
      <c r="V96" s="791">
        <f t="shared" si="57"/>
        <v>276.56002238324845</v>
      </c>
      <c r="W96" s="791">
        <f t="shared" si="57"/>
        <v>519.40750111776549</v>
      </c>
      <c r="X96" s="791">
        <f t="shared" si="57"/>
        <v>497.31084853040454</v>
      </c>
      <c r="Y96" s="791">
        <f>Y9/$C9*100</f>
        <v>673.89439212513241</v>
      </c>
      <c r="Z96" s="791">
        <f>Y96/X96*100-100</f>
        <v>35.507679777456531</v>
      </c>
      <c r="AA96" s="791">
        <f>Z96/U96*100-100</f>
        <v>41.092005628057535</v>
      </c>
    </row>
    <row r="97" spans="2:28" ht="25.5" customHeight="1">
      <c r="B97" s="189" t="s">
        <v>12</v>
      </c>
      <c r="C97" s="844">
        <f t="shared" si="56"/>
        <v>0.1135344065240823</v>
      </c>
      <c r="D97" s="269">
        <f t="shared" ref="D97:Y97" si="58">D10/$C10*100</f>
        <v>53.518939752938707</v>
      </c>
      <c r="E97" s="247">
        <f t="shared" si="58"/>
        <v>119.22976431681973</v>
      </c>
      <c r="F97" s="247">
        <f t="shared" si="58"/>
        <v>153.15782678665454</v>
      </c>
      <c r="G97" s="247">
        <f t="shared" si="58"/>
        <v>74.093469143587058</v>
      </c>
      <c r="H97" s="247">
        <f t="shared" si="58"/>
        <v>124.49476525915837</v>
      </c>
      <c r="I97" s="247">
        <f t="shared" si="58"/>
        <v>187.27046133591671</v>
      </c>
      <c r="J97" s="247">
        <f t="shared" si="58"/>
        <v>76.955273151719695</v>
      </c>
      <c r="K97" s="247">
        <f t="shared" si="58"/>
        <v>0</v>
      </c>
      <c r="L97" s="247">
        <f t="shared" si="58"/>
        <v>140.58151299927891</v>
      </c>
      <c r="M97" s="247">
        <f t="shared" si="58"/>
        <v>101.07730599805703</v>
      </c>
      <c r="N97" s="247">
        <f t="shared" si="58"/>
        <v>159.22446861262</v>
      </c>
      <c r="O97" s="247">
        <f t="shared" si="58"/>
        <v>197.06824689528523</v>
      </c>
      <c r="P97" s="247">
        <f t="shared" si="58"/>
        <v>130.92457591445597</v>
      </c>
      <c r="Q97" s="247">
        <f t="shared" si="58"/>
        <v>223.30233235192907</v>
      </c>
      <c r="R97" s="247">
        <f t="shared" si="58"/>
        <v>103.9043874210621</v>
      </c>
      <c r="S97" s="777">
        <f t="shared" si="58"/>
        <v>98.066554445566808</v>
      </c>
      <c r="T97" s="791">
        <f t="shared" si="58"/>
        <v>73.9246097571246</v>
      </c>
      <c r="U97" s="791">
        <f t="shared" si="58"/>
        <v>6.2328436940402572</v>
      </c>
      <c r="V97" s="791">
        <f t="shared" si="58"/>
        <v>13.930370935727115</v>
      </c>
      <c r="W97" s="791">
        <f t="shared" si="58"/>
        <v>11.658699339402625</v>
      </c>
      <c r="X97" s="791">
        <f t="shared" si="58"/>
        <v>57.982396474528578</v>
      </c>
      <c r="Y97" s="791">
        <f t="shared" si="58"/>
        <v>88.733185683393344</v>
      </c>
      <c r="Z97" s="791">
        <f t="shared" ref="Z97:Z102" si="59">Y97/X97*100-100</f>
        <v>53.03469859575992</v>
      </c>
      <c r="AA97" s="791">
        <f t="shared" ref="AA97:AA102" si="60">Z97/U97*100-100</f>
        <v>750.89088061795655</v>
      </c>
    </row>
    <row r="98" spans="2:28" ht="25.5" customHeight="1">
      <c r="B98" s="189" t="s">
        <v>15</v>
      </c>
      <c r="C98" s="844">
        <f t="shared" si="56"/>
        <v>3.058297964987354E-2</v>
      </c>
      <c r="D98" s="269">
        <f t="shared" ref="D98:Y98" si="61">D11/$C11*100</f>
        <v>125.81184403504035</v>
      </c>
      <c r="E98" s="247">
        <f t="shared" si="61"/>
        <v>95.86230816842253</v>
      </c>
      <c r="F98" s="247">
        <f t="shared" si="61"/>
        <v>150.49270108252676</v>
      </c>
      <c r="G98" s="247">
        <f t="shared" si="61"/>
        <v>27.833146714010294</v>
      </c>
      <c r="H98" s="247">
        <f t="shared" si="61"/>
        <v>167.62640305724895</v>
      </c>
      <c r="I98" s="247">
        <f t="shared" si="61"/>
        <v>348.10940565022173</v>
      </c>
      <c r="J98" s="247">
        <f t="shared" si="61"/>
        <v>92.7455555054608</v>
      </c>
      <c r="K98" s="247">
        <f t="shared" si="61"/>
        <v>0</v>
      </c>
      <c r="L98" s="247">
        <f t="shared" si="61"/>
        <v>103.67231382193529</v>
      </c>
      <c r="M98" s="247">
        <f t="shared" si="61"/>
        <v>208.53699592577084</v>
      </c>
      <c r="N98" s="247">
        <f t="shared" si="61"/>
        <v>141.99643770172958</v>
      </c>
      <c r="O98" s="247">
        <f t="shared" si="61"/>
        <v>166.29697559685636</v>
      </c>
      <c r="P98" s="247">
        <f t="shared" si="61"/>
        <v>160.64471693038297</v>
      </c>
      <c r="Q98" s="247">
        <f t="shared" si="61"/>
        <v>141.36372712247515</v>
      </c>
      <c r="R98" s="247">
        <f t="shared" si="61"/>
        <v>212.92786646338953</v>
      </c>
      <c r="S98" s="777">
        <f t="shared" si="61"/>
        <v>53.757537863024517</v>
      </c>
      <c r="T98" s="791">
        <f t="shared" si="61"/>
        <v>61.028084881910075</v>
      </c>
      <c r="U98" s="791">
        <f t="shared" si="61"/>
        <v>14.729594445724167</v>
      </c>
      <c r="V98" s="791">
        <f t="shared" si="61"/>
        <v>56.822297940120862</v>
      </c>
      <c r="W98" s="791">
        <f t="shared" si="61"/>
        <v>77.07059927866743</v>
      </c>
      <c r="X98" s="791">
        <f t="shared" si="61"/>
        <v>167.00459037847745</v>
      </c>
      <c r="Y98" s="791">
        <f t="shared" si="61"/>
        <v>184.97090217547827</v>
      </c>
      <c r="Z98" s="791">
        <f t="shared" si="59"/>
        <v>10.757974829484823</v>
      </c>
      <c r="AA98" s="791">
        <f t="shared" si="60"/>
        <v>-26.963536782183837</v>
      </c>
    </row>
    <row r="99" spans="2:28" ht="25.5" customHeight="1">
      <c r="B99" s="189" t="s">
        <v>19</v>
      </c>
      <c r="C99" s="844">
        <f t="shared" si="56"/>
        <v>7.5551625241575437E-2</v>
      </c>
      <c r="D99" s="269">
        <f t="shared" ref="D99:Y99" si="62">D12/$C12*100</f>
        <v>165.71817781547475</v>
      </c>
      <c r="E99" s="247">
        <f t="shared" si="62"/>
        <v>53.808432058852127</v>
      </c>
      <c r="F99" s="247">
        <f t="shared" si="62"/>
        <v>123.3332963188664</v>
      </c>
      <c r="G99" s="247">
        <f t="shared" si="62"/>
        <v>57.140093806806725</v>
      </c>
      <c r="H99" s="247">
        <f t="shared" si="62"/>
        <v>129.27611699262516</v>
      </c>
      <c r="I99" s="247">
        <f t="shared" si="62"/>
        <v>169.58465773059041</v>
      </c>
      <c r="J99" s="247">
        <f t="shared" si="62"/>
        <v>58.190095897430794</v>
      </c>
      <c r="K99" s="247">
        <f t="shared" si="62"/>
        <v>0</v>
      </c>
      <c r="L99" s="247">
        <f t="shared" si="62"/>
        <v>101.8458683822149</v>
      </c>
      <c r="M99" s="247">
        <f t="shared" si="62"/>
        <v>236.53882194950552</v>
      </c>
      <c r="N99" s="247">
        <f t="shared" si="62"/>
        <v>162.80692250485325</v>
      </c>
      <c r="O99" s="247">
        <f t="shared" si="62"/>
        <v>226.09225520465316</v>
      </c>
      <c r="P99" s="247">
        <f t="shared" si="62"/>
        <v>207.63909938302851</v>
      </c>
      <c r="Q99" s="247">
        <f t="shared" si="62"/>
        <v>109.29381700758454</v>
      </c>
      <c r="R99" s="247">
        <f t="shared" si="62"/>
        <v>101.75860253713545</v>
      </c>
      <c r="S99" s="777">
        <f t="shared" si="62"/>
        <v>305.91213919549369</v>
      </c>
      <c r="T99" s="791">
        <f t="shared" si="62"/>
        <v>131.39140028139232</v>
      </c>
      <c r="U99" s="791">
        <f t="shared" si="62"/>
        <v>3.5686346932639958</v>
      </c>
      <c r="V99" s="791">
        <f t="shared" si="62"/>
        <v>75.897666083500852</v>
      </c>
      <c r="W99" s="791">
        <f t="shared" si="62"/>
        <v>164.22058565045853</v>
      </c>
      <c r="X99" s="791">
        <f t="shared" si="62"/>
        <v>157.04972458822897</v>
      </c>
      <c r="Y99" s="791">
        <f t="shared" si="62"/>
        <v>42.342553468122503</v>
      </c>
      <c r="Z99" s="791">
        <f t="shared" si="59"/>
        <v>-73.038759807353316</v>
      </c>
      <c r="AA99" s="791">
        <f t="shared" si="60"/>
        <v>-2146.686368465178</v>
      </c>
    </row>
    <row r="100" spans="2:28" ht="25.5" customHeight="1">
      <c r="B100" s="189" t="s">
        <v>353</v>
      </c>
      <c r="C100" s="844">
        <f t="shared" si="56"/>
        <v>5.8050677755169519E-2</v>
      </c>
      <c r="D100" s="269">
        <f t="shared" ref="D100:Y100" si="63">D13/$C13*100</f>
        <v>91.567930898386123</v>
      </c>
      <c r="E100" s="247">
        <f t="shared" si="63"/>
        <v>95.947864588445</v>
      </c>
      <c r="F100" s="247">
        <f t="shared" si="63"/>
        <v>206.95111900769749</v>
      </c>
      <c r="G100" s="247">
        <f t="shared" si="63"/>
        <v>5.5330855054713579</v>
      </c>
      <c r="H100" s="247">
        <f t="shared" si="63"/>
        <v>201.64648958629351</v>
      </c>
      <c r="I100" s="247">
        <f t="shared" si="63"/>
        <v>420.69800142704565</v>
      </c>
      <c r="J100" s="247">
        <f t="shared" si="63"/>
        <v>57.073156846665249</v>
      </c>
      <c r="K100" s="247">
        <f t="shared" si="63"/>
        <v>0</v>
      </c>
      <c r="L100" s="247">
        <f t="shared" si="63"/>
        <v>169.6830699019506</v>
      </c>
      <c r="M100" s="247">
        <f t="shared" si="63"/>
        <v>615.8631859188755</v>
      </c>
      <c r="N100" s="247">
        <f t="shared" si="63"/>
        <v>399.56970346207316</v>
      </c>
      <c r="O100" s="247">
        <f t="shared" si="63"/>
        <v>184.02794334289015</v>
      </c>
      <c r="P100" s="247">
        <f t="shared" si="63"/>
        <v>92.147021619858975</v>
      </c>
      <c r="Q100" s="247">
        <f t="shared" si="63"/>
        <v>835.26645811199614</v>
      </c>
      <c r="R100" s="247">
        <f t="shared" si="63"/>
        <v>660.46778999245282</v>
      </c>
      <c r="S100" s="777">
        <f t="shared" si="63"/>
        <v>123.14047892505818</v>
      </c>
      <c r="T100" s="791">
        <f t="shared" si="63"/>
        <v>161.48217473317303</v>
      </c>
      <c r="U100" s="791">
        <f t="shared" si="63"/>
        <v>34.026990488510421</v>
      </c>
      <c r="V100" s="791">
        <f t="shared" si="63"/>
        <v>77.910049989667385</v>
      </c>
      <c r="W100" s="791">
        <f t="shared" si="63"/>
        <v>62.507734553602731</v>
      </c>
      <c r="X100" s="791">
        <f t="shared" si="63"/>
        <v>178.61363104324255</v>
      </c>
      <c r="Y100" s="791">
        <f t="shared" si="63"/>
        <v>487.97801871123971</v>
      </c>
      <c r="Z100" s="791">
        <f t="shared" si="59"/>
        <v>173.20312333446697</v>
      </c>
      <c r="AA100" s="791">
        <f t="shared" si="60"/>
        <v>409.01687409866838</v>
      </c>
    </row>
    <row r="101" spans="2:28" ht="25.5" customHeight="1">
      <c r="B101" s="189" t="s">
        <v>25</v>
      </c>
      <c r="C101" s="844">
        <f t="shared" si="56"/>
        <v>3.5015334496300107E-2</v>
      </c>
      <c r="D101" s="269">
        <f t="shared" ref="D101:Y101" si="64">D14/$C14*100</f>
        <v>120.48137349699108</v>
      </c>
      <c r="E101" s="247">
        <f t="shared" si="64"/>
        <v>78.488751356669553</v>
      </c>
      <c r="F101" s="247">
        <f t="shared" si="64"/>
        <v>143.02529363638899</v>
      </c>
      <c r="G101" s="247">
        <f t="shared" si="64"/>
        <v>58.004581509950384</v>
      </c>
      <c r="H101" s="247">
        <f t="shared" si="64"/>
        <v>172.56373969708818</v>
      </c>
      <c r="I101" s="247">
        <f t="shared" si="64"/>
        <v>464.56273355944467</v>
      </c>
      <c r="J101" s="247">
        <f t="shared" si="64"/>
        <v>66.605039285757556</v>
      </c>
      <c r="K101" s="247">
        <f t="shared" si="64"/>
        <v>0</v>
      </c>
      <c r="L101" s="247">
        <f t="shared" si="64"/>
        <v>161.98874280584147</v>
      </c>
      <c r="M101" s="247">
        <f t="shared" si="64"/>
        <v>937.40840674320123</v>
      </c>
      <c r="N101" s="247">
        <f t="shared" si="64"/>
        <v>596.97592541166296</v>
      </c>
      <c r="O101" s="247">
        <f t="shared" si="64"/>
        <v>175.75024793668567</v>
      </c>
      <c r="P101" s="247">
        <f t="shared" si="64"/>
        <v>452.81622391629088</v>
      </c>
      <c r="Q101" s="247">
        <f t="shared" si="64"/>
        <v>772.15331191551741</v>
      </c>
      <c r="R101" s="247">
        <f t="shared" si="64"/>
        <v>786.04069189726169</v>
      </c>
      <c r="S101" s="777">
        <f t="shared" si="64"/>
        <v>1327.7288802873593</v>
      </c>
      <c r="T101" s="791">
        <f t="shared" si="64"/>
        <v>474.28464843100011</v>
      </c>
      <c r="U101" s="791">
        <f t="shared" si="64"/>
        <v>20.008130458606797</v>
      </c>
      <c r="V101" s="791">
        <f t="shared" si="64"/>
        <v>64.136525907879289</v>
      </c>
      <c r="W101" s="791">
        <f t="shared" si="64"/>
        <v>104.47717028047869</v>
      </c>
      <c r="X101" s="791">
        <f t="shared" si="64"/>
        <v>686.48514166458096</v>
      </c>
      <c r="Y101" s="791">
        <f t="shared" si="64"/>
        <v>404.54132429856787</v>
      </c>
      <c r="Z101" s="791">
        <f t="shared" si="59"/>
        <v>-41.07063653007247</v>
      </c>
      <c r="AA101" s="791">
        <f t="shared" si="60"/>
        <v>-305.26973579585649</v>
      </c>
    </row>
    <row r="102" spans="2:28" ht="25.5" customHeight="1">
      <c r="B102" s="189" t="s">
        <v>351</v>
      </c>
      <c r="C102" s="844">
        <f t="shared" si="56"/>
        <v>4.0536290745275344E-2</v>
      </c>
      <c r="D102" s="269">
        <f t="shared" ref="D102:Y102" si="65">D15/$C15*100</f>
        <v>183.44741754822653</v>
      </c>
      <c r="E102" s="247">
        <f t="shared" si="65"/>
        <v>116.86372121966397</v>
      </c>
      <c r="F102" s="247">
        <f t="shared" si="65"/>
        <v>65.712507778469202</v>
      </c>
      <c r="G102" s="247">
        <f t="shared" si="65"/>
        <v>33.976353453640328</v>
      </c>
      <c r="H102" s="247">
        <f t="shared" si="65"/>
        <v>115.74362165525824</v>
      </c>
      <c r="I102" s="247">
        <f t="shared" si="65"/>
        <v>373.11761045426266</v>
      </c>
      <c r="J102" s="247">
        <f t="shared" si="65"/>
        <v>75.295581829495958</v>
      </c>
      <c r="K102" s="247">
        <f t="shared" si="65"/>
        <v>0</v>
      </c>
      <c r="L102" s="247">
        <f t="shared" si="65"/>
        <v>147.10640945861854</v>
      </c>
      <c r="M102" s="247">
        <f t="shared" si="65"/>
        <v>231.86060983198507</v>
      </c>
      <c r="N102" s="247">
        <f t="shared" si="65"/>
        <v>261.85438705662733</v>
      </c>
      <c r="O102" s="247">
        <f t="shared" si="65"/>
        <v>311.76104542626013</v>
      </c>
      <c r="P102" s="247">
        <f t="shared" si="65"/>
        <v>192.65712507778471</v>
      </c>
      <c r="Q102" s="247">
        <f t="shared" si="65"/>
        <v>364.53018046048538</v>
      </c>
      <c r="R102" s="247">
        <f t="shared" si="65"/>
        <v>360.42314872433116</v>
      </c>
      <c r="S102" s="777">
        <f t="shared" si="65"/>
        <v>210.57871810827632</v>
      </c>
      <c r="T102" s="791">
        <f t="shared" si="65"/>
        <v>203.4847542003734</v>
      </c>
      <c r="U102" s="791">
        <f t="shared" si="65"/>
        <v>13.316739265712506</v>
      </c>
      <c r="V102" s="791">
        <f t="shared" si="65"/>
        <v>38.456751711263223</v>
      </c>
      <c r="W102" s="791">
        <f t="shared" si="65"/>
        <v>81.07719314419171</v>
      </c>
      <c r="X102" s="791">
        <f t="shared" si="65"/>
        <v>266.21032980709401</v>
      </c>
      <c r="Y102" s="791">
        <f t="shared" si="65"/>
        <v>235.09645301804608</v>
      </c>
      <c r="Z102" s="791">
        <f t="shared" si="59"/>
        <v>-11.687704534829365</v>
      </c>
      <c r="AA102" s="791">
        <f t="shared" si="60"/>
        <v>-187.76701489472333</v>
      </c>
    </row>
    <row r="103" spans="2:28">
      <c r="B103" s="854" t="s">
        <v>186</v>
      </c>
      <c r="C103" s="868">
        <f>SUM(C104:C107)</f>
        <v>0.25430266344476493</v>
      </c>
      <c r="D103" s="883">
        <f>D16/$C16*100</f>
        <v>77.202541216081812</v>
      </c>
      <c r="E103" s="883">
        <f t="shared" ref="E103:X103" si="66">E16/$C16*100</f>
        <v>91.055359271203258</v>
      </c>
      <c r="F103" s="883">
        <f t="shared" si="66"/>
        <v>181.902062222599</v>
      </c>
      <c r="G103" s="883">
        <f t="shared" si="66"/>
        <v>49.840037290115959</v>
      </c>
      <c r="H103" s="883">
        <f t="shared" si="66"/>
        <v>367.25409211602187</v>
      </c>
      <c r="I103" s="883">
        <f t="shared" si="66"/>
        <v>86.283951911531602</v>
      </c>
      <c r="J103" s="883">
        <f t="shared" si="66"/>
        <v>12.434603331100261</v>
      </c>
      <c r="K103" s="883">
        <f t="shared" si="66"/>
        <v>0</v>
      </c>
      <c r="L103" s="883">
        <f t="shared" si="66"/>
        <v>117.71789643000537</v>
      </c>
      <c r="M103" s="883">
        <f t="shared" si="66"/>
        <v>250.44574750199132</v>
      </c>
      <c r="N103" s="883">
        <f t="shared" si="66"/>
        <v>242.7693366136937</v>
      </c>
      <c r="O103" s="883">
        <f t="shared" si="66"/>
        <v>193.21950705449592</v>
      </c>
      <c r="P103" s="883">
        <f t="shared" si="66"/>
        <v>196.40433959048147</v>
      </c>
      <c r="Q103" s="883">
        <f t="shared" si="66"/>
        <v>230.55295383747324</v>
      </c>
      <c r="R103" s="883">
        <f t="shared" si="66"/>
        <v>280.94455085154044</v>
      </c>
      <c r="S103" s="883">
        <f t="shared" si="66"/>
        <v>327.88117975280591</v>
      </c>
      <c r="T103" s="883">
        <f t="shared" si="66"/>
        <v>220.4330859207742</v>
      </c>
      <c r="U103" s="883">
        <f t="shared" si="66"/>
        <v>3.5866234950008535</v>
      </c>
      <c r="V103" s="883">
        <f t="shared" si="66"/>
        <v>38.49090806071608</v>
      </c>
      <c r="W103" s="883">
        <f t="shared" si="66"/>
        <v>80.37846654099063</v>
      </c>
      <c r="X103" s="883">
        <f t="shared" si="66"/>
        <v>201.28912236756605</v>
      </c>
      <c r="Y103" s="883">
        <f>Y16/$C16*100</f>
        <v>120.41342375149139</v>
      </c>
      <c r="Z103" s="883">
        <f>Y103/X103*100-100</f>
        <v>-40.178871895715638</v>
      </c>
      <c r="AA103" s="883">
        <f>Y103/U103*100-100</f>
        <v>3257.2920023338761</v>
      </c>
      <c r="AB103" s="314"/>
    </row>
    <row r="104" spans="2:28" ht="25.5" customHeight="1">
      <c r="B104" s="189" t="s">
        <v>30</v>
      </c>
      <c r="C104" s="844">
        <f>C73/$C$87</f>
        <v>6.8888309496098518E-2</v>
      </c>
      <c r="D104" s="269">
        <f t="shared" ref="D104:X104" si="67">D17/$C17*100</f>
        <v>147.66943994174812</v>
      </c>
      <c r="E104" s="247">
        <f t="shared" si="67"/>
        <v>92.094510748493036</v>
      </c>
      <c r="F104" s="247">
        <f t="shared" si="67"/>
        <v>114.3556650442674</v>
      </c>
      <c r="G104" s="247">
        <f t="shared" si="67"/>
        <v>45.880384265491401</v>
      </c>
      <c r="H104" s="247">
        <f t="shared" si="67"/>
        <v>98.237416456235209</v>
      </c>
      <c r="I104" s="247">
        <f t="shared" si="67"/>
        <v>142.97149358481801</v>
      </c>
      <c r="J104" s="247">
        <f t="shared" si="67"/>
        <v>18.594460773850493</v>
      </c>
      <c r="K104" s="247">
        <f t="shared" si="67"/>
        <v>0</v>
      </c>
      <c r="L104" s="247">
        <f t="shared" si="67"/>
        <v>93.341011899516971</v>
      </c>
      <c r="M104" s="247">
        <f t="shared" si="67"/>
        <v>582.67930513951796</v>
      </c>
      <c r="N104" s="247">
        <f t="shared" si="67"/>
        <v>449.01160092321533</v>
      </c>
      <c r="O104" s="247">
        <f t="shared" si="67"/>
        <v>131.45814440140393</v>
      </c>
      <c r="P104" s="247">
        <f t="shared" si="67"/>
        <v>179.65460040113888</v>
      </c>
      <c r="Q104" s="247">
        <f t="shared" si="67"/>
        <v>432.9473777911179</v>
      </c>
      <c r="R104" s="247">
        <f t="shared" si="67"/>
        <v>446.74645230870976</v>
      </c>
      <c r="S104" s="777">
        <f t="shared" si="67"/>
        <v>497.7422322183142</v>
      </c>
      <c r="T104" s="791">
        <f t="shared" si="67"/>
        <v>407.83320652270322</v>
      </c>
      <c r="U104" s="791">
        <f t="shared" si="67"/>
        <v>7.4689157906026802</v>
      </c>
      <c r="V104" s="791">
        <f t="shared" si="67"/>
        <v>30.142601659313982</v>
      </c>
      <c r="W104" s="791">
        <f t="shared" si="67"/>
        <v>95.559371486347843</v>
      </c>
      <c r="X104" s="791">
        <f t="shared" si="67"/>
        <v>318.75902582893349</v>
      </c>
      <c r="Y104" s="791">
        <f>Y17/$C17*100</f>
        <v>278.68441659149357</v>
      </c>
      <c r="Z104" s="791">
        <f>Y104/X104*100-100</f>
        <v>-12.572070432586429</v>
      </c>
      <c r="AA104" s="791">
        <f>Y104/U104*100-100</f>
        <v>3631.2566429270996</v>
      </c>
    </row>
    <row r="105" spans="2:28" ht="25.5" customHeight="1">
      <c r="B105" s="189" t="s">
        <v>31</v>
      </c>
      <c r="C105" s="844">
        <f>C74/$C$87</f>
        <v>5.5360085152820822E-2</v>
      </c>
      <c r="D105" s="269">
        <f t="shared" ref="D105:Y105" si="68">D18/$C18*100</f>
        <v>87.42620273834946</v>
      </c>
      <c r="E105" s="247">
        <f t="shared" si="68"/>
        <v>148.82552443160407</v>
      </c>
      <c r="F105" s="247">
        <f t="shared" si="68"/>
        <v>152.59389523929156</v>
      </c>
      <c r="G105" s="247">
        <f t="shared" si="68"/>
        <v>11.15437759075493</v>
      </c>
      <c r="H105" s="247">
        <f t="shared" si="68"/>
        <v>124.30599170958423</v>
      </c>
      <c r="I105" s="247">
        <f t="shared" si="68"/>
        <v>118.22635347318176</v>
      </c>
      <c r="J105" s="247">
        <f t="shared" si="68"/>
        <v>15.927647280492401</v>
      </c>
      <c r="K105" s="247">
        <f t="shared" si="68"/>
        <v>0</v>
      </c>
      <c r="L105" s="247">
        <f t="shared" si="68"/>
        <v>98.379600552694384</v>
      </c>
      <c r="M105" s="247">
        <f t="shared" si="68"/>
        <v>200.72855168948624</v>
      </c>
      <c r="N105" s="247">
        <f t="shared" si="68"/>
        <v>246.09973621404345</v>
      </c>
      <c r="O105" s="247">
        <f t="shared" si="68"/>
        <v>101.14307247833187</v>
      </c>
      <c r="P105" s="247">
        <f t="shared" si="68"/>
        <v>122.24594900138175</v>
      </c>
      <c r="Q105" s="247">
        <f t="shared" si="68"/>
        <v>169.27521668132144</v>
      </c>
      <c r="R105" s="247">
        <f t="shared" si="68"/>
        <v>166.36100992337643</v>
      </c>
      <c r="S105" s="777">
        <f t="shared" si="68"/>
        <v>201.03002135410128</v>
      </c>
      <c r="T105" s="791">
        <f t="shared" si="68"/>
        <v>141.43951764853665</v>
      </c>
      <c r="U105" s="791">
        <f t="shared" si="68"/>
        <v>1.3063685466649924</v>
      </c>
      <c r="V105" s="791">
        <f t="shared" si="68"/>
        <v>29.393292299962308</v>
      </c>
      <c r="W105" s="791">
        <f t="shared" si="68"/>
        <v>74.571328436002062</v>
      </c>
      <c r="X105" s="791">
        <f t="shared" si="68"/>
        <v>82.703177992714501</v>
      </c>
      <c r="Y105" s="791">
        <f t="shared" si="68"/>
        <v>96.269312900389394</v>
      </c>
      <c r="Z105" s="791">
        <f t="shared" ref="Z105:Z107" si="69">Y105/X105*100-100</f>
        <v>16.403402187120264</v>
      </c>
      <c r="AA105" s="791">
        <f t="shared" ref="AA105:AA107" si="70">Y105/U105*100-100</f>
        <v>7269.2307692307668</v>
      </c>
    </row>
    <row r="106" spans="2:28" ht="25.5" customHeight="1">
      <c r="B106" s="189" t="s">
        <v>32</v>
      </c>
      <c r="C106" s="844">
        <f>C75/$C$87</f>
        <v>8.4854463400145699E-2</v>
      </c>
      <c r="D106" s="269">
        <f t="shared" ref="D106:Y106" si="71">D19/$C19*100</f>
        <v>10.443230115361262</v>
      </c>
      <c r="E106" s="247">
        <f t="shared" si="71"/>
        <v>33.272616879174258</v>
      </c>
      <c r="F106" s="247">
        <f t="shared" si="71"/>
        <v>265.45233758348513</v>
      </c>
      <c r="G106" s="247">
        <f t="shared" si="71"/>
        <v>90.831815421979357</v>
      </c>
      <c r="H106" s="247">
        <f t="shared" si="71"/>
        <v>1096.782027929569</v>
      </c>
      <c r="I106" s="247">
        <f t="shared" si="71"/>
        <v>0</v>
      </c>
      <c r="J106" s="247">
        <f t="shared" si="71"/>
        <v>0</v>
      </c>
      <c r="K106" s="247">
        <f t="shared" si="71"/>
        <v>0</v>
      </c>
      <c r="L106" s="247">
        <f t="shared" si="71"/>
        <v>140.86217364905892</v>
      </c>
      <c r="M106" s="247">
        <f t="shared" si="71"/>
        <v>34.001214329083183</v>
      </c>
      <c r="N106" s="247">
        <f t="shared" si="71"/>
        <v>10.686095931997572</v>
      </c>
      <c r="O106" s="247">
        <f t="shared" si="71"/>
        <v>390.28536733454769</v>
      </c>
      <c r="P106" s="247">
        <f t="shared" si="71"/>
        <v>347.78384942319371</v>
      </c>
      <c r="Q106" s="247">
        <f t="shared" si="71"/>
        <v>153.00546448087431</v>
      </c>
      <c r="R106" s="247">
        <f t="shared" si="71"/>
        <v>140.13357619914996</v>
      </c>
      <c r="S106" s="777">
        <f t="shared" si="71"/>
        <v>408.25743776563445</v>
      </c>
      <c r="T106" s="791">
        <f t="shared" si="71"/>
        <v>179.30346463700366</v>
      </c>
      <c r="U106" s="791">
        <f t="shared" si="71"/>
        <v>0</v>
      </c>
      <c r="V106" s="791">
        <f t="shared" si="71"/>
        <v>49.544626593806925</v>
      </c>
      <c r="W106" s="791">
        <f t="shared" si="71"/>
        <v>24.131417391890984</v>
      </c>
      <c r="X106" s="791">
        <f t="shared" si="71"/>
        <v>293.8676381299332</v>
      </c>
      <c r="Y106" s="791">
        <f t="shared" si="71"/>
        <v>0</v>
      </c>
      <c r="Z106" s="791">
        <f t="shared" si="69"/>
        <v>-100</v>
      </c>
      <c r="AA106" s="791">
        <v>0</v>
      </c>
    </row>
    <row r="107" spans="2:28" ht="25.5" customHeight="1">
      <c r="B107" s="248" t="s">
        <v>352</v>
      </c>
      <c r="C107" s="844">
        <f>C76/$C$87</f>
        <v>4.5199805395699899E-2</v>
      </c>
      <c r="D107" s="269">
        <f t="shared" ref="D107:Y107" si="72">D20/$C20*100</f>
        <v>56.097560975609753</v>
      </c>
      <c r="E107" s="247">
        <f t="shared" si="72"/>
        <v>67.234238380119649</v>
      </c>
      <c r="F107" s="247">
        <f t="shared" si="72"/>
        <v>209.61803957662221</v>
      </c>
      <c r="G107" s="247">
        <f t="shared" si="72"/>
        <v>67.050161067648418</v>
      </c>
      <c r="H107" s="247">
        <f t="shared" si="72"/>
        <v>135.02070869765302</v>
      </c>
      <c r="I107" s="247">
        <f t="shared" si="72"/>
        <v>72.940635066728021</v>
      </c>
      <c r="J107" s="247">
        <f t="shared" si="72"/>
        <v>15.370455591348364</v>
      </c>
      <c r="K107" s="247">
        <f t="shared" si="72"/>
        <v>0</v>
      </c>
      <c r="L107" s="247">
        <f t="shared" si="72"/>
        <v>153.93465255407273</v>
      </c>
      <c r="M107" s="247">
        <f t="shared" si="72"/>
        <v>188.31109065807638</v>
      </c>
      <c r="N107" s="247">
        <f t="shared" si="72"/>
        <v>282.88080994017491</v>
      </c>
      <c r="O107" s="247">
        <f t="shared" si="72"/>
        <v>163.6907501150483</v>
      </c>
      <c r="P107" s="247">
        <f t="shared" si="72"/>
        <v>136.9075011504832</v>
      </c>
      <c r="Q107" s="247">
        <f t="shared" si="72"/>
        <v>170.96180395766223</v>
      </c>
      <c r="R107" s="247">
        <f t="shared" si="72"/>
        <v>462.08007363092503</v>
      </c>
      <c r="S107" s="777">
        <f t="shared" si="72"/>
        <v>205.73894337745239</v>
      </c>
      <c r="T107" s="791">
        <f t="shared" si="72"/>
        <v>161.69780774569693</v>
      </c>
      <c r="U107" s="791">
        <f t="shared" si="72"/>
        <v>7.508052228282641</v>
      </c>
      <c r="V107" s="791">
        <f t="shared" si="72"/>
        <v>50.908256572257912</v>
      </c>
      <c r="W107" s="791">
        <f t="shared" si="72"/>
        <v>151.10866486580673</v>
      </c>
      <c r="X107" s="791">
        <f t="shared" si="72"/>
        <v>119.8999316211722</v>
      </c>
      <c r="Y107" s="791">
        <f t="shared" si="72"/>
        <v>116.69527518227108</v>
      </c>
      <c r="Z107" s="791">
        <f t="shared" si="69"/>
        <v>-2.6727758686521526</v>
      </c>
      <c r="AA107" s="791">
        <f t="shared" si="70"/>
        <v>1454.2682926829273</v>
      </c>
    </row>
    <row r="108" spans="2:28">
      <c r="B108" s="854" t="s">
        <v>446</v>
      </c>
      <c r="C108" s="868">
        <f>SUM(C109:C117)</f>
        <v>0.38203995839123539</v>
      </c>
      <c r="D108" s="883">
        <f>D21/$C21*100</f>
        <v>107.57046176286069</v>
      </c>
      <c r="E108" s="883">
        <f t="shared" ref="E108:X108" si="73">E21/$C21*100</f>
        <v>106.33766995937867</v>
      </c>
      <c r="F108" s="883">
        <f t="shared" si="73"/>
        <v>171.73197951088349</v>
      </c>
      <c r="G108" s="883">
        <f t="shared" si="73"/>
        <v>14.359888766877191</v>
      </c>
      <c r="H108" s="883">
        <f t="shared" si="73"/>
        <v>301.13762219546567</v>
      </c>
      <c r="I108" s="883">
        <f t="shared" si="73"/>
        <v>89.667326331630179</v>
      </c>
      <c r="J108" s="883">
        <f t="shared" si="73"/>
        <v>44.404898888406002</v>
      </c>
      <c r="K108" s="883">
        <f t="shared" si="73"/>
        <v>0</v>
      </c>
      <c r="L108" s="883">
        <f t="shared" si="73"/>
        <v>118.07261411244198</v>
      </c>
      <c r="M108" s="883">
        <f t="shared" si="73"/>
        <v>91.251676115596382</v>
      </c>
      <c r="N108" s="883">
        <f t="shared" si="73"/>
        <v>279.86673076206097</v>
      </c>
      <c r="O108" s="883">
        <f t="shared" si="73"/>
        <v>248.30289014836225</v>
      </c>
      <c r="P108" s="883">
        <f t="shared" si="73"/>
        <v>64.916166204176179</v>
      </c>
      <c r="Q108" s="883">
        <f t="shared" si="73"/>
        <v>104.85450767159507</v>
      </c>
      <c r="R108" s="883">
        <f t="shared" si="73"/>
        <v>355.0055845552526</v>
      </c>
      <c r="S108" s="883">
        <f t="shared" si="73"/>
        <v>257.94017016269288</v>
      </c>
      <c r="T108" s="883">
        <f t="shared" si="73"/>
        <v>48.645470293440248</v>
      </c>
      <c r="U108" s="883">
        <f t="shared" si="73"/>
        <v>24.536178273214922</v>
      </c>
      <c r="V108" s="883">
        <f t="shared" si="73"/>
        <v>133.44553735537886</v>
      </c>
      <c r="W108" s="883">
        <f t="shared" si="73"/>
        <v>166.35776822376874</v>
      </c>
      <c r="X108" s="883">
        <f t="shared" si="73"/>
        <v>26.29571954952598</v>
      </c>
      <c r="Y108" s="883">
        <f>Y21/$C21*100</f>
        <v>76.224829301539287</v>
      </c>
      <c r="Z108" s="883">
        <f>Y108/X108*100-100</f>
        <v>189.87542690351427</v>
      </c>
      <c r="AA108" s="883">
        <f>Y108/U108*100-100</f>
        <v>210.66300730603433</v>
      </c>
      <c r="AB108" s="314"/>
    </row>
    <row r="109" spans="2:28" ht="25.5" customHeight="1">
      <c r="B109" s="189" t="s">
        <v>33</v>
      </c>
      <c r="C109" s="844">
        <f t="shared" ref="C109:C117" si="74">C78/$C$87</f>
        <v>4.9478949674360347E-2</v>
      </c>
      <c r="D109" s="269">
        <f t="shared" ref="D109:X109" si="75">D22/$C22*100</f>
        <v>98.791839968310541</v>
      </c>
      <c r="E109" s="247">
        <f t="shared" si="75"/>
        <v>11.883541295306003</v>
      </c>
      <c r="F109" s="247">
        <f t="shared" si="75"/>
        <v>267.14200831847893</v>
      </c>
      <c r="G109" s="247">
        <f t="shared" si="75"/>
        <v>22.182610417904534</v>
      </c>
      <c r="H109" s="247">
        <f t="shared" si="75"/>
        <v>147.91047732224206</v>
      </c>
      <c r="I109" s="247">
        <f t="shared" si="75"/>
        <v>36.125965537730245</v>
      </c>
      <c r="J109" s="247">
        <f t="shared" si="75"/>
        <v>12.358882947118243</v>
      </c>
      <c r="K109" s="247">
        <f t="shared" si="75"/>
        <v>0</v>
      </c>
      <c r="L109" s="247">
        <f t="shared" si="75"/>
        <v>21.390374331550802</v>
      </c>
      <c r="M109" s="247">
        <f t="shared" si="75"/>
        <v>60.368389780154494</v>
      </c>
      <c r="N109" s="247">
        <f t="shared" si="75"/>
        <v>584.11566646860774</v>
      </c>
      <c r="O109" s="247">
        <f t="shared" si="75"/>
        <v>408.31847890671423</v>
      </c>
      <c r="P109" s="247">
        <f t="shared" si="75"/>
        <v>46.821152703505653</v>
      </c>
      <c r="Q109" s="247">
        <f t="shared" si="75"/>
        <v>68.84531590413944</v>
      </c>
      <c r="R109" s="247">
        <f t="shared" si="75"/>
        <v>748.02931273519505</v>
      </c>
      <c r="S109" s="777">
        <f t="shared" si="75"/>
        <v>643.92949098831457</v>
      </c>
      <c r="T109" s="791">
        <f t="shared" si="75"/>
        <v>19.409784115666469</v>
      </c>
      <c r="U109" s="791">
        <f t="shared" si="75"/>
        <v>8.6353733412556952</v>
      </c>
      <c r="V109" s="791">
        <f t="shared" si="75"/>
        <v>186.80926916221034</v>
      </c>
      <c r="W109" s="791">
        <f t="shared" si="75"/>
        <v>205.22350104775668</v>
      </c>
      <c r="X109" s="791">
        <f t="shared" si="75"/>
        <v>4.6741929094870276</v>
      </c>
      <c r="Y109" s="791">
        <f>Y22/$C22*100</f>
        <v>6.3152533740769039</v>
      </c>
      <c r="Z109" s="791">
        <f>Y109/X109*100-100</f>
        <v>35.108958837772377</v>
      </c>
      <c r="AA109" s="791">
        <f>Y109/U109*100-100</f>
        <v>-26.867627785058971</v>
      </c>
    </row>
    <row r="110" spans="2:28" ht="25.5" customHeight="1">
      <c r="B110" s="189" t="s">
        <v>34</v>
      </c>
      <c r="C110" s="844">
        <f t="shared" si="74"/>
        <v>1.6503734843577391E-2</v>
      </c>
      <c r="D110" s="269">
        <f t="shared" ref="D110:Y110" si="76">D23/$C23*100</f>
        <v>67.19787516600266</v>
      </c>
      <c r="E110" s="247">
        <f t="shared" si="76"/>
        <v>0</v>
      </c>
      <c r="F110" s="247">
        <f t="shared" si="76"/>
        <v>318.99070385126163</v>
      </c>
      <c r="G110" s="247">
        <f t="shared" si="76"/>
        <v>13.811420982735726</v>
      </c>
      <c r="H110" s="247">
        <f t="shared" si="76"/>
        <v>1475.6972111553787</v>
      </c>
      <c r="I110" s="247">
        <f t="shared" si="76"/>
        <v>0</v>
      </c>
      <c r="J110" s="247">
        <f t="shared" si="76"/>
        <v>0</v>
      </c>
      <c r="K110" s="247">
        <f t="shared" si="76"/>
        <v>0</v>
      </c>
      <c r="L110" s="247">
        <f t="shared" si="76"/>
        <v>33.997343957503318</v>
      </c>
      <c r="M110" s="247">
        <f t="shared" si="76"/>
        <v>0</v>
      </c>
      <c r="N110" s="247">
        <f t="shared" si="76"/>
        <v>161.48738379814077</v>
      </c>
      <c r="O110" s="247">
        <f t="shared" si="76"/>
        <v>395.21912350597614</v>
      </c>
      <c r="P110" s="247">
        <f t="shared" si="76"/>
        <v>107.56972111553785</v>
      </c>
      <c r="Q110" s="247">
        <f t="shared" si="76"/>
        <v>0</v>
      </c>
      <c r="R110" s="247">
        <f t="shared" si="76"/>
        <v>137.84860557768926</v>
      </c>
      <c r="S110" s="777">
        <f t="shared" si="76"/>
        <v>237.71580345285525</v>
      </c>
      <c r="T110" s="791">
        <f t="shared" si="76"/>
        <v>3.9840637450199208</v>
      </c>
      <c r="U110" s="791">
        <f t="shared" si="76"/>
        <v>7.7025232403718462</v>
      </c>
      <c r="V110" s="791">
        <f t="shared" si="76"/>
        <v>159.36254980079681</v>
      </c>
      <c r="W110" s="791">
        <f t="shared" si="76"/>
        <v>140.15686226288264</v>
      </c>
      <c r="X110" s="791">
        <f t="shared" si="76"/>
        <v>2.3904382470119523</v>
      </c>
      <c r="Y110" s="791">
        <f t="shared" si="76"/>
        <v>0</v>
      </c>
      <c r="Z110" s="791">
        <f t="shared" ref="Z110:Z117" si="77">Y110/X110*100-100</f>
        <v>-100</v>
      </c>
      <c r="AA110" s="791">
        <f t="shared" ref="AA110:AA117" si="78">Y110/U110*100-100</f>
        <v>-100</v>
      </c>
    </row>
    <row r="111" spans="2:28" ht="25.5" customHeight="1">
      <c r="B111" s="189" t="s">
        <v>348</v>
      </c>
      <c r="C111" s="844">
        <f t="shared" si="74"/>
        <v>1.7678349196450893E-2</v>
      </c>
      <c r="D111" s="269">
        <f t="shared" ref="D111:Y111" si="79">D24/$C24*100</f>
        <v>8.8317944600562033</v>
      </c>
      <c r="E111" s="247">
        <f t="shared" si="79"/>
        <v>0</v>
      </c>
      <c r="F111" s="247">
        <f t="shared" si="79"/>
        <v>378.96427137695707</v>
      </c>
      <c r="G111" s="247">
        <f t="shared" si="79"/>
        <v>12.203934162986755</v>
      </c>
      <c r="H111" s="247">
        <f t="shared" si="79"/>
        <v>119.95182657567243</v>
      </c>
      <c r="I111" s="247">
        <f t="shared" si="79"/>
        <v>10.276997189883581</v>
      </c>
      <c r="J111" s="247">
        <f t="shared" si="79"/>
        <v>144.52027298273788</v>
      </c>
      <c r="K111" s="247">
        <f t="shared" si="79"/>
        <v>0</v>
      </c>
      <c r="L111" s="247">
        <f t="shared" si="79"/>
        <v>115.93737454837414</v>
      </c>
      <c r="M111" s="247">
        <f t="shared" si="79"/>
        <v>0.96346848655158601</v>
      </c>
      <c r="N111" s="247">
        <f t="shared" si="79"/>
        <v>346.52749899638707</v>
      </c>
      <c r="O111" s="247">
        <f t="shared" si="79"/>
        <v>331.59373745483748</v>
      </c>
      <c r="P111" s="247">
        <f t="shared" si="79"/>
        <v>33.881975110397434</v>
      </c>
      <c r="Q111" s="247">
        <f t="shared" si="79"/>
        <v>3.6932958651144121</v>
      </c>
      <c r="R111" s="247">
        <f t="shared" si="79"/>
        <v>38.859895624247294</v>
      </c>
      <c r="S111" s="777">
        <f t="shared" si="79"/>
        <v>99.718988358089121</v>
      </c>
      <c r="T111" s="791">
        <f t="shared" si="79"/>
        <v>7.5471698113207548</v>
      </c>
      <c r="U111" s="791">
        <f t="shared" si="79"/>
        <v>0</v>
      </c>
      <c r="V111" s="791">
        <f t="shared" si="79"/>
        <v>44.480128462464883</v>
      </c>
      <c r="W111" s="791">
        <f t="shared" si="79"/>
        <v>151.7962194765353</v>
      </c>
      <c r="X111" s="791">
        <f t="shared" si="79"/>
        <v>4.0144520272982742</v>
      </c>
      <c r="Y111" s="791">
        <f t="shared" si="79"/>
        <v>2.7527671044331021</v>
      </c>
      <c r="Z111" s="791">
        <f t="shared" si="77"/>
        <v>-31.428571428571431</v>
      </c>
      <c r="AA111" s="791">
        <v>0</v>
      </c>
    </row>
    <row r="112" spans="2:28" ht="25.5" customHeight="1">
      <c r="B112" s="189" t="s">
        <v>37</v>
      </c>
      <c r="C112" s="844">
        <f t="shared" si="74"/>
        <v>8.3182586678206771E-2</v>
      </c>
      <c r="D112" s="269">
        <f t="shared" ref="D112:Y112" si="80">D25/$C25*100</f>
        <v>101.58286778398511</v>
      </c>
      <c r="E112" s="247">
        <f t="shared" si="80"/>
        <v>209.59031657355683</v>
      </c>
      <c r="F112" s="247">
        <f t="shared" si="80"/>
        <v>87.942271880819376</v>
      </c>
      <c r="G112" s="247">
        <f t="shared" si="80"/>
        <v>0.88454376163873383</v>
      </c>
      <c r="H112" s="247">
        <f t="shared" si="80"/>
        <v>451.11731843575427</v>
      </c>
      <c r="I112" s="247">
        <f t="shared" si="80"/>
        <v>82.914338919925527</v>
      </c>
      <c r="J112" s="247">
        <f t="shared" si="80"/>
        <v>35.986964618249537</v>
      </c>
      <c r="K112" s="247">
        <f t="shared" si="80"/>
        <v>0</v>
      </c>
      <c r="L112" s="247">
        <f t="shared" si="80"/>
        <v>142.78398510242084</v>
      </c>
      <c r="M112" s="247">
        <f t="shared" si="80"/>
        <v>79.608938547486048</v>
      </c>
      <c r="N112" s="247">
        <f t="shared" si="80"/>
        <v>114.01303538175047</v>
      </c>
      <c r="O112" s="247">
        <f t="shared" si="80"/>
        <v>57.588454376163881</v>
      </c>
      <c r="P112" s="247">
        <f t="shared" si="80"/>
        <v>50.884543761638746</v>
      </c>
      <c r="Q112" s="247">
        <f t="shared" si="80"/>
        <v>101.1173184357542</v>
      </c>
      <c r="R112" s="247">
        <f t="shared" si="80"/>
        <v>157.8212290502793</v>
      </c>
      <c r="S112" s="777">
        <f t="shared" si="80"/>
        <v>39.013035381750463</v>
      </c>
      <c r="T112" s="791">
        <f t="shared" si="80"/>
        <v>6.5642458100558656</v>
      </c>
      <c r="U112" s="791">
        <f t="shared" si="80"/>
        <v>32.495344506517696</v>
      </c>
      <c r="V112" s="791">
        <f t="shared" si="80"/>
        <v>63.687150837988824</v>
      </c>
      <c r="W112" s="791">
        <f t="shared" si="80"/>
        <v>51.65463997517071</v>
      </c>
      <c r="X112" s="791">
        <f t="shared" si="80"/>
        <v>6.7039106145251397</v>
      </c>
      <c r="Y112" s="791">
        <f t="shared" si="80"/>
        <v>55.865921787709496</v>
      </c>
      <c r="Z112" s="791">
        <f t="shared" si="77"/>
        <v>733.33333333333337</v>
      </c>
      <c r="AA112" s="791">
        <f t="shared" si="78"/>
        <v>71.91977077363893</v>
      </c>
    </row>
    <row r="113" spans="2:29" ht="25.5" customHeight="1">
      <c r="B113" s="189" t="s">
        <v>349</v>
      </c>
      <c r="C113" s="844">
        <f t="shared" si="74"/>
        <v>7.2444407411090844E-2</v>
      </c>
      <c r="D113" s="269">
        <f t="shared" ref="D113:Y113" si="81">D26/$C26*100</f>
        <v>171.638353008926</v>
      </c>
      <c r="E113" s="247">
        <f t="shared" si="81"/>
        <v>128.50561474229772</v>
      </c>
      <c r="F113" s="247">
        <f t="shared" si="81"/>
        <v>91.563489778289693</v>
      </c>
      <c r="G113" s="247">
        <f t="shared" si="81"/>
        <v>8.2925424704866106</v>
      </c>
      <c r="H113" s="247">
        <f t="shared" si="81"/>
        <v>271.81111431039449</v>
      </c>
      <c r="I113" s="247">
        <f t="shared" si="81"/>
        <v>176.15894039735102</v>
      </c>
      <c r="J113" s="247">
        <f t="shared" si="81"/>
        <v>38.180247624532107</v>
      </c>
      <c r="K113" s="247">
        <f t="shared" si="81"/>
        <v>0</v>
      </c>
      <c r="L113" s="247">
        <f t="shared" si="81"/>
        <v>202.47624532104805</v>
      </c>
      <c r="M113" s="247">
        <f t="shared" si="81"/>
        <v>107.19838756118627</v>
      </c>
      <c r="N113" s="247">
        <f t="shared" si="81"/>
        <v>87.129283040598906</v>
      </c>
      <c r="O113" s="247">
        <f t="shared" si="81"/>
        <v>100.54707745465016</v>
      </c>
      <c r="P113" s="247">
        <f t="shared" si="81"/>
        <v>45.896919090123816</v>
      </c>
      <c r="Q113" s="247">
        <f t="shared" si="81"/>
        <v>139.04405413187447</v>
      </c>
      <c r="R113" s="247">
        <f t="shared" si="81"/>
        <v>287.47480564353589</v>
      </c>
      <c r="S113" s="777">
        <f t="shared" si="81"/>
        <v>163.89288799308957</v>
      </c>
      <c r="T113" s="791">
        <f t="shared" si="81"/>
        <v>93.521451194932354</v>
      </c>
      <c r="U113" s="791">
        <f t="shared" si="81"/>
        <v>35.934350705441986</v>
      </c>
      <c r="V113" s="791">
        <f t="shared" si="81"/>
        <v>160.95594586812558</v>
      </c>
      <c r="W113" s="791">
        <f t="shared" si="81"/>
        <v>199.87664985265519</v>
      </c>
      <c r="X113" s="791">
        <f t="shared" si="81"/>
        <v>46.15606104232652</v>
      </c>
      <c r="Y113" s="791">
        <f t="shared" si="81"/>
        <v>198.74953724651391</v>
      </c>
      <c r="Z113" s="791">
        <f t="shared" si="77"/>
        <v>330.60333303627124</v>
      </c>
      <c r="AA113" s="791">
        <f t="shared" si="78"/>
        <v>453.09065934065927</v>
      </c>
    </row>
    <row r="114" spans="2:29" ht="25.5" customHeight="1">
      <c r="B114" s="189" t="s">
        <v>39</v>
      </c>
      <c r="C114" s="844">
        <f t="shared" si="74"/>
        <v>7.3890500138427103E-3</v>
      </c>
      <c r="D114" s="269">
        <f t="shared" ref="D114:Y114" si="82">D27/$C27*100</f>
        <v>184.69387755102039</v>
      </c>
      <c r="E114" s="247">
        <f t="shared" si="82"/>
        <v>126.53061224489794</v>
      </c>
      <c r="F114" s="247">
        <f t="shared" si="82"/>
        <v>83.673469387755105</v>
      </c>
      <c r="G114" s="247">
        <f t="shared" si="82"/>
        <v>5.1020408163265305</v>
      </c>
      <c r="H114" s="247">
        <f t="shared" si="82"/>
        <v>164.28571428571428</v>
      </c>
      <c r="I114" s="247">
        <f t="shared" si="82"/>
        <v>179.59183673469386</v>
      </c>
      <c r="J114" s="247">
        <f t="shared" si="82"/>
        <v>395.91836734693874</v>
      </c>
      <c r="K114" s="247">
        <f t="shared" si="82"/>
        <v>0</v>
      </c>
      <c r="L114" s="247">
        <f t="shared" si="82"/>
        <v>217.34693877551021</v>
      </c>
      <c r="M114" s="247">
        <f t="shared" si="82"/>
        <v>753.06122448979579</v>
      </c>
      <c r="N114" s="247">
        <f t="shared" si="82"/>
        <v>1630.612244897959</v>
      </c>
      <c r="O114" s="247">
        <f t="shared" si="82"/>
        <v>1012.2448979591835</v>
      </c>
      <c r="P114" s="247">
        <f t="shared" si="82"/>
        <v>248.9795918367347</v>
      </c>
      <c r="Q114" s="247">
        <f t="shared" si="82"/>
        <v>504.08163265306121</v>
      </c>
      <c r="R114" s="247">
        <f t="shared" si="82"/>
        <v>1518.3673469387757</v>
      </c>
      <c r="S114" s="777">
        <f t="shared" si="82"/>
        <v>728.57142857142844</v>
      </c>
      <c r="T114" s="791">
        <f t="shared" si="82"/>
        <v>224.5821697678534</v>
      </c>
      <c r="U114" s="791">
        <f t="shared" si="82"/>
        <v>13.265306122448978</v>
      </c>
      <c r="V114" s="791">
        <f t="shared" si="82"/>
        <v>537.75510204081627</v>
      </c>
      <c r="W114" s="791">
        <f t="shared" si="82"/>
        <v>742.37843285462327</v>
      </c>
      <c r="X114" s="791">
        <f t="shared" si="82"/>
        <v>219.38775510204084</v>
      </c>
      <c r="Y114" s="791">
        <f t="shared" si="82"/>
        <v>314.86880466472303</v>
      </c>
      <c r="Z114" s="791">
        <f t="shared" si="77"/>
        <v>43.521594684385377</v>
      </c>
      <c r="AA114" s="791">
        <f t="shared" si="78"/>
        <v>2273.6263736263741</v>
      </c>
    </row>
    <row r="115" spans="2:29" ht="25.5" customHeight="1">
      <c r="B115" s="189" t="s">
        <v>40</v>
      </c>
      <c r="C115" s="844">
        <f t="shared" si="74"/>
        <v>4.4721358359518008E-2</v>
      </c>
      <c r="D115" s="269">
        <f t="shared" ref="D115:Y115" si="83">D28/$C28*100</f>
        <v>108.9125102207686</v>
      </c>
      <c r="E115" s="247">
        <f t="shared" si="83"/>
        <v>101.96238757154539</v>
      </c>
      <c r="F115" s="247">
        <f t="shared" si="83"/>
        <v>136.38593622240393</v>
      </c>
      <c r="G115" s="247">
        <f t="shared" si="83"/>
        <v>52.739165985282085</v>
      </c>
      <c r="H115" s="247">
        <f t="shared" si="83"/>
        <v>154.86508585445625</v>
      </c>
      <c r="I115" s="247">
        <f t="shared" si="83"/>
        <v>175.63368765331151</v>
      </c>
      <c r="J115" s="247">
        <f t="shared" si="83"/>
        <v>17.170891251022077</v>
      </c>
      <c r="K115" s="247">
        <f t="shared" si="83"/>
        <v>0</v>
      </c>
      <c r="L115" s="247">
        <f t="shared" si="83"/>
        <v>108.83074407195419</v>
      </c>
      <c r="M115" s="247">
        <f t="shared" si="83"/>
        <v>144.56255110384299</v>
      </c>
      <c r="N115" s="247">
        <f t="shared" si="83"/>
        <v>90.596892886345046</v>
      </c>
      <c r="O115" s="247">
        <f t="shared" si="83"/>
        <v>94.43990188062142</v>
      </c>
      <c r="P115" s="247">
        <f t="shared" si="83"/>
        <v>116.84382665576453</v>
      </c>
      <c r="Q115" s="247">
        <f t="shared" si="83"/>
        <v>182.0932134096484</v>
      </c>
      <c r="R115" s="247">
        <f t="shared" si="83"/>
        <v>93.376941946034322</v>
      </c>
      <c r="S115" s="777">
        <f t="shared" si="83"/>
        <v>93.049877350776782</v>
      </c>
      <c r="T115" s="791">
        <f t="shared" si="83"/>
        <v>152.57563368765329</v>
      </c>
      <c r="U115" s="791">
        <f t="shared" si="83"/>
        <v>43.09076042518398</v>
      </c>
      <c r="V115" s="791">
        <f t="shared" si="83"/>
        <v>48.569092395748157</v>
      </c>
      <c r="W115" s="791">
        <f t="shared" si="83"/>
        <v>83.110369159020024</v>
      </c>
      <c r="X115" s="791">
        <f t="shared" si="83"/>
        <v>86.263286999182327</v>
      </c>
      <c r="Y115" s="791">
        <f t="shared" si="83"/>
        <v>88.657867071603789</v>
      </c>
      <c r="Z115" s="791">
        <f t="shared" si="77"/>
        <v>2.775897088693327</v>
      </c>
      <c r="AA115" s="791">
        <f t="shared" si="78"/>
        <v>105.74681485497425</v>
      </c>
    </row>
    <row r="116" spans="2:29" ht="25.5" customHeight="1">
      <c r="B116" s="189" t="s">
        <v>41</v>
      </c>
      <c r="C116" s="844">
        <f t="shared" si="74"/>
        <v>2.5613043863916763E-2</v>
      </c>
      <c r="D116" s="269">
        <f t="shared" ref="D116:Y116" si="84">D29/$C29*100</f>
        <v>192.60847452590878</v>
      </c>
      <c r="E116" s="247">
        <f t="shared" si="84"/>
        <v>49.571015045569297</v>
      </c>
      <c r="F116" s="247">
        <f t="shared" si="84"/>
        <v>151.7685955096166</v>
      </c>
      <c r="G116" s="247">
        <f t="shared" si="84"/>
        <v>6.0519149189053989</v>
      </c>
      <c r="H116" s="247">
        <f t="shared" si="84"/>
        <v>103.66841563722026</v>
      </c>
      <c r="I116" s="247">
        <f t="shared" si="84"/>
        <v>73.665796673017141</v>
      </c>
      <c r="J116" s="247">
        <f t="shared" si="84"/>
        <v>98.842611307706207</v>
      </c>
      <c r="K116" s="247">
        <f t="shared" si="84"/>
        <v>0</v>
      </c>
      <c r="L116" s="247">
        <f t="shared" si="84"/>
        <v>68.425967962950295</v>
      </c>
      <c r="M116" s="247">
        <f t="shared" si="84"/>
        <v>75.131898362076313</v>
      </c>
      <c r="N116" s="247">
        <f t="shared" si="84"/>
        <v>582.75609012830182</v>
      </c>
      <c r="O116" s="247">
        <f t="shared" si="84"/>
        <v>563.32900755077105</v>
      </c>
      <c r="P116" s="247">
        <f t="shared" si="84"/>
        <v>22.037858198636346</v>
      </c>
      <c r="Q116" s="247">
        <f t="shared" si="84"/>
        <v>78.87366572757108</v>
      </c>
      <c r="R116" s="247">
        <f t="shared" si="84"/>
        <v>634.74536274036268</v>
      </c>
      <c r="S116" s="777">
        <f t="shared" si="84"/>
        <v>483.98810893509062</v>
      </c>
      <c r="T116" s="791">
        <f t="shared" si="84"/>
        <v>7.7629830485987181</v>
      </c>
      <c r="U116" s="791">
        <f t="shared" si="84"/>
        <v>54.268704345200227</v>
      </c>
      <c r="V116" s="791">
        <f t="shared" si="84"/>
        <v>279.51831789250093</v>
      </c>
      <c r="W116" s="791">
        <f t="shared" si="84"/>
        <v>406.43870710296557</v>
      </c>
      <c r="X116" s="791">
        <f t="shared" si="84"/>
        <v>2.4497335082994915</v>
      </c>
      <c r="Y116" s="791">
        <f t="shared" si="84"/>
        <v>45.560115297603879</v>
      </c>
      <c r="Z116" s="791">
        <f t="shared" si="77"/>
        <v>1759.7988370265593</v>
      </c>
      <c r="AA116" s="791">
        <f t="shared" si="78"/>
        <v>-16.047165954435712</v>
      </c>
    </row>
    <row r="117" spans="2:29" ht="25.5" customHeight="1">
      <c r="B117" s="189" t="s">
        <v>350</v>
      </c>
      <c r="C117" s="844">
        <f t="shared" si="74"/>
        <v>6.5028478350271618E-2</v>
      </c>
      <c r="D117" s="269">
        <f t="shared" ref="D117:Y117" si="85">D30/$C30*100</f>
        <v>38.595733643069337</v>
      </c>
      <c r="E117" s="247">
        <f t="shared" si="85"/>
        <v>14.60063735146567</v>
      </c>
      <c r="F117" s="247">
        <f t="shared" si="85"/>
        <v>325.3388843558082</v>
      </c>
      <c r="G117" s="247">
        <f t="shared" si="85"/>
        <v>21.464744649656826</v>
      </c>
      <c r="H117" s="247">
        <f t="shared" si="85"/>
        <v>137.76792092680711</v>
      </c>
      <c r="I117" s="247">
        <f t="shared" si="85"/>
        <v>6.2025298300675535</v>
      </c>
      <c r="J117" s="247">
        <f t="shared" si="85"/>
        <v>32.083920566612207</v>
      </c>
      <c r="K117" s="247">
        <f t="shared" si="85"/>
        <v>0</v>
      </c>
      <c r="L117" s="247">
        <f t="shared" si="85"/>
        <v>74.958270212262917</v>
      </c>
      <c r="M117" s="247">
        <f t="shared" si="85"/>
        <v>11.10252839582092</v>
      </c>
      <c r="N117" s="247">
        <f t="shared" si="85"/>
        <v>387.65884456678231</v>
      </c>
      <c r="O117" s="247">
        <f t="shared" si="85"/>
        <v>593.80755319499542</v>
      </c>
      <c r="P117" s="247">
        <f t="shared" si="85"/>
        <v>88.430052111511188</v>
      </c>
      <c r="Q117" s="247">
        <f t="shared" si="85"/>
        <v>28.57260519472219</v>
      </c>
      <c r="R117" s="247">
        <f t="shared" si="85"/>
        <v>481.09110317105711</v>
      </c>
      <c r="S117" s="777">
        <f t="shared" si="85"/>
        <v>471.39449928750059</v>
      </c>
      <c r="T117" s="791">
        <f t="shared" si="85"/>
        <v>39.659407641508949</v>
      </c>
      <c r="U117" s="791">
        <f t="shared" si="85"/>
        <v>1.7987336507195903</v>
      </c>
      <c r="V117" s="791">
        <f t="shared" si="85"/>
        <v>170.49244135227951</v>
      </c>
      <c r="W117" s="791">
        <f t="shared" si="85"/>
        <v>261.94262961823068</v>
      </c>
      <c r="X117" s="791">
        <f t="shared" si="85"/>
        <v>4.3004210969180789</v>
      </c>
      <c r="Y117" s="791">
        <f t="shared" si="85"/>
        <v>20.273299026108543</v>
      </c>
      <c r="Z117" s="791">
        <f t="shared" si="77"/>
        <v>371.42590386410109</v>
      </c>
      <c r="AA117" s="791">
        <f t="shared" si="78"/>
        <v>1027.0873271314033</v>
      </c>
    </row>
    <row r="118" spans="2:29" ht="25.5" customHeight="1">
      <c r="B118" s="629"/>
      <c r="C118" s="867">
        <f>SUM(C96:C102,C104:C107,C109:C117)</f>
        <v>1.0000000000000002</v>
      </c>
      <c r="D118" s="644">
        <f>SUMPRODUCT($C$96:$C$102,D96:D102)+SUMPRODUCT($C$104:$C$107,D104:D107)+SUMPRODUCT($C$109:$C$117,D109:D117)</f>
        <v>99.28992827424068</v>
      </c>
      <c r="E118" s="644">
        <f t="shared" ref="E118:R118" si="86">SUMPRODUCT($C$96:$C$102,E96:E102)+SUMPRODUCT($C$104:$C$107,E104:E107)+SUMPRODUCT($C$109:$C$117,E109:E117)</f>
        <v>90.095319563428433</v>
      </c>
      <c r="F118" s="644">
        <f t="shared" si="86"/>
        <v>172.55588635841892</v>
      </c>
      <c r="G118" s="644">
        <f t="shared" si="86"/>
        <v>38.058865803912035</v>
      </c>
      <c r="H118" s="644">
        <f t="shared" si="86"/>
        <v>277.27735912349971</v>
      </c>
      <c r="I118" s="644">
        <f t="shared" si="86"/>
        <v>160.94431317318407</v>
      </c>
      <c r="J118" s="644">
        <f t="shared" si="86"/>
        <v>48.278181913114402</v>
      </c>
      <c r="K118" s="644">
        <f t="shared" si="86"/>
        <v>0</v>
      </c>
      <c r="L118" s="644">
        <f t="shared" si="86"/>
        <v>123.817482469075</v>
      </c>
      <c r="M118" s="644">
        <f t="shared" si="86"/>
        <v>214.96578965900645</v>
      </c>
      <c r="N118" s="644">
        <f t="shared" si="86"/>
        <v>266.46616104478875</v>
      </c>
      <c r="O118" s="644">
        <f t="shared" si="86"/>
        <v>248.07362533238427</v>
      </c>
      <c r="P118" s="644">
        <f t="shared" si="86"/>
        <v>145.87932300856573</v>
      </c>
      <c r="Q118" s="644">
        <f t="shared" si="86"/>
        <v>230.4023332847641</v>
      </c>
      <c r="R118" s="644">
        <f t="shared" si="86"/>
        <v>325.14830874990878</v>
      </c>
      <c r="S118" s="644">
        <f>SUMPRODUCT($C$96:$C$102,S96:S102)+SUMPRODUCT($C$104:$C$107,S104:S107)+SUMPRODUCT($C$109:$C$117,S109:S117)</f>
        <v>304.6365319528993</v>
      </c>
      <c r="T118" s="644">
        <f>SUMPRODUCT($C$96:$C$102,T96:T102)+SUMPRODUCT($C$104:$C$107,T104:T107)+SUMPRODUCT($C$109:$C$117,T109:T117)</f>
        <v>133.42221071690747</v>
      </c>
      <c r="U118" s="644">
        <f t="shared" ref="U118" si="87">SUMPRODUCT($C$96:$C$102,U96:U102)+SUMPRODUCT($C$104:$C$107,U104:U107)+SUMPRODUCT($C$109:$C$117,U109:U117)</f>
        <v>15.223739091496617</v>
      </c>
      <c r="V118" s="644">
        <f t="shared" ref="V118" si="88">SUMPRODUCT($C$96:$C$102,V96:V102)+SUMPRODUCT($C$104:$C$107,V104:V107)+SUMPRODUCT($C$109:$C$117,V109:V117)</f>
        <v>84.471447938028092</v>
      </c>
      <c r="W118" s="644">
        <f t="shared" ref="W118" si="89">SUMPRODUCT($C$96:$C$102,W96:W102)+SUMPRODUCT($C$104:$C$107,W104:W107)+SUMPRODUCT($C$109:$C$117,W109:W117)</f>
        <v>122.21858769917716</v>
      </c>
      <c r="X118" s="644">
        <f t="shared" ref="X118" si="90">SUMPRODUCT($C$96:$C$102,X96:X102)+SUMPRODUCT($C$104:$C$107,X104:X107)+SUMPRODUCT($C$109:$C$117,X109:X117)</f>
        <v>140.87531208058738</v>
      </c>
      <c r="Y118" s="644">
        <f>SUMPRODUCT($C$96:$C$102,Y96:Y102)+SUMPRODUCT($C$104:$C$107,Y104:Y107)+SUMPRODUCT($C$109:$C$117,Y109:Y117)</f>
        <v>135.93736929052594</v>
      </c>
      <c r="Z118" s="644">
        <f>Y118/X118*100-100</f>
        <v>-3.5051867620614132</v>
      </c>
      <c r="AA118" s="644">
        <f>Y118/U118*100-100</f>
        <v>792.93023529584286</v>
      </c>
    </row>
    <row r="119" spans="2:29">
      <c r="B119" s="619"/>
      <c r="C119" s="235"/>
      <c r="D119" s="235"/>
      <c r="E119" s="235"/>
      <c r="F119" s="235"/>
      <c r="G119" s="235"/>
      <c r="H119" s="235"/>
      <c r="I119" s="235"/>
      <c r="J119" s="235"/>
      <c r="K119" s="235"/>
      <c r="L119" s="235"/>
      <c r="M119" s="235"/>
      <c r="N119" s="235"/>
      <c r="O119" s="235"/>
      <c r="P119" s="235"/>
      <c r="Q119" s="235"/>
      <c r="R119" s="235"/>
      <c r="S119" s="235"/>
      <c r="T119" s="232"/>
      <c r="U119" s="232"/>
      <c r="V119" s="232"/>
      <c r="W119" s="232"/>
      <c r="X119" s="232"/>
      <c r="Y119" s="232"/>
      <c r="Z119" s="232"/>
      <c r="AA119" s="232"/>
    </row>
    <row r="120" spans="2:29">
      <c r="B120" s="232"/>
      <c r="C120" s="234"/>
      <c r="D120" s="234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234"/>
      <c r="P120" s="234"/>
      <c r="Q120" s="234"/>
      <c r="R120" s="234"/>
      <c r="S120" s="234"/>
      <c r="T120" s="233"/>
      <c r="U120" s="233"/>
      <c r="V120" s="233"/>
      <c r="W120" s="233"/>
      <c r="X120" s="233"/>
      <c r="Y120" s="233"/>
      <c r="Z120" s="233"/>
      <c r="AA120" s="233"/>
    </row>
    <row r="121" spans="2:29">
      <c r="B121" s="232"/>
      <c r="C121" s="234"/>
      <c r="D121" s="234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234"/>
      <c r="P121" s="234"/>
      <c r="Q121" s="234"/>
      <c r="R121" s="234"/>
      <c r="S121" s="234"/>
      <c r="T121" s="233"/>
      <c r="U121" s="233"/>
      <c r="V121" s="233"/>
      <c r="W121" s="233"/>
      <c r="X121" s="233"/>
      <c r="Y121" s="233"/>
      <c r="Z121" s="233"/>
      <c r="AA121" s="233"/>
    </row>
    <row r="122" spans="2:29" ht="18.5">
      <c r="B122" s="614" t="s">
        <v>218</v>
      </c>
      <c r="C122" s="234"/>
      <c r="D122" s="234"/>
      <c r="E122" s="234"/>
      <c r="F122" s="252"/>
      <c r="G122" s="234"/>
      <c r="H122" s="234"/>
      <c r="I122" s="234"/>
      <c r="J122" s="234"/>
      <c r="K122" s="234"/>
      <c r="L122" s="234"/>
      <c r="M122" s="234"/>
      <c r="N122" s="234"/>
      <c r="O122" s="234"/>
      <c r="P122" s="234"/>
      <c r="Q122" s="234"/>
      <c r="R122" s="252"/>
      <c r="S122" s="252"/>
      <c r="T122" s="233"/>
      <c r="U122" s="233"/>
      <c r="V122" s="233"/>
      <c r="W122" s="233"/>
      <c r="X122" s="233"/>
      <c r="Y122" s="233"/>
      <c r="Z122" s="233"/>
      <c r="AA122" s="233"/>
    </row>
    <row r="123" spans="2:29">
      <c r="B123" s="615"/>
      <c r="C123" s="234"/>
      <c r="D123" s="234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234"/>
      <c r="P123" s="234"/>
      <c r="Q123" s="234"/>
      <c r="R123" s="234"/>
      <c r="S123" s="234"/>
      <c r="T123" s="233"/>
      <c r="U123" s="233"/>
      <c r="V123" s="233"/>
      <c r="W123" s="233"/>
      <c r="X123" s="233"/>
      <c r="Y123" s="233"/>
      <c r="Z123" s="233"/>
      <c r="AA123" s="233"/>
    </row>
    <row r="124" spans="2:29" ht="31.5" customHeight="1">
      <c r="B124" s="616" t="s">
        <v>56</v>
      </c>
      <c r="C124" s="864" t="s">
        <v>215</v>
      </c>
      <c r="D124" s="270" t="s">
        <v>314</v>
      </c>
      <c r="E124" s="270" t="s">
        <v>317</v>
      </c>
      <c r="F124" s="270" t="s">
        <v>343</v>
      </c>
      <c r="G124" s="270" t="s">
        <v>323</v>
      </c>
      <c r="H124" s="270" t="s">
        <v>302</v>
      </c>
      <c r="I124" s="270" t="s">
        <v>305</v>
      </c>
      <c r="J124" s="270" t="s">
        <v>344</v>
      </c>
      <c r="K124" s="270" t="s">
        <v>311</v>
      </c>
      <c r="L124" s="270" t="s">
        <v>168</v>
      </c>
      <c r="M124" s="270" t="s">
        <v>171</v>
      </c>
      <c r="N124" s="270" t="s">
        <v>345</v>
      </c>
      <c r="O124" s="270" t="s">
        <v>177</v>
      </c>
      <c r="P124" s="270" t="s">
        <v>180</v>
      </c>
      <c r="Q124" s="270" t="s">
        <v>334</v>
      </c>
      <c r="R124" s="270" t="s">
        <v>346</v>
      </c>
      <c r="S124" s="778" t="s">
        <v>390</v>
      </c>
      <c r="T124" s="778" t="s">
        <v>401</v>
      </c>
      <c r="U124" s="778" t="s">
        <v>430</v>
      </c>
      <c r="V124" s="778" t="s">
        <v>431</v>
      </c>
      <c r="W124" s="778" t="s">
        <v>432</v>
      </c>
      <c r="X124" s="778" t="s">
        <v>444</v>
      </c>
      <c r="Y124" s="778" t="s">
        <v>458</v>
      </c>
      <c r="Z124" s="790" t="s">
        <v>347</v>
      </c>
      <c r="AA124" s="790" t="s">
        <v>442</v>
      </c>
    </row>
    <row r="125" spans="2:29">
      <c r="B125" s="856" t="s">
        <v>445</v>
      </c>
      <c r="C125" s="868">
        <f>SUM(C126:C132)</f>
        <v>0.36365330547486902</v>
      </c>
      <c r="D125" s="883">
        <f>D35/$C35*100</f>
        <v>99.064013687298768</v>
      </c>
      <c r="E125" s="883">
        <f t="shared" ref="E125:X125" si="91">E35/$C35*100</f>
        <v>103.28770349841786</v>
      </c>
      <c r="F125" s="883">
        <f t="shared" si="91"/>
        <v>101.41068499466503</v>
      </c>
      <c r="G125" s="883">
        <f t="shared" si="91"/>
        <v>96.237597819618372</v>
      </c>
      <c r="H125" s="883">
        <f t="shared" si="91"/>
        <v>102.12917519469866</v>
      </c>
      <c r="I125" s="883">
        <f t="shared" si="91"/>
        <v>71.522519839884396</v>
      </c>
      <c r="J125" s="883">
        <f t="shared" si="91"/>
        <v>95.533656283491041</v>
      </c>
      <c r="K125" s="883">
        <f t="shared" si="91"/>
        <v>0</v>
      </c>
      <c r="L125" s="883">
        <f t="shared" si="91"/>
        <v>98.85036841988024</v>
      </c>
      <c r="M125" s="883">
        <f t="shared" si="91"/>
        <v>79.197538199453689</v>
      </c>
      <c r="N125" s="883">
        <f t="shared" si="91"/>
        <v>81.74531464842822</v>
      </c>
      <c r="O125" s="883">
        <f t="shared" si="91"/>
        <v>106.10141368591766</v>
      </c>
      <c r="P125" s="883">
        <f t="shared" si="91"/>
        <v>100.04540905163077</v>
      </c>
      <c r="Q125" s="883">
        <f t="shared" si="91"/>
        <v>94.155484396298377</v>
      </c>
      <c r="R125" s="883">
        <f t="shared" si="91"/>
        <v>89.055708038102253</v>
      </c>
      <c r="S125" s="883">
        <f t="shared" si="91"/>
        <v>88.870424928840578</v>
      </c>
      <c r="T125" s="883">
        <f t="shared" si="91"/>
        <v>84.395850471486895</v>
      </c>
      <c r="U125" s="883">
        <f t="shared" si="91"/>
        <v>62.574484975481283</v>
      </c>
      <c r="V125" s="883">
        <f t="shared" si="91"/>
        <v>95.096433780748583</v>
      </c>
      <c r="W125" s="883">
        <f>W35/$C35*100</f>
        <v>96.37637179963977</v>
      </c>
      <c r="X125" s="883">
        <f t="shared" si="91"/>
        <v>85.248623386215343</v>
      </c>
      <c r="Y125" s="883">
        <f>Y35/$C35*100</f>
        <v>75.772572448918538</v>
      </c>
      <c r="Z125" s="883">
        <f>Y125/X125*100-100</f>
        <v>-11.115781769713678</v>
      </c>
      <c r="AA125" s="883">
        <f>Y125/U125*100-100</f>
        <v>21.091803597918044</v>
      </c>
      <c r="AB125" s="848"/>
      <c r="AC125" s="307"/>
    </row>
    <row r="126" spans="2:29" ht="25.5" customHeight="1">
      <c r="B126" s="189" t="s">
        <v>9</v>
      </c>
      <c r="C126" s="652">
        <v>1.0386894575663143E-2</v>
      </c>
      <c r="D126" s="247">
        <f>D36/$C36*100</f>
        <v>95.475038202518732</v>
      </c>
      <c r="E126" s="247">
        <f t="shared" ref="E126:X126" si="92">E36/$C36*100</f>
        <v>130.39444304681504</v>
      </c>
      <c r="F126" s="247">
        <f t="shared" si="92"/>
        <v>79.154047909958933</v>
      </c>
      <c r="G126" s="247">
        <f t="shared" si="92"/>
        <v>94.97647084070735</v>
      </c>
      <c r="H126" s="247">
        <f t="shared" si="92"/>
        <v>102.25285081412012</v>
      </c>
      <c r="I126" s="247">
        <f t="shared" si="92"/>
        <v>76.308015665190368</v>
      </c>
      <c r="J126" s="247">
        <f t="shared" si="92"/>
        <v>75.81274167423021</v>
      </c>
      <c r="K126" s="247">
        <f t="shared" si="92"/>
        <v>0</v>
      </c>
      <c r="L126" s="247">
        <f t="shared" si="92"/>
        <v>73.923055339593631</v>
      </c>
      <c r="M126" s="247">
        <f t="shared" si="92"/>
        <v>97.853607872459705</v>
      </c>
      <c r="N126" s="247">
        <f t="shared" si="92"/>
        <v>87.50676460413888</v>
      </c>
      <c r="O126" s="247">
        <f t="shared" si="92"/>
        <v>76.786222151699292</v>
      </c>
      <c r="P126" s="247">
        <f t="shared" si="92"/>
        <v>110.22036412347877</v>
      </c>
      <c r="Q126" s="247">
        <f t="shared" si="92"/>
        <v>116.3723006896864</v>
      </c>
      <c r="R126" s="247">
        <f t="shared" si="92"/>
        <v>95.77190883249699</v>
      </c>
      <c r="S126" s="777">
        <f t="shared" si="92"/>
        <v>107.88336979804861</v>
      </c>
      <c r="T126" s="791">
        <f t="shared" si="92"/>
        <v>68.32203746494362</v>
      </c>
      <c r="U126" s="791">
        <f t="shared" si="92"/>
        <v>87.886255980551539</v>
      </c>
      <c r="V126" s="791">
        <f t="shared" si="92"/>
        <v>84.598915686440563</v>
      </c>
      <c r="W126" s="791">
        <f>W36/$C36*100</f>
        <v>89.64327807701433</v>
      </c>
      <c r="X126" s="791">
        <f t="shared" si="92"/>
        <v>79.706057102356169</v>
      </c>
      <c r="Y126" s="791">
        <f>Y36/$C36*100</f>
        <v>79.683748487586143</v>
      </c>
      <c r="Z126" s="791">
        <f>Y126/X126*100-100</f>
        <v>-2.7988606614144373E-2</v>
      </c>
      <c r="AA126" s="791">
        <f>Y126/U126*100-100</f>
        <v>-9.3330946931913275</v>
      </c>
      <c r="AB126" s="307"/>
      <c r="AC126" s="307"/>
    </row>
    <row r="127" spans="2:29" ht="25.5" customHeight="1">
      <c r="B127" s="189" t="s">
        <v>12</v>
      </c>
      <c r="C127" s="845">
        <v>0.11353369446599729</v>
      </c>
      <c r="D127" s="247">
        <f t="shared" ref="D127:Y127" si="93">D37/$C37*100</f>
        <v>81.796429037753484</v>
      </c>
      <c r="E127" s="247">
        <f t="shared" si="93"/>
        <v>89.154386479890405</v>
      </c>
      <c r="F127" s="247">
        <f t="shared" si="93"/>
        <v>118.03351407266689</v>
      </c>
      <c r="G127" s="247">
        <f t="shared" si="93"/>
        <v>111.01567040968921</v>
      </c>
      <c r="H127" s="247">
        <f t="shared" si="93"/>
        <v>106.18197164347482</v>
      </c>
      <c r="I127" s="247">
        <f t="shared" si="93"/>
        <v>66.623657915325595</v>
      </c>
      <c r="J127" s="247">
        <f t="shared" si="93"/>
        <v>74.168816186197532</v>
      </c>
      <c r="K127" s="247">
        <f t="shared" si="93"/>
        <v>0</v>
      </c>
      <c r="L127" s="247">
        <f t="shared" si="93"/>
        <v>94.130525723896653</v>
      </c>
      <c r="M127" s="247">
        <f t="shared" si="93"/>
        <v>74.060938526786074</v>
      </c>
      <c r="N127" s="247">
        <f t="shared" si="93"/>
        <v>84.649651623827864</v>
      </c>
      <c r="O127" s="247">
        <f t="shared" si="93"/>
        <v>80.806449477435834</v>
      </c>
      <c r="P127" s="247">
        <f t="shared" si="93"/>
        <v>103.13152556013918</v>
      </c>
      <c r="Q127" s="247">
        <f t="shared" si="93"/>
        <v>99.365516470085112</v>
      </c>
      <c r="R127" s="247">
        <f t="shared" si="93"/>
        <v>91.193792916401264</v>
      </c>
      <c r="S127" s="777">
        <f t="shared" si="93"/>
        <v>81.002335937372251</v>
      </c>
      <c r="T127" s="791">
        <f t="shared" si="93"/>
        <v>115.02356004365537</v>
      </c>
      <c r="U127" s="791">
        <f t="shared" si="93"/>
        <v>0</v>
      </c>
      <c r="V127" s="791">
        <f t="shared" si="93"/>
        <v>90.676481607478493</v>
      </c>
      <c r="W127" s="791">
        <f t="shared" si="93"/>
        <v>102.19576461198558</v>
      </c>
      <c r="X127" s="791">
        <f t="shared" si="93"/>
        <v>94.130513886946503</v>
      </c>
      <c r="Y127" s="791">
        <f t="shared" si="93"/>
        <v>81.641389740646005</v>
      </c>
      <c r="Z127" s="791">
        <f t="shared" ref="Z127:Z132" si="94">Y127/X127*100-100</f>
        <v>-13.267880552846336</v>
      </c>
      <c r="AA127" s="791">
        <v>0</v>
      </c>
      <c r="AB127" s="307"/>
      <c r="AC127" s="307"/>
    </row>
    <row r="128" spans="2:29" ht="25.5" customHeight="1">
      <c r="B128" s="189" t="s">
        <v>15</v>
      </c>
      <c r="C128" s="652">
        <v>3.0582787841428944E-2</v>
      </c>
      <c r="D128" s="247">
        <f t="shared" ref="D128:Y128" si="95">D38/$C38*100</f>
        <v>108.31350600564265</v>
      </c>
      <c r="E128" s="247">
        <f t="shared" si="95"/>
        <v>111.67214560394937</v>
      </c>
      <c r="F128" s="247">
        <f t="shared" si="95"/>
        <v>75.531873051633141</v>
      </c>
      <c r="G128" s="247">
        <f t="shared" si="95"/>
        <v>104.48247533877482</v>
      </c>
      <c r="H128" s="247">
        <f t="shared" si="95"/>
        <v>75.516624684767365</v>
      </c>
      <c r="I128" s="247">
        <f t="shared" si="95"/>
        <v>71.512809419330424</v>
      </c>
      <c r="J128" s="247">
        <f t="shared" si="95"/>
        <v>93.739425985040654</v>
      </c>
      <c r="K128" s="247">
        <f t="shared" si="95"/>
        <v>0</v>
      </c>
      <c r="L128" s="247">
        <f t="shared" si="95"/>
        <v>99.275003901976007</v>
      </c>
      <c r="M128" s="247">
        <f t="shared" si="95"/>
        <v>94.733605721673996</v>
      </c>
      <c r="N128" s="247">
        <f t="shared" si="95"/>
        <v>92.232597895392573</v>
      </c>
      <c r="O128" s="247">
        <f t="shared" si="95"/>
        <v>78.243619546627215</v>
      </c>
      <c r="P128" s="247">
        <f t="shared" si="95"/>
        <v>114.05027059934466</v>
      </c>
      <c r="Q128" s="247">
        <f t="shared" si="95"/>
        <v>98.642468710232862</v>
      </c>
      <c r="R128" s="247">
        <f t="shared" si="95"/>
        <v>101.43667027752939</v>
      </c>
      <c r="S128" s="777">
        <f t="shared" si="95"/>
        <v>101.43345847237724</v>
      </c>
      <c r="T128" s="791">
        <f t="shared" si="95"/>
        <v>64.710712088803419</v>
      </c>
      <c r="U128" s="791">
        <f t="shared" si="95"/>
        <v>210.92501688589329</v>
      </c>
      <c r="V128" s="791">
        <f t="shared" si="95"/>
        <v>173.88750452963592</v>
      </c>
      <c r="W128" s="791">
        <f t="shared" si="95"/>
        <v>101.88744377555766</v>
      </c>
      <c r="X128" s="791">
        <f t="shared" si="95"/>
        <v>96.508780041106462</v>
      </c>
      <c r="Y128" s="791">
        <f t="shared" si="95"/>
        <v>79.327370743714923</v>
      </c>
      <c r="Z128" s="791">
        <f t="shared" si="94"/>
        <v>-17.80294942084376</v>
      </c>
      <c r="AA128" s="791">
        <f t="shared" ref="AA128:AA132" si="96">Y128/U128*100-100</f>
        <v>-62.390724478818157</v>
      </c>
      <c r="AB128" s="307"/>
      <c r="AC128" s="307"/>
    </row>
    <row r="129" spans="2:29" ht="25.5" customHeight="1">
      <c r="B129" s="189" t="s">
        <v>19</v>
      </c>
      <c r="C129" s="652">
        <v>7.5549359476327752E-2</v>
      </c>
      <c r="D129" s="247">
        <f t="shared" ref="D129:Y129" si="97">D39/$C39*100</f>
        <v>102.81131593559303</v>
      </c>
      <c r="E129" s="247">
        <f t="shared" si="97"/>
        <v>123.53330510780241</v>
      </c>
      <c r="F129" s="247">
        <f t="shared" si="97"/>
        <v>100.65955471346608</v>
      </c>
      <c r="G129" s="247">
        <f t="shared" si="97"/>
        <v>72.995824243138529</v>
      </c>
      <c r="H129" s="247">
        <f t="shared" si="97"/>
        <v>82.988698670797916</v>
      </c>
      <c r="I129" s="247">
        <f t="shared" si="97"/>
        <v>90.238598991956664</v>
      </c>
      <c r="J129" s="247">
        <f t="shared" si="97"/>
        <v>133.54657953042437</v>
      </c>
      <c r="K129" s="247">
        <f t="shared" si="97"/>
        <v>0</v>
      </c>
      <c r="L129" s="247">
        <f t="shared" si="97"/>
        <v>114.40707699740791</v>
      </c>
      <c r="M129" s="247">
        <f t="shared" si="97"/>
        <v>97.536926568400219</v>
      </c>
      <c r="N129" s="247">
        <f t="shared" si="97"/>
        <v>90.71271325252124</v>
      </c>
      <c r="O129" s="247">
        <f t="shared" si="97"/>
        <v>97.975085478905115</v>
      </c>
      <c r="P129" s="247">
        <f t="shared" si="97"/>
        <v>93.709948225253086</v>
      </c>
      <c r="Q129" s="247">
        <f t="shared" si="97"/>
        <v>118.89179280130273</v>
      </c>
      <c r="R129" s="247">
        <f t="shared" si="97"/>
        <v>138.46935169105893</v>
      </c>
      <c r="S129" s="777">
        <f t="shared" si="97"/>
        <v>105.05686052486935</v>
      </c>
      <c r="T129" s="791">
        <f t="shared" si="97"/>
        <v>92.625647266379502</v>
      </c>
      <c r="U129" s="791">
        <f t="shared" si="97"/>
        <v>86.325482323005787</v>
      </c>
      <c r="V129" s="791">
        <f t="shared" si="97"/>
        <v>100.57469762603486</v>
      </c>
      <c r="W129" s="791">
        <f t="shared" si="97"/>
        <v>103.51989408356528</v>
      </c>
      <c r="X129" s="791">
        <f t="shared" si="97"/>
        <v>92.691272104387266</v>
      </c>
      <c r="Y129" s="791">
        <f t="shared" si="97"/>
        <v>99.145182917698648</v>
      </c>
      <c r="Z129" s="791">
        <f t="shared" si="94"/>
        <v>6.9628031494088276</v>
      </c>
      <c r="AA129" s="791">
        <f t="shared" si="96"/>
        <v>14.850424520913919</v>
      </c>
      <c r="AB129" s="307"/>
      <c r="AC129" s="307"/>
    </row>
    <row r="130" spans="2:29" ht="25.5" customHeight="1">
      <c r="B130" s="189" t="s">
        <v>353</v>
      </c>
      <c r="C130" s="652">
        <v>5.8051209639124156E-2</v>
      </c>
      <c r="D130" s="247">
        <f t="shared" ref="D130:Y130" si="98">D40/$C40*100</f>
        <v>88.77722629252024</v>
      </c>
      <c r="E130" s="247">
        <f t="shared" si="98"/>
        <v>111.30282989045783</v>
      </c>
      <c r="F130" s="247">
        <f t="shared" si="98"/>
        <v>92.573021964650721</v>
      </c>
      <c r="G130" s="247">
        <f t="shared" si="98"/>
        <v>107.34692185237125</v>
      </c>
      <c r="H130" s="247">
        <f t="shared" si="98"/>
        <v>104.43661463632839</v>
      </c>
      <c r="I130" s="247">
        <f t="shared" si="98"/>
        <v>59.517758190182178</v>
      </c>
      <c r="J130" s="247">
        <f t="shared" si="98"/>
        <v>124.34282294634986</v>
      </c>
      <c r="K130" s="247">
        <f t="shared" si="98"/>
        <v>0</v>
      </c>
      <c r="L130" s="247">
        <f t="shared" si="98"/>
        <v>120.19099849162185</v>
      </c>
      <c r="M130" s="247">
        <f t="shared" si="98"/>
        <v>75.382462897331777</v>
      </c>
      <c r="N130" s="247">
        <f t="shared" si="98"/>
        <v>85.899358799486521</v>
      </c>
      <c r="O130" s="247">
        <f t="shared" si="98"/>
        <v>156.54371439099131</v>
      </c>
      <c r="P130" s="247">
        <f t="shared" si="98"/>
        <v>107.44649729421081</v>
      </c>
      <c r="Q130" s="247">
        <f t="shared" si="98"/>
        <v>87.528152592694212</v>
      </c>
      <c r="R130" s="247">
        <f t="shared" si="98"/>
        <v>79.466258227736901</v>
      </c>
      <c r="S130" s="777">
        <f t="shared" si="98"/>
        <v>75.32328437797004</v>
      </c>
      <c r="T130" s="791">
        <f t="shared" si="98"/>
        <v>79.785020130875708</v>
      </c>
      <c r="U130" s="791">
        <f t="shared" si="98"/>
        <v>0</v>
      </c>
      <c r="V130" s="791">
        <f t="shared" si="98"/>
        <v>94.470175668019323</v>
      </c>
      <c r="W130" s="791">
        <f t="shared" si="98"/>
        <v>104.90608137236296</v>
      </c>
      <c r="X130" s="791">
        <f t="shared" si="98"/>
        <v>94.379059017942907</v>
      </c>
      <c r="Y130" s="791">
        <f t="shared" si="98"/>
        <v>68.001106555442234</v>
      </c>
      <c r="Z130" s="791">
        <f t="shared" si="94"/>
        <v>-27.948946235505289</v>
      </c>
      <c r="AA130" s="791">
        <v>0</v>
      </c>
      <c r="AB130" s="307"/>
      <c r="AC130" s="307"/>
    </row>
    <row r="131" spans="2:29" ht="25.5" customHeight="1">
      <c r="B131" s="189" t="s">
        <v>25</v>
      </c>
      <c r="C131" s="652">
        <v>3.5013322964059339E-2</v>
      </c>
      <c r="D131" s="247">
        <f t="shared" ref="D131:Y131" si="99">D41/$C41*100</f>
        <v>140.68344609223251</v>
      </c>
      <c r="E131" s="247">
        <f t="shared" si="99"/>
        <v>65.73925764983062</v>
      </c>
      <c r="F131" s="247">
        <f t="shared" si="99"/>
        <v>115.09271573042589</v>
      </c>
      <c r="G131" s="247">
        <f t="shared" si="99"/>
        <v>78.484580527510957</v>
      </c>
      <c r="H131" s="247">
        <f t="shared" si="99"/>
        <v>89.145606784144718</v>
      </c>
      <c r="I131" s="247">
        <f t="shared" si="99"/>
        <v>73.697916812292945</v>
      </c>
      <c r="J131" s="247">
        <f t="shared" si="99"/>
        <v>86.265779685425926</v>
      </c>
      <c r="K131" s="247">
        <f t="shared" si="99"/>
        <v>0</v>
      </c>
      <c r="L131" s="247">
        <f t="shared" si="99"/>
        <v>91.248969551418071</v>
      </c>
      <c r="M131" s="247">
        <f t="shared" si="99"/>
        <v>62.434447434723261</v>
      </c>
      <c r="N131" s="247">
        <f t="shared" si="99"/>
        <v>56.541371573764074</v>
      </c>
      <c r="O131" s="247">
        <f t="shared" si="99"/>
        <v>98.699630036955156</v>
      </c>
      <c r="P131" s="247">
        <f t="shared" si="99"/>
        <v>65.4228303566195</v>
      </c>
      <c r="Q131" s="247">
        <f t="shared" si="99"/>
        <v>64.566481168389615</v>
      </c>
      <c r="R131" s="247">
        <f t="shared" si="99"/>
        <v>62.178567057352083</v>
      </c>
      <c r="S131" s="777">
        <f t="shared" si="99"/>
        <v>85.449783571955336</v>
      </c>
      <c r="T131" s="791">
        <f t="shared" si="99"/>
        <v>66.567285322018961</v>
      </c>
      <c r="U131" s="791">
        <f t="shared" si="99"/>
        <v>58.134423720845163</v>
      </c>
      <c r="V131" s="791">
        <f t="shared" si="99"/>
        <v>74.376922479425957</v>
      </c>
      <c r="W131" s="791">
        <f t="shared" si="99"/>
        <v>70.423663244943498</v>
      </c>
      <c r="X131" s="791">
        <f t="shared" si="99"/>
        <v>54.602242874911497</v>
      </c>
      <c r="Y131" s="791">
        <f t="shared" si="99"/>
        <v>64.190214300871148</v>
      </c>
      <c r="Z131" s="791">
        <f t="shared" si="94"/>
        <v>17.559665905894704</v>
      </c>
      <c r="AA131" s="791">
        <f t="shared" si="96"/>
        <v>10.416875566024686</v>
      </c>
      <c r="AB131" s="307"/>
      <c r="AC131" s="307"/>
    </row>
    <row r="132" spans="2:29" ht="25.5" customHeight="1">
      <c r="B132" s="189" t="s">
        <v>351</v>
      </c>
      <c r="C132" s="652">
        <v>4.0536036512268406E-2</v>
      </c>
      <c r="D132" s="247">
        <f t="shared" ref="D132:Y132" si="100">D42/$C42*100</f>
        <v>104.27878817923335</v>
      </c>
      <c r="E132" s="247">
        <f t="shared" si="100"/>
        <v>96.45868200121383</v>
      </c>
      <c r="F132" s="247">
        <f t="shared" si="100"/>
        <v>133.64660776681822</v>
      </c>
      <c r="G132" s="247">
        <f t="shared" si="100"/>
        <v>65.615922052734561</v>
      </c>
      <c r="H132" s="247">
        <f t="shared" si="100"/>
        <v>157.81222191915396</v>
      </c>
      <c r="I132" s="247">
        <f t="shared" si="100"/>
        <v>95.062148496435213</v>
      </c>
      <c r="J132" s="247">
        <f t="shared" si="100"/>
        <v>71.201341756209985</v>
      </c>
      <c r="K132" s="247">
        <f t="shared" si="100"/>
        <v>0</v>
      </c>
      <c r="L132" s="247">
        <f t="shared" si="100"/>
        <v>85.531277792458937</v>
      </c>
      <c r="M132" s="247">
        <f t="shared" si="100"/>
        <v>62.024450167144494</v>
      </c>
      <c r="N132" s="247">
        <f t="shared" si="100"/>
        <v>72.652659698922378</v>
      </c>
      <c r="O132" s="247">
        <f t="shared" si="100"/>
        <v>113.72207842849988</v>
      </c>
      <c r="P132" s="247">
        <f t="shared" si="100"/>
        <v>102.99160568405239</v>
      </c>
      <c r="Q132" s="247">
        <f t="shared" si="100"/>
        <v>74.83290996440671</v>
      </c>
      <c r="R132" s="247">
        <f t="shared" si="100"/>
        <v>84.017616166562973</v>
      </c>
      <c r="S132" s="777">
        <f t="shared" si="100"/>
        <v>96.345111171978743</v>
      </c>
      <c r="T132" s="791">
        <f t="shared" si="100"/>
        <v>86.925264761984479</v>
      </c>
      <c r="U132" s="791">
        <f t="shared" si="100"/>
        <v>290.95319243195434</v>
      </c>
      <c r="V132" s="791">
        <f t="shared" si="100"/>
        <v>97.085693982822903</v>
      </c>
      <c r="W132" s="791">
        <f t="shared" si="100"/>
        <v>99.573987510262469</v>
      </c>
      <c r="X132" s="791">
        <f t="shared" si="100"/>
        <v>76.839626174339372</v>
      </c>
      <c r="Y132" s="791">
        <f t="shared" si="100"/>
        <v>68.290666248268181</v>
      </c>
      <c r="Z132" s="791">
        <f t="shared" si="94"/>
        <v>-11.125717747083627</v>
      </c>
      <c r="AA132" s="791">
        <f t="shared" si="96"/>
        <v>-76.528641711247275</v>
      </c>
      <c r="AB132" s="307"/>
      <c r="AC132" s="307"/>
    </row>
    <row r="133" spans="2:29">
      <c r="B133" s="854" t="s">
        <v>186</v>
      </c>
      <c r="C133" s="868">
        <f>SUM(C134:C137)</f>
        <v>0.2543037564128523</v>
      </c>
      <c r="D133" s="883">
        <f>D43/$C43*100</f>
        <v>116.4081530674141</v>
      </c>
      <c r="E133" s="883">
        <f t="shared" ref="E133:X133" si="101">E43/$C43*100</f>
        <v>110.62484659281699</v>
      </c>
      <c r="F133" s="883">
        <f t="shared" si="101"/>
        <v>106.37743464767875</v>
      </c>
      <c r="G133" s="883">
        <f t="shared" si="101"/>
        <v>66.589565692090204</v>
      </c>
      <c r="H133" s="883">
        <f t="shared" si="101"/>
        <v>101.53934977780297</v>
      </c>
      <c r="I133" s="883">
        <f t="shared" si="101"/>
        <v>59.438474806442997</v>
      </c>
      <c r="J133" s="883">
        <f t="shared" si="101"/>
        <v>83.517105416967922</v>
      </c>
      <c r="K133" s="883">
        <f t="shared" si="101"/>
        <v>0</v>
      </c>
      <c r="L133" s="883">
        <f t="shared" si="101"/>
        <v>92.776370026905866</v>
      </c>
      <c r="M133" s="883">
        <f t="shared" si="101"/>
        <v>74.31258687871069</v>
      </c>
      <c r="N133" s="883">
        <f t="shared" si="101"/>
        <v>110.81139555179402</v>
      </c>
      <c r="O133" s="883">
        <f t="shared" si="101"/>
        <v>117.248197163791</v>
      </c>
      <c r="P133" s="883">
        <f t="shared" si="101"/>
        <v>96.298963260662035</v>
      </c>
      <c r="Q133" s="883">
        <f t="shared" si="101"/>
        <v>87.777914657866972</v>
      </c>
      <c r="R133" s="883">
        <f t="shared" si="101"/>
        <v>99.239790165602244</v>
      </c>
      <c r="S133" s="883">
        <f t="shared" si="101"/>
        <v>104.90911037087243</v>
      </c>
      <c r="T133" s="883">
        <f t="shared" si="101"/>
        <v>101.46382025314267</v>
      </c>
      <c r="U133" s="883">
        <f t="shared" si="101"/>
        <v>5.989934436924389</v>
      </c>
      <c r="V133" s="883">
        <f t="shared" si="101"/>
        <v>104.27307781839399</v>
      </c>
      <c r="W133" s="883">
        <f t="shared" si="101"/>
        <v>83.869197754755902</v>
      </c>
      <c r="X133" s="883">
        <f t="shared" si="101"/>
        <v>95.830613893191</v>
      </c>
      <c r="Y133" s="883">
        <f>Y43/$C43*100</f>
        <v>60.142381394769998</v>
      </c>
      <c r="Z133" s="883">
        <f>Y133/X133*100-100</f>
        <v>-37.240951558755206</v>
      </c>
      <c r="AA133" s="883">
        <f>Y133/U133*100-100</f>
        <v>904.05742380130118</v>
      </c>
      <c r="AB133" s="848"/>
      <c r="AC133" s="307"/>
    </row>
    <row r="134" spans="2:29" ht="25.5" customHeight="1">
      <c r="B134" s="189" t="s">
        <v>30</v>
      </c>
      <c r="C134" s="652">
        <v>6.8891461297102968E-2</v>
      </c>
      <c r="D134" s="247">
        <f t="shared" ref="D134:X134" si="102">D44/$C44*100</f>
        <v>150.66619580040555</v>
      </c>
      <c r="E134" s="247">
        <f t="shared" si="102"/>
        <v>95.156441644542696</v>
      </c>
      <c r="F134" s="247">
        <f t="shared" si="102"/>
        <v>112.23992276059104</v>
      </c>
      <c r="G134" s="247">
        <f t="shared" si="102"/>
        <v>41.937439794460765</v>
      </c>
      <c r="H134" s="247">
        <f t="shared" si="102"/>
        <v>114.66131624105157</v>
      </c>
      <c r="I134" s="247">
        <f t="shared" si="102"/>
        <v>98.267696207789555</v>
      </c>
      <c r="J134" s="247">
        <f t="shared" si="102"/>
        <v>153.45638105747747</v>
      </c>
      <c r="K134" s="247">
        <f t="shared" si="102"/>
        <v>0</v>
      </c>
      <c r="L134" s="247">
        <f t="shared" si="102"/>
        <v>111.57451581586572</v>
      </c>
      <c r="M134" s="247">
        <f t="shared" si="102"/>
        <v>64.215074202450424</v>
      </c>
      <c r="N134" s="247">
        <f t="shared" si="102"/>
        <v>80.938425821378232</v>
      </c>
      <c r="O134" s="247">
        <f t="shared" si="102"/>
        <v>80.489769876635165</v>
      </c>
      <c r="P134" s="247">
        <f t="shared" si="102"/>
        <v>78.185926369211927</v>
      </c>
      <c r="Q134" s="247">
        <f t="shared" si="102"/>
        <v>62.291252703363419</v>
      </c>
      <c r="R134" s="247">
        <f t="shared" si="102"/>
        <v>62.509658243739374</v>
      </c>
      <c r="S134" s="777">
        <f t="shared" si="102"/>
        <v>112.77422833248787</v>
      </c>
      <c r="T134" s="791">
        <f t="shared" si="102"/>
        <v>101.01509700592837</v>
      </c>
      <c r="U134" s="791">
        <f t="shared" si="102"/>
        <v>11.024033464181457</v>
      </c>
      <c r="V134" s="791">
        <f t="shared" si="102"/>
        <v>59.968515462157256</v>
      </c>
      <c r="W134" s="791">
        <f t="shared" si="102"/>
        <v>79.748659172338535</v>
      </c>
      <c r="X134" s="791">
        <f t="shared" si="102"/>
        <v>65.015863216444998</v>
      </c>
      <c r="Y134" s="791">
        <f>Y44/$C44*100</f>
        <v>79.105849276010929</v>
      </c>
      <c r="Z134" s="791">
        <f>Y134/X134*100-100</f>
        <v>21.6716126842134</v>
      </c>
      <c r="AA134" s="791">
        <f>Y134/U134*100-100</f>
        <v>617.57628034272841</v>
      </c>
      <c r="AB134" s="307"/>
      <c r="AC134" s="307"/>
    </row>
    <row r="135" spans="2:29" ht="25.5" customHeight="1">
      <c r="B135" s="189" t="s">
        <v>31</v>
      </c>
      <c r="C135" s="652">
        <v>5.5360633911468123E-2</v>
      </c>
      <c r="D135" s="247">
        <f t="shared" ref="D135:Y135" si="103">D45/$C45*100</f>
        <v>112.31459361982171</v>
      </c>
      <c r="E135" s="247">
        <f t="shared" si="103"/>
        <v>115.91050570730496</v>
      </c>
      <c r="F135" s="247">
        <f t="shared" si="103"/>
        <v>120.36300788544109</v>
      </c>
      <c r="G135" s="247">
        <f t="shared" si="103"/>
        <v>51.411892787432208</v>
      </c>
      <c r="H135" s="247">
        <f t="shared" si="103"/>
        <v>93.95129430486999</v>
      </c>
      <c r="I135" s="247">
        <f t="shared" si="103"/>
        <v>94.586402786495</v>
      </c>
      <c r="J135" s="247">
        <f t="shared" si="103"/>
        <v>173.8793424568801</v>
      </c>
      <c r="K135" s="247">
        <f t="shared" si="103"/>
        <v>0</v>
      </c>
      <c r="L135" s="247">
        <f t="shared" si="103"/>
        <v>74.884932154279738</v>
      </c>
      <c r="M135" s="247">
        <f t="shared" si="103"/>
        <v>93.637559127920724</v>
      </c>
      <c r="N135" s="247">
        <f t="shared" si="103"/>
        <v>142.27368299990073</v>
      </c>
      <c r="O135" s="247">
        <f t="shared" si="103"/>
        <v>235.61220746168163</v>
      </c>
      <c r="P135" s="247">
        <f t="shared" si="103"/>
        <v>108.79730491649688</v>
      </c>
      <c r="Q135" s="247">
        <f t="shared" si="103"/>
        <v>105.73833177628119</v>
      </c>
      <c r="R135" s="247">
        <f t="shared" si="103"/>
        <v>125.03358793114438</v>
      </c>
      <c r="S135" s="777">
        <f t="shared" si="103"/>
        <v>118.06739478475092</v>
      </c>
      <c r="T135" s="791">
        <f t="shared" si="103"/>
        <v>139.45495389602704</v>
      </c>
      <c r="U135" s="791">
        <f t="shared" si="103"/>
        <v>21.89389608939749</v>
      </c>
      <c r="V135" s="791">
        <f t="shared" si="103"/>
        <v>139.23662239645839</v>
      </c>
      <c r="W135" s="791">
        <f t="shared" si="103"/>
        <v>117.02044626797962</v>
      </c>
      <c r="X135" s="791">
        <f t="shared" si="103"/>
        <v>89.497203122244173</v>
      </c>
      <c r="Y135" s="791">
        <f t="shared" si="103"/>
        <v>146.61352691559125</v>
      </c>
      <c r="Z135" s="791">
        <f t="shared" ref="Z135:Z137" si="104">Y135/X135*100-100</f>
        <v>63.819115906149534</v>
      </c>
      <c r="AA135" s="791">
        <f t="shared" ref="AA135" si="105">Y135/U135*100-100</f>
        <v>569.65480386376487</v>
      </c>
      <c r="AB135" s="307"/>
      <c r="AC135" s="307"/>
    </row>
    <row r="136" spans="2:29" ht="25.5" customHeight="1">
      <c r="B136" s="189" t="s">
        <v>32</v>
      </c>
      <c r="C136" s="652">
        <v>8.4851243327318401E-2</v>
      </c>
      <c r="D136" s="247">
        <f t="shared" ref="D136:T136" si="106">D46/$C46*100</f>
        <v>110.02604320545299</v>
      </c>
      <c r="E136" s="247">
        <f t="shared" si="106"/>
        <v>108.35877548846102</v>
      </c>
      <c r="F136" s="247">
        <f t="shared" si="106"/>
        <v>97.033309694821327</v>
      </c>
      <c r="G136" s="247">
        <f t="shared" si="106"/>
        <v>84.581871611264702</v>
      </c>
      <c r="H136" s="247">
        <f t="shared" si="106"/>
        <v>111.40174779806267</v>
      </c>
      <c r="I136" s="247">
        <f t="shared" si="106"/>
        <v>0</v>
      </c>
      <c r="J136" s="247">
        <f t="shared" si="106"/>
        <v>0</v>
      </c>
      <c r="K136" s="247">
        <f t="shared" si="106"/>
        <v>0</v>
      </c>
      <c r="L136" s="247">
        <f t="shared" si="106"/>
        <v>90.493427951547872</v>
      </c>
      <c r="M136" s="247">
        <f t="shared" si="106"/>
        <v>83.786148153961108</v>
      </c>
      <c r="N136" s="247">
        <f t="shared" si="106"/>
        <v>146.80221462744296</v>
      </c>
      <c r="O136" s="247">
        <f t="shared" si="106"/>
        <v>132.85483434502527</v>
      </c>
      <c r="P136" s="247">
        <f t="shared" si="106"/>
        <v>110.61042045628065</v>
      </c>
      <c r="Q136" s="247">
        <f t="shared" si="106"/>
        <v>120.11123824740891</v>
      </c>
      <c r="R136" s="247">
        <f t="shared" si="106"/>
        <v>120.97021613990391</v>
      </c>
      <c r="S136" s="777">
        <f t="shared" si="106"/>
        <v>106.9674943218749</v>
      </c>
      <c r="T136" s="791">
        <f t="shared" si="106"/>
        <v>117.87806140748967</v>
      </c>
      <c r="U136" s="791">
        <v>0</v>
      </c>
      <c r="V136" s="791">
        <f t="shared" ref="V136:Y137" si="107">V46/$C46*100</f>
        <v>133.74795933843993</v>
      </c>
      <c r="W136" s="791">
        <f t="shared" si="107"/>
        <v>78.268847091384515</v>
      </c>
      <c r="X136" s="791">
        <f t="shared" si="107"/>
        <v>117.18928589441767</v>
      </c>
      <c r="Y136" s="791">
        <f t="shared" si="107"/>
        <v>0</v>
      </c>
      <c r="Z136" s="791">
        <f t="shared" si="104"/>
        <v>-100</v>
      </c>
      <c r="AA136" s="791">
        <v>0</v>
      </c>
      <c r="AB136" s="307"/>
      <c r="AC136" s="307"/>
    </row>
    <row r="137" spans="2:29" ht="25.5" customHeight="1">
      <c r="B137" s="248" t="s">
        <v>352</v>
      </c>
      <c r="C137" s="652">
        <v>4.5200417876962815E-2</v>
      </c>
      <c r="D137" s="247">
        <f t="shared" ref="D137:T137" si="108">D47/$C47*100</f>
        <v>94.515919404423926</v>
      </c>
      <c r="E137" s="247">
        <f t="shared" si="108"/>
        <v>125.61219254797771</v>
      </c>
      <c r="F137" s="247">
        <f t="shared" si="108"/>
        <v>105.37371601335241</v>
      </c>
      <c r="G137" s="247">
        <f t="shared" si="108"/>
        <v>74.498172034246025</v>
      </c>
      <c r="H137" s="247">
        <f t="shared" si="108"/>
        <v>79.653256324899843</v>
      </c>
      <c r="I137" s="247">
        <f t="shared" si="108"/>
        <v>83.44972131393294</v>
      </c>
      <c r="J137" s="247">
        <f t="shared" si="108"/>
        <v>78.086668329267141</v>
      </c>
      <c r="K137" s="247">
        <f t="shared" si="108"/>
        <v>0</v>
      </c>
      <c r="L137" s="247">
        <f t="shared" si="108"/>
        <v>88.342575420058751</v>
      </c>
      <c r="M137" s="247">
        <f t="shared" si="108"/>
        <v>59.501086343712316</v>
      </c>
      <c r="N137" s="247">
        <f t="shared" si="108"/>
        <v>71.180668368916784</v>
      </c>
      <c r="O137" s="247">
        <f t="shared" si="108"/>
        <v>61.064921329648534</v>
      </c>
      <c r="P137" s="247">
        <f t="shared" si="108"/>
        <v>86.583463084756602</v>
      </c>
      <c r="Q137" s="247">
        <f t="shared" si="108"/>
        <v>56.972330475566771</v>
      </c>
      <c r="R137" s="247">
        <f t="shared" si="108"/>
        <v>89.383134943131964</v>
      </c>
      <c r="S137" s="777">
        <f t="shared" si="108"/>
        <v>86.64345825895002</v>
      </c>
      <c r="T137" s="791">
        <f t="shared" si="108"/>
        <v>56.62555193702503</v>
      </c>
      <c r="U137" s="791">
        <f>U47/$C47*100</f>
        <v>0</v>
      </c>
      <c r="V137" s="791">
        <f t="shared" si="107"/>
        <v>85.576869119360637</v>
      </c>
      <c r="W137" s="791">
        <f t="shared" si="107"/>
        <v>75.983663457127477</v>
      </c>
      <c r="X137" s="791">
        <f t="shared" si="107"/>
        <v>99.797206348096239</v>
      </c>
      <c r="Y137" s="791">
        <f t="shared" si="107"/>
        <v>73.955409109732386</v>
      </c>
      <c r="Z137" s="791">
        <f t="shared" si="104"/>
        <v>-25.894309253734761</v>
      </c>
      <c r="AA137" s="791">
        <v>0</v>
      </c>
      <c r="AB137" s="307"/>
      <c r="AC137" s="307"/>
    </row>
    <row r="138" spans="2:29">
      <c r="B138" s="854" t="s">
        <v>446</v>
      </c>
      <c r="C138" s="868">
        <f>SUM(C139:C147)</f>
        <v>0.38204293811227824</v>
      </c>
      <c r="D138" s="883">
        <f>D48/$C48*100</f>
        <v>105.65264425549815</v>
      </c>
      <c r="E138" s="883">
        <f t="shared" ref="E138:X138" si="109">E48/$C48*100</f>
        <v>93.738865701367828</v>
      </c>
      <c r="F138" s="883">
        <f t="shared" si="109"/>
        <v>113.27611400290442</v>
      </c>
      <c r="G138" s="883">
        <f t="shared" si="109"/>
        <v>87.332376040229619</v>
      </c>
      <c r="H138" s="883">
        <f t="shared" si="109"/>
        <v>101.89600427053614</v>
      </c>
      <c r="I138" s="883">
        <f t="shared" si="109"/>
        <v>112.0764919747697</v>
      </c>
      <c r="J138" s="883">
        <f t="shared" si="109"/>
        <v>82.489851403608512</v>
      </c>
      <c r="K138" s="883">
        <f t="shared" si="109"/>
        <v>0</v>
      </c>
      <c r="L138" s="883">
        <f t="shared" si="109"/>
        <v>91.747980973181825</v>
      </c>
      <c r="M138" s="883">
        <f t="shared" si="109"/>
        <v>120.41102188418027</v>
      </c>
      <c r="N138" s="883">
        <f t="shared" si="109"/>
        <v>95.715200948086988</v>
      </c>
      <c r="O138" s="883">
        <f t="shared" si="109"/>
        <v>77.022091238554353</v>
      </c>
      <c r="P138" s="883">
        <f t="shared" si="109"/>
        <v>117.49015693869494</v>
      </c>
      <c r="Q138" s="883">
        <f t="shared" si="109"/>
        <v>108.44274592869287</v>
      </c>
      <c r="R138" s="883">
        <f t="shared" si="109"/>
        <v>82.395788372618995</v>
      </c>
      <c r="S138" s="883">
        <f t="shared" si="109"/>
        <v>87.042901874994627</v>
      </c>
      <c r="T138" s="883">
        <f t="shared" si="109"/>
        <v>119.02531364819049</v>
      </c>
      <c r="U138" s="883">
        <f t="shared" si="109"/>
        <v>51.959898513049417</v>
      </c>
      <c r="V138" s="883">
        <f t="shared" si="109"/>
        <v>74.416651010089268</v>
      </c>
      <c r="W138" s="883">
        <f t="shared" si="109"/>
        <v>75.417499943100964</v>
      </c>
      <c r="X138" s="883">
        <f t="shared" si="109"/>
        <v>128.73634580926912</v>
      </c>
      <c r="Y138" s="883">
        <f>Y48/$C48*100</f>
        <v>92.925764917446628</v>
      </c>
      <c r="Z138" s="883">
        <f>Y138/X138*100-100</f>
        <v>-27.816993457992112</v>
      </c>
      <c r="AA138" s="883">
        <f>Y138/U138*100-100</f>
        <v>78.841313352659597</v>
      </c>
      <c r="AB138" s="848"/>
      <c r="AC138" s="307"/>
    </row>
    <row r="139" spans="2:29" ht="25.5" customHeight="1">
      <c r="B139" s="189" t="s">
        <v>33</v>
      </c>
      <c r="C139" s="652">
        <v>4.9477743392723691E-2</v>
      </c>
      <c r="D139" s="247">
        <f t="shared" ref="D139:X139" si="110">D49/$C49*100</f>
        <v>109.84420038990504</v>
      </c>
      <c r="E139" s="247">
        <f t="shared" si="110"/>
        <v>143.43629532627742</v>
      </c>
      <c r="F139" s="247">
        <f t="shared" si="110"/>
        <v>46.817001846080721</v>
      </c>
      <c r="G139" s="247">
        <f t="shared" si="110"/>
        <v>99.902502437736842</v>
      </c>
      <c r="H139" s="247">
        <f t="shared" si="110"/>
        <v>77.394758704883444</v>
      </c>
      <c r="I139" s="247">
        <f t="shared" si="110"/>
        <v>132.41090884743681</v>
      </c>
      <c r="J139" s="247">
        <f t="shared" si="110"/>
        <v>21.04705965381239</v>
      </c>
      <c r="K139" s="247">
        <f t="shared" si="110"/>
        <v>0</v>
      </c>
      <c r="L139" s="247">
        <f t="shared" si="110"/>
        <v>101.70099136502063</v>
      </c>
      <c r="M139" s="247">
        <f t="shared" si="110"/>
        <v>123.43794961324113</v>
      </c>
      <c r="N139" s="247">
        <f t="shared" si="110"/>
        <v>97.098093879800231</v>
      </c>
      <c r="O139" s="247">
        <f t="shared" si="110"/>
        <v>44.130434777629091</v>
      </c>
      <c r="P139" s="247">
        <f t="shared" si="110"/>
        <v>66.191710235626871</v>
      </c>
      <c r="Q139" s="247">
        <f t="shared" si="110"/>
        <v>116.22453965433741</v>
      </c>
      <c r="R139" s="247">
        <f t="shared" si="110"/>
        <v>46.518645625962876</v>
      </c>
      <c r="S139" s="777">
        <f t="shared" si="110"/>
        <v>66.104696848707036</v>
      </c>
      <c r="T139" s="791">
        <f t="shared" si="110"/>
        <v>132.81483432242757</v>
      </c>
      <c r="U139" s="791">
        <f t="shared" si="110"/>
        <v>113.26017148830691</v>
      </c>
      <c r="V139" s="791">
        <f t="shared" si="110"/>
        <v>43.058939688183635</v>
      </c>
      <c r="W139" s="791">
        <f t="shared" si="110"/>
        <v>46.803255367367498</v>
      </c>
      <c r="X139" s="791">
        <f t="shared" si="110"/>
        <v>215.26231408999638</v>
      </c>
      <c r="Y139" s="791">
        <f>Y49/$C49*100</f>
        <v>139.92131897843495</v>
      </c>
      <c r="Z139" s="791">
        <f>Y139/X139*100-100</f>
        <v>-34.999621475806975</v>
      </c>
      <c r="AA139" s="791">
        <f>Y139/U139*100-100</f>
        <v>23.539737879419121</v>
      </c>
      <c r="AB139" s="307"/>
      <c r="AC139" s="307"/>
    </row>
    <row r="140" spans="2:29" ht="25.5" customHeight="1">
      <c r="B140" s="189" t="s">
        <v>34</v>
      </c>
      <c r="C140" s="652">
        <v>1.650542326169813E-2</v>
      </c>
      <c r="D140" s="247">
        <f t="shared" ref="D140:Y140" si="111">D50/$C50*100</f>
        <v>153.08557418649121</v>
      </c>
      <c r="E140" s="247">
        <f t="shared" si="111"/>
        <v>0</v>
      </c>
      <c r="F140" s="247">
        <f t="shared" si="111"/>
        <v>135.35656991269354</v>
      </c>
      <c r="G140" s="247">
        <f t="shared" si="111"/>
        <v>111.5578559008152</v>
      </c>
      <c r="H140" s="247">
        <f t="shared" si="111"/>
        <v>139.30961011466312</v>
      </c>
      <c r="I140" s="247">
        <f t="shared" si="111"/>
        <v>0</v>
      </c>
      <c r="J140" s="247">
        <f t="shared" si="111"/>
        <v>0</v>
      </c>
      <c r="K140" s="247">
        <f t="shared" si="111"/>
        <v>0</v>
      </c>
      <c r="L140" s="247">
        <f t="shared" si="111"/>
        <v>150.79669583015064</v>
      </c>
      <c r="M140" s="247">
        <f t="shared" si="111"/>
        <v>0</v>
      </c>
      <c r="N140" s="247">
        <f t="shared" si="111"/>
        <v>180.87548685080193</v>
      </c>
      <c r="O140" s="247">
        <f t="shared" si="111"/>
        <v>58.835972301303755</v>
      </c>
      <c r="P140" s="247">
        <f t="shared" si="111"/>
        <v>78.247702802165591</v>
      </c>
      <c r="Q140" s="247">
        <f t="shared" si="111"/>
        <v>0</v>
      </c>
      <c r="R140" s="247">
        <f t="shared" si="111"/>
        <v>127.20259769795359</v>
      </c>
      <c r="S140" s="777">
        <f t="shared" si="111"/>
        <v>94.085729152806948</v>
      </c>
      <c r="T140" s="791">
        <f t="shared" si="111"/>
        <v>16.514085789900566</v>
      </c>
      <c r="U140" s="791">
        <f t="shared" si="111"/>
        <v>0</v>
      </c>
      <c r="V140" s="791">
        <f t="shared" si="111"/>
        <v>67.675250664186294</v>
      </c>
      <c r="W140" s="791">
        <f t="shared" si="111"/>
        <v>97.061153854556721</v>
      </c>
      <c r="X140" s="791">
        <f t="shared" si="111"/>
        <v>0</v>
      </c>
      <c r="Y140" s="791">
        <f t="shared" si="111"/>
        <v>0</v>
      </c>
      <c r="Z140" s="791">
        <v>0</v>
      </c>
      <c r="AA140" s="791">
        <v>0</v>
      </c>
      <c r="AB140" s="307"/>
      <c r="AC140" s="307"/>
    </row>
    <row r="141" spans="2:29" ht="25.5" customHeight="1">
      <c r="B141" s="189" t="s">
        <v>348</v>
      </c>
      <c r="C141" s="652">
        <v>1.7680926210311088E-2</v>
      </c>
      <c r="D141" s="247">
        <f t="shared" ref="D141:T141" si="112">D51/$C51*100</f>
        <v>158.56288412538697</v>
      </c>
      <c r="E141" s="247">
        <f t="shared" si="112"/>
        <v>0</v>
      </c>
      <c r="F141" s="247">
        <f t="shared" si="112"/>
        <v>127.37549147699474</v>
      </c>
      <c r="G141" s="247">
        <f t="shared" si="112"/>
        <v>114.06162439761825</v>
      </c>
      <c r="H141" s="247">
        <f t="shared" si="112"/>
        <v>108.62088274299681</v>
      </c>
      <c r="I141" s="247">
        <f t="shared" si="112"/>
        <v>151.22729821313311</v>
      </c>
      <c r="J141" s="247">
        <f t="shared" si="112"/>
        <v>85.981055735295655</v>
      </c>
      <c r="K141" s="247">
        <f t="shared" si="112"/>
        <v>0</v>
      </c>
      <c r="L141" s="247">
        <f t="shared" si="112"/>
        <v>108.35854332943929</v>
      </c>
      <c r="M141" s="247">
        <f t="shared" si="112"/>
        <v>178.47289443151752</v>
      </c>
      <c r="N141" s="247">
        <f t="shared" si="112"/>
        <v>166.34756123921042</v>
      </c>
      <c r="O141" s="247">
        <f t="shared" si="112"/>
        <v>116.55264886390864</v>
      </c>
      <c r="P141" s="247">
        <f t="shared" si="112"/>
        <v>155.21112700868431</v>
      </c>
      <c r="Q141" s="247">
        <f t="shared" si="112"/>
        <v>168.58829749566931</v>
      </c>
      <c r="R141" s="247">
        <f t="shared" si="112"/>
        <v>166.97730580998802</v>
      </c>
      <c r="S141" s="777">
        <f t="shared" si="112"/>
        <v>128.96608167624743</v>
      </c>
      <c r="T141" s="791">
        <f t="shared" si="112"/>
        <v>180.17127676206326</v>
      </c>
      <c r="U141" s="791">
        <v>0</v>
      </c>
      <c r="V141" s="791">
        <f t="shared" ref="V141:Y147" si="113">V51/$C51*100</f>
        <v>236.04195398417457</v>
      </c>
      <c r="W141" s="791">
        <f t="shared" si="113"/>
        <v>163.9744522794276</v>
      </c>
      <c r="X141" s="791">
        <f t="shared" si="113"/>
        <v>52.012100846675494</v>
      </c>
      <c r="Y141" s="791">
        <f t="shared" si="113"/>
        <v>0</v>
      </c>
      <c r="Z141" s="791">
        <f t="shared" ref="Z141:Z147" si="114">Y141/X141*100-100</f>
        <v>-100</v>
      </c>
      <c r="AA141" s="791">
        <v>0</v>
      </c>
      <c r="AB141" s="307"/>
      <c r="AC141" s="307"/>
    </row>
    <row r="142" spans="2:29" ht="25.5" customHeight="1">
      <c r="B142" s="189" t="s">
        <v>37</v>
      </c>
      <c r="C142" s="652">
        <v>8.3183856904019068E-2</v>
      </c>
      <c r="D142" s="247">
        <f t="shared" ref="D142:T142" si="115">D52/$C52*100</f>
        <v>117.51021140151659</v>
      </c>
      <c r="E142" s="247">
        <f t="shared" si="115"/>
        <v>123.47202803915374</v>
      </c>
      <c r="F142" s="247">
        <f t="shared" si="115"/>
        <v>54.236058830453906</v>
      </c>
      <c r="G142" s="247">
        <f t="shared" si="115"/>
        <v>104.78170172887573</v>
      </c>
      <c r="H142" s="247">
        <f t="shared" si="115"/>
        <v>269.63940832410975</v>
      </c>
      <c r="I142" s="247">
        <f t="shared" si="115"/>
        <v>79.537504550153571</v>
      </c>
      <c r="J142" s="247">
        <f t="shared" si="115"/>
        <v>122.51339929506916</v>
      </c>
      <c r="K142" s="247">
        <f t="shared" si="115"/>
        <v>0</v>
      </c>
      <c r="L142" s="247">
        <f t="shared" si="115"/>
        <v>93.820110503529079</v>
      </c>
      <c r="M142" s="247">
        <f t="shared" si="115"/>
        <v>119.03235101834942</v>
      </c>
      <c r="N142" s="247">
        <f t="shared" si="115"/>
        <v>172.63054195126878</v>
      </c>
      <c r="O142" s="247">
        <f t="shared" si="115"/>
        <v>124.5764707215469</v>
      </c>
      <c r="P142" s="247">
        <f t="shared" si="115"/>
        <v>248.75052272332883</v>
      </c>
      <c r="Q142" s="247">
        <f t="shared" si="115"/>
        <v>155.27903840821273</v>
      </c>
      <c r="R142" s="247">
        <f t="shared" si="115"/>
        <v>91.33994299232333</v>
      </c>
      <c r="S142" s="777">
        <f t="shared" si="115"/>
        <v>150.58850288685997</v>
      </c>
      <c r="T142" s="791">
        <f t="shared" si="115"/>
        <v>360.18761419867053</v>
      </c>
      <c r="U142" s="791">
        <f t="shared" ref="U142:U147" si="116">U52/$C52*100</f>
        <v>90.592960936995908</v>
      </c>
      <c r="V142" s="791">
        <f t="shared" si="113"/>
        <v>101.66479909415536</v>
      </c>
      <c r="W142" s="791">
        <f t="shared" si="113"/>
        <v>124.05648624100047</v>
      </c>
      <c r="X142" s="791">
        <f t="shared" si="113"/>
        <v>235.28416361130152</v>
      </c>
      <c r="Y142" s="791">
        <f t="shared" si="113"/>
        <v>124.26081260241064</v>
      </c>
      <c r="Z142" s="791">
        <f t="shared" si="114"/>
        <v>-47.186920405023827</v>
      </c>
      <c r="AA142" s="791">
        <f t="shared" ref="AA142:AA146" si="117">Y142/U142*100-100</f>
        <v>37.16387158250572</v>
      </c>
      <c r="AB142" s="307"/>
      <c r="AC142" s="307"/>
    </row>
    <row r="143" spans="2:29" ht="25.5" customHeight="1">
      <c r="B143" s="189" t="s">
        <v>349</v>
      </c>
      <c r="C143" s="652">
        <v>7.2445744983953272E-2</v>
      </c>
      <c r="D143" s="247">
        <f t="shared" ref="D143:T143" si="118">D53/$C53*100</f>
        <v>81.210963777629814</v>
      </c>
      <c r="E143" s="247">
        <f t="shared" si="118"/>
        <v>107.93483755560709</v>
      </c>
      <c r="F143" s="247">
        <f t="shared" si="118"/>
        <v>115.02091094129013</v>
      </c>
      <c r="G143" s="247">
        <f t="shared" si="118"/>
        <v>95.833287725473042</v>
      </c>
      <c r="H143" s="247">
        <f t="shared" si="118"/>
        <v>143.44839820456266</v>
      </c>
      <c r="I143" s="247">
        <f t="shared" si="118"/>
        <v>127.21806547774474</v>
      </c>
      <c r="J143" s="247">
        <f t="shared" si="118"/>
        <v>81.535178792185263</v>
      </c>
      <c r="K143" s="247">
        <f t="shared" si="118"/>
        <v>0</v>
      </c>
      <c r="L143" s="247">
        <f t="shared" si="118"/>
        <v>106.85815301962087</v>
      </c>
      <c r="M143" s="247">
        <f t="shared" si="118"/>
        <v>158.95712417531138</v>
      </c>
      <c r="N143" s="247">
        <f t="shared" si="118"/>
        <v>49.699312910535063</v>
      </c>
      <c r="O143" s="247">
        <f t="shared" si="118"/>
        <v>137.22907208610755</v>
      </c>
      <c r="P143" s="247">
        <f t="shared" si="118"/>
        <v>101.26026073141452</v>
      </c>
      <c r="Q143" s="247">
        <f t="shared" si="118"/>
        <v>77.765787745038821</v>
      </c>
      <c r="R143" s="247">
        <f t="shared" si="118"/>
        <v>111.69133423386943</v>
      </c>
      <c r="S143" s="777">
        <f t="shared" si="118"/>
        <v>74.2931759837942</v>
      </c>
      <c r="T143" s="791">
        <f t="shared" si="118"/>
        <v>181.57874631068748</v>
      </c>
      <c r="U143" s="791">
        <f t="shared" si="116"/>
        <v>134.15198730392783</v>
      </c>
      <c r="V143" s="791">
        <f t="shared" si="113"/>
        <v>58.62623224475616</v>
      </c>
      <c r="W143" s="791">
        <f t="shared" si="113"/>
        <v>91.636909432516902</v>
      </c>
      <c r="X143" s="791">
        <f t="shared" si="113"/>
        <v>124.33667012274792</v>
      </c>
      <c r="Y143" s="791">
        <f t="shared" si="113"/>
        <v>89.273128678677807</v>
      </c>
      <c r="Z143" s="791">
        <f t="shared" si="114"/>
        <v>-28.200482938343612</v>
      </c>
      <c r="AA143" s="791">
        <f t="shared" si="117"/>
        <v>-33.453741183553845</v>
      </c>
      <c r="AB143" s="307"/>
      <c r="AC143" s="307"/>
    </row>
    <row r="144" spans="2:29" ht="25.5" customHeight="1">
      <c r="B144" s="189" t="s">
        <v>39</v>
      </c>
      <c r="C144" s="652">
        <v>7.3872117464282424E-3</v>
      </c>
      <c r="D144" s="247">
        <f t="shared" ref="D144:T144" si="119">D54/$C54*100</f>
        <v>94.266874435199426</v>
      </c>
      <c r="E144" s="247">
        <f t="shared" si="119"/>
        <v>135.60309265659015</v>
      </c>
      <c r="F144" s="247">
        <f t="shared" si="119"/>
        <v>84.515223764751497</v>
      </c>
      <c r="G144" s="247">
        <f t="shared" si="119"/>
        <v>85.614809143458942</v>
      </c>
      <c r="H144" s="247">
        <f t="shared" si="119"/>
        <v>97.833933109524494</v>
      </c>
      <c r="I144" s="247">
        <f t="shared" si="119"/>
        <v>92.472728813031807</v>
      </c>
      <c r="J144" s="247">
        <f t="shared" si="119"/>
        <v>120.65916077924355</v>
      </c>
      <c r="K144" s="247">
        <f t="shared" si="119"/>
        <v>0</v>
      </c>
      <c r="L144" s="247">
        <f t="shared" si="119"/>
        <v>88.652263117988895</v>
      </c>
      <c r="M144" s="247">
        <f t="shared" si="119"/>
        <v>99.112990703850485</v>
      </c>
      <c r="N144" s="247">
        <f t="shared" si="119"/>
        <v>69.057859070130476</v>
      </c>
      <c r="O144" s="247">
        <f t="shared" si="119"/>
        <v>59.669971746079121</v>
      </c>
      <c r="P144" s="247">
        <f t="shared" si="119"/>
        <v>79.178275914419729</v>
      </c>
      <c r="Q144" s="247">
        <f t="shared" si="119"/>
        <v>134.13555665514897</v>
      </c>
      <c r="R144" s="247">
        <f t="shared" si="119"/>
        <v>72.134930643904781</v>
      </c>
      <c r="S144" s="777">
        <f t="shared" si="119"/>
        <v>80.291158082469494</v>
      </c>
      <c r="T144" s="791">
        <f t="shared" si="119"/>
        <v>104.41500073046586</v>
      </c>
      <c r="U144" s="791">
        <f t="shared" si="116"/>
        <v>0</v>
      </c>
      <c r="V144" s="791">
        <f t="shared" si="113"/>
        <v>64.146666093714472</v>
      </c>
      <c r="W144" s="791">
        <f t="shared" si="113"/>
        <v>48.102203790262067</v>
      </c>
      <c r="X144" s="791">
        <f t="shared" si="113"/>
        <v>34.676775725721924</v>
      </c>
      <c r="Y144" s="791">
        <f t="shared" si="113"/>
        <v>60.444175652391898</v>
      </c>
      <c r="Z144" s="791">
        <f t="shared" si="114"/>
        <v>74.307369665734768</v>
      </c>
      <c r="AA144" s="791">
        <v>0</v>
      </c>
      <c r="AB144" s="307"/>
      <c r="AC144" s="307"/>
    </row>
    <row r="145" spans="2:29" ht="25.5" customHeight="1">
      <c r="B145" s="189" t="s">
        <v>40</v>
      </c>
      <c r="C145" s="652">
        <v>4.471928595363571E-2</v>
      </c>
      <c r="D145" s="247">
        <f t="shared" ref="D145:T145" si="120">D55/$C55*100</f>
        <v>124.46777233834906</v>
      </c>
      <c r="E145" s="247">
        <f t="shared" si="120"/>
        <v>129.06609253971706</v>
      </c>
      <c r="F145" s="247">
        <f t="shared" si="120"/>
        <v>121.37269145896911</v>
      </c>
      <c r="G145" s="247">
        <f t="shared" si="120"/>
        <v>25.093443662964749</v>
      </c>
      <c r="H145" s="247">
        <f t="shared" si="120"/>
        <v>69.563907479225236</v>
      </c>
      <c r="I145" s="247">
        <f t="shared" si="120"/>
        <v>54.580740371838296</v>
      </c>
      <c r="J145" s="247">
        <f t="shared" si="120"/>
        <v>233.57804450385404</v>
      </c>
      <c r="K145" s="247">
        <f t="shared" si="120"/>
        <v>0</v>
      </c>
      <c r="L145" s="247">
        <f t="shared" si="120"/>
        <v>79.814094315442503</v>
      </c>
      <c r="M145" s="247">
        <f t="shared" si="120"/>
        <v>40.225812741570252</v>
      </c>
      <c r="N145" s="247">
        <f t="shared" si="120"/>
        <v>75.764974403520441</v>
      </c>
      <c r="O145" s="247">
        <f t="shared" si="120"/>
        <v>168.49465705274099</v>
      </c>
      <c r="P145" s="247">
        <f t="shared" si="120"/>
        <v>85.994977676456699</v>
      </c>
      <c r="Q145" s="247">
        <f t="shared" si="120"/>
        <v>44.836353182237694</v>
      </c>
      <c r="R145" s="247">
        <f t="shared" si="120"/>
        <v>93.313483725754182</v>
      </c>
      <c r="S145" s="777">
        <f t="shared" si="120"/>
        <v>106.06737069951184</v>
      </c>
      <c r="T145" s="791">
        <f t="shared" si="120"/>
        <v>70.950843676027702</v>
      </c>
      <c r="U145" s="791">
        <f t="shared" si="116"/>
        <v>61.809033461017151</v>
      </c>
      <c r="V145" s="791">
        <f t="shared" si="113"/>
        <v>78.156007693383202</v>
      </c>
      <c r="W145" s="791">
        <f t="shared" si="113"/>
        <v>69.720779415342435</v>
      </c>
      <c r="X145" s="791">
        <f t="shared" si="113"/>
        <v>58.985378031034315</v>
      </c>
      <c r="Y145" s="791">
        <f t="shared" si="113"/>
        <v>61.937008610715914</v>
      </c>
      <c r="Z145" s="791">
        <f t="shared" si="114"/>
        <v>5.004003836558681</v>
      </c>
      <c r="AA145" s="791">
        <f t="shared" si="117"/>
        <v>0.20704926534642709</v>
      </c>
      <c r="AB145" s="307"/>
      <c r="AC145" s="307"/>
    </row>
    <row r="146" spans="2:29" ht="25.5" customHeight="1">
      <c r="B146" s="189" t="s">
        <v>41</v>
      </c>
      <c r="C146" s="652">
        <v>2.5611987262995482E-2</v>
      </c>
      <c r="D146" s="247">
        <f t="shared" ref="D146:T146" si="121">D56/$C56*100</f>
        <v>64.805651485799089</v>
      </c>
      <c r="E146" s="247">
        <f t="shared" si="121"/>
        <v>81.85907606565948</v>
      </c>
      <c r="F146" s="247">
        <f t="shared" si="121"/>
        <v>156.54582536083842</v>
      </c>
      <c r="G146" s="247">
        <f t="shared" si="121"/>
        <v>96.789447087702982</v>
      </c>
      <c r="H146" s="247">
        <f t="shared" si="121"/>
        <v>63.313761463401228</v>
      </c>
      <c r="I146" s="247">
        <f t="shared" si="121"/>
        <v>69.578269861578448</v>
      </c>
      <c r="J146" s="247">
        <f t="shared" si="121"/>
        <v>46.06849964382242</v>
      </c>
      <c r="K146" s="247">
        <f t="shared" si="121"/>
        <v>0</v>
      </c>
      <c r="L146" s="247">
        <f t="shared" si="121"/>
        <v>64.479813170739575</v>
      </c>
      <c r="M146" s="247">
        <f t="shared" si="121"/>
        <v>82.684479278764343</v>
      </c>
      <c r="N146" s="247">
        <f t="shared" si="121"/>
        <v>63.584965012156644</v>
      </c>
      <c r="O146" s="247">
        <f t="shared" si="121"/>
        <v>35.002447792703848</v>
      </c>
      <c r="P146" s="247">
        <f t="shared" si="121"/>
        <v>147.46853929411014</v>
      </c>
      <c r="Q146" s="247">
        <f t="shared" si="121"/>
        <v>81.253192363897469</v>
      </c>
      <c r="R146" s="247">
        <f t="shared" si="121"/>
        <v>38.71652451840373</v>
      </c>
      <c r="S146" s="777">
        <f t="shared" si="121"/>
        <v>83.430545312584243</v>
      </c>
      <c r="T146" s="791">
        <f t="shared" si="121"/>
        <v>90.075365428630462</v>
      </c>
      <c r="U146" s="791">
        <f t="shared" si="116"/>
        <v>63.573437487732591</v>
      </c>
      <c r="V146" s="791">
        <f t="shared" si="113"/>
        <v>42.820744061628993</v>
      </c>
      <c r="W146" s="791">
        <f t="shared" si="113"/>
        <v>45.43177692520625</v>
      </c>
      <c r="X146" s="791">
        <f t="shared" si="113"/>
        <v>124.83891437590205</v>
      </c>
      <c r="Y146" s="791">
        <f t="shared" si="113"/>
        <v>125.43711165599854</v>
      </c>
      <c r="Z146" s="791">
        <f t="shared" si="114"/>
        <v>0.47917533013404068</v>
      </c>
      <c r="AA146" s="791">
        <f t="shared" si="117"/>
        <v>97.310569654509294</v>
      </c>
    </row>
    <row r="147" spans="2:29" ht="25.5" customHeight="1">
      <c r="B147" s="189" t="s">
        <v>350</v>
      </c>
      <c r="C147" s="652">
        <v>6.5030758396513608E-2</v>
      </c>
      <c r="D147" s="247">
        <f t="shared" ref="D147:T147" si="122">D57/$C57*100</f>
        <v>113.94963687080917</v>
      </c>
      <c r="E147" s="247">
        <f t="shared" si="122"/>
        <v>125.37769270619921</v>
      </c>
      <c r="F147" s="247">
        <f t="shared" si="122"/>
        <v>96.96847903861584</v>
      </c>
      <c r="G147" s="247">
        <f t="shared" si="122"/>
        <v>63.704191384375783</v>
      </c>
      <c r="H147" s="247">
        <f t="shared" si="122"/>
        <v>80.859384289009441</v>
      </c>
      <c r="I147" s="247">
        <f t="shared" si="122"/>
        <v>277.05736538278683</v>
      </c>
      <c r="J147" s="247">
        <f t="shared" si="122"/>
        <v>100.12934479762833</v>
      </c>
      <c r="K147" s="247">
        <f t="shared" si="122"/>
        <v>0</v>
      </c>
      <c r="L147" s="247">
        <f t="shared" si="122"/>
        <v>81.065640961272479</v>
      </c>
      <c r="M147" s="247">
        <f t="shared" si="122"/>
        <v>273.41895600945242</v>
      </c>
      <c r="N147" s="247">
        <f t="shared" si="122"/>
        <v>76.924262679625699</v>
      </c>
      <c r="O147" s="247">
        <f t="shared" si="122"/>
        <v>46.73566244639855</v>
      </c>
      <c r="P147" s="247">
        <f t="shared" si="122"/>
        <v>103.8706720842416</v>
      </c>
      <c r="Q147" s="247">
        <f t="shared" si="122"/>
        <v>221.8128302033891</v>
      </c>
      <c r="R147" s="247">
        <f t="shared" si="122"/>
        <v>80.191825956305664</v>
      </c>
      <c r="S147" s="777">
        <f t="shared" si="122"/>
        <v>51.729422708210826</v>
      </c>
      <c r="T147" s="791">
        <f t="shared" si="122"/>
        <v>91.514357773772318</v>
      </c>
      <c r="U147" s="791">
        <f t="shared" si="116"/>
        <v>0</v>
      </c>
      <c r="V147" s="791">
        <f>V57/$C57*100</f>
        <v>69.031494287004733</v>
      </c>
      <c r="W147" s="791">
        <f t="shared" si="113"/>
        <v>69.702761442589548</v>
      </c>
      <c r="X147" s="791">
        <f t="shared" si="113"/>
        <v>251.57744856620724</v>
      </c>
      <c r="Y147" s="791">
        <f t="shared" si="113"/>
        <v>142.98218388060556</v>
      </c>
      <c r="Z147" s="791">
        <f t="shared" si="114"/>
        <v>-43.165738942225907</v>
      </c>
      <c r="AA147" s="791">
        <v>0</v>
      </c>
    </row>
    <row r="148" spans="2:29" ht="25.5" customHeight="1">
      <c r="B148" s="639"/>
      <c r="C148" s="846">
        <v>1</v>
      </c>
      <c r="D148" s="630">
        <f>SUMPRODUCT($C126:$C132,D126:D132)+SUMPRODUCT($C$134:$C$137,D134:D137)+SUMPRODUCT($C$139:$C$147,D139:D147)</f>
        <v>107.62607165101561</v>
      </c>
      <c r="E148" s="630">
        <f t="shared" ref="E148:T148" si="123">SUMPRODUCT($C126:$C132,E126:E132)+SUMPRODUCT($C$134:$C$137,E134:E137)+SUMPRODUCT($C$139:$C$147,E139:E147)</f>
        <v>106.95269581135283</v>
      </c>
      <c r="F148" s="630">
        <f t="shared" si="123"/>
        <v>102.36541084409393</v>
      </c>
      <c r="G148" s="630">
        <f t="shared" si="123"/>
        <v>83.055821693537496</v>
      </c>
      <c r="H148" s="630">
        <f t="shared" si="123"/>
        <v>115.01551541092783</v>
      </c>
      <c r="I148" s="630">
        <f t="shared" si="123"/>
        <v>91.009314307963081</v>
      </c>
      <c r="J148" s="630">
        <f t="shared" si="123"/>
        <v>96.704439021118446</v>
      </c>
      <c r="K148" s="630">
        <f t="shared" si="123"/>
        <v>0</v>
      </c>
      <c r="L148" s="630">
        <f t="shared" si="123"/>
        <v>96.407230557289168</v>
      </c>
      <c r="M148" s="630">
        <f t="shared" si="123"/>
        <v>101.28344969494913</v>
      </c>
      <c r="N148" s="630">
        <f t="shared" si="123"/>
        <v>98.451575616439897</v>
      </c>
      <c r="O148" s="630">
        <f t="shared" si="123"/>
        <v>106.972894003325</v>
      </c>
      <c r="P148" s="630">
        <f t="shared" si="123"/>
        <v>111.13386334964942</v>
      </c>
      <c r="Q148" s="630">
        <f t="shared" si="123"/>
        <v>104.55959549677866</v>
      </c>
      <c r="R148" s="630">
        <f t="shared" si="123"/>
        <v>94.596093618080602</v>
      </c>
      <c r="S148" s="630">
        <f t="shared" si="123"/>
        <v>95.77405757163578</v>
      </c>
      <c r="T148" s="630">
        <f t="shared" si="123"/>
        <v>125.82091311022765</v>
      </c>
      <c r="U148" s="630">
        <f>SUMPRODUCT($C126:$C132,U126:U132)+SUMPRODUCT($C$134:$C$137,U134:U137)+SUMPRODUCT($C$139:$C$147,U139:U147)</f>
        <v>56.937233714247014</v>
      </c>
      <c r="V148" s="630">
        <f>SUMPRODUCT($C126:$C132,V126:V132)+SUMPRODUCT($C$134:$C$137,V134:V137)+SUMPRODUCT($C$139:$C$147,V139:V147)</f>
        <v>92.849812273286688</v>
      </c>
      <c r="W148" s="630">
        <f>SUMPRODUCT($C126:$C132,W126:W132)+SUMPRODUCT($C$134:$C$137,W134:W137)+SUMPRODUCT($C$139:$C$147,W139:W147)</f>
        <v>91.055500440724586</v>
      </c>
      <c r="X148" s="630">
        <f>SUMPRODUCT($C126:$C132,X126:X132)+SUMPRODUCT($C$134:$C$137,X134:X137)+SUMPRODUCT($C$139:$C$147,X139:X147)</f>
        <v>118.464163541655</v>
      </c>
      <c r="Y148" s="630">
        <f>SUMPRODUCT($C126:$C132,Y126:Y132)+SUMPRODUCT($C$134:$C$137,Y134:Y137)+SUMPRODUCT($C$139:$C$147,Y139:Y147)</f>
        <v>85.339734753314048</v>
      </c>
      <c r="Z148" s="630">
        <f>Y148/X148*100-100</f>
        <v>-27.96156052432984</v>
      </c>
      <c r="AA148" s="630">
        <f>Y148/U148*100-100</f>
        <v>49.883879469121581</v>
      </c>
    </row>
    <row r="149" spans="2:29">
      <c r="B149" s="619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4"/>
      <c r="U149" s="244"/>
      <c r="V149" s="244"/>
      <c r="W149" s="244"/>
      <c r="X149" s="244"/>
      <c r="Y149" s="244"/>
      <c r="Z149" s="244"/>
      <c r="AA149" s="244"/>
    </row>
    <row r="150" spans="2:29">
      <c r="B150" s="640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265"/>
      <c r="T150" s="267"/>
      <c r="U150" s="267"/>
      <c r="V150" s="267"/>
      <c r="W150" s="267"/>
      <c r="X150" s="267"/>
      <c r="Y150" s="267"/>
      <c r="Z150" s="267"/>
      <c r="AA150" s="267"/>
    </row>
    <row r="151" spans="2:29" ht="18.5">
      <c r="B151" s="614" t="s">
        <v>164</v>
      </c>
      <c r="C151" s="266"/>
      <c r="D151" s="265"/>
      <c r="E151" s="265"/>
      <c r="F151" s="265"/>
      <c r="G151" s="265"/>
      <c r="H151" s="265"/>
      <c r="I151" s="265"/>
      <c r="J151" s="265"/>
      <c r="K151" s="265"/>
      <c r="L151" s="265"/>
      <c r="M151" s="265"/>
      <c r="N151" s="265"/>
      <c r="O151" s="265"/>
      <c r="P151" s="266"/>
      <c r="Q151" s="266"/>
      <c r="R151" s="266"/>
      <c r="S151" s="266"/>
      <c r="T151" s="267"/>
      <c r="U151" s="267"/>
      <c r="V151" s="267"/>
      <c r="W151" s="267"/>
      <c r="X151" s="267"/>
      <c r="Y151" s="267"/>
      <c r="Z151" s="267"/>
      <c r="AA151" s="267"/>
    </row>
    <row r="152" spans="2:29" ht="8.25" customHeight="1">
      <c r="B152" s="641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7"/>
      <c r="U152" s="267"/>
      <c r="V152" s="267"/>
      <c r="W152" s="267"/>
      <c r="X152" s="267"/>
      <c r="Y152" s="267"/>
      <c r="Z152" s="267"/>
      <c r="AA152" s="267"/>
    </row>
    <row r="153" spans="2:29" ht="31.5" customHeight="1">
      <c r="B153" s="853" t="s">
        <v>56</v>
      </c>
      <c r="C153" s="270" t="s">
        <v>216</v>
      </c>
      <c r="D153" s="270" t="s">
        <v>314</v>
      </c>
      <c r="E153" s="270" t="s">
        <v>317</v>
      </c>
      <c r="F153" s="270" t="s">
        <v>343</v>
      </c>
      <c r="G153" s="270" t="s">
        <v>323</v>
      </c>
      <c r="H153" s="270" t="s">
        <v>302</v>
      </c>
      <c r="I153" s="270" t="s">
        <v>305</v>
      </c>
      <c r="J153" s="270" t="s">
        <v>344</v>
      </c>
      <c r="K153" s="270" t="s">
        <v>311</v>
      </c>
      <c r="L153" s="270" t="s">
        <v>168</v>
      </c>
      <c r="M153" s="270" t="s">
        <v>171</v>
      </c>
      <c r="N153" s="270" t="s">
        <v>345</v>
      </c>
      <c r="O153" s="270" t="s">
        <v>177</v>
      </c>
      <c r="P153" s="270" t="s">
        <v>180</v>
      </c>
      <c r="Q153" s="270" t="s">
        <v>334</v>
      </c>
      <c r="R153" s="270" t="s">
        <v>346</v>
      </c>
      <c r="S153" s="270" t="s">
        <v>389</v>
      </c>
      <c r="T153" s="270" t="s">
        <v>401</v>
      </c>
      <c r="U153" s="270" t="s">
        <v>430</v>
      </c>
      <c r="V153" s="270" t="s">
        <v>431</v>
      </c>
      <c r="W153" s="270" t="s">
        <v>432</v>
      </c>
      <c r="X153" s="270" t="s">
        <v>444</v>
      </c>
      <c r="Y153" s="270" t="s">
        <v>458</v>
      </c>
      <c r="Z153" s="855" t="s">
        <v>347</v>
      </c>
      <c r="AA153" s="855" t="s">
        <v>347</v>
      </c>
    </row>
    <row r="154" spans="2:29">
      <c r="B154" s="856" t="s">
        <v>445</v>
      </c>
      <c r="C154" s="869">
        <f>SUM(C155:C161)</f>
        <v>46.208333333333336</v>
      </c>
      <c r="D154" s="869">
        <f t="shared" ref="D154:X154" si="124">SUM(D155:D161)</f>
        <v>73.833333333333329</v>
      </c>
      <c r="E154" s="869">
        <f t="shared" si="124"/>
        <v>46.833333333333336</v>
      </c>
      <c r="F154" s="869">
        <f t="shared" si="124"/>
        <v>48.000000000000007</v>
      </c>
      <c r="G154" s="869">
        <f t="shared" si="124"/>
        <v>16.166666666666668</v>
      </c>
      <c r="H154" s="869">
        <f t="shared" si="124"/>
        <v>66.666666666666657</v>
      </c>
      <c r="I154" s="869">
        <f t="shared" si="124"/>
        <v>196.83333333333334</v>
      </c>
      <c r="J154" s="869">
        <f t="shared" si="124"/>
        <v>40.666666666666664</v>
      </c>
      <c r="K154" s="869">
        <f t="shared" si="124"/>
        <v>0</v>
      </c>
      <c r="L154" s="869">
        <f t="shared" si="124"/>
        <v>51</v>
      </c>
      <c r="M154" s="869">
        <f t="shared" si="124"/>
        <v>186</v>
      </c>
      <c r="N154" s="869">
        <f t="shared" si="124"/>
        <v>158.16666666666666</v>
      </c>
      <c r="O154" s="869">
        <f t="shared" si="124"/>
        <v>103.83333333333334</v>
      </c>
      <c r="P154" s="869">
        <f t="shared" si="124"/>
        <v>78.333333333333343</v>
      </c>
      <c r="Q154" s="869">
        <f t="shared" si="124"/>
        <v>175.33333333333334</v>
      </c>
      <c r="R154" s="869">
        <f t="shared" si="124"/>
        <v>178.5</v>
      </c>
      <c r="S154" s="869">
        <f t="shared" si="124"/>
        <v>133.66666666666666</v>
      </c>
      <c r="T154" s="869">
        <f t="shared" si="124"/>
        <v>103.66666666666667</v>
      </c>
      <c r="U154" s="869">
        <f t="shared" si="124"/>
        <v>11.833333333333332</v>
      </c>
      <c r="V154" s="869">
        <f t="shared" si="124"/>
        <v>44</v>
      </c>
      <c r="W154" s="869">
        <f t="shared" si="124"/>
        <v>76.094393004115219</v>
      </c>
      <c r="X154" s="869">
        <f t="shared" si="124"/>
        <v>139.5</v>
      </c>
      <c r="Y154" s="869">
        <f>SUM(Y155:Y161)</f>
        <v>130.16666666666666</v>
      </c>
      <c r="Z154" s="869">
        <f>Y154/X154*100-100</f>
        <v>-6.6905615292712071</v>
      </c>
      <c r="AA154" s="869">
        <f>Y154/U154*100-100</f>
        <v>1000</v>
      </c>
      <c r="AB154" s="848">
        <f>Y154-U154</f>
        <v>118.33333333333333</v>
      </c>
    </row>
    <row r="155" spans="2:29" ht="25.5" customHeight="1">
      <c r="B155" s="189" t="s">
        <v>9</v>
      </c>
      <c r="C155" s="618">
        <f t="shared" ref="C155:C160" si="125">AVERAGE(D155:G155)</f>
        <v>2.4999999999999996</v>
      </c>
      <c r="D155" s="269">
        <f>AVERAGE('Weekly Analysis'!B149:G149)</f>
        <v>3.1666666666666665</v>
      </c>
      <c r="E155" s="269">
        <f>AVERAGE('Weekly Analysis'!H149:M149)</f>
        <v>3.5</v>
      </c>
      <c r="F155" s="269">
        <f>AVERAGE('Weekly Analysis'!N149:S149)</f>
        <v>3.1666666666666665</v>
      </c>
      <c r="G155" s="269">
        <f>AVERAGE('Weekly Analysis'!T149:Y149)</f>
        <v>0.16666666666666666</v>
      </c>
      <c r="H155" s="269">
        <f>AVERAGE('Weekly Analysis'!Z149:AE149)</f>
        <v>4.666666666666667</v>
      </c>
      <c r="I155" s="269">
        <f>AVERAGE('Weekly Analysis'!AF149:AK149)</f>
        <v>19.666666666666668</v>
      </c>
      <c r="J155" s="269">
        <f>AVERAGE('Weekly Analysis'!AL149:AQ149)</f>
        <v>6.333333333333333</v>
      </c>
      <c r="K155" s="269">
        <f>AVERAGE('Weekly Analysis'!AR149:AW149)</f>
        <v>0</v>
      </c>
      <c r="L155" s="269">
        <f>AVERAGE('Weekly Analysis'!AX149:BC149)</f>
        <v>3.3333333333333335</v>
      </c>
      <c r="M155" s="269">
        <f>AVERAGE('Weekly Analysis'!BD149:BI149)</f>
        <v>15</v>
      </c>
      <c r="N155" s="269">
        <f>AVERAGE('Weekly Analysis'!BJ149:BO149)</f>
        <v>19.333333333333332</v>
      </c>
      <c r="O155" s="245">
        <f>AVERAGE('Weekly Analysis'!BP149:BU149)</f>
        <v>13.333333333333334</v>
      </c>
      <c r="P155" s="247">
        <f>AVERAGE('Weekly Analysis'!BV149:CA149)</f>
        <v>2.8333333333333335</v>
      </c>
      <c r="Q155" s="269">
        <f>AVERAGE('Weekly Analysis'!CB149:CG149)</f>
        <v>11.666666666666666</v>
      </c>
      <c r="R155" s="269">
        <f>AVERAGE('Weekly Analysis'!CH149:CM149)</f>
        <v>18.833333333333332</v>
      </c>
      <c r="S155" s="247">
        <f>AVERAGE('Weekly Analysis'!CN149:CS149)</f>
        <v>11.666666666666666</v>
      </c>
      <c r="T155" s="247">
        <f>AVERAGE('Weekly Analysis'!CT149:CY149)</f>
        <v>2.6666666666666665</v>
      </c>
      <c r="U155" s="247">
        <f>AVERAGE('Weekly Analysis'!CZ149:DE149)</f>
        <v>1</v>
      </c>
      <c r="V155" s="247">
        <f>AVERAGE('Weekly Analysis'!DF149:DK149)</f>
        <v>4.333333333333333</v>
      </c>
      <c r="W155" s="247">
        <f>AVERAGE('Weekly Analysis'!DL149:DQ149)</f>
        <v>8.9517746913580254</v>
      </c>
      <c r="X155" s="247">
        <f>AVERAGE('Weekly Analysis'!DR149:DW149)</f>
        <v>11.333333333333334</v>
      </c>
      <c r="Y155" s="247">
        <f>AVERAGE('Weekly Analysis'!DX149:EC149)</f>
        <v>15</v>
      </c>
      <c r="Z155" s="247">
        <f>Y155/X155*100-100</f>
        <v>32.35294117647058</v>
      </c>
      <c r="AA155" s="247">
        <f>Y155/U155*100-100</f>
        <v>1400</v>
      </c>
    </row>
    <row r="156" spans="2:29" ht="25.5" customHeight="1">
      <c r="B156" s="189" t="s">
        <v>12</v>
      </c>
      <c r="C156" s="618">
        <f t="shared" si="125"/>
        <v>3.4166666666666661</v>
      </c>
      <c r="D156" s="269">
        <f>AVERAGE('Weekly Analysis'!B150:G150)</f>
        <v>5.333333333333333</v>
      </c>
      <c r="E156" s="269">
        <f>AVERAGE('Weekly Analysis'!H150:M150)</f>
        <v>4.5</v>
      </c>
      <c r="F156" s="269">
        <f>AVERAGE('Weekly Analysis'!N150:S150)</f>
        <v>3.1666666666666665</v>
      </c>
      <c r="G156" s="269">
        <f>AVERAGE('Weekly Analysis'!T150:Y150)</f>
        <v>0.66666666666666663</v>
      </c>
      <c r="H156" s="269">
        <f>AVERAGE('Weekly Analysis'!Z150:AE150)</f>
        <v>4.166666666666667</v>
      </c>
      <c r="I156" s="269">
        <f>AVERAGE('Weekly Analysis'!AF150:AK150)</f>
        <v>13.666666666666666</v>
      </c>
      <c r="J156" s="269">
        <f>AVERAGE('Weekly Analysis'!AL150:AQ150)</f>
        <v>3.8333333333333335</v>
      </c>
      <c r="K156" s="269">
        <f>AVERAGE('Weekly Analysis'!AR150:AW150)</f>
        <v>0</v>
      </c>
      <c r="L156" s="269">
        <f>AVERAGE('Weekly Analysis'!AX150:BC150)</f>
        <v>4</v>
      </c>
      <c r="M156" s="269">
        <f>AVERAGE('Weekly Analysis'!BD150:BI150)</f>
        <v>7.833333333333333</v>
      </c>
      <c r="N156" s="269">
        <f>AVERAGE('Weekly Analysis'!BJ150:BO150)</f>
        <v>11</v>
      </c>
      <c r="O156" s="245">
        <f>AVERAGE('Weekly Analysis'!BP150:BU150)</f>
        <v>8.3333333333333339</v>
      </c>
      <c r="P156" s="247">
        <f>AVERAGE('Weekly Analysis'!BV150:CA150)</f>
        <v>5</v>
      </c>
      <c r="Q156" s="269">
        <f>AVERAGE('Weekly Analysis'!CB150:CG150)</f>
        <v>15.666666666666666</v>
      </c>
      <c r="R156" s="269">
        <f>AVERAGE('Weekly Analysis'!CH150:CM150)</f>
        <v>10.833333333333334</v>
      </c>
      <c r="S156" s="247">
        <f>AVERAGE('Weekly Analysis'!CN150:CS150)</f>
        <v>8.8333333333333339</v>
      </c>
      <c r="T156" s="247">
        <f>AVERAGE('Weekly Analysis'!CT150:CY150)</f>
        <v>3</v>
      </c>
      <c r="U156" s="247">
        <f>AVERAGE('Weekly Analysis'!CZ150:DE150)</f>
        <v>1</v>
      </c>
      <c r="V156" s="247">
        <f>AVERAGE('Weekly Analysis'!DF150:DK150)</f>
        <v>2.8333333333333335</v>
      </c>
      <c r="W156" s="247">
        <f>AVERAGE('Weekly Analysis'!DL150:DQ150)</f>
        <v>3.1602366255144028</v>
      </c>
      <c r="X156" s="247">
        <f>AVERAGE('Weekly Analysis'!DR150:DW150)</f>
        <v>9.1666666666666661</v>
      </c>
      <c r="Y156" s="247">
        <f>AVERAGE('Weekly Analysis'!DX150:EC150)</f>
        <v>10</v>
      </c>
      <c r="Z156" s="247">
        <f t="shared" ref="Z156:Z161" si="126">Y156/X156*100-100</f>
        <v>9.0909090909091077</v>
      </c>
      <c r="AA156" s="247">
        <f t="shared" ref="AA156:AA161" si="127">Y156/U156*100-100</f>
        <v>900</v>
      </c>
    </row>
    <row r="157" spans="2:29" ht="25.5" customHeight="1">
      <c r="B157" s="189" t="s">
        <v>15</v>
      </c>
      <c r="C157" s="618">
        <f t="shared" si="125"/>
        <v>8.125</v>
      </c>
      <c r="D157" s="269">
        <f>AVERAGE('Weekly Analysis'!B151:G151)</f>
        <v>10.666666666666666</v>
      </c>
      <c r="E157" s="269">
        <f>AVERAGE('Weekly Analysis'!H151:M151)</f>
        <v>8.3333333333333339</v>
      </c>
      <c r="F157" s="269">
        <f>AVERAGE('Weekly Analysis'!N151:S151)</f>
        <v>10.5</v>
      </c>
      <c r="G157" s="269">
        <f>AVERAGE('Weekly Analysis'!T151:Y151)</f>
        <v>3</v>
      </c>
      <c r="H157" s="269">
        <f>AVERAGE('Weekly Analysis'!Z151:AE151)</f>
        <v>14.666666666666666</v>
      </c>
      <c r="I157" s="269">
        <f>AVERAGE('Weekly Analysis'!AF151:AK151)</f>
        <v>32</v>
      </c>
      <c r="J157" s="269">
        <f>AVERAGE('Weekly Analysis'!AL151:AQ151)</f>
        <v>5.666666666666667</v>
      </c>
      <c r="K157" s="269">
        <f>AVERAGE('Weekly Analysis'!AR151:AW151)</f>
        <v>0</v>
      </c>
      <c r="L157" s="269">
        <f>AVERAGE('Weekly Analysis'!AX151:BC151)</f>
        <v>8.3333333333333339</v>
      </c>
      <c r="M157" s="269">
        <f>AVERAGE('Weekly Analysis'!BD151:BI151)</f>
        <v>21.166666666666668</v>
      </c>
      <c r="N157" s="269">
        <f>AVERAGE('Weekly Analysis'!BJ151:BO151)</f>
        <v>17.833333333333332</v>
      </c>
      <c r="O157" s="245">
        <f>AVERAGE('Weekly Analysis'!BP151:BU151)</f>
        <v>14</v>
      </c>
      <c r="P157" s="247">
        <f>AVERAGE('Weekly Analysis'!BV151:CA151)</f>
        <v>9.5</v>
      </c>
      <c r="Q157" s="269">
        <f>AVERAGE('Weekly Analysis'!CB151:CG151)</f>
        <v>16</v>
      </c>
      <c r="R157" s="269">
        <f>AVERAGE('Weekly Analysis'!CH151:CM151)</f>
        <v>20.333333333333332</v>
      </c>
      <c r="S157" s="247">
        <f>AVERAGE('Weekly Analysis'!CN151:CS151)</f>
        <v>8.1666666666666661</v>
      </c>
      <c r="T157" s="247">
        <f>AVERAGE('Weekly Analysis'!CT151:CY151)</f>
        <v>7.666666666666667</v>
      </c>
      <c r="U157" s="247">
        <f>AVERAGE('Weekly Analysis'!CZ151:DE151)</f>
        <v>2</v>
      </c>
      <c r="V157" s="247">
        <f>AVERAGE('Weekly Analysis'!DF151:DK151)</f>
        <v>5.166666666666667</v>
      </c>
      <c r="W157" s="247">
        <f>AVERAGE('Weekly Analysis'!DL151:DQ151)</f>
        <v>9.1293724279835402</v>
      </c>
      <c r="X157" s="247">
        <f>AVERAGE('Weekly Analysis'!DR151:DW151)</f>
        <v>16.833333333333332</v>
      </c>
      <c r="Y157" s="247">
        <f>AVERAGE('Weekly Analysis'!DX151:EC151)</f>
        <v>17.833333333333332</v>
      </c>
      <c r="Z157" s="247">
        <f t="shared" si="126"/>
        <v>5.940594059405953</v>
      </c>
      <c r="AA157" s="247">
        <f t="shared" si="127"/>
        <v>791.66666666666663</v>
      </c>
    </row>
    <row r="158" spans="2:29" ht="25.5" customHeight="1">
      <c r="B158" s="189" t="s">
        <v>19</v>
      </c>
      <c r="C158" s="618">
        <f t="shared" si="125"/>
        <v>10.541666666666668</v>
      </c>
      <c r="D158" s="269">
        <f>AVERAGE('Weekly Analysis'!B152:G152)</f>
        <v>21.666666666666668</v>
      </c>
      <c r="E158" s="269">
        <f>AVERAGE('Weekly Analysis'!H152:M152)</f>
        <v>8</v>
      </c>
      <c r="F158" s="269">
        <f>AVERAGE('Weekly Analysis'!N152:S152)</f>
        <v>9.1666666666666661</v>
      </c>
      <c r="G158" s="269">
        <f>AVERAGE('Weekly Analysis'!T152:Y152)</f>
        <v>3.3333333333333335</v>
      </c>
      <c r="H158" s="269">
        <f>AVERAGE('Weekly Analysis'!Z152:AE152)</f>
        <v>14.5</v>
      </c>
      <c r="I158" s="269">
        <f>AVERAGE('Weekly Analysis'!AF152:AK152)</f>
        <v>29.166666666666668</v>
      </c>
      <c r="J158" s="269">
        <f>AVERAGE('Weekly Analysis'!AL152:AQ152)</f>
        <v>8.6666666666666661</v>
      </c>
      <c r="K158" s="269">
        <f>AVERAGE('Weekly Analysis'!AR152:AW152)</f>
        <v>0</v>
      </c>
      <c r="L158" s="269">
        <f>AVERAGE('Weekly Analysis'!AX152:BC152)</f>
        <v>10.166666666666666</v>
      </c>
      <c r="M158" s="269">
        <f>AVERAGE('Weekly Analysis'!BD152:BI152)</f>
        <v>37.666666666666664</v>
      </c>
      <c r="N158" s="269">
        <f>AVERAGE('Weekly Analysis'!BJ152:BO152)</f>
        <v>25.5</v>
      </c>
      <c r="O158" s="245">
        <f>AVERAGE('Weekly Analysis'!BP152:BU152)</f>
        <v>25.166666666666668</v>
      </c>
      <c r="P158" s="247">
        <f>AVERAGE('Weekly Analysis'!BV152:CA152)</f>
        <v>18.833333333333332</v>
      </c>
      <c r="Q158" s="269">
        <f>AVERAGE('Weekly Analysis'!CB152:CG152)</f>
        <v>23.5</v>
      </c>
      <c r="R158" s="269">
        <f>AVERAGE('Weekly Analysis'!CH152:CM152)</f>
        <v>20.666666666666668</v>
      </c>
      <c r="S158" s="247">
        <f>AVERAGE('Weekly Analysis'!CN152:CS152)</f>
        <v>24.666666666666668</v>
      </c>
      <c r="T158" s="247">
        <f>AVERAGE('Weekly Analysis'!CT152:CY152)</f>
        <v>17.166666666666668</v>
      </c>
      <c r="U158" s="247">
        <f>AVERAGE('Weekly Analysis'!CZ152:DE152)</f>
        <v>0.83333333333333337</v>
      </c>
      <c r="V158" s="247">
        <f>AVERAGE('Weekly Analysis'!DF152:DK152)</f>
        <v>9</v>
      </c>
      <c r="W158" s="247">
        <f>AVERAGE('Weekly Analysis'!DL152:DQ152)</f>
        <v>19.447273662551442</v>
      </c>
      <c r="X158" s="247">
        <f>AVERAGE('Weekly Analysis'!DR152:DW152)</f>
        <v>18.333333333333332</v>
      </c>
      <c r="Y158" s="247">
        <f>AVERAGE('Weekly Analysis'!DX152:EC152)</f>
        <v>6.666666666666667</v>
      </c>
      <c r="Z158" s="247">
        <f t="shared" si="126"/>
        <v>-63.636363636363633</v>
      </c>
      <c r="AA158" s="247">
        <f t="shared" si="127"/>
        <v>700</v>
      </c>
    </row>
    <row r="159" spans="2:29" ht="25.5" customHeight="1">
      <c r="B159" s="189" t="s">
        <v>353</v>
      </c>
      <c r="C159" s="618">
        <f t="shared" si="125"/>
        <v>3.583333333333333</v>
      </c>
      <c r="D159" s="269">
        <f>AVERAGE('Weekly Analysis'!B153:G153)</f>
        <v>5.5</v>
      </c>
      <c r="E159" s="269">
        <f>AVERAGE('Weekly Analysis'!H153:M153)</f>
        <v>5</v>
      </c>
      <c r="F159" s="269">
        <f>AVERAGE('Weekly Analysis'!N153:S153)</f>
        <v>3.1666666666666665</v>
      </c>
      <c r="G159" s="269">
        <f>AVERAGE('Weekly Analysis'!T153:Y153)</f>
        <v>0.66666666666666663</v>
      </c>
      <c r="H159" s="269">
        <f>AVERAGE('Weekly Analysis'!Z153:AE153)</f>
        <v>3.5</v>
      </c>
      <c r="I159" s="269">
        <f>AVERAGE('Weekly Analysis'!AF153:AK153)</f>
        <v>26.166666666666668</v>
      </c>
      <c r="J159" s="269">
        <f>AVERAGE('Weekly Analysis'!AL153:AQ153)</f>
        <v>4.5</v>
      </c>
      <c r="K159" s="269">
        <f>AVERAGE('Weekly Analysis'!AR153:AW153)</f>
        <v>0</v>
      </c>
      <c r="L159" s="269">
        <f>AVERAGE('Weekly Analysis'!AX153:BC153)</f>
        <v>3.3333333333333335</v>
      </c>
      <c r="M159" s="269">
        <f>AVERAGE('Weekly Analysis'!BD153:BI153)</f>
        <v>24.333333333333332</v>
      </c>
      <c r="N159" s="269">
        <f>AVERAGE('Weekly Analysis'!BJ153:BO153)</f>
        <v>15.5</v>
      </c>
      <c r="O159" s="245">
        <f>AVERAGE('Weekly Analysis'!BP153:BU153)</f>
        <v>8.5</v>
      </c>
      <c r="P159" s="247">
        <f>AVERAGE('Weekly Analysis'!BV153:CA153)</f>
        <v>5</v>
      </c>
      <c r="Q159" s="269">
        <f>AVERAGE('Weekly Analysis'!CB153:CG153)</f>
        <v>27.333333333333332</v>
      </c>
      <c r="R159" s="269">
        <f>AVERAGE('Weekly Analysis'!CH153:CM153)</f>
        <v>23.666666666666668</v>
      </c>
      <c r="S159" s="247">
        <f>AVERAGE('Weekly Analysis'!CN153:CS153)</f>
        <v>8</v>
      </c>
      <c r="T159" s="247">
        <f>AVERAGE('Weekly Analysis'!CT153:CY153)</f>
        <v>8.3333333333333339</v>
      </c>
      <c r="U159" s="247">
        <f>AVERAGE('Weekly Analysis'!CZ153:DE153)</f>
        <v>1.6666666666666667</v>
      </c>
      <c r="V159" s="247">
        <f>AVERAGE('Weekly Analysis'!DF153:DK153)</f>
        <v>6.166666666666667</v>
      </c>
      <c r="W159" s="247">
        <f>AVERAGE('Weekly Analysis'!DL153:DQ153)</f>
        <v>5.644032921810699</v>
      </c>
      <c r="X159" s="247">
        <f>AVERAGE('Weekly Analysis'!DR153:DW153)</f>
        <v>8</v>
      </c>
      <c r="Y159" s="247">
        <f>AVERAGE('Weekly Analysis'!DX153:EC153)</f>
        <v>18.833333333333332</v>
      </c>
      <c r="Z159" s="247">
        <f t="shared" si="126"/>
        <v>135.41666666666666</v>
      </c>
      <c r="AA159" s="247">
        <f t="shared" si="127"/>
        <v>1030</v>
      </c>
    </row>
    <row r="160" spans="2:29" ht="25.5" customHeight="1">
      <c r="B160" s="189" t="s">
        <v>25</v>
      </c>
      <c r="C160" s="618">
        <f t="shared" si="125"/>
        <v>8.5416666666666661</v>
      </c>
      <c r="D160" s="269">
        <f>AVERAGE('Weekly Analysis'!B154:G154)</f>
        <v>11.5</v>
      </c>
      <c r="E160" s="269">
        <f>AVERAGE('Weekly Analysis'!H154:M154)</f>
        <v>5</v>
      </c>
      <c r="F160" s="269">
        <f>AVERAGE('Weekly Analysis'!N154:S154)</f>
        <v>12</v>
      </c>
      <c r="G160" s="269">
        <f>AVERAGE('Weekly Analysis'!T154:Y154)</f>
        <v>5.666666666666667</v>
      </c>
      <c r="H160" s="269">
        <f>AVERAGE('Weekly Analysis'!Z154:AE154)</f>
        <v>14.666666666666666</v>
      </c>
      <c r="I160" s="269">
        <f>AVERAGE('Weekly Analysis'!AF154:AK154)</f>
        <v>34.5</v>
      </c>
      <c r="J160" s="269">
        <f>AVERAGE('Weekly Analysis'!AL154:AQ154)</f>
        <v>4.666666666666667</v>
      </c>
      <c r="K160" s="269">
        <f>AVERAGE('Weekly Analysis'!AR154:AW154)</f>
        <v>0</v>
      </c>
      <c r="L160" s="269">
        <f>AVERAGE('Weekly Analysis'!AX154:BC154)</f>
        <v>12.166666666666666</v>
      </c>
      <c r="M160" s="269">
        <f>AVERAGE('Weekly Analysis'!BD154:BI154)</f>
        <v>52.5</v>
      </c>
      <c r="N160" s="269">
        <f>AVERAGE('Weekly Analysis'!BJ154:BO154)</f>
        <v>40</v>
      </c>
      <c r="O160" s="245">
        <f>AVERAGE('Weekly Analysis'!BP154:BU154)</f>
        <v>13.666666666666666</v>
      </c>
      <c r="P160" s="247">
        <f>AVERAGE('Weekly Analysis'!BV154:CA154)</f>
        <v>22.666666666666668</v>
      </c>
      <c r="Q160" s="269">
        <f>AVERAGE('Weekly Analysis'!CB154:CG154)</f>
        <v>46.333333333333336</v>
      </c>
      <c r="R160" s="269">
        <f>AVERAGE('Weekly Analysis'!CH154:CM154)</f>
        <v>51</v>
      </c>
      <c r="S160" s="247">
        <f>AVERAGE('Weekly Analysis'!CN154:CS154)</f>
        <v>51.333333333333336</v>
      </c>
      <c r="T160" s="247">
        <f>AVERAGE('Weekly Analysis'!CT154:CY154)</f>
        <v>46</v>
      </c>
      <c r="U160" s="247">
        <f>AVERAGE('Weekly Analysis'!CZ154:DE154)</f>
        <v>3.1666666666666665</v>
      </c>
      <c r="V160" s="247">
        <f>AVERAGE('Weekly Analysis'!DF154:DK154)</f>
        <v>9.3333333333333339</v>
      </c>
      <c r="W160" s="247">
        <f>AVERAGE('Weekly Analysis'!DL154:DQ154)</f>
        <v>15.3940329218107</v>
      </c>
      <c r="X160" s="247">
        <f>AVERAGE('Weekly Analysis'!DR154:DW154)</f>
        <v>47</v>
      </c>
      <c r="Y160" s="247">
        <f>AVERAGE('Weekly Analysis'!DX154:EC154)</f>
        <v>35.5</v>
      </c>
      <c r="Z160" s="247">
        <f t="shared" si="126"/>
        <v>-24.468085106382972</v>
      </c>
      <c r="AA160" s="247">
        <f t="shared" si="127"/>
        <v>1021.0526315789475</v>
      </c>
    </row>
    <row r="161" spans="2:28" ht="25.5" customHeight="1">
      <c r="B161" s="189" t="s">
        <v>351</v>
      </c>
      <c r="C161" s="618">
        <f>AVERAGE(D161:G161)</f>
        <v>9.5</v>
      </c>
      <c r="D161" s="269">
        <f>AVERAGE('Weekly Analysis'!B155:G155)</f>
        <v>16</v>
      </c>
      <c r="E161" s="269">
        <f>AVERAGE('Weekly Analysis'!H155:M155)</f>
        <v>12.5</v>
      </c>
      <c r="F161" s="269">
        <f>AVERAGE('Weekly Analysis'!N155:S155)</f>
        <v>6.833333333333333</v>
      </c>
      <c r="G161" s="269">
        <f>AVERAGE('Weekly Analysis'!T155:Y155)</f>
        <v>2.6666666666666665</v>
      </c>
      <c r="H161" s="269">
        <f>AVERAGE('Weekly Analysis'!Z155:AE155)</f>
        <v>10.5</v>
      </c>
      <c r="I161" s="269">
        <f>AVERAGE('Weekly Analysis'!AF155:AK155)</f>
        <v>41.666666666666664</v>
      </c>
      <c r="J161" s="269">
        <f>AVERAGE('Weekly Analysis'!AL155:AQ155)</f>
        <v>7</v>
      </c>
      <c r="K161" s="269">
        <f>AVERAGE('Weekly Analysis'!AR155:AW155)</f>
        <v>0</v>
      </c>
      <c r="L161" s="269">
        <f>AVERAGE('Weekly Analysis'!AX155:BC155)</f>
        <v>9.6666666666666661</v>
      </c>
      <c r="M161" s="269">
        <f>AVERAGE('Weekly Analysis'!BD155:BI155)</f>
        <v>27.5</v>
      </c>
      <c r="N161" s="269">
        <f>AVERAGE('Weekly Analysis'!BJ155:BO155)</f>
        <v>29</v>
      </c>
      <c r="O161" s="245">
        <f>AVERAGE('Weekly Analysis'!BP155:BU155)</f>
        <v>20.833333333333332</v>
      </c>
      <c r="P161" s="247">
        <f>AVERAGE('Weekly Analysis'!BV155:CA155)</f>
        <v>14.5</v>
      </c>
      <c r="Q161" s="269">
        <f>AVERAGE('Weekly Analysis'!CB155:CG155)</f>
        <v>34.833333333333336</v>
      </c>
      <c r="R161" s="269">
        <f>AVERAGE('Weekly Analysis'!CH155:CM155)</f>
        <v>33.166666666666664</v>
      </c>
      <c r="S161" s="247">
        <f>AVERAGE('Weekly Analysis'!CN155:CS155)</f>
        <v>21</v>
      </c>
      <c r="T161" s="247">
        <f>AVERAGE('Weekly Analysis'!CT155:CY155)</f>
        <v>18.833333333333332</v>
      </c>
      <c r="U161" s="247">
        <f>AVERAGE('Weekly Analysis'!CZ155:DE155)</f>
        <v>2.1666666666666665</v>
      </c>
      <c r="V161" s="247">
        <f>AVERAGE('Weekly Analysis'!DF155:DK155)</f>
        <v>7.166666666666667</v>
      </c>
      <c r="W161" s="247">
        <f>AVERAGE('Weekly Analysis'!DL155:DQ155)</f>
        <v>14.367669753086419</v>
      </c>
      <c r="X161" s="247">
        <f>AVERAGE('Weekly Analysis'!DR155:DW155)</f>
        <v>28.833333333333332</v>
      </c>
      <c r="Y161" s="247">
        <f>AVERAGE('Weekly Analysis'!DX155:EC155)</f>
        <v>26.333333333333332</v>
      </c>
      <c r="Z161" s="247">
        <f t="shared" si="126"/>
        <v>-8.6705202312138709</v>
      </c>
      <c r="AA161" s="247">
        <f t="shared" si="127"/>
        <v>1115.3846153846152</v>
      </c>
    </row>
    <row r="162" spans="2:28">
      <c r="B162" s="854" t="s">
        <v>186</v>
      </c>
      <c r="C162" s="869">
        <f>SUM(C163:C166)</f>
        <v>34.5</v>
      </c>
      <c r="D162" s="869">
        <f>SUM(D163:D166)</f>
        <v>50.833333333333336</v>
      </c>
      <c r="E162" s="869">
        <f t="shared" ref="E162:X162" si="128">SUM(E163:E166)</f>
        <v>30.166666666666668</v>
      </c>
      <c r="F162" s="869">
        <f t="shared" si="128"/>
        <v>43.333333333333329</v>
      </c>
      <c r="G162" s="869">
        <f t="shared" si="128"/>
        <v>13.666666666666666</v>
      </c>
      <c r="H162" s="869">
        <f t="shared" si="128"/>
        <v>39.333333333333329</v>
      </c>
      <c r="I162" s="869">
        <f t="shared" si="128"/>
        <v>76.5</v>
      </c>
      <c r="J162" s="869">
        <f t="shared" si="128"/>
        <v>12.5</v>
      </c>
      <c r="K162" s="869">
        <f t="shared" si="128"/>
        <v>0</v>
      </c>
      <c r="L162" s="869">
        <f t="shared" si="128"/>
        <v>30.833333333333336</v>
      </c>
      <c r="M162" s="869">
        <f t="shared" si="128"/>
        <v>160.83333333333331</v>
      </c>
      <c r="N162" s="869">
        <f t="shared" si="128"/>
        <v>124</v>
      </c>
      <c r="O162" s="869">
        <f t="shared" si="128"/>
        <v>58.833333333333329</v>
      </c>
      <c r="P162" s="869">
        <f t="shared" si="128"/>
        <v>64.833333333333343</v>
      </c>
      <c r="Q162" s="869">
        <f t="shared" si="128"/>
        <v>131.33333333333334</v>
      </c>
      <c r="R162" s="869">
        <f t="shared" si="128"/>
        <v>146.33333333333331</v>
      </c>
      <c r="S162" s="869">
        <f t="shared" si="128"/>
        <v>165</v>
      </c>
      <c r="T162" s="869">
        <f t="shared" si="128"/>
        <v>135.16666666666666</v>
      </c>
      <c r="U162" s="869">
        <f t="shared" si="128"/>
        <v>10</v>
      </c>
      <c r="V162" s="869">
        <f t="shared" si="128"/>
        <v>33.833333333333329</v>
      </c>
      <c r="W162" s="869">
        <f t="shared" si="128"/>
        <v>64.085648148148152</v>
      </c>
      <c r="X162" s="869">
        <f t="shared" si="128"/>
        <v>109.66666666666667</v>
      </c>
      <c r="Y162" s="869">
        <f>SUM(Y163:Y166)</f>
        <v>98.666666666666671</v>
      </c>
      <c r="Z162" s="869">
        <f>Y162/X162*100-100</f>
        <v>-10.030395136778111</v>
      </c>
      <c r="AA162" s="869">
        <f>Y162/U162*100-100</f>
        <v>886.66666666666674</v>
      </c>
      <c r="AB162" s="848">
        <f>Y162-U162</f>
        <v>88.666666666666671</v>
      </c>
    </row>
    <row r="163" spans="2:28" ht="25.5" customHeight="1">
      <c r="B163" s="189" t="s">
        <v>30</v>
      </c>
      <c r="C163" s="618">
        <f t="shared" ref="C163:C176" si="129">AVERAGE(D163:G163)</f>
        <v>14.791666666666666</v>
      </c>
      <c r="D163" s="269">
        <f>AVERAGE('Weekly Analysis'!B157:G157)</f>
        <v>23.833333333333332</v>
      </c>
      <c r="E163" s="269">
        <f>AVERAGE('Weekly Analysis'!H157:M157)</f>
        <v>13.333333333333334</v>
      </c>
      <c r="F163" s="269">
        <f>AVERAGE('Weekly Analysis'!N157:S157)</f>
        <v>15.833333333333334</v>
      </c>
      <c r="G163" s="269">
        <f>AVERAGE('Weekly Analysis'!T157:Y157)</f>
        <v>6.166666666666667</v>
      </c>
      <c r="H163" s="269">
        <f>AVERAGE('Weekly Analysis'!Z157:AE157)</f>
        <v>11.833333333333334</v>
      </c>
      <c r="I163" s="269">
        <f>AVERAGE('Weekly Analysis'!AF157:AK157)</f>
        <v>24.666666666666668</v>
      </c>
      <c r="J163" s="269">
        <f>AVERAGE('Weekly Analysis'!AL157:AQ157)</f>
        <v>3.3333333333333335</v>
      </c>
      <c r="K163" s="269">
        <f>AVERAGE('Weekly Analysis'!AR157:AW157)</f>
        <v>0</v>
      </c>
      <c r="L163" s="269">
        <f>AVERAGE('Weekly Analysis'!AX157:BC157)</f>
        <v>10.5</v>
      </c>
      <c r="M163" s="269">
        <f>AVERAGE('Weekly Analysis'!BD157:BI157)</f>
        <v>79.333333333333329</v>
      </c>
      <c r="N163" s="269">
        <f>AVERAGE('Weekly Analysis'!BJ157:BO157)</f>
        <v>52.833333333333336</v>
      </c>
      <c r="O163" s="245">
        <f>AVERAGE('Weekly Analysis'!BP157:BU157)</f>
        <v>21.666666666666668</v>
      </c>
      <c r="P163" s="247">
        <f>AVERAGE('Weekly Analysis'!BV157:CA157)</f>
        <v>29.666666666666668</v>
      </c>
      <c r="Q163" s="269">
        <f>AVERAGE('Weekly Analysis'!CB157:CG157)</f>
        <v>64.666666666666671</v>
      </c>
      <c r="R163" s="269">
        <f>AVERAGE('Weekly Analysis'!CH157:CM157)</f>
        <v>63.5</v>
      </c>
      <c r="S163" s="247">
        <f>AVERAGE('Weekly Analysis'!CN157:CS157)</f>
        <v>67.833333333333329</v>
      </c>
      <c r="T163" s="247">
        <f>AVERAGE('Weekly Analysis'!CT157:CY157)</f>
        <v>64.833333333333329</v>
      </c>
      <c r="U163" s="247">
        <f>AVERAGE('Weekly Analysis'!CZ157:DE157)</f>
        <v>1.6666666666666667</v>
      </c>
      <c r="V163" s="247">
        <f>AVERAGE('Weekly Analysis'!DF157:DK157)</f>
        <v>8.8333333333333339</v>
      </c>
      <c r="W163" s="247">
        <f>AVERAGE('Weekly Analysis'!DL157:DQ157)</f>
        <v>18.107253086419757</v>
      </c>
      <c r="X163" s="247">
        <f>AVERAGE('Weekly Analysis'!DR157:DW157)</f>
        <v>54</v>
      </c>
      <c r="Y163" s="247">
        <f>AVERAGE('Weekly Analysis'!DX157:EC157)</f>
        <v>45.5</v>
      </c>
      <c r="Z163" s="247">
        <f>Y163/X163*100-100</f>
        <v>-15.740740740740748</v>
      </c>
      <c r="AA163" s="247">
        <f>Y163/U163*100-100</f>
        <v>2629.9999999999995</v>
      </c>
    </row>
    <row r="164" spans="2:28" ht="25.5" customHeight="1">
      <c r="B164" s="189" t="s">
        <v>31</v>
      </c>
      <c r="C164" s="618">
        <f>AVERAGE(D164:G164)</f>
        <v>13.541666666666666</v>
      </c>
      <c r="D164" s="269">
        <f>AVERAGE('Weekly Analysis'!B158:G158)</f>
        <v>16.666666666666668</v>
      </c>
      <c r="E164" s="269">
        <f>AVERAGE('Weekly Analysis'!H158:M158)</f>
        <v>13.333333333333334</v>
      </c>
      <c r="F164" s="269">
        <f>AVERAGE('Weekly Analysis'!N158:S158)</f>
        <v>20.833333333333332</v>
      </c>
      <c r="G164" s="269">
        <f>AVERAGE('Weekly Analysis'!T158:Y158)</f>
        <v>3.3333333333333335</v>
      </c>
      <c r="H164" s="269">
        <f>AVERAGE('Weekly Analysis'!Z158:AE158)</f>
        <v>18.833333333333332</v>
      </c>
      <c r="I164" s="269">
        <f>AVERAGE('Weekly Analysis'!AF158:AK158)</f>
        <v>35.666666666666664</v>
      </c>
      <c r="J164" s="269">
        <f>AVERAGE('Weekly Analysis'!AL158:AQ158)</f>
        <v>5.333333333333333</v>
      </c>
      <c r="K164" s="269">
        <f>AVERAGE('Weekly Analysis'!AR158:AW158)</f>
        <v>0</v>
      </c>
      <c r="L164" s="269">
        <f>AVERAGE('Weekly Analysis'!AX158:BC158)</f>
        <v>11.333333333333334</v>
      </c>
      <c r="M164" s="269">
        <f>AVERAGE('Weekly Analysis'!BD158:BI158)</f>
        <v>54.5</v>
      </c>
      <c r="N164" s="269">
        <f>AVERAGE('Weekly Analysis'!BJ158:BO158)</f>
        <v>44.166666666666664</v>
      </c>
      <c r="O164" s="245">
        <f>AVERAGE('Weekly Analysis'!BP158:BU158)</f>
        <v>18.333333333333332</v>
      </c>
      <c r="P164" s="247">
        <f>AVERAGE('Weekly Analysis'!BV158:CA158)</f>
        <v>21</v>
      </c>
      <c r="Q164" s="269">
        <f>AVERAGE('Weekly Analysis'!CB158:CG158)</f>
        <v>42.666666666666664</v>
      </c>
      <c r="R164" s="269">
        <f>AVERAGE('Weekly Analysis'!CH158:CM158)</f>
        <v>46.5</v>
      </c>
      <c r="S164" s="247">
        <f>AVERAGE('Weekly Analysis'!CN158:CS158)</f>
        <v>56.5</v>
      </c>
      <c r="T164" s="247">
        <f>AVERAGE('Weekly Analysis'!CT158:CY158)</f>
        <v>43.166666666666664</v>
      </c>
      <c r="U164" s="247">
        <f>AVERAGE('Weekly Analysis'!CZ158:DE158)</f>
        <v>1.5</v>
      </c>
      <c r="V164" s="247">
        <f>AVERAGE('Weekly Analysis'!DF158:DK158)</f>
        <v>13.666666666666666</v>
      </c>
      <c r="W164" s="247">
        <f>AVERAGE('Weekly Analysis'!DL158:DQ158)</f>
        <v>23.817001028806587</v>
      </c>
      <c r="X164" s="247">
        <f>AVERAGE('Weekly Analysis'!DR158:DW158)</f>
        <v>28.666666666666668</v>
      </c>
      <c r="Y164" s="247">
        <f>AVERAGE('Weekly Analysis'!DX158:EC158)</f>
        <v>31</v>
      </c>
      <c r="Z164" s="247">
        <f t="shared" ref="Z164:Z166" si="130">Y164/X164*100-100</f>
        <v>8.1395348837209269</v>
      </c>
      <c r="AA164" s="247">
        <f t="shared" ref="AA164:AA166" si="131">Y164/U164*100-100</f>
        <v>1966.666666666667</v>
      </c>
    </row>
    <row r="165" spans="2:28" ht="25.5" customHeight="1">
      <c r="B165" s="189" t="s">
        <v>32</v>
      </c>
      <c r="C165" s="618">
        <f t="shared" si="129"/>
        <v>0.79166666666666663</v>
      </c>
      <c r="D165" s="269">
        <f>AVERAGE('Weekly Analysis'!B159:G159)</f>
        <v>1.5</v>
      </c>
      <c r="E165" s="269">
        <f>AVERAGE('Weekly Analysis'!H159:M159)</f>
        <v>0.33333333333333331</v>
      </c>
      <c r="F165" s="269">
        <f>AVERAGE('Weekly Analysis'!N159:S159)</f>
        <v>0.66666666666666663</v>
      </c>
      <c r="G165" s="269">
        <f>AVERAGE('Weekly Analysis'!T159:Y159)</f>
        <v>0.66666666666666663</v>
      </c>
      <c r="H165" s="269">
        <f>AVERAGE('Weekly Analysis'!Z159:AE159)</f>
        <v>1</v>
      </c>
      <c r="I165" s="269">
        <f>AVERAGE('Weekly Analysis'!AF159:AK159)</f>
        <v>0</v>
      </c>
      <c r="J165" s="269">
        <f>AVERAGE('Weekly Analysis'!AL159:AQ159)</f>
        <v>0</v>
      </c>
      <c r="K165" s="269">
        <f>AVERAGE('Weekly Analysis'!AR159:AW159)</f>
        <v>0</v>
      </c>
      <c r="L165" s="269">
        <f>AVERAGE('Weekly Analysis'!AX159:BC159)</f>
        <v>1.6666666666666667</v>
      </c>
      <c r="M165" s="269">
        <f>AVERAGE('Weekly Analysis'!BD159:BI159)</f>
        <v>1</v>
      </c>
      <c r="N165" s="269">
        <f>AVERAGE('Weekly Analysis'!BJ159:BO159)</f>
        <v>0.5</v>
      </c>
      <c r="O165" s="245">
        <f>AVERAGE('Weekly Analysis'!BP159:BU159)</f>
        <v>4.166666666666667</v>
      </c>
      <c r="P165" s="247">
        <f>AVERAGE('Weekly Analysis'!BV159:CA159)</f>
        <v>2.1666666666666665</v>
      </c>
      <c r="Q165" s="269">
        <f>AVERAGE('Weekly Analysis'!CB159:CG159)</f>
        <v>1.8333333333333333</v>
      </c>
      <c r="R165" s="269">
        <f>AVERAGE('Weekly Analysis'!CH159:CM159)</f>
        <v>2.3333333333333335</v>
      </c>
      <c r="S165" s="247">
        <f>AVERAGE('Weekly Analysis'!CN159:CS159)</f>
        <v>4.333333333333333</v>
      </c>
      <c r="T165" s="247">
        <f>AVERAGE('Weekly Analysis'!CT159:CY159)</f>
        <v>6</v>
      </c>
      <c r="U165" s="247">
        <f>AVERAGE('Weekly Analysis'!CZ159:DE159)</f>
        <v>0</v>
      </c>
      <c r="V165" s="247">
        <f>AVERAGE('Weekly Analysis'!DF159:DK159)</f>
        <v>0.33333333333333331</v>
      </c>
      <c r="W165" s="247">
        <f>AVERAGE('Weekly Analysis'!DL159:DQ159)</f>
        <v>1.0523405349794239</v>
      </c>
      <c r="X165" s="247">
        <f>AVERAGE('Weekly Analysis'!DR159:DW159)</f>
        <v>1.1666666666666667</v>
      </c>
      <c r="Y165" s="247">
        <f>AVERAGE('Weekly Analysis'!DX159:EC159)</f>
        <v>0</v>
      </c>
      <c r="Z165" s="247">
        <f t="shared" si="130"/>
        <v>-100</v>
      </c>
      <c r="AA165" s="247">
        <v>0</v>
      </c>
    </row>
    <row r="166" spans="2:28" s="847" customFormat="1" ht="25.5" customHeight="1">
      <c r="B166" s="248" t="s">
        <v>352</v>
      </c>
      <c r="C166" s="618">
        <f>AVERAGE(D166:G166)</f>
        <v>5.375</v>
      </c>
      <c r="D166" s="269">
        <f>AVERAGE('Weekly Analysis'!B160:G160)</f>
        <v>8.8333333333333339</v>
      </c>
      <c r="E166" s="269">
        <f>AVERAGE('Weekly Analysis'!H160:M160)</f>
        <v>3.1666666666666665</v>
      </c>
      <c r="F166" s="269">
        <f>AVERAGE('Weekly Analysis'!N160:S160)</f>
        <v>6</v>
      </c>
      <c r="G166" s="269">
        <f>AVERAGE('Weekly Analysis'!T160:Y160)</f>
        <v>3.5</v>
      </c>
      <c r="H166" s="269">
        <f>AVERAGE('Weekly Analysis'!Z160:AE160)</f>
        <v>7.666666666666667</v>
      </c>
      <c r="I166" s="269">
        <f>AVERAGE('Weekly Analysis'!AF160:AK160)</f>
        <v>16.166666666666668</v>
      </c>
      <c r="J166" s="269">
        <f>AVERAGE('Weekly Analysis'!AL160:AQ160)</f>
        <v>3.8333333333333335</v>
      </c>
      <c r="K166" s="269">
        <f>AVERAGE('Weekly Analysis'!AR160:AW160)</f>
        <v>0</v>
      </c>
      <c r="L166" s="269">
        <f>AVERAGE('Weekly Analysis'!AX160:BC160)</f>
        <v>7.333333333333333</v>
      </c>
      <c r="M166" s="269">
        <f>AVERAGE('Weekly Analysis'!BD160:BI160)</f>
        <v>26</v>
      </c>
      <c r="N166" s="269">
        <f>AVERAGE('Weekly Analysis'!BJ160:BO160)</f>
        <v>26.5</v>
      </c>
      <c r="O166" s="245">
        <f>AVERAGE('Weekly Analysis'!BP160:BU160)</f>
        <v>14.666666666666666</v>
      </c>
      <c r="P166" s="247">
        <f>AVERAGE('Weekly Analysis'!BV160:CA160)</f>
        <v>12</v>
      </c>
      <c r="Q166" s="269">
        <f>AVERAGE('Weekly Analysis'!CB160:CG160)</f>
        <v>22.166666666666668</v>
      </c>
      <c r="R166" s="269">
        <f>AVERAGE('Weekly Analysis'!CH160:CM160)</f>
        <v>34</v>
      </c>
      <c r="S166" s="247">
        <f>AVERAGE('Weekly Analysis'!CN160:CS160)</f>
        <v>36.333333333333336</v>
      </c>
      <c r="T166" s="247">
        <f>AVERAGE('Weekly Analysis'!CT160:CY160)</f>
        <v>21.166666666666668</v>
      </c>
      <c r="U166" s="247">
        <f>AVERAGE('Weekly Analysis'!CZ160:DE160)</f>
        <v>6.833333333333333</v>
      </c>
      <c r="V166" s="247">
        <f>AVERAGE('Weekly Analysis'!DF160:DK160)</f>
        <v>11</v>
      </c>
      <c r="W166" s="247">
        <f>AVERAGE('Weekly Analysis'!DL160:DQ160)</f>
        <v>21.109053497942387</v>
      </c>
      <c r="X166" s="247">
        <f>AVERAGE('Weekly Analysis'!DR160:DW160)</f>
        <v>25.833333333333332</v>
      </c>
      <c r="Y166" s="247">
        <f>AVERAGE('Weekly Analysis'!DX160:EC160)</f>
        <v>22.166666666666668</v>
      </c>
      <c r="Z166" s="247">
        <f t="shared" si="130"/>
        <v>-14.193548387096769</v>
      </c>
      <c r="AA166" s="247">
        <f t="shared" si="131"/>
        <v>224.39024390243907</v>
      </c>
    </row>
    <row r="167" spans="2:28">
      <c r="B167" s="854" t="s">
        <v>446</v>
      </c>
      <c r="C167" s="869">
        <f>SUM(C168:C176)</f>
        <v>57.166666666666664</v>
      </c>
      <c r="D167" s="869">
        <f>SUM(D168:D176)</f>
        <v>82.833333333333329</v>
      </c>
      <c r="E167" s="869">
        <f t="shared" ref="E167:W167" si="132">SUM(E168:E176)</f>
        <v>52.5</v>
      </c>
      <c r="F167" s="869">
        <f t="shared" si="132"/>
        <v>80.666666666666657</v>
      </c>
      <c r="G167" s="869">
        <f t="shared" si="132"/>
        <v>12.666666666666666</v>
      </c>
      <c r="H167" s="869">
        <f t="shared" si="132"/>
        <v>62.833333333333329</v>
      </c>
      <c r="I167" s="869">
        <f t="shared" si="132"/>
        <v>86.333333333333329</v>
      </c>
      <c r="J167" s="869">
        <f t="shared" si="132"/>
        <v>40</v>
      </c>
      <c r="K167" s="869">
        <f t="shared" si="132"/>
        <v>0</v>
      </c>
      <c r="L167" s="869">
        <f t="shared" si="132"/>
        <v>79</v>
      </c>
      <c r="M167" s="869">
        <f t="shared" si="132"/>
        <v>94.333333333333343</v>
      </c>
      <c r="N167" s="869">
        <f t="shared" si="132"/>
        <v>221.83333333333334</v>
      </c>
      <c r="O167" s="869">
        <f t="shared" si="132"/>
        <v>159</v>
      </c>
      <c r="P167" s="869">
        <f t="shared" si="132"/>
        <v>51.5</v>
      </c>
      <c r="Q167" s="869">
        <f t="shared" si="132"/>
        <v>116.00000000000001</v>
      </c>
      <c r="R167" s="869">
        <f t="shared" si="132"/>
        <v>241.83333333333331</v>
      </c>
      <c r="S167" s="869">
        <f t="shared" si="132"/>
        <v>165.5</v>
      </c>
      <c r="T167" s="869">
        <f t="shared" si="132"/>
        <v>64.833333333333329</v>
      </c>
      <c r="U167" s="869">
        <f t="shared" si="132"/>
        <v>19.166666666666664</v>
      </c>
      <c r="V167" s="869">
        <f t="shared" si="132"/>
        <v>117.33333333333333</v>
      </c>
      <c r="W167" s="869">
        <f t="shared" si="132"/>
        <v>136.16846707818931</v>
      </c>
      <c r="X167" s="869">
        <f>SUM(X168:X176)</f>
        <v>41.5</v>
      </c>
      <c r="Y167" s="869">
        <f>SUM(Y168:Y176)</f>
        <v>80.666666666666671</v>
      </c>
      <c r="Z167" s="869">
        <f>Y167/X167*100-100</f>
        <v>94.377510040160672</v>
      </c>
      <c r="AA167" s="869">
        <f>Y167/U167*100-100</f>
        <v>320.86956521739137</v>
      </c>
      <c r="AB167" s="848">
        <f>Y167-U167</f>
        <v>61.500000000000007</v>
      </c>
    </row>
    <row r="168" spans="2:28" ht="25.5" customHeight="1">
      <c r="B168" s="189" t="s">
        <v>33</v>
      </c>
      <c r="C168" s="618">
        <f t="shared" si="129"/>
        <v>4.458333333333333</v>
      </c>
      <c r="D168" s="269">
        <f>AVERAGE('Weekly Analysis'!B162:G162)</f>
        <v>5.833333333333333</v>
      </c>
      <c r="E168" s="269">
        <f>AVERAGE('Weekly Analysis'!H162:M162)</f>
        <v>0.66666666666666663</v>
      </c>
      <c r="F168" s="269">
        <f>AVERAGE('Weekly Analysis'!N162:S162)</f>
        <v>10</v>
      </c>
      <c r="G168" s="269">
        <f>AVERAGE('Weekly Analysis'!T162:Y162)</f>
        <v>1.3333333333333333</v>
      </c>
      <c r="H168" s="269">
        <f>AVERAGE('Weekly Analysis'!Z162:AE162)</f>
        <v>3.5</v>
      </c>
      <c r="I168" s="269">
        <f>AVERAGE('Weekly Analysis'!AF162:AK162)</f>
        <v>1.8333333333333333</v>
      </c>
      <c r="J168" s="269">
        <f>AVERAGE('Weekly Analysis'!AL162:AQ162)</f>
        <v>1.6666666666666667</v>
      </c>
      <c r="K168" s="269">
        <f>AVERAGE('Weekly Analysis'!AR162:AW162)</f>
        <v>0</v>
      </c>
      <c r="L168" s="269">
        <f>AVERAGE('Weekly Analysis'!AX162:BC162)</f>
        <v>2.5</v>
      </c>
      <c r="M168" s="269">
        <f>AVERAGE('Weekly Analysis'!BD162:BI162)</f>
        <v>3.5</v>
      </c>
      <c r="N168" s="269">
        <f>AVERAGE('Weekly Analysis'!BJ162:BO162)</f>
        <v>37.833333333333336</v>
      </c>
      <c r="O168" s="245">
        <f>AVERAGE('Weekly Analysis'!BP162:BU162)</f>
        <v>26</v>
      </c>
      <c r="P168" s="247">
        <f>AVERAGE('Weekly Analysis'!BV162:CA162)</f>
        <v>1.6666666666666667</v>
      </c>
      <c r="Q168" s="269">
        <f>AVERAGE('Weekly Analysis'!CB162:CG162)</f>
        <v>5.5</v>
      </c>
      <c r="R168" s="269">
        <f>AVERAGE('Weekly Analysis'!CH162:CM162)</f>
        <v>39.333333333333336</v>
      </c>
      <c r="S168" s="247">
        <f>AVERAGE('Weekly Analysis'!CN162:CS162)</f>
        <v>22.333333333333332</v>
      </c>
      <c r="T168" s="247">
        <f>AVERAGE('Weekly Analysis'!CT162:CY162)</f>
        <v>1.6666666666666667</v>
      </c>
      <c r="U168" s="247">
        <f>AVERAGE('Weekly Analysis'!CZ162:DE162)</f>
        <v>1</v>
      </c>
      <c r="V168" s="247">
        <f>AVERAGE('Weekly Analysis'!DF162:DK162)</f>
        <v>14</v>
      </c>
      <c r="W168" s="247">
        <f>AVERAGE('Weekly Analysis'!DL162:DQ162)</f>
        <v>16.054398148148149</v>
      </c>
      <c r="X168" s="247">
        <f>AVERAGE('Weekly Analysis'!DR162:DW162)</f>
        <v>0.66666666666666663</v>
      </c>
      <c r="Y168" s="247">
        <f>AVERAGE('Weekly Analysis'!DX162:EC162)</f>
        <v>1.5</v>
      </c>
      <c r="Z168" s="247">
        <f>Y168/X168*100-100</f>
        <v>125</v>
      </c>
      <c r="AA168" s="247">
        <f>Y168/U168*100-100</f>
        <v>50</v>
      </c>
    </row>
    <row r="169" spans="2:28" ht="25.5" customHeight="1">
      <c r="B169" s="189" t="s">
        <v>34</v>
      </c>
      <c r="C169" s="618">
        <f t="shared" si="129"/>
        <v>1.8333333333333333</v>
      </c>
      <c r="D169" s="269">
        <f>AVERAGE('Weekly Analysis'!B163:G163)</f>
        <v>2</v>
      </c>
      <c r="E169" s="269">
        <f>AVERAGE('Weekly Analysis'!H163:M163)</f>
        <v>0</v>
      </c>
      <c r="F169" s="269">
        <f>AVERAGE('Weekly Analysis'!N163:S163)</f>
        <v>5</v>
      </c>
      <c r="G169" s="269">
        <f>AVERAGE('Weekly Analysis'!T163:Y163)</f>
        <v>0.33333333333333331</v>
      </c>
      <c r="H169" s="269">
        <f>AVERAGE('Weekly Analysis'!Z163:AE163)</f>
        <v>7.666666666666667</v>
      </c>
      <c r="I169" s="269">
        <f>AVERAGE('Weekly Analysis'!AF163:AK163)</f>
        <v>0</v>
      </c>
      <c r="J169" s="269">
        <f>AVERAGE('Weekly Analysis'!AL163:AQ163)</f>
        <v>0</v>
      </c>
      <c r="K169" s="269">
        <f>AVERAGE('Weekly Analysis'!AR163:AW163)</f>
        <v>0</v>
      </c>
      <c r="L169" s="269">
        <f>AVERAGE('Weekly Analysis'!AX163:BC163)</f>
        <v>2.3333333333333335</v>
      </c>
      <c r="M169" s="269">
        <f>AVERAGE('Weekly Analysis'!BD163:BI163)</f>
        <v>0</v>
      </c>
      <c r="N169" s="269">
        <f>AVERAGE('Weekly Analysis'!BJ163:BO163)</f>
        <v>5</v>
      </c>
      <c r="O169" s="245">
        <f>AVERAGE('Weekly Analysis'!BP163:BU163)</f>
        <v>8.5</v>
      </c>
      <c r="P169" s="247">
        <f>AVERAGE('Weekly Analysis'!BV163:CA163)</f>
        <v>1.5</v>
      </c>
      <c r="Q169" s="269">
        <f>AVERAGE('Weekly Analysis'!CB163:CG163)</f>
        <v>0</v>
      </c>
      <c r="R169" s="269">
        <f>AVERAGE('Weekly Analysis'!CH163:CM163)</f>
        <v>5.166666666666667</v>
      </c>
      <c r="S169" s="247">
        <f>AVERAGE('Weekly Analysis'!CN163:CS163)</f>
        <v>11</v>
      </c>
      <c r="T169" s="247">
        <f>AVERAGE('Weekly Analysis'!CT163:CY163)</f>
        <v>0.5</v>
      </c>
      <c r="U169" s="247">
        <f>AVERAGE('Weekly Analysis'!CZ163:DE163)</f>
        <v>0.33333333333333331</v>
      </c>
      <c r="V169" s="247">
        <f>AVERAGE('Weekly Analysis'!DF163:DK163)</f>
        <v>5.5</v>
      </c>
      <c r="W169" s="247">
        <f>AVERAGE('Weekly Analysis'!DL163:DQ163)</f>
        <v>5.8063271604938267</v>
      </c>
      <c r="X169" s="247">
        <f>AVERAGE('Weekly Analysis'!DR163:DW163)</f>
        <v>0.33333333333333331</v>
      </c>
      <c r="Y169" s="247">
        <f>AVERAGE('Weekly Analysis'!DX163:EC163)</f>
        <v>0</v>
      </c>
      <c r="Z169" s="247">
        <f t="shared" ref="Z169:Z176" si="133">Y169/X169*100-100</f>
        <v>-100</v>
      </c>
      <c r="AA169" s="247">
        <f t="shared" ref="AA169:AA176" si="134">Y169/U169*100-100</f>
        <v>-100</v>
      </c>
    </row>
    <row r="170" spans="2:28" ht="25.5" customHeight="1">
      <c r="B170" s="189" t="s">
        <v>348</v>
      </c>
      <c r="C170" s="618">
        <f t="shared" si="129"/>
        <v>1.4583333333333335</v>
      </c>
      <c r="D170" s="269">
        <f>AVERAGE('Weekly Analysis'!B164:G164)</f>
        <v>1</v>
      </c>
      <c r="E170" s="269">
        <f>AVERAGE('Weekly Analysis'!H164:M164)</f>
        <v>0</v>
      </c>
      <c r="F170" s="269">
        <f>AVERAGE('Weekly Analysis'!N164:S164)</f>
        <v>4.166666666666667</v>
      </c>
      <c r="G170" s="269">
        <f>AVERAGE('Weekly Analysis'!T164:Y164)</f>
        <v>0.66666666666666663</v>
      </c>
      <c r="H170" s="269">
        <f>AVERAGE('Weekly Analysis'!Z164:AE164)</f>
        <v>1.3333333333333333</v>
      </c>
      <c r="I170" s="269">
        <f>AVERAGE('Weekly Analysis'!AF164:AK164)</f>
        <v>1.1666666666666667</v>
      </c>
      <c r="J170" s="269">
        <f>AVERAGE('Weekly Analysis'!AL164:AQ164)</f>
        <v>5.333333333333333</v>
      </c>
      <c r="K170" s="269">
        <f>AVERAGE('Weekly Analysis'!AR164:AW164)</f>
        <v>0</v>
      </c>
      <c r="L170" s="269">
        <f>AVERAGE('Weekly Analysis'!AX164:BC164)</f>
        <v>1.3333333333333333</v>
      </c>
      <c r="M170" s="269">
        <f>AVERAGE('Weekly Analysis'!BD164:BI164)</f>
        <v>0.33333333333333331</v>
      </c>
      <c r="N170" s="269">
        <f>AVERAGE('Weekly Analysis'!BJ164:BO164)</f>
        <v>17.833333333333332</v>
      </c>
      <c r="O170" s="245">
        <f>AVERAGE('Weekly Analysis'!BP164:BU164)</f>
        <v>10</v>
      </c>
      <c r="P170" s="247">
        <f>AVERAGE('Weekly Analysis'!BV164:CA164)</f>
        <v>1.5</v>
      </c>
      <c r="Q170" s="269">
        <f>AVERAGE('Weekly Analysis'!CB164:CG164)</f>
        <v>0.66666666666666663</v>
      </c>
      <c r="R170" s="269">
        <f>AVERAGE('Weekly Analysis'!CH164:CM164)</f>
        <v>4.333333333333333</v>
      </c>
      <c r="S170" s="247">
        <f>AVERAGE('Weekly Analysis'!CN164:CS164)</f>
        <v>6.5</v>
      </c>
      <c r="T170" s="247">
        <f>AVERAGE('Weekly Analysis'!CT164:CY164)</f>
        <v>1</v>
      </c>
      <c r="U170" s="247">
        <f>AVERAGE('Weekly Analysis'!CZ164:DE164)</f>
        <v>0</v>
      </c>
      <c r="V170" s="247">
        <f>AVERAGE('Weekly Analysis'!DF164:DK164)</f>
        <v>2.8333333333333335</v>
      </c>
      <c r="W170" s="247">
        <f>AVERAGE('Weekly Analysis'!DL164:DQ164)</f>
        <v>4.7974537037037033</v>
      </c>
      <c r="X170" s="247">
        <f>AVERAGE('Weekly Analysis'!DR164:DW164)</f>
        <v>0.66666666666666663</v>
      </c>
      <c r="Y170" s="247">
        <f>AVERAGE('Weekly Analysis'!DX164:EC164)</f>
        <v>0.33333333333333331</v>
      </c>
      <c r="Z170" s="247">
        <f t="shared" si="133"/>
        <v>-50</v>
      </c>
      <c r="AA170" s="247">
        <v>0</v>
      </c>
    </row>
    <row r="171" spans="2:28" ht="25.5" customHeight="1">
      <c r="B171" s="189" t="s">
        <v>37</v>
      </c>
      <c r="C171" s="618">
        <f t="shared" si="129"/>
        <v>15.874999999999998</v>
      </c>
      <c r="D171" s="269">
        <f>AVERAGE('Weekly Analysis'!B165:G165)</f>
        <v>22.833333333333332</v>
      </c>
      <c r="E171" s="269">
        <f>AVERAGE('Weekly Analysis'!H165:M165)</f>
        <v>24</v>
      </c>
      <c r="F171" s="269">
        <f>AVERAGE('Weekly Analysis'!N165:S165)</f>
        <v>16.333333333333332</v>
      </c>
      <c r="G171" s="269">
        <f>AVERAGE('Weekly Analysis'!T165:Y165)</f>
        <v>0.33333333333333331</v>
      </c>
      <c r="H171" s="269">
        <f>AVERAGE('Weekly Analysis'!Z165:AE165)</f>
        <v>11.666666666666666</v>
      </c>
      <c r="I171" s="269">
        <f>AVERAGE('Weekly Analysis'!AF165:AK165)</f>
        <v>22.333333333333332</v>
      </c>
      <c r="J171" s="269">
        <f>AVERAGE('Weekly Analysis'!AL165:AQ165)</f>
        <v>9</v>
      </c>
      <c r="K171" s="269">
        <f>AVERAGE('Weekly Analysis'!AR165:AW165)</f>
        <v>0</v>
      </c>
      <c r="L171" s="269">
        <f>AVERAGE('Weekly Analysis'!AX165:BC165)</f>
        <v>25.5</v>
      </c>
      <c r="M171" s="269">
        <f>AVERAGE('Weekly Analysis'!BD165:BI165)</f>
        <v>19.166666666666668</v>
      </c>
      <c r="N171" s="269">
        <f>AVERAGE('Weekly Analysis'!BJ165:BO165)</f>
        <v>35</v>
      </c>
      <c r="O171" s="245">
        <f>AVERAGE('Weekly Analysis'!BP165:BU165)</f>
        <v>9.3333333333333339</v>
      </c>
      <c r="P171" s="247">
        <f>AVERAGE('Weekly Analysis'!BV165:CA165)</f>
        <v>7</v>
      </c>
      <c r="Q171" s="269">
        <f>AVERAGE('Weekly Analysis'!CB165:CG165)</f>
        <v>25.5</v>
      </c>
      <c r="R171" s="269">
        <f>AVERAGE('Weekly Analysis'!CH165:CM165)</f>
        <v>40.166666666666664</v>
      </c>
      <c r="S171" s="247">
        <f>AVERAGE('Weekly Analysis'!CN165:CS165)</f>
        <v>8.8333333333333339</v>
      </c>
      <c r="T171" s="247">
        <f>AVERAGE('Weekly Analysis'!CT165:CY165)</f>
        <v>3</v>
      </c>
      <c r="U171" s="247">
        <f>AVERAGE('Weekly Analysis'!CZ165:DE165)</f>
        <v>6.166666666666667</v>
      </c>
      <c r="V171" s="247">
        <f>AVERAGE('Weekly Analysis'!DF165:DK165)</f>
        <v>17.333333333333332</v>
      </c>
      <c r="W171" s="247">
        <f>AVERAGE('Weekly Analysis'!DL165:DQ165)</f>
        <v>14.841435185185185</v>
      </c>
      <c r="X171" s="247">
        <f>AVERAGE('Weekly Analysis'!DR165:DW165)</f>
        <v>2.6666666666666665</v>
      </c>
      <c r="Y171" s="247">
        <f>AVERAGE('Weekly Analysis'!DX165:EC165)</f>
        <v>16</v>
      </c>
      <c r="Z171" s="247">
        <f t="shared" si="133"/>
        <v>500</v>
      </c>
      <c r="AA171" s="247">
        <f t="shared" si="134"/>
        <v>159.45945945945942</v>
      </c>
    </row>
    <row r="172" spans="2:28" ht="25.5" customHeight="1">
      <c r="B172" s="189" t="s">
        <v>349</v>
      </c>
      <c r="C172" s="618">
        <f t="shared" si="129"/>
        <v>9.6666666666666661</v>
      </c>
      <c r="D172" s="269">
        <f>AVERAGE('Weekly Analysis'!B166:G166)</f>
        <v>19.833333333333332</v>
      </c>
      <c r="E172" s="269">
        <f>AVERAGE('Weekly Analysis'!H166:M166)</f>
        <v>9.6666666666666661</v>
      </c>
      <c r="F172" s="269">
        <f>AVERAGE('Weekly Analysis'!N166:S166)</f>
        <v>8</v>
      </c>
      <c r="G172" s="269">
        <f>AVERAGE('Weekly Analysis'!T166:Y166)</f>
        <v>1.1666666666666667</v>
      </c>
      <c r="H172" s="269">
        <f>AVERAGE('Weekly Analysis'!Z166:AE166)</f>
        <v>11.833333333333334</v>
      </c>
      <c r="I172" s="269">
        <f>AVERAGE('Weekly Analysis'!AF166:AK166)</f>
        <v>18.833333333333332</v>
      </c>
      <c r="J172" s="269">
        <f>AVERAGE('Weekly Analysis'!AL166:AQ166)</f>
        <v>5.166666666666667</v>
      </c>
      <c r="K172" s="269">
        <f>AVERAGE('Weekly Analysis'!AR166:AW166)</f>
        <v>0</v>
      </c>
      <c r="L172" s="269">
        <f>AVERAGE('Weekly Analysis'!AX166:BC166)</f>
        <v>15.666666666666666</v>
      </c>
      <c r="M172" s="269">
        <f>AVERAGE('Weekly Analysis'!BD166:BI166)</f>
        <v>20.166666666666668</v>
      </c>
      <c r="N172" s="269">
        <f>AVERAGE('Weekly Analysis'!BJ166:BO166)</f>
        <v>19.666666666666668</v>
      </c>
      <c r="O172" s="245">
        <f>AVERAGE('Weekly Analysis'!BP166:BU166)</f>
        <v>15.333333333333334</v>
      </c>
      <c r="P172" s="247">
        <f>AVERAGE('Weekly Analysis'!BV166:CA166)</f>
        <v>11</v>
      </c>
      <c r="Q172" s="269">
        <f>AVERAGE('Weekly Analysis'!CB166:CG166)</f>
        <v>23.5</v>
      </c>
      <c r="R172" s="269">
        <f>AVERAGE('Weekly Analysis'!CH166:CM166)</f>
        <v>30.5</v>
      </c>
      <c r="S172" s="247">
        <f>AVERAGE('Weekly Analysis'!CN166:CS166)</f>
        <v>24.333333333333332</v>
      </c>
      <c r="T172" s="247">
        <f>AVERAGE('Weekly Analysis'!CT166:CY166)</f>
        <v>12.833333333333334</v>
      </c>
      <c r="U172" s="247">
        <f>AVERAGE('Weekly Analysis'!CZ166:DE166)</f>
        <v>3.5</v>
      </c>
      <c r="V172" s="247">
        <f>AVERAGE('Weekly Analysis'!DF166:DK166)</f>
        <v>20</v>
      </c>
      <c r="W172" s="247">
        <f>AVERAGE('Weekly Analysis'!DL166:DQ166)</f>
        <v>20.124099794238685</v>
      </c>
      <c r="X172" s="247">
        <f>AVERAGE('Weekly Analysis'!DR166:DW166)</f>
        <v>9.5</v>
      </c>
      <c r="Y172" s="247">
        <f>AVERAGE('Weekly Analysis'!DX166:EC166)</f>
        <v>24.666666666666668</v>
      </c>
      <c r="Z172" s="247">
        <f t="shared" si="133"/>
        <v>159.64912280701753</v>
      </c>
      <c r="AA172" s="247">
        <f t="shared" si="134"/>
        <v>604.76190476190482</v>
      </c>
    </row>
    <row r="173" spans="2:28" ht="25.5" customHeight="1">
      <c r="B173" s="189" t="s">
        <v>39</v>
      </c>
      <c r="C173" s="618">
        <f t="shared" si="129"/>
        <v>1.9583333333333335</v>
      </c>
      <c r="D173" s="269">
        <f>AVERAGE('Weekly Analysis'!B167:G167)</f>
        <v>3.3333333333333335</v>
      </c>
      <c r="E173" s="269">
        <f>AVERAGE('Weekly Analysis'!H167:M167)</f>
        <v>2.5</v>
      </c>
      <c r="F173" s="269">
        <f>AVERAGE('Weekly Analysis'!N167:S167)</f>
        <v>1.5</v>
      </c>
      <c r="G173" s="269">
        <f>AVERAGE('Weekly Analysis'!T167:Y167)</f>
        <v>0.5</v>
      </c>
      <c r="H173" s="269">
        <f>AVERAGE('Weekly Analysis'!Z167:AE167)</f>
        <v>3</v>
      </c>
      <c r="I173" s="269">
        <f>AVERAGE('Weekly Analysis'!AF167:AK167)</f>
        <v>4</v>
      </c>
      <c r="J173" s="269">
        <f>AVERAGE('Weekly Analysis'!AL167:AQ167)</f>
        <v>5.833333333333333</v>
      </c>
      <c r="K173" s="269">
        <f>AVERAGE('Weekly Analysis'!AR167:AW167)</f>
        <v>0</v>
      </c>
      <c r="L173" s="269">
        <f>AVERAGE('Weekly Analysis'!AX167:BC167)</f>
        <v>4</v>
      </c>
      <c r="M173" s="269">
        <f>AVERAGE('Weekly Analysis'!BD167:BI167)</f>
        <v>13.166666666666666</v>
      </c>
      <c r="N173" s="269">
        <f>AVERAGE('Weekly Analysis'!BJ167:BO167)</f>
        <v>23.666666666666668</v>
      </c>
      <c r="O173" s="245">
        <f>AVERAGE('Weekly Analysis'!BP167:BU167)</f>
        <v>17.166666666666668</v>
      </c>
      <c r="P173" s="247">
        <f>AVERAGE('Weekly Analysis'!BV167:CA167)</f>
        <v>2</v>
      </c>
      <c r="Q173" s="269">
        <f>AVERAGE('Weekly Analysis'!CB167:CG167)</f>
        <v>11</v>
      </c>
      <c r="R173" s="269">
        <f>AVERAGE('Weekly Analysis'!CH167:CM167)</f>
        <v>23.666666666666668</v>
      </c>
      <c r="S173" s="247">
        <f>AVERAGE('Weekly Analysis'!CN167:CS167)</f>
        <v>12.5</v>
      </c>
      <c r="T173" s="247">
        <f>AVERAGE('Weekly Analysis'!CT167:CY167)</f>
        <v>2.8333333333333335</v>
      </c>
      <c r="U173" s="247">
        <f>AVERAGE('Weekly Analysis'!CZ167:DE167)</f>
        <v>0.66666666666666663</v>
      </c>
      <c r="V173" s="247">
        <f>AVERAGE('Weekly Analysis'!DF167:DK167)</f>
        <v>9</v>
      </c>
      <c r="W173" s="247">
        <f>AVERAGE('Weekly Analysis'!DL167:DQ167)</f>
        <v>12.417309670781895</v>
      </c>
      <c r="X173" s="247">
        <f>AVERAGE('Weekly Analysis'!DR167:DW167)</f>
        <v>4.166666666666667</v>
      </c>
      <c r="Y173" s="247">
        <f>AVERAGE('Weekly Analysis'!DX167:EC167)</f>
        <v>4.5</v>
      </c>
      <c r="Z173" s="247">
        <f t="shared" si="133"/>
        <v>7.9999999999999858</v>
      </c>
      <c r="AA173" s="247">
        <f t="shared" si="134"/>
        <v>575</v>
      </c>
    </row>
    <row r="174" spans="2:28" ht="25.5" customHeight="1">
      <c r="B174" s="189" t="s">
        <v>40</v>
      </c>
      <c r="C174" s="618">
        <f t="shared" si="129"/>
        <v>10.708333333333332</v>
      </c>
      <c r="D174" s="269">
        <f>AVERAGE('Weekly Analysis'!B168:G168)</f>
        <v>14.666666666666666</v>
      </c>
      <c r="E174" s="269">
        <f>AVERAGE('Weekly Analysis'!H168:M168)</f>
        <v>10.5</v>
      </c>
      <c r="F174" s="269">
        <f>AVERAGE('Weekly Analysis'!N168:S168)</f>
        <v>12.666666666666666</v>
      </c>
      <c r="G174" s="269">
        <f>AVERAGE('Weekly Analysis'!T168:Y168)</f>
        <v>5</v>
      </c>
      <c r="H174" s="269">
        <f>AVERAGE('Weekly Analysis'!Z168:AE168)</f>
        <v>9.1666666666666661</v>
      </c>
      <c r="I174" s="269">
        <f>AVERAGE('Weekly Analysis'!AF168:AK168)</f>
        <v>33.166666666666664</v>
      </c>
      <c r="J174" s="269">
        <f>AVERAGE('Weekly Analysis'!AL168:AQ168)</f>
        <v>2.8333333333333335</v>
      </c>
      <c r="K174" s="269">
        <f>AVERAGE('Weekly Analysis'!AR168:AW168)</f>
        <v>0</v>
      </c>
      <c r="L174" s="269">
        <f>AVERAGE('Weekly Analysis'!AX168:BC168)</f>
        <v>14.166666666666666</v>
      </c>
      <c r="M174" s="269">
        <f>AVERAGE('Weekly Analysis'!BD168:BI168)</f>
        <v>28.333333333333332</v>
      </c>
      <c r="N174" s="269">
        <f>AVERAGE('Weekly Analysis'!BJ168:BO168)</f>
        <v>20.833333333333332</v>
      </c>
      <c r="O174" s="245">
        <f>AVERAGE('Weekly Analysis'!BP168:BU168)</f>
        <v>10.5</v>
      </c>
      <c r="P174" s="247">
        <f>AVERAGE('Weekly Analysis'!BV168:CA168)</f>
        <v>15.166666666666666</v>
      </c>
      <c r="Q174" s="269">
        <f>AVERAGE('Weekly Analysis'!CB168:CG168)</f>
        <v>32</v>
      </c>
      <c r="R174" s="269">
        <f>AVERAGE('Weekly Analysis'!CH168:CM168)</f>
        <v>20</v>
      </c>
      <c r="S174" s="247">
        <f>AVERAGE('Weekly Analysis'!CN168:CS168)</f>
        <v>21.166666666666668</v>
      </c>
      <c r="T174" s="247">
        <f>AVERAGE('Weekly Analysis'!CT168:CY168)</f>
        <v>30</v>
      </c>
      <c r="U174" s="247">
        <f>AVERAGE('Weekly Analysis'!CZ168:DE168)</f>
        <v>4.5</v>
      </c>
      <c r="V174" s="247">
        <f>AVERAGE('Weekly Analysis'!DF168:DK168)</f>
        <v>12.666666666666666</v>
      </c>
      <c r="W174" s="247">
        <f>AVERAGE('Weekly Analysis'!DL168:DQ168)</f>
        <v>20.065715020576132</v>
      </c>
      <c r="X174" s="247">
        <f>AVERAGE('Weekly Analysis'!DR168:DW168)</f>
        <v>20.5</v>
      </c>
      <c r="Y174" s="247">
        <f>AVERAGE('Weekly Analysis'!DX168:EC168)</f>
        <v>20.166666666666668</v>
      </c>
      <c r="Z174" s="247">
        <f t="shared" si="133"/>
        <v>-1.6260162601626007</v>
      </c>
      <c r="AA174" s="247">
        <f t="shared" si="134"/>
        <v>348.14814814814821</v>
      </c>
    </row>
    <row r="175" spans="2:28" ht="25.5" customHeight="1">
      <c r="B175" s="189" t="s">
        <v>41</v>
      </c>
      <c r="C175" s="618">
        <f t="shared" si="129"/>
        <v>4.083333333333333</v>
      </c>
      <c r="D175" s="269">
        <f>AVERAGE('Weekly Analysis'!B169:G169)</f>
        <v>7.333333333333333</v>
      </c>
      <c r="E175" s="269">
        <f>AVERAGE('Weekly Analysis'!H169:M169)</f>
        <v>2</v>
      </c>
      <c r="F175" s="269">
        <f>AVERAGE('Weekly Analysis'!N169:S169)</f>
        <v>6.5</v>
      </c>
      <c r="G175" s="269">
        <f>AVERAGE('Weekly Analysis'!T169:Y169)</f>
        <v>0.5</v>
      </c>
      <c r="H175" s="269">
        <f>AVERAGE('Weekly Analysis'!Z169:AE169)</f>
        <v>5.166666666666667</v>
      </c>
      <c r="I175" s="269">
        <f>AVERAGE('Weekly Analysis'!AF169:AK169)</f>
        <v>3.8333333333333335</v>
      </c>
      <c r="J175" s="269">
        <f>AVERAGE('Weekly Analysis'!AL169:AQ169)</f>
        <v>4.166666666666667</v>
      </c>
      <c r="K175" s="269">
        <f>AVERAGE('Weekly Analysis'!AR169:AW169)</f>
        <v>0</v>
      </c>
      <c r="L175" s="269">
        <f>AVERAGE('Weekly Analysis'!AX169:BC169)</f>
        <v>5.5</v>
      </c>
      <c r="M175" s="269">
        <f>AVERAGE('Weekly Analysis'!BD169:BI169)</f>
        <v>5.666666666666667</v>
      </c>
      <c r="N175" s="269">
        <f>AVERAGE('Weekly Analysis'!BJ169:BO169)</f>
        <v>22.666666666666668</v>
      </c>
      <c r="O175" s="245">
        <f>AVERAGE('Weekly Analysis'!BP169:BU169)</f>
        <v>20.166666666666668</v>
      </c>
      <c r="P175" s="247">
        <f>AVERAGE('Weekly Analysis'!BV169:CA169)</f>
        <v>2.1666666666666665</v>
      </c>
      <c r="Q175" s="269">
        <f>AVERAGE('Weekly Analysis'!CB169:CG169)</f>
        <v>8.6666666666666661</v>
      </c>
      <c r="R175" s="269">
        <f>AVERAGE('Weekly Analysis'!CH169:CM169)</f>
        <v>30</v>
      </c>
      <c r="S175" s="247">
        <f>AVERAGE('Weekly Analysis'!CN169:CS169)</f>
        <v>14</v>
      </c>
      <c r="T175" s="247">
        <f>AVERAGE('Weekly Analysis'!CT169:CY169)</f>
        <v>0.33333333333333331</v>
      </c>
      <c r="U175" s="247">
        <f>AVERAGE('Weekly Analysis'!CZ169:DE169)</f>
        <v>2</v>
      </c>
      <c r="V175" s="247">
        <f>AVERAGE('Weekly Analysis'!DF169:DK169)</f>
        <v>12.166666666666666</v>
      </c>
      <c r="W175" s="247">
        <f>AVERAGE('Weekly Analysis'!DL169:DQ169)</f>
        <v>10.838863168724279</v>
      </c>
      <c r="X175" s="247">
        <f>AVERAGE('Weekly Analysis'!DR169:DW169)</f>
        <v>0.66666666666666663</v>
      </c>
      <c r="Y175" s="247">
        <f>AVERAGE('Weekly Analysis'!DX169:EC169)</f>
        <v>3.8333333333333335</v>
      </c>
      <c r="Z175" s="247">
        <f t="shared" si="133"/>
        <v>475.00000000000011</v>
      </c>
      <c r="AA175" s="247">
        <f t="shared" si="134"/>
        <v>91.666666666666686</v>
      </c>
    </row>
    <row r="176" spans="2:28" ht="25.5" customHeight="1">
      <c r="B176" s="189" t="s">
        <v>350</v>
      </c>
      <c r="C176" s="618">
        <f t="shared" si="129"/>
        <v>7.1249999999999991</v>
      </c>
      <c r="D176" s="269">
        <f>AVERAGE('Weekly Analysis'!B170:G170)</f>
        <v>6</v>
      </c>
      <c r="E176" s="269">
        <f>AVERAGE('Weekly Analysis'!H170:M170)</f>
        <v>3.1666666666666665</v>
      </c>
      <c r="F176" s="269">
        <f>AVERAGE('Weekly Analysis'!N170:S170)</f>
        <v>16.5</v>
      </c>
      <c r="G176" s="269">
        <f>AVERAGE('Weekly Analysis'!T170:Y170)</f>
        <v>2.8333333333333335</v>
      </c>
      <c r="H176" s="269">
        <f>AVERAGE('Weekly Analysis'!Z170:AE170)</f>
        <v>9.5</v>
      </c>
      <c r="I176" s="269">
        <f>AVERAGE('Weekly Analysis'!AF170:AK170)</f>
        <v>1.1666666666666667</v>
      </c>
      <c r="J176" s="269">
        <f>AVERAGE('Weekly Analysis'!AL170:AQ170)</f>
        <v>6</v>
      </c>
      <c r="K176" s="269">
        <f>AVERAGE('Weekly Analysis'!AR170:AW170)</f>
        <v>0</v>
      </c>
      <c r="L176" s="269">
        <f>AVERAGE('Weekly Analysis'!AX170:BC170)</f>
        <v>8</v>
      </c>
      <c r="M176" s="269">
        <f>AVERAGE('Weekly Analysis'!BD170:BI170)</f>
        <v>4</v>
      </c>
      <c r="N176" s="269">
        <f>AVERAGE('Weekly Analysis'!BJ170:BO170)</f>
        <v>39.333333333333336</v>
      </c>
      <c r="O176" s="245">
        <f>AVERAGE('Weekly Analysis'!BP170:BU170)</f>
        <v>42</v>
      </c>
      <c r="P176" s="247">
        <f>AVERAGE('Weekly Analysis'!BV170:CA170)</f>
        <v>9.5</v>
      </c>
      <c r="Q176" s="269">
        <f>AVERAGE('Weekly Analysis'!CB170:CG170)</f>
        <v>9.1666666666666661</v>
      </c>
      <c r="R176" s="269">
        <f>AVERAGE('Weekly Analysis'!CH170:CM170)</f>
        <v>48.666666666666664</v>
      </c>
      <c r="S176" s="247">
        <f>AVERAGE('Weekly Analysis'!CN170:CS170)</f>
        <v>44.833333333333336</v>
      </c>
      <c r="T176" s="247">
        <f>AVERAGE('Weekly Analysis'!CT170:CY170)</f>
        <v>12.666666666666666</v>
      </c>
      <c r="U176" s="247">
        <f>AVERAGE('Weekly Analysis'!CZ170:DE170)</f>
        <v>1</v>
      </c>
      <c r="V176" s="247">
        <f>AVERAGE('Weekly Analysis'!DF170:DK170)</f>
        <v>23.833333333333332</v>
      </c>
      <c r="W176" s="247">
        <f>AVERAGE('Weekly Analysis'!DL170:DQ170)</f>
        <v>31.222865226337451</v>
      </c>
      <c r="X176" s="247">
        <f>AVERAGE('Weekly Analysis'!DR170:DW170)</f>
        <v>2.3333333333333335</v>
      </c>
      <c r="Y176" s="247">
        <f>AVERAGE('Weekly Analysis'!DX170:EC170)</f>
        <v>9.6666666666666661</v>
      </c>
      <c r="Z176" s="247">
        <f t="shared" si="133"/>
        <v>314.28571428571422</v>
      </c>
      <c r="AA176" s="247">
        <f t="shared" si="134"/>
        <v>866.66666666666663</v>
      </c>
    </row>
    <row r="177" spans="2:30" ht="25.5" customHeight="1">
      <c r="B177" s="629"/>
      <c r="C177" s="631">
        <f>AVERAGE(D177:G177)</f>
        <v>137.875</v>
      </c>
      <c r="D177" s="630">
        <f>AVERAGE('Weekly Analysis'!B171:G171)</f>
        <v>207.5</v>
      </c>
      <c r="E177" s="630">
        <f>AVERAGE('Weekly Analysis'!H171:M171)</f>
        <v>129.5</v>
      </c>
      <c r="F177" s="630">
        <f>AVERAGE('Weekly Analysis'!N171:S171)</f>
        <v>172</v>
      </c>
      <c r="G177" s="630">
        <f>AVERAGE('Weekly Analysis'!T171:Y171)</f>
        <v>42.5</v>
      </c>
      <c r="H177" s="630">
        <f>AVERAGE('Weekly Analysis'!Z171:AE171)</f>
        <v>168.83333333333334</v>
      </c>
      <c r="I177" s="630">
        <f>AVERAGE('Weekly Analysis'!AF171:AK171)</f>
        <v>359.66666666666669</v>
      </c>
      <c r="J177" s="630">
        <f>AVERAGE('Weekly Analysis'!AL171:AQ171)</f>
        <v>93.166666666666671</v>
      </c>
      <c r="K177" s="630">
        <f>AVERAGE('Weekly Analysis'!AR171:AW171)</f>
        <v>0</v>
      </c>
      <c r="L177" s="630">
        <f>AVERAGE('Weekly Analysis'!AX171:BC171)</f>
        <v>160.83333333333334</v>
      </c>
      <c r="M177" s="630">
        <f>AVERAGE('Weekly Analysis'!BD171:BI171)</f>
        <v>441.16666666666669</v>
      </c>
      <c r="N177" s="630">
        <f>AVERAGE('Weekly Analysis'!BJ171:BO171)</f>
        <v>504</v>
      </c>
      <c r="O177" s="630">
        <f>AVERAGE('Weekly Analysis'!BP171:BU171)</f>
        <v>321.66666666666669</v>
      </c>
      <c r="P177" s="630">
        <f>AVERAGE('Weekly Analysis'!BV171:CA171)</f>
        <v>194.66666666666666</v>
      </c>
      <c r="Q177" s="630">
        <f>AVERAGE('Weekly Analysis'!CB171:CG171)</f>
        <v>422.66666666666669</v>
      </c>
      <c r="R177" s="630">
        <f>AVERAGE('Weekly Analysis'!CH171:CM171)</f>
        <v>566.66666666666663</v>
      </c>
      <c r="S177" s="630">
        <f>AVERAGE('Weekly Analysis'!CN171:CS171)</f>
        <v>464.16666666666669</v>
      </c>
      <c r="T177" s="630">
        <f>AVERAGE('Weekly Analysis'!CT171:CY171)</f>
        <v>303.66666666666669</v>
      </c>
      <c r="U177" s="630">
        <f>AVERAGE('Weekly Analysis'!CZ171:DE171)</f>
        <v>41</v>
      </c>
      <c r="V177" s="630">
        <f>AVERAGE('Weekly Analysis'!DF171:DK171)</f>
        <v>195.16666666666666</v>
      </c>
      <c r="W177" s="630">
        <f>AVERAGE('Weekly Analysis'!DL171:DQ171)</f>
        <v>276.34850823045264</v>
      </c>
      <c r="X177" s="630">
        <f>AVERAGE('Weekly Analysis'!DR171:DW171)</f>
        <v>290.66666666666669</v>
      </c>
      <c r="Y177" s="645">
        <f>AVERAGE('Weekly Analysis'!DX171:EC171)</f>
        <v>309.5</v>
      </c>
      <c r="Z177" s="645">
        <f>Y177/X177*100-100</f>
        <v>6.4793577981651254</v>
      </c>
      <c r="AA177" s="630">
        <f>Y177/U177*100-100</f>
        <v>654.8780487804878</v>
      </c>
      <c r="AB177" s="307">
        <f>Y177-X177</f>
        <v>18.833333333333314</v>
      </c>
      <c r="AC177" s="307">
        <f>Y177-U177</f>
        <v>268.5</v>
      </c>
      <c r="AD177" s="307"/>
    </row>
    <row r="178" spans="2:30" ht="19.5" customHeight="1">
      <c r="B178" s="642"/>
      <c r="C178" s="234"/>
      <c r="D178" s="234"/>
      <c r="E178" s="234"/>
      <c r="F178" s="234"/>
      <c r="G178" s="234"/>
      <c r="H178" s="234"/>
      <c r="I178" s="234"/>
      <c r="J178" s="234"/>
      <c r="K178" s="234"/>
      <c r="L178" s="234"/>
      <c r="M178" s="234"/>
      <c r="N178" s="234"/>
      <c r="O178" s="234"/>
      <c r="P178" s="234"/>
      <c r="Q178" s="234"/>
      <c r="R178" s="234"/>
      <c r="S178" s="234"/>
      <c r="T178" s="233"/>
      <c r="U178" s="233"/>
      <c r="V178" s="233"/>
      <c r="W178" s="233"/>
      <c r="X178" s="233"/>
      <c r="Y178" s="233"/>
      <c r="Z178" s="233"/>
      <c r="AA178" s="233"/>
    </row>
    <row r="179" spans="2:30" ht="19.5" customHeight="1">
      <c r="B179" s="635"/>
      <c r="C179" s="234"/>
      <c r="D179" s="235"/>
      <c r="E179" s="235"/>
      <c r="F179" s="235"/>
      <c r="G179" s="345"/>
      <c r="H179" s="235"/>
      <c r="I179" s="235"/>
      <c r="J179" s="235"/>
      <c r="K179" s="235"/>
      <c r="L179" s="235"/>
      <c r="M179" s="235"/>
      <c r="N179" s="235"/>
      <c r="O179" s="235"/>
      <c r="P179" s="235"/>
      <c r="Q179" s="235"/>
      <c r="R179" s="235"/>
      <c r="S179" s="235"/>
      <c r="T179" s="233"/>
      <c r="U179" s="233"/>
      <c r="V179" s="233"/>
      <c r="W179" s="233"/>
      <c r="X179" s="233"/>
      <c r="Y179" s="244"/>
      <c r="Z179" s="233"/>
      <c r="AA179" s="233"/>
    </row>
    <row r="180" spans="2:30" ht="29.25" customHeight="1">
      <c r="B180" s="643" t="s">
        <v>189</v>
      </c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3"/>
      <c r="U180" s="233"/>
      <c r="V180" s="233"/>
      <c r="W180" s="233"/>
      <c r="X180" s="233"/>
      <c r="Y180" s="233"/>
      <c r="Z180" s="233"/>
      <c r="AA180" s="233"/>
    </row>
    <row r="181" spans="2:30">
      <c r="B181" s="643" t="s">
        <v>197</v>
      </c>
      <c r="C181" s="234"/>
      <c r="D181" s="234"/>
      <c r="E181" s="234"/>
      <c r="F181" s="234"/>
      <c r="G181" s="234"/>
      <c r="H181" s="234"/>
      <c r="I181" s="234"/>
      <c r="J181" s="234"/>
      <c r="K181" s="234"/>
      <c r="L181" s="234"/>
      <c r="M181" s="234"/>
      <c r="N181" s="234"/>
      <c r="O181" s="234"/>
      <c r="P181" s="234"/>
      <c r="Q181" s="234"/>
      <c r="R181" s="234"/>
      <c r="S181" s="234"/>
      <c r="T181" s="233"/>
      <c r="U181" s="233"/>
      <c r="V181" s="233"/>
      <c r="W181" s="233"/>
      <c r="X181" s="233"/>
      <c r="Y181" s="233"/>
      <c r="Z181" s="233"/>
      <c r="AA181" s="233"/>
    </row>
    <row r="182" spans="2:30">
      <c r="B182" s="233"/>
      <c r="C182" s="234"/>
      <c r="D182" s="234"/>
      <c r="E182" s="234"/>
      <c r="F182" s="234"/>
      <c r="G182" s="234"/>
      <c r="H182" s="234"/>
      <c r="I182" s="234"/>
      <c r="J182" s="234"/>
      <c r="K182" s="234"/>
      <c r="L182" s="234"/>
      <c r="M182" s="234"/>
      <c r="N182" s="234"/>
      <c r="O182" s="234"/>
      <c r="P182" s="234"/>
      <c r="Q182" s="234"/>
      <c r="R182" s="234"/>
      <c r="S182" s="234"/>
      <c r="T182" s="233"/>
      <c r="U182" s="233"/>
      <c r="V182" s="233"/>
      <c r="W182" s="233"/>
      <c r="X182" s="233"/>
      <c r="Y182" s="233"/>
      <c r="Z182" s="233"/>
      <c r="AA182" s="233"/>
    </row>
    <row r="183" spans="2:30">
      <c r="AD183" s="307"/>
    </row>
  </sheetData>
  <mergeCells count="1">
    <mergeCell ref="Z5:AA5"/>
  </mergeCells>
  <pageMargins left="0.7" right="0.7" top="0.75" bottom="0.75" header="0.3" footer="0.3"/>
  <pageSetup paperSize="9" scale="46" fitToHeight="0" orientation="landscape" r:id="rId1"/>
  <ignoredErrors>
    <ignoredError sqref="C1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00"/>
  </sheetPr>
  <dimension ref="A1:F22"/>
  <sheetViews>
    <sheetView topLeftCell="C5" workbookViewId="0">
      <selection activeCell="O11" sqref="O11"/>
    </sheetView>
  </sheetViews>
  <sheetFormatPr defaultColWidth="9.1796875" defaultRowHeight="14.5"/>
  <cols>
    <col min="1" max="1" width="20.26953125" style="288" customWidth="1"/>
    <col min="2" max="2" width="12" style="288" bestFit="1" customWidth="1"/>
    <col min="3" max="3" width="13.81640625" style="288" bestFit="1" customWidth="1"/>
    <col min="4" max="16384" width="9.1796875" style="288"/>
  </cols>
  <sheetData>
    <row r="1" spans="1:6">
      <c r="A1" s="397"/>
      <c r="B1" s="397"/>
      <c r="C1" s="397"/>
      <c r="D1" s="397"/>
    </row>
    <row r="2" spans="1:6" ht="18.5">
      <c r="A2" s="398"/>
      <c r="B2" s="397"/>
      <c r="C2" s="397"/>
      <c r="D2" s="397"/>
      <c r="F2" s="289" t="s">
        <v>199</v>
      </c>
    </row>
    <row r="3" spans="1:6">
      <c r="A3" s="397"/>
      <c r="B3" s="397"/>
      <c r="C3" s="397"/>
      <c r="D3" s="397"/>
    </row>
    <row r="4" spans="1:6">
      <c r="A4" s="399"/>
      <c r="B4" s="400"/>
      <c r="C4" s="400"/>
      <c r="D4" s="397"/>
    </row>
    <row r="5" spans="1:6">
      <c r="A5" s="401"/>
      <c r="B5" s="402"/>
      <c r="C5" s="402"/>
      <c r="D5" s="397"/>
    </row>
    <row r="6" spans="1:6">
      <c r="A6" s="401"/>
      <c r="B6" s="402"/>
      <c r="C6" s="402"/>
      <c r="D6" s="397"/>
    </row>
    <row r="7" spans="1:6">
      <c r="A7" s="401"/>
      <c r="B7" s="402"/>
      <c r="C7" s="402"/>
      <c r="D7" s="397"/>
    </row>
    <row r="8" spans="1:6">
      <c r="A8" s="401"/>
      <c r="B8" s="402"/>
      <c r="C8" s="402"/>
      <c r="D8" s="397"/>
    </row>
    <row r="9" spans="1:6">
      <c r="A9" s="401"/>
      <c r="B9" s="402"/>
      <c r="C9" s="402"/>
      <c r="D9" s="397"/>
    </row>
    <row r="10" spans="1:6">
      <c r="A10" s="401"/>
      <c r="B10" s="402"/>
      <c r="C10" s="402"/>
      <c r="D10" s="397"/>
    </row>
    <row r="11" spans="1:6">
      <c r="A11" s="401"/>
      <c r="B11" s="402"/>
      <c r="C11" s="402"/>
      <c r="D11" s="397"/>
    </row>
    <row r="12" spans="1:6">
      <c r="A12" s="401"/>
      <c r="B12" s="402"/>
      <c r="C12" s="402"/>
      <c r="D12" s="397"/>
    </row>
    <row r="13" spans="1:6">
      <c r="A13" s="401"/>
      <c r="B13" s="402"/>
      <c r="C13" s="402"/>
      <c r="D13" s="397"/>
    </row>
    <row r="14" spans="1:6">
      <c r="A14" s="401"/>
      <c r="B14" s="402"/>
      <c r="C14" s="402"/>
      <c r="D14" s="397"/>
    </row>
    <row r="15" spans="1:6">
      <c r="A15" s="401"/>
      <c r="B15" s="402"/>
      <c r="C15" s="402"/>
      <c r="D15" s="397"/>
    </row>
    <row r="16" spans="1:6">
      <c r="A16" s="401"/>
      <c r="B16" s="402"/>
      <c r="C16" s="402"/>
      <c r="D16" s="397"/>
    </row>
    <row r="17" spans="1:4">
      <c r="A17" s="401"/>
      <c r="B17" s="402"/>
      <c r="C17" s="402"/>
      <c r="D17" s="397"/>
    </row>
    <row r="18" spans="1:4">
      <c r="A18" s="397"/>
      <c r="B18" s="397"/>
      <c r="C18" s="397"/>
      <c r="D18" s="397"/>
    </row>
    <row r="19" spans="1:4">
      <c r="A19" s="397"/>
      <c r="B19" s="397"/>
      <c r="C19" s="397"/>
      <c r="D19" s="397"/>
    </row>
    <row r="20" spans="1:4">
      <c r="A20" s="397"/>
      <c r="B20" s="397"/>
      <c r="C20" s="397"/>
      <c r="D20" s="397"/>
    </row>
    <row r="21" spans="1:4">
      <c r="A21" s="397"/>
      <c r="B21" s="397"/>
      <c r="C21" s="397"/>
      <c r="D21" s="397"/>
    </row>
    <row r="22" spans="1:4">
      <c r="A22" s="397"/>
      <c r="B22" s="397"/>
      <c r="C22" s="397"/>
      <c r="D22" s="39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FF99"/>
  </sheetPr>
  <dimension ref="A1:H19"/>
  <sheetViews>
    <sheetView topLeftCell="C1" workbookViewId="0">
      <selection activeCell="O17" sqref="O17"/>
    </sheetView>
  </sheetViews>
  <sheetFormatPr defaultColWidth="9.1796875" defaultRowHeight="14.5"/>
  <cols>
    <col min="1" max="1" width="11.26953125" style="290" customWidth="1"/>
    <col min="2" max="2" width="12" style="290" bestFit="1" customWidth="1"/>
    <col min="3" max="3" width="13.81640625" style="290" bestFit="1" customWidth="1"/>
    <col min="4" max="16384" width="9.1796875" style="290"/>
  </cols>
  <sheetData>
    <row r="1" spans="1:8">
      <c r="A1" s="403"/>
      <c r="B1" s="403"/>
      <c r="C1" s="403"/>
      <c r="D1" s="403"/>
    </row>
    <row r="2" spans="1:8" ht="18.5">
      <c r="A2" s="404"/>
      <c r="B2" s="403"/>
      <c r="C2" s="403"/>
      <c r="D2" s="403"/>
      <c r="H2" s="291" t="s">
        <v>200</v>
      </c>
    </row>
    <row r="3" spans="1:8">
      <c r="A3" s="403"/>
      <c r="B3" s="403"/>
      <c r="C3" s="403"/>
      <c r="D3" s="403"/>
    </row>
    <row r="4" spans="1:8">
      <c r="A4" s="405"/>
      <c r="B4" s="406"/>
      <c r="C4" s="406"/>
      <c r="D4" s="403"/>
    </row>
    <row r="5" spans="1:8">
      <c r="A5" s="407"/>
      <c r="B5" s="408"/>
      <c r="C5" s="408"/>
      <c r="D5" s="403"/>
    </row>
    <row r="6" spans="1:8">
      <c r="A6" s="407"/>
      <c r="B6" s="408"/>
      <c r="C6" s="408"/>
      <c r="D6" s="403"/>
    </row>
    <row r="7" spans="1:8">
      <c r="A7" s="407"/>
      <c r="B7" s="408"/>
      <c r="C7" s="408"/>
      <c r="D7" s="403"/>
    </row>
    <row r="8" spans="1:8">
      <c r="A8" s="407"/>
      <c r="B8" s="408"/>
      <c r="C8" s="408"/>
      <c r="D8" s="403"/>
    </row>
    <row r="9" spans="1:8">
      <c r="A9" s="407"/>
      <c r="B9" s="408"/>
      <c r="C9" s="408"/>
      <c r="D9" s="403"/>
    </row>
    <row r="10" spans="1:8">
      <c r="A10" s="407"/>
      <c r="B10" s="408"/>
      <c r="C10" s="408"/>
      <c r="D10" s="403"/>
    </row>
    <row r="11" spans="1:8">
      <c r="A11" s="407"/>
      <c r="B11" s="408"/>
      <c r="C11" s="408"/>
      <c r="D11" s="403"/>
    </row>
    <row r="12" spans="1:8">
      <c r="A12" s="407"/>
      <c r="B12" s="408"/>
      <c r="C12" s="408"/>
      <c r="D12" s="403"/>
    </row>
    <row r="13" spans="1:8">
      <c r="A13" s="407"/>
      <c r="B13" s="408"/>
      <c r="C13" s="408"/>
      <c r="D13" s="403"/>
    </row>
    <row r="14" spans="1:8">
      <c r="A14" s="407"/>
      <c r="B14" s="408"/>
      <c r="C14" s="408"/>
      <c r="D14" s="403"/>
    </row>
    <row r="15" spans="1:8">
      <c r="A15" s="407"/>
      <c r="B15" s="408"/>
      <c r="C15" s="408"/>
      <c r="D15" s="403"/>
    </row>
    <row r="16" spans="1:8">
      <c r="A16" s="407"/>
      <c r="B16" s="408"/>
      <c r="C16" s="408"/>
      <c r="D16" s="403"/>
    </row>
    <row r="17" spans="1:4">
      <c r="A17" s="407"/>
      <c r="B17" s="408"/>
      <c r="C17" s="408"/>
      <c r="D17" s="403"/>
    </row>
    <row r="18" spans="1:4">
      <c r="A18" s="403"/>
      <c r="B18" s="403"/>
      <c r="C18" s="403"/>
      <c r="D18" s="403"/>
    </row>
    <row r="19" spans="1:4">
      <c r="A19" s="403"/>
      <c r="B19" s="403"/>
      <c r="C19" s="403"/>
      <c r="D19" s="40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6699"/>
  </sheetPr>
  <dimension ref="A1:F21"/>
  <sheetViews>
    <sheetView workbookViewId="0">
      <selection activeCell="L11" sqref="L11"/>
    </sheetView>
  </sheetViews>
  <sheetFormatPr defaultColWidth="9.1796875" defaultRowHeight="14.5"/>
  <cols>
    <col min="1" max="1" width="12.54296875" style="293" customWidth="1"/>
    <col min="2" max="2" width="12" style="293" bestFit="1" customWidth="1"/>
    <col min="3" max="3" width="13.81640625" style="293" bestFit="1" customWidth="1"/>
    <col min="4" max="16384" width="9.1796875" style="293"/>
  </cols>
  <sheetData>
    <row r="1" spans="1:6">
      <c r="A1" s="409"/>
      <c r="B1" s="409"/>
      <c r="C1" s="409"/>
    </row>
    <row r="2" spans="1:6" ht="18.5">
      <c r="A2" s="410"/>
      <c r="B2" s="409"/>
      <c r="C2" s="409"/>
    </row>
    <row r="3" spans="1:6" ht="18.5">
      <c r="A3" s="409"/>
      <c r="B3" s="409"/>
      <c r="C3" s="409"/>
      <c r="F3" s="292" t="s">
        <v>201</v>
      </c>
    </row>
    <row r="4" spans="1:6">
      <c r="A4" s="411"/>
      <c r="B4" s="412"/>
      <c r="C4" s="412"/>
    </row>
    <row r="5" spans="1:6">
      <c r="A5" s="413"/>
      <c r="B5" s="414"/>
      <c r="C5" s="414"/>
    </row>
    <row r="6" spans="1:6">
      <c r="A6" s="413"/>
      <c r="B6" s="414"/>
      <c r="C6" s="414"/>
    </row>
    <row r="7" spans="1:6">
      <c r="A7" s="413"/>
      <c r="B7" s="414"/>
      <c r="C7" s="414"/>
    </row>
    <row r="8" spans="1:6">
      <c r="A8" s="413"/>
      <c r="B8" s="414"/>
      <c r="C8" s="414"/>
    </row>
    <row r="9" spans="1:6">
      <c r="A9" s="413"/>
      <c r="B9" s="414"/>
      <c r="C9" s="414"/>
    </row>
    <row r="10" spans="1:6">
      <c r="A10" s="413"/>
      <c r="B10" s="414"/>
      <c r="C10" s="414"/>
    </row>
    <row r="11" spans="1:6">
      <c r="A11" s="413"/>
      <c r="B11" s="414"/>
      <c r="C11" s="414"/>
    </row>
    <row r="12" spans="1:6">
      <c r="A12" s="413"/>
      <c r="B12" s="414"/>
      <c r="C12" s="414"/>
    </row>
    <row r="13" spans="1:6">
      <c r="A13" s="413"/>
      <c r="B13" s="414"/>
      <c r="C13" s="414"/>
    </row>
    <row r="14" spans="1:6">
      <c r="A14" s="413"/>
      <c r="B14" s="414"/>
      <c r="C14" s="414"/>
    </row>
    <row r="15" spans="1:6">
      <c r="A15" s="413"/>
      <c r="B15" s="414"/>
      <c r="C15" s="414"/>
    </row>
    <row r="16" spans="1:6">
      <c r="A16" s="413"/>
      <c r="B16" s="414"/>
      <c r="C16" s="414"/>
    </row>
    <row r="17" spans="1:3">
      <c r="A17" s="413"/>
      <c r="B17" s="414"/>
      <c r="C17" s="414"/>
    </row>
    <row r="18" spans="1:3">
      <c r="A18" s="409"/>
      <c r="B18" s="409"/>
      <c r="C18" s="409"/>
    </row>
    <row r="19" spans="1:3">
      <c r="A19" s="409"/>
      <c r="B19" s="409"/>
      <c r="C19" s="409"/>
    </row>
    <row r="20" spans="1:3">
      <c r="A20" s="409"/>
      <c r="B20" s="409"/>
      <c r="C20" s="409"/>
    </row>
    <row r="21" spans="1:3">
      <c r="A21" s="409"/>
      <c r="B21" s="409"/>
      <c r="C21" s="40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808000"/>
  </sheetPr>
  <dimension ref="A2:F19"/>
  <sheetViews>
    <sheetView workbookViewId="0">
      <selection activeCell="M31" sqref="M31"/>
    </sheetView>
  </sheetViews>
  <sheetFormatPr defaultColWidth="9.1796875" defaultRowHeight="14.5"/>
  <cols>
    <col min="1" max="1" width="15.7265625" style="282" customWidth="1"/>
    <col min="2" max="2" width="12" style="282" bestFit="1" customWidth="1"/>
    <col min="3" max="3" width="13.81640625" style="282" bestFit="1" customWidth="1"/>
    <col min="4" max="16384" width="9.1796875" style="282"/>
  </cols>
  <sheetData>
    <row r="2" spans="1:6" ht="18.5">
      <c r="A2" s="415"/>
      <c r="B2" s="281"/>
      <c r="C2" s="281"/>
      <c r="D2" s="281"/>
      <c r="F2" s="294" t="s">
        <v>202</v>
      </c>
    </row>
    <row r="3" spans="1:6">
      <c r="A3" s="281"/>
      <c r="B3" s="281"/>
      <c r="C3" s="281"/>
      <c r="D3" s="281"/>
    </row>
    <row r="4" spans="1:6">
      <c r="A4" s="416"/>
      <c r="B4" s="417"/>
      <c r="C4" s="417"/>
      <c r="D4" s="281"/>
    </row>
    <row r="5" spans="1:6">
      <c r="A5" s="418"/>
      <c r="B5" s="419"/>
      <c r="C5" s="419"/>
      <c r="D5" s="281"/>
    </row>
    <row r="6" spans="1:6">
      <c r="A6" s="418"/>
      <c r="B6" s="419"/>
      <c r="C6" s="419"/>
      <c r="D6" s="281"/>
    </row>
    <row r="7" spans="1:6">
      <c r="A7" s="418"/>
      <c r="B7" s="419"/>
      <c r="C7" s="419"/>
      <c r="D7" s="281"/>
    </row>
    <row r="8" spans="1:6">
      <c r="A8" s="418"/>
      <c r="B8" s="419"/>
      <c r="C8" s="419"/>
      <c r="D8" s="281"/>
    </row>
    <row r="9" spans="1:6">
      <c r="A9" s="418"/>
      <c r="B9" s="419"/>
      <c r="C9" s="419"/>
      <c r="D9" s="281"/>
    </row>
    <row r="10" spans="1:6">
      <c r="A10" s="418"/>
      <c r="B10" s="419"/>
      <c r="C10" s="419"/>
      <c r="D10" s="281"/>
    </row>
    <row r="11" spans="1:6">
      <c r="A11" s="418"/>
      <c r="B11" s="419"/>
      <c r="C11" s="419"/>
      <c r="D11" s="281"/>
    </row>
    <row r="12" spans="1:6">
      <c r="A12" s="418"/>
      <c r="B12" s="419"/>
      <c r="C12" s="419"/>
      <c r="D12" s="281"/>
    </row>
    <row r="13" spans="1:6">
      <c r="A13" s="418"/>
      <c r="B13" s="419"/>
      <c r="C13" s="419"/>
      <c r="D13" s="281"/>
    </row>
    <row r="14" spans="1:6">
      <c r="A14" s="418"/>
      <c r="B14" s="419"/>
      <c r="C14" s="419"/>
      <c r="D14" s="281"/>
    </row>
    <row r="15" spans="1:6">
      <c r="A15" s="418"/>
      <c r="B15" s="419"/>
      <c r="C15" s="419"/>
      <c r="D15" s="281"/>
    </row>
    <row r="16" spans="1:6">
      <c r="A16" s="418"/>
      <c r="B16" s="419"/>
      <c r="C16" s="419"/>
      <c r="D16" s="281"/>
    </row>
    <row r="17" spans="1:4">
      <c r="A17" s="418"/>
      <c r="B17" s="419"/>
      <c r="C17" s="419"/>
      <c r="D17" s="281"/>
    </row>
    <row r="18" spans="1:4">
      <c r="A18" s="281"/>
      <c r="B18" s="281"/>
      <c r="C18" s="281"/>
      <c r="D18" s="281"/>
    </row>
    <row r="19" spans="1:4">
      <c r="A19" s="281"/>
      <c r="B19" s="281"/>
      <c r="C19" s="281"/>
      <c r="D19" s="28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6FFFF"/>
  </sheetPr>
  <dimension ref="A1:F19"/>
  <sheetViews>
    <sheetView workbookViewId="0">
      <selection activeCell="N9" sqref="N9"/>
    </sheetView>
  </sheetViews>
  <sheetFormatPr defaultColWidth="9.1796875" defaultRowHeight="14.5"/>
  <cols>
    <col min="1" max="1" width="13.453125" style="296" customWidth="1"/>
    <col min="2" max="2" width="12.1796875" style="296" customWidth="1"/>
    <col min="3" max="3" width="13.81640625" style="296" bestFit="1" customWidth="1"/>
    <col min="4" max="16384" width="9.1796875" style="296"/>
  </cols>
  <sheetData>
    <row r="1" spans="1:6">
      <c r="A1" s="420"/>
      <c r="B1" s="420"/>
      <c r="C1" s="420"/>
      <c r="D1" s="420"/>
    </row>
    <row r="2" spans="1:6" ht="18.5">
      <c r="A2" s="421"/>
      <c r="B2" s="420"/>
      <c r="C2" s="420"/>
      <c r="D2" s="420"/>
    </row>
    <row r="3" spans="1:6" ht="18.5">
      <c r="A3" s="420"/>
      <c r="B3" s="420"/>
      <c r="C3" s="420"/>
      <c r="D3" s="420"/>
      <c r="F3" s="295" t="s">
        <v>203</v>
      </c>
    </row>
    <row r="4" spans="1:6">
      <c r="A4" s="422"/>
      <c r="B4" s="423"/>
      <c r="C4" s="423"/>
      <c r="D4" s="420"/>
    </row>
    <row r="5" spans="1:6">
      <c r="A5" s="424"/>
      <c r="B5" s="425"/>
      <c r="C5" s="425"/>
      <c r="D5" s="420"/>
    </row>
    <row r="6" spans="1:6">
      <c r="A6" s="424"/>
      <c r="B6" s="425"/>
      <c r="C6" s="425"/>
      <c r="D6" s="420"/>
    </row>
    <row r="7" spans="1:6">
      <c r="A7" s="424"/>
      <c r="B7" s="425"/>
      <c r="C7" s="425"/>
      <c r="D7" s="420"/>
    </row>
    <row r="8" spans="1:6">
      <c r="A8" s="424"/>
      <c r="B8" s="425"/>
      <c r="C8" s="425"/>
      <c r="D8" s="420"/>
    </row>
    <row r="9" spans="1:6">
      <c r="A9" s="424"/>
      <c r="B9" s="425"/>
      <c r="C9" s="425"/>
      <c r="D9" s="420"/>
    </row>
    <row r="10" spans="1:6">
      <c r="A10" s="424"/>
      <c r="B10" s="425"/>
      <c r="C10" s="425"/>
      <c r="D10" s="420"/>
    </row>
    <row r="11" spans="1:6">
      <c r="A11" s="424"/>
      <c r="B11" s="425"/>
      <c r="C11" s="425"/>
      <c r="D11" s="420"/>
    </row>
    <row r="12" spans="1:6">
      <c r="A12" s="424"/>
      <c r="B12" s="425"/>
      <c r="C12" s="425"/>
      <c r="D12" s="420"/>
    </row>
    <row r="13" spans="1:6">
      <c r="A13" s="424"/>
      <c r="B13" s="425"/>
      <c r="C13" s="425"/>
      <c r="D13" s="420"/>
    </row>
    <row r="14" spans="1:6">
      <c r="A14" s="424"/>
      <c r="B14" s="425"/>
      <c r="C14" s="425"/>
      <c r="D14" s="420"/>
    </row>
    <row r="15" spans="1:6">
      <c r="A15" s="424"/>
      <c r="B15" s="425"/>
      <c r="C15" s="425"/>
      <c r="D15" s="420"/>
    </row>
    <row r="16" spans="1:6">
      <c r="A16" s="424"/>
      <c r="B16" s="425"/>
      <c r="C16" s="425"/>
      <c r="D16" s="420"/>
    </row>
    <row r="17" spans="1:4">
      <c r="A17" s="424"/>
      <c r="B17" s="425"/>
      <c r="C17" s="425"/>
      <c r="D17" s="420"/>
    </row>
    <row r="18" spans="1:4">
      <c r="A18" s="420"/>
      <c r="B18" s="420"/>
      <c r="C18" s="420"/>
      <c r="D18" s="420"/>
    </row>
    <row r="19" spans="1:4">
      <c r="A19" s="420"/>
      <c r="B19" s="420"/>
      <c r="C19" s="420"/>
      <c r="D19" s="42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660033"/>
  </sheetPr>
  <dimension ref="A1:F20"/>
  <sheetViews>
    <sheetView workbookViewId="0">
      <selection activeCell="O5" sqref="O5"/>
    </sheetView>
  </sheetViews>
  <sheetFormatPr defaultColWidth="9.1796875" defaultRowHeight="14.5"/>
  <cols>
    <col min="1" max="1" width="15" style="298" customWidth="1"/>
    <col min="2" max="2" width="12" style="298" bestFit="1" customWidth="1"/>
    <col min="3" max="3" width="13.81640625" style="298" bestFit="1" customWidth="1"/>
    <col min="4" max="16384" width="9.1796875" style="298"/>
  </cols>
  <sheetData>
    <row r="1" spans="1:6">
      <c r="A1" s="426"/>
      <c r="B1" s="426"/>
      <c r="C1" s="426"/>
      <c r="D1" s="426"/>
    </row>
    <row r="2" spans="1:6" ht="18.5">
      <c r="A2" s="427"/>
      <c r="B2" s="426"/>
      <c r="C2" s="426"/>
      <c r="D2" s="426"/>
      <c r="F2" s="297" t="s">
        <v>204</v>
      </c>
    </row>
    <row r="3" spans="1:6">
      <c r="A3" s="426"/>
      <c r="B3" s="426"/>
      <c r="C3" s="426"/>
      <c r="D3" s="426"/>
    </row>
    <row r="4" spans="1:6">
      <c r="A4" s="428"/>
      <c r="B4" s="429"/>
      <c r="C4" s="429"/>
      <c r="D4" s="426"/>
    </row>
    <row r="5" spans="1:6">
      <c r="A5" s="430"/>
      <c r="B5" s="431"/>
      <c r="C5" s="431"/>
      <c r="D5" s="426"/>
    </row>
    <row r="6" spans="1:6">
      <c r="A6" s="430"/>
      <c r="B6" s="431"/>
      <c r="C6" s="431"/>
      <c r="D6" s="426"/>
    </row>
    <row r="7" spans="1:6">
      <c r="A7" s="430"/>
      <c r="B7" s="431"/>
      <c r="C7" s="431"/>
      <c r="D7" s="426"/>
    </row>
    <row r="8" spans="1:6">
      <c r="A8" s="430"/>
      <c r="B8" s="431"/>
      <c r="C8" s="431"/>
      <c r="D8" s="426"/>
    </row>
    <row r="9" spans="1:6">
      <c r="A9" s="430"/>
      <c r="B9" s="431"/>
      <c r="C9" s="431"/>
      <c r="D9" s="426"/>
    </row>
    <row r="10" spans="1:6">
      <c r="A10" s="430"/>
      <c r="B10" s="431"/>
      <c r="C10" s="431"/>
      <c r="D10" s="426"/>
    </row>
    <row r="11" spans="1:6">
      <c r="A11" s="430"/>
      <c r="B11" s="431"/>
      <c r="C11" s="431"/>
      <c r="D11" s="426"/>
    </row>
    <row r="12" spans="1:6">
      <c r="A12" s="430"/>
      <c r="B12" s="431"/>
      <c r="C12" s="431"/>
      <c r="D12" s="426"/>
    </row>
    <row r="13" spans="1:6">
      <c r="A13" s="430"/>
      <c r="B13" s="431"/>
      <c r="C13" s="431"/>
      <c r="D13" s="426"/>
    </row>
    <row r="14" spans="1:6">
      <c r="A14" s="430"/>
      <c r="B14" s="431"/>
      <c r="C14" s="431"/>
      <c r="D14" s="426"/>
    </row>
    <row r="15" spans="1:6">
      <c r="A15" s="430"/>
      <c r="B15" s="431"/>
      <c r="C15" s="431"/>
      <c r="D15" s="426"/>
    </row>
    <row r="16" spans="1:6">
      <c r="A16" s="430"/>
      <c r="B16" s="431"/>
      <c r="C16" s="431"/>
      <c r="D16" s="426"/>
    </row>
    <row r="17" spans="1:4">
      <c r="A17" s="430"/>
      <c r="B17" s="431"/>
      <c r="C17" s="431"/>
      <c r="D17" s="426"/>
    </row>
    <row r="18" spans="1:4">
      <c r="A18" s="426"/>
      <c r="B18" s="426"/>
      <c r="C18" s="426"/>
      <c r="D18" s="426"/>
    </row>
    <row r="19" spans="1:4">
      <c r="A19" s="426"/>
      <c r="B19" s="426"/>
      <c r="C19" s="426"/>
      <c r="D19" s="426"/>
    </row>
    <row r="20" spans="1:4">
      <c r="A20" s="426"/>
      <c r="B20" s="426"/>
      <c r="C20" s="426"/>
      <c r="D20" s="42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3366CC"/>
  </sheetPr>
  <dimension ref="A2:G20"/>
  <sheetViews>
    <sheetView workbookViewId="0">
      <selection activeCell="P13" sqref="P13"/>
    </sheetView>
  </sheetViews>
  <sheetFormatPr defaultColWidth="9.1796875" defaultRowHeight="14.5"/>
  <cols>
    <col min="1" max="1" width="14.453125" style="324" customWidth="1"/>
    <col min="2" max="2" width="11" style="324" customWidth="1"/>
    <col min="3" max="3" width="11.453125" style="324" customWidth="1"/>
    <col min="4" max="16384" width="9.1796875" style="324"/>
  </cols>
  <sheetData>
    <row r="2" spans="1:7" ht="18.5">
      <c r="A2" s="323"/>
    </row>
    <row r="3" spans="1:7" ht="18.5">
      <c r="A3" s="449"/>
      <c r="B3" s="449"/>
      <c r="C3" s="449"/>
      <c r="D3" s="449"/>
      <c r="G3" s="323" t="s">
        <v>206</v>
      </c>
    </row>
    <row r="4" spans="1:7">
      <c r="A4" s="450"/>
      <c r="B4" s="451"/>
      <c r="C4" s="451"/>
      <c r="D4" s="449"/>
    </row>
    <row r="5" spans="1:7">
      <c r="A5" s="452"/>
      <c r="B5" s="453"/>
      <c r="C5" s="453"/>
      <c r="D5" s="449"/>
    </row>
    <row r="6" spans="1:7">
      <c r="A6" s="452"/>
      <c r="B6" s="453"/>
      <c r="C6" s="453"/>
      <c r="D6" s="449"/>
    </row>
    <row r="7" spans="1:7">
      <c r="A7" s="452"/>
      <c r="B7" s="453"/>
      <c r="C7" s="453"/>
      <c r="D7" s="449"/>
    </row>
    <row r="8" spans="1:7">
      <c r="A8" s="452"/>
      <c r="B8" s="453"/>
      <c r="C8" s="453"/>
      <c r="D8" s="449"/>
    </row>
    <row r="9" spans="1:7">
      <c r="A9" s="452"/>
      <c r="B9" s="453"/>
      <c r="C9" s="453"/>
      <c r="D9" s="449"/>
    </row>
    <row r="10" spans="1:7">
      <c r="A10" s="452"/>
      <c r="B10" s="453"/>
      <c r="C10" s="453"/>
      <c r="D10" s="449"/>
    </row>
    <row r="11" spans="1:7">
      <c r="A11" s="452"/>
      <c r="B11" s="453"/>
      <c r="C11" s="453"/>
      <c r="D11" s="449"/>
    </row>
    <row r="12" spans="1:7">
      <c r="A12" s="452"/>
      <c r="B12" s="453"/>
      <c r="C12" s="453"/>
      <c r="D12" s="449"/>
    </row>
    <row r="13" spans="1:7">
      <c r="A13" s="452"/>
      <c r="B13" s="453"/>
      <c r="C13" s="453"/>
      <c r="D13" s="449"/>
    </row>
    <row r="14" spans="1:7">
      <c r="A14" s="452"/>
      <c r="B14" s="453"/>
      <c r="C14" s="453"/>
      <c r="D14" s="449"/>
    </row>
    <row r="15" spans="1:7">
      <c r="A15" s="452"/>
      <c r="B15" s="453"/>
      <c r="C15" s="453"/>
      <c r="D15" s="449"/>
    </row>
    <row r="16" spans="1:7">
      <c r="A16" s="452"/>
      <c r="B16" s="453"/>
      <c r="C16" s="453"/>
      <c r="D16" s="449"/>
    </row>
    <row r="17" spans="1:4">
      <c r="A17" s="452"/>
      <c r="B17" s="453"/>
      <c r="C17" s="453"/>
      <c r="D17" s="449"/>
    </row>
    <row r="18" spans="1:4">
      <c r="A18" s="449"/>
      <c r="B18" s="449"/>
      <c r="C18" s="449"/>
      <c r="D18" s="449"/>
    </row>
    <row r="19" spans="1:4">
      <c r="A19" s="449"/>
      <c r="B19" s="449"/>
      <c r="C19" s="449"/>
      <c r="D19" s="449"/>
    </row>
    <row r="20" spans="1:4">
      <c r="A20" s="449"/>
      <c r="B20" s="449"/>
      <c r="C20" s="449"/>
      <c r="D20" s="44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2AF434"/>
  </sheetPr>
  <dimension ref="A1:E18"/>
  <sheetViews>
    <sheetView workbookViewId="0">
      <selection activeCell="L14" sqref="L14"/>
    </sheetView>
  </sheetViews>
  <sheetFormatPr defaultColWidth="9.1796875" defaultRowHeight="14.5"/>
  <cols>
    <col min="1" max="1" width="16" style="320" customWidth="1"/>
    <col min="2" max="2" width="12.81640625" style="320" customWidth="1"/>
    <col min="3" max="3" width="13.1796875" style="320" customWidth="1"/>
    <col min="4" max="16384" width="9.1796875" style="320"/>
  </cols>
  <sheetData>
    <row r="1" spans="1:5">
      <c r="A1" s="438"/>
      <c r="B1" s="438"/>
      <c r="C1" s="438"/>
      <c r="D1" s="438"/>
    </row>
    <row r="2" spans="1:5" ht="18.5">
      <c r="A2" s="439"/>
      <c r="B2" s="438"/>
      <c r="C2" s="438"/>
      <c r="D2" s="438"/>
    </row>
    <row r="3" spans="1:5" ht="18.5">
      <c r="A3" s="438"/>
      <c r="B3" s="438"/>
      <c r="C3" s="438"/>
      <c r="D3" s="438"/>
      <c r="E3" s="319" t="s">
        <v>196</v>
      </c>
    </row>
    <row r="4" spans="1:5">
      <c r="A4" s="440"/>
      <c r="B4" s="441"/>
      <c r="C4" s="441"/>
      <c r="D4" s="438"/>
    </row>
    <row r="5" spans="1:5">
      <c r="A5" s="442"/>
      <c r="B5" s="443"/>
      <c r="C5" s="443"/>
      <c r="D5" s="438"/>
    </row>
    <row r="6" spans="1:5">
      <c r="A6" s="442"/>
      <c r="B6" s="443"/>
      <c r="C6" s="443"/>
      <c r="D6" s="438"/>
    </row>
    <row r="7" spans="1:5">
      <c r="A7" s="442"/>
      <c r="B7" s="443"/>
      <c r="C7" s="443"/>
      <c r="D7" s="438"/>
    </row>
    <row r="8" spans="1:5">
      <c r="A8" s="442"/>
      <c r="B8" s="443"/>
      <c r="C8" s="443"/>
      <c r="D8" s="438"/>
    </row>
    <row r="9" spans="1:5">
      <c r="A9" s="442"/>
      <c r="B9" s="443"/>
      <c r="C9" s="443"/>
      <c r="D9" s="438"/>
    </row>
    <row r="10" spans="1:5">
      <c r="A10" s="442"/>
      <c r="B10" s="443"/>
      <c r="C10" s="443"/>
      <c r="D10" s="438"/>
    </row>
    <row r="11" spans="1:5">
      <c r="A11" s="442"/>
      <c r="B11" s="443"/>
      <c r="C11" s="443"/>
      <c r="D11" s="438"/>
    </row>
    <row r="12" spans="1:5">
      <c r="A12" s="442"/>
      <c r="B12" s="443"/>
      <c r="C12" s="443"/>
      <c r="D12" s="438"/>
    </row>
    <row r="13" spans="1:5">
      <c r="A13" s="442"/>
      <c r="B13" s="443"/>
      <c r="C13" s="443"/>
      <c r="D13" s="438"/>
    </row>
    <row r="14" spans="1:5">
      <c r="A14" s="442"/>
      <c r="B14" s="443"/>
      <c r="C14" s="443"/>
      <c r="D14" s="438"/>
    </row>
    <row r="15" spans="1:5">
      <c r="A15" s="442"/>
      <c r="B15" s="443"/>
      <c r="C15" s="443"/>
      <c r="D15" s="438"/>
    </row>
    <row r="16" spans="1:5">
      <c r="A16" s="442"/>
      <c r="B16" s="443"/>
      <c r="C16" s="443"/>
      <c r="D16" s="438"/>
    </row>
    <row r="17" spans="1:4">
      <c r="A17" s="442"/>
      <c r="B17" s="443"/>
      <c r="C17" s="443"/>
      <c r="D17" s="438"/>
    </row>
    <row r="18" spans="1:4">
      <c r="A18" s="438"/>
      <c r="B18" s="438"/>
      <c r="C18" s="438"/>
      <c r="D18" s="43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C0099"/>
  </sheetPr>
  <dimension ref="A2:F19"/>
  <sheetViews>
    <sheetView workbookViewId="0">
      <selection activeCell="M10" sqref="M10"/>
    </sheetView>
  </sheetViews>
  <sheetFormatPr defaultColWidth="9.1796875" defaultRowHeight="14.5"/>
  <cols>
    <col min="1" max="1" width="14.1796875" style="321" customWidth="1"/>
    <col min="2" max="2" width="11" style="321" customWidth="1"/>
    <col min="3" max="3" width="9.81640625" style="321" customWidth="1"/>
    <col min="4" max="16384" width="9.1796875" style="321"/>
  </cols>
  <sheetData>
    <row r="2" spans="1:6">
      <c r="A2" s="444"/>
      <c r="B2" s="444"/>
      <c r="C2" s="444"/>
      <c r="D2" s="444"/>
    </row>
    <row r="3" spans="1:6" ht="18.5">
      <c r="A3" s="444"/>
      <c r="B3" s="444"/>
      <c r="C3" s="444"/>
      <c r="D3" s="444"/>
      <c r="F3" s="322" t="s">
        <v>205</v>
      </c>
    </row>
    <row r="4" spans="1:6">
      <c r="A4" s="445"/>
      <c r="B4" s="446"/>
      <c r="C4" s="446"/>
      <c r="D4" s="444"/>
    </row>
    <row r="5" spans="1:6">
      <c r="A5" s="447"/>
      <c r="B5" s="448"/>
      <c r="C5" s="448"/>
      <c r="D5" s="444"/>
    </row>
    <row r="6" spans="1:6">
      <c r="A6" s="447"/>
      <c r="B6" s="448"/>
      <c r="C6" s="448"/>
      <c r="D6" s="444"/>
    </row>
    <row r="7" spans="1:6">
      <c r="A7" s="447"/>
      <c r="B7" s="448"/>
      <c r="C7" s="448"/>
      <c r="D7" s="444"/>
    </row>
    <row r="8" spans="1:6">
      <c r="A8" s="447"/>
      <c r="B8" s="448"/>
      <c r="C8" s="448"/>
      <c r="D8" s="444"/>
    </row>
    <row r="9" spans="1:6">
      <c r="A9" s="447"/>
      <c r="B9" s="448"/>
      <c r="C9" s="448"/>
      <c r="D9" s="444"/>
    </row>
    <row r="10" spans="1:6">
      <c r="A10" s="447"/>
      <c r="B10" s="448"/>
      <c r="C10" s="448"/>
      <c r="D10" s="444"/>
    </row>
    <row r="11" spans="1:6">
      <c r="A11" s="447"/>
      <c r="B11" s="448"/>
      <c r="C11" s="448"/>
      <c r="D11" s="444"/>
    </row>
    <row r="12" spans="1:6">
      <c r="A12" s="447"/>
      <c r="B12" s="448"/>
      <c r="C12" s="448"/>
      <c r="D12" s="444"/>
    </row>
    <row r="13" spans="1:6">
      <c r="A13" s="447"/>
      <c r="B13" s="448"/>
      <c r="C13" s="448"/>
      <c r="D13" s="444"/>
    </row>
    <row r="14" spans="1:6">
      <c r="A14" s="447"/>
      <c r="B14" s="448"/>
      <c r="C14" s="448"/>
      <c r="D14" s="444"/>
    </row>
    <row r="15" spans="1:6">
      <c r="A15" s="447"/>
      <c r="B15" s="448"/>
      <c r="C15" s="448"/>
      <c r="D15" s="444"/>
    </row>
    <row r="16" spans="1:6">
      <c r="A16" s="447"/>
      <c r="B16" s="448"/>
      <c r="C16" s="448"/>
      <c r="D16" s="444"/>
    </row>
    <row r="17" spans="1:4">
      <c r="A17" s="447"/>
      <c r="B17" s="448"/>
      <c r="C17" s="448"/>
      <c r="D17" s="444"/>
    </row>
    <row r="18" spans="1:4">
      <c r="A18" s="444"/>
      <c r="B18" s="444"/>
      <c r="C18" s="444"/>
      <c r="D18" s="444"/>
    </row>
    <row r="19" spans="1:4">
      <c r="A19" s="444"/>
      <c r="B19" s="444"/>
      <c r="C19" s="444"/>
      <c r="D19" s="444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 tint="0.499984740745262"/>
  </sheetPr>
  <dimension ref="A1:F17"/>
  <sheetViews>
    <sheetView workbookViewId="0">
      <selection activeCell="N13" sqref="N13"/>
    </sheetView>
  </sheetViews>
  <sheetFormatPr defaultColWidth="9.1796875" defaultRowHeight="14.5"/>
  <cols>
    <col min="1" max="1" width="12.453125" style="318" customWidth="1"/>
    <col min="2" max="2" width="10.26953125" style="318" customWidth="1"/>
    <col min="3" max="3" width="10.1796875" style="318" customWidth="1"/>
    <col min="4" max="16384" width="9.1796875" style="318"/>
  </cols>
  <sheetData>
    <row r="1" spans="1:6">
      <c r="A1" s="432"/>
      <c r="B1" s="432"/>
      <c r="C1" s="432"/>
      <c r="D1" s="432"/>
      <c r="E1" s="432"/>
    </row>
    <row r="2" spans="1:6" ht="18.5">
      <c r="A2" s="433"/>
      <c r="B2" s="432"/>
      <c r="C2" s="432"/>
      <c r="D2" s="432"/>
      <c r="E2" s="432"/>
      <c r="F2" s="317" t="s">
        <v>190</v>
      </c>
    </row>
    <row r="3" spans="1:6">
      <c r="A3" s="432"/>
      <c r="B3" s="432"/>
      <c r="C3" s="432"/>
      <c r="D3" s="432"/>
      <c r="E3" s="432"/>
    </row>
    <row r="4" spans="1:6">
      <c r="A4" s="434"/>
      <c r="B4" s="435"/>
      <c r="C4" s="435"/>
      <c r="D4" s="432"/>
      <c r="E4" s="432"/>
    </row>
    <row r="5" spans="1:6">
      <c r="A5" s="436"/>
      <c r="B5" s="437"/>
      <c r="C5" s="437"/>
      <c r="D5" s="432"/>
      <c r="E5" s="432"/>
    </row>
    <row r="6" spans="1:6">
      <c r="A6" s="436"/>
      <c r="B6" s="437"/>
      <c r="C6" s="437"/>
      <c r="D6" s="432"/>
      <c r="E6" s="432"/>
    </row>
    <row r="7" spans="1:6">
      <c r="A7" s="436"/>
      <c r="B7" s="437"/>
      <c r="C7" s="437"/>
      <c r="D7" s="432"/>
      <c r="E7" s="432"/>
    </row>
    <row r="8" spans="1:6">
      <c r="A8" s="436"/>
      <c r="B8" s="437"/>
      <c r="C8" s="437"/>
      <c r="D8" s="432"/>
      <c r="E8" s="432"/>
    </row>
    <row r="9" spans="1:6">
      <c r="A9" s="436"/>
      <c r="B9" s="437"/>
      <c r="C9" s="437"/>
      <c r="D9" s="432"/>
      <c r="E9" s="432"/>
    </row>
    <row r="10" spans="1:6">
      <c r="A10" s="436"/>
      <c r="B10" s="437"/>
      <c r="C10" s="437"/>
      <c r="D10" s="432"/>
      <c r="E10" s="432"/>
    </row>
    <row r="11" spans="1:6">
      <c r="A11" s="436"/>
      <c r="B11" s="437"/>
      <c r="C11" s="437"/>
      <c r="D11" s="432"/>
      <c r="E11" s="432"/>
    </row>
    <row r="12" spans="1:6">
      <c r="A12" s="436"/>
      <c r="B12" s="437"/>
      <c r="C12" s="437"/>
      <c r="D12" s="432"/>
      <c r="E12" s="432"/>
    </row>
    <row r="13" spans="1:6">
      <c r="A13" s="436"/>
      <c r="B13" s="437"/>
      <c r="C13" s="437"/>
      <c r="D13" s="432"/>
      <c r="E13" s="432"/>
    </row>
    <row r="14" spans="1:6">
      <c r="A14" s="436"/>
      <c r="B14" s="437"/>
      <c r="C14" s="437"/>
      <c r="D14" s="432"/>
      <c r="E14" s="432"/>
    </row>
    <row r="15" spans="1:6">
      <c r="A15" s="436"/>
      <c r="B15" s="437"/>
      <c r="C15" s="437"/>
      <c r="D15" s="432"/>
      <c r="E15" s="432"/>
    </row>
    <row r="16" spans="1:6">
      <c r="A16" s="436"/>
      <c r="B16" s="437"/>
      <c r="C16" s="437"/>
      <c r="D16" s="432"/>
      <c r="E16" s="432"/>
    </row>
    <row r="17" spans="1:5">
      <c r="A17" s="436"/>
      <c r="B17" s="437"/>
      <c r="C17" s="437"/>
      <c r="D17" s="432"/>
      <c r="E17" s="432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99"/>
  </sheetPr>
  <dimension ref="A1:G18"/>
  <sheetViews>
    <sheetView workbookViewId="0">
      <selection activeCell="P17" sqref="P17"/>
    </sheetView>
  </sheetViews>
  <sheetFormatPr defaultColWidth="9.1796875" defaultRowHeight="14.5"/>
  <cols>
    <col min="1" max="1" width="13.7265625" style="326" customWidth="1"/>
    <col min="2" max="3" width="10.453125" style="326" customWidth="1"/>
    <col min="4" max="16384" width="9.1796875" style="326"/>
  </cols>
  <sheetData>
    <row r="1" spans="1:7">
      <c r="A1" s="454"/>
      <c r="B1" s="454"/>
      <c r="C1" s="454"/>
      <c r="D1" s="454"/>
      <c r="E1" s="454"/>
    </row>
    <row r="2" spans="1:7" ht="18.5">
      <c r="A2" s="455"/>
      <c r="B2" s="454"/>
      <c r="C2" s="454"/>
      <c r="D2" s="454"/>
      <c r="E2" s="454"/>
      <c r="G2" s="325" t="s">
        <v>207</v>
      </c>
    </row>
    <row r="3" spans="1:7">
      <c r="A3" s="454"/>
      <c r="B3" s="454"/>
      <c r="C3" s="454"/>
      <c r="D3" s="454"/>
      <c r="E3" s="454"/>
    </row>
    <row r="4" spans="1:7">
      <c r="A4" s="456"/>
      <c r="B4" s="457"/>
      <c r="C4" s="457"/>
      <c r="D4" s="454"/>
      <c r="E4" s="454"/>
    </row>
    <row r="5" spans="1:7">
      <c r="A5" s="458"/>
      <c r="B5" s="459"/>
      <c r="C5" s="459"/>
      <c r="D5" s="454"/>
      <c r="E5" s="454"/>
    </row>
    <row r="6" spans="1:7">
      <c r="A6" s="458"/>
      <c r="B6" s="459"/>
      <c r="C6" s="459"/>
      <c r="D6" s="454"/>
      <c r="E6" s="454"/>
    </row>
    <row r="7" spans="1:7">
      <c r="A7" s="458"/>
      <c r="B7" s="459"/>
      <c r="C7" s="459"/>
      <c r="D7" s="454"/>
      <c r="E7" s="454"/>
    </row>
    <row r="8" spans="1:7">
      <c r="A8" s="458"/>
      <c r="B8" s="459"/>
      <c r="C8" s="459"/>
      <c r="D8" s="454"/>
      <c r="E8" s="454"/>
    </row>
    <row r="9" spans="1:7">
      <c r="A9" s="458"/>
      <c r="B9" s="459"/>
      <c r="C9" s="459"/>
      <c r="D9" s="454"/>
      <c r="E9" s="454"/>
    </row>
    <row r="10" spans="1:7">
      <c r="A10" s="458"/>
      <c r="B10" s="459"/>
      <c r="C10" s="459"/>
      <c r="D10" s="454"/>
      <c r="E10" s="454"/>
    </row>
    <row r="11" spans="1:7">
      <c r="A11" s="458"/>
      <c r="B11" s="459"/>
      <c r="C11" s="459"/>
      <c r="D11" s="454"/>
      <c r="E11" s="454"/>
    </row>
    <row r="12" spans="1:7">
      <c r="A12" s="458"/>
      <c r="B12" s="459"/>
      <c r="C12" s="459"/>
      <c r="D12" s="454"/>
      <c r="E12" s="454"/>
    </row>
    <row r="13" spans="1:7">
      <c r="A13" s="458"/>
      <c r="B13" s="459"/>
      <c r="C13" s="459"/>
      <c r="D13" s="454"/>
      <c r="E13" s="454"/>
    </row>
    <row r="14" spans="1:7">
      <c r="A14" s="458"/>
      <c r="B14" s="459"/>
      <c r="C14" s="459"/>
      <c r="D14" s="454"/>
      <c r="E14" s="454"/>
    </row>
    <row r="15" spans="1:7">
      <c r="A15" s="458"/>
      <c r="B15" s="459"/>
      <c r="C15" s="459"/>
      <c r="D15" s="454"/>
      <c r="E15" s="454"/>
    </row>
    <row r="16" spans="1:7">
      <c r="A16" s="458"/>
      <c r="B16" s="459"/>
      <c r="C16" s="459"/>
      <c r="D16" s="454"/>
      <c r="E16" s="454"/>
    </row>
    <row r="17" spans="1:5">
      <c r="A17" s="458"/>
      <c r="B17" s="459"/>
      <c r="C17" s="459"/>
      <c r="D17" s="454"/>
      <c r="E17" s="454"/>
    </row>
    <row r="18" spans="1:5">
      <c r="A18" s="454"/>
      <c r="B18" s="454"/>
      <c r="C18" s="454"/>
      <c r="D18" s="454"/>
      <c r="E18" s="454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336600"/>
  </sheetPr>
  <dimension ref="A1:G19"/>
  <sheetViews>
    <sheetView topLeftCell="A4" workbookViewId="0">
      <selection activeCell="N8" sqref="N8"/>
    </sheetView>
  </sheetViews>
  <sheetFormatPr defaultColWidth="9.1796875" defaultRowHeight="14.5"/>
  <cols>
    <col min="1" max="1" width="13.453125" style="328" customWidth="1"/>
    <col min="2" max="2" width="10.453125" style="328" customWidth="1"/>
    <col min="3" max="3" width="10.81640625" style="328" customWidth="1"/>
    <col min="4" max="16384" width="9.1796875" style="328"/>
  </cols>
  <sheetData>
    <row r="1" spans="1:7">
      <c r="A1" s="460"/>
      <c r="B1" s="460"/>
      <c r="C1" s="460"/>
      <c r="D1" s="460"/>
    </row>
    <row r="2" spans="1:7">
      <c r="A2" s="460"/>
      <c r="B2" s="460"/>
      <c r="C2" s="460"/>
      <c r="D2" s="460"/>
    </row>
    <row r="3" spans="1:7" ht="18.5">
      <c r="A3" s="460"/>
      <c r="B3" s="460"/>
      <c r="C3" s="460"/>
      <c r="D3" s="460"/>
      <c r="G3" s="327" t="s">
        <v>191</v>
      </c>
    </row>
    <row r="4" spans="1:7">
      <c r="A4" s="461"/>
      <c r="B4" s="462"/>
      <c r="C4" s="462"/>
      <c r="D4" s="460"/>
    </row>
    <row r="5" spans="1:7">
      <c r="A5" s="463"/>
      <c r="B5" s="464"/>
      <c r="C5" s="464"/>
      <c r="D5" s="460"/>
    </row>
    <row r="6" spans="1:7">
      <c r="A6" s="463"/>
      <c r="B6" s="464"/>
      <c r="C6" s="464"/>
      <c r="D6" s="460"/>
    </row>
    <row r="7" spans="1:7">
      <c r="A7" s="463"/>
      <c r="B7" s="464"/>
      <c r="C7" s="464"/>
      <c r="D7" s="460"/>
    </row>
    <row r="8" spans="1:7">
      <c r="A8" s="463"/>
      <c r="B8" s="464"/>
      <c r="C8" s="464"/>
      <c r="D8" s="460"/>
    </row>
    <row r="9" spans="1:7">
      <c r="A9" s="463"/>
      <c r="B9" s="464"/>
      <c r="C9" s="464"/>
      <c r="D9" s="460"/>
    </row>
    <row r="10" spans="1:7">
      <c r="A10" s="463"/>
      <c r="B10" s="464"/>
      <c r="C10" s="464"/>
      <c r="D10" s="460"/>
    </row>
    <row r="11" spans="1:7">
      <c r="A11" s="463"/>
      <c r="B11" s="464"/>
      <c r="C11" s="464"/>
      <c r="D11" s="460"/>
    </row>
    <row r="12" spans="1:7">
      <c r="A12" s="463"/>
      <c r="B12" s="464"/>
      <c r="C12" s="464"/>
      <c r="D12" s="460"/>
    </row>
    <row r="13" spans="1:7">
      <c r="A13" s="463"/>
      <c r="B13" s="464"/>
      <c r="C13" s="464"/>
      <c r="D13" s="460"/>
    </row>
    <row r="14" spans="1:7">
      <c r="A14" s="463"/>
      <c r="B14" s="464"/>
      <c r="C14" s="464"/>
      <c r="D14" s="460"/>
    </row>
    <row r="15" spans="1:7">
      <c r="A15" s="463"/>
      <c r="B15" s="464"/>
      <c r="C15" s="464"/>
      <c r="D15" s="460"/>
    </row>
    <row r="16" spans="1:7">
      <c r="A16" s="463"/>
      <c r="B16" s="464"/>
      <c r="C16" s="464"/>
      <c r="D16" s="460"/>
    </row>
    <row r="17" spans="1:4">
      <c r="A17" s="463"/>
      <c r="B17" s="464"/>
      <c r="C17" s="464"/>
      <c r="D17" s="460"/>
    </row>
    <row r="18" spans="1:4">
      <c r="A18" s="460"/>
      <c r="B18" s="460"/>
      <c r="C18" s="460"/>
      <c r="D18" s="460"/>
    </row>
    <row r="19" spans="1:4">
      <c r="A19" s="460"/>
      <c r="B19" s="460"/>
      <c r="C19" s="460"/>
      <c r="D19" s="460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3300"/>
  </sheetPr>
  <dimension ref="A3:F19"/>
  <sheetViews>
    <sheetView workbookViewId="0">
      <selection activeCell="N8" sqref="N8"/>
    </sheetView>
  </sheetViews>
  <sheetFormatPr defaultColWidth="9.1796875" defaultRowHeight="14.5"/>
  <cols>
    <col min="1" max="1" width="13.81640625" style="340" customWidth="1"/>
    <col min="2" max="3" width="11.26953125" style="340" customWidth="1"/>
    <col min="4" max="16384" width="9.1796875" style="340"/>
  </cols>
  <sheetData>
    <row r="3" spans="1:6">
      <c r="A3" s="491"/>
      <c r="B3" s="491"/>
      <c r="C3" s="491"/>
      <c r="D3" s="491"/>
      <c r="E3" s="491"/>
    </row>
    <row r="4" spans="1:6" ht="18.5">
      <c r="A4" s="492"/>
      <c r="B4" s="493"/>
      <c r="C4" s="493"/>
      <c r="D4" s="491"/>
      <c r="E4" s="491"/>
      <c r="F4" s="339" t="s">
        <v>210</v>
      </c>
    </row>
    <row r="5" spans="1:6">
      <c r="A5" s="494"/>
      <c r="B5" s="495"/>
      <c r="C5" s="495"/>
      <c r="D5" s="491"/>
      <c r="E5" s="491"/>
    </row>
    <row r="6" spans="1:6">
      <c r="A6" s="494"/>
      <c r="B6" s="495"/>
      <c r="C6" s="495"/>
      <c r="D6" s="491"/>
      <c r="E6" s="491"/>
    </row>
    <row r="7" spans="1:6">
      <c r="A7" s="494"/>
      <c r="B7" s="495"/>
      <c r="C7" s="495"/>
      <c r="D7" s="491"/>
      <c r="E7" s="491"/>
    </row>
    <row r="8" spans="1:6">
      <c r="A8" s="494"/>
      <c r="B8" s="495"/>
      <c r="C8" s="495"/>
      <c r="D8" s="491"/>
      <c r="E8" s="491"/>
    </row>
    <row r="9" spans="1:6">
      <c r="A9" s="494"/>
      <c r="B9" s="495"/>
      <c r="C9" s="495"/>
      <c r="D9" s="491"/>
      <c r="E9" s="491"/>
    </row>
    <row r="10" spans="1:6">
      <c r="A10" s="494"/>
      <c r="B10" s="495"/>
      <c r="C10" s="495"/>
      <c r="D10" s="491"/>
      <c r="E10" s="491"/>
    </row>
    <row r="11" spans="1:6">
      <c r="A11" s="494"/>
      <c r="B11" s="495"/>
      <c r="C11" s="495"/>
      <c r="D11" s="491"/>
      <c r="E11" s="491"/>
    </row>
    <row r="12" spans="1:6">
      <c r="A12" s="494"/>
      <c r="B12" s="495"/>
      <c r="C12" s="495"/>
      <c r="D12" s="491"/>
      <c r="E12" s="491"/>
    </row>
    <row r="13" spans="1:6">
      <c r="A13" s="494"/>
      <c r="B13" s="495"/>
      <c r="C13" s="495"/>
      <c r="D13" s="491"/>
      <c r="E13" s="491"/>
    </row>
    <row r="14" spans="1:6">
      <c r="A14" s="494"/>
      <c r="B14" s="495"/>
      <c r="C14" s="495"/>
      <c r="D14" s="491"/>
      <c r="E14" s="491"/>
    </row>
    <row r="15" spans="1:6">
      <c r="A15" s="494"/>
      <c r="B15" s="495"/>
      <c r="C15" s="495"/>
      <c r="D15" s="491"/>
      <c r="E15" s="491"/>
    </row>
    <row r="16" spans="1:6">
      <c r="A16" s="494"/>
      <c r="B16" s="495"/>
      <c r="C16" s="495"/>
      <c r="D16" s="491"/>
      <c r="E16" s="491"/>
    </row>
    <row r="17" spans="1:5">
      <c r="A17" s="494"/>
      <c r="B17" s="495"/>
      <c r="C17" s="495"/>
      <c r="D17" s="491"/>
      <c r="E17" s="491"/>
    </row>
    <row r="18" spans="1:5">
      <c r="A18" s="491"/>
      <c r="B18" s="491"/>
      <c r="C18" s="491"/>
      <c r="D18" s="491"/>
      <c r="E18" s="491"/>
    </row>
    <row r="19" spans="1:5">
      <c r="A19" s="491"/>
      <c r="B19" s="491"/>
      <c r="C19" s="491"/>
      <c r="D19" s="491"/>
      <c r="E19" s="49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5913D"/>
  </sheetPr>
  <dimension ref="A3:F18"/>
  <sheetViews>
    <sheetView workbookViewId="0">
      <selection activeCell="O24" sqref="O24"/>
    </sheetView>
  </sheetViews>
  <sheetFormatPr defaultColWidth="9.1796875" defaultRowHeight="14.5"/>
  <cols>
    <col min="1" max="1" width="14.453125" style="336" customWidth="1"/>
    <col min="2" max="2" width="11.26953125" style="336" customWidth="1"/>
    <col min="3" max="3" width="11.54296875" style="336" customWidth="1"/>
    <col min="4" max="16384" width="9.1796875" style="336"/>
  </cols>
  <sheetData>
    <row r="3" spans="1:6" ht="18.5">
      <c r="A3" s="480"/>
      <c r="B3" s="480"/>
      <c r="C3" s="480"/>
      <c r="D3" s="480"/>
      <c r="F3" s="335" t="s">
        <v>194</v>
      </c>
    </row>
    <row r="4" spans="1:6">
      <c r="A4" s="481"/>
      <c r="B4" s="482"/>
      <c r="C4" s="482"/>
      <c r="D4" s="480"/>
    </row>
    <row r="5" spans="1:6">
      <c r="A5" s="483"/>
      <c r="B5" s="484"/>
      <c r="C5" s="484"/>
      <c r="D5" s="480"/>
    </row>
    <row r="6" spans="1:6">
      <c r="A6" s="483"/>
      <c r="B6" s="484"/>
      <c r="C6" s="484"/>
      <c r="D6" s="480"/>
    </row>
    <row r="7" spans="1:6">
      <c r="A7" s="483"/>
      <c r="B7" s="484"/>
      <c r="C7" s="484"/>
      <c r="D7" s="480"/>
    </row>
    <row r="8" spans="1:6">
      <c r="A8" s="483"/>
      <c r="B8" s="484"/>
      <c r="C8" s="484"/>
      <c r="D8" s="480"/>
    </row>
    <row r="9" spans="1:6">
      <c r="A9" s="483"/>
      <c r="B9" s="484"/>
      <c r="C9" s="484"/>
      <c r="D9" s="480"/>
    </row>
    <row r="10" spans="1:6">
      <c r="A10" s="483"/>
      <c r="B10" s="484"/>
      <c r="C10" s="484"/>
      <c r="D10" s="480"/>
    </row>
    <row r="11" spans="1:6">
      <c r="A11" s="483"/>
      <c r="B11" s="484"/>
      <c r="C11" s="484"/>
      <c r="D11" s="480"/>
    </row>
    <row r="12" spans="1:6">
      <c r="A12" s="483"/>
      <c r="B12" s="484"/>
      <c r="C12" s="484"/>
      <c r="D12" s="480"/>
    </row>
    <row r="13" spans="1:6">
      <c r="A13" s="483"/>
      <c r="B13" s="484"/>
      <c r="C13" s="484"/>
      <c r="D13" s="480"/>
    </row>
    <row r="14" spans="1:6">
      <c r="A14" s="483"/>
      <c r="B14" s="484"/>
      <c r="C14" s="484"/>
      <c r="D14" s="480"/>
    </row>
    <row r="15" spans="1:6">
      <c r="A15" s="483"/>
      <c r="B15" s="484"/>
      <c r="C15" s="484"/>
      <c r="D15" s="480"/>
    </row>
    <row r="16" spans="1:6">
      <c r="A16" s="483"/>
      <c r="B16" s="484"/>
      <c r="C16" s="484"/>
      <c r="D16" s="480"/>
    </row>
    <row r="17" spans="1:4">
      <c r="A17" s="483"/>
      <c r="B17" s="484"/>
      <c r="C17" s="484"/>
      <c r="D17" s="480"/>
    </row>
    <row r="18" spans="1:4">
      <c r="A18" s="480"/>
      <c r="B18" s="480"/>
      <c r="C18" s="480"/>
      <c r="D18" s="48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CFFCC"/>
  </sheetPr>
  <dimension ref="A3:G20"/>
  <sheetViews>
    <sheetView workbookViewId="0">
      <selection activeCell="N19" sqref="N19"/>
    </sheetView>
  </sheetViews>
  <sheetFormatPr defaultColWidth="9.1796875" defaultRowHeight="14.5"/>
  <cols>
    <col min="1" max="1" width="14.453125" style="334" customWidth="1"/>
    <col min="2" max="2" width="10.26953125" style="334" customWidth="1"/>
    <col min="3" max="3" width="11" style="334" customWidth="1"/>
    <col min="4" max="16384" width="9.1796875" style="334"/>
  </cols>
  <sheetData>
    <row r="3" spans="1:7" ht="18.5">
      <c r="A3" s="475"/>
      <c r="B3" s="475"/>
      <c r="C3" s="475"/>
      <c r="D3" s="475"/>
      <c r="E3" s="475"/>
      <c r="G3" s="333" t="s">
        <v>193</v>
      </c>
    </row>
    <row r="4" spans="1:7">
      <c r="A4" s="476"/>
      <c r="B4" s="477"/>
      <c r="C4" s="477"/>
      <c r="D4" s="475"/>
      <c r="E4" s="475"/>
    </row>
    <row r="5" spans="1:7">
      <c r="A5" s="478"/>
      <c r="B5" s="479"/>
      <c r="C5" s="479"/>
      <c r="D5" s="475"/>
      <c r="E5" s="475"/>
    </row>
    <row r="6" spans="1:7">
      <c r="A6" s="478"/>
      <c r="B6" s="479"/>
      <c r="C6" s="479"/>
      <c r="D6" s="475"/>
      <c r="E6" s="475"/>
    </row>
    <row r="7" spans="1:7">
      <c r="A7" s="478"/>
      <c r="B7" s="479"/>
      <c r="C7" s="479"/>
      <c r="D7" s="475"/>
      <c r="E7" s="475"/>
    </row>
    <row r="8" spans="1:7">
      <c r="A8" s="478"/>
      <c r="B8" s="479"/>
      <c r="C8" s="479"/>
      <c r="D8" s="475"/>
      <c r="E8" s="475"/>
    </row>
    <row r="9" spans="1:7">
      <c r="A9" s="478"/>
      <c r="B9" s="479"/>
      <c r="C9" s="479"/>
      <c r="D9" s="475"/>
      <c r="E9" s="475"/>
    </row>
    <row r="10" spans="1:7">
      <c r="A10" s="478"/>
      <c r="B10" s="479"/>
      <c r="C10" s="479"/>
      <c r="D10" s="475"/>
      <c r="E10" s="475"/>
    </row>
    <row r="11" spans="1:7">
      <c r="A11" s="478"/>
      <c r="B11" s="479"/>
      <c r="C11" s="479"/>
      <c r="D11" s="475"/>
      <c r="E11" s="475"/>
    </row>
    <row r="12" spans="1:7">
      <c r="A12" s="478"/>
      <c r="B12" s="479"/>
      <c r="C12" s="479"/>
      <c r="D12" s="475"/>
      <c r="E12" s="475"/>
    </row>
    <row r="13" spans="1:7">
      <c r="A13" s="478"/>
      <c r="B13" s="479"/>
      <c r="C13" s="479"/>
      <c r="D13" s="475"/>
      <c r="E13" s="475"/>
    </row>
    <row r="14" spans="1:7">
      <c r="A14" s="478"/>
      <c r="B14" s="479"/>
      <c r="C14" s="479"/>
      <c r="D14" s="475"/>
      <c r="E14" s="475"/>
    </row>
    <row r="15" spans="1:7">
      <c r="A15" s="478"/>
      <c r="B15" s="479"/>
      <c r="C15" s="479"/>
      <c r="D15" s="475"/>
      <c r="E15" s="475"/>
    </row>
    <row r="16" spans="1:7">
      <c r="A16" s="478"/>
      <c r="B16" s="479"/>
      <c r="C16" s="479"/>
      <c r="D16" s="475"/>
      <c r="E16" s="475"/>
    </row>
    <row r="17" spans="1:5">
      <c r="A17" s="478"/>
      <c r="B17" s="479"/>
      <c r="C17" s="479"/>
      <c r="D17" s="475"/>
      <c r="E17" s="475"/>
    </row>
    <row r="18" spans="1:5">
      <c r="A18" s="475"/>
      <c r="B18" s="475"/>
      <c r="C18" s="475"/>
      <c r="D18" s="475"/>
      <c r="E18" s="475"/>
    </row>
    <row r="19" spans="1:5">
      <c r="A19" s="475"/>
      <c r="B19" s="475"/>
      <c r="C19" s="475"/>
      <c r="D19" s="475"/>
      <c r="E19" s="475"/>
    </row>
    <row r="20" spans="1:5">
      <c r="A20" s="475"/>
      <c r="B20" s="475"/>
      <c r="C20" s="475"/>
      <c r="D20" s="475"/>
      <c r="E20" s="475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7"/>
  </sheetPr>
  <dimension ref="A2:G20"/>
  <sheetViews>
    <sheetView workbookViewId="0">
      <selection activeCell="T15" sqref="T15"/>
    </sheetView>
  </sheetViews>
  <sheetFormatPr defaultColWidth="9.1796875" defaultRowHeight="14.5"/>
  <cols>
    <col min="1" max="1" width="9.1796875" style="342"/>
    <col min="2" max="2" width="12.81640625" style="342" customWidth="1"/>
    <col min="3" max="3" width="10.453125" style="342" customWidth="1"/>
    <col min="4" max="4" width="11.26953125" style="342" customWidth="1"/>
    <col min="5" max="16384" width="9.1796875" style="342"/>
  </cols>
  <sheetData>
    <row r="2" spans="1:7">
      <c r="A2" s="496"/>
      <c r="B2" s="496"/>
      <c r="C2" s="496"/>
      <c r="D2" s="496"/>
      <c r="E2" s="496"/>
      <c r="F2" s="496"/>
    </row>
    <row r="3" spans="1:7" ht="18.5">
      <c r="A3" s="496"/>
      <c r="B3" s="496"/>
      <c r="C3" s="496"/>
      <c r="D3" s="496"/>
      <c r="E3" s="496"/>
      <c r="F3" s="496"/>
      <c r="G3" s="341" t="s">
        <v>211</v>
      </c>
    </row>
    <row r="4" spans="1:7">
      <c r="A4" s="496"/>
      <c r="B4" s="497"/>
      <c r="C4" s="498"/>
      <c r="D4" s="498"/>
      <c r="E4" s="496"/>
      <c r="F4" s="496"/>
    </row>
    <row r="5" spans="1:7">
      <c r="A5" s="496"/>
      <c r="B5" s="499"/>
      <c r="C5" s="500"/>
      <c r="D5" s="500"/>
      <c r="E5" s="496"/>
      <c r="F5" s="496"/>
    </row>
    <row r="6" spans="1:7">
      <c r="A6" s="496"/>
      <c r="B6" s="499"/>
      <c r="C6" s="500"/>
      <c r="D6" s="500"/>
      <c r="E6" s="496"/>
      <c r="F6" s="496"/>
    </row>
    <row r="7" spans="1:7">
      <c r="A7" s="496"/>
      <c r="B7" s="499"/>
      <c r="C7" s="500"/>
      <c r="D7" s="500"/>
      <c r="E7" s="496"/>
      <c r="F7" s="496"/>
    </row>
    <row r="8" spans="1:7">
      <c r="A8" s="496"/>
      <c r="B8" s="499"/>
      <c r="C8" s="500"/>
      <c r="D8" s="500"/>
      <c r="E8" s="496"/>
      <c r="F8" s="496"/>
    </row>
    <row r="9" spans="1:7">
      <c r="A9" s="496"/>
      <c r="B9" s="499"/>
      <c r="C9" s="500"/>
      <c r="D9" s="500"/>
      <c r="E9" s="496"/>
      <c r="F9" s="496"/>
    </row>
    <row r="10" spans="1:7">
      <c r="A10" s="496"/>
      <c r="B10" s="499"/>
      <c r="C10" s="500"/>
      <c r="D10" s="500"/>
      <c r="E10" s="496"/>
      <c r="F10" s="496"/>
    </row>
    <row r="11" spans="1:7">
      <c r="A11" s="496"/>
      <c r="B11" s="499"/>
      <c r="C11" s="500"/>
      <c r="D11" s="500"/>
      <c r="E11" s="496"/>
      <c r="F11" s="496"/>
    </row>
    <row r="12" spans="1:7">
      <c r="A12" s="496"/>
      <c r="B12" s="499"/>
      <c r="C12" s="500"/>
      <c r="D12" s="500"/>
      <c r="E12" s="496"/>
      <c r="F12" s="496"/>
    </row>
    <row r="13" spans="1:7">
      <c r="A13" s="496"/>
      <c r="B13" s="499"/>
      <c r="C13" s="500"/>
      <c r="D13" s="500"/>
      <c r="E13" s="496"/>
      <c r="F13" s="496"/>
    </row>
    <row r="14" spans="1:7">
      <c r="A14" s="496"/>
      <c r="B14" s="499"/>
      <c r="C14" s="500"/>
      <c r="D14" s="500"/>
      <c r="E14" s="496"/>
      <c r="F14" s="496"/>
    </row>
    <row r="15" spans="1:7">
      <c r="A15" s="496"/>
      <c r="B15" s="499"/>
      <c r="C15" s="500"/>
      <c r="D15" s="500"/>
      <c r="E15" s="496"/>
      <c r="F15" s="496"/>
    </row>
    <row r="16" spans="1:7">
      <c r="A16" s="496"/>
      <c r="B16" s="499"/>
      <c r="C16" s="500"/>
      <c r="D16" s="500"/>
      <c r="E16" s="496"/>
      <c r="F16" s="496"/>
    </row>
    <row r="17" spans="1:6">
      <c r="A17" s="496"/>
      <c r="B17" s="499"/>
      <c r="C17" s="500"/>
      <c r="D17" s="500"/>
      <c r="E17" s="496"/>
      <c r="F17" s="496"/>
    </row>
    <row r="18" spans="1:6">
      <c r="A18" s="496"/>
      <c r="B18" s="496"/>
      <c r="C18" s="496"/>
      <c r="D18" s="496"/>
      <c r="E18" s="496"/>
      <c r="F18" s="496"/>
    </row>
    <row r="19" spans="1:6">
      <c r="A19" s="496"/>
      <c r="B19" s="496"/>
      <c r="C19" s="496"/>
      <c r="D19" s="496"/>
      <c r="E19" s="496"/>
      <c r="F19" s="496"/>
    </row>
    <row r="20" spans="1:6">
      <c r="A20" s="496"/>
      <c r="B20" s="496"/>
      <c r="C20" s="496"/>
      <c r="D20" s="496"/>
      <c r="E20" s="496"/>
      <c r="F20" s="496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32ECE3"/>
  </sheetPr>
  <dimension ref="A3:G19"/>
  <sheetViews>
    <sheetView workbookViewId="0">
      <selection activeCell="N23" sqref="N23"/>
    </sheetView>
  </sheetViews>
  <sheetFormatPr defaultColWidth="9.1796875" defaultRowHeight="14.5"/>
  <cols>
    <col min="1" max="1" width="14" style="330" customWidth="1"/>
    <col min="2" max="2" width="10" style="330" customWidth="1"/>
    <col min="3" max="3" width="10.453125" style="330" customWidth="1"/>
    <col min="4" max="16384" width="9.1796875" style="330"/>
  </cols>
  <sheetData>
    <row r="3" spans="1:7" ht="18.5">
      <c r="A3" s="465"/>
      <c r="B3" s="465"/>
      <c r="C3" s="465"/>
      <c r="D3" s="465"/>
      <c r="G3" s="329" t="s">
        <v>192</v>
      </c>
    </row>
    <row r="4" spans="1:7">
      <c r="A4" s="466"/>
      <c r="B4" s="467"/>
      <c r="C4" s="467"/>
      <c r="D4" s="465"/>
    </row>
    <row r="5" spans="1:7">
      <c r="A5" s="468"/>
      <c r="B5" s="469"/>
      <c r="C5" s="469"/>
      <c r="D5" s="465"/>
    </row>
    <row r="6" spans="1:7">
      <c r="A6" s="468"/>
      <c r="B6" s="469"/>
      <c r="C6" s="469"/>
      <c r="D6" s="465"/>
    </row>
    <row r="7" spans="1:7">
      <c r="A7" s="468"/>
      <c r="B7" s="469"/>
      <c r="C7" s="469"/>
      <c r="D7" s="465"/>
    </row>
    <row r="8" spans="1:7">
      <c r="A8" s="468"/>
      <c r="B8" s="469"/>
      <c r="C8" s="469"/>
      <c r="D8" s="465"/>
    </row>
    <row r="9" spans="1:7">
      <c r="A9" s="468"/>
      <c r="B9" s="469"/>
      <c r="C9" s="469"/>
      <c r="D9" s="465"/>
    </row>
    <row r="10" spans="1:7">
      <c r="A10" s="468"/>
      <c r="B10" s="469"/>
      <c r="C10" s="469"/>
      <c r="D10" s="465"/>
    </row>
    <row r="11" spans="1:7">
      <c r="A11" s="468"/>
      <c r="B11" s="469"/>
      <c r="C11" s="469"/>
      <c r="D11" s="465"/>
    </row>
    <row r="12" spans="1:7">
      <c r="A12" s="468"/>
      <c r="B12" s="469"/>
      <c r="C12" s="469"/>
      <c r="D12" s="465"/>
    </row>
    <row r="13" spans="1:7">
      <c r="A13" s="468"/>
      <c r="B13" s="469"/>
      <c r="C13" s="469"/>
      <c r="D13" s="465"/>
    </row>
    <row r="14" spans="1:7">
      <c r="A14" s="468"/>
      <c r="B14" s="469"/>
      <c r="C14" s="469"/>
      <c r="D14" s="465"/>
    </row>
    <row r="15" spans="1:7">
      <c r="A15" s="468"/>
      <c r="B15" s="469"/>
      <c r="C15" s="469"/>
      <c r="D15" s="465"/>
    </row>
    <row r="16" spans="1:7">
      <c r="A16" s="468"/>
      <c r="B16" s="469"/>
      <c r="C16" s="469"/>
      <c r="D16" s="465"/>
    </row>
    <row r="17" spans="1:4">
      <c r="A17" s="468"/>
      <c r="B17" s="469"/>
      <c r="C17" s="469"/>
      <c r="D17" s="465"/>
    </row>
    <row r="18" spans="1:4">
      <c r="A18" s="465"/>
      <c r="B18" s="465"/>
      <c r="C18" s="465"/>
      <c r="D18" s="465"/>
    </row>
    <row r="19" spans="1:4">
      <c r="A19" s="465"/>
      <c r="B19" s="465"/>
      <c r="C19" s="465"/>
      <c r="D19" s="465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6699"/>
  </sheetPr>
  <dimension ref="A2:G19"/>
  <sheetViews>
    <sheetView workbookViewId="0">
      <selection activeCell="N5" sqref="N5"/>
    </sheetView>
  </sheetViews>
  <sheetFormatPr defaultColWidth="9.1796875" defaultRowHeight="14.5"/>
  <cols>
    <col min="1" max="1" width="15.453125" style="332" customWidth="1"/>
    <col min="2" max="2" width="10.54296875" style="332" customWidth="1"/>
    <col min="3" max="3" width="10.1796875" style="332" customWidth="1"/>
    <col min="4" max="16384" width="9.1796875" style="332"/>
  </cols>
  <sheetData>
    <row r="2" spans="1:7">
      <c r="A2" s="470"/>
      <c r="B2" s="470"/>
      <c r="C2" s="470"/>
      <c r="D2" s="470"/>
    </row>
    <row r="3" spans="1:7" ht="18.5">
      <c r="A3" s="470"/>
      <c r="B3" s="470"/>
      <c r="C3" s="470"/>
      <c r="D3" s="470"/>
      <c r="G3" s="331" t="s">
        <v>208</v>
      </c>
    </row>
    <row r="4" spans="1:7">
      <c r="A4" s="471"/>
      <c r="B4" s="472"/>
      <c r="C4" s="472"/>
      <c r="D4" s="470"/>
    </row>
    <row r="5" spans="1:7">
      <c r="A5" s="473"/>
      <c r="B5" s="474"/>
      <c r="C5" s="474"/>
      <c r="D5" s="470"/>
    </row>
    <row r="6" spans="1:7">
      <c r="A6" s="473"/>
      <c r="B6" s="474"/>
      <c r="C6" s="474"/>
      <c r="D6" s="470"/>
    </row>
    <row r="7" spans="1:7">
      <c r="A7" s="473"/>
      <c r="B7" s="474"/>
      <c r="C7" s="474"/>
      <c r="D7" s="470"/>
    </row>
    <row r="8" spans="1:7">
      <c r="A8" s="473"/>
      <c r="B8" s="474"/>
      <c r="C8" s="474"/>
      <c r="D8" s="470"/>
    </row>
    <row r="9" spans="1:7">
      <c r="A9" s="473"/>
      <c r="B9" s="474"/>
      <c r="C9" s="474"/>
      <c r="D9" s="470"/>
    </row>
    <row r="10" spans="1:7">
      <c r="A10" s="473"/>
      <c r="B10" s="474"/>
      <c r="C10" s="474"/>
      <c r="D10" s="470"/>
    </row>
    <row r="11" spans="1:7">
      <c r="A11" s="473"/>
      <c r="B11" s="474"/>
      <c r="C11" s="474"/>
      <c r="D11" s="470"/>
    </row>
    <row r="12" spans="1:7">
      <c r="A12" s="473"/>
      <c r="B12" s="474"/>
      <c r="C12" s="474"/>
      <c r="D12" s="470"/>
    </row>
    <row r="13" spans="1:7">
      <c r="A13" s="473"/>
      <c r="B13" s="474"/>
      <c r="C13" s="474"/>
      <c r="D13" s="470"/>
    </row>
    <row r="14" spans="1:7">
      <c r="A14" s="473"/>
      <c r="B14" s="474"/>
      <c r="C14" s="474"/>
      <c r="D14" s="470"/>
    </row>
    <row r="15" spans="1:7">
      <c r="A15" s="473"/>
      <c r="B15" s="474"/>
      <c r="C15" s="474"/>
      <c r="D15" s="470"/>
    </row>
    <row r="16" spans="1:7">
      <c r="A16" s="473"/>
      <c r="B16" s="474"/>
      <c r="C16" s="474"/>
      <c r="D16" s="470"/>
    </row>
    <row r="17" spans="1:4">
      <c r="A17" s="473"/>
      <c r="B17" s="474"/>
      <c r="C17" s="474"/>
      <c r="D17" s="470"/>
    </row>
    <row r="18" spans="1:4">
      <c r="A18" s="470"/>
      <c r="B18" s="470"/>
      <c r="C18" s="470"/>
      <c r="D18" s="470"/>
    </row>
    <row r="19" spans="1:4">
      <c r="A19" s="470"/>
      <c r="B19" s="470"/>
      <c r="C19" s="470"/>
      <c r="D19" s="47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1" tint="4.9989318521683403E-2"/>
  </sheetPr>
  <dimension ref="A2:F20"/>
  <sheetViews>
    <sheetView workbookViewId="0">
      <selection activeCell="O13" sqref="O13"/>
    </sheetView>
  </sheetViews>
  <sheetFormatPr defaultColWidth="9.1796875" defaultRowHeight="14.5"/>
  <cols>
    <col min="1" max="1" width="13.26953125" style="344" customWidth="1"/>
    <col min="2" max="2" width="10.81640625" style="344" customWidth="1"/>
    <col min="3" max="3" width="10.7265625" style="344" customWidth="1"/>
    <col min="4" max="16384" width="9.1796875" style="344"/>
  </cols>
  <sheetData>
    <row r="2" spans="1:6">
      <c r="A2" s="501"/>
      <c r="B2" s="501"/>
      <c r="C2" s="501"/>
      <c r="D2" s="501"/>
    </row>
    <row r="3" spans="1:6" ht="18.5">
      <c r="A3" s="501"/>
      <c r="B3" s="501"/>
      <c r="C3" s="501"/>
      <c r="D3" s="501"/>
      <c r="F3" s="343" t="s">
        <v>212</v>
      </c>
    </row>
    <row r="4" spans="1:6">
      <c r="A4" s="502"/>
      <c r="B4" s="503"/>
      <c r="C4" s="503"/>
      <c r="D4" s="501"/>
    </row>
    <row r="5" spans="1:6">
      <c r="A5" s="504"/>
      <c r="B5" s="505"/>
      <c r="C5" s="505"/>
      <c r="D5" s="501"/>
    </row>
    <row r="6" spans="1:6">
      <c r="A6" s="504"/>
      <c r="B6" s="505"/>
      <c r="C6" s="505"/>
      <c r="D6" s="501"/>
    </row>
    <row r="7" spans="1:6">
      <c r="A7" s="504"/>
      <c r="B7" s="505"/>
      <c r="C7" s="505"/>
      <c r="D7" s="501"/>
    </row>
    <row r="8" spans="1:6">
      <c r="A8" s="504"/>
      <c r="B8" s="505"/>
      <c r="C8" s="505"/>
      <c r="D8" s="501"/>
    </row>
    <row r="9" spans="1:6">
      <c r="A9" s="504"/>
      <c r="B9" s="505"/>
      <c r="C9" s="505"/>
      <c r="D9" s="501"/>
    </row>
    <row r="10" spans="1:6">
      <c r="A10" s="504"/>
      <c r="B10" s="505"/>
      <c r="C10" s="505"/>
      <c r="D10" s="501"/>
    </row>
    <row r="11" spans="1:6">
      <c r="A11" s="504"/>
      <c r="B11" s="505"/>
      <c r="C11" s="505"/>
      <c r="D11" s="501"/>
    </row>
    <row r="12" spans="1:6">
      <c r="A12" s="504"/>
      <c r="B12" s="505"/>
      <c r="C12" s="505"/>
      <c r="D12" s="501"/>
    </row>
    <row r="13" spans="1:6">
      <c r="A13" s="504"/>
      <c r="B13" s="505"/>
      <c r="C13" s="505"/>
      <c r="D13" s="501"/>
    </row>
    <row r="14" spans="1:6">
      <c r="A14" s="504"/>
      <c r="B14" s="505"/>
      <c r="C14" s="505"/>
      <c r="D14" s="501"/>
    </row>
    <row r="15" spans="1:6">
      <c r="A15" s="504"/>
      <c r="B15" s="505"/>
      <c r="C15" s="505"/>
      <c r="D15" s="501"/>
    </row>
    <row r="16" spans="1:6">
      <c r="A16" s="504"/>
      <c r="B16" s="505"/>
      <c r="C16" s="505"/>
      <c r="D16" s="501"/>
    </row>
    <row r="17" spans="1:4">
      <c r="A17" s="504"/>
      <c r="B17" s="505"/>
      <c r="C17" s="505"/>
      <c r="D17" s="501"/>
    </row>
    <row r="18" spans="1:4">
      <c r="A18" s="501"/>
      <c r="B18" s="501"/>
      <c r="C18" s="501"/>
      <c r="D18" s="501"/>
    </row>
    <row r="19" spans="1:4">
      <c r="A19" s="501"/>
      <c r="B19" s="501"/>
      <c r="C19" s="501"/>
      <c r="D19" s="501"/>
    </row>
    <row r="20" spans="1:4">
      <c r="A20" s="501"/>
      <c r="B20" s="501"/>
      <c r="C20" s="501"/>
      <c r="D20" s="50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8080"/>
  </sheetPr>
  <dimension ref="A1:R28"/>
  <sheetViews>
    <sheetView workbookViewId="0">
      <selection activeCell="N9" sqref="N9"/>
    </sheetView>
  </sheetViews>
  <sheetFormatPr defaultColWidth="9.1796875" defaultRowHeight="14.5"/>
  <cols>
    <col min="1" max="1" width="13.1796875" style="338" customWidth="1"/>
    <col min="2" max="3" width="10.26953125" style="338" customWidth="1"/>
    <col min="4" max="16384" width="9.1796875" style="338"/>
  </cols>
  <sheetData>
    <row r="1" spans="1:6">
      <c r="A1" s="485"/>
      <c r="B1" s="485"/>
      <c r="C1" s="485"/>
      <c r="D1" s="485"/>
    </row>
    <row r="2" spans="1:6" ht="18.5">
      <c r="A2" s="486"/>
      <c r="B2" s="485"/>
      <c r="C2" s="485"/>
      <c r="D2" s="485"/>
    </row>
    <row r="3" spans="1:6">
      <c r="A3" s="485"/>
      <c r="B3" s="485"/>
      <c r="C3" s="485"/>
      <c r="D3" s="485"/>
    </row>
    <row r="4" spans="1:6" ht="18.5">
      <c r="A4" s="487"/>
      <c r="B4" s="488"/>
      <c r="C4" s="488"/>
      <c r="D4" s="485"/>
      <c r="F4" s="337" t="s">
        <v>209</v>
      </c>
    </row>
    <row r="5" spans="1:6">
      <c r="A5" s="489"/>
      <c r="B5" s="490"/>
      <c r="C5" s="490"/>
      <c r="D5" s="485"/>
    </row>
    <row r="6" spans="1:6">
      <c r="A6" s="489"/>
      <c r="B6" s="490"/>
      <c r="C6" s="490"/>
      <c r="D6" s="485"/>
    </row>
    <row r="7" spans="1:6">
      <c r="A7" s="489"/>
      <c r="B7" s="490"/>
      <c r="C7" s="490"/>
      <c r="D7" s="485"/>
    </row>
    <row r="8" spans="1:6">
      <c r="A8" s="489"/>
      <c r="B8" s="490"/>
      <c r="C8" s="490"/>
      <c r="D8" s="485"/>
    </row>
    <row r="9" spans="1:6">
      <c r="A9" s="489"/>
      <c r="B9" s="490"/>
      <c r="C9" s="490"/>
      <c r="D9" s="485"/>
    </row>
    <row r="10" spans="1:6">
      <c r="A10" s="489"/>
      <c r="B10" s="490"/>
      <c r="C10" s="490"/>
      <c r="D10" s="485"/>
    </row>
    <row r="11" spans="1:6">
      <c r="A11" s="489"/>
      <c r="B11" s="490"/>
      <c r="C11" s="490"/>
      <c r="D11" s="485"/>
    </row>
    <row r="12" spans="1:6">
      <c r="A12" s="489"/>
      <c r="B12" s="490"/>
      <c r="C12" s="490"/>
      <c r="D12" s="485"/>
    </row>
    <row r="13" spans="1:6">
      <c r="A13" s="489"/>
      <c r="B13" s="490"/>
      <c r="C13" s="490"/>
      <c r="D13" s="485"/>
    </row>
    <row r="14" spans="1:6">
      <c r="A14" s="489"/>
      <c r="B14" s="490"/>
      <c r="C14" s="490"/>
      <c r="D14" s="485"/>
    </row>
    <row r="15" spans="1:6">
      <c r="A15" s="489"/>
      <c r="B15" s="490"/>
      <c r="C15" s="490"/>
      <c r="D15" s="485"/>
    </row>
    <row r="16" spans="1:6">
      <c r="A16" s="489"/>
      <c r="B16" s="490"/>
      <c r="C16" s="490"/>
      <c r="D16" s="485"/>
    </row>
    <row r="17" spans="1:18">
      <c r="A17" s="489"/>
      <c r="B17" s="490"/>
      <c r="C17" s="490"/>
      <c r="D17" s="485"/>
    </row>
    <row r="18" spans="1:18">
      <c r="A18" s="485"/>
      <c r="B18" s="485"/>
      <c r="C18" s="485"/>
      <c r="D18" s="485"/>
    </row>
    <row r="19" spans="1:18">
      <c r="A19" s="485"/>
      <c r="B19" s="485"/>
      <c r="C19" s="485"/>
      <c r="D19" s="485"/>
    </row>
    <row r="20" spans="1:18">
      <c r="A20" s="485"/>
      <c r="B20" s="485"/>
      <c r="C20" s="485"/>
      <c r="D20" s="485"/>
    </row>
    <row r="28" spans="1:18">
      <c r="R28" s="338" t="s">
        <v>195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-0.249977111117893"/>
  </sheetPr>
  <dimension ref="A2:W28"/>
  <sheetViews>
    <sheetView topLeftCell="B1" workbookViewId="0">
      <selection activeCell="R14" sqref="R14"/>
    </sheetView>
  </sheetViews>
  <sheetFormatPr defaultColWidth="9.1796875" defaultRowHeight="14.5"/>
  <cols>
    <col min="1" max="1" width="26.453125" style="348" bestFit="1" customWidth="1"/>
    <col min="2" max="2" width="14.81640625" style="348" bestFit="1" customWidth="1"/>
    <col min="3" max="3" width="13.81640625" style="348" bestFit="1" customWidth="1"/>
    <col min="4" max="18" width="9.1796875" style="348"/>
    <col min="19" max="20" width="9.54296875" style="348" bestFit="1" customWidth="1"/>
    <col min="21" max="21" width="10.1796875" style="348" bestFit="1" customWidth="1"/>
    <col min="22" max="22" width="12.7265625" style="348" customWidth="1"/>
    <col min="23" max="16384" width="9.1796875" style="348"/>
  </cols>
  <sheetData>
    <row r="2" spans="1:23" ht="18.5">
      <c r="F2" s="347" t="s">
        <v>198</v>
      </c>
    </row>
    <row r="3" spans="1:23">
      <c r="A3" s="349"/>
      <c r="B3" s="352"/>
      <c r="C3" s="352"/>
      <c r="D3" s="352"/>
    </row>
    <row r="4" spans="1:23">
      <c r="A4" s="351"/>
      <c r="B4" s="391"/>
      <c r="C4" s="391"/>
      <c r="D4" s="352"/>
    </row>
    <row r="5" spans="1:23">
      <c r="A5" s="392"/>
      <c r="B5" s="393"/>
      <c r="C5" s="393"/>
      <c r="D5" s="352"/>
    </row>
    <row r="6" spans="1:23">
      <c r="A6" s="392"/>
      <c r="B6" s="393"/>
      <c r="C6" s="393"/>
      <c r="D6" s="352"/>
    </row>
    <row r="7" spans="1:23">
      <c r="A7" s="392"/>
      <c r="B7" s="393"/>
      <c r="C7" s="393"/>
      <c r="D7" s="352"/>
      <c r="S7" s="350"/>
      <c r="T7" s="350"/>
      <c r="U7" s="350"/>
    </row>
    <row r="8" spans="1:23">
      <c r="A8" s="392"/>
      <c r="B8" s="393"/>
      <c r="C8" s="393"/>
      <c r="D8" s="352"/>
      <c r="Q8" s="351"/>
      <c r="R8" s="352"/>
      <c r="S8" s="353"/>
      <c r="T8" s="354"/>
      <c r="U8" s="350"/>
      <c r="V8" s="355"/>
      <c r="W8" s="356"/>
    </row>
    <row r="9" spans="1:23">
      <c r="A9" s="392"/>
      <c r="B9" s="393"/>
      <c r="C9" s="393"/>
      <c r="D9" s="352"/>
      <c r="Q9" s="351"/>
      <c r="R9" s="352"/>
      <c r="S9" s="353"/>
      <c r="T9" s="354"/>
      <c r="U9" s="350"/>
      <c r="V9" s="355"/>
      <c r="W9" s="356"/>
    </row>
    <row r="10" spans="1:23">
      <c r="A10" s="392"/>
      <c r="B10" s="393"/>
      <c r="C10" s="393"/>
      <c r="D10" s="352"/>
      <c r="Q10" s="351"/>
      <c r="R10" s="352"/>
      <c r="S10" s="353"/>
      <c r="T10" s="354"/>
      <c r="U10" s="350"/>
      <c r="V10" s="355"/>
      <c r="W10" s="356"/>
    </row>
    <row r="11" spans="1:23">
      <c r="A11" s="392"/>
      <c r="B11" s="393"/>
      <c r="C11" s="393"/>
      <c r="D11" s="352"/>
      <c r="Q11" s="351"/>
      <c r="R11" s="352"/>
      <c r="S11" s="353"/>
      <c r="T11" s="354"/>
      <c r="U11" s="350"/>
      <c r="V11" s="355"/>
      <c r="W11" s="356"/>
    </row>
    <row r="12" spans="1:23">
      <c r="A12" s="392"/>
      <c r="B12" s="393"/>
      <c r="C12" s="393"/>
      <c r="D12" s="352"/>
      <c r="Q12" s="351"/>
      <c r="R12" s="352"/>
      <c r="S12" s="353"/>
      <c r="T12" s="354"/>
      <c r="U12" s="350"/>
      <c r="V12" s="355"/>
      <c r="W12" s="356"/>
    </row>
    <row r="13" spans="1:23">
      <c r="A13" s="392"/>
      <c r="B13" s="393"/>
      <c r="C13" s="393"/>
      <c r="D13" s="352"/>
      <c r="Q13" s="351"/>
      <c r="R13" s="352"/>
      <c r="S13" s="353"/>
      <c r="T13" s="354"/>
      <c r="U13" s="350"/>
      <c r="V13" s="355"/>
      <c r="W13" s="356"/>
    </row>
    <row r="14" spans="1:23">
      <c r="A14" s="392"/>
      <c r="B14" s="393"/>
      <c r="C14" s="393"/>
      <c r="D14" s="352"/>
      <c r="Q14" s="351"/>
      <c r="R14" s="352"/>
      <c r="S14" s="353"/>
      <c r="T14" s="354"/>
      <c r="U14" s="350"/>
      <c r="V14" s="355"/>
      <c r="W14" s="356"/>
    </row>
    <row r="15" spans="1:23">
      <c r="A15" s="392"/>
      <c r="B15" s="393"/>
      <c r="C15" s="393"/>
      <c r="D15" s="352"/>
      <c r="Q15" s="351"/>
      <c r="R15" s="352"/>
      <c r="S15" s="353"/>
      <c r="T15" s="354"/>
      <c r="U15" s="350"/>
      <c r="V15" s="355"/>
      <c r="W15" s="356"/>
    </row>
    <row r="16" spans="1:23">
      <c r="A16" s="392"/>
      <c r="B16" s="393"/>
      <c r="C16" s="393"/>
      <c r="D16" s="352"/>
      <c r="Q16" s="351"/>
      <c r="R16" s="352"/>
      <c r="S16" s="353"/>
      <c r="T16" s="354"/>
      <c r="U16" s="350"/>
      <c r="V16" s="355"/>
      <c r="W16" s="356"/>
    </row>
    <row r="17" spans="1:23">
      <c r="A17" s="392"/>
      <c r="B17" s="393"/>
      <c r="C17" s="393"/>
      <c r="D17" s="352"/>
      <c r="Q17" s="351"/>
      <c r="R17" s="352"/>
      <c r="S17" s="353"/>
      <c r="T17" s="354"/>
      <c r="U17" s="350"/>
      <c r="V17" s="355"/>
      <c r="W17" s="356"/>
    </row>
    <row r="18" spans="1:23">
      <c r="A18" s="351"/>
      <c r="B18" s="352"/>
      <c r="C18" s="352"/>
      <c r="D18" s="352"/>
      <c r="Q18" s="351"/>
      <c r="R18" s="352"/>
      <c r="S18" s="353"/>
      <c r="T18" s="354"/>
      <c r="U18" s="350"/>
      <c r="V18" s="355"/>
      <c r="W18" s="356"/>
    </row>
    <row r="19" spans="1:23">
      <c r="A19" s="394"/>
      <c r="B19" s="395"/>
      <c r="C19" s="396"/>
      <c r="D19" s="352"/>
      <c r="Q19" s="351"/>
      <c r="R19" s="352"/>
      <c r="S19" s="353"/>
      <c r="T19" s="354"/>
      <c r="U19" s="350"/>
      <c r="V19" s="355"/>
      <c r="W19" s="356"/>
    </row>
    <row r="20" spans="1:23">
      <c r="A20" s="394"/>
      <c r="B20" s="395"/>
      <c r="C20" s="396"/>
      <c r="D20" s="352"/>
      <c r="Q20" s="351"/>
      <c r="R20" s="352"/>
      <c r="S20" s="353"/>
      <c r="T20" s="354"/>
      <c r="U20" s="350"/>
      <c r="V20" s="355"/>
      <c r="W20" s="356"/>
    </row>
    <row r="21" spans="1:23">
      <c r="A21" s="357"/>
      <c r="Q21" s="351"/>
      <c r="R21" s="352"/>
      <c r="S21" s="353"/>
      <c r="T21" s="354"/>
      <c r="U21" s="350"/>
      <c r="V21" s="355"/>
      <c r="W21" s="356"/>
    </row>
    <row r="22" spans="1:23">
      <c r="A22" s="357"/>
      <c r="Q22" s="351"/>
      <c r="R22" s="352"/>
      <c r="S22" s="353"/>
      <c r="T22" s="354"/>
      <c r="U22" s="350"/>
      <c r="V22" s="355"/>
      <c r="W22" s="355"/>
    </row>
    <row r="23" spans="1:23">
      <c r="A23" s="357"/>
      <c r="Q23" s="351"/>
      <c r="R23" s="352"/>
      <c r="S23" s="353"/>
      <c r="T23" s="354"/>
      <c r="U23" s="350"/>
      <c r="V23" s="355"/>
      <c r="W23" s="356"/>
    </row>
    <row r="24" spans="1:23">
      <c r="Q24" s="351"/>
      <c r="R24" s="352"/>
      <c r="S24" s="353"/>
      <c r="T24" s="354"/>
      <c r="U24" s="350"/>
      <c r="V24" s="355"/>
      <c r="W24" s="356"/>
    </row>
    <row r="25" spans="1:23">
      <c r="Q25" s="351"/>
      <c r="R25" s="352"/>
      <c r="S25" s="353"/>
      <c r="T25" s="354"/>
      <c r="U25" s="350"/>
      <c r="V25" s="355"/>
      <c r="W25" s="356"/>
    </row>
    <row r="26" spans="1:23">
      <c r="Q26" s="351"/>
      <c r="R26" s="352"/>
      <c r="S26" s="353"/>
      <c r="T26" s="354"/>
      <c r="U26" s="350"/>
      <c r="V26" s="355"/>
      <c r="W26" s="356"/>
    </row>
    <row r="27" spans="1:23">
      <c r="Q27" s="351"/>
      <c r="R27" s="352"/>
      <c r="S27" s="353"/>
      <c r="T27" s="354"/>
      <c r="U27" s="350"/>
      <c r="V27" s="355"/>
      <c r="W27" s="356"/>
    </row>
    <row r="28" spans="1:23">
      <c r="S28" s="350"/>
      <c r="T28" s="350"/>
      <c r="U28" s="350"/>
      <c r="V28" s="358"/>
      <c r="W28" s="358"/>
    </row>
  </sheetData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663300"/>
  </sheetPr>
  <dimension ref="A2:W28"/>
  <sheetViews>
    <sheetView topLeftCell="B1" workbookViewId="0">
      <selection activeCell="L17" sqref="L17"/>
    </sheetView>
  </sheetViews>
  <sheetFormatPr defaultColWidth="9.1796875" defaultRowHeight="14.5"/>
  <cols>
    <col min="1" max="1" width="26.453125" style="348" bestFit="1" customWidth="1"/>
    <col min="2" max="2" width="14.81640625" style="348" bestFit="1" customWidth="1"/>
    <col min="3" max="3" width="13.81640625" style="348" bestFit="1" customWidth="1"/>
    <col min="4" max="18" width="9.1796875" style="348"/>
    <col min="19" max="20" width="9.54296875" style="348" bestFit="1" customWidth="1"/>
    <col min="21" max="21" width="10.1796875" style="348" bestFit="1" customWidth="1"/>
    <col min="22" max="22" width="12.7265625" style="348" customWidth="1"/>
    <col min="23" max="16384" width="9.1796875" style="348"/>
  </cols>
  <sheetData>
    <row r="2" spans="1:23" ht="18.5">
      <c r="F2" s="347" t="s">
        <v>198</v>
      </c>
    </row>
    <row r="3" spans="1:23">
      <c r="A3" s="349"/>
      <c r="B3" s="352"/>
      <c r="C3" s="352"/>
      <c r="D3" s="352"/>
    </row>
    <row r="4" spans="1:23">
      <c r="A4" s="351"/>
      <c r="B4" s="391"/>
      <c r="C4" s="391"/>
      <c r="D4" s="352"/>
    </row>
    <row r="5" spans="1:23">
      <c r="A5" s="392"/>
      <c r="B5" s="393"/>
      <c r="C5" s="393"/>
      <c r="D5" s="352"/>
    </row>
    <row r="6" spans="1:23">
      <c r="A6" s="392"/>
      <c r="B6" s="393"/>
      <c r="C6" s="393"/>
      <c r="D6" s="352"/>
    </row>
    <row r="7" spans="1:23">
      <c r="A7" s="392"/>
      <c r="B7" s="393"/>
      <c r="C7" s="393"/>
      <c r="D7" s="352"/>
      <c r="S7" s="350"/>
      <c r="T7" s="350"/>
      <c r="U7" s="350"/>
    </row>
    <row r="8" spans="1:23">
      <c r="A8" s="392"/>
      <c r="B8" s="393"/>
      <c r="C8" s="393"/>
      <c r="D8" s="352"/>
      <c r="Q8" s="351"/>
      <c r="R8" s="352"/>
      <c r="S8" s="353"/>
      <c r="T8" s="354"/>
      <c r="U8" s="350"/>
      <c r="V8" s="355"/>
      <c r="W8" s="356"/>
    </row>
    <row r="9" spans="1:23">
      <c r="A9" s="392"/>
      <c r="B9" s="393"/>
      <c r="C9" s="393"/>
      <c r="D9" s="352"/>
      <c r="Q9" s="351"/>
      <c r="R9" s="352"/>
      <c r="S9" s="353"/>
      <c r="T9" s="354"/>
      <c r="U9" s="350"/>
      <c r="V9" s="355"/>
      <c r="W9" s="356"/>
    </row>
    <row r="10" spans="1:23">
      <c r="A10" s="392"/>
      <c r="B10" s="393"/>
      <c r="C10" s="393"/>
      <c r="D10" s="352"/>
      <c r="Q10" s="351"/>
      <c r="R10" s="352"/>
      <c r="S10" s="353"/>
      <c r="T10" s="354"/>
      <c r="U10" s="350"/>
      <c r="V10" s="355"/>
      <c r="W10" s="356"/>
    </row>
    <row r="11" spans="1:23">
      <c r="A11" s="392"/>
      <c r="B11" s="393"/>
      <c r="C11" s="393"/>
      <c r="D11" s="352"/>
      <c r="Q11" s="351"/>
      <c r="R11" s="352"/>
      <c r="S11" s="353"/>
      <c r="T11" s="354"/>
      <c r="U11" s="350"/>
      <c r="V11" s="355"/>
      <c r="W11" s="356"/>
    </row>
    <row r="12" spans="1:23">
      <c r="A12" s="392"/>
      <c r="B12" s="393"/>
      <c r="C12" s="393"/>
      <c r="D12" s="352"/>
      <c r="Q12" s="351"/>
      <c r="R12" s="352"/>
      <c r="S12" s="353"/>
      <c r="T12" s="354"/>
      <c r="U12" s="350"/>
      <c r="V12" s="355"/>
      <c r="W12" s="356"/>
    </row>
    <row r="13" spans="1:23">
      <c r="A13" s="392"/>
      <c r="B13" s="393"/>
      <c r="C13" s="393"/>
      <c r="D13" s="352"/>
      <c r="Q13" s="351"/>
      <c r="R13" s="352"/>
      <c r="S13" s="353"/>
      <c r="T13" s="354"/>
      <c r="U13" s="350"/>
      <c r="V13" s="355"/>
      <c r="W13" s="356"/>
    </row>
    <row r="14" spans="1:23">
      <c r="A14" s="392"/>
      <c r="B14" s="393"/>
      <c r="C14" s="393"/>
      <c r="D14" s="352"/>
      <c r="Q14" s="351"/>
      <c r="R14" s="352"/>
      <c r="S14" s="353"/>
      <c r="T14" s="354"/>
      <c r="U14" s="350"/>
      <c r="V14" s="355"/>
      <c r="W14" s="356"/>
    </row>
    <row r="15" spans="1:23">
      <c r="A15" s="392"/>
      <c r="B15" s="393"/>
      <c r="C15" s="393"/>
      <c r="D15" s="352"/>
      <c r="Q15" s="351"/>
      <c r="R15" s="352"/>
      <c r="S15" s="353"/>
      <c r="T15" s="354"/>
      <c r="U15" s="350"/>
      <c r="V15" s="355"/>
      <c r="W15" s="356"/>
    </row>
    <row r="16" spans="1:23">
      <c r="A16" s="392"/>
      <c r="B16" s="393"/>
      <c r="C16" s="393"/>
      <c r="D16" s="352"/>
      <c r="Q16" s="351"/>
      <c r="R16" s="352"/>
      <c r="S16" s="353"/>
      <c r="T16" s="354"/>
      <c r="U16" s="350"/>
      <c r="V16" s="355"/>
      <c r="W16" s="356"/>
    </row>
    <row r="17" spans="1:23">
      <c r="A17" s="392"/>
      <c r="B17" s="393"/>
      <c r="C17" s="393"/>
      <c r="D17" s="352"/>
      <c r="Q17" s="351"/>
      <c r="R17" s="352"/>
      <c r="S17" s="353"/>
      <c r="T17" s="354"/>
      <c r="U17" s="350"/>
      <c r="V17" s="355"/>
      <c r="W17" s="356"/>
    </row>
    <row r="18" spans="1:23">
      <c r="A18" s="351"/>
      <c r="B18" s="352"/>
      <c r="C18" s="352"/>
      <c r="D18" s="352"/>
      <c r="Q18" s="351"/>
      <c r="R18" s="352"/>
      <c r="S18" s="353"/>
      <c r="T18" s="354"/>
      <c r="U18" s="350"/>
      <c r="V18" s="355"/>
      <c r="W18" s="356"/>
    </row>
    <row r="19" spans="1:23">
      <c r="A19" s="394"/>
      <c r="B19" s="395"/>
      <c r="C19" s="396"/>
      <c r="D19" s="352"/>
      <c r="Q19" s="351"/>
      <c r="R19" s="352"/>
      <c r="S19" s="353"/>
      <c r="T19" s="354"/>
      <c r="U19" s="350"/>
      <c r="V19" s="355"/>
      <c r="W19" s="356"/>
    </row>
    <row r="20" spans="1:23">
      <c r="A20" s="394"/>
      <c r="B20" s="395"/>
      <c r="C20" s="396"/>
      <c r="D20" s="352"/>
      <c r="Q20" s="351"/>
      <c r="R20" s="352"/>
      <c r="S20" s="353"/>
      <c r="T20" s="354"/>
      <c r="U20" s="350"/>
      <c r="V20" s="355"/>
      <c r="W20" s="356"/>
    </row>
    <row r="21" spans="1:23">
      <c r="A21" s="357"/>
      <c r="Q21" s="351"/>
      <c r="R21" s="352"/>
      <c r="S21" s="353"/>
      <c r="T21" s="354"/>
      <c r="U21" s="350"/>
      <c r="V21" s="355"/>
      <c r="W21" s="356"/>
    </row>
    <row r="22" spans="1:23">
      <c r="A22" s="357"/>
      <c r="Q22" s="351"/>
      <c r="R22" s="352"/>
      <c r="S22" s="353"/>
      <c r="T22" s="354"/>
      <c r="U22" s="350"/>
      <c r="V22" s="355"/>
      <c r="W22" s="355"/>
    </row>
    <row r="23" spans="1:23">
      <c r="A23" s="357"/>
      <c r="Q23" s="351"/>
      <c r="R23" s="352"/>
      <c r="S23" s="353"/>
      <c r="T23" s="354"/>
      <c r="U23" s="350"/>
      <c r="V23" s="355"/>
      <c r="W23" s="356"/>
    </row>
    <row r="24" spans="1:23">
      <c r="Q24" s="351"/>
      <c r="R24" s="352"/>
      <c r="S24" s="353"/>
      <c r="T24" s="354"/>
      <c r="U24" s="350"/>
      <c r="V24" s="355"/>
      <c r="W24" s="356"/>
    </row>
    <row r="25" spans="1:23">
      <c r="Q25" s="351"/>
      <c r="R25" s="352"/>
      <c r="S25" s="353"/>
      <c r="T25" s="354"/>
      <c r="U25" s="350"/>
      <c r="V25" s="355"/>
      <c r="W25" s="356"/>
    </row>
    <row r="26" spans="1:23">
      <c r="Q26" s="351"/>
      <c r="R26" s="352"/>
      <c r="S26" s="353"/>
      <c r="T26" s="354"/>
      <c r="U26" s="350"/>
      <c r="V26" s="355"/>
      <c r="W26" s="356"/>
    </row>
    <row r="27" spans="1:23">
      <c r="Q27" s="351"/>
      <c r="R27" s="352"/>
      <c r="S27" s="353"/>
      <c r="T27" s="354"/>
      <c r="U27" s="350"/>
      <c r="V27" s="355"/>
      <c r="W27" s="356"/>
    </row>
    <row r="28" spans="1:23">
      <c r="S28" s="350"/>
      <c r="T28" s="350"/>
      <c r="U28" s="350"/>
      <c r="V28" s="358"/>
      <c r="W28" s="358"/>
    </row>
  </sheetData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2:W28"/>
  <sheetViews>
    <sheetView topLeftCell="B1" workbookViewId="0">
      <selection activeCell="O14" sqref="O14"/>
    </sheetView>
  </sheetViews>
  <sheetFormatPr defaultColWidth="9.1796875" defaultRowHeight="14.5"/>
  <cols>
    <col min="1" max="1" width="26.453125" style="348" bestFit="1" customWidth="1"/>
    <col min="2" max="2" width="14.81640625" style="348" bestFit="1" customWidth="1"/>
    <col min="3" max="3" width="13.81640625" style="348" bestFit="1" customWidth="1"/>
    <col min="4" max="18" width="9.1796875" style="348"/>
    <col min="19" max="20" width="9.54296875" style="348" bestFit="1" customWidth="1"/>
    <col min="21" max="21" width="10.1796875" style="348" bestFit="1" customWidth="1"/>
    <col min="22" max="22" width="12.7265625" style="348" customWidth="1"/>
    <col min="23" max="16384" width="9.1796875" style="348"/>
  </cols>
  <sheetData>
    <row r="2" spans="1:23" ht="18.5">
      <c r="F2" s="347" t="s">
        <v>198</v>
      </c>
    </row>
    <row r="3" spans="1:23">
      <c r="A3" s="349"/>
      <c r="B3" s="352"/>
      <c r="C3" s="352"/>
      <c r="D3" s="352"/>
    </row>
    <row r="4" spans="1:23">
      <c r="A4" s="351"/>
      <c r="B4" s="391"/>
      <c r="C4" s="391"/>
      <c r="D4" s="352"/>
    </row>
    <row r="5" spans="1:23">
      <c r="A5" s="392"/>
      <c r="B5" s="393"/>
      <c r="C5" s="393"/>
      <c r="D5" s="352"/>
    </row>
    <row r="6" spans="1:23">
      <c r="A6" s="392"/>
      <c r="B6" s="393"/>
      <c r="C6" s="393"/>
      <c r="D6" s="352"/>
    </row>
    <row r="7" spans="1:23">
      <c r="A7" s="392"/>
      <c r="B7" s="393"/>
      <c r="C7" s="393"/>
      <c r="D7" s="352"/>
      <c r="S7" s="350"/>
      <c r="T7" s="350"/>
      <c r="U7" s="350"/>
    </row>
    <row r="8" spans="1:23">
      <c r="A8" s="392"/>
      <c r="B8" s="393"/>
      <c r="C8" s="393"/>
      <c r="D8" s="352"/>
      <c r="Q8" s="351"/>
      <c r="R8" s="352"/>
      <c r="S8" s="353"/>
      <c r="T8" s="354"/>
      <c r="U8" s="350"/>
      <c r="V8" s="355"/>
      <c r="W8" s="356"/>
    </row>
    <row r="9" spans="1:23">
      <c r="A9" s="392"/>
      <c r="B9" s="393"/>
      <c r="C9" s="393"/>
      <c r="D9" s="352"/>
      <c r="Q9" s="351"/>
      <c r="R9" s="352"/>
      <c r="S9" s="353"/>
      <c r="T9" s="354"/>
      <c r="U9" s="350"/>
      <c r="V9" s="355"/>
      <c r="W9" s="356"/>
    </row>
    <row r="10" spans="1:23">
      <c r="A10" s="392"/>
      <c r="B10" s="393"/>
      <c r="C10" s="393"/>
      <c r="D10" s="352"/>
      <c r="Q10" s="351"/>
      <c r="R10" s="352"/>
      <c r="S10" s="353"/>
      <c r="T10" s="354"/>
      <c r="U10" s="350"/>
      <c r="V10" s="355"/>
      <c r="W10" s="356"/>
    </row>
    <row r="11" spans="1:23">
      <c r="A11" s="392"/>
      <c r="B11" s="393"/>
      <c r="C11" s="393"/>
      <c r="D11" s="352"/>
      <c r="Q11" s="351"/>
      <c r="R11" s="352"/>
      <c r="S11" s="353"/>
      <c r="T11" s="354"/>
      <c r="U11" s="350"/>
      <c r="V11" s="355"/>
      <c r="W11" s="356"/>
    </row>
    <row r="12" spans="1:23">
      <c r="A12" s="392"/>
      <c r="B12" s="393"/>
      <c r="C12" s="393"/>
      <c r="D12" s="352"/>
      <c r="Q12" s="351"/>
      <c r="R12" s="352"/>
      <c r="S12" s="353"/>
      <c r="T12" s="354"/>
      <c r="U12" s="350"/>
      <c r="V12" s="355"/>
      <c r="W12" s="356"/>
    </row>
    <row r="13" spans="1:23">
      <c r="A13" s="392"/>
      <c r="B13" s="393"/>
      <c r="C13" s="393"/>
      <c r="D13" s="352"/>
      <c r="Q13" s="351"/>
      <c r="R13" s="352"/>
      <c r="S13" s="353"/>
      <c r="T13" s="354"/>
      <c r="U13" s="350"/>
      <c r="V13" s="355"/>
      <c r="W13" s="356"/>
    </row>
    <row r="14" spans="1:23">
      <c r="A14" s="392"/>
      <c r="B14" s="393"/>
      <c r="C14" s="393"/>
      <c r="D14" s="352"/>
      <c r="Q14" s="351"/>
      <c r="R14" s="352"/>
      <c r="S14" s="353"/>
      <c r="T14" s="354"/>
      <c r="U14" s="350"/>
      <c r="V14" s="355"/>
      <c r="W14" s="356"/>
    </row>
    <row r="15" spans="1:23">
      <c r="A15" s="392"/>
      <c r="B15" s="393"/>
      <c r="C15" s="393"/>
      <c r="D15" s="352"/>
      <c r="Q15" s="351"/>
      <c r="R15" s="352"/>
      <c r="S15" s="353"/>
      <c r="T15" s="354"/>
      <c r="U15" s="350"/>
      <c r="V15" s="355"/>
      <c r="W15" s="356"/>
    </row>
    <row r="16" spans="1:23">
      <c r="A16" s="392"/>
      <c r="B16" s="393"/>
      <c r="C16" s="393"/>
      <c r="D16" s="352"/>
      <c r="Q16" s="351"/>
      <c r="R16" s="352"/>
      <c r="S16" s="353"/>
      <c r="T16" s="354"/>
      <c r="U16" s="350"/>
      <c r="V16" s="355"/>
      <c r="W16" s="356"/>
    </row>
    <row r="17" spans="1:23">
      <c r="A17" s="392"/>
      <c r="B17" s="393"/>
      <c r="C17" s="393"/>
      <c r="D17" s="352"/>
      <c r="Q17" s="351"/>
      <c r="R17" s="352"/>
      <c r="S17" s="353"/>
      <c r="T17" s="354"/>
      <c r="U17" s="350"/>
      <c r="V17" s="355"/>
      <c r="W17" s="356"/>
    </row>
    <row r="18" spans="1:23">
      <c r="A18" s="351"/>
      <c r="B18" s="352"/>
      <c r="C18" s="352"/>
      <c r="D18" s="352"/>
      <c r="Q18" s="351"/>
      <c r="R18" s="352"/>
      <c r="S18" s="353"/>
      <c r="T18" s="354"/>
      <c r="U18" s="350"/>
      <c r="V18" s="355"/>
      <c r="W18" s="356"/>
    </row>
    <row r="19" spans="1:23">
      <c r="A19" s="394"/>
      <c r="B19" s="395"/>
      <c r="C19" s="396"/>
      <c r="D19" s="352"/>
      <c r="Q19" s="351"/>
      <c r="R19" s="352"/>
      <c r="S19" s="353"/>
      <c r="T19" s="354"/>
      <c r="U19" s="350"/>
      <c r="V19" s="355"/>
      <c r="W19" s="356"/>
    </row>
    <row r="20" spans="1:23">
      <c r="A20" s="394"/>
      <c r="B20" s="395"/>
      <c r="C20" s="396"/>
      <c r="D20" s="352"/>
      <c r="Q20" s="351"/>
      <c r="R20" s="352"/>
      <c r="S20" s="353"/>
      <c r="T20" s="354"/>
      <c r="U20" s="350"/>
      <c r="V20" s="355"/>
      <c r="W20" s="356"/>
    </row>
    <row r="21" spans="1:23">
      <c r="A21" s="357"/>
      <c r="Q21" s="351"/>
      <c r="R21" s="352"/>
      <c r="S21" s="353"/>
      <c r="T21" s="354"/>
      <c r="U21" s="350"/>
      <c r="V21" s="355"/>
      <c r="W21" s="356"/>
    </row>
    <row r="22" spans="1:23">
      <c r="A22" s="357"/>
      <c r="Q22" s="351"/>
      <c r="R22" s="352"/>
      <c r="S22" s="353"/>
      <c r="T22" s="354"/>
      <c r="U22" s="350"/>
      <c r="V22" s="355"/>
      <c r="W22" s="355"/>
    </row>
    <row r="23" spans="1:23">
      <c r="A23" s="357"/>
      <c r="Q23" s="351"/>
      <c r="R23" s="352"/>
      <c r="S23" s="353"/>
      <c r="T23" s="354"/>
      <c r="U23" s="350"/>
      <c r="V23" s="355"/>
      <c r="W23" s="356"/>
    </row>
    <row r="24" spans="1:23">
      <c r="Q24" s="351"/>
      <c r="R24" s="352"/>
      <c r="S24" s="353"/>
      <c r="T24" s="354"/>
      <c r="U24" s="350"/>
      <c r="V24" s="355"/>
      <c r="W24" s="356"/>
    </row>
    <row r="25" spans="1:23">
      <c r="Q25" s="351"/>
      <c r="R25" s="352"/>
      <c r="S25" s="353"/>
      <c r="T25" s="354"/>
      <c r="U25" s="350"/>
      <c r="V25" s="355"/>
      <c r="W25" s="356"/>
    </row>
    <row r="26" spans="1:23">
      <c r="Q26" s="351"/>
      <c r="R26" s="352"/>
      <c r="S26" s="353"/>
      <c r="T26" s="354"/>
      <c r="U26" s="350"/>
      <c r="V26" s="355"/>
      <c r="W26" s="356"/>
    </row>
    <row r="27" spans="1:23">
      <c r="Q27" s="351"/>
      <c r="R27" s="352"/>
      <c r="S27" s="353"/>
      <c r="T27" s="354"/>
      <c r="U27" s="350"/>
      <c r="V27" s="355"/>
      <c r="W27" s="356"/>
    </row>
    <row r="28" spans="1:23">
      <c r="S28" s="350"/>
      <c r="T28" s="350"/>
      <c r="U28" s="350"/>
      <c r="V28" s="358"/>
      <c r="W28" s="358"/>
    </row>
  </sheetData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2:W28"/>
  <sheetViews>
    <sheetView topLeftCell="B1" workbookViewId="0">
      <selection activeCell="O12" sqref="O12"/>
    </sheetView>
  </sheetViews>
  <sheetFormatPr defaultColWidth="9.1796875" defaultRowHeight="14.5"/>
  <cols>
    <col min="1" max="1" width="26.453125" style="348" bestFit="1" customWidth="1"/>
    <col min="2" max="2" width="14.81640625" style="348" bestFit="1" customWidth="1"/>
    <col min="3" max="3" width="13.81640625" style="348" bestFit="1" customWidth="1"/>
    <col min="4" max="18" width="9.1796875" style="348"/>
    <col min="19" max="20" width="9.54296875" style="348" bestFit="1" customWidth="1"/>
    <col min="21" max="21" width="10.1796875" style="348" bestFit="1" customWidth="1"/>
    <col min="22" max="22" width="12.7265625" style="348" customWidth="1"/>
    <col min="23" max="16384" width="9.1796875" style="348"/>
  </cols>
  <sheetData>
    <row r="2" spans="1:23" ht="18.5">
      <c r="F2" s="347" t="s">
        <v>198</v>
      </c>
    </row>
    <row r="3" spans="1:23">
      <c r="A3" s="349"/>
      <c r="B3" s="352"/>
      <c r="C3" s="352"/>
      <c r="D3" s="352"/>
    </row>
    <row r="4" spans="1:23">
      <c r="A4" s="351"/>
      <c r="B4" s="391"/>
      <c r="C4" s="391"/>
      <c r="D4" s="352"/>
    </row>
    <row r="5" spans="1:23">
      <c r="A5" s="392"/>
      <c r="B5" s="393"/>
      <c r="C5" s="393"/>
      <c r="D5" s="352"/>
    </row>
    <row r="6" spans="1:23">
      <c r="A6" s="392"/>
      <c r="B6" s="393"/>
      <c r="C6" s="393"/>
      <c r="D6" s="352"/>
    </row>
    <row r="7" spans="1:23">
      <c r="A7" s="392"/>
      <c r="B7" s="393"/>
      <c r="C7" s="393"/>
      <c r="D7" s="352"/>
      <c r="S7" s="350"/>
      <c r="T7" s="350"/>
      <c r="U7" s="350"/>
    </row>
    <row r="8" spans="1:23">
      <c r="A8" s="392"/>
      <c r="B8" s="393"/>
      <c r="C8" s="393"/>
      <c r="D8" s="352"/>
      <c r="Q8" s="351"/>
      <c r="R8" s="352"/>
      <c r="S8" s="353"/>
      <c r="T8" s="354"/>
      <c r="U8" s="350"/>
      <c r="V8" s="355"/>
      <c r="W8" s="356"/>
    </row>
    <row r="9" spans="1:23">
      <c r="A9" s="392"/>
      <c r="B9" s="393"/>
      <c r="C9" s="393"/>
      <c r="D9" s="352"/>
      <c r="Q9" s="351"/>
      <c r="R9" s="352"/>
      <c r="S9" s="353"/>
      <c r="T9" s="354"/>
      <c r="U9" s="350"/>
      <c r="V9" s="355"/>
      <c r="W9" s="356"/>
    </row>
    <row r="10" spans="1:23">
      <c r="A10" s="392"/>
      <c r="B10" s="393"/>
      <c r="C10" s="393"/>
      <c r="D10" s="352"/>
      <c r="Q10" s="351"/>
      <c r="R10" s="352"/>
      <c r="S10" s="353"/>
      <c r="T10" s="354"/>
      <c r="U10" s="350"/>
      <c r="V10" s="355"/>
      <c r="W10" s="356"/>
    </row>
    <row r="11" spans="1:23">
      <c r="A11" s="392"/>
      <c r="B11" s="393"/>
      <c r="C11" s="393"/>
      <c r="D11" s="352"/>
      <c r="Q11" s="351"/>
      <c r="R11" s="352"/>
      <c r="S11" s="353"/>
      <c r="T11" s="354"/>
      <c r="U11" s="350"/>
      <c r="V11" s="355"/>
      <c r="W11" s="356"/>
    </row>
    <row r="12" spans="1:23">
      <c r="A12" s="392"/>
      <c r="B12" s="393"/>
      <c r="C12" s="393"/>
      <c r="D12" s="352"/>
      <c r="Q12" s="351"/>
      <c r="R12" s="352"/>
      <c r="S12" s="353"/>
      <c r="T12" s="354"/>
      <c r="U12" s="350"/>
      <c r="V12" s="355"/>
      <c r="W12" s="356"/>
    </row>
    <row r="13" spans="1:23">
      <c r="A13" s="392"/>
      <c r="B13" s="393"/>
      <c r="C13" s="393"/>
      <c r="D13" s="352"/>
      <c r="Q13" s="351"/>
      <c r="R13" s="352"/>
      <c r="S13" s="353"/>
      <c r="T13" s="354"/>
      <c r="U13" s="350"/>
      <c r="V13" s="355"/>
      <c r="W13" s="356"/>
    </row>
    <row r="14" spans="1:23">
      <c r="A14" s="392"/>
      <c r="B14" s="393"/>
      <c r="C14" s="393"/>
      <c r="D14" s="352"/>
      <c r="Q14" s="351"/>
      <c r="R14" s="352"/>
      <c r="S14" s="353"/>
      <c r="T14" s="354"/>
      <c r="U14" s="350"/>
      <c r="V14" s="355"/>
      <c r="W14" s="356"/>
    </row>
    <row r="15" spans="1:23">
      <c r="A15" s="392"/>
      <c r="B15" s="393"/>
      <c r="C15" s="393"/>
      <c r="D15" s="352"/>
      <c r="Q15" s="351"/>
      <c r="R15" s="352"/>
      <c r="S15" s="353"/>
      <c r="T15" s="354"/>
      <c r="U15" s="350"/>
      <c r="V15" s="355"/>
      <c r="W15" s="356"/>
    </row>
    <row r="16" spans="1:23">
      <c r="A16" s="392"/>
      <c r="B16" s="393"/>
      <c r="C16" s="393"/>
      <c r="D16" s="352"/>
      <c r="Q16" s="351"/>
      <c r="R16" s="352"/>
      <c r="S16" s="353"/>
      <c r="T16" s="354"/>
      <c r="U16" s="350"/>
      <c r="V16" s="355"/>
      <c r="W16" s="356"/>
    </row>
    <row r="17" spans="1:23">
      <c r="A17" s="392"/>
      <c r="B17" s="393"/>
      <c r="C17" s="393"/>
      <c r="D17" s="352"/>
      <c r="Q17" s="351"/>
      <c r="R17" s="352"/>
      <c r="S17" s="353"/>
      <c r="T17" s="354"/>
      <c r="U17" s="350"/>
      <c r="V17" s="355"/>
      <c r="W17" s="356"/>
    </row>
    <row r="18" spans="1:23">
      <c r="A18" s="351"/>
      <c r="B18" s="352"/>
      <c r="C18" s="352"/>
      <c r="D18" s="352"/>
      <c r="Q18" s="351"/>
      <c r="R18" s="352"/>
      <c r="S18" s="353"/>
      <c r="T18" s="354"/>
      <c r="U18" s="350"/>
      <c r="V18" s="355"/>
      <c r="W18" s="356"/>
    </row>
    <row r="19" spans="1:23">
      <c r="A19" s="394"/>
      <c r="B19" s="395"/>
      <c r="C19" s="396"/>
      <c r="D19" s="352"/>
      <c r="Q19" s="351"/>
      <c r="R19" s="352"/>
      <c r="S19" s="353"/>
      <c r="T19" s="354"/>
      <c r="U19" s="350"/>
      <c r="V19" s="355"/>
      <c r="W19" s="356"/>
    </row>
    <row r="20" spans="1:23">
      <c r="A20" s="394"/>
      <c r="B20" s="395"/>
      <c r="C20" s="396"/>
      <c r="D20" s="352"/>
      <c r="Q20" s="351"/>
      <c r="R20" s="352"/>
      <c r="S20" s="353"/>
      <c r="T20" s="354"/>
      <c r="U20" s="350"/>
      <c r="V20" s="355"/>
      <c r="W20" s="356"/>
    </row>
    <row r="21" spans="1:23">
      <c r="A21" s="357"/>
      <c r="Q21" s="351"/>
      <c r="R21" s="352"/>
      <c r="S21" s="353"/>
      <c r="T21" s="354"/>
      <c r="U21" s="350"/>
      <c r="V21" s="355"/>
      <c r="W21" s="356"/>
    </row>
    <row r="22" spans="1:23">
      <c r="A22" s="357"/>
      <c r="Q22" s="351"/>
      <c r="R22" s="352"/>
      <c r="S22" s="353"/>
      <c r="T22" s="354"/>
      <c r="U22" s="350"/>
      <c r="V22" s="355"/>
      <c r="W22" s="355"/>
    </row>
    <row r="23" spans="1:23">
      <c r="A23" s="357"/>
      <c r="Q23" s="351"/>
      <c r="R23" s="352"/>
      <c r="S23" s="353"/>
      <c r="T23" s="354"/>
      <c r="U23" s="350"/>
      <c r="V23" s="355"/>
      <c r="W23" s="356"/>
    </row>
    <row r="24" spans="1:23">
      <c r="Q24" s="351"/>
      <c r="R24" s="352"/>
      <c r="S24" s="353"/>
      <c r="T24" s="354"/>
      <c r="U24" s="350"/>
      <c r="V24" s="355"/>
      <c r="W24" s="356"/>
    </row>
    <row r="25" spans="1:23">
      <c r="Q25" s="351"/>
      <c r="R25" s="352"/>
      <c r="S25" s="353"/>
      <c r="T25" s="354"/>
      <c r="U25" s="350"/>
      <c r="V25" s="355"/>
      <c r="W25" s="356"/>
    </row>
    <row r="26" spans="1:23">
      <c r="Q26" s="351"/>
      <c r="R26" s="352"/>
      <c r="S26" s="353"/>
      <c r="T26" s="354"/>
      <c r="U26" s="350"/>
      <c r="V26" s="355"/>
      <c r="W26" s="356"/>
    </row>
    <row r="27" spans="1:23">
      <c r="Q27" s="351"/>
      <c r="R27" s="352"/>
      <c r="S27" s="353"/>
      <c r="T27" s="354"/>
      <c r="U27" s="350"/>
      <c r="V27" s="355"/>
      <c r="W27" s="356"/>
    </row>
    <row r="28" spans="1:23">
      <c r="S28" s="350"/>
      <c r="T28" s="350"/>
      <c r="U28" s="350"/>
      <c r="V28" s="358"/>
      <c r="W28" s="358"/>
    </row>
  </sheetData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CC0099"/>
  </sheetPr>
  <dimension ref="A2:C34"/>
  <sheetViews>
    <sheetView workbookViewId="0">
      <selection activeCell="C29" sqref="C29"/>
    </sheetView>
  </sheetViews>
  <sheetFormatPr defaultColWidth="9.1796875" defaultRowHeight="14.5"/>
  <cols>
    <col min="1" max="1" width="20.453125" style="282" bestFit="1" customWidth="1"/>
    <col min="2" max="2" width="11" style="282" customWidth="1"/>
    <col min="3" max="3" width="11.453125" style="282" customWidth="1"/>
    <col min="4" max="16384" width="9.1796875" style="282"/>
  </cols>
  <sheetData>
    <row r="2" spans="1:3" ht="18.75" customHeight="1">
      <c r="A2" s="280" t="s">
        <v>188</v>
      </c>
      <c r="B2" s="281"/>
    </row>
    <row r="3" spans="1:3" ht="15" thickBot="1">
      <c r="A3" s="281"/>
      <c r="B3" s="281"/>
    </row>
    <row r="4" spans="1:3" ht="15" thickBot="1">
      <c r="A4" s="283" t="s">
        <v>185</v>
      </c>
      <c r="B4" s="284" t="str">
        <f>'Quarterly Analysis'!U7</f>
        <v>JUN.20.AV</v>
      </c>
      <c r="C4" s="284" t="str">
        <f>'Quarterly Analysis'!Y153</f>
        <v>JUN.21.AV</v>
      </c>
    </row>
    <row r="5" spans="1:3">
      <c r="A5" s="285" t="str">
        <f>'Monthly Analysis'!B9</f>
        <v>Island Taro</v>
      </c>
      <c r="B5" s="301">
        <f>'Quarterly Analysis'!U156/'Quarterly Analysis'!U177</f>
        <v>2.4390243902439025E-2</v>
      </c>
      <c r="C5" s="302">
        <f>'Quarterly Analysis'!Y156/'Quarterly Analysis'!Y177</f>
        <v>3.2310177705977383E-2</v>
      </c>
    </row>
    <row r="6" spans="1:3">
      <c r="A6" s="285" t="str">
        <f>'Monthly Analysis'!B8</f>
        <v>Fiji Taro</v>
      </c>
      <c r="B6" s="301">
        <f>'Quarterly Analysis'!U155/'Quarterly Analysis'!U177</f>
        <v>2.4390243902439025E-2</v>
      </c>
      <c r="C6" s="302">
        <f>'Quarterly Analysis'!Y155/'Quarterly Analysis'!Y177</f>
        <v>4.8465266558966075E-2</v>
      </c>
    </row>
    <row r="7" spans="1:3">
      <c r="A7" s="285" t="str">
        <f>'Monthly Analysis'!B10</f>
        <v>Manioc</v>
      </c>
      <c r="B7" s="301">
        <f>'Quarterly Analysis'!U157/'Quarterly Analysis'!U177</f>
        <v>4.878048780487805E-2</v>
      </c>
      <c r="C7" s="302">
        <f>'Quarterly Analysis'!Y157/'Quarterly Analysis'!Y177</f>
        <v>5.7619816908992996E-2</v>
      </c>
    </row>
    <row r="8" spans="1:3">
      <c r="A8" s="285" t="str">
        <f>'Monthly Analysis'!B11</f>
        <v>Sweet Potato (Kumala)</v>
      </c>
      <c r="B8" s="301">
        <f>'Quarterly Analysis'!U158/'Quarterly Analysis'!U177</f>
        <v>2.032520325203252E-2</v>
      </c>
      <c r="C8" s="302">
        <f>'Quarterly Analysis'!Y158/'Quarterly Analysis'!Y177</f>
        <v>2.1540118470651591E-2</v>
      </c>
    </row>
    <row r="9" spans="1:3">
      <c r="A9" s="285" t="str">
        <f>'Monthly Analysis'!B12</f>
        <v>Yams</v>
      </c>
      <c r="B9" s="301">
        <f>'Quarterly Analysis'!U159/'Quarterly Analysis'!U177</f>
        <v>4.065040650406504E-2</v>
      </c>
      <c r="C9" s="302">
        <f>'Quarterly Analysis'!Y159/'Quarterly Analysis'!Y177</f>
        <v>6.0850834679590737E-2</v>
      </c>
    </row>
    <row r="10" spans="1:3">
      <c r="A10" s="285" t="str">
        <f>'Monthly Analysis'!B26</f>
        <v>Dried coconuts</v>
      </c>
      <c r="B10" s="303">
        <f>'Quarterly Analysis'!U161/'Quarterly Analysis'!U177</f>
        <v>5.2845528455284549E-2</v>
      </c>
      <c r="C10" s="303">
        <f>'Quarterly Analysis'!Y161/'Quarterly Analysis'!Y177</f>
        <v>8.5083467959073775E-2</v>
      </c>
    </row>
    <row r="11" spans="1:3">
      <c r="A11" s="286" t="str">
        <f>'Monthly Analysis'!B13</f>
        <v>Banana - green</v>
      </c>
      <c r="B11" s="650">
        <f>'Quarterly Analysis'!U160/'Quarterly Analysis'!U177</f>
        <v>7.7235772357723567E-2</v>
      </c>
      <c r="C11" s="650">
        <f>'Quarterly Analysis'!Y160/'Quarterly Analysis'!Y177</f>
        <v>0.1147011308562197</v>
      </c>
    </row>
    <row r="12" spans="1:3" ht="15" thickBot="1">
      <c r="A12" s="281"/>
      <c r="B12" s="509">
        <f>SUM(B5:B11)</f>
        <v>0.28861788617886175</v>
      </c>
      <c r="C12" s="509">
        <f>SUM(C5:C11)</f>
        <v>0.42057081313947225</v>
      </c>
    </row>
    <row r="13" spans="1:3" ht="15" thickBot="1">
      <c r="A13" s="283" t="s">
        <v>186</v>
      </c>
      <c r="B13" s="284" t="str">
        <f>'Quarterly Analysis'!U153</f>
        <v>JUN.20.AV</v>
      </c>
      <c r="C13" s="284" t="str">
        <f>'Quarterly Analysis'!Y153</f>
        <v>JUN.21.AV</v>
      </c>
    </row>
    <row r="14" spans="1:3">
      <c r="A14" s="287" t="str">
        <f>'Monthly Analysis'!B16</f>
        <v>Water Melon</v>
      </c>
      <c r="B14" s="661">
        <f>'Quarterly Analysis'!U165/'Quarterly Analysis'!U177</f>
        <v>0</v>
      </c>
      <c r="C14" s="346">
        <f>'Quarterly Analysis'!Y165/'Quarterly Analysis'!Y177</f>
        <v>0</v>
      </c>
    </row>
    <row r="15" spans="1:3" ht="15" customHeight="1">
      <c r="A15" s="651" t="str">
        <f>'Monthly Analysis'!B27</f>
        <v>Green coconuts</v>
      </c>
      <c r="B15" s="303">
        <f>'Quarterly Analysis'!U166/'Quarterly Analysis'!U177</f>
        <v>0.16666666666666666</v>
      </c>
      <c r="C15" s="304">
        <f>'Quarterly Analysis'!Y166/'Quarterly Analysis'!Y177</f>
        <v>7.1620893914916536E-2</v>
      </c>
    </row>
    <row r="16" spans="1:3">
      <c r="A16" s="285" t="str">
        <f>'Monthly Analysis'!B15</f>
        <v>Pawpaw</v>
      </c>
      <c r="B16" s="301">
        <f>'Quarterly Analysis'!U164/'Quarterly Analysis'!U177</f>
        <v>3.6585365853658534E-2</v>
      </c>
      <c r="C16" s="301">
        <f>'Quarterly Analysis'!Y164/'Quarterly Analysis'!Y177</f>
        <v>0.10016155088852989</v>
      </c>
    </row>
    <row r="17" spans="1:3" ht="16.5" customHeight="1">
      <c r="A17" s="286" t="str">
        <f>'Monthly Analysis'!B14</f>
        <v>Banana, Ripe</v>
      </c>
      <c r="B17" s="650">
        <f>'Quarterly Analysis'!U163/'Quarterly Analysis'!U177</f>
        <v>4.065040650406504E-2</v>
      </c>
      <c r="C17" s="650">
        <f>'Quarterly Analysis'!Y163/'Quarterly Analysis'!Y177</f>
        <v>0.1470113085621971</v>
      </c>
    </row>
    <row r="18" spans="1:3" ht="15" thickBot="1">
      <c r="A18" s="281"/>
      <c r="B18" s="509">
        <f>SUM(B14:B17)</f>
        <v>0.24390243902439024</v>
      </c>
      <c r="C18" s="509">
        <f>SUM(C14:C17)</f>
        <v>0.31879375336564353</v>
      </c>
    </row>
    <row r="19" spans="1:3" ht="15" thickBot="1">
      <c r="A19" s="283" t="s">
        <v>187</v>
      </c>
      <c r="B19" s="284" t="str">
        <f>'Quarterly Analysis'!U153</f>
        <v>JUN.20.AV</v>
      </c>
      <c r="C19" s="284" t="str">
        <f>'Quarterly Analysis'!Y153</f>
        <v>JUN.21.AV</v>
      </c>
    </row>
    <row r="20" spans="1:3">
      <c r="A20" s="287" t="str">
        <f>'Monthly Analysis'!B23</f>
        <v>Island Cabbage</v>
      </c>
      <c r="B20" s="303">
        <f>'Quarterly Analysis'!U174/'Quarterly Analysis'!U177</f>
        <v>0.10975609756097561</v>
      </c>
      <c r="C20" s="304">
        <f>'Quarterly Analysis'!Y174/'Quarterly Analysis'!Y177</f>
        <v>6.5158858373721054E-2</v>
      </c>
    </row>
    <row r="21" spans="1:3">
      <c r="A21" s="287" t="str">
        <f>'Monthly Analysis'!B19</f>
        <v>Carrots</v>
      </c>
      <c r="B21" s="301">
        <f>'Quarterly Analysis'!U170/'Quarterly Analysis'!U177</f>
        <v>0</v>
      </c>
      <c r="C21" s="302">
        <f>'Quarterly Analysis'!Y170/'Quarterly Analysis'!Y177</f>
        <v>1.0770059235325794E-3</v>
      </c>
    </row>
    <row r="22" spans="1:3">
      <c r="A22" s="287" t="str">
        <f>'Monthly Analysis'!B18</f>
        <v>Bowl Cabbage (purple)</v>
      </c>
      <c r="B22" s="301">
        <f>'Quarterly Analysis'!U169/'Quarterly Analysis'!U177</f>
        <v>8.1300813008130073E-3</v>
      </c>
      <c r="C22" s="302">
        <f>'Quarterly Analysis'!Y169/'Quarterly Analysis'!Y177</f>
        <v>0</v>
      </c>
    </row>
    <row r="23" spans="1:3">
      <c r="A23" s="287" t="str">
        <f>'Monthly Analysis'!B22</f>
        <v>Pumpkin</v>
      </c>
      <c r="B23" s="301">
        <f>'Quarterly Analysis'!U173/'Quarterly Analysis'!U177</f>
        <v>1.6260162601626015E-2</v>
      </c>
      <c r="C23" s="302">
        <f>'Quarterly Analysis'!Y173/'Quarterly Analysis'!Y177</f>
        <v>1.4539579967689823E-2</v>
      </c>
    </row>
    <row r="24" spans="1:3" ht="15" customHeight="1">
      <c r="A24" s="287" t="str">
        <f>'Monthly Analysis'!B24</f>
        <v>Lettuce</v>
      </c>
      <c r="B24" s="303">
        <f>'Quarterly Analysis'!U175/'Quarterly Analysis'!U177</f>
        <v>4.878048780487805E-2</v>
      </c>
      <c r="C24" s="304">
        <f>'Quarterly Analysis'!Y175/'Quarterly Analysis'!Y177</f>
        <v>1.2385568120624664E-2</v>
      </c>
    </row>
    <row r="25" spans="1:3">
      <c r="A25" s="287" t="str">
        <f>'Monthly Analysis'!B21</f>
        <v>Cucumbers</v>
      </c>
      <c r="B25" s="301">
        <f>'Quarterly Analysis'!U172/'Quarterly Analysis'!U177</f>
        <v>8.5365853658536592E-2</v>
      </c>
      <c r="C25" s="302">
        <f>'Quarterly Analysis'!Y172/'Quarterly Analysis'!Y177</f>
        <v>7.9698438341410882E-2</v>
      </c>
    </row>
    <row r="26" spans="1:3">
      <c r="A26" s="285" t="str">
        <f>'Monthly Analysis'!B17</f>
        <v>Bowl Cabbage (white)</v>
      </c>
      <c r="B26" s="302">
        <f>'Quarterly Analysis'!U168/'Quarterly Analysis'!U177</f>
        <v>2.4390243902439025E-2</v>
      </c>
      <c r="C26" s="301">
        <f>'Quarterly Analysis'!Y168/'Quarterly Analysis'!Y177</f>
        <v>4.8465266558966073E-3</v>
      </c>
    </row>
    <row r="27" spans="1:3">
      <c r="A27" s="285" t="str">
        <f>'Monthly Analysis'!B20</f>
        <v>Chinese Cabbage</v>
      </c>
      <c r="B27" s="301">
        <f>'Quarterly Analysis'!U171/'Quarterly Analysis'!U177</f>
        <v>0.15040650406504066</v>
      </c>
      <c r="C27" s="301">
        <f>'Quarterly Analysis'!Y171/'Quarterly Analysis'!Y177</f>
        <v>5.1696284329563816E-2</v>
      </c>
    </row>
    <row r="28" spans="1:3">
      <c r="A28" s="286" t="str">
        <f>'Monthly Analysis'!B25</f>
        <v>Tomatoes</v>
      </c>
      <c r="B28" s="305">
        <f>'Quarterly Analysis'!U176/'Quarterly Analysis'!U177</f>
        <v>2.4390243902439025E-2</v>
      </c>
      <c r="C28" s="305">
        <f>'Quarterly Analysis'!Y176/'Quarterly Analysis'!Y177</f>
        <v>3.12331717824448E-2</v>
      </c>
    </row>
    <row r="29" spans="1:3">
      <c r="A29" s="281"/>
      <c r="B29" s="509">
        <f>SUM(B20:B28)</f>
        <v>0.46747967479674801</v>
      </c>
      <c r="C29" s="509">
        <f>SUM(C20:C28)</f>
        <v>0.26063543349488422</v>
      </c>
    </row>
    <row r="30" spans="1:3">
      <c r="A30" s="281"/>
      <c r="B30" s="509">
        <f>B12+B18+B29</f>
        <v>1</v>
      </c>
      <c r="C30" s="509">
        <f>C12+C18+C29</f>
        <v>1</v>
      </c>
    </row>
    <row r="31" spans="1:3">
      <c r="A31" s="506"/>
      <c r="B31" s="507"/>
      <c r="C31" s="507"/>
    </row>
    <row r="32" spans="1:3">
      <c r="A32" s="416"/>
      <c r="B32" s="508"/>
      <c r="C32" s="508"/>
    </row>
    <row r="33" spans="1:3">
      <c r="A33" s="416"/>
      <c r="B33" s="509"/>
      <c r="C33" s="509"/>
    </row>
    <row r="34" spans="1:3">
      <c r="A34" s="281"/>
      <c r="B34" s="281"/>
      <c r="C34" s="281"/>
    </row>
  </sheetData>
  <sortState xmlns:xlrd2="http://schemas.microsoft.com/office/spreadsheetml/2017/richdata2" ref="A21:C28">
    <sortCondition ref="C20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 tint="-0.249977111117893"/>
  </sheetPr>
  <dimension ref="A2:D25"/>
  <sheetViews>
    <sheetView topLeftCell="A16" workbookViewId="0">
      <selection activeCell="B27" sqref="B27"/>
    </sheetView>
  </sheetViews>
  <sheetFormatPr defaultColWidth="9.1796875" defaultRowHeight="14.5"/>
  <cols>
    <col min="1" max="1" width="25.453125" style="273" bestFit="1" customWidth="1"/>
    <col min="2" max="3" width="10.81640625" style="273" bestFit="1" customWidth="1"/>
    <col min="4" max="16384" width="9.1796875" style="273"/>
  </cols>
  <sheetData>
    <row r="2" spans="1:4" ht="18.75" customHeight="1">
      <c r="A2" s="272" t="s">
        <v>184</v>
      </c>
    </row>
    <row r="3" spans="1:4" ht="15" thickBot="1"/>
    <row r="4" spans="1:4" ht="15" thickBot="1">
      <c r="A4" s="274" t="s">
        <v>56</v>
      </c>
      <c r="B4" s="275" t="str">
        <f>'Quarterly Analysis'!U7</f>
        <v>JUN.20.AV</v>
      </c>
      <c r="C4" s="275" t="str">
        <f>'Quarterly Analysis'!Y7</f>
        <v>JUN.21.AV</v>
      </c>
      <c r="D4" s="514"/>
    </row>
    <row r="5" spans="1:4">
      <c r="A5" s="276" t="s">
        <v>35</v>
      </c>
      <c r="B5" s="299">
        <f>'Quarterly Analysis'!U80/'Quarterly Analysis'!U87</f>
        <v>0</v>
      </c>
      <c r="C5" s="924">
        <f>'Quarterly Analysis'!Y24/'Quarterly Analysis'!Y87</f>
        <v>2.175938633113272E-3</v>
      </c>
      <c r="D5" s="513"/>
    </row>
    <row r="6" spans="1:4">
      <c r="A6" s="277" t="s">
        <v>34</v>
      </c>
      <c r="B6" s="299">
        <f>'Quarterly Analysis'!U79/'Quarterly Analysis'!U87</f>
        <v>0</v>
      </c>
      <c r="C6" s="299">
        <f>'Quarterly Analysis'!Y79/'Quarterly Analysis'!Y87</f>
        <v>0</v>
      </c>
      <c r="D6" s="513"/>
    </row>
    <row r="7" spans="1:4">
      <c r="A7" s="277" t="s">
        <v>40</v>
      </c>
      <c r="B7" s="299">
        <f>'Quarterly Analysis'!U84/'Quarterly Analysis'!U87</f>
        <v>8.9630297565374203E-2</v>
      </c>
      <c r="C7" s="299">
        <f>'Quarterly Analysis'!Y84/'Quarterly Analysis'!Y87</f>
        <v>2.0719991910203257E-2</v>
      </c>
      <c r="D7" s="513"/>
    </row>
    <row r="8" spans="1:4">
      <c r="A8" s="277" t="s">
        <v>41</v>
      </c>
      <c r="B8" s="299">
        <f>'Quarterly Analysis'!U85/'Quarterly Analysis'!U87</f>
        <v>7.249774571686203E-2</v>
      </c>
      <c r="C8" s="299">
        <f>'Quarterly Analysis'!Y85/'Quarterly Analysis'!Y87</f>
        <v>1.346951157852159E-2</v>
      </c>
      <c r="D8" s="513"/>
    </row>
    <row r="9" spans="1:4">
      <c r="A9" s="277" t="s">
        <v>15</v>
      </c>
      <c r="B9" s="299">
        <f>'Quarterly Analysis'!U67/'Quarterly Analysis'!U87</f>
        <v>8.2596934174932371E-2</v>
      </c>
      <c r="C9" s="299">
        <f>'Quarterly Analysis'!Y67/'Quarterly Analysis'!Y87</f>
        <v>4.3725351400546064E-2</v>
      </c>
      <c r="D9" s="513"/>
    </row>
    <row r="10" spans="1:4">
      <c r="A10" s="277" t="s">
        <v>39</v>
      </c>
      <c r="B10" s="299">
        <f>'Quarterly Analysis'!U83/'Quarterly Analysis'!U87</f>
        <v>0</v>
      </c>
      <c r="C10" s="299">
        <f>'Quarterly Analysis'!Y83/'Quarterly Analysis'!Y87</f>
        <v>1.256952169076752E-2</v>
      </c>
      <c r="D10" s="513"/>
    </row>
    <row r="11" spans="1:4">
      <c r="A11" s="277" t="s">
        <v>9</v>
      </c>
      <c r="B11" s="299">
        <f>'Quarterly Analysis'!U65/'Quarterly Analysis'!U87</f>
        <v>2.0288548241659151E-2</v>
      </c>
      <c r="C11" s="299">
        <f>'Quarterly Analysis'!Y65/'Quarterly Analysis'!Y87</f>
        <v>5.5334209727980588E-2</v>
      </c>
      <c r="D11" s="513"/>
    </row>
    <row r="12" spans="1:4">
      <c r="A12" s="277" t="s">
        <v>31</v>
      </c>
      <c r="B12" s="299">
        <f>'Quarterly Analysis'!U74/'Quarterly Analysis'!U87</f>
        <v>1.1722272317403065E-3</v>
      </c>
      <c r="C12" s="299">
        <f>'Quarterly Analysis'!Y74/'Quarterly Analysis'!Y87</f>
        <v>6.3889169784609165E-2</v>
      </c>
      <c r="D12" s="513"/>
    </row>
    <row r="13" spans="1:4">
      <c r="A13" s="277" t="s">
        <v>12</v>
      </c>
      <c r="B13" s="299">
        <f>'Quarterly Analysis'!U66/'Quarterly Analysis'!U87</f>
        <v>0</v>
      </c>
      <c r="C13" s="299">
        <f>'Quarterly Analysis'!Y66/'Quarterly Analysis'!Y87</f>
        <v>7.4901405602184237E-2</v>
      </c>
      <c r="D13" s="513"/>
    </row>
    <row r="14" spans="1:4">
      <c r="A14" s="277" t="s">
        <v>19</v>
      </c>
      <c r="B14" s="299">
        <f>'Quarterly Analysis'!U68/'Quarterly Analysis'!U87</f>
        <v>1.93868349864743E-2</v>
      </c>
      <c r="C14" s="299">
        <f>'Quarterly Analysis'!Y68/'Quarterly Analysis'!Y87</f>
        <v>2.9628880574375571E-2</v>
      </c>
      <c r="D14" s="513"/>
    </row>
    <row r="15" spans="1:4">
      <c r="A15" s="277" t="s">
        <v>37</v>
      </c>
      <c r="B15" s="299">
        <f>'Quarterly Analysis'!U81/'Quarterly Analysis'!U87</f>
        <v>0.19251577998196573</v>
      </c>
      <c r="C15" s="299">
        <f>'Quarterly Analysis'!Y81/'Quarterly Analysis'!Y87</f>
        <v>5.0905046010718984E-2</v>
      </c>
      <c r="D15" s="513"/>
    </row>
    <row r="16" spans="1:4">
      <c r="A16" s="277" t="s">
        <v>48</v>
      </c>
      <c r="B16" s="299">
        <f>'Quarterly Analysis'!U71/'Quarterly Analysis'!U87</f>
        <v>0.12723174030658249</v>
      </c>
      <c r="C16" s="299">
        <f>'Quarterly Analysis'!Y71/'Quarterly Analysis'!Y87</f>
        <v>5.9116189705733645E-2</v>
      </c>
      <c r="D16" s="513"/>
    </row>
    <row r="17" spans="1:4">
      <c r="A17" s="277" t="s">
        <v>32</v>
      </c>
      <c r="B17" s="299">
        <f>'Quarterly Analysis'!U75/'Quarterly Analysis'!U87</f>
        <v>0</v>
      </c>
      <c r="C17" s="299">
        <f>'Quarterly Analysis'!Y75/'Quarterly Analysis'!Y87</f>
        <v>0</v>
      </c>
      <c r="D17" s="513"/>
    </row>
    <row r="18" spans="1:4">
      <c r="A18" s="278" t="s">
        <v>25</v>
      </c>
      <c r="B18" s="299">
        <f>'Quarterly Analysis'!U70/'Quarterly Analysis'!U87</f>
        <v>3.1650135256988274E-2</v>
      </c>
      <c r="C18" s="299">
        <f>'Quarterly Analysis'!Y70/'Quarterly Analysis'!Y87</f>
        <v>7.9320457073516024E-2</v>
      </c>
      <c r="D18" s="513"/>
    </row>
    <row r="19" spans="1:4">
      <c r="A19" s="277" t="s">
        <v>30</v>
      </c>
      <c r="B19" s="299">
        <f>'Quarterly Analysis'!U73/'Quarterly Analysis'!U87</f>
        <v>4.147880973850316E-3</v>
      </c>
      <c r="C19" s="299">
        <f>'Quarterly Analysis'!Y73/'Quarterly Analysis'!Y87</f>
        <v>0.12483567600364041</v>
      </c>
      <c r="D19" s="513"/>
    </row>
    <row r="20" spans="1:4">
      <c r="A20" s="277" t="s">
        <v>49</v>
      </c>
      <c r="B20" s="299">
        <f>'Quarterly Analysis'!U76/'Quarterly Analysis'!U87</f>
        <v>0</v>
      </c>
      <c r="C20" s="299">
        <f>'Quarterly Analysis'!Y76/'Quarterly Analysis'!Y87</f>
        <v>3.5938922034583883E-2</v>
      </c>
      <c r="D20" s="513"/>
    </row>
    <row r="21" spans="1:4">
      <c r="A21" s="277" t="s">
        <v>38</v>
      </c>
      <c r="B21" s="299">
        <f>'Quarterly Analysis'!U82/'Quarterly Analysis'!U87</f>
        <v>0.29936880072137062</v>
      </c>
      <c r="C21" s="299">
        <f>'Quarterly Analysis'!Y82/'Quarterly Analysis'!Y87</f>
        <v>0.12356153301648296</v>
      </c>
      <c r="D21" s="513"/>
    </row>
    <row r="22" spans="1:4">
      <c r="A22" s="277" t="s">
        <v>33</v>
      </c>
      <c r="B22" s="299">
        <f>'Quarterly Analysis'!U78/'Quarterly Analysis'!U87</f>
        <v>5.9513074842200177E-2</v>
      </c>
      <c r="C22" s="299">
        <f>'Quarterly Analysis'!Y78/'Quarterly Analysis'!Y87</f>
        <v>6.0268985741733236E-3</v>
      </c>
      <c r="D22" s="513"/>
    </row>
    <row r="23" spans="1:4" ht="15" customHeight="1">
      <c r="A23" s="277" t="s">
        <v>43</v>
      </c>
      <c r="B23" s="299">
        <f>'Quarterly Analysis'!U86/'Quarterly Analysis'!U87</f>
        <v>0</v>
      </c>
      <c r="C23" s="299">
        <f>'Quarterly Analysis'!Y86/'Quarterly Analysis'!Y87</f>
        <v>1.8121144706239257E-2</v>
      </c>
      <c r="D23" s="513"/>
    </row>
    <row r="24" spans="1:4">
      <c r="A24" s="279" t="s">
        <v>22</v>
      </c>
      <c r="B24" s="300">
        <f>'Quarterly Analysis'!U69/'Quarterly Analysis'!U87</f>
        <v>0</v>
      </c>
      <c r="C24" s="300">
        <f>'Quarterly Analysis'!Y69/'Quarterly Analysis'!Y87</f>
        <v>0.18793609060572353</v>
      </c>
      <c r="D24" s="513"/>
    </row>
    <row r="25" spans="1:4">
      <c r="B25" s="513">
        <f>SUM(B5:B24)</f>
        <v>0.99999999999999989</v>
      </c>
      <c r="C25" s="513">
        <f>SUM(C5:C24)</f>
        <v>1.0021759386331135</v>
      </c>
    </row>
  </sheetData>
  <sortState xmlns:xlrd2="http://schemas.microsoft.com/office/spreadsheetml/2017/richdata2" ref="A5:C24">
    <sortCondition ref="C5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Volume Data Entry</vt:lpstr>
      <vt:lpstr>Price Data Entry</vt:lpstr>
      <vt:lpstr>Weekly Analysis</vt:lpstr>
      <vt:lpstr>Monthly Analysis</vt:lpstr>
      <vt:lpstr>Quarterly Analysis</vt:lpstr>
      <vt:lpstr>Fig 2 - Fiji Taro</vt:lpstr>
      <vt:lpstr>Fig 3 - Island Taro</vt:lpstr>
      <vt:lpstr>Fig 4 - Manioc</vt:lpstr>
      <vt:lpstr>Fig 5 - Kumala</vt:lpstr>
      <vt:lpstr>Fig 6 - Yam</vt:lpstr>
      <vt:lpstr>Fig 7 - Green Banana</vt:lpstr>
      <vt:lpstr>Fig 8 - Dried Coconut</vt:lpstr>
      <vt:lpstr>Fig 9 - Water Melon</vt:lpstr>
      <vt:lpstr>Fig 10 - Pawpaw</vt:lpstr>
      <vt:lpstr>Fig 11 - Ripe Banana</vt:lpstr>
      <vt:lpstr>Fig 12 - Green Coconut</vt:lpstr>
      <vt:lpstr>Fig 13 - Bowl Cabbage (Purple)</vt:lpstr>
      <vt:lpstr>Fig 14 - Chinese Cabbage</vt:lpstr>
      <vt:lpstr>Fig 15 - Pumpkin</vt:lpstr>
      <vt:lpstr>Fig 16 - Lettuce</vt:lpstr>
      <vt:lpstr>Fig 17 - Cucumbers</vt:lpstr>
      <vt:lpstr>Fig 18 - Bowl Cabbage (White)</vt:lpstr>
      <vt:lpstr>Fig 19 - Carrots</vt:lpstr>
      <vt:lpstr>Fig 20 - Island Cabbage</vt:lpstr>
      <vt:lpstr>Fig 21 - Tomatoes</vt:lpstr>
      <vt:lpstr>Fig 1 - Vol &amp; Pri</vt:lpstr>
      <vt:lpstr>Fig 2 - Staple Produces</vt:lpstr>
      <vt:lpstr>Fig 3 - Fruit Produces</vt:lpstr>
      <vt:lpstr>Fig 4 - Vegetable Produces</vt:lpstr>
      <vt:lpstr>Fig 5-7 Sellers by Commodity</vt:lpstr>
      <vt:lpstr>Fig 25 - Value of Supplies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Remah Arthur</dc:creator>
  <cp:lastModifiedBy>Administrator</cp:lastModifiedBy>
  <cp:lastPrinted>2019-09-23T22:35:17Z</cp:lastPrinted>
  <dcterms:created xsi:type="dcterms:W3CDTF">2019-05-16T23:31:04Z</dcterms:created>
  <dcterms:modified xsi:type="dcterms:W3CDTF">2022-03-13T16:54:59Z</dcterms:modified>
</cp:coreProperties>
</file>